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urces &gt;&gt;" sheetId="1" r:id="rId4"/>
    <sheet state="visible" name="product" sheetId="2" r:id="rId5"/>
    <sheet state="visible" name="stock" sheetId="3" r:id="rId6"/>
    <sheet state="visible" name="sales from stock" sheetId="4" r:id="rId7"/>
    <sheet state="visible" name="Exploration&gt;&gt;" sheetId="5" r:id="rId8"/>
    <sheet state="visible" name="explo_stock" sheetId="6" r:id="rId9"/>
    <sheet state="visible" name="stock_analysis" sheetId="7" r:id="rId10"/>
    <sheet state="visible" name="stock_category" sheetId="8" r:id="rId11"/>
    <sheet state="visible" name="INVENTORY" sheetId="9" r:id="rId12"/>
  </sheets>
  <definedNames>
    <definedName hidden="1" localSheetId="1" name="_xlnm._FilterDatabase">product!$A$1:$E$6401</definedName>
    <definedName hidden="1" localSheetId="5" name="_xlnm._FilterDatabase">explo_stock!$A$1:$L$6401</definedName>
  </definedNames>
  <calcPr/>
  <pivotCaches>
    <pivotCache cacheId="0" r:id="rId13"/>
    <pivotCache cacheId="1" r:id="rId14"/>
  </pivotCaches>
</workbook>
</file>

<file path=xl/sharedStrings.xml><?xml version="1.0" encoding="utf-8"?>
<sst xmlns="http://schemas.openxmlformats.org/spreadsheetml/2006/main" count="17705" uniqueCount="685">
  <si>
    <t>product_id</t>
  </si>
  <si>
    <t>category_1</t>
  </si>
  <si>
    <t>category_2</t>
  </si>
  <si>
    <t>category_3</t>
  </si>
  <si>
    <t>pp_cat</t>
  </si>
  <si>
    <t>Maison</t>
  </si>
  <si>
    <t>Mode</t>
  </si>
  <si>
    <t>Bagagerie</t>
  </si>
  <si>
    <t>Mode Bébé 0-36 mois</t>
  </si>
  <si>
    <t>Boisson</t>
  </si>
  <si>
    <t>Soda</t>
  </si>
  <si>
    <t>Cola bio</t>
  </si>
  <si>
    <t>Limonade bio</t>
  </si>
  <si>
    <t>Boisson gazeuse</t>
  </si>
  <si>
    <t>Café</t>
  </si>
  <si>
    <t>Café moulu</t>
  </si>
  <si>
    <t>Café soluble</t>
  </si>
  <si>
    <t>Café en grains</t>
  </si>
  <si>
    <t>Café décaféiné</t>
  </si>
  <si>
    <t>Dosettes compatible Senséo ®</t>
  </si>
  <si>
    <t>Substituts de café, chicorée</t>
  </si>
  <si>
    <t>Capsules compatible Nespresso ®</t>
  </si>
  <si>
    <t>Sirop</t>
  </si>
  <si>
    <t>Alcool</t>
  </si>
  <si>
    <t>Cidres Bio</t>
  </si>
  <si>
    <t>Spiritueux bio</t>
  </si>
  <si>
    <t>Boisson Apéritif bio</t>
  </si>
  <si>
    <t>Bière</t>
  </si>
  <si>
    <t>Bière blonde</t>
  </si>
  <si>
    <t>Bière ambrée</t>
  </si>
  <si>
    <t>Bière blanche</t>
  </si>
  <si>
    <t>Coffret de Bière</t>
  </si>
  <si>
    <t>Bière sans alcool</t>
  </si>
  <si>
    <t>Bière sans gluten</t>
  </si>
  <si>
    <t>Extérieur</t>
  </si>
  <si>
    <t>Jardin</t>
  </si>
  <si>
    <t>Récupérateur d'eau</t>
  </si>
  <si>
    <t>Potagers d'intérieur et graines</t>
  </si>
  <si>
    <t>Livres</t>
  </si>
  <si>
    <t>Livres Cuisine</t>
  </si>
  <si>
    <t>Livres Entretien</t>
  </si>
  <si>
    <t>Cuisson</t>
  </si>
  <si>
    <t>Poêle</t>
  </si>
  <si>
    <t>Casserole</t>
  </si>
  <si>
    <t>Sauteuse, Wok</t>
  </si>
  <si>
    <t>Batteries de cuisine</t>
  </si>
  <si>
    <t>Gourdes</t>
  </si>
  <si>
    <t>Gourdes filtrantes</t>
  </si>
  <si>
    <t>Gourdes isothermes</t>
  </si>
  <si>
    <t>Gourdes pour enfant</t>
  </si>
  <si>
    <t>Gourdes simple paroi</t>
  </si>
  <si>
    <t>Literie</t>
  </si>
  <si>
    <t>Oreiller, traversin</t>
  </si>
  <si>
    <t>Protège-matelas, alèse</t>
  </si>
  <si>
    <t>Santé &amp; Bien-être</t>
  </si>
  <si>
    <t>Minceur</t>
  </si>
  <si>
    <t>Coupe-faim</t>
  </si>
  <si>
    <t>Elimination</t>
  </si>
  <si>
    <t>Détox minceur</t>
  </si>
  <si>
    <t>Beauté du corps</t>
  </si>
  <si>
    <t>Epicerie salée</t>
  </si>
  <si>
    <t>Riz bio</t>
  </si>
  <si>
    <t>Riz rond</t>
  </si>
  <si>
    <t>Riz parfumé</t>
  </si>
  <si>
    <t>Riz long grain</t>
  </si>
  <si>
    <t>Riz cuisson rapide</t>
  </si>
  <si>
    <t>Risotto, riz japonais</t>
  </si>
  <si>
    <t>Riz Basmati, Thai, Jasmin</t>
  </si>
  <si>
    <t>Riz rouge, riz noir, riz sauvage</t>
  </si>
  <si>
    <t>Vin Bio</t>
  </si>
  <si>
    <t>Vins blancs</t>
  </si>
  <si>
    <t>Vins rosés</t>
  </si>
  <si>
    <t>Vins rouges</t>
  </si>
  <si>
    <t>Beauté &amp; Hygiène</t>
  </si>
  <si>
    <t>Hygiène</t>
  </si>
  <si>
    <t>Mouchoirs</t>
  </si>
  <si>
    <t>Gel intime</t>
  </si>
  <si>
    <t>Déodorants</t>
  </si>
  <si>
    <t>Cotons-tiges</t>
  </si>
  <si>
    <t>Eponges Konjac</t>
  </si>
  <si>
    <t>Papier toilette</t>
  </si>
  <si>
    <t>Soins dentaires</t>
  </si>
  <si>
    <t>Coupes menstruelles</t>
  </si>
  <si>
    <t>Tampons écologiques</t>
  </si>
  <si>
    <t>Culottes menstruelles</t>
  </si>
  <si>
    <t>Serviettes et protèges slip</t>
  </si>
  <si>
    <t>Couches adultes, incontinence</t>
  </si>
  <si>
    <t>Cotons, lingettes démaquillantes</t>
  </si>
  <si>
    <t>Kombucha</t>
  </si>
  <si>
    <t>Thé bio</t>
  </si>
  <si>
    <t>Maté</t>
  </si>
  <si>
    <t>Matcha</t>
  </si>
  <si>
    <t>Rooïbos</t>
  </si>
  <si>
    <t>Thé noir</t>
  </si>
  <si>
    <t>Thé blanc</t>
  </si>
  <si>
    <t>Coffrets de thé</t>
  </si>
  <si>
    <t>Thé vert nature</t>
  </si>
  <si>
    <t>Thé vert parfumé</t>
  </si>
  <si>
    <t>Entretien</t>
  </si>
  <si>
    <t>Anti insectes</t>
  </si>
  <si>
    <t>Soin du linge</t>
  </si>
  <si>
    <t>Désodorisants</t>
  </si>
  <si>
    <t>Produits vaisselle</t>
  </si>
  <si>
    <t>Savon de Marseille</t>
  </si>
  <si>
    <t>Savon noir ménager</t>
  </si>
  <si>
    <t>Accessoires ménagers</t>
  </si>
  <si>
    <t>Droguerie écologique</t>
  </si>
  <si>
    <t>Lessives écologiques</t>
  </si>
  <si>
    <t>Nettoyants multi-usages</t>
  </si>
  <si>
    <t>Epilation</t>
  </si>
  <si>
    <t>Soins épilation</t>
  </si>
  <si>
    <t>Cires épilatoires</t>
  </si>
  <si>
    <t>Crèmes dépilatoires</t>
  </si>
  <si>
    <t>Maquillage</t>
  </si>
  <si>
    <t>Le Teint</t>
  </si>
  <si>
    <t>Les Yeux</t>
  </si>
  <si>
    <t>Les Ongles</t>
  </si>
  <si>
    <t>Les Lèvres</t>
  </si>
  <si>
    <t>Base de maquillage</t>
  </si>
  <si>
    <t>Pinceaux et accessoires</t>
  </si>
  <si>
    <t>Pâtes bio</t>
  </si>
  <si>
    <t>Pâtes Blanches</t>
  </si>
  <si>
    <t>Pâtes complètes</t>
  </si>
  <si>
    <t>Pâtes parfumées</t>
  </si>
  <si>
    <t>Pâtes aux céréales</t>
  </si>
  <si>
    <t>Pâtes de légumineuse</t>
  </si>
  <si>
    <t>Pâtes demi complètes</t>
  </si>
  <si>
    <t>Nouilles asiatiques, shirataki</t>
  </si>
  <si>
    <t>Enfant</t>
  </si>
  <si>
    <t>Allaitement</t>
  </si>
  <si>
    <t>Coussins d'allaitement</t>
  </si>
  <si>
    <t>Accessoires d'allaitement</t>
  </si>
  <si>
    <t>Composteurs</t>
  </si>
  <si>
    <t>Poubelle, seau à compost</t>
  </si>
  <si>
    <t>Décoration</t>
  </si>
  <si>
    <t>Bougies</t>
  </si>
  <si>
    <t>Lampes de sel</t>
  </si>
  <si>
    <t>Fleurs et plantes</t>
  </si>
  <si>
    <t>Encens, porte encens</t>
  </si>
  <si>
    <t>Eau de coco</t>
  </si>
  <si>
    <t>Epicerie sucrée</t>
  </si>
  <si>
    <t>Fruits secs</t>
  </si>
  <si>
    <t>Fruit confit</t>
  </si>
  <si>
    <t>Fruit séché</t>
  </si>
  <si>
    <t>Fruit sec à coque</t>
  </si>
  <si>
    <t>Fruit sec en poudre</t>
  </si>
  <si>
    <t>Soins Homme</t>
  </si>
  <si>
    <t>Douche</t>
  </si>
  <si>
    <t>Soins pour le rasage</t>
  </si>
  <si>
    <t>Soins du visage homme</t>
  </si>
  <si>
    <t>Déodorants et eau de toilette</t>
  </si>
  <si>
    <t>Rasoir de sécurité, accessoires</t>
  </si>
  <si>
    <t>Thé Glacé</t>
  </si>
  <si>
    <t>Chocolat bio</t>
  </si>
  <si>
    <t>Chocolat cru</t>
  </si>
  <si>
    <t>Chocolat noir</t>
  </si>
  <si>
    <t>Chocolat blanc</t>
  </si>
  <si>
    <t>Chocolat au lait</t>
  </si>
  <si>
    <t>Chocolat pâtissier</t>
  </si>
  <si>
    <t>Truffe et bouchée chocolat</t>
  </si>
  <si>
    <t>Conservation</t>
  </si>
  <si>
    <t>Boîtes en inox</t>
  </si>
  <si>
    <t>Mugs isothermes</t>
  </si>
  <si>
    <t>Boîtes en verre</t>
  </si>
  <si>
    <t>Boîtes en plastique</t>
  </si>
  <si>
    <t>Sacs de conservation</t>
  </si>
  <si>
    <t>Bocaux et accessoires</t>
  </si>
  <si>
    <t>Conservation sous vide</t>
  </si>
  <si>
    <t>Boîtes à repas enfant</t>
  </si>
  <si>
    <t>Emballages réutilisables</t>
  </si>
  <si>
    <t>Lunch bags, sacs à repas</t>
  </si>
  <si>
    <t>Lunch box et boîtes repas</t>
  </si>
  <si>
    <t>Papier et film alimentaire</t>
  </si>
  <si>
    <t>Repas Bébé</t>
  </si>
  <si>
    <t>Bavoirs</t>
  </si>
  <si>
    <t>Conservation du repas</t>
  </si>
  <si>
    <t>Couverts et Vaisselle Bébé</t>
  </si>
  <si>
    <t>Gourde compote réutilisable</t>
  </si>
  <si>
    <t>Jus de fruits</t>
  </si>
  <si>
    <t>Jus de citrons bio</t>
  </si>
  <si>
    <t>Jus de pruneau bio</t>
  </si>
  <si>
    <t>Jus de raisins bio</t>
  </si>
  <si>
    <t>Jus de superfruits</t>
  </si>
  <si>
    <t>Jus multifruits bio</t>
  </si>
  <si>
    <t>Jus de fruits rouge bio</t>
  </si>
  <si>
    <t>Jus de fruits exotiques bio</t>
  </si>
  <si>
    <t>Jus de pommes et poires bio</t>
  </si>
  <si>
    <t>Jus d'oranges et agrumes bio</t>
  </si>
  <si>
    <t>Parapharmacie</t>
  </si>
  <si>
    <t>Sexualité</t>
  </si>
  <si>
    <t>Douleurs musculaires</t>
  </si>
  <si>
    <t>Antimoustiques visage et corps</t>
  </si>
  <si>
    <t>Peau abîmée, bosses et coups</t>
  </si>
  <si>
    <t>Gels articulations, circulation</t>
  </si>
  <si>
    <t>Animalerie Bio</t>
  </si>
  <si>
    <t>Alimentation Chats</t>
  </si>
  <si>
    <t>Alimentation Chiens</t>
  </si>
  <si>
    <t>Hygiène et soins Animaux</t>
  </si>
  <si>
    <t>Apéritifs bio</t>
  </si>
  <si>
    <t>Antipasti</t>
  </si>
  <si>
    <t>Olives bio</t>
  </si>
  <si>
    <t>Tartinables</t>
  </si>
  <si>
    <t>Chutney et confit</t>
  </si>
  <si>
    <t>Pâtés végétaux</t>
  </si>
  <si>
    <t>Biscuits apéritif bio</t>
  </si>
  <si>
    <t>Fruits secs bio apéritif</t>
  </si>
  <si>
    <t>Aromathérapie</t>
  </si>
  <si>
    <t>Eaux florales</t>
  </si>
  <si>
    <t>Huiles essentielles olfactives</t>
  </si>
  <si>
    <t>Huiles végétales cosmétique</t>
  </si>
  <si>
    <t>Huiles essentielles à diffuser</t>
  </si>
  <si>
    <t>Huiles essentielles alimentaires</t>
  </si>
  <si>
    <t>Huiles essentielles cosmétiques</t>
  </si>
  <si>
    <t>Confiserie Bio</t>
  </si>
  <si>
    <t>Bonbon</t>
  </si>
  <si>
    <t>Nougat</t>
  </si>
  <si>
    <t>Guimauve</t>
  </si>
  <si>
    <t>Chewing-gums</t>
  </si>
  <si>
    <t>Douche et Bain</t>
  </si>
  <si>
    <t>Savon</t>
  </si>
  <si>
    <t>Gel douche</t>
  </si>
  <si>
    <t>Savon liquide</t>
  </si>
  <si>
    <t>Bain moussant et huile</t>
  </si>
  <si>
    <t>Galets et sels de bain</t>
  </si>
  <si>
    <t>Brosse et accessoire de bain</t>
  </si>
  <si>
    <t>Jus de grenade</t>
  </si>
  <si>
    <t>Salle de bains</t>
  </si>
  <si>
    <t>Filtres de douche</t>
  </si>
  <si>
    <t>Distributeur de savon</t>
  </si>
  <si>
    <t>Rangement salle de bains</t>
  </si>
  <si>
    <t>Porte-savon et accessoires</t>
  </si>
  <si>
    <t>Soins Solaires</t>
  </si>
  <si>
    <t>Crèmes solaires teintées</t>
  </si>
  <si>
    <t>Soins du corps</t>
  </si>
  <si>
    <t>Gommage</t>
  </si>
  <si>
    <t>Huiles corps</t>
  </si>
  <si>
    <t>Laits pour le corps</t>
  </si>
  <si>
    <t>Soins mains et ongles</t>
  </si>
  <si>
    <t>Soins pieds et jambes</t>
  </si>
  <si>
    <t>Eau de toilette et Parfum</t>
  </si>
  <si>
    <t>Baume et beurre de karité</t>
  </si>
  <si>
    <t>Art de la table</t>
  </si>
  <si>
    <t>Assiette</t>
  </si>
  <si>
    <t>Couverts</t>
  </si>
  <si>
    <t>Verre, gobelet</t>
  </si>
  <si>
    <t>Accessoires thé et café</t>
  </si>
  <si>
    <t>Carafe, distributeur de boisson</t>
  </si>
  <si>
    <t>Eau aromatisée</t>
  </si>
  <si>
    <t>Electroménager</t>
  </si>
  <si>
    <t>Petit déjeuner</t>
  </si>
  <si>
    <t>Appareils de cuisine</t>
  </si>
  <si>
    <t>Jus de légumes</t>
  </si>
  <si>
    <t>Jus de Breuss</t>
  </si>
  <si>
    <t>Jus de gingembre</t>
  </si>
  <si>
    <t>Jus de tomate bio</t>
  </si>
  <si>
    <t>Jus de carotte bio</t>
  </si>
  <si>
    <t>Jus multi légumes</t>
  </si>
  <si>
    <t>Jus de betterave bio</t>
  </si>
  <si>
    <t>Linge de maison</t>
  </si>
  <si>
    <t>Linge de lit</t>
  </si>
  <si>
    <t>Linge de bain</t>
  </si>
  <si>
    <t>Linge de lit bébé, enfant</t>
  </si>
  <si>
    <t>Plats cuisinés</t>
  </si>
  <si>
    <t>Salades bio</t>
  </si>
  <si>
    <t>Tofu et seitan</t>
  </si>
  <si>
    <t>Fruit du jacquier</t>
  </si>
  <si>
    <t>Galettes à cuire et falafel</t>
  </si>
  <si>
    <t>Plats cuisinés viande et poisson</t>
  </si>
  <si>
    <t>Plats cuisinés céréales, légumes</t>
  </si>
  <si>
    <t>Soins du visage</t>
  </si>
  <si>
    <t>Coffret visage</t>
  </si>
  <si>
    <t>Soins des lèvres</t>
  </si>
  <si>
    <t>Gommages et exfoliants</t>
  </si>
  <si>
    <t>Soins contour des yeux</t>
  </si>
  <si>
    <t>Peaux mixtes à grasses</t>
  </si>
  <si>
    <t>Peaux matures, anti-âge</t>
  </si>
  <si>
    <t>Peaux sèches et sensibles</t>
  </si>
  <si>
    <t>Démaquillants et nettoyants</t>
  </si>
  <si>
    <t>Peaux normales, soins hydratants</t>
  </si>
  <si>
    <t>Sauces et coulis</t>
  </si>
  <si>
    <t>Sauces</t>
  </si>
  <si>
    <t>Préparation liquide, cuisine</t>
  </si>
  <si>
    <t>Tisane, Infusion</t>
  </si>
  <si>
    <t>Coffrets de tisanes</t>
  </si>
  <si>
    <t>Tisane ayurvédique</t>
  </si>
  <si>
    <t>Tisane plante simple</t>
  </si>
  <si>
    <t>Tisane de plantes composées</t>
  </si>
  <si>
    <t>Transport enfant</t>
  </si>
  <si>
    <t>Echarpe &amp; Porte-Bébé</t>
  </si>
  <si>
    <t>Loisirs Créatifs</t>
  </si>
  <si>
    <t>Moulage</t>
  </si>
  <si>
    <t>Pâte à Modeler</t>
  </si>
  <si>
    <t>Peinture &amp; Coloriage</t>
  </si>
  <si>
    <t>Découpage &amp; Assemblage</t>
  </si>
  <si>
    <t>Miel et confiture</t>
  </si>
  <si>
    <t>Confiture</t>
  </si>
  <si>
    <t>Miels bio</t>
  </si>
  <si>
    <t>Pain et biscottes</t>
  </si>
  <si>
    <t>Pain, pain précuit</t>
  </si>
  <si>
    <t>Pâte à tartiner</t>
  </si>
  <si>
    <t>Crème de fruits à coque</t>
  </si>
  <si>
    <t>Pâte à tartiner sans lait</t>
  </si>
  <si>
    <t>Pâte à tartiner chocolat lait</t>
  </si>
  <si>
    <t>Pâte à tartiner chocolat noir</t>
  </si>
  <si>
    <t>Pâte à tartiner sans chocolat</t>
  </si>
  <si>
    <t>Soins des cheveux</t>
  </si>
  <si>
    <t>Brosse et peigne</t>
  </si>
  <si>
    <t>Soins capillaires</t>
  </si>
  <si>
    <t>Shampoing traitant</t>
  </si>
  <si>
    <t>Colorations naturelles</t>
  </si>
  <si>
    <t>Gel et crème coiffante</t>
  </si>
  <si>
    <t>Shampoing douche 2 en 1</t>
  </si>
  <si>
    <t>Shampoing par type de cheveux</t>
  </si>
  <si>
    <t>Shampoing volume et brillance</t>
  </si>
  <si>
    <t>Soins à l'Argile</t>
  </si>
  <si>
    <t>Argile en Vrac</t>
  </si>
  <si>
    <t>Argile prête à l'emploi</t>
  </si>
  <si>
    <t>Alimentation Bébé</t>
  </si>
  <si>
    <t>Soupes bio bébé</t>
  </si>
  <si>
    <t>Soupes bio bébé 4-6 mois</t>
  </si>
  <si>
    <t>Soupes bio bébé 8-12 mois</t>
  </si>
  <si>
    <t>Abris pour animaux</t>
  </si>
  <si>
    <t>Abris pour oiseaux</t>
  </si>
  <si>
    <t>Biscuits, Gâteaux</t>
  </si>
  <si>
    <t>Gâteaux</t>
  </si>
  <si>
    <t>Biscuit nature</t>
  </si>
  <si>
    <t>Biscuit aux fruits</t>
  </si>
  <si>
    <t>Biscuit au chocolat</t>
  </si>
  <si>
    <t>Biscuit sans gluten</t>
  </si>
  <si>
    <t>Madeleine et moelleux</t>
  </si>
  <si>
    <t>Biscuit petit déjeuner</t>
  </si>
  <si>
    <t>Biscuit caramel et vanille</t>
  </si>
  <si>
    <t>Biscuit fruits secs et céréales</t>
  </si>
  <si>
    <t>Boisson végétale</t>
  </si>
  <si>
    <t>Boisson au riz</t>
  </si>
  <si>
    <t>Boisson au soja</t>
  </si>
  <si>
    <t>Boisson à la coco</t>
  </si>
  <si>
    <t>Boisson à l'amande</t>
  </si>
  <si>
    <t>Boisson à l'avoine</t>
  </si>
  <si>
    <t>Boisson aux noisettes</t>
  </si>
  <si>
    <t>Boisson à l'épeautre</t>
  </si>
  <si>
    <t>Autre boisson végétale</t>
  </si>
  <si>
    <t>Boisson à la châtaigne</t>
  </si>
  <si>
    <t>Compote et dessert</t>
  </si>
  <si>
    <t>Dessert et glace</t>
  </si>
  <si>
    <t>Compote et purée de fruit</t>
  </si>
  <si>
    <t>Lait infantile bio</t>
  </si>
  <si>
    <t>Lait de croissance bio</t>
  </si>
  <si>
    <t>Lait infantile bio 1er âge</t>
  </si>
  <si>
    <t>Lait infantile bio 2ème âge</t>
  </si>
  <si>
    <t>Matériel médical</t>
  </si>
  <si>
    <t>Lavement, irrigation du colon</t>
  </si>
  <si>
    <t>Sport et Nutrition</t>
  </si>
  <si>
    <t>Energie et endurance</t>
  </si>
  <si>
    <t>Protéines et barres protéinées</t>
  </si>
  <si>
    <t>Boissons bio bébé</t>
  </si>
  <si>
    <t>Tisanes bébé bio</t>
  </si>
  <si>
    <t>Boissons bébé lactées</t>
  </si>
  <si>
    <t>Jouets écologiques</t>
  </si>
  <si>
    <t>Puzzles</t>
  </si>
  <si>
    <t>Draisiennes</t>
  </si>
  <si>
    <t>Jeux Educatifs</t>
  </si>
  <si>
    <t>Jouets musicaux</t>
  </si>
  <si>
    <t>Jeux d'imitation</t>
  </si>
  <si>
    <t>Jeux de société</t>
  </si>
  <si>
    <t>Eveil &amp; Découverte</t>
  </si>
  <si>
    <t>Bascules &amp; Roulettes</t>
  </si>
  <si>
    <t>Jeux de construction</t>
  </si>
  <si>
    <t>Déguisement et Maquillage</t>
  </si>
  <si>
    <t>Livres enfants et conteuses</t>
  </si>
  <si>
    <t>Casques &amp; accessoires Vélos</t>
  </si>
  <si>
    <t>Garages, circuits &amp; véhicules</t>
  </si>
  <si>
    <t>Boisson instantanée</t>
  </si>
  <si>
    <t>Poudre de caroube</t>
  </si>
  <si>
    <t>Chocolat en poudre</t>
  </si>
  <si>
    <t>Préparation instantanée à boire</t>
  </si>
  <si>
    <t>Bouillies bio bébé</t>
  </si>
  <si>
    <t>Bouillies bio bébé 4 mois</t>
  </si>
  <si>
    <t>Bouillies bio bébé 6 mois</t>
  </si>
  <si>
    <t>Couches écologiques</t>
  </si>
  <si>
    <t>Couches jetables 2-6 kg</t>
  </si>
  <si>
    <t>Couches jetables 4-9 kg</t>
  </si>
  <si>
    <t>Couches jetables 7-18 kg</t>
  </si>
  <si>
    <t>Couches lavables 8-20 kg</t>
  </si>
  <si>
    <t>Couches jetables 11-30 kg</t>
  </si>
  <si>
    <t>Accessoires pour le change</t>
  </si>
  <si>
    <t>Couches de piscine jetables</t>
  </si>
  <si>
    <t>Culottes de protection 8-20 kg</t>
  </si>
  <si>
    <t>Inserts &amp; Voiles de Protection</t>
  </si>
  <si>
    <t>Culottes d'apprentissage 11-18kg</t>
  </si>
  <si>
    <t>Culottes d'apprentissage 13-25kg</t>
  </si>
  <si>
    <t>Farine, son, fécule</t>
  </si>
  <si>
    <t>Chapelure</t>
  </si>
  <si>
    <t>Son de blé</t>
  </si>
  <si>
    <t>Son d'avoine</t>
  </si>
  <si>
    <t>Farine de blé</t>
  </si>
  <si>
    <t>Farine de fruits</t>
  </si>
  <si>
    <t>Farine précuite</t>
  </si>
  <si>
    <t>Fécule, tapioca</t>
  </si>
  <si>
    <t>Farine de graines</t>
  </si>
  <si>
    <t>Farine de céréales</t>
  </si>
  <si>
    <t>Farine de légumineuses</t>
  </si>
  <si>
    <t>Préparations pour pain, brioche</t>
  </si>
  <si>
    <t>Graines à semer Bio</t>
  </si>
  <si>
    <t>Fleurs Bio</t>
  </si>
  <si>
    <t>Légumes racines Bio</t>
  </si>
  <si>
    <t>Herbes et aromates Bio</t>
  </si>
  <si>
    <t>Légumes fruits, tomates Bio</t>
  </si>
  <si>
    <t>Légumes grains, gousses Bio</t>
  </si>
  <si>
    <t>Légumes feuilles, salades Bio</t>
  </si>
  <si>
    <t>Produits de la ruche</t>
  </si>
  <si>
    <t>Pollen</t>
  </si>
  <si>
    <t>Gelée royale</t>
  </si>
  <si>
    <t>Miel de Manuka</t>
  </si>
  <si>
    <t>Propolis liquide et à mâcher</t>
  </si>
  <si>
    <t>Sucre et édulcorant</t>
  </si>
  <si>
    <t>Sucre</t>
  </si>
  <si>
    <t>Édulcorant naturel</t>
  </si>
  <si>
    <t>Vitamines, minéraux</t>
  </si>
  <si>
    <t>Fer</t>
  </si>
  <si>
    <t>Vitamine D</t>
  </si>
  <si>
    <t>Vitamine B12</t>
  </si>
  <si>
    <t>Multivitamines</t>
  </si>
  <si>
    <t>Quinton, eau de mer</t>
  </si>
  <si>
    <t>Acérola, Vitamine C</t>
  </si>
  <si>
    <t>Magnésium, Potassium</t>
  </si>
  <si>
    <t>Oligo éléments, acides aminés</t>
  </si>
  <si>
    <t>Condiments, vinaigres</t>
  </si>
  <si>
    <t>Moutarde</t>
  </si>
  <si>
    <t>Ketchup et sauce BBQ</t>
  </si>
  <si>
    <t>Mayonnaise et aïoli</t>
  </si>
  <si>
    <t>Vinaigres, vinaigrettes</t>
  </si>
  <si>
    <t>Wasabi et pâte de curry</t>
  </si>
  <si>
    <t>Cornichon, câpre et pickle</t>
  </si>
  <si>
    <t>Céréales bio bébé</t>
  </si>
  <si>
    <t>Céréales bio bébé 8 mois</t>
  </si>
  <si>
    <t>Céréales bio bébé 4-6 mois</t>
  </si>
  <si>
    <t>Gourdes petit déjeuner bébé</t>
  </si>
  <si>
    <t>Mobilier d'intérieur</t>
  </si>
  <si>
    <t>Meubles de rangement</t>
  </si>
  <si>
    <t>Mobilier chambre enfant</t>
  </si>
  <si>
    <t>Nez - Gorge - Oreille</t>
  </si>
  <si>
    <t>Respiration</t>
  </si>
  <si>
    <t>Gorge irritée</t>
  </si>
  <si>
    <t>Hygiène du nez</t>
  </si>
  <si>
    <t>Hygiène de l'oreille</t>
  </si>
  <si>
    <t>Peinture et Bricolage</t>
  </si>
  <si>
    <t>Purée de fruits secs</t>
  </si>
  <si>
    <t>Purée d'amande</t>
  </si>
  <si>
    <t>Purée de graines</t>
  </si>
  <si>
    <t>Purée de sésame</t>
  </si>
  <si>
    <t>Purée de noisette</t>
  </si>
  <si>
    <t>Purée de pistache</t>
  </si>
  <si>
    <t>Purée de cacahuète</t>
  </si>
  <si>
    <t>Purée de noix de cajou</t>
  </si>
  <si>
    <t>Tartines et biscottes</t>
  </si>
  <si>
    <t>Galette riz et céréales</t>
  </si>
  <si>
    <t>Tartine craquante, biscotte</t>
  </si>
  <si>
    <t>Transport écologique</t>
  </si>
  <si>
    <t>Trottinettes</t>
  </si>
  <si>
    <t>Ustensiles de cuisine</t>
  </si>
  <si>
    <t>Germoirs</t>
  </si>
  <si>
    <t>Pâtisserie</t>
  </si>
  <si>
    <t>Tapis de cuisson</t>
  </si>
  <si>
    <t>Ustensiles de découpe</t>
  </si>
  <si>
    <t>Essoreuses et passoires</t>
  </si>
  <si>
    <t>Râpes, moulins, mortiers</t>
  </si>
  <si>
    <t>Balances et verres doseurs</t>
  </si>
  <si>
    <t>Cuillères, spatules, fouets</t>
  </si>
  <si>
    <t>Autour du vin et de l'apéritif</t>
  </si>
  <si>
    <t>Veilleuses &amp; réveils</t>
  </si>
  <si>
    <t>Veilleuse</t>
  </si>
  <si>
    <t>Réveil enfant</t>
  </si>
  <si>
    <t>Peaux d'agneaux</t>
  </si>
  <si>
    <t>Aide à la pâtisserie</t>
  </si>
  <si>
    <t>Arôme</t>
  </si>
  <si>
    <t>Ferments, présure</t>
  </si>
  <si>
    <t>Levure et gélifiant</t>
  </si>
  <si>
    <t>Décor gâteaux, Colorant</t>
  </si>
  <si>
    <t>Ingrédients pour pâtisserie</t>
  </si>
  <si>
    <t>Biberons &amp; Accessoires</t>
  </si>
  <si>
    <t>Tire-Lait</t>
  </si>
  <si>
    <t>Biberons en Verre</t>
  </si>
  <si>
    <t>Tétines Biberons</t>
  </si>
  <si>
    <t>Accessoires Biberons</t>
  </si>
  <si>
    <t>Anneaux de dentition</t>
  </si>
  <si>
    <t>Sucettes et attaches sucettes</t>
  </si>
  <si>
    <t>Chauffe-biberons, stérilisateurs</t>
  </si>
  <si>
    <t>Cosmétique maison DIY</t>
  </si>
  <si>
    <t>Ingrédient de base DIY</t>
  </si>
  <si>
    <t>Kits Cosmétique Maison</t>
  </si>
  <si>
    <t>Ustensile, contenant DIY</t>
  </si>
  <si>
    <t>Graines et oléagineux</t>
  </si>
  <si>
    <t>Graines oléagineuses</t>
  </si>
  <si>
    <t>Graines à germer et mélanges</t>
  </si>
  <si>
    <t>Légumes et conserves</t>
  </si>
  <si>
    <t>Miso</t>
  </si>
  <si>
    <t>Soupes bio</t>
  </si>
  <si>
    <t>Purées bio</t>
  </si>
  <si>
    <t>Légumes séchés</t>
  </si>
  <si>
    <t>Légumes cuisinés</t>
  </si>
  <si>
    <t>Légumes en conserve</t>
  </si>
  <si>
    <t>Desserts lactés bébé</t>
  </si>
  <si>
    <t>Desserts lactés bébé 4-6 mois</t>
  </si>
  <si>
    <t>Desserts lactés bébé 8-12 mois</t>
  </si>
  <si>
    <t>Huiles alimentaires bio</t>
  </si>
  <si>
    <t>Ghee bio</t>
  </si>
  <si>
    <t>Huile de lin</t>
  </si>
  <si>
    <t>Huile d'argan</t>
  </si>
  <si>
    <t>Huile d'olive</t>
  </si>
  <si>
    <t>Huile de coco</t>
  </si>
  <si>
    <t>Huile de noix</t>
  </si>
  <si>
    <t>Huile d'amande</t>
  </si>
  <si>
    <t>Huile de colza</t>
  </si>
  <si>
    <t>Huile de fruits</t>
  </si>
  <si>
    <t>Huile de graines</t>
  </si>
  <si>
    <t>Huile de pépins</t>
  </si>
  <si>
    <t>Huile de sésame</t>
  </si>
  <si>
    <t>Huile de tournesol</t>
  </si>
  <si>
    <t>Mélanges d'huiles</t>
  </si>
  <si>
    <t>Hygiène Change et Soins</t>
  </si>
  <si>
    <t>Accessoires Puériculture</t>
  </si>
  <si>
    <t>Baignoires, jouets de bain</t>
  </si>
  <si>
    <t>Lait de vache et chèvre</t>
  </si>
  <si>
    <t>Poisson, viande, pâtés</t>
  </si>
  <si>
    <t>Produits de la mer</t>
  </si>
  <si>
    <t>Terrines de viande et pâtés</t>
  </si>
  <si>
    <t>Résistance et vitalité</t>
  </si>
  <si>
    <t>Spiruline</t>
  </si>
  <si>
    <t>Anti-oxydant</t>
  </si>
  <si>
    <t>Jus d'herbe, Green Magma</t>
  </si>
  <si>
    <t>Energie, Vitalité, Tonus</t>
  </si>
  <si>
    <t>Refroidissement, défenses</t>
  </si>
  <si>
    <t>Citrobiotic, pépins pamplemousse</t>
  </si>
  <si>
    <t>Alimentation future maman</t>
  </si>
  <si>
    <t>Chambre &amp; mobilier enfant</t>
  </si>
  <si>
    <t>Parcs &amp; Tapis de Jeux</t>
  </si>
  <si>
    <t>Chaises hautes et réhausseurs</t>
  </si>
  <si>
    <t>Compléments alimentaires</t>
  </si>
  <si>
    <t>Peaux</t>
  </si>
  <si>
    <t>Curcuma</t>
  </si>
  <si>
    <t>Oméga 3</t>
  </si>
  <si>
    <t>Féminité</t>
  </si>
  <si>
    <t>Vision, yeux</t>
  </si>
  <si>
    <t>Articulations</t>
  </si>
  <si>
    <t>Cheveux, ongles</t>
  </si>
  <si>
    <t>Argent colloïdal</t>
  </si>
  <si>
    <t>Circulation veineuse, sang</t>
  </si>
  <si>
    <t>Cardiovasculaire, levure de riz</t>
  </si>
  <si>
    <t>Relaxation, sérénité, mémoire</t>
  </si>
  <si>
    <t>Digestion, transit, flore</t>
  </si>
  <si>
    <t>Psyllium</t>
  </si>
  <si>
    <t>Charbon végétal</t>
  </si>
  <si>
    <t>Bien être du foie</t>
  </si>
  <si>
    <t>Jus et gel d'Aloé</t>
  </si>
  <si>
    <t>Digestion, ballonnements</t>
  </si>
  <si>
    <t>Equilibre intestinal, transit</t>
  </si>
  <si>
    <t>Probiotiques, flore intestinale</t>
  </si>
  <si>
    <t>Acidités, équilibre acidobasique</t>
  </si>
  <si>
    <t>Petits pots fruits bébé</t>
  </si>
  <si>
    <t>Fruits en coupelle 4 mois</t>
  </si>
  <si>
    <t>Gourdes de fruits 12 mois</t>
  </si>
  <si>
    <t>Gourdes de fruits 4-6 mois</t>
  </si>
  <si>
    <t>Fruits en coupelle 6-8 mois</t>
  </si>
  <si>
    <t>Petits pots de fruits +8 mois</t>
  </si>
  <si>
    <t>Petits pots de fruits 4-6 mois</t>
  </si>
  <si>
    <t>Céréales petit déjeuner</t>
  </si>
  <si>
    <t>Porridge</t>
  </si>
  <si>
    <t>Muesli nature</t>
  </si>
  <si>
    <t>Muesli aux fruits</t>
  </si>
  <si>
    <t>Muesli au chocolat</t>
  </si>
  <si>
    <t>Céréale soufflée</t>
  </si>
  <si>
    <t>Flocons de Céréales</t>
  </si>
  <si>
    <t>Granola, Crunchy, Krounchy</t>
  </si>
  <si>
    <t>Petit déjeuner instantané</t>
  </si>
  <si>
    <t>Flakes, pétales de céréales</t>
  </si>
  <si>
    <t>Céréale enfant petit déjeuner</t>
  </si>
  <si>
    <t>Petits pots bébé du midi</t>
  </si>
  <si>
    <t>Petits pots midi 4-6 mois</t>
  </si>
  <si>
    <t>Pâtes bébé, condiments</t>
  </si>
  <si>
    <t>Petits pots midi 8-12 mois</t>
  </si>
  <si>
    <t>Assiettes midi bébé 12 mois</t>
  </si>
  <si>
    <t>Assiettes midi bébé 6-8 mois</t>
  </si>
  <si>
    <t>Assiettes midi bébé 15-18 mois</t>
  </si>
  <si>
    <t>Sachets cuisinés bébé 6-8 mois</t>
  </si>
  <si>
    <t>Petits pots bébé du soir</t>
  </si>
  <si>
    <t>Petits pots soir 4-6 mois</t>
  </si>
  <si>
    <t>Petits pots soir 8-12 mois</t>
  </si>
  <si>
    <t>Assiettes soir bébé 12 mois</t>
  </si>
  <si>
    <t>Assiettes soir bébé 6-8 mois</t>
  </si>
  <si>
    <t>Assiettes soir bébé 15-18 mois</t>
  </si>
  <si>
    <t>Légumineuses et céréales</t>
  </si>
  <si>
    <t>Soja</t>
  </si>
  <si>
    <t>Quinoa bio</t>
  </si>
  <si>
    <t>Légumineuses</t>
  </si>
  <si>
    <t>Céréales en grains</t>
  </si>
  <si>
    <t>Semoule, Boulgour, Couscous</t>
  </si>
  <si>
    <t>Mélanges céréales légumineuses</t>
  </si>
  <si>
    <t>Petits pots légumes bébé</t>
  </si>
  <si>
    <t>Gourdes de légumes +4 mois</t>
  </si>
  <si>
    <t>Petits pots légumes +4 mois</t>
  </si>
  <si>
    <t>Kits DIY, à faire soi-même</t>
  </si>
  <si>
    <t>Kits DIY cuisine</t>
  </si>
  <si>
    <t>Sel, épices, aide culinaire</t>
  </si>
  <si>
    <t>Sels</t>
  </si>
  <si>
    <t>Epices</t>
  </si>
  <si>
    <t>Poivre</t>
  </si>
  <si>
    <t>Gomasio</t>
  </si>
  <si>
    <t>Bouillons cube</t>
  </si>
  <si>
    <t>Herbes et aromates</t>
  </si>
  <si>
    <t>Levure de bière et germe de blé</t>
  </si>
  <si>
    <t>Relaxation, Détente, Sommeil</t>
  </si>
  <si>
    <t>Aide à l'endormissement</t>
  </si>
  <si>
    <t>Goûters &amp; biscuits bio bébé</t>
  </si>
  <si>
    <t>Goûters bio bébé 6 mois</t>
  </si>
  <si>
    <t>Goûters bio bébé 8 mois</t>
  </si>
  <si>
    <t>Goûters bio bébé +10 mois</t>
  </si>
  <si>
    <t>Masques, Gels hydroalcooliques</t>
  </si>
  <si>
    <t>Phytothérapie, gemmothérapie</t>
  </si>
  <si>
    <t>Extrait de plantes fraîches</t>
  </si>
  <si>
    <t>Préparation végétale bébé</t>
  </si>
  <si>
    <t>Préparation végétale 1er âge</t>
  </si>
  <si>
    <t>Préparation végétale 2ème âge</t>
  </si>
  <si>
    <t>Préparation végétale croissance</t>
  </si>
  <si>
    <t>Carafes filtrantes et Fontaines</t>
  </si>
  <si>
    <t>Filtres à eau pour robinet</t>
  </si>
  <si>
    <t>Charbon, filtres et cartouches</t>
  </si>
  <si>
    <t>Fleurs de Bach, Elixirs floraux</t>
  </si>
  <si>
    <t>Remède de secours, rescue</t>
  </si>
  <si>
    <t>Fleur de Bach unitaire n°1 à 38</t>
  </si>
  <si>
    <t>Nature, Activités d'extérieur</t>
  </si>
  <si>
    <t>Accessoires camping</t>
  </si>
  <si>
    <t>Diffuseurs d'huiles essentielles</t>
  </si>
  <si>
    <t>Diffuseurs provençaux</t>
  </si>
  <si>
    <t>Huiles bébé, huiles enfant bio</t>
  </si>
  <si>
    <t>Hygiène Bébé, soin maternité</t>
  </si>
  <si>
    <t>Change bébé</t>
  </si>
  <si>
    <t>Soins Maternité</t>
  </si>
  <si>
    <t>Bébé, hygiène et soin</t>
  </si>
  <si>
    <t>Enfant, hygiène et soin</t>
  </si>
  <si>
    <t>Barre de céréales, pâte d'amande</t>
  </si>
  <si>
    <t>Pâte d'amande, de fruit</t>
  </si>
  <si>
    <t>Barre de céréales, fruits</t>
  </si>
  <si>
    <t>Préparation lait de chèvre bébé</t>
  </si>
  <si>
    <t>Préparations chèvre 1er âge</t>
  </si>
  <si>
    <t>Préparations chèvre 2ème âge</t>
  </si>
  <si>
    <t>Préparations chèvre croissance</t>
  </si>
  <si>
    <t>Product Name</t>
  </si>
  <si>
    <t>new</t>
  </si>
  <si>
    <t>forecast_stock</t>
  </si>
  <si>
    <t>stock</t>
  </si>
  <si>
    <t>price</t>
  </si>
  <si>
    <t>stock_value</t>
  </si>
  <si>
    <t>in_stock</t>
  </si>
  <si>
    <t>active</t>
  </si>
  <si>
    <t>COUNT of in_stock</t>
  </si>
  <si>
    <t>Grand Total</t>
  </si>
  <si>
    <t>shortage rate</t>
  </si>
  <si>
    <t>products in stock</t>
  </si>
  <si>
    <t>Average stock</t>
  </si>
  <si>
    <t>stock value</t>
  </si>
  <si>
    <t>Alimentation Bébé Total</t>
  </si>
  <si>
    <t>Beauté &amp; Hygiène Total</t>
  </si>
  <si>
    <t>Boisson Total</t>
  </si>
  <si>
    <t>Enfant Total</t>
  </si>
  <si>
    <t>Epicerie salée Total</t>
  </si>
  <si>
    <t>Epicerie sucrée Total</t>
  </si>
  <si>
    <t>Extérieur Total</t>
  </si>
  <si>
    <t>Maison Total</t>
  </si>
  <si>
    <t>Santé &amp; Bien-être Total</t>
  </si>
  <si>
    <t>Data filter</t>
  </si>
  <si>
    <t>SUM of stock</t>
  </si>
  <si>
    <t>Café Total</t>
  </si>
  <si>
    <t>Greenweez</t>
  </si>
  <si>
    <t>Mission</t>
  </si>
  <si>
    <t>Control stock shortages
Anticipate future sales
Place the right orders to the production team for supplying the products</t>
  </si>
  <si>
    <t>Main KPIs</t>
  </si>
  <si>
    <t>KPI name</t>
  </si>
  <si>
    <t>Definition</t>
  </si>
  <si>
    <t>Why it is useful for the department</t>
  </si>
  <si>
    <t>InStock percentage</t>
  </si>
  <si>
    <t>Count Products in Stock / Total Number of Product</t>
  </si>
  <si>
    <t>Assess company product coverage</t>
  </si>
  <si>
    <t>Main results</t>
  </si>
  <si>
    <t>Good instock percentage (99%)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</si>
</sst>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color theme="1"/>
      <name val="Lemonada"/>
    </font>
    <font>
      <color theme="1"/>
      <name val="Arial"/>
      <scheme val="minor"/>
    </font>
    <font>
      <sz val="11.0"/>
      <color theme="1"/>
      <name val="Lemonada"/>
    </font>
    <font>
      <sz val="12.0"/>
      <color theme="1"/>
      <name val="Lemonada"/>
    </font>
    <font>
      <b/>
      <sz val="12.0"/>
      <color theme="1"/>
      <name val="Lemonada"/>
    </font>
    <font>
      <sz val="9.0"/>
      <color rgb="FF000000"/>
      <name val="&quot;Google Sans Mono&quot;"/>
    </font>
    <font>
      <b/>
      <color rgb="FFFFFFFF"/>
      <name val="Arial"/>
      <scheme val="minor"/>
    </font>
    <font>
      <sz val="14.0"/>
      <color theme="1"/>
      <name val="Arial"/>
    </font>
    <font>
      <color theme="1"/>
      <name val="Arial"/>
    </font>
    <font>
      <sz val="12.0"/>
      <color theme="1"/>
      <name val="Arial"/>
    </font>
    <font/>
  </fonts>
  <fills count="8">
    <fill>
      <patternFill patternType="none"/>
    </fill>
    <fill>
      <patternFill patternType="lightGray"/>
    </fill>
    <fill>
      <patternFill patternType="solid">
        <fgColor rgb="FF26A69A"/>
        <bgColor rgb="FF26A69A"/>
      </patternFill>
    </fill>
    <fill>
      <patternFill patternType="solid">
        <fgColor rgb="FFFFFFFF"/>
        <bgColor rgb="FFFFFFFF"/>
      </patternFill>
    </fill>
    <fill>
      <patternFill patternType="solid">
        <fgColor rgb="FFDDF2F0"/>
        <bgColor rgb="FFDDF2F0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0000FF"/>
        <bgColor rgb="FF0000FF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center" vertical="center"/>
    </xf>
    <xf borderId="0" fillId="2" fontId="1" numFmtId="0" xfId="0" applyAlignment="1" applyFont="1">
      <alignment horizontal="center" vertical="center"/>
    </xf>
    <xf borderId="0" fillId="3" fontId="2" numFmtId="49" xfId="0" applyAlignment="1" applyFill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4" fontId="2" numFmtId="49" xfId="0" applyAlignment="1" applyFill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0" fontId="3" numFmtId="49" xfId="0" applyAlignment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2" numFmtId="0" xfId="0" applyFont="1"/>
    <xf borderId="0" fillId="0" fontId="2" numFmtId="49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5" fontId="4" numFmtId="0" xfId="0" applyAlignment="1" applyFill="1" applyFont="1">
      <alignment horizontal="center" vertical="center"/>
    </xf>
    <xf borderId="0" fillId="5" fontId="4" numFmtId="0" xfId="0" applyAlignment="1" applyFont="1">
      <alignment horizontal="center" readingOrder="0" vertical="center"/>
    </xf>
    <xf borderId="0" fillId="5" fontId="4" numFmtId="0" xfId="0" applyAlignment="1" applyFont="1">
      <alignment horizontal="center" vertical="center"/>
    </xf>
    <xf borderId="1" fillId="5" fontId="5" numFmtId="0" xfId="0" applyAlignment="1" applyBorder="1" applyFont="1">
      <alignment horizontal="center" readingOrder="0" vertical="center"/>
    </xf>
    <xf borderId="2" fillId="5" fontId="4" numFmtId="0" xfId="0" applyAlignment="1" applyBorder="1" applyFont="1">
      <alignment horizontal="center" readingOrder="0" vertical="center"/>
    </xf>
    <xf borderId="3" fillId="5" fontId="4" numFmtId="0" xfId="0" applyAlignment="1" applyBorder="1" applyFont="1">
      <alignment horizontal="center" readingOrder="0" vertical="center"/>
    </xf>
    <xf borderId="0" fillId="3" fontId="2" numFmtId="0" xfId="0" applyAlignment="1" applyFont="1">
      <alignment horizontal="center" vertical="center"/>
    </xf>
    <xf borderId="0" fillId="3" fontId="6" numFmtId="0" xfId="0" applyAlignment="1" applyFont="1">
      <alignment horizontal="center" vertical="center"/>
    </xf>
    <xf borderId="4" fillId="3" fontId="2" numFmtId="0" xfId="0" applyAlignment="1" applyBorder="1" applyFont="1">
      <alignment horizontal="center" vertical="center"/>
    </xf>
    <xf borderId="5" fillId="3" fontId="2" numFmtId="0" xfId="0" applyAlignment="1" applyBorder="1" applyFont="1">
      <alignment horizontal="center" readingOrder="0" vertical="center"/>
    </xf>
    <xf borderId="0" fillId="6" fontId="2" numFmtId="0" xfId="0" applyAlignment="1" applyFill="1" applyFont="1">
      <alignment horizontal="center" vertical="center"/>
    </xf>
    <xf borderId="0" fillId="6" fontId="6" numFmtId="0" xfId="0" applyAlignment="1" applyFont="1">
      <alignment horizontal="center" vertical="center"/>
    </xf>
    <xf borderId="0" fillId="6" fontId="2" numFmtId="0" xfId="0" applyAlignment="1" applyFont="1">
      <alignment horizontal="center" vertical="center"/>
    </xf>
    <xf borderId="4" fillId="6" fontId="2" numFmtId="0" xfId="0" applyAlignment="1" applyBorder="1" applyFont="1">
      <alignment horizontal="center" vertical="center"/>
    </xf>
    <xf borderId="5" fillId="6" fontId="2" numFmtId="0" xfId="0" applyAlignment="1" applyBorder="1" applyFont="1">
      <alignment horizontal="center" readingOrder="0" vertical="center"/>
    </xf>
    <xf borderId="6" fillId="6" fontId="2" numFmtId="0" xfId="0" applyAlignment="1" applyBorder="1" applyFont="1">
      <alignment horizontal="center" vertical="center"/>
    </xf>
    <xf borderId="7" fillId="6" fontId="2" numFmtId="0" xfId="0" applyAlignment="1" applyBorder="1" applyFont="1">
      <alignment horizontal="center" readingOrder="0" vertical="center"/>
    </xf>
    <xf borderId="0" fillId="0" fontId="2" numFmtId="10" xfId="0" applyFont="1" applyNumberFormat="1"/>
    <xf borderId="0" fillId="0" fontId="2" numFmtId="4" xfId="0" applyFont="1" applyNumberFormat="1"/>
    <xf borderId="0" fillId="7" fontId="7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8" numFmtId="0" xfId="0" applyAlignment="1" applyFont="1">
      <alignment readingOrder="0" shrinkToFit="0" vertical="bottom" wrapText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vertical="bottom"/>
    </xf>
    <xf borderId="0" fillId="0" fontId="9" numFmtId="0" xfId="0" applyAlignment="1" applyFont="1">
      <alignment readingOrder="0" shrinkToFit="0" vertical="bottom" wrapText="1"/>
    </xf>
    <xf borderId="6" fillId="0" fontId="10" numFmtId="0" xfId="0" applyAlignment="1" applyBorder="1" applyFont="1">
      <alignment shrinkToFit="0" vertical="bottom" wrapText="1"/>
    </xf>
    <xf borderId="6" fillId="0" fontId="9" numFmtId="0" xfId="0" applyAlignment="1" applyBorder="1" applyFont="1">
      <alignment vertical="bottom"/>
    </xf>
    <xf borderId="8" fillId="0" fontId="9" numFmtId="0" xfId="0" applyAlignment="1" applyBorder="1" applyFont="1">
      <alignment horizontal="center" shrinkToFit="0" vertical="bottom" wrapText="1"/>
    </xf>
    <xf borderId="6" fillId="0" fontId="9" numFmtId="0" xfId="0" applyAlignment="1" applyBorder="1" applyFont="1">
      <alignment horizontal="center" shrinkToFit="0" vertical="bottom" wrapText="1"/>
    </xf>
    <xf borderId="7" fillId="0" fontId="11" numFmtId="0" xfId="0" applyBorder="1" applyFont="1"/>
    <xf borderId="6" fillId="0" fontId="11" numFmtId="0" xfId="0" applyBorder="1" applyFont="1"/>
    <xf borderId="8" fillId="0" fontId="9" numFmtId="0" xfId="0" applyAlignment="1" applyBorder="1" applyFont="1">
      <alignment shrinkToFit="0" vertical="bottom" wrapText="1"/>
    </xf>
    <xf borderId="6" fillId="0" fontId="9" numFmtId="0" xfId="0" applyAlignment="1" applyBorder="1" applyFont="1">
      <alignment shrinkToFit="0" vertical="bottom" wrapText="1"/>
    </xf>
    <xf borderId="0" fillId="0" fontId="9" numFmtId="0" xfId="0" applyAlignment="1" applyFont="1">
      <alignment shrinkToFit="0" vertical="bottom" wrapText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3">
    <tableStyle count="3" pivot="0" name="stock-style">
      <tableStyleElement dxfId="1" type="headerRow"/>
      <tableStyleElement dxfId="2" type="firstRowStripe"/>
      <tableStyleElement dxfId="3" type="secondRowStripe"/>
    </tableStyle>
    <tableStyle count="3" pivot="0" name="sales from stock-style">
      <tableStyleElement dxfId="1" type="headerRow"/>
      <tableStyleElement dxfId="2" type="firstRowStripe"/>
      <tableStyleElement dxfId="3" type="secondRowStripe"/>
    </tableStyle>
    <tableStyle count="3" pivot="0" name="stock_category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stock_analysis!$A$11:$A$47</c:f>
            </c:strRef>
          </c:cat>
          <c:val>
            <c:numRef>
              <c:f>stock_analysis!$C$11:$C$47</c:f>
              <c:numCache/>
            </c:numRef>
          </c:val>
          <c:smooth val="0"/>
        </c:ser>
        <c:axId val="571692146"/>
        <c:axId val="562454216"/>
      </c:lineChart>
      <c:catAx>
        <c:axId val="5716921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category_1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2454216"/>
      </c:catAx>
      <c:valAx>
        <c:axId val="5624542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shortage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1692146"/>
      </c:valAx>
      <c:barChart>
        <c:barDir val="col"/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stock_analysis!$A$11:$A$47</c:f>
            </c:strRef>
          </c:cat>
          <c:val>
            <c:numRef>
              <c:f>stock_analysis!$E$11:$E$47</c:f>
              <c:numCache/>
            </c:numRef>
          </c:val>
        </c:ser>
        <c:axId val="1438498750"/>
        <c:axId val="1924788530"/>
      </c:barChart>
      <c:catAx>
        <c:axId val="143849875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4788530"/>
      </c:catAx>
      <c:valAx>
        <c:axId val="1924788530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8498750"/>
        <c:crosses val="max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black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123825</xdr:colOff>
      <xdr:row>9</xdr:row>
      <xdr:rowOff>9525</xdr:rowOff>
    </xdr:from>
    <xdr:ext cx="5715000" cy="2219325"/>
    <xdr:graphicFrame>
      <xdr:nvGraphicFramePr>
        <xdr:cNvPr id="1" name="Chart 1" title="رسم بياني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5901" sheet="explo_stock"/>
  </cacheSource>
  <cacheFields>
    <cacheField name="product_id" numFmtId="0">
      <sharedItems containsSemiMixedTypes="0" containsString="0" containsNumber="1" containsInteger="1">
        <n v="112463.0"/>
        <n v="112481.0"/>
        <n v="13346.0"/>
        <n v="112454.0"/>
        <n v="112461.0"/>
        <n v="106532.0"/>
        <n v="121135.0"/>
        <n v="128362.0"/>
        <n v="71200.0"/>
        <n v="19812.0"/>
        <n v="122259.0"/>
        <n v="199526.0"/>
        <n v="140581.0"/>
        <n v="118383.0"/>
        <n v="122262.0"/>
        <n v="141879.0"/>
        <n v="19826.0"/>
        <n v="93039.0"/>
        <n v="128213.0"/>
        <n v="83797.0"/>
        <n v="19831.0"/>
        <n v="93025.0"/>
        <n v="81624.0"/>
        <n v="92913.0"/>
        <n v="126983.0"/>
        <n v="118226.0"/>
        <n v="48618.0"/>
        <n v="93037.0"/>
        <n v="126984.0"/>
        <n v="47393.0"/>
        <n v="128214.0"/>
        <n v="83802.0"/>
        <n v="48625.0"/>
        <n v="83602.0"/>
        <n v="98867.0"/>
        <n v="127042.0"/>
        <n v="127241.0"/>
        <n v="118220.0"/>
        <n v="128216.0"/>
        <n v="93049.0"/>
        <n v="118216.0"/>
        <n v="118221.0"/>
        <n v="92900.0"/>
        <n v="118215.0"/>
        <n v="19832.0"/>
        <n v="93071.0"/>
        <n v="122395.0"/>
        <n v="116946.0"/>
        <n v="97538.0"/>
        <n v="127238.0"/>
        <n v="81646.0"/>
        <n v="81643.0"/>
        <n v="128215.0"/>
        <n v="108022.0"/>
        <n v="81647.0"/>
        <n v="83603.0"/>
        <n v="118219.0"/>
        <n v="120952.0"/>
        <n v="81658.0"/>
        <n v="93047.0"/>
        <n v="83807.0"/>
        <n v="92915.0"/>
        <n v="81653.0"/>
        <n v="81618.0"/>
        <n v="118241.0"/>
        <n v="48634.0"/>
        <n v="48636.0"/>
        <n v="48629.0"/>
        <n v="47400.0"/>
        <n v="111237.0"/>
        <n v="18042.0"/>
        <n v="114978.0"/>
        <n v="82980.0"/>
        <n v="83093.0"/>
        <n v="18134.0"/>
        <n v="107857.0"/>
        <n v="18136.0"/>
        <n v="69138.0"/>
        <n v="74828.0"/>
        <n v="74884.0"/>
        <n v="127232.0"/>
        <n v="82979.0"/>
        <n v="18138.0"/>
        <n v="127003.0"/>
        <n v="6036.0"/>
        <n v="6046.0"/>
        <n v="6037.0"/>
        <n v="6026.0"/>
        <n v="47431.0"/>
        <n v="82914.0"/>
        <n v="6044.0"/>
        <n v="82913.0"/>
        <n v="82922.0"/>
        <n v="6045.0"/>
        <n v="6027.0"/>
        <n v="97088.0"/>
        <n v="122235.0"/>
        <n v="119887.0"/>
        <n v="97980.0"/>
        <n v="119876.0"/>
        <n v="119881.0"/>
        <n v="26127.0"/>
        <n v="87365.0"/>
        <n v="87381.0"/>
        <n v="122828.0"/>
        <n v="73841.0"/>
        <n v="73838.0"/>
        <n v="87372.0"/>
        <n v="87383.0"/>
        <n v="49068.0"/>
        <n v="26130.0"/>
        <n v="111493.0"/>
        <n v="98395.0"/>
        <n v="98396.0"/>
        <n v="98394.0"/>
        <n v="98397.0"/>
        <n v="111489.0"/>
        <n v="98393.0"/>
        <n v="10933.0"/>
        <n v="111994.0"/>
        <n v="101637.0"/>
        <n v="111996.0"/>
        <n v="120886.0"/>
        <n v="85058.0"/>
        <n v="27380.0"/>
        <n v="117204.0"/>
        <n v="45484.0"/>
        <n v="27382.0"/>
        <n v="45491.0"/>
        <n v="11631.0"/>
        <n v="11630.0"/>
        <n v="11634.0"/>
        <n v="11635.0"/>
        <n v="114776.0"/>
        <n v="76762.0"/>
        <n v="181194.0"/>
        <n v="164637.0"/>
        <n v="164636.0"/>
        <n v="164639.0"/>
        <n v="85251.0"/>
        <n v="113532.0"/>
        <n v="82501.0"/>
        <n v="121287.0"/>
        <n v="113559.0"/>
        <n v="85252.0"/>
        <n v="82507.0"/>
        <n v="109625.0"/>
        <n v="110864.0"/>
        <n v="138916.0"/>
        <n v="121076.0"/>
        <n v="121077.0"/>
        <n v="116631.0"/>
        <n v="147263.0"/>
        <n v="108763.0"/>
        <n v="116593.0"/>
        <n v="116613.0"/>
        <n v="102476.0"/>
        <n v="190030.0"/>
        <n v="113845.0"/>
        <n v="77824.0"/>
        <n v="85888.0"/>
        <n v="85890.0"/>
        <n v="83727.0"/>
        <n v="85887.0"/>
        <n v="77823.0"/>
        <n v="86753.0"/>
        <n v="145102.0"/>
        <n v="78717.0"/>
        <n v="82777.0"/>
        <n v="120341.0"/>
        <n v="110344.0"/>
        <n v="120233.0"/>
        <n v="117579.0"/>
        <n v="21066.0"/>
        <n v="117583.0"/>
        <n v="71107.0"/>
        <n v="104168.0"/>
        <n v="88913.0"/>
        <n v="108160.0"/>
        <n v="128377.0"/>
        <n v="108533.0"/>
        <n v="116392.0"/>
        <n v="110328.0"/>
        <n v="101445.0"/>
        <n v="117599.0"/>
        <n v="5508.0"/>
        <n v="91241.0"/>
        <n v="5507.0"/>
        <n v="110575.0"/>
        <n v="6156.0"/>
        <n v="91239.0"/>
        <n v="77361.0"/>
        <n v="77363.0"/>
        <n v="124679.0"/>
        <n v="89558.0"/>
        <n v="91235.0"/>
        <n v="5519.0"/>
        <n v="87278.0"/>
        <n v="77326.0"/>
        <n v="6158.0"/>
        <n v="77338.0"/>
        <n v="159220.0"/>
        <n v="5521.0"/>
        <n v="91225.0"/>
        <n v="5520.0"/>
        <n v="87285.0"/>
        <n v="72862.0"/>
        <n v="109474.0"/>
        <n v="45834.0"/>
        <n v="45885.0"/>
        <n v="77360.0"/>
        <n v="89787.0"/>
        <n v="5531.0"/>
        <n v="72826.0"/>
        <n v="91180.0"/>
        <n v="58757.0"/>
        <n v="87287.0"/>
        <n v="91147.0"/>
        <n v="5526.0"/>
        <n v="77310.0"/>
        <n v="5525.0"/>
        <n v="5524.0"/>
        <n v="72849.0"/>
        <n v="77385.0"/>
        <n v="5529.0"/>
        <n v="45879.0"/>
        <n v="58753.0"/>
        <n v="77318.0"/>
        <n v="122091.0"/>
        <n v="91144.0"/>
        <n v="79000.0"/>
        <n v="77389.0"/>
        <n v="72857.0"/>
        <n v="72859.0"/>
        <n v="91264.0"/>
        <n v="77316.0"/>
        <n v="110573.0"/>
        <n v="82236.0"/>
        <n v="72855.0"/>
        <n v="77392.0"/>
        <n v="45867.0"/>
        <n v="45846.0"/>
        <n v="91265.0"/>
        <n v="5527.0"/>
        <n v="82249.0"/>
        <n v="87273.0"/>
        <n v="5537.0"/>
        <n v="87281.0"/>
        <n v="5522.0"/>
        <n v="76595.0"/>
        <n v="147305.0"/>
        <n v="158660.0"/>
        <n v="77371.0"/>
        <n v="77366.0"/>
        <n v="87282.0"/>
        <n v="80402.0"/>
        <n v="120504.0"/>
        <n v="72833.0"/>
        <n v="72831.0"/>
        <n v="112547.0"/>
        <n v="149598.0"/>
        <n v="98129.0"/>
        <n v="72825.0"/>
        <n v="72820.0"/>
        <n v="81939.0"/>
        <n v="114382.0"/>
        <n v="111427.0"/>
        <n v="81937.0"/>
        <n v="72824.0"/>
        <n v="112188.0"/>
        <n v="98186.0"/>
        <n v="72822.0"/>
        <n v="122601.0"/>
        <n v="106779.0"/>
        <n v="106785.0"/>
        <n v="122602.0"/>
        <n v="45574.0"/>
        <n v="80808.0"/>
        <n v="80802.0"/>
        <n v="110385.0"/>
        <n v="80633.0"/>
        <n v="120700.0"/>
        <n v="112853.0"/>
        <n v="120699.0"/>
        <n v="20195.0"/>
        <n v="11422.0"/>
        <n v="4492.0"/>
        <n v="4560.0"/>
        <n v="110383.0"/>
        <n v="112850.0"/>
        <n v="120702.0"/>
        <n v="91860.0"/>
        <n v="9716.0"/>
        <n v="77135.0"/>
        <n v="91857.0"/>
        <n v="76429.0"/>
        <n v="122507.0"/>
        <n v="77844.0"/>
        <n v="100041.0"/>
        <n v="111591.0"/>
        <n v="128329.0"/>
        <n v="147268.0"/>
        <n v="48511.0"/>
        <n v="100040.0"/>
        <n v="79366.0"/>
        <n v="160754.0"/>
        <n v="100038.0"/>
        <n v="100035.0"/>
        <n v="29654.0"/>
        <n v="107804.0"/>
        <n v="75809.0"/>
        <n v="128325.0"/>
        <n v="110072.0"/>
        <n v="93814.0"/>
        <n v="128326.0"/>
        <n v="48510.0"/>
        <n v="82463.0"/>
        <n v="82462.0"/>
        <n v="110635.0"/>
        <n v="82464.0"/>
        <n v="129133.0"/>
        <n v="195081.0"/>
        <n v="92669.0"/>
        <n v="122089.0"/>
        <n v="95927.0"/>
        <n v="160756.0"/>
        <n v="147267.0"/>
        <n v="160747.0"/>
        <n v="79365.0"/>
        <n v="110633.0"/>
        <n v="160750.0"/>
        <n v="128332.0"/>
        <n v="200354.0"/>
        <n v="100042.0"/>
        <n v="122446.0"/>
        <n v="160761.0"/>
        <n v="89503.0"/>
        <n v="160744.0"/>
        <n v="111590.0"/>
        <n v="110070.0"/>
        <n v="101005.0"/>
        <n v="160745.0"/>
        <n v="23073.0"/>
        <n v="70064.0"/>
        <n v="129135.0"/>
        <n v="104440.0"/>
        <n v="70063.0"/>
        <n v="160748.0"/>
        <n v="181242.0"/>
        <n v="200323.0"/>
        <n v="129132.0"/>
        <n v="160743.0"/>
        <n v="89610.0"/>
        <n v="112113.0"/>
        <n v="107801.0"/>
        <n v="70065.0"/>
        <n v="539.0"/>
        <n v="7857.0"/>
        <n v="111726.0"/>
        <n v="120992.0"/>
        <n v="158482.0"/>
        <n v="193132.0"/>
        <n v="118901.0"/>
        <n v="193131.0"/>
        <n v="115709.0"/>
        <n v="121619.0"/>
        <n v="103647.0"/>
        <n v="121616.0"/>
        <n v="121618.0"/>
        <n v="129360.0"/>
        <n v="115708.0"/>
        <n v="121617.0"/>
        <n v="109540.0"/>
        <n v="101323.0"/>
        <n v="120991.0"/>
        <n v="115698.0"/>
        <n v="72511.0"/>
        <n v="72512.0"/>
        <n v="120108.0"/>
        <n v="1636.0"/>
        <n v="106767.0"/>
        <n v="117246.0"/>
        <n v="106758.0"/>
        <n v="118150.0"/>
        <n v="108896.0"/>
        <n v="92566.0"/>
        <n v="182195.0"/>
        <n v="101560.0"/>
        <n v="96067.0"/>
        <n v="47325.0"/>
        <n v="109386.0"/>
        <n v="118972.0"/>
        <n v="100412.0"/>
        <n v="73259.0"/>
        <n v="116888.0"/>
        <n v="102086.0"/>
        <n v="108892.0"/>
        <n v="110935.0"/>
        <n v="103599.0"/>
        <n v="108811.0"/>
        <n v="2202.0"/>
        <n v="122789.0"/>
        <n v="101563.0"/>
        <n v="110934.0"/>
        <n v="110147.0"/>
        <n v="104135.0"/>
        <n v="101559.0"/>
        <n v="129340.0"/>
        <n v="103609.0"/>
        <n v="122499.0"/>
        <n v="117311.0"/>
        <n v="116670.0"/>
        <n v="2204.0"/>
        <n v="104128.0"/>
        <n v="103600.0"/>
        <n v="108802.0"/>
        <n v="201034.0"/>
        <n v="6522.0"/>
        <n v="77644.0"/>
        <n v="3225.0"/>
        <n v="158447.0"/>
        <n v="9737.0"/>
        <n v="73260.0"/>
        <n v="158467.0"/>
        <n v="117319.0"/>
        <n v="108893.0"/>
        <n v="111734.0"/>
        <n v="96066.0"/>
        <n v="3222.0"/>
        <n v="117312.0"/>
        <n v="104791.0"/>
        <n v="10051.0"/>
        <n v="29318.0"/>
        <n v="116885.0"/>
        <n v="121614.0"/>
        <n v="10048.0"/>
        <n v="109534.0"/>
        <n v="111802.0"/>
        <n v="108801.0"/>
        <n v="9735.0"/>
        <n v="109531.0"/>
        <n v="44533.0"/>
        <n v="158465.0"/>
        <n v="79107.0"/>
        <n v="78631.0"/>
        <n v="120469.0"/>
        <n v="6523.0"/>
        <n v="41819.0"/>
        <n v="108889.0"/>
        <n v="92564.0"/>
        <n v="158456.0"/>
        <n v="111735.0"/>
        <n v="109537.0"/>
        <n v="109381.0"/>
        <n v="120944.0"/>
        <n v="29320.0"/>
        <n v="118222.0"/>
        <n v="108897.0"/>
        <n v="101565.0"/>
        <n v="29319.0"/>
        <n v="96444.0"/>
        <n v="101557.0"/>
        <n v="103610.0"/>
        <n v="181195.0"/>
        <n v="12639.0"/>
        <n v="158464.0"/>
        <n v="116525.0"/>
        <n v="116295.0"/>
        <n v="116297.0"/>
        <n v="11421.0"/>
        <n v="101549.0"/>
        <n v="109543.0"/>
        <n v="79318.0"/>
        <n v="2203.0"/>
        <n v="111727.0"/>
        <n v="118151.0"/>
        <n v="108888.0"/>
        <n v="120465.0"/>
        <n v="92561.0"/>
        <n v="150294.0"/>
        <n v="108895.0"/>
        <n v="41666.0"/>
        <n v="41816.0"/>
        <n v="99779.0"/>
        <n v="111716.0"/>
        <n v="96443.0"/>
        <n v="193187.0"/>
        <n v="96068.0"/>
        <n v="3227.0"/>
        <n v="193183.0"/>
        <n v="120945.0"/>
        <n v="110940.0"/>
        <n v="110942.0"/>
        <n v="142301.0"/>
        <n v="109760.0"/>
        <n v="100392.0"/>
        <n v="109763.0"/>
        <n v="7271.0"/>
        <n v="7267.0"/>
        <n v="128412.0"/>
        <n v="7268.0"/>
        <n v="124701.0"/>
        <n v="110007.0"/>
        <n v="7266.0"/>
        <n v="7269.0"/>
        <n v="100393.0"/>
        <n v="110009.0"/>
        <n v="100394.0"/>
        <n v="118248.0"/>
        <n v="118467.0"/>
        <n v="118465.0"/>
        <n v="118450.0"/>
        <n v="118457.0"/>
        <n v="118463.0"/>
        <n v="118460.0"/>
        <n v="121035.0"/>
        <n v="122623.0"/>
        <n v="118469.0"/>
        <n v="184629.0"/>
        <n v="44469.0"/>
        <n v="98421.0"/>
        <n v="149512.0"/>
        <n v="101489.0"/>
        <n v="7263.0"/>
        <n v="149510.0"/>
        <n v="124692.0"/>
        <n v="7253.0"/>
        <n v="109999.0"/>
        <n v="101535.0"/>
        <n v="181795.0"/>
        <n v="124686.0"/>
        <n v="110003.0"/>
        <n v="124691.0"/>
        <n v="98444.0"/>
        <n v="110393.0"/>
        <n v="7254.0"/>
        <n v="86502.0"/>
        <n v="98442.0"/>
        <n v="7256.0"/>
        <n v="110394.0"/>
        <n v="120998.0"/>
        <n v="17674.0"/>
        <n v="102946.0"/>
        <n v="102947.0"/>
        <n v="98445.0"/>
        <n v="109273.0"/>
        <n v="44465.0"/>
        <n v="44451.0"/>
        <n v="17664.0"/>
        <n v="44459.0"/>
        <n v="110398.0"/>
        <n v="149495.0"/>
        <n v="124685.0"/>
        <n v="110004.0"/>
        <n v="111052.0"/>
        <n v="102948.0"/>
        <n v="110000.0"/>
        <n v="7264.0"/>
        <n v="110005.0"/>
        <n v="124693.0"/>
        <n v="86501.0"/>
        <n v="101536.0"/>
        <n v="101534.0"/>
        <n v="110002.0"/>
        <n v="110001.0"/>
        <n v="111051.0"/>
        <n v="7258.0"/>
        <n v="111053.0"/>
        <n v="120996.0"/>
        <n v="109746.0"/>
        <n v="147288.0"/>
        <n v="120997.0"/>
        <n v="109742.0"/>
        <n v="156013.0"/>
        <n v="98426.0"/>
        <n v="110006.0"/>
        <n v="110409.0"/>
        <n v="117774.0"/>
        <n v="110411.0"/>
        <n v="86743.0"/>
        <n v="86691.0"/>
        <n v="7257.0"/>
        <n v="77706.0"/>
        <n v="122599.0"/>
        <n v="109741.0"/>
        <n v="69064.0"/>
        <n v="119447.0"/>
        <n v="111730.0"/>
        <n v="100437.0"/>
        <n v="92304.0"/>
        <n v="103655.0"/>
        <n v="103656.0"/>
        <n v="103704.0"/>
        <n v="46759.0"/>
        <n v="113594.0"/>
        <n v="111791.0"/>
        <n v="44674.0"/>
        <n v="48639.0"/>
        <n v="76559.0"/>
        <n v="22112.0"/>
        <n v="84390.0"/>
        <n v="100327.0"/>
        <n v="81427.0"/>
        <n v="19847.0"/>
        <n v="121989.0"/>
        <n v="3431.0"/>
        <n v="68858.0"/>
        <n v="147279.0"/>
        <n v="19853.0"/>
        <n v="84315.0"/>
        <n v="3433.0"/>
        <n v="48640.0"/>
        <n v="81678.0"/>
        <n v="117528.0"/>
        <n v="84324.0"/>
        <n v="3420.0"/>
        <n v="19837.0"/>
        <n v="19835.0"/>
        <n v="69109.0"/>
        <n v="104387.0"/>
        <n v="19843.0"/>
        <n v="117523.0"/>
        <n v="121981.0"/>
        <n v="121993.0"/>
        <n v="81389.0"/>
        <n v="99473.0"/>
        <n v="81393.0"/>
        <n v="104364.0"/>
        <n v="76602.0"/>
        <n v="119824.0"/>
        <n v="112618.0"/>
        <n v="112617.0"/>
        <n v="113963.0"/>
        <n v="104359.0"/>
        <n v="81675.0"/>
        <n v="84835.0"/>
        <n v="81680.0"/>
        <n v="104361.0"/>
        <n v="83080.0"/>
        <n v="84930.0"/>
        <n v="19848.0"/>
        <n v="104362.0"/>
        <n v="92122.0"/>
        <n v="15854.0"/>
        <n v="81383.0"/>
        <n v="81430.0"/>
        <n v="84325.0"/>
        <n v="127244.0"/>
        <n v="15865.0"/>
        <n v="121996.0"/>
        <n v="93083.0"/>
        <n v="3426.0"/>
        <n v="111349.0"/>
        <n v="74917.0"/>
        <n v="69127.0"/>
        <n v="84819.0"/>
        <n v="104367.0"/>
        <n v="121997.0"/>
        <n v="117499.0"/>
        <n v="69125.0"/>
        <n v="19850.0"/>
        <n v="3425.0"/>
        <n v="84913.0"/>
        <n v="120378.0"/>
        <n v="5905.0"/>
        <n v="23213.0"/>
        <n v="47168.0"/>
        <n v="102990.0"/>
        <n v="46441.0"/>
        <n v="11085.0"/>
        <n v="96441.0"/>
        <n v="82131.0"/>
        <n v="46440.0"/>
        <n v="23214.0"/>
        <n v="82134.0"/>
        <n v="46439.0"/>
        <n v="116451.0"/>
        <n v="147340.0"/>
        <n v="140602.0"/>
        <n v="109174.0"/>
        <n v="2795.0"/>
        <n v="141867.0"/>
        <n v="118152.0"/>
        <n v="1607.0"/>
        <n v="71322.0"/>
        <n v="88773.0"/>
        <n v="46964.0"/>
        <n v="104454.0"/>
        <n v="8003.0"/>
        <n v="90183.0"/>
        <n v="45489.0"/>
        <n v="147337.0"/>
        <n v="116446.0"/>
        <n v="44760.0"/>
        <n v="44764.0"/>
        <n v="72801.0"/>
        <n v="86573.0"/>
        <n v="107784.0"/>
        <n v="103388.0"/>
        <n v="8004.0"/>
        <n v="103387.0"/>
        <n v="76731.0"/>
        <n v="116449.0"/>
        <n v="95211.0"/>
        <n v="118255.0"/>
        <n v="8010.0"/>
        <n v="128351.0"/>
        <n v="12452.0"/>
        <n v="108996.0"/>
        <n v="15638.0"/>
        <n v="118109.0"/>
        <n v="15634.0"/>
        <n v="2802.0"/>
        <n v="46962.0"/>
        <n v="128348.0"/>
        <n v="108963.0"/>
        <n v="2800.0"/>
        <n v="12451.0"/>
        <n v="19024.0"/>
        <n v="9472.0"/>
        <n v="1587.0"/>
        <n v="118262.0"/>
        <n v="44739.0"/>
        <n v="199855.0"/>
        <n v="71674.0"/>
        <n v="101357.0"/>
        <n v="121066.0"/>
        <n v="72818.0"/>
        <n v="109178.0"/>
        <n v="114876.0"/>
        <n v="9471.0"/>
        <n v="87840.0"/>
        <n v="72816.0"/>
        <n v="122354.0"/>
        <n v="109188.0"/>
        <n v="7999.0"/>
        <n v="9469.0"/>
        <n v="46955.0"/>
        <n v="9464.0"/>
        <n v="79485.0"/>
        <n v="118224.0"/>
        <n v="122353.0"/>
        <n v="1584.0"/>
        <n v="2792.0"/>
        <n v="109187.0"/>
        <n v="118257.0"/>
        <n v="7995.0"/>
        <n v="99360.0"/>
        <n v="118156.0"/>
        <n v="44943.0"/>
        <n v="9462.0"/>
        <n v="79501.0"/>
        <n v="97161.0"/>
        <n v="112842.0"/>
        <n v="109180.0"/>
        <n v="46954.0"/>
        <n v="79500.0"/>
        <n v="99302.0"/>
        <n v="105026.0"/>
        <n v="19972.0"/>
        <n v="99233.0"/>
        <n v="118260.0"/>
        <n v="128398.0"/>
        <n v="8001.0"/>
        <n v="106782.0"/>
        <n v="110793.0"/>
        <n v="86808.0"/>
        <n v="50367.0"/>
        <n v="102750.0"/>
        <n v="102758.0"/>
        <n v="86787.0"/>
        <n v="102740.0"/>
        <n v="102734.0"/>
        <n v="102751.0"/>
        <n v="102752.0"/>
        <n v="102735.0"/>
        <n v="86793.0"/>
        <n v="86792.0"/>
        <n v="86785.0"/>
        <n v="102773.0"/>
        <n v="42807.0"/>
        <n v="42809.0"/>
        <n v="86821.0"/>
        <n v="110719.0"/>
        <n v="86818.0"/>
        <n v="71318.0"/>
        <n v="122303.0"/>
        <n v="110716.0"/>
        <n v="9480.0"/>
        <n v="113920.0"/>
        <n v="166088.0"/>
        <n v="122712.0"/>
        <n v="86523.0"/>
        <n v="106773.0"/>
        <n v="128356.0"/>
        <n v="28897.0"/>
        <n v="181502.0"/>
        <n v="13368.0"/>
        <n v="105178.0"/>
        <n v="158445.0"/>
        <n v="105861.0"/>
        <n v="28668.0"/>
        <n v="28661.0"/>
        <n v="13349.0"/>
        <n v="1634.0"/>
        <n v="86524.0"/>
        <n v="86531.0"/>
        <n v="95210.0"/>
        <n v="158450.0"/>
        <n v="103080.0"/>
        <n v="121067.0"/>
        <n v="41513.0"/>
        <n v="166089.0"/>
        <n v="26446.0"/>
        <n v="13350.0"/>
        <n v="111728.0"/>
        <n v="28883.0"/>
        <n v="121068.0"/>
        <n v="181499.0"/>
        <n v="16097.0"/>
        <n v="117247.0"/>
        <n v="1732.0"/>
        <n v="105174.0"/>
        <n v="128357.0"/>
        <n v="166090.0"/>
        <n v="121070.0"/>
        <n v="80818.0"/>
        <n v="13367.0"/>
        <n v="44329.0"/>
        <n v="70879.0"/>
        <n v="99266.0"/>
        <n v="88216.0"/>
        <n v="28590.0"/>
        <n v="88215.0"/>
        <n v="81771.0"/>
        <n v="194520.0"/>
        <n v="5901.0"/>
        <n v="156054.0"/>
        <n v="5869.0"/>
        <n v="7343.0"/>
        <n v="88218.0"/>
        <n v="99263.0"/>
        <n v="7357.0"/>
        <n v="28591.0"/>
        <n v="5871.0"/>
        <n v="81772.0"/>
        <n v="110587.0"/>
        <n v="5870.0"/>
        <n v="158444.0"/>
        <n v="80785.0"/>
        <n v="110586.0"/>
        <n v="99264.0"/>
        <n v="110977.0"/>
        <n v="45529.0"/>
        <n v="84030.0"/>
        <n v="99262.0"/>
        <n v="110722.0"/>
        <n v="80781.0"/>
        <n v="122700.0"/>
        <n v="111783.0"/>
        <n v="110724.0"/>
        <n v="13348.0"/>
        <n v="28595.0"/>
        <n v="81770.0"/>
        <n v="85059.0"/>
        <n v="110597.0"/>
        <n v="7358.0"/>
        <n v="86583.0"/>
        <n v="98100.0"/>
        <n v="118154.0"/>
        <n v="42840.0"/>
        <n v="47175.0"/>
        <n v="112013.0"/>
        <n v="107953.0"/>
        <n v="44738.0"/>
        <n v="103386.0"/>
        <n v="86815.0"/>
        <n v="46953.0"/>
        <n v="108732.0"/>
        <n v="118227.0"/>
        <n v="122484.0"/>
        <n v="71326.0"/>
        <n v="110794.0"/>
        <n v="80066.0"/>
        <n v="106776.0"/>
        <n v="113608.0"/>
        <n v="116454.0"/>
        <n v="108724.0"/>
        <n v="118253.0"/>
        <n v="110567.0"/>
        <n v="122697.0"/>
        <n v="109190.0"/>
        <n v="109191.0"/>
        <n v="44759.0"/>
        <n v="109192.0"/>
        <n v="113605.0"/>
        <n v="147339.0"/>
        <n v="118068.0"/>
        <n v="44758.0"/>
        <n v="110579.0"/>
        <n v="116437.0"/>
        <n v="9519.0"/>
        <n v="147338.0"/>
        <n v="118250.0"/>
        <n v="20053.0"/>
        <n v="71321.0"/>
        <n v="79503.0"/>
        <n v="99270.0"/>
        <n v="112848.0"/>
        <n v="13369.0"/>
        <n v="147336.0"/>
        <n v="114899.0"/>
        <n v="113607.0"/>
        <n v="47183.0"/>
        <n v="78338.0"/>
        <n v="9526.0"/>
        <n v="107910.0"/>
        <n v="20056.0"/>
        <n v="108951.0"/>
        <n v="107783.0"/>
        <n v="80798.0"/>
        <n v="108950.0"/>
        <n v="112847.0"/>
        <n v="109202.0"/>
        <n v="109198.0"/>
        <n v="108990.0"/>
        <n v="72815.0"/>
        <n v="9479.0"/>
        <n v="46961.0"/>
        <n v="122352.0"/>
        <n v="44750.0"/>
        <n v="114405.0"/>
        <n v="2797.0"/>
        <n v="79499.0"/>
        <n v="5902.0"/>
        <n v="46956.0"/>
        <n v="11490.0"/>
        <n v="8027.0"/>
        <n v="121588.0"/>
        <n v="1279.0"/>
        <n v="5978.0"/>
        <n v="72813.0"/>
        <n v="9486.0"/>
        <n v="2791.0"/>
        <n v="109206.0"/>
        <n v="9478.0"/>
        <n v="122699.0"/>
        <n v="2794.0"/>
        <n v="109200.0"/>
        <n v="118263.0"/>
        <n v="71320.0"/>
        <n v="108944.0"/>
        <n v="122693.0"/>
        <n v="20049.0"/>
        <n v="20055.0"/>
        <n v="112845.0"/>
        <n v="9490.0"/>
        <n v="105034.0"/>
        <n v="122680.0"/>
        <n v="112846.0"/>
        <n v="80816.0"/>
        <n v="44749.0"/>
        <n v="79498.0"/>
        <n v="2799.0"/>
        <n v="194401.0"/>
        <n v="5291.0"/>
        <n v="2796.0"/>
        <n v="71325.0"/>
        <n v="2793.0"/>
        <n v="102781.0"/>
        <n v="109201.0"/>
        <n v="72814.0"/>
        <n v="122351.0"/>
        <n v="99298.0"/>
        <n v="3731.0"/>
        <n v="11489.0"/>
        <n v="122302.0"/>
        <n v="28838.0"/>
        <n v="72843.0"/>
        <n v="80809.0"/>
        <n v="127006.0"/>
        <n v="82448.0"/>
        <n v="13028.0"/>
        <n v="118577.0"/>
        <n v="117890.0"/>
        <n v="118617.0"/>
        <n v="109995.0"/>
        <n v="109996.0"/>
        <n v="49107.0"/>
        <n v="29585.0"/>
        <n v="111677.0"/>
        <n v="93102.0"/>
        <n v="30712.0"/>
        <n v="89128.0"/>
        <n v="29587.0"/>
        <n v="30711.0"/>
        <n v="45306.0"/>
        <n v="120803.0"/>
        <n v="108004.0"/>
        <n v="92205.0"/>
        <n v="119509.0"/>
        <n v="109056.0"/>
        <n v="45305.0"/>
        <n v="29582.0"/>
        <n v="111676.0"/>
        <n v="30578.0"/>
        <n v="93095.0"/>
        <n v="70036.0"/>
        <n v="90498.0"/>
        <n v="89127.0"/>
        <n v="75215.0"/>
        <n v="119566.0"/>
        <n v="92208.0"/>
        <n v="119579.0"/>
        <n v="45309.0"/>
        <n v="30743.0"/>
        <n v="49108.0"/>
        <n v="29584.0"/>
        <n v="119501.0"/>
        <n v="30504.0"/>
        <n v="93101.0"/>
        <n v="30749.0"/>
        <n v="120813.0"/>
        <n v="29590.0"/>
        <n v="118662.0"/>
        <n v="30478.0"/>
        <n v="90475.0"/>
        <n v="29530.0"/>
        <n v="81528.0"/>
        <n v="100436.0"/>
        <n v="29499.0"/>
        <n v="30683.0"/>
        <n v="69906.0"/>
        <n v="90174.0"/>
        <n v="90168.0"/>
        <n v="79488.0"/>
        <n v="119640.0"/>
        <n v="119515.0"/>
        <n v="103685.0"/>
        <n v="111617.0"/>
        <n v="98637.0"/>
        <n v="90159.0"/>
        <n v="76651.0"/>
        <n v="119531.0"/>
        <n v="93884.0"/>
        <n v="79467.0"/>
        <n v="29532.0"/>
        <n v="104063.0"/>
        <n v="90166.0"/>
        <n v="29538.0"/>
        <n v="70538.0"/>
        <n v="93893.0"/>
        <n v="119518.0"/>
        <n v="111338.0"/>
        <n v="100435.0"/>
        <n v="89130.0"/>
        <n v="103695.0"/>
        <n v="90201.0"/>
        <n v="70025.0"/>
        <n v="29485.0"/>
        <n v="119530.0"/>
        <n v="103671.0"/>
        <n v="102803.0"/>
        <n v="122156.0"/>
        <n v="103688.0"/>
        <n v="128303.0"/>
        <n v="122164.0"/>
        <n v="119629.0"/>
        <n v="122238.0"/>
        <n v="100106.0"/>
        <n v="74260.0"/>
        <n v="122159.0"/>
        <n v="100104.0"/>
        <n v="103702.0"/>
        <n v="103696.0"/>
        <n v="111083.0"/>
        <n v="76658.0"/>
        <n v="111339.0"/>
        <n v="79491.0"/>
        <n v="110380.0"/>
        <n v="111341.0"/>
        <n v="81785.0"/>
        <n v="89155.0"/>
        <n v="90253.0"/>
        <n v="119544.0"/>
        <n v="108675.0"/>
        <n v="119542.0"/>
        <n v="30752.0"/>
        <n v="116180.0"/>
        <n v="96953.0"/>
        <n v="118303.0"/>
        <n v="117222.0"/>
        <n v="5620.0"/>
        <n v="122346.0"/>
        <n v="96968.0"/>
        <n v="126578.0"/>
        <n v="126581.0"/>
        <n v="96956.0"/>
        <n v="116774.0"/>
        <n v="147293.0"/>
        <n v="119228.0"/>
        <n v="5618.0"/>
        <n v="126579.0"/>
        <n v="117219.0"/>
        <n v="44110.0"/>
        <n v="76223.0"/>
        <n v="48406.0"/>
        <n v="77514.0"/>
        <n v="117221.0"/>
        <n v="115602.0"/>
        <n v="44107.0"/>
        <n v="115604.0"/>
        <n v="118926.0"/>
        <n v="118304.0"/>
        <n v="5621.0"/>
        <n v="44105.0"/>
        <n v="126580.0"/>
        <n v="5624.0"/>
        <n v="88679.0"/>
        <n v="118305.0"/>
        <n v="60380.0"/>
        <n v="77475.0"/>
        <n v="110577.0"/>
        <n v="110571.0"/>
        <n v="103835.0"/>
        <n v="5646.0"/>
        <n v="5649.0"/>
        <n v="5647.0"/>
        <n v="5648.0"/>
        <n v="108292.0"/>
        <n v="110572.0"/>
        <n v="77456.0"/>
        <n v="77454.0"/>
        <n v="44095.0"/>
        <n v="87419.0"/>
        <n v="44087.0"/>
        <n v="44129.0"/>
        <n v="103832.0"/>
        <n v="103819.0"/>
        <n v="88683.0"/>
        <n v="5676.0"/>
        <n v="116776.0"/>
        <n v="5668.0"/>
        <n v="119052.0"/>
        <n v="118920.0"/>
        <n v="96003.0"/>
        <n v="116380.0"/>
        <n v="46291.0"/>
        <n v="148742.0"/>
        <n v="83634.0"/>
        <n v="5657.0"/>
        <n v="78856.0"/>
        <n v="44123.0"/>
        <n v="78855.0"/>
        <n v="48408.0"/>
        <n v="46303.0"/>
        <n v="147274.0"/>
        <n v="44144.0"/>
        <n v="96972.0"/>
        <n v="5665.0"/>
        <n v="26072.0"/>
        <n v="5631.0"/>
        <n v="104316.0"/>
        <n v="83612.0"/>
        <n v="87425.0"/>
        <n v="115611.0"/>
        <n v="88688.0"/>
        <n v="83605.0"/>
        <n v="44125.0"/>
        <n v="83639.0"/>
        <n v="5656.0"/>
        <n v="88686.0"/>
        <n v="83601.0"/>
        <n v="48407.0"/>
        <n v="5692.0"/>
        <n v="112803.0"/>
        <n v="83600.0"/>
        <n v="83621.0"/>
        <n v="115599.0"/>
        <n v="83598.0"/>
        <n v="5652.0"/>
        <n v="122661.0"/>
        <n v="116384.0"/>
        <n v="78859.0"/>
        <n v="87096.0"/>
        <n v="87428.0"/>
        <n v="5690.0"/>
        <n v="5663.0"/>
        <n v="5654.0"/>
        <n v="44607.0"/>
        <n v="5662.0"/>
        <n v="87426.0"/>
        <n v="5680.0"/>
        <n v="5661.0"/>
        <n v="83629.0"/>
        <n v="83599.0"/>
        <n v="83625.0"/>
        <n v="87887.0"/>
        <n v="118923.0"/>
        <n v="87421.0"/>
        <n v="117531.0"/>
        <n v="122267.0"/>
        <n v="117527.0"/>
        <n v="44138.0"/>
        <n v="117529.0"/>
        <n v="122269.0"/>
        <n v="87886.0"/>
        <n v="104317.0"/>
        <n v="114943.0"/>
        <n v="44134.0"/>
        <n v="5637.0"/>
        <n v="5641.0"/>
        <n v="147323.0"/>
        <n v="44118.0"/>
        <n v="115608.0"/>
        <n v="44127.0"/>
        <n v="122348.0"/>
        <n v="147304.0"/>
        <n v="118310.0"/>
        <n v="77175.0"/>
        <n v="5645.0"/>
        <n v="76679.0"/>
        <n v="5635.0"/>
        <n v="110960.0"/>
        <n v="108290.0"/>
        <n v="117680.0"/>
        <n v="77183.0"/>
        <n v="147322.0"/>
        <n v="44120.0"/>
        <n v="44115.0"/>
        <n v="44117.0"/>
        <n v="76670.0"/>
        <n v="122347.0"/>
        <n v="112462.0"/>
        <n v="5636.0"/>
        <n v="112464.0"/>
        <n v="5639.0"/>
        <n v="44147.0"/>
        <n v="5638.0"/>
        <n v="103074.0"/>
        <n v="45913.0"/>
        <n v="120044.0"/>
        <n v="90973.0"/>
        <n v="103830.0"/>
        <n v="111765.0"/>
        <n v="45952.0"/>
        <n v="91749.0"/>
        <n v="120040.0"/>
        <n v="17143.0"/>
        <n v="120515.0"/>
        <n v="120045.0"/>
        <n v="122268.0"/>
        <n v="195737.0"/>
        <n v="78759.0"/>
        <n v="8857.0"/>
        <n v="8860.0"/>
        <n v="182790.0"/>
        <n v="120042.0"/>
        <n v="114941.0"/>
        <n v="108473.0"/>
        <n v="90968.0"/>
        <n v="114929.0"/>
        <n v="68868.0"/>
        <n v="103831.0"/>
        <n v="83272.0"/>
        <n v="120046.0"/>
        <n v="181989.0"/>
        <n v="84359.0"/>
        <n v="102939.0"/>
        <n v="111504.0"/>
        <n v="75678.0"/>
        <n v="79005.0"/>
        <n v="188360.0"/>
        <n v="79695.0"/>
        <n v="73768.0"/>
        <n v="44663.0"/>
        <n v="766.0"/>
        <n v="109961.0"/>
        <n v="109932.0"/>
        <n v="109956.0"/>
        <n v="109962.0"/>
        <n v="101622.0"/>
        <n v="101623.0"/>
        <n v="4513.0"/>
        <n v="24648.0"/>
        <n v="16386.0"/>
        <n v="16383.0"/>
        <n v="113588.0"/>
        <n v="99392.0"/>
        <n v="99412.0"/>
        <n v="25306.0"/>
        <n v="99399.0"/>
        <n v="25304.0"/>
        <n v="99400.0"/>
        <n v="80484.0"/>
        <n v="14477.0"/>
        <n v="95056.0"/>
        <n v="78519.0"/>
        <n v="90377.0"/>
        <n v="90375.0"/>
        <n v="112073.0"/>
        <n v="101339.0"/>
        <n v="92421.0"/>
        <n v="112079.0"/>
        <n v="44716.0"/>
        <n v="89640.0"/>
        <n v="112072.0"/>
        <n v="112991.0"/>
        <n v="101587.0"/>
        <n v="10525.0"/>
        <n v="121349.0"/>
        <n v="127811.0"/>
        <n v="81507.0"/>
        <n v="78412.0"/>
        <n v="109312.0"/>
        <n v="78502.0"/>
        <n v="111498.0"/>
        <n v="87242.0"/>
        <n v="139286.0"/>
        <n v="10524.0"/>
        <n v="78397.0"/>
        <n v="78421.0"/>
        <n v="23420.0"/>
        <n v="78498.0"/>
        <n v="78427.0"/>
        <n v="119256.0"/>
        <n v="44731.0"/>
        <n v="86852.0"/>
        <n v="103137.0"/>
        <n v="95079.0"/>
        <n v="121568.0"/>
        <n v="89645.0"/>
        <n v="44691.0"/>
        <n v="94055.0"/>
        <n v="101586.0"/>
        <n v="106731.0"/>
        <n v="87072.0"/>
        <n v="44711.0"/>
        <n v="78428.0"/>
        <n v="10531.0"/>
        <n v="158475.0"/>
        <n v="89633.0"/>
        <n v="86836.0"/>
        <n v="44698.0"/>
        <n v="127870.0"/>
        <n v="141891.0"/>
        <n v="78426.0"/>
        <n v="77792.0"/>
        <n v="21027.0"/>
        <n v="95063.0"/>
        <n v="30314.0"/>
        <n v="19838.0"/>
        <n v="111283.0"/>
        <n v="87568.0"/>
        <n v="78419.0"/>
        <n v="106806.0"/>
        <n v="78420.0"/>
        <n v="78442.0"/>
        <n v="78492.0"/>
        <n v="80297.0"/>
        <n v="44712.0"/>
        <n v="89736.0"/>
        <n v="83270.0"/>
        <n v="101588.0"/>
        <n v="104171.0"/>
        <n v="101042.0"/>
        <n v="108881.0"/>
        <n v="87571.0"/>
        <n v="44718.0"/>
        <n v="44735.0"/>
        <n v="21035.0"/>
        <n v="30308.0"/>
        <n v="44694.0"/>
        <n v="78493.0"/>
        <n v="78409.0"/>
        <n v="86844.0"/>
        <n v="86771.0"/>
        <n v="78511.0"/>
        <n v="83267.0"/>
        <n v="78490.0"/>
        <n v="73175.0"/>
        <n v="44730.0"/>
        <n v="10535.0"/>
        <n v="80299.0"/>
        <n v="121350.0"/>
        <n v="79958.0"/>
        <n v="95074.0"/>
        <n v="87574.0"/>
        <n v="77769.0"/>
        <n v="141889.0"/>
        <n v="83269.0"/>
        <n v="89647.0"/>
        <n v="77256.0"/>
        <n v="86840.0"/>
        <n v="30306.0"/>
        <n v="76427.0"/>
        <n v="44706.0"/>
        <n v="44701.0"/>
        <n v="10537.0"/>
        <n v="10523.0"/>
        <n v="76664.0"/>
        <n v="78472.0"/>
        <n v="44721.0"/>
        <n v="121576.0"/>
        <n v="117208.0"/>
        <n v="78497.0"/>
        <n v="44726.0"/>
        <n v="117210.0"/>
        <n v="87082.0"/>
        <n v="10529.0"/>
        <n v="44705.0"/>
        <n v="100564.0"/>
        <n v="87193.0"/>
        <n v="76044.0"/>
        <n v="121578.0"/>
        <n v="117206.0"/>
        <n v="81519.0"/>
        <n v="44724.0"/>
        <n v="82114.0"/>
        <n v="82115.0"/>
        <n v="109307.0"/>
        <n v="76046.0"/>
        <n v="117187.0"/>
        <n v="10538.0"/>
        <n v="78508.0"/>
        <n v="44723.0"/>
        <n v="109309.0"/>
        <n v="76656.0"/>
        <n v="80305.0"/>
        <n v="78506.0"/>
        <n v="82133.0"/>
        <n v="188805.0"/>
        <n v="78481.0"/>
        <n v="109310.0"/>
        <n v="120689.0"/>
        <n v="10540.0"/>
        <n v="44727.0"/>
        <n v="73190.0"/>
        <n v="112169.0"/>
        <n v="120695.0"/>
        <n v="80270.0"/>
        <n v="5795.0"/>
        <n v="107316.0"/>
        <n v="78482.0"/>
        <n v="158473.0"/>
        <n v="109308.0"/>
        <n v="78507.0"/>
        <n v="100827.0"/>
        <n v="102189.0"/>
        <n v="10522.0"/>
        <n v="78467.0"/>
        <n v="84367.0"/>
        <n v="87402.0"/>
        <n v="44707.0"/>
        <n v="78400.0"/>
        <n v="102188.0"/>
        <n v="73173.0"/>
        <n v="76661.0"/>
        <n v="78479.0"/>
        <n v="103401.0"/>
        <n v="83340.0"/>
        <n v="44725.0"/>
        <n v="109311.0"/>
        <n v="133901.0"/>
        <n v="92678.0"/>
        <n v="82447.0"/>
        <n v="110126.0"/>
        <n v="3219.0"/>
        <n v="127007.0"/>
        <n v="102277.0"/>
        <n v="122544.0"/>
        <n v="91486.0"/>
        <n v="28009.0"/>
        <n v="110814.0"/>
        <n v="117437.0"/>
        <n v="23074.0"/>
        <n v="8900.0"/>
        <n v="92676.0"/>
        <n v="117266.0"/>
        <n v="14527.0"/>
        <n v="27534.0"/>
        <n v="91636.0"/>
        <n v="120941.0"/>
        <n v="111897.0"/>
        <n v="158485.0"/>
        <n v="199530.0"/>
        <n v="120946.0"/>
        <n v="82957.0"/>
        <n v="109830.0"/>
        <n v="109831.0"/>
        <n v="107899.0"/>
        <n v="139289.0"/>
        <n v="72129.0"/>
        <n v="106541.0"/>
        <n v="43810.0"/>
        <n v="83117.0"/>
        <n v="78863.0"/>
        <n v="107898.0"/>
        <n v="80181.0"/>
        <n v="150280.0"/>
        <n v="80173.0"/>
        <n v="100647.0"/>
        <n v="147273.0"/>
        <n v="83770.0"/>
        <n v="180773.0"/>
        <n v="80125.0"/>
        <n v="89909.0"/>
        <n v="80114.0"/>
        <n v="73916.0"/>
        <n v="80117.0"/>
        <n v="22008.0"/>
        <n v="76608.0"/>
        <n v="80793.0"/>
        <n v="102588.0"/>
        <n v="80794.0"/>
        <n v="80174.0"/>
        <n v="114722.0"/>
        <n v="180843.0"/>
        <n v="22020.0"/>
        <n v="111259.0"/>
        <n v="89895.0"/>
        <n v="22014.0"/>
        <n v="44254.0"/>
        <n v="22025.0"/>
        <n v="83765.0"/>
        <n v="89930.0"/>
        <n v="83767.0"/>
        <n v="83745.0"/>
        <n v="78827.0"/>
        <n v="122266.0"/>
        <n v="949.0"/>
        <n v="102595.0"/>
        <n v="80790.0"/>
        <n v="114257.0"/>
        <n v="80121.0"/>
        <n v="164929.0"/>
        <n v="80180.0"/>
        <n v="92930.0"/>
        <n v="147271.0"/>
        <n v="83748.0"/>
        <n v="80120.0"/>
        <n v="164931.0"/>
        <n v="78804.0"/>
        <n v="103096.0"/>
        <n v="180770.0"/>
        <n v="80115.0"/>
        <n v="83771.0"/>
        <n v="80124.0"/>
        <n v="80111.0"/>
        <n v="63864.0"/>
        <n v="76824.0"/>
        <n v="102599.0"/>
        <n v="103001.0"/>
        <n v="164928.0"/>
        <n v="80791.0"/>
        <n v="83223.0"/>
        <n v="951.0"/>
        <n v="149928.0"/>
        <n v="60375.0"/>
        <n v="102594.0"/>
        <n v="128218.0"/>
        <n v="80178.0"/>
        <n v="164932.0"/>
        <n v="22036.0"/>
        <n v="102585.0"/>
        <n v="78816.0"/>
        <n v="78822.0"/>
        <n v="83773.0"/>
        <n v="114720.0"/>
        <n v="83777.0"/>
        <n v="102593.0"/>
        <n v="164930.0"/>
        <n v="102584.0"/>
        <n v="102586.0"/>
        <n v="83758.0"/>
        <n v="80189.0"/>
        <n v="26148.0"/>
        <n v="121902.0"/>
        <n v="21032.0"/>
        <n v="22071.0"/>
        <n v="87404.0"/>
        <n v="42712.0"/>
        <n v="76609.0"/>
        <n v="952.0"/>
        <n v="26136.0"/>
        <n v="87502.0"/>
        <n v="73923.0"/>
        <n v="164927.0"/>
        <n v="108749.0"/>
        <n v="89919.0"/>
        <n v="112897.0"/>
        <n v="122013.0"/>
        <n v="89902.0"/>
        <n v="89900.0"/>
        <n v="92461.0"/>
        <n v="128834.0"/>
        <n v="135180.0"/>
        <n v="120582.0"/>
        <n v="105794.0"/>
        <n v="81049.0"/>
        <n v="13364.0"/>
        <n v="13361.0"/>
        <n v="75659.0"/>
        <n v="75655.0"/>
        <n v="117866.0"/>
        <n v="90556.0"/>
        <n v="68605.0"/>
        <n v="103829.0"/>
        <n v="90558.0"/>
        <n v="120490.0"/>
        <n v="75662.0"/>
        <n v="121298.0"/>
        <n v="13363.0"/>
        <n v="117863.0"/>
        <n v="68607.0"/>
        <n v="122705.0"/>
        <n v="88195.0"/>
        <n v="45523.0"/>
        <n v="158449.0"/>
        <n v="45518.0"/>
        <n v="96288.0"/>
        <n v="76981.0"/>
        <n v="113827.0"/>
        <n v="76987.0"/>
        <n v="113824.0"/>
        <n v="113823.0"/>
        <n v="156053.0"/>
        <n v="45522.0"/>
        <n v="99176.0"/>
        <n v="49219.0"/>
        <n v="102370.0"/>
        <n v="49222.0"/>
        <n v="102352.0"/>
        <n v="49233.0"/>
        <n v="99163.0"/>
        <n v="142785.0"/>
        <n v="113054.0"/>
        <n v="88105.0"/>
        <n v="97036.0"/>
        <n v="81229.0"/>
        <n v="120563.0"/>
        <n v="122290.0"/>
        <n v="122373.0"/>
        <n v="117830.0"/>
        <n v="109008.0"/>
        <n v="122371.0"/>
        <n v="109012.0"/>
        <n v="156047.0"/>
        <n v="117839.0"/>
        <n v="156051.0"/>
        <n v="156048.0"/>
        <n v="117832.0"/>
        <n v="117877.0"/>
        <n v="117876.0"/>
        <n v="83507.0"/>
        <n v="121285.0"/>
        <n v="122684.0"/>
        <n v="116615.0"/>
        <n v="121083.0"/>
        <n v="108936.0"/>
        <n v="128388.0"/>
        <n v="120559.0"/>
        <n v="122685.0"/>
        <n v="122686.0"/>
        <n v="181263.0"/>
        <n v="122723.0"/>
        <n v="26533.0"/>
        <n v="16048.0"/>
        <n v="16049.0"/>
        <n v="122421.0"/>
        <n v="121718.0"/>
        <n v="117892.0"/>
        <n v="117893.0"/>
        <n v="78448.0"/>
        <n v="89463.0"/>
        <n v="108096.0"/>
        <n v="70495.0"/>
        <n v="115733.0"/>
        <n v="26349.0"/>
        <n v="26350.0"/>
        <n v="115724.0"/>
        <n v="115726.0"/>
        <n v="26352.0"/>
        <n v="19782.0"/>
        <n v="19793.0"/>
        <n v="87604.0"/>
        <n v="29931.0"/>
        <n v="9335.0"/>
        <n v="88722.0"/>
        <n v="121865.0"/>
        <n v="100934.0"/>
        <n v="117116.0"/>
        <n v="19802.0"/>
        <n v="81780.0"/>
        <n v="117094.0"/>
        <n v="19797.0"/>
        <n v="86131.0"/>
        <n v="121864.0"/>
        <n v="15061.0"/>
        <n v="79929.0"/>
        <n v="19792.0"/>
        <n v="108805.0"/>
        <n v="71689.0"/>
        <n v="71718.0"/>
        <n v="19752.0"/>
        <n v="116205.0"/>
        <n v="117113.0"/>
        <n v="71716.0"/>
        <n v="44398.0"/>
        <n v="100932.0"/>
        <n v="117125.0"/>
        <n v="19746.0"/>
        <n v="80729.0"/>
        <n v="19800.0"/>
        <n v="19790.0"/>
        <n v="19747.0"/>
        <n v="44524.0"/>
        <n v="103839.0"/>
        <n v="195240.0"/>
        <n v="195244.0"/>
        <n v="119465.0"/>
        <n v="47081.0"/>
        <n v="91635.0"/>
        <n v="188359.0"/>
        <n v="29655.0"/>
        <n v="193188.0"/>
        <n v="188367.0"/>
        <n v="188853.0"/>
        <n v="116214.0"/>
        <n v="82296.0"/>
        <n v="10269.0"/>
        <n v="121860.0"/>
        <n v="100464.0"/>
        <n v="10270.0"/>
        <n v="10283.0"/>
        <n v="10278.0"/>
        <n v="10259.0"/>
        <n v="200359.0"/>
        <n v="10243.0"/>
        <n v="200360.0"/>
        <n v="196501.0"/>
        <n v="100460.0"/>
        <n v="5880.0"/>
        <n v="5872.0"/>
        <n v="114258.0"/>
        <n v="11122.0"/>
        <n v="116894.0"/>
        <n v="72994.0"/>
        <n v="120863.0"/>
        <n v="120870.0"/>
        <n v="120868.0"/>
        <n v="102063.0"/>
        <n v="120869.0"/>
        <n v="120871.0"/>
        <n v="24195.0"/>
        <n v="120422.0"/>
        <n v="120874.0"/>
        <n v="120416.0"/>
        <n v="80944.0"/>
        <n v="120873.0"/>
        <n v="120875.0"/>
        <n v="147285.0"/>
        <n v="88604.0"/>
        <n v="120417.0"/>
        <n v="113914.0"/>
        <n v="68793.0"/>
        <n v="106707.0"/>
        <n v="24210.0"/>
        <n v="44012.0"/>
        <n v="106710.0"/>
        <n v="117239.0"/>
        <n v="80186.0"/>
        <n v="80185.0"/>
        <n v="107151.0"/>
        <n v="120420.0"/>
        <n v="80184.0"/>
        <n v="107157.0"/>
        <n v="118432.0"/>
        <n v="86512.0"/>
        <n v="118431.0"/>
        <n v="80187.0"/>
        <n v="107163.0"/>
        <n v="108342.0"/>
        <n v="20949.0"/>
        <n v="118436.0"/>
        <n v="113566.0"/>
        <n v="113571.0"/>
        <n v="107160.0"/>
        <n v="44007.0"/>
        <n v="69453.0"/>
        <n v="122690.0"/>
        <n v="117243.0"/>
        <n v="71988.0"/>
        <n v="111582.0"/>
        <n v="77235.0"/>
        <n v="105272.0"/>
        <n v="120809.0"/>
        <n v="10651.0"/>
        <n v="10657.0"/>
        <n v="9132.0"/>
        <n v="197151.0"/>
        <n v="73386.0"/>
        <n v="121604.0"/>
        <n v="89533.0"/>
        <n v="73381.0"/>
        <n v="26096.0"/>
        <n v="119050.0"/>
        <n v="44028.0"/>
        <n v="73572.0"/>
        <n v="83083.0"/>
        <n v="13338.0"/>
        <n v="83418.0"/>
        <n v="68640.0"/>
        <n v="10647.0"/>
        <n v="85884.0"/>
        <n v="113933.0"/>
        <n v="188843.0"/>
        <n v="13342.0"/>
        <n v="83002.0"/>
        <n v="112860.0"/>
        <n v="118374.0"/>
        <n v="119049.0"/>
        <n v="120964.0"/>
        <n v="26093.0"/>
        <n v="99311.0"/>
        <n v="9131.0"/>
        <n v="122167.0"/>
        <n v="10649.0"/>
        <n v="85875.0"/>
        <n v="9136.0"/>
        <n v="121835.0"/>
        <n v="113934.0"/>
        <n v="5750.0"/>
        <n v="73390.0"/>
        <n v="114251.0"/>
        <n v="73392.0"/>
        <n v="9128.0"/>
        <n v="122672.0"/>
        <n v="85857.0"/>
        <n v="9129.0"/>
        <n v="162438.0"/>
        <n v="73391.0"/>
        <n v="46428.0"/>
        <n v="85861.0"/>
        <n v="69324.0"/>
        <n v="122618.0"/>
        <n v="99312.0"/>
        <n v="113932.0"/>
        <n v="5751.0"/>
        <n v="85885.0"/>
        <n v="87877.0"/>
        <n v="197150.0"/>
        <n v="87878.0"/>
        <n v="122166.0"/>
        <n v="122617.0"/>
        <n v="118590.0"/>
        <n v="122366.0"/>
        <n v="83001.0"/>
        <n v="118594.0"/>
        <n v="85881.0"/>
        <n v="10655.0"/>
        <n v="121606.0"/>
        <n v="13341.0"/>
        <n v="122631.0"/>
        <n v="189132.0"/>
        <n v="87876.0"/>
        <n v="26094.0"/>
        <n v="189129.0"/>
        <n v="10654.0"/>
        <n v="5754.0"/>
        <n v="10648.0"/>
        <n v="114947.0"/>
        <n v="44728.0"/>
        <n v="120709.0"/>
        <n v="114949.0"/>
        <n v="48706.0"/>
        <n v="78411.0"/>
        <n v="120016.0"/>
        <n v="120710.0"/>
        <n v="48705.0"/>
        <n v="114948.0"/>
        <n v="117330.0"/>
        <n v="89665.0"/>
        <n v="89450.0"/>
        <n v="72080.0"/>
        <n v="72086.0"/>
        <n v="117076.0"/>
        <n v="72081.0"/>
        <n v="72088.0"/>
        <n v="72078.0"/>
        <n v="72085.0"/>
        <n v="112204.0"/>
        <n v="59138.0"/>
        <n v="72074.0"/>
        <n v="72096.0"/>
        <n v="72099.0"/>
        <n v="89451.0"/>
        <n v="29606.0"/>
        <n v="72089.0"/>
        <n v="29601.0"/>
        <n v="50372.0"/>
        <n v="89452.0"/>
        <n v="156019.0"/>
        <n v="117705.0"/>
        <n v="121184.0"/>
        <n v="89446.0"/>
        <n v="102339.0"/>
        <n v="121193.0"/>
        <n v="102332.0"/>
        <n v="121775.0"/>
        <n v="100903.0"/>
        <n v="81463.0"/>
        <n v="75788.0"/>
        <n v="121185.0"/>
        <n v="89440.0"/>
        <n v="103058.0"/>
        <n v="117716.0"/>
        <n v="71287.0"/>
        <n v="110685.0"/>
        <n v="79335.0"/>
        <n v="45538.0"/>
        <n v="76691.0"/>
        <n v="2336.0"/>
        <n v="91912.0"/>
        <n v="110826.0"/>
        <n v="117710.0"/>
        <n v="3621.0"/>
        <n v="4179.0"/>
        <n v="89407.0"/>
        <n v="121190.0"/>
        <n v="45524.0"/>
        <n v="3634.0"/>
        <n v="104327.0"/>
        <n v="71282.0"/>
        <n v="89411.0"/>
        <n v="105361.0"/>
        <n v="105359.0"/>
        <n v="75174.0"/>
        <n v="11895.0"/>
        <n v="11812.0"/>
        <n v="11815.0"/>
        <n v="11784.0"/>
        <n v="89241.0"/>
        <n v="117688.0"/>
        <n v="77688.0"/>
        <n v="89282.0"/>
        <n v="11769.0"/>
        <n v="117544.0"/>
        <n v="94860.0"/>
        <n v="79041.0"/>
        <n v="117686.0"/>
        <n v="89299.0"/>
        <n v="11823.0"/>
        <n v="117543.0"/>
        <n v="11765.0"/>
        <n v="121519.0"/>
        <n v="71276.0"/>
        <n v="120135.0"/>
        <n v="116793.0"/>
        <n v="11774.0"/>
        <n v="11900.0"/>
        <n v="11809.0"/>
        <n v="117642.0"/>
        <n v="71259.0"/>
        <n v="79047.0"/>
        <n v="11796.0"/>
        <n v="79043.0"/>
        <n v="89246.0"/>
        <n v="71275.0"/>
        <n v="11800.0"/>
        <n v="11818.0"/>
        <n v="11795.0"/>
        <n v="117641.0"/>
        <n v="82579.0"/>
        <n v="120153.0"/>
        <n v="81320.0"/>
        <n v="121517.0"/>
        <n v="89276.0"/>
        <n v="11822.0"/>
        <n v="11771.0"/>
        <n v="89295.0"/>
        <n v="117684.0"/>
        <n v="11817.0"/>
        <n v="120697.0"/>
        <n v="11783.0"/>
        <n v="11821.0"/>
        <n v="11814.0"/>
        <n v="71242.0"/>
        <n v="120449.0"/>
        <n v="23682.0"/>
        <n v="119076.0"/>
        <n v="9139.0"/>
        <n v="9138.0"/>
        <n v="109483.0"/>
        <n v="120438.0"/>
        <n v="120439.0"/>
        <n v="23681.0"/>
        <n v="89564.0"/>
        <n v="111962.0"/>
        <n v="124771.0"/>
        <n v="120446.0"/>
        <n v="111973.0"/>
        <n v="120437.0"/>
        <n v="124769.0"/>
        <n v="111972.0"/>
        <n v="47390.0"/>
        <n v="27047.0"/>
        <n v="68713.0"/>
        <n v="120568.0"/>
        <n v="120567.0"/>
        <n v="77038.0"/>
        <n v="87760.0"/>
        <n v="122612.0"/>
        <n v="110655.0"/>
        <n v="87785.0"/>
        <n v="122629.0"/>
        <n v="122614.0"/>
        <n v="122788.0"/>
        <n v="20226.0"/>
        <n v="120894.0"/>
        <n v="46762.0"/>
        <n v="118212.0"/>
        <n v="150950.0"/>
        <n v="190106.0"/>
        <n v="79810.0"/>
        <n v="82459.0"/>
        <n v="49360.0"/>
        <n v="194507.0"/>
        <n v="82453.0"/>
        <n v="79669.0"/>
        <n v="122294.0"/>
        <n v="73245.0"/>
        <n v="122082.0"/>
        <n v="194501.0"/>
        <n v="79105.0"/>
        <n v="87769.0"/>
        <n v="9734.0"/>
        <n v="149615.0"/>
        <n v="108966.0"/>
        <n v="116943.0"/>
        <n v="46769.0"/>
        <n v="87766.0"/>
        <n v="110701.0"/>
        <n v="4205.0"/>
        <n v="122615.0"/>
        <n v="87800.0"/>
        <n v="87801.0"/>
        <n v="87767.0"/>
        <n v="82454.0"/>
        <n v="194506.0"/>
        <n v="16240.0"/>
        <n v="16237.0"/>
        <n v="122760.0"/>
        <n v="82446.0"/>
        <n v="118333.0"/>
        <n v="122774.0"/>
        <n v="87789.0"/>
        <n v="111159.0"/>
        <n v="194500.0"/>
        <n v="80432.0"/>
        <n v="122636.0"/>
        <n v="110697.0"/>
        <n v="117966.0"/>
        <n v="122782.0"/>
        <n v="49358.0"/>
        <n v="190250.0"/>
        <n v="100243.0"/>
        <n v="87773.0"/>
        <n v="79103.0"/>
        <n v="87759.0"/>
        <n v="82461.0"/>
        <n v="122613.0"/>
        <n v="79746.0"/>
        <n v="110860.0"/>
        <n v="49355.0"/>
        <n v="93520.0"/>
        <n v="87765.0"/>
        <n v="110863.0"/>
        <n v="16238.0"/>
        <n v="122643.0"/>
        <n v="82452.0"/>
        <n v="122775.0"/>
        <n v="100240.0"/>
        <n v="87758.0"/>
        <n v="110689.0"/>
        <n v="110704.0"/>
        <n v="82455.0"/>
        <n v="127013.0"/>
        <n v="113063.0"/>
        <n v="11296.0"/>
        <n v="105305.0"/>
        <n v="73244.0"/>
        <n v="82458.0"/>
        <n v="105302.0"/>
        <n v="150951.0"/>
        <n v="122492.0"/>
        <n v="110436.0"/>
        <n v="10674.0"/>
        <n v="117166.0"/>
        <n v="111776.0"/>
        <n v="122388.0"/>
        <n v="117160.0"/>
        <n v="98795.0"/>
        <n v="117150.0"/>
        <n v="109416.0"/>
        <n v="122291.0"/>
        <n v="21820.0"/>
        <n v="150105.0"/>
        <n v="46474.0"/>
        <n v="118207.0"/>
        <n v="111007.0"/>
        <n v="9727.0"/>
        <n v="72321.0"/>
        <n v="100063.0"/>
        <n v="79818.0"/>
        <n v="121731.0"/>
        <n v="200584.0"/>
        <n v="68600.0"/>
        <n v="98788.0"/>
        <n v="122390.0"/>
        <n v="109930.0"/>
        <n v="118299.0"/>
        <n v="72320.0"/>
        <n v="87839.0"/>
        <n v="79819.0"/>
        <n v="117169.0"/>
        <n v="200585.0"/>
        <n v="70339.0"/>
        <n v="45597.0"/>
        <n v="117147.0"/>
        <n v="46309.0"/>
        <n v="45595.0"/>
        <n v="100311.0"/>
        <n v="122491.0"/>
        <n v="117466.0"/>
        <n v="85107.0"/>
        <n v="45594.0"/>
        <n v="118298.0"/>
        <n v="98802.0"/>
        <n v="46985.0"/>
        <n v="46476.0"/>
        <n v="110187.0"/>
        <n v="79988.0"/>
        <n v="46970.0"/>
        <n v="6519.0"/>
        <n v="118205.0"/>
        <n v="109412.0"/>
        <n v="117931.0"/>
        <n v="70042.0"/>
        <n v="150104.0"/>
        <n v="72319.0"/>
        <n v="100060.0"/>
        <n v="6521.0"/>
        <n v="45058.0"/>
        <n v="117139.0"/>
        <n v="117464.0"/>
        <n v="111777.0"/>
        <n v="122375.0"/>
        <n v="122282.0"/>
        <n v="47161.0"/>
        <n v="47159.0"/>
        <n v="71327.0"/>
        <n v="122276.0"/>
        <n v="72806.0"/>
        <n v="100248.0"/>
        <n v="122378.0"/>
        <n v="44762.0"/>
        <n v="100247.0"/>
        <n v="182272.0"/>
        <n v="128297.0"/>
        <n v="10673.0"/>
        <n v="69332.0"/>
        <n v="151239.0"/>
        <n v="116667.0"/>
        <n v="72809.0"/>
        <n v="165917.0"/>
        <n v="8746.0"/>
        <n v="122374.0"/>
        <n v="118166.0"/>
        <n v="42729.0"/>
        <n v="182271.0"/>
        <n v="109211.0"/>
        <n v="192901.0"/>
        <n v="122379.0"/>
        <n v="109891.0"/>
        <n v="125688.0"/>
        <n v="68599.0"/>
        <n v="104841.0"/>
        <n v="20243.0"/>
        <n v="10332.0"/>
        <n v="7361.0"/>
        <n v="21320.0"/>
        <n v="7365.0"/>
        <n v="7364.0"/>
        <n v="7362.0"/>
        <n v="117237.0"/>
        <n v="19784.0"/>
        <n v="9329.0"/>
        <n v="10859.0"/>
        <n v="118329.0"/>
        <n v="105169.0"/>
        <n v="90567.0"/>
        <n v="46672.0"/>
        <n v="118229.0"/>
        <n v="193230.0"/>
        <n v="193254.0"/>
        <n v="113228.0"/>
        <n v="193193.0"/>
        <n v="113223.0"/>
        <n v="113227.0"/>
        <n v="114198.0"/>
        <n v="100451.0"/>
        <n v="100446.0"/>
        <n v="193253.0"/>
        <n v="82432.0"/>
        <n v="122703.0"/>
        <n v="129410.0"/>
        <n v="103236.0"/>
        <n v="127534.0"/>
        <n v="100906.0"/>
        <n v="109098.0"/>
        <n v="155864.0"/>
        <n v="120314.0"/>
        <n v="199547.0"/>
        <n v="110540.0"/>
        <n v="182190.0"/>
        <n v="79341.0"/>
        <n v="108969.0"/>
        <n v="79939.0"/>
        <n v="11733.0"/>
        <n v="12647.0"/>
        <n v="122292.0"/>
        <n v="117433.0"/>
        <n v="127018.0"/>
        <n v="9705.0"/>
        <n v="9703.0"/>
        <n v="86005.0"/>
        <n v="9704.0"/>
        <n v="182189.0"/>
        <n v="29452.0"/>
        <n v="122485.0"/>
        <n v="9706.0"/>
        <n v="12648.0"/>
        <n v="93899.0"/>
        <n v="28890.0"/>
        <n v="17638.0"/>
        <n v="28888.0"/>
        <n v="29455.0"/>
        <n v="93895.0"/>
        <n v="116417.0"/>
        <n v="1971.0"/>
        <n v="12649.0"/>
        <n v="93896.0"/>
        <n v="44386.0"/>
        <n v="188156.0"/>
        <n v="7360.0"/>
        <n v="79323.0"/>
        <n v="72015.0"/>
        <n v="44310.0"/>
        <n v="77044.0"/>
        <n v="120636.0"/>
        <n v="92662.0"/>
        <n v="117263.0"/>
        <n v="117261.0"/>
        <n v="10644.0"/>
        <n v="102457.0"/>
        <n v="117419.0"/>
        <n v="150939.0"/>
        <n v="10517.0"/>
        <n v="79109.0"/>
        <n v="118918.0"/>
        <n v="102456.0"/>
        <n v="155865.0"/>
        <n v="100443.0"/>
        <n v="93833.0"/>
        <n v="76693.0"/>
        <n v="100441.0"/>
        <n v="103230.0"/>
        <n v="117902.0"/>
        <n v="105745.0"/>
        <n v="100811.0"/>
        <n v="102505.0"/>
        <n v="121317.0"/>
        <n v="121318.0"/>
        <n v="95155.0"/>
        <n v="25199.0"/>
        <n v="156020.0"/>
        <n v="28587.0"/>
        <n v="16050.0"/>
        <n v="119453.0"/>
        <n v="113070.0"/>
        <n v="99097.0"/>
        <n v="99099.0"/>
        <n v="104998.0"/>
        <n v="110524.0"/>
        <n v="117133.0"/>
        <n v="70696.0"/>
        <n v="121278.0"/>
        <n v="74382.0"/>
        <n v="121921.0"/>
        <n v="83853.0"/>
        <n v="111706.0"/>
        <n v="15062.0"/>
        <n v="79948.0"/>
        <n v="84400.0"/>
        <n v="79299.0"/>
        <n v="19776.0"/>
        <n v="74392.0"/>
        <n v="83399.0"/>
        <n v="74383.0"/>
        <n v="100819.0"/>
        <n v="190857.0"/>
        <n v="120331.0"/>
        <n v="87580.0"/>
        <n v="79300.0"/>
        <n v="79950.0"/>
        <n v="84402.0"/>
        <n v="79298.0"/>
        <n v="145105.0"/>
        <n v="92313.0"/>
        <n v="121735.0"/>
        <n v="47545.0"/>
        <n v="122630.0"/>
        <n v="159490.0"/>
        <n v="120519.0"/>
        <n v="159403.0"/>
        <n v="159617.0"/>
        <n v="85839.0"/>
        <n v="85838.0"/>
        <n v="8868.0"/>
        <n v="116191.0"/>
        <n v="90828.0"/>
        <n v="26276.0"/>
        <n v="29022.0"/>
        <n v="111081.0"/>
        <n v="26277.0"/>
        <n v="100251.0"/>
        <n v="87885.0"/>
        <n v="29023.0"/>
        <n v="100250.0"/>
        <n v="116320.0"/>
        <n v="122149.0"/>
        <n v="107220.0"/>
        <n v="122151.0"/>
        <n v="115766.0"/>
        <n v="114033.0"/>
        <n v="149508.0"/>
        <n v="107256.0"/>
        <n v="121615.0"/>
        <n v="107226.0"/>
        <n v="120188.0"/>
        <n v="107944.0"/>
        <n v="70243.0"/>
        <n v="149505.0"/>
        <n v="101428.0"/>
        <n v="121798.0"/>
        <n v="88636.0"/>
        <n v="111038.0"/>
        <n v="75032.0"/>
        <n v="70187.0"/>
        <n v="147278.0"/>
        <n v="114972.0"/>
        <n v="75072.0"/>
        <n v="114971.0"/>
        <n v="99981.0"/>
        <n v="86383.0"/>
        <n v="89587.0"/>
        <n v="89516.0"/>
        <n v="89519.0"/>
        <n v="75060.0"/>
        <n v="111745.0"/>
        <n v="70242.0"/>
        <n v="75061.0"/>
        <n v="69467.0"/>
        <n v="121800.0"/>
        <n v="110974.0"/>
        <n v="114969.0"/>
        <n v="111041.0"/>
        <n v="82382.0"/>
        <n v="89634.0"/>
        <n v="82381.0"/>
        <n v="107232.0"/>
        <n v="70247.0"/>
        <n v="107253.0"/>
        <n v="102709.0"/>
        <n v="75050.0"/>
        <n v="111014.0"/>
        <n v="120282.0"/>
        <n v="84512.0"/>
        <n v="77197.0"/>
        <n v="29650.0"/>
        <n v="4162.0"/>
        <n v="88214.0"/>
        <n v="73254.0"/>
        <n v="108204.0"/>
        <n v="9676.0"/>
        <n v="44412.0"/>
        <n v="73253.0"/>
        <n v="122516.0"/>
        <n v="70314.0"/>
        <n v="17644.0"/>
        <n v="118996.0"/>
        <n v="79199.0"/>
        <n v="128316.0"/>
        <n v="7933.0"/>
        <n v="85944.0"/>
        <n v="76665.0"/>
        <n v="102286.0"/>
        <n v="77199.0"/>
        <n v="11722.0"/>
        <n v="97949.0"/>
        <n v="9701.0"/>
        <n v="117615.0"/>
        <n v="10076.0"/>
        <n v="106572.0"/>
        <n v="10081.0"/>
        <n v="46424.0"/>
        <n v="118931.0"/>
        <n v="10078.0"/>
        <n v="75824.0"/>
        <n v="80433.0"/>
        <n v="106566.0"/>
        <n v="9702.0"/>
        <n v="122445.0"/>
        <n v="77178.0"/>
        <n v="10075.0"/>
        <n v="10079.0"/>
        <n v="111469.0"/>
        <n v="166324.0"/>
        <n v="7829.0"/>
        <n v="105507.0"/>
        <n v="12834.0"/>
        <n v="27984.0"/>
        <n v="29444.0"/>
        <n v="107878.0"/>
        <n v="122416.0"/>
        <n v="95628.0"/>
        <n v="9654.0"/>
        <n v="105609.0"/>
        <n v="118932.0"/>
        <n v="103976.0"/>
        <n v="107881.0"/>
        <n v="7830.0"/>
        <n v="159717.0"/>
        <n v="113449.0"/>
        <n v="79942.0"/>
        <n v="29437.0"/>
        <n v="99234.0"/>
        <n v="103985.0"/>
        <n v="97947.0"/>
        <n v="101083.0"/>
        <n v="111287.0"/>
        <n v="11728.0"/>
        <n v="111286.0"/>
        <n v="29426.0"/>
        <n v="93419.0"/>
        <n v="93418.0"/>
        <n v="79198.0"/>
        <n v="11720.0"/>
        <n v="122534.0"/>
        <n v="92209.0"/>
        <n v="93417.0"/>
        <n v="103197.0"/>
        <n v="118930.0"/>
        <n v="92199.0"/>
        <n v="29647.0"/>
        <n v="121857.0"/>
        <n v="129484.0"/>
        <n v="122405.0"/>
        <n v="108690.0"/>
        <n v="11726.0"/>
        <n v="109074.0"/>
        <n v="75818.0"/>
        <n v="10663.0"/>
        <n v="9667.0"/>
        <n v="109073.0"/>
        <n v="11731.0"/>
        <n v="155869.0"/>
        <n v="118982.0"/>
        <n v="29642.0"/>
        <n v="111774.0"/>
        <n v="117290.0"/>
        <n v="105593.0"/>
        <n v="70751.0"/>
        <n v="118929.0"/>
        <n v="70594.0"/>
        <n v="118270.0"/>
        <n v="20584.0"/>
        <n v="150541.0"/>
        <n v="12633.0"/>
        <n v="9666.0"/>
        <n v="79940.0"/>
        <n v="201198.0"/>
        <n v="117268.0"/>
        <n v="80623.0"/>
        <n v="9698.0"/>
        <n v="83102.0"/>
        <n v="118271.0"/>
        <n v="41659.0"/>
        <n v="81564.0"/>
        <n v="110132.0"/>
        <n v="17639.0"/>
        <n v="201025.0"/>
        <n v="70589.0"/>
        <n v="75825.0"/>
        <n v="9699.0"/>
        <n v="122448.0"/>
        <n v="105506.0"/>
        <n v="142304.0"/>
        <n v="105505.0"/>
        <n v="122502.0"/>
        <n v="118264.0"/>
        <n v="17632.0"/>
        <n v="108790.0"/>
        <n v="92200.0"/>
        <n v="17634.0"/>
        <n v="122522.0"/>
        <n v="122505.0"/>
        <n v="93416.0"/>
        <n v="93406.0"/>
        <n v="69329.0"/>
        <n v="155953.0"/>
        <n v="11721.0"/>
        <n v="41654.0"/>
        <n v="92204.0"/>
        <n v="105572.0"/>
        <n v="110141.0"/>
        <n v="158471.0"/>
        <n v="120876.0"/>
        <n v="87437.0"/>
        <n v="121462.0"/>
        <n v="69471.0"/>
        <n v="114904.0"/>
        <n v="113910.0"/>
        <n v="18100.0"/>
        <n v="114963.0"/>
        <n v="121495.0"/>
        <n v="83041.0"/>
        <n v="121499.0"/>
        <n v="108528.0"/>
        <n v="69547.0"/>
        <n v="18126.0"/>
        <n v="121812.0"/>
        <n v="81497.0"/>
        <n v="121500.0"/>
        <n v="45903.0"/>
        <n v="121813.0"/>
        <n v="108512.0"/>
        <n v="70189.0"/>
        <n v="194057.0"/>
        <n v="121460.0"/>
        <n v="121950.0"/>
        <n v="121811.0"/>
        <n v="86400.0"/>
        <n v="108527.0"/>
        <n v="88622.0"/>
        <n v="121803.0"/>
        <n v="87418.0"/>
        <n v="26275.0"/>
        <n v="119229.0"/>
        <n v="74881.0"/>
        <n v="86469.0"/>
        <n v="120798.0"/>
        <n v="86479.0"/>
        <n v="80411.0"/>
        <n v="120797.0"/>
        <n v="86480.0"/>
        <n v="86478.0"/>
        <n v="118887.0"/>
        <n v="121802.0"/>
        <n v="87440.0"/>
        <n v="86477.0"/>
        <n v="83059.0"/>
        <n v="86449.0"/>
        <n v="86416.0"/>
        <n v="83064.0"/>
        <n v="108514.0"/>
        <n v="86454.0"/>
        <n v="143238.0"/>
        <n v="107070.0"/>
        <n v="114467.0"/>
        <n v="143237.0"/>
        <n v="86417.0"/>
        <n v="147317.0"/>
        <n v="122177.0"/>
        <n v="114909.0"/>
        <n v="119230.0"/>
        <n v="107109.0"/>
        <n v="121461.0"/>
        <n v="86413.0"/>
        <n v="108511.0"/>
        <n v="120877.0"/>
        <n v="194052.0"/>
        <n v="121493.0"/>
        <n v="121479.0"/>
        <n v="79011.0"/>
        <n v="86470.0"/>
        <n v="194997.0"/>
        <n v="108515.0"/>
        <n v="69346.0"/>
        <n v="119971.0"/>
        <n v="107274.0"/>
        <n v="69451.0"/>
        <n v="87416.0"/>
        <n v="23667.0"/>
        <n v="112770.0"/>
        <n v="116186.0"/>
        <n v="95413.0"/>
        <n v="116184.0"/>
        <n v="95412.0"/>
        <n v="95414.0"/>
        <n v="24088.0"/>
        <n v="75156.0"/>
        <n v="6216.0"/>
        <n v="149867.0"/>
        <n v="44037.0"/>
        <n v="83029.0"/>
        <n v="100395.0"/>
        <n v="110437.0"/>
        <n v="29430.0"/>
        <n v="95416.0"/>
        <n v="108493.0"/>
        <n v="109293.0"/>
        <n v="73581.0"/>
        <n v="100396.0"/>
        <n v="45917.0"/>
        <n v="83420.0"/>
        <n v="101591.0"/>
        <n v="116181.0"/>
        <n v="109300.0"/>
        <n v="46160.0"/>
        <n v="116202.0"/>
        <n v="106884.0"/>
        <n v="98598.0"/>
        <n v="78515.0"/>
        <n v="46154.0"/>
        <n v="23668.0"/>
        <n v="107900.0"/>
        <n v="85037.0"/>
        <n v="49182.0"/>
        <n v="69111.0"/>
        <n v="80054.0"/>
        <n v="79782.0"/>
        <n v="80045.0"/>
        <n v="69108.0"/>
        <n v="69112.0"/>
        <n v="121992.0"/>
        <n v="80048.0"/>
        <n v="121982.0"/>
        <n v="121974.0"/>
        <n v="69110.0"/>
        <n v="23540.0"/>
        <n v="69123.0"/>
        <n v="121984.0"/>
        <n v="121979.0"/>
        <n v="80043.0"/>
        <n v="100326.0"/>
        <n v="69117.0"/>
        <n v="100334.0"/>
        <n v="69120.0"/>
        <n v="69119.0"/>
        <n v="69118.0"/>
        <n v="80044.0"/>
        <n v="23556.0"/>
        <n v="69114.0"/>
        <n v="79778.0"/>
        <n v="100323.0"/>
        <n v="69116.0"/>
        <n v="68938.0"/>
        <n v="121987.0"/>
        <n v="69113.0"/>
        <n v="80053.0"/>
        <n v="121986.0"/>
        <n v="121988.0"/>
        <n v="121990.0"/>
        <n v="68941.0"/>
        <n v="69122.0"/>
        <n v="80049.0"/>
        <n v="121971.0"/>
        <n v="68945.0"/>
        <n v="79780.0"/>
        <n v="80056.0"/>
        <n v="80040.0"/>
        <n v="114480.0"/>
        <n v="111922.0"/>
        <n v="111924.0"/>
        <n v="80047.0"/>
        <n v="69121.0"/>
        <n v="68939.0"/>
        <n v="69124.0"/>
        <n v="23552.0"/>
        <n v="68943.0"/>
        <n v="69115.0"/>
        <n v="81122.0"/>
        <n v="84672.0"/>
        <n v="81127.0"/>
        <n v="87858.0"/>
        <n v="84673.0"/>
        <n v="81064.0"/>
        <n v="81139.0"/>
        <n v="81141.0"/>
        <n v="81054.0"/>
        <n v="118352.0"/>
        <n v="81091.0"/>
        <n v="81025.0"/>
        <n v="81129.0"/>
        <n v="81043.0"/>
        <n v="81120.0"/>
        <n v="81109.0"/>
        <n v="81082.0"/>
        <n v="81036.0"/>
        <n v="81690.0"/>
        <n v="87849.0"/>
        <n v="81094.0"/>
        <n v="202726.0"/>
        <n v="101516.0"/>
        <n v="84332.0"/>
        <n v="16959.0"/>
        <n v="87762.0"/>
        <n v="16952.0"/>
        <n v="16958.0"/>
        <n v="16950.0"/>
        <n v="102266.0"/>
        <n v="202746.0"/>
        <n v="101519.0"/>
        <n v="81688.0"/>
        <n v="120365.0"/>
        <n v="3438.0"/>
        <n v="102262.0"/>
        <n v="87764.0"/>
        <n v="3437.0"/>
        <n v="111017.0"/>
        <n v="102264.0"/>
        <n v="18088.0"/>
        <n v="87836.0"/>
        <n v="87804.0"/>
        <n v="108207.0"/>
        <n v="111043.0"/>
        <n v="100223.0"/>
        <n v="92161.0"/>
        <n v="113405.0"/>
        <n v="120817.0"/>
        <n v="14520.0"/>
        <n v="104928.0"/>
        <n v="14517.0"/>
        <n v="122563.0"/>
        <n v="96404.0"/>
        <n v="121469.0"/>
        <n v="122579.0"/>
        <n v="113407.0"/>
        <n v="91995.0"/>
        <n v="81178.0"/>
        <n v="12918.0"/>
        <n v="122411.0"/>
        <n v="81194.0"/>
        <n v="71876.0"/>
        <n v="129493.0"/>
        <n v="81190.0"/>
        <n v="71875.0"/>
        <n v="81198.0"/>
        <n v="188723.0"/>
        <n v="115053.0"/>
        <n v="104609.0"/>
        <n v="12916.0"/>
        <n v="129488.0"/>
        <n v="78566.0"/>
        <n v="15090.0"/>
        <n v="81209.0"/>
        <n v="108141.0"/>
        <n v="12914.0"/>
        <n v="129492.0"/>
        <n v="120473.0"/>
        <n v="12924.0"/>
        <n v="12920.0"/>
        <n v="81200.0"/>
        <n v="122410.0"/>
        <n v="81720.0"/>
        <n v="12923.0"/>
        <n v="81173.0"/>
        <n v="12910.0"/>
        <n v="81193.0"/>
        <n v="12917.0"/>
        <n v="129491.0"/>
        <n v="15104.0"/>
        <n v="122407.0"/>
        <n v="81191.0"/>
        <n v="188725.0"/>
        <n v="188724.0"/>
        <n v="12911.0"/>
        <n v="21612.0"/>
        <n v="21603.0"/>
        <n v="81218.0"/>
        <n v="70543.0"/>
        <n v="80549.0"/>
        <n v="79404.0"/>
        <n v="110596.0"/>
        <n v="70547.0"/>
        <n v="11410.0"/>
        <n v="116632.0"/>
        <n v="80546.0"/>
        <n v="80572.0"/>
        <n v="70558.0"/>
        <n v="79405.0"/>
        <n v="80543.0"/>
        <n v="14041.0"/>
        <n v="70559.0"/>
        <n v="80582.0"/>
        <n v="90004.0"/>
        <n v="117907.0"/>
        <n v="70542.0"/>
        <n v="81210.0"/>
        <n v="81211.0"/>
        <n v="80573.0"/>
        <n v="117909.0"/>
        <n v="80584.0"/>
        <n v="80550.0"/>
        <n v="81227.0"/>
        <n v="80578.0"/>
        <n v="110595.0"/>
        <n v="70557.0"/>
        <n v="147284.0"/>
        <n v="70553.0"/>
        <n v="81212.0"/>
        <n v="120427.0"/>
        <n v="46049.0"/>
        <n v="46039.0"/>
        <n v="46037.0"/>
        <n v="88965.0"/>
        <n v="102614.0"/>
        <n v="122704.0"/>
        <n v="164902.0"/>
        <n v="117783.0"/>
        <n v="114278.0"/>
        <n v="46056.0"/>
        <n v="5703.0"/>
        <n v="102607.0"/>
        <n v="87913.0"/>
        <n v="149513.0"/>
        <n v="87909.0"/>
        <n v="101897.0"/>
        <n v="121675.0"/>
        <n v="99349.0"/>
        <n v="117785.0"/>
        <n v="120558.0"/>
        <n v="99351.0"/>
        <n v="113058.0"/>
        <n v="118917.0"/>
        <n v="164891.0"/>
        <n v="101901.0"/>
        <n v="197164.0"/>
        <n v="114277.0"/>
        <n v="86913.0"/>
        <n v="88971.0"/>
        <n v="188840.0"/>
        <n v="95652.0"/>
        <n v="68627.0"/>
        <n v="46043.0"/>
        <n v="60592.0"/>
        <n v="99350.0"/>
        <n v="78983.0"/>
        <n v="188845.0"/>
        <n v="117787.0"/>
        <n v="119986.0"/>
        <n v="188841.0"/>
        <n v="99348.0"/>
        <n v="78978.0"/>
        <n v="120556.0"/>
        <n v="80254.0"/>
        <n v="121911.0"/>
        <n v="120328.0"/>
        <n v="122702.0"/>
        <n v="92542.0"/>
        <n v="15423.0"/>
        <n v="111797.0"/>
        <n v="112626.0"/>
        <n v="12925.0"/>
        <n v="107034.0"/>
        <n v="88319.0"/>
        <n v="3453.0"/>
        <n v="121425.0"/>
        <n v="10561.0"/>
        <n v="90294.0"/>
        <n v="70804.0"/>
        <n v="81237.0"/>
        <n v="47564.0"/>
        <n v="24055.0"/>
        <n v="48637.0"/>
        <n v="3447.0"/>
        <n v="117921.0"/>
        <n v="128322.0"/>
        <n v="42207.0"/>
        <n v="108394.0"/>
        <n v="119967.0"/>
        <n v="81235.0"/>
        <n v="24053.0"/>
        <n v="116936.0"/>
        <n v="44268.0"/>
        <n v="111946.0"/>
        <n v="81234.0"/>
        <n v="24038.0"/>
        <n v="44882.0"/>
        <n v="44266.0"/>
        <n v="3452.0"/>
        <n v="118569.0"/>
        <n v="84378.0"/>
        <n v="112731.0"/>
        <n v="166201.0"/>
        <n v="48495.0"/>
        <n v="10383.0"/>
        <n v="116284.0"/>
        <n v="86543.0"/>
        <n v="21165.0"/>
        <n v="10309.0"/>
        <n v="10367.0"/>
        <n v="86545.0"/>
        <n v="86544.0"/>
        <n v="10384.0"/>
        <n v="79314.0"/>
        <n v="79311.0"/>
        <n v="118249.0"/>
        <n v="128420.0"/>
        <n v="120692.0"/>
        <n v="122464.0"/>
        <n v="79762.0"/>
        <n v="79315.0"/>
        <n v="98941.0"/>
        <n v="118245.0"/>
        <n v="122333.0"/>
        <n v="121901.0"/>
        <n v="79316.0"/>
        <n v="109899.0"/>
        <n v="70570.0"/>
        <n v="79364.0"/>
        <n v="113103.0"/>
        <n v="200581.0"/>
        <n v="91490.0"/>
        <n v="79320.0"/>
        <n v="122331.0"/>
        <n v="79921.0"/>
        <n v="128421.0"/>
        <n v="80421.0"/>
        <n v="121867.0"/>
        <n v="122501.0"/>
        <n v="44531.0"/>
        <n v="118153.0"/>
        <n v="118244.0"/>
        <n v="46974.0"/>
        <n v="69232.0"/>
        <n v="117461.0"/>
        <n v="122324.0"/>
        <n v="119023.0"/>
        <n v="70600.0"/>
        <n v="10689.0"/>
        <n v="158427.0"/>
        <n v="122462.0"/>
        <n v="155951.0"/>
        <n v="79338.0"/>
        <n v="79919.0"/>
        <n v="117057.0"/>
        <n v="122334.0"/>
        <n v="122648.0"/>
        <n v="128418.0"/>
        <n v="109883.0"/>
        <n v="119027.0"/>
        <n v="30522.0"/>
        <n v="118155.0"/>
        <n v="188068.0"/>
        <n v="92613.0"/>
        <n v="69234.0"/>
        <n v="109938.0"/>
        <n v="120307.0"/>
        <n v="118906.0"/>
        <n v="128309.0"/>
        <n v="1986.0"/>
        <n v="117749.0"/>
        <n v="117748.0"/>
        <n v="1962.0"/>
        <n v="109994.0"/>
        <n v="69364.0"/>
        <n v="69365.0"/>
        <n v="46990.0"/>
        <n v="11428.0"/>
        <n v="122318.0"/>
        <n v="182194.0"/>
        <n v="147256.0"/>
        <n v="5079.0"/>
        <n v="92621.0"/>
        <n v="11003.0"/>
        <n v="117560.0"/>
        <n v="188368.0"/>
        <n v="124765.0"/>
        <n v="8726.0"/>
        <n v="118158.0"/>
        <n v="121871.0"/>
        <n v="121876.0"/>
        <n v="121877.0"/>
        <n v="121879.0"/>
        <n v="121874.0"/>
        <n v="121893.0"/>
        <n v="121892.0"/>
        <n v="102678.0"/>
        <n v="121887.0"/>
        <n v="21344.0"/>
        <n v="121873.0"/>
        <n v="108833.0"/>
        <n v="121882.0"/>
        <n v="91492.0"/>
        <n v="111392.0"/>
        <n v="108835.0"/>
        <n v="118111.0"/>
        <n v="121872.0"/>
        <n v="112885.0"/>
        <n v="108738.0"/>
        <n v="21338.0"/>
        <n v="76513.0"/>
        <n v="76514.0"/>
        <n v="21339.0"/>
        <n v="75436.0"/>
        <n v="84092.0"/>
        <n v="86943.0"/>
        <n v="8688.0"/>
        <n v="117967.0"/>
        <n v="23061.0"/>
        <n v="10688.0"/>
        <n v="8690.0"/>
        <n v="79808.0"/>
        <n v="44797.0"/>
        <n v="79807.0"/>
        <n v="11426.0"/>
        <n v="45059.0"/>
        <n v="200582.0"/>
        <n v="143825.0"/>
        <n v="85232.0"/>
        <n v="79806.0"/>
        <n v="46991.0"/>
        <n v="69360.0"/>
        <n v="110441.0"/>
        <n v="120781.0"/>
        <n v="79809.0"/>
        <n v="45057.0"/>
        <n v="79805.0"/>
        <n v="45707.0"/>
        <n v="117282.0"/>
        <n v="30503.0"/>
        <n v="187336.0"/>
        <n v="82427.0"/>
        <n v="11000.0"/>
        <n v="117274.0"/>
        <n v="117445.0"/>
        <n v="103246.0"/>
        <n v="92626.0"/>
        <n v="79352.0"/>
        <n v="128315.0"/>
        <n v="117272.0"/>
        <n v="116770.0"/>
        <n v="118012.0"/>
        <n v="117306.0"/>
        <n v="117056.0"/>
        <n v="188066.0"/>
        <n v="181147.0"/>
        <n v="79917.0"/>
        <n v="110282.0"/>
        <n v="200526.0"/>
        <n v="193197.0"/>
        <n v="79820.0"/>
        <n v="122327.0"/>
        <n v="117956.0"/>
        <n v="86182.0"/>
        <n v="46989.0"/>
        <n v="46976.0"/>
        <n v="79354.0"/>
        <n v="114268.0"/>
        <n v="10685.0"/>
        <n v="118157.0"/>
        <n v="122322.0"/>
        <n v="27509.0"/>
        <n v="110852.0"/>
        <n v="128312.0"/>
        <n v="79355.0"/>
        <n v="86185.0"/>
        <n v="77138.0"/>
        <n v="86183.0"/>
        <n v="122595.0"/>
        <n v="70338.0"/>
        <n v="114273.0"/>
        <n v="110849.0"/>
        <n v="45056.0"/>
        <n v="92633.0"/>
        <n v="111011.0"/>
        <n v="11002.0"/>
        <n v="80661.0"/>
        <n v="128310.0"/>
        <n v="182193.0"/>
        <n v="116771.0"/>
        <n v="103245.0"/>
        <n v="1961.0"/>
        <n v="128314.0"/>
        <n v="109993.0"/>
        <n v="117270.0"/>
        <n v="42748.0"/>
        <n v="110447.0"/>
        <n v="46979.0"/>
        <n v="1296.0"/>
        <n v="109973.0"/>
        <n v="155949.0"/>
        <n v="187346.0"/>
        <n v="46978.0"/>
        <n v="110283.0"/>
        <n v="147257.0"/>
        <n v="182191.0"/>
        <n v="9722.0"/>
        <n v="124772.0"/>
        <n v="8681.0"/>
        <n v="5077.0"/>
        <n v="114274.0"/>
        <n v="1297.0"/>
        <n v="46988.0"/>
        <n v="92623.0"/>
        <n v="79761.0"/>
        <n v="11001.0"/>
        <n v="9731.0"/>
        <n v="122316.0"/>
        <n v="147255.0"/>
        <n v="8675.0"/>
        <n v="121900.0"/>
        <n v="124764.0"/>
        <n v="124774.0"/>
        <n v="79353.0"/>
        <n v="82703.0"/>
        <n v="71820.0"/>
        <n v="128311.0"/>
        <n v="70595.0"/>
        <n v="8676.0"/>
        <n v="128313.0"/>
        <n v="45479.0"/>
        <n v="45481.0"/>
        <n v="80001.0"/>
        <n v="10068.0"/>
        <n v="10054.0"/>
        <n v="10070.0"/>
        <n v="45480.0"/>
        <n v="92791.0"/>
        <n v="188722.0"/>
        <n v="10061.0"/>
        <n v="188708.0"/>
        <n v="110927.0"/>
        <n v="188729.0"/>
        <n v="120969.0"/>
        <n v="188728.0"/>
        <n v="188663.0"/>
        <n v="188727.0"/>
        <n v="9741.0"/>
        <n v="70406.0"/>
        <n v="112114.0"/>
        <n v="70405.0"/>
        <n v="20405.0"/>
        <n v="121308.0"/>
        <n v="121311.0"/>
        <n v="124748.0"/>
        <n v="104315.0"/>
        <n v="104314.0"/>
        <n v="69287.0"/>
        <n v="5789.0"/>
        <n v="14013.0"/>
        <n v="14015.0"/>
        <n v="69291.0"/>
        <n v="26057.0"/>
        <n v="14022.0"/>
        <n v="80109.0"/>
        <n v="121686.0"/>
        <n v="60365.0"/>
        <n v="86488.0"/>
        <n v="122530.0"/>
        <n v="60526.0"/>
        <n v="116807.0"/>
        <n v="80030.0"/>
        <n v="122529.0"/>
        <n v="14042.0"/>
        <n v="14043.0"/>
        <n v="9157.0"/>
        <n v="149968.0"/>
        <n v="47299.0"/>
        <n v="109275.0"/>
        <n v="122768.0"/>
        <n v="80400.0"/>
        <n v="8803.0"/>
        <n v="80085.0"/>
        <n v="47379.0"/>
        <n v="47366.0"/>
        <n v="47376.0"/>
        <n v="95799.0"/>
        <n v="112733.0"/>
        <n v="47050.0"/>
        <n v="112449.0"/>
        <n v="14025.0"/>
        <n v="26054.0"/>
        <n v="60366.0"/>
        <n v="116805.0"/>
        <n v="8804.0"/>
        <n v="48470.0"/>
        <n v="86485.0"/>
        <n v="73872.0"/>
        <n v="72852.0"/>
        <n v="85856.0"/>
        <n v="14018.0"/>
        <n v="100262.0"/>
        <n v="114657.0"/>
        <n v="150281.0"/>
        <n v="81491.0"/>
        <n v="88519.0"/>
        <n v="116800.0"/>
        <n v="117675.0"/>
        <n v="47051.0"/>
        <n v="103171.0"/>
        <n v="47049.0"/>
        <n v="47351.0"/>
        <n v="47575.0"/>
        <n v="80088.0"/>
        <n v="47298.0"/>
        <n v="100271.0"/>
        <n v="47621.0"/>
        <n v="117609.0"/>
        <n v="103873.0"/>
        <n v="14026.0"/>
        <n v="95951.0"/>
        <n v="9162.0"/>
        <n v="80089.0"/>
        <n v="122521.0"/>
        <n v="69300.0"/>
        <n v="80417.0"/>
        <n v="128323.0"/>
        <n v="80091.0"/>
        <n v="92927.0"/>
        <n v="9158.0"/>
        <n v="103872.0"/>
        <n v="116809.0"/>
        <n v="114655.0"/>
        <n v="80228.0"/>
        <n v="47207.0"/>
        <n v="116402.0"/>
        <n v="116408.0"/>
        <n v="83592.0"/>
        <n v="122241.0"/>
        <n v="112799.0"/>
        <n v="122659.0"/>
        <n v="112797.0"/>
        <n v="122663.0"/>
        <n v="112809.0"/>
        <n v="80220.0"/>
        <n v="112732.0"/>
        <n v="83354.0"/>
        <n v="116410.0"/>
        <n v="103841.0"/>
        <n v="116746.0"/>
        <n v="116405.0"/>
        <n v="112810.0"/>
        <n v="47347.0"/>
        <n v="101902.0"/>
        <n v="92926.0"/>
        <n v="47345.0"/>
        <n v="121611.0"/>
        <n v="73310.0"/>
        <n v="80102.0"/>
        <n v="122773.0"/>
        <n v="119421.0"/>
        <n v="118276.0"/>
        <n v="47314.0"/>
        <n v="122771.0"/>
        <n v="47380.0"/>
        <n v="98329.0"/>
        <n v="81485.0"/>
        <n v="77847.0"/>
        <n v="77290.0"/>
        <n v="114656.0"/>
        <n v="118486.0"/>
        <n v="101889.0"/>
        <n v="14030.0"/>
        <n v="47381.0"/>
        <n v="101888.0"/>
        <n v="98328.0"/>
        <n v="79775.0"/>
        <n v="122616.0"/>
        <n v="101950.0"/>
        <n v="9163.0"/>
        <n v="110106.0"/>
        <n v="14045.0"/>
        <n v="95993.0"/>
        <n v="81488.0"/>
        <n v="14049.0"/>
        <n v="121749.0"/>
        <n v="101927.0"/>
        <n v="103864.0"/>
        <n v="85862.0"/>
        <n v="46124.0"/>
        <n v="114346.0"/>
        <n v="80194.0"/>
        <n v="80192.0"/>
        <n v="46109.0"/>
        <n v="80196.0"/>
        <n v="149602.0"/>
        <n v="46123.0"/>
        <n v="46113.0"/>
        <n v="46116.0"/>
        <n v="46119.0"/>
        <n v="63867.0"/>
        <n v="80190.0"/>
        <n v="48485.0"/>
        <n v="80203.0"/>
        <n v="100670.0"/>
        <n v="16546.0"/>
        <n v="121622.0"/>
        <n v="80202.0"/>
        <n v="24263.0"/>
        <n v="16552.0"/>
        <n v="112771.0"/>
        <n v="116197.0"/>
        <n v="46138.0"/>
        <n v="109546.0"/>
        <n v="199475.0"/>
        <n v="199479.0"/>
        <n v="48180.0"/>
        <n v="90374.0"/>
        <n v="80318.0"/>
        <n v="6206.0"/>
        <n v="181492.0"/>
        <n v="148738.0"/>
        <n v="100692.0"/>
        <n v="121708.0"/>
        <n v="47508.0"/>
        <n v="89514.0"/>
        <n v="117918.0"/>
        <n v="16645.0"/>
        <n v="148740.0"/>
        <n v="100688.0"/>
        <n v="148741.0"/>
        <n v="109299.0"/>
        <n v="196109.0"/>
        <n v="72155.0"/>
        <n v="80245.0"/>
        <n v="6215.0"/>
        <n v="45810.0"/>
        <n v="80205.0"/>
        <n v="107064.0"/>
        <n v="6211.0"/>
        <n v="44036.0"/>
        <n v="181493.0"/>
        <n v="6210.0"/>
        <n v="110431.0"/>
        <n v="122878.0"/>
        <n v="14092.0"/>
        <n v="121621.0"/>
        <n v="120511.0"/>
        <n v="46132.0"/>
        <n v="83014.0"/>
        <n v="80199.0"/>
        <n v="80201.0"/>
        <n v="46131.0"/>
        <n v="102346.0"/>
        <n v="14094.0"/>
        <n v="100679.0"/>
        <n v="102345.0"/>
        <n v="121695.0"/>
        <n v="6204.0"/>
        <n v="16571.0"/>
        <n v="181494.0"/>
        <n v="80315.0"/>
        <n v="83054.0"/>
        <n v="83056.0"/>
        <n v="83055.0"/>
        <n v="46134.0"/>
        <n v="121693.0"/>
        <n v="102344.0"/>
        <n v="100687.0"/>
        <n v="70327.0"/>
        <n v="80191.0"/>
        <n v="103037.0"/>
        <n v="6205.0"/>
        <n v="70387.0"/>
        <n v="122278.0"/>
        <n v="29365.0"/>
        <n v="17769.0"/>
        <n v="23144.0"/>
        <n v="120115.0"/>
        <n v="29384.0"/>
        <n v="17746.0"/>
        <n v="121630.0"/>
        <n v="29385.0"/>
        <n v="17767.0"/>
        <n v="103047.0"/>
        <n v="70209.0"/>
        <n v="29372.0"/>
        <n v="120485.0"/>
        <n v="120486.0"/>
        <n v="70293.0"/>
        <n v="71772.0"/>
        <n v="86111.0"/>
        <n v="71840.0"/>
        <n v="28533.0"/>
        <n v="86994.0"/>
        <n v="124881.0"/>
        <n v="119280.0"/>
        <n v="87001.0"/>
        <n v="71839.0"/>
        <n v="119288.0"/>
        <n v="71770.0"/>
        <n v="28536.0"/>
        <n v="90007.0"/>
        <n v="71830.0"/>
        <n v="71837.0"/>
        <n v="83640.0"/>
        <n v="111191.0"/>
        <n v="70442.0"/>
        <n v="122228.0"/>
        <n v="46822.0"/>
        <n v="71769.0"/>
        <n v="9302.0"/>
        <n v="90006.0"/>
        <n v="80673.0"/>
        <n v="71834.0"/>
        <n v="107310.0"/>
        <n v="71843.0"/>
        <n v="107358.0"/>
        <n v="44842.0"/>
        <n v="111181.0"/>
        <n v="71773.0"/>
        <n v="71836.0"/>
        <n v="70276.0"/>
        <n v="71775.0"/>
        <n v="44844.0"/>
        <n v="156181.0"/>
        <n v="102898.0"/>
        <n v="47600.0"/>
        <n v="111173.0"/>
        <n v="70201.0"/>
        <n v="71842.0"/>
        <n v="47601.0"/>
        <n v="87000.0"/>
        <n v="103457.0"/>
        <n v="42198.0"/>
        <n v="46823.0"/>
        <n v="116196.0"/>
        <n v="111177.0"/>
        <n v="70292.0"/>
        <n v="90008.0"/>
        <n v="71768.0"/>
        <n v="86972.0"/>
        <n v="111179.0"/>
        <n v="81726.0"/>
        <n v="28535.0"/>
        <n v="80682.0"/>
        <n v="144008.0"/>
        <n v="111129.0"/>
        <n v="107307.0"/>
        <n v="70206.0"/>
        <n v="107349.0"/>
        <n v="122231.0"/>
        <n v="103458.0"/>
        <n v="71838.0"/>
        <n v="104671.0"/>
        <n v="83793.0"/>
        <n v="50478.0"/>
        <n v="118891.0"/>
        <n v="70440.0"/>
        <n v="44840.0"/>
        <n v="107304.0"/>
        <n v="116195.0"/>
        <n v="86980.0"/>
        <n v="122230.0"/>
        <n v="47602.0"/>
        <n v="42190.0"/>
        <n v="111130.0"/>
        <n v="71774.0"/>
        <n v="75010.0"/>
        <n v="119276.0"/>
        <n v="83789.0"/>
        <n v="86999.0"/>
        <n v="80678.0"/>
        <n v="86973.0"/>
        <n v="81724.0"/>
        <n v="104678.0"/>
        <n v="71844.0"/>
        <n v="42287.0"/>
        <n v="116678.0"/>
        <n v="116845.0"/>
        <n v="114252.0"/>
        <n v="117595.0"/>
        <n v="109579.0"/>
        <n v="117597.0"/>
        <n v="14401.0"/>
        <n v="109290.0"/>
        <n v="117665.0"/>
        <n v="117681.0"/>
        <n v="119406.0"/>
        <n v="117676.0"/>
        <n v="109571.0"/>
        <n v="116676.0"/>
        <n v="116816.0"/>
        <n v="117663.0"/>
        <n v="117652.0"/>
        <n v="109289.0"/>
        <n v="117656.0"/>
        <n v="117677.0"/>
        <n v="116677.0"/>
        <n v="117256.0"/>
        <n v="122738.0"/>
        <n v="116679.0"/>
        <n v="116831.0"/>
        <n v="109577.0"/>
        <n v="77790.0"/>
        <n v="101172.0"/>
        <n v="87023.0"/>
        <n v="101520.0"/>
        <n v="118362.0"/>
        <n v="87313.0"/>
        <n v="111015.0"/>
        <n v="87312.0"/>
        <n v="87025.0"/>
        <n v="111587.0"/>
        <n v="114934.0"/>
        <n v="116519.0"/>
        <n v="116516.0"/>
        <n v="104931.0"/>
        <n v="105656.0"/>
        <n v="117702.0"/>
        <n v="88385.0"/>
        <n v="76451.0"/>
        <n v="199950.0"/>
        <n v="121167.0"/>
        <n v="199954.0"/>
        <n v="190713.0"/>
        <n v="199951.0"/>
        <n v="85263.0"/>
        <n v="180016.0"/>
        <n v="129432.0"/>
        <n v="120052.0"/>
        <n v="111876.0"/>
        <n v="85092.0"/>
        <n v="121046.0"/>
        <n v="849.0"/>
        <n v="21662.0"/>
        <n v="127038.0"/>
        <n v="91954.0"/>
        <n v="96365.0"/>
        <n v="121172.0"/>
        <n v="74331.0"/>
        <n v="105657.0"/>
        <n v="113716.0"/>
        <n v="104510.0"/>
        <n v="105059.0"/>
        <n v="63608.0"/>
        <n v="121095.0"/>
        <n v="76450.0"/>
        <n v="121012.0"/>
        <n v="113187.0"/>
        <n v="101946.0"/>
        <n v="117275.0"/>
        <n v="117695.0"/>
        <n v="74398.0"/>
        <n v="105230.0"/>
        <n v="112776.0"/>
        <n v="23968.0"/>
        <n v="127025.0"/>
        <n v="118956.0"/>
        <n v="118947.0"/>
        <n v="95873.0"/>
        <n v="118946.0"/>
        <n v="44991.0"/>
        <n v="122398.0"/>
        <n v="108638.0"/>
        <n v="113633.0"/>
        <n v="113649.0"/>
        <n v="113619.0"/>
        <n v="113648.0"/>
        <n v="120889.0"/>
        <n v="113620.0"/>
        <n v="113626.0"/>
        <n v="113657.0"/>
        <n v="113645.0"/>
        <n v="18247.0"/>
        <n v="121249.0"/>
        <n v="104912.0"/>
        <n v="73222.0"/>
        <n v="78834.0"/>
        <n v="15109.0"/>
        <n v="26126.0"/>
        <n v="48724.0"/>
        <n v="98888.0"/>
        <n v="48605.0"/>
        <n v="119243.0"/>
        <n v="22045.0"/>
        <n v="73221.0"/>
        <n v="72168.0"/>
        <n v="127039.0"/>
        <n v="155861.0"/>
        <n v="6213.0"/>
        <n v="6476.0"/>
        <n v="114933.0"/>
        <n v="6473.0"/>
        <n v="99248.0"/>
        <n v="6477.0"/>
        <n v="6478.0"/>
        <n v="6474.0"/>
        <n v="70574.0"/>
        <n v="101302.0"/>
        <n v="104475.0"/>
        <n v="101296.0"/>
        <n v="122029.0"/>
        <n v="102549.0"/>
        <n v="122026.0"/>
        <n v="101303.0"/>
        <n v="102548.0"/>
        <n v="122027.0"/>
        <n v="46963.0"/>
        <n v="102268.0"/>
        <n v="26649.0"/>
        <n v="102275.0"/>
        <n v="43943.0"/>
        <n v="102550.0"/>
        <n v="26650.0"/>
        <n v="117728.0"/>
        <n v="103588.0"/>
        <n v="101297.0"/>
        <n v="101298.0"/>
        <n v="113129.0"/>
        <n v="102551.0"/>
        <n v="117735.0"/>
        <n v="101299.0"/>
        <n v="103590.0"/>
        <n v="43944.0"/>
        <n v="113128.0"/>
        <n v="102553.0"/>
        <n v="114230.0"/>
        <n v="122028.0"/>
        <n v="102269.0"/>
        <n v="26651.0"/>
        <n v="101316.0"/>
        <n v="117742.0"/>
        <n v="101315.0"/>
        <n v="43945.0"/>
        <n v="103589.0"/>
        <n v="88896.0"/>
        <n v="103595.0"/>
        <n v="101300.0"/>
        <n v="113130.0"/>
        <n v="102272.0"/>
        <n v="43947.0"/>
        <n v="102271.0"/>
        <n v="103592.0"/>
        <n v="26652.0"/>
        <n v="43946.0"/>
        <n v="101301.0"/>
        <n v="108458.0"/>
        <n v="117736.0"/>
        <n v="49606.0"/>
        <n v="106297.0"/>
        <n v="15556.0"/>
        <n v="49605.0"/>
        <n v="102312.0"/>
        <n v="121125.0"/>
        <n v="106401.0"/>
        <n v="116834.0"/>
        <n v="1953.0"/>
        <n v="106305.0"/>
        <n v="108278.0"/>
        <n v="47660.0"/>
        <n v="47657.0"/>
        <n v="64185.0"/>
        <n v="108256.0"/>
        <n v="62597.0"/>
        <n v="102304.0"/>
        <n v="118242.0"/>
        <n v="121743.0"/>
        <n v="108257.0"/>
        <n v="117756.0"/>
        <n v="110334.0"/>
        <n v="102307.0"/>
        <n v="117750.0"/>
        <n v="181976.0"/>
        <n v="108258.0"/>
        <n v="110241.0"/>
        <n v="110337.0"/>
        <n v="118243.0"/>
        <n v="102305.0"/>
        <n v="110342.0"/>
        <n v="102306.0"/>
        <n v="194045.0"/>
        <n v="96009.0"/>
        <n v="104087.0"/>
        <n v="77448.0"/>
        <n v="5801.0"/>
        <n v="90650.0"/>
        <n v="6395.0"/>
        <n v="77444.0"/>
        <n v="20389.0"/>
        <n v="68293.0"/>
        <n v="90982.0"/>
        <n v="48279.0"/>
        <n v="77447.0"/>
        <n v="5710.0"/>
        <n v="90906.0"/>
        <n v="90883.0"/>
        <n v="113093.0"/>
        <n v="73926.0"/>
        <n v="110083.0"/>
        <n v="76313.0"/>
        <n v="68404.0"/>
        <n v="68322.0"/>
        <n v="73947.0"/>
        <n v="29116.0"/>
        <n v="90846.0"/>
        <n v="110084.0"/>
        <n v="73925.0"/>
        <n v="68296.0"/>
        <n v="90873.0"/>
        <n v="90874.0"/>
        <n v="90842.0"/>
        <n v="5709.0"/>
        <n v="76341.0"/>
        <n v="113094.0"/>
        <n v="76301.0"/>
        <n v="90844.0"/>
        <n v="90848.0"/>
        <n v="76318.0"/>
        <n v="118885.0"/>
        <n v="76349.0"/>
        <n v="30878.0"/>
        <n v="104176.0"/>
        <n v="78516.0"/>
        <n v="118884.0"/>
        <n v="119239.0"/>
        <n v="30875.0"/>
        <n v="73946.0"/>
        <n v="90690.0"/>
        <n v="101380.0"/>
        <n v="5804.0"/>
        <n v="82372.0"/>
        <n v="90643.0"/>
        <n v="68412.0"/>
        <n v="82393.0"/>
        <n v="5803.0"/>
        <n v="121706.0"/>
        <n v="68374.0"/>
        <n v="90946.0"/>
        <n v="69312.0"/>
        <n v="87128.0"/>
        <n v="149506.0"/>
        <n v="5722.0"/>
        <n v="5697.0"/>
        <n v="29117.0"/>
        <n v="68305.0"/>
        <n v="5714.0"/>
        <n v="73951.0"/>
        <n v="68337.0"/>
        <n v="76338.0"/>
        <n v="202592.0"/>
        <n v="69578.0"/>
        <n v="76383.0"/>
        <n v="5696.0"/>
        <n v="90929.0"/>
        <n v="90926.0"/>
        <n v="76364.0"/>
        <n v="79152.0"/>
        <n v="30874.0"/>
        <n v="5718.0"/>
        <n v="126542.0"/>
        <n v="90852.0"/>
        <n v="122139.0"/>
        <n v="126975.0"/>
        <n v="202593.0"/>
        <n v="73940.0"/>
        <n v="76360.0"/>
        <n v="118876.0"/>
        <n v="76366.0"/>
        <n v="122645.0"/>
        <n v="76372.0"/>
        <n v="5720.0"/>
        <n v="5695.0"/>
        <n v="90931.0"/>
        <n v="110085.0"/>
        <n v="113096.0"/>
        <n v="90878.0"/>
        <n v="73938.0"/>
        <n v="5698.0"/>
        <n v="76373.0"/>
        <n v="73945.0"/>
        <n v="159200.0"/>
        <n v="68354.0"/>
        <n v="5712.0"/>
        <n v="114471.0"/>
        <n v="90934.0"/>
        <n v="87851.0"/>
        <n v="90891.0"/>
        <n v="69579.0"/>
        <n v="90924.0"/>
        <n v="69311.0"/>
        <n v="90923.0"/>
        <n v="159197.0"/>
        <n v="88268.0"/>
        <n v="90913.0"/>
        <n v="76365.0"/>
        <n v="9205.0"/>
        <n v="76363.0"/>
        <n v="121967.0"/>
        <n v="90935.0"/>
        <n v="87126.0"/>
        <n v="90928.0"/>
        <n v="90912.0"/>
        <n v="48508.0"/>
        <n v="90853.0"/>
        <n v="117628.0"/>
        <n v="5699.0"/>
        <n v="5735.0"/>
        <n v="109832.0"/>
        <n v="122675.0"/>
        <n v="87225.0"/>
        <n v="82373.0"/>
        <n v="77254.0"/>
        <n v="5742.0"/>
        <n v="117622.0"/>
        <n v="77255.0"/>
        <n v="101964.0"/>
        <n v="48491.0"/>
        <n v="82368.0"/>
        <n v="82367.0"/>
        <n v="118426.0"/>
        <n v="5068.0"/>
        <n v="84660.0"/>
        <n v="5070.0"/>
        <n v="84681.0"/>
        <n v="102596.0"/>
        <n v="5037.0"/>
        <n v="5052.0"/>
        <n v="5051.0"/>
        <n v="102647.0"/>
        <n v="5061.0"/>
        <n v="102649.0"/>
        <n v="102662.0"/>
        <n v="108337.0"/>
        <n v="188352.0"/>
        <n v="11459.0"/>
        <n v="11443.0"/>
        <n v="70560.0"/>
        <n v="110363.0"/>
        <n v="11449.0"/>
        <n v="119793.0"/>
        <n v="41107.0"/>
        <n v="78358.0"/>
        <n v="77048.0"/>
        <n v="27428.0"/>
        <n v="8530.0"/>
        <n v="14281.0"/>
        <n v="140582.0"/>
        <n v="98895.0"/>
        <n v="77491.0"/>
        <n v="81704.0"/>
        <n v="111565.0"/>
        <n v="5774.0"/>
        <n v="112075.0"/>
        <n v="88469.0"/>
        <n v="112249.0"/>
        <n v="5775.0"/>
        <n v="77506.0"/>
        <n v="83646.0"/>
        <n v="77484.0"/>
        <n v="77481.0"/>
        <n v="17075.0"/>
        <n v="77492.0"/>
        <n v="112084.0"/>
        <n v="12041.0"/>
        <n v="83042.0"/>
        <n v="77490.0"/>
        <n v="43336.0"/>
        <n v="48609.0"/>
        <n v="117074.0"/>
        <n v="112085.0"/>
        <n v="106656.0"/>
        <n v="119244.0"/>
        <n v="73236.0"/>
        <n v="127582.0"/>
        <n v="128210.0"/>
        <n v="73187.0"/>
        <n v="41681.0"/>
        <n v="30624.0"/>
        <n v="114267.0"/>
        <n v="77441.0"/>
        <n v="116636.0"/>
        <n v="115198.0"/>
        <n v="89845.0"/>
        <n v="112248.0"/>
        <n v="89849.0"/>
        <n v="121709.0"/>
        <n v="122653.0"/>
        <n v="9759.0"/>
        <n v="86782.0"/>
        <n v="119246.0"/>
        <n v="6047.0"/>
        <n v="117526.0"/>
        <n v="106671.0"/>
        <n v="30889.0"/>
        <n v="80634.0"/>
        <n v="114269.0"/>
        <n v="84034.0"/>
        <n v="103271.0"/>
        <n v="72248.0"/>
        <n v="7672.0"/>
        <n v="82844.0"/>
        <n v="7685.0"/>
        <n v="7673.0"/>
        <n v="72328.0"/>
        <n v="87967.0"/>
        <n v="113193.0"/>
        <n v="82821.0"/>
        <n v="87964.0"/>
        <n v="201751.0"/>
        <n v="79057.0"/>
        <n v="41225.0"/>
        <n v="113300.0"/>
        <n v="113299.0"/>
        <n v="105475.0"/>
        <n v="114724.0"/>
        <n v="113298.0"/>
        <n v="82838.0"/>
        <n v="111960.0"/>
        <n v="108840.0"/>
        <n v="201044.0"/>
        <n v="81880.0"/>
        <n v="81873.0"/>
        <n v="117613.0"/>
        <n v="81876.0"/>
        <n v="104050.0"/>
        <n v="111934.0"/>
        <n v="29819.0"/>
        <n v="120392.0"/>
        <n v="29820.0"/>
        <n v="83755.0"/>
        <n v="111941.0"/>
        <n v="80858.0"/>
        <n v="81902.0"/>
        <n v="83754.0"/>
        <n v="116233.0"/>
        <n v="112192.0"/>
        <n v="119728.0"/>
        <n v="81901.0"/>
        <n v="141878.0"/>
        <n v="116236.0"/>
        <n v="120751.0"/>
        <n v="80756.0"/>
        <n v="119729.0"/>
        <n v="119028.0"/>
        <n v="116957.0"/>
        <n v="78235.0"/>
        <n v="119803.0"/>
        <n v="7669.0"/>
        <n v="139312.0"/>
        <n v="77773.0"/>
        <n v="73442.0"/>
        <n v="3974.0"/>
        <n v="104032.0"/>
        <n v="24162.0"/>
        <n v="24167.0"/>
        <n v="24174.0"/>
        <n v="24161.0"/>
        <n v="88594.0"/>
        <n v="118818.0"/>
        <n v="24166.0"/>
        <n v="118828.0"/>
        <n v="86169.0"/>
        <n v="118851.0"/>
        <n v="118824.0"/>
        <n v="122728.0"/>
        <n v="103474.0"/>
        <n v="120635.0"/>
        <n v="120633.0"/>
        <n v="121477.0"/>
        <n v="156024.0"/>
        <n v="70191.0"/>
        <n v="19822.0"/>
        <n v="156023.0"/>
        <n v="120628.0"/>
        <n v="45830.0"/>
        <n v="86192.0"/>
        <n v="127372.0"/>
        <n v="113902.0"/>
        <n v="119133.0"/>
        <n v="114946.0"/>
        <n v="118832.0"/>
        <n v="86499.0"/>
        <n v="81790.0"/>
        <n v="45898.0"/>
        <n v="24144.0"/>
        <n v="98351.0"/>
        <n v="86481.0"/>
        <n v="115747.0"/>
        <n v="116187.0"/>
        <n v="86162.0"/>
        <n v="90654.0"/>
        <n v="71743.0"/>
        <n v="71744.0"/>
        <n v="88590.0"/>
        <n v="78940.0"/>
        <n v="194752.0"/>
        <n v="194748.0"/>
        <n v="111580.0"/>
        <n v="194741.0"/>
        <n v="107082.0"/>
        <n v="83092.0"/>
        <n v="111581.0"/>
        <n v="88402.0"/>
        <n v="88413.0"/>
        <n v="86560.0"/>
        <n v="127584.0"/>
        <n v="122254.0"/>
        <n v="118849.0"/>
        <n v="107187.0"/>
        <n v="119932.0"/>
        <n v="92045.0"/>
        <n v="82168.0"/>
        <n v="79263.0"/>
        <n v="92044.0"/>
        <n v="114725.0"/>
        <n v="50684.0"/>
        <n v="82167.0"/>
        <n v="68513.0"/>
        <n v="76566.0"/>
        <n v="119088.0"/>
        <n v="119431.0"/>
        <n v="101279.0"/>
        <n v="101270.0"/>
        <n v="101282.0"/>
        <n v="70291.0"/>
        <n v="70290.0"/>
        <n v="19188.0"/>
        <n v="41117.0"/>
        <n v="30625.0"/>
        <n v="11462.0"/>
        <n v="120733.0"/>
        <n v="83487.0"/>
        <n v="117610.0"/>
        <n v="112177.0"/>
        <n v="11412.0"/>
        <n v="76842.0"/>
        <n v="78366.0"/>
        <n v="98984.0"/>
        <n v="120310.0"/>
        <n v="116277.0"/>
        <n v="77670.0"/>
        <n v="78363.0"/>
        <n v="11458.0"/>
        <n v="11456.0"/>
        <n v="120726.0"/>
        <n v="11404.0"/>
        <n v="11408.0"/>
        <n v="120708.0"/>
        <n v="74419.0"/>
        <n v="113278.0"/>
        <n v="83486.0"/>
        <n v="11452.0"/>
        <n v="116803.0"/>
        <n v="77657.0"/>
        <n v="120309.0"/>
        <n v="116276.0"/>
        <n v="104623.0"/>
        <n v="78364.0"/>
        <n v="76837.0"/>
        <n v="82873.0"/>
        <n v="110341.0"/>
        <n v="76874.0"/>
        <n v="110340.0"/>
        <n v="44409.0"/>
        <n v="73831.0"/>
        <n v="79035.0"/>
        <n v="94951.0"/>
        <n v="22248.0"/>
        <n v="16088.0"/>
        <n v="10571.0"/>
        <n v="182012.0"/>
        <n v="182013.0"/>
        <n v="107400.0"/>
        <n v="48623.0"/>
        <n v="48616.0"/>
        <n v="47515.0"/>
        <n v="81915.0"/>
        <n v="108920.0"/>
        <n v="107406.0"/>
        <n v="24074.0"/>
        <n v="107388.0"/>
        <n v="24075.0"/>
        <n v="27639.0"/>
        <n v="103632.0"/>
        <n v="10569.0"/>
        <n v="182007.0"/>
        <n v="182009.0"/>
        <n v="103630.0"/>
        <n v="47514.0"/>
        <n v="86370.0"/>
        <n v="86368.0"/>
        <n v="103174.0"/>
        <n v="48632.0"/>
        <n v="48630.0"/>
        <n v="48624.0"/>
        <n v="10573.0"/>
        <n v="18115.0"/>
        <n v="83057.0"/>
        <n v="26727.0"/>
        <n v="85779.0"/>
        <n v="84396.0"/>
        <n v="42676.0"/>
        <n v="108380.0"/>
        <n v="10565.0"/>
        <n v="107631.0"/>
        <n v="24061.0"/>
        <n v="182051.0"/>
        <n v="86360.0"/>
        <n v="10566.0"/>
        <n v="182014.0"/>
        <n v="182010.0"/>
        <n v="24076.0"/>
        <n v="10572.0"/>
        <n v="47527.0"/>
        <n v="10577.0"/>
        <n v="81914.0"/>
        <n v="120186.0"/>
        <n v="182015.0"/>
        <n v="117919.0"/>
        <n v="71228.0"/>
        <n v="67264.0"/>
        <n v="82984.0"/>
        <n v="86420.0"/>
        <n v="71227.0"/>
        <n v="18055.0"/>
        <n v="82989.0"/>
        <n v="86438.0"/>
        <n v="18061.0"/>
        <n v="67265.0"/>
        <n v="69552.0"/>
        <n v="110955.0"/>
        <n v="79505.0"/>
        <n v="110943.0"/>
        <n v="119048.0"/>
        <n v="42695.0"/>
        <n v="88980.0"/>
        <n v="149507.0"/>
        <n v="86988.0"/>
        <n v="73836.0"/>
        <n v="69322.0"/>
        <n v="8696.0"/>
        <n v="119062.0"/>
        <n v="188931.0"/>
        <n v="100238.0"/>
        <n v="47010.0"/>
        <n v="104605.0"/>
        <n v="42694.0"/>
        <n v="8697.0"/>
        <n v="110957.0"/>
        <n v="86989.0"/>
        <n v="8695.0"/>
        <n v="122792.0"/>
        <n v="8698.0"/>
        <n v="103866.0"/>
        <n v="103865.0"/>
        <n v="110945.0"/>
        <n v="158671.0"/>
        <n v="118915.0"/>
        <n v="88990.0"/>
        <n v="73835.0"/>
        <n v="8699.0"/>
        <n v="81494.0"/>
        <n v="89821.0"/>
        <n v="83567.0"/>
        <n v="69323.0"/>
        <n v="88976.0"/>
        <n v="199415.0"/>
        <n v="112792.0"/>
        <n v="104322.0"/>
        <n v="69321.0"/>
        <n v="110948.0"/>
        <n v="82008.0"/>
        <n v="86987.0"/>
        <n v="118912.0"/>
        <n v="47048.0"/>
        <n v="103870.0"/>
        <n v="86985.0"/>
        <n v="82005.0"/>
        <n v="119053.0"/>
        <n v="102015.0"/>
        <n v="92823.0"/>
        <n v="108060.0"/>
        <n v="4214.0"/>
        <n v="14715.0"/>
        <n v="16771.0"/>
        <n v="97945.0"/>
        <n v="144740.0"/>
        <n v="75342.0"/>
        <n v="88189.0"/>
        <n v="70677.0"/>
        <n v="86506.0"/>
        <n v="17360.0"/>
        <n v="9819.0"/>
        <n v="28574.0"/>
        <n v="102395.0"/>
        <n v="147302.0"/>
        <n v="85049.0"/>
        <n v="1683.0"/>
        <n v="1685.0"/>
        <n v="22193.0"/>
        <n v="9786.0"/>
        <n v="108770.0"/>
        <n v="109536.0"/>
        <n v="111743.0"/>
        <n v="108769.0"/>
        <n v="111742.0"/>
        <n v="88989.0"/>
        <n v="88987.0"/>
        <n v="88988.0"/>
        <n v="102816.0"/>
        <n v="49803.0"/>
        <n v="77302.0"/>
        <n v="94000.0"/>
        <n v="9616.0"/>
        <n v="115135.0"/>
        <n v="90727.0"/>
        <n v="24060.0"/>
        <n v="112086.0"/>
        <n v="90723.0"/>
        <n v="77601.0"/>
        <n v="12005.0"/>
        <n v="41680.0"/>
        <n v="12000.0"/>
        <n v="12022.0"/>
        <n v="113596.0"/>
        <n v="11998.0"/>
        <n v="12063.0"/>
        <n v="96069.0"/>
        <n v="12007.0"/>
        <n v="113592.0"/>
        <n v="147308.0"/>
        <n v="41679.0"/>
        <n v="112077.0"/>
        <n v="115133.0"/>
        <n v="30465.0"/>
        <n v="87405.0"/>
        <n v="77602.0"/>
        <n v="107058.0"/>
        <n v="5807.0"/>
        <n v="87061.0"/>
        <n v="108039.0"/>
        <n v="90837.0"/>
        <n v="88461.0"/>
        <n v="81504.0"/>
        <n v="12027.0"/>
        <n v="8883.0"/>
        <n v="112082.0"/>
        <n v="114961.0"/>
        <n v="112078.0"/>
        <n v="12025.0"/>
        <n v="11992.0"/>
        <n v="188850.0"/>
        <n v="69296.0"/>
        <n v="115141.0"/>
        <n v="112081.0"/>
        <n v="77611.0"/>
        <n v="111722.0"/>
        <n v="81503.0"/>
        <n v="117559.0"/>
        <n v="110230.0"/>
        <n v="122854.0"/>
        <n v="95371.0"/>
        <n v="101190.0"/>
        <n v="121532.0"/>
        <n v="6614.0"/>
        <n v="6618.0"/>
        <n v="96096.0"/>
        <n v="105977.0"/>
        <n v="105901.0"/>
        <n v="180823.0"/>
        <n v="118979.0"/>
        <n v="111502.0"/>
        <n v="180822.0"/>
        <n v="101196.0"/>
        <n v="180824.0"/>
        <n v="105905.0"/>
        <n v="101194.0"/>
        <n v="113719.0"/>
        <n v="111330.0"/>
        <n v="102089.0"/>
        <n v="116867.0"/>
        <n v="150297.0"/>
        <n v="23628.0"/>
        <n v="120369.0"/>
        <n v="114175.0"/>
        <n v="23649.0"/>
        <n v="80419.0"/>
        <n v="114173.0"/>
        <n v="91562.0"/>
        <n v="23662.0"/>
        <n v="76466.0"/>
        <n v="76465.0"/>
        <n v="68329.0"/>
        <n v="114470.0"/>
        <n v="110568.0"/>
        <n v="76470.0"/>
        <n v="5604.0"/>
        <n v="28613.0"/>
        <n v="159402.0"/>
        <n v="68379.0"/>
        <n v="91069.0"/>
        <n v="91060.0"/>
        <n v="182274.0"/>
        <n v="110566.0"/>
        <n v="78877.0"/>
        <n v="5490.0"/>
        <n v="68382.0"/>
        <n v="114663.0"/>
        <n v="76474.0"/>
        <n v="76455.0"/>
        <n v="46337.0"/>
        <n v="78430.0"/>
        <n v="5605.0"/>
        <n v="77419.0"/>
        <n v="121701.0"/>
        <n v="91072.0"/>
        <n v="68486.0"/>
        <n v="110576.0"/>
        <n v="78503.0"/>
        <n v="77439.0"/>
        <n v="5615.0"/>
        <n v="5602.0"/>
        <n v="28612.0"/>
        <n v="72247.0"/>
        <n v="76469.0"/>
        <n v="78876.0"/>
        <n v="91064.0"/>
        <n v="5603.0"/>
        <n v="5612.0"/>
        <n v="43897.0"/>
        <n v="91058.0"/>
        <n v="107998.0"/>
        <n v="112194.0"/>
        <n v="68232.0"/>
        <n v="159386.0"/>
        <n v="76471.0"/>
        <n v="68357.0"/>
        <n v="68303.0"/>
        <n v="68325.0"/>
        <n v="68515.0"/>
        <n v="107989.0"/>
        <n v="76732.0"/>
        <n v="14711.0"/>
        <n v="14706.0"/>
        <n v="23975.0"/>
        <n v="90665.0"/>
        <n v="69551.0"/>
        <n v="69503.0"/>
        <n v="23473.0"/>
        <n v="69500.0"/>
        <n v="14689.0"/>
        <n v="19409.0"/>
        <n v="69526.0"/>
        <n v="19412.0"/>
        <n v="23471.0"/>
        <n v="14670.0"/>
        <n v="69499.0"/>
        <n v="90686.0"/>
        <n v="111872.0"/>
        <n v="23964.0"/>
        <n v="111837.0"/>
        <n v="19377.0"/>
        <n v="111836.0"/>
        <n v="190103.0"/>
        <n v="19408.0"/>
        <n v="14694.0"/>
        <n v="5686.0"/>
        <n v="111842.0"/>
        <n v="23978.0"/>
        <n v="14682.0"/>
        <n v="111873.0"/>
        <n v="23454.0"/>
        <n v="16760.0"/>
        <n v="14709.0"/>
        <n v="14665.0"/>
        <n v="8869.0"/>
        <n v="68520.0"/>
        <n v="107331.0"/>
        <n v="107325.0"/>
        <n v="8871.0"/>
        <n v="107334.0"/>
        <n v="120302.0"/>
        <n v="117661.0"/>
        <n v="79006.0"/>
        <n v="17133.0"/>
        <n v="76818.0"/>
        <n v="70236.0"/>
        <n v="91342.0"/>
        <n v="121782.0"/>
        <n v="76822.0"/>
        <n v="100278.0"/>
        <n v="122795.0"/>
        <n v="100282.0"/>
        <n v="68867.0"/>
        <n v="8862.0"/>
        <n v="72131.0"/>
        <n v="12047.0"/>
        <n v="121790.0"/>
        <n v="121787.0"/>
        <n v="70239.0"/>
        <n v="113942.0"/>
        <n v="119134.0"/>
        <n v="76813.0"/>
        <n v="121793.0"/>
        <n v="100283.0"/>
        <n v="75028.0"/>
        <n v="113946.0"/>
        <n v="12050.0"/>
        <n v="104312.0"/>
        <n v="121780.0"/>
        <n v="88638.0"/>
        <n v="70238.0"/>
        <n v="121839.0"/>
        <n v="77621.0"/>
        <n v="121783.0"/>
        <n v="75033.0"/>
        <n v="12053.0"/>
        <n v="113954.0"/>
        <n v="5782.0"/>
        <n v="107915.0"/>
        <n v="68866.0"/>
        <n v="121837.0"/>
        <n v="121840.0"/>
        <n v="90979.0"/>
        <n v="114350.0"/>
        <n v="47539.0"/>
        <n v="83948.0"/>
        <n v="17139.0"/>
        <n v="12051.0"/>
        <n v="12052.0"/>
        <n v="121838.0"/>
        <n v="107917.0"/>
        <n v="5779.0"/>
        <n v="120303.0"/>
        <n v="121784.0"/>
        <n v="107913.0"/>
        <n v="58759.0"/>
        <n v="158697.0"/>
        <n v="87160.0"/>
        <n v="88694.0"/>
        <n v="120393.0"/>
        <n v="89581.0"/>
        <n v="6514.0"/>
        <n v="105340.0"/>
        <n v="120865.0"/>
        <n v="110078.0"/>
        <n v="122343.0"/>
        <n v="12296.0"/>
        <n v="96952.0"/>
        <n v="82193.0"/>
        <n v="89802.0"/>
        <n v="87044.0"/>
        <n v="87042.0"/>
        <n v="116274.0"/>
        <n v="122344.0"/>
        <n v="122345.0"/>
        <n v="120867.0"/>
        <n v="28494.0"/>
        <n v="8882.0"/>
        <n v="116275.0"/>
        <n v="121424.0"/>
        <n v="75058.0"/>
        <n v="75056.0"/>
        <n v="42239.0"/>
        <n v="42237.0"/>
        <n v="69457.0"/>
        <n v="69328.0"/>
        <n v="69454.0"/>
        <n v="69469.0"/>
        <n v="193264.0"/>
        <n v="115763.0"/>
        <n v="69463.0"/>
        <n v="84168.0"/>
        <n v="75077.0"/>
        <n v="42229.0"/>
        <n v="89588.0"/>
        <n v="99973.0"/>
        <n v="70241.0"/>
        <n v="129479.0"/>
        <n v="107926.0"/>
        <n v="42232.0"/>
        <n v="122106.0"/>
        <n v="69456.0"/>
        <n v="118888.0"/>
        <n v="69468.0"/>
        <n v="117629.0"/>
        <n v="121475.0"/>
        <n v="80412.0"/>
        <n v="122857.0"/>
        <n v="115769.0"/>
        <n v="115774.0"/>
        <n v="118889.0"/>
        <n v="115758.0"/>
        <n v="115755.0"/>
        <n v="114964.0"/>
        <n v="87617.0"/>
        <n v="118542.0"/>
        <n v="122845.0"/>
        <n v="114967.0"/>
        <n v="121476.0"/>
        <n v="120529.0"/>
        <n v="120530.0"/>
        <n v="117638.0"/>
        <n v="108240.0"/>
        <n v="88635.0"/>
        <n v="69340.0"/>
        <n v="199472.0"/>
        <n v="117646.0"/>
        <n v="84167.0"/>
        <n v="81742.0"/>
        <n v="115754.0"/>
        <n v="69334.0"/>
        <n v="117753.0"/>
        <n v="129482.0"/>
        <n v="117634.0"/>
        <n v="111027.0"/>
        <n v="115772.0"/>
        <n v="115768.0"/>
        <n v="69476.0"/>
        <n v="122118.0"/>
        <n v="87447.0"/>
        <n v="129480.0"/>
        <n v="84164.0"/>
        <n v="69338.0"/>
        <n v="120531.0"/>
        <n v="120524.0"/>
        <n v="117631.0"/>
        <n v="115757.0"/>
        <n v="42243.0"/>
        <n v="115761.0"/>
        <n v="113960.0"/>
        <n v="42241.0"/>
        <n v="115770.0"/>
        <n v="118541.0"/>
        <n v="115750.0"/>
        <n v="99969.0"/>
        <n v="129483.0"/>
        <n v="42255.0"/>
        <n v="100235.0"/>
        <n v="129481.0"/>
        <n v="87455.0"/>
        <n v="120257.0"/>
        <n v="122221.0"/>
        <n v="122216.0"/>
        <n v="140598.0"/>
        <n v="112123.0"/>
        <n v="70402.0"/>
        <n v="119110.0"/>
        <n v="139295.0"/>
        <n v="71056.0"/>
        <n v="122218.0"/>
        <n v="122217.0"/>
        <n v="119119.0"/>
        <n v="46933.0"/>
        <n v="119118.0"/>
        <n v="41035.0"/>
        <n v="139303.0"/>
        <n v="101784.0"/>
        <n v="122219.0"/>
        <n v="122215.0"/>
        <n v="111154.0"/>
        <n v="119117.0"/>
        <n v="20419.0"/>
        <n v="122220.0"/>
        <n v="122214.0"/>
        <n v="46936.0"/>
        <n v="112122.0"/>
        <n v="71055.0"/>
        <n v="41034.0"/>
        <n v="111153.0"/>
        <n v="119120.0"/>
        <n v="139297.0"/>
        <n v="48476.0"/>
        <n v="103454.0"/>
        <n v="103456.0"/>
        <n v="139304.0"/>
        <n v="158661.0"/>
        <n v="162441.0"/>
        <n v="102695.0"/>
        <n v="78913.0"/>
        <n v="71397.0"/>
        <n v="17596.0"/>
        <n v="71398.0"/>
        <n v="17627.0"/>
        <n v="86166.0"/>
        <n v="71409.0"/>
        <n v="12877.0"/>
        <n v="121868.0"/>
        <n v="17626.0"/>
        <n v="71394.0"/>
        <n v="17620.0"/>
        <n v="86186.0"/>
        <n v="71410.0"/>
        <n v="121869.0"/>
        <n v="17624.0"/>
        <n v="119737.0"/>
        <n v="17618.0"/>
        <n v="78741.0"/>
        <n v="86864.0"/>
        <n v="71421.0"/>
        <n v="115776.0"/>
        <n v="71393.0"/>
        <n v="78739.0"/>
        <n v="71408.0"/>
        <n v="109194.0"/>
        <n v="84448.0"/>
        <n v="140575.0"/>
        <n v="71420.0"/>
        <n v="71375.0"/>
        <n v="71376.0"/>
        <n v="110975.0"/>
        <n v="86170.0"/>
        <n v="142787.0"/>
        <n v="109185.0"/>
        <n v="109184.0"/>
        <n v="72575.0"/>
        <n v="78909.0"/>
        <n v="17630.0"/>
        <n v="78924.0"/>
        <n v="82196.0"/>
        <n v="86184.0"/>
        <n v="6219.0"/>
        <n v="116185.0"/>
        <n v="12873.0"/>
        <n v="71413.0"/>
        <n v="128352.0"/>
        <n v="17594.0"/>
        <n v="71404.0"/>
        <n v="129473.0"/>
        <n v="78904.0"/>
        <n v="122311.0"/>
        <n v="86172.0"/>
        <n v="17592.0"/>
        <n v="89981.0"/>
        <n v="71399.0"/>
        <n v="17587.0"/>
        <n v="17647.0"/>
        <n v="107364.0"/>
        <n v="24118.0"/>
        <n v="86181.0"/>
        <n v="129474.0"/>
        <n v="17601.0"/>
        <n v="78938.0"/>
        <n v="17609.0"/>
        <n v="129452.0"/>
        <n v="88587.0"/>
        <n v="17645.0"/>
        <n v="78899.0"/>
        <n v="71402.0"/>
        <n v="12875.0"/>
        <n v="17615.0"/>
        <n v="193116.0"/>
        <n v="72577.0"/>
        <n v="78916.0"/>
        <n v="71419.0"/>
        <n v="188223.0"/>
        <n v="71417.0"/>
        <n v="46895.0"/>
        <n v="86157.0"/>
        <n v="159110.0"/>
        <n v="46913.0"/>
        <n v="71400.0"/>
        <n v="46914.0"/>
        <n v="120300.0"/>
        <n v="71412.0"/>
        <n v="71415.0"/>
        <n v="71414.0"/>
        <n v="10336.0"/>
        <n v="125173.0"/>
        <n v="112994.0"/>
        <n v="125182.0"/>
        <n v="121112.0"/>
        <n v="125172.0"/>
        <n v="125196.0"/>
        <n v="125192.0"/>
        <n v="125194.0"/>
        <n v="125198.0"/>
        <n v="111220.0"/>
        <n v="105969.0"/>
        <n v="105981.0"/>
        <n v="125185.0"/>
        <n v="111605.0"/>
        <n v="111608.0"/>
        <n v="97023.0"/>
        <n v="111607.0"/>
        <n v="71083.0"/>
        <n v="118178.0"/>
        <n v="81767.0"/>
        <n v="118186.0"/>
        <n v="43228.0"/>
        <n v="199268.0"/>
        <n v="118196.0"/>
        <n v="71084.0"/>
        <n v="120587.0"/>
        <n v="80952.0"/>
        <n v="120575.0"/>
        <n v="43244.0"/>
        <n v="116477.0"/>
        <n v="110480.0"/>
        <n v="87548.0"/>
        <n v="77223.0"/>
        <n v="43241.0"/>
        <n v="71161.0"/>
        <n v="77224.0"/>
        <n v="113992.0"/>
        <n v="112611.0"/>
        <n v="116482.0"/>
        <n v="77246.0"/>
        <n v="122798.0"/>
        <n v="120590.0"/>
        <n v="71914.0"/>
        <n v="118206.0"/>
        <n v="118179.0"/>
        <n v="43247.0"/>
        <n v="71166.0"/>
        <n v="43238.0"/>
        <n v="114003.0"/>
        <n v="87540.0"/>
        <n v="77229.0"/>
        <n v="113994.0"/>
        <n v="106725.0"/>
        <n v="43235.0"/>
        <n v="118176.0"/>
        <n v="114018.0"/>
        <n v="116480.0"/>
        <n v="120577.0"/>
        <n v="118201.0"/>
        <n v="77245.0"/>
        <n v="118195.0"/>
        <n v="118197.0"/>
        <n v="187317.0"/>
        <n v="199484.0"/>
        <n v="113995.0"/>
        <n v="113669.0"/>
        <n v="111584.0"/>
        <n v="26123.0"/>
        <n v="113665.0"/>
        <n v="181241.0"/>
        <n v="113664.0"/>
        <n v="113677.0"/>
        <n v="120343.0"/>
        <n v="113666.0"/>
        <n v="113663.0"/>
        <n v="116983.0"/>
        <n v="94043.0"/>
        <n v="68216.0"/>
        <n v="80131.0"/>
        <n v="80998.0"/>
        <n v="87014.0"/>
        <n v="102900.0"/>
        <n v="80997.0"/>
        <n v="116989.0"/>
        <n v="43826.0"/>
        <n v="8769.0"/>
        <n v="104427.0"/>
        <n v="8770.0"/>
        <n v="94930.0"/>
        <n v="111576.0"/>
        <n v="71715.0"/>
        <n v="71710.0"/>
        <n v="102790.0"/>
        <n v="3518.0"/>
        <n v="18318.0"/>
        <n v="104220.0"/>
        <n v="106109.0"/>
        <n v="72162.0"/>
        <n v="104410.0"/>
        <n v="88825.0"/>
        <n v="13928.0"/>
        <n v="45368.0"/>
        <n v="119732.0"/>
        <n v="90467.0"/>
        <n v="119874.0"/>
        <n v="121316.0"/>
        <n v="77390.0"/>
        <n v="11444.0"/>
        <n v="74416.0"/>
        <n v="75323.0"/>
        <n v="86619.0"/>
        <n v="119801.0"/>
        <n v="126576.0"/>
        <n v="108841.0"/>
        <n v="82820.0"/>
        <n v="116826.0"/>
        <n v="126965.0"/>
        <n v="103795.0"/>
        <n v="116821.0"/>
        <n v="126577.0"/>
        <n v="82806.0"/>
        <n v="68099.0"/>
        <n v="82827.0"/>
        <n v="77127.0"/>
        <n v="69002.0"/>
        <n v="119847.0"/>
        <n v="11446.0"/>
        <n v="30628.0"/>
        <n v="113003.0"/>
        <n v="30631.0"/>
        <n v="188351.0"/>
        <n v="67025.0"/>
        <n v="119797.0"/>
        <n v="3592.0"/>
        <n v="3586.0"/>
        <n v="3591.0"/>
        <n v="73847.0"/>
        <n v="3590.0"/>
        <n v="116903.0"/>
        <n v="116780.0"/>
        <n v="114912.0"/>
        <n v="111970.0"/>
        <n v="126973.0"/>
        <n v="116964.0"/>
        <n v="122340.0"/>
        <n v="116963.0"/>
        <n v="120241.0"/>
        <n v="120205.0"/>
        <n v="104162.0"/>
        <n v="110792.0"/>
        <n v="104169.0"/>
        <n v="111957.0"/>
        <n v="89201.0"/>
        <n v="87305.0"/>
        <n v="3480.0"/>
        <n v="116817.0"/>
        <n v="47209.0"/>
        <n v="68213.0"/>
        <n v="100999.0"/>
        <n v="119241.0"/>
        <n v="133917.0"/>
        <n v="128334.0"/>
        <n v="113235.0"/>
        <n v="113249.0"/>
        <n v="89210.0"/>
        <n v="104170.0"/>
        <n v="18671.0"/>
        <n v="83804.0"/>
        <n v="104415.0"/>
        <n v="78351.0"/>
        <n v="112174.0"/>
        <n v="120248.0"/>
        <n v="18672.0"/>
        <n v="13517.0"/>
        <n v="119896.0"/>
        <n v="120249.0"/>
        <n v="78352.0"/>
        <n v="45630.0"/>
        <n v="99726.0"/>
        <n v="88619.0"/>
        <n v="73430.0"/>
        <n v="98939.0"/>
        <n v="45826.0"/>
        <n v="100797.0"/>
        <n v="104429.0"/>
        <n v="119806.0"/>
        <n v="120734.0"/>
        <n v="104423.0"/>
        <n v="120286.0"/>
        <n v="81838.0"/>
        <n v="117718.0"/>
        <n v="70611.0"/>
        <n v="110848.0"/>
        <n v="107925.0"/>
        <n v="156038.0"/>
        <n v="117392.0"/>
        <n v="86620.0"/>
        <n v="27871.0"/>
        <n v="82874.0"/>
        <n v="120292.0"/>
        <n v="120293.0"/>
        <n v="44522.0"/>
        <n v="143999.0"/>
        <n v="144000.0"/>
        <n v="91236.0"/>
        <n v="78213.0"/>
        <n v="119254.0"/>
        <n v="82149.0"/>
        <n v="30864.0"/>
        <n v="82148.0"/>
        <n v="78069.0"/>
        <n v="68623.0"/>
        <n v="108904.0"/>
        <n v="113967.0"/>
        <n v="10145.0"/>
        <n v="116960.0"/>
        <n v="103663.0"/>
        <n v="45983.0"/>
        <n v="103662.0"/>
        <n v="78318.0"/>
        <n v="120179.0"/>
        <n v="10144.0"/>
        <n v="78304.0"/>
        <n v="86598.0"/>
        <n v="103665.0"/>
        <n v="77771.0"/>
        <n v="116798.0"/>
        <n v="100610.0"/>
        <n v="77772.0"/>
        <n v="119914.0"/>
        <n v="88495.0"/>
        <n v="88487.0"/>
        <n v="109488.0"/>
        <n v="11401.0"/>
        <n v="45530.0"/>
        <n v="104426.0"/>
        <n v="119827.0"/>
        <n v="104384.0"/>
        <n v="121966.0"/>
        <n v="120183.0"/>
        <n v="82832.0"/>
        <n v="117607.0"/>
        <n v="116244.0"/>
        <n v="81045.0"/>
        <n v="106021.0"/>
        <n v="86622.0"/>
        <n v="82834.0"/>
        <n v="81008.0"/>
        <n v="83167.0"/>
        <n v="86584.0"/>
        <n v="79902.0"/>
        <n v="41328.0"/>
        <n v="79907.0"/>
        <n v="70588.0"/>
        <n v="70587.0"/>
        <n v="109356.0"/>
        <n v="47892.0"/>
        <n v="79901.0"/>
        <n v="70585.0"/>
        <n v="4375.0"/>
        <n v="4380.0"/>
        <n v="84967.0"/>
        <n v="4381.0"/>
        <n v="4379.0"/>
        <n v="4383.0"/>
        <n v="110770.0"/>
        <n v="110764.0"/>
        <n v="109355.0"/>
        <n v="110765.0"/>
        <n v="103510.0"/>
        <n v="114936.0"/>
        <n v="114935.0"/>
        <n v="110768.0"/>
        <n v="120256.0"/>
        <n v="101783.0"/>
        <n v="75766.0"/>
        <n v="69756.0"/>
        <n v="112471.0"/>
        <n v="99040.0"/>
        <n v="112321.0"/>
        <n v="139296.0"/>
        <n v="112318.0"/>
        <n v="86119.0"/>
        <n v="79895.0"/>
        <n v="133909.0"/>
        <n v="128338.0"/>
        <n v="42990.0"/>
        <n v="128339.0"/>
        <n v="42008.0"/>
        <n v="112320.0"/>
        <n v="111150.0"/>
        <n v="101782.0"/>
        <n v="128402.0"/>
        <n v="112322.0"/>
        <n v="41994.0"/>
        <n v="112319.0"/>
        <n v="42002.0"/>
        <n v="120263.0"/>
        <n v="112855.0"/>
        <n v="111151.0"/>
        <n v="111152.0"/>
        <n v="122224.0"/>
        <n v="124709.0"/>
        <n v="99039.0"/>
        <n v="82928.0"/>
        <n v="111149.0"/>
        <n v="82927.0"/>
        <n v="112317.0"/>
        <n v="140597.0"/>
        <n v="122229.0"/>
        <n v="112473.0"/>
        <n v="122226.0"/>
        <n v="4385.0"/>
        <n v="41029.0"/>
        <n v="4386.0"/>
        <n v="41030.0"/>
        <n v="84950.0"/>
        <n v="45255.0"/>
        <n v="108070.0"/>
        <n v="108069.0"/>
        <n v="9668.0"/>
        <n v="26322.0"/>
        <n v="70413.0"/>
        <n v="4389.0"/>
        <n v="128340.0"/>
        <n v="108071.0"/>
        <n v="108068.0"/>
        <n v="9662.0"/>
        <n v="117611.0"/>
        <n v="111148.0"/>
        <n v="9680.0"/>
        <n v="117605.0"/>
        <n v="108077.0"/>
        <n v="9681.0"/>
        <n v="4388.0"/>
        <n v="99036.0"/>
        <n v="109344.0"/>
        <n v="9663.0"/>
        <n v="119106.0"/>
        <n v="9664.0"/>
        <n v="108064.0"/>
        <n v="70414.0"/>
        <n v="9673.0"/>
        <n v="117604.0"/>
        <n v="45165.0"/>
        <n v="128341.0"/>
        <n v="101917.0"/>
        <n v="79419.0"/>
        <n v="9675.0"/>
        <n v="9671.0"/>
        <n v="20247.0"/>
        <n v="109240.0"/>
        <n v="104079.0"/>
        <n v="126567.0"/>
        <n v="45567.0"/>
        <n v="109241.0"/>
        <n v="126564.0"/>
        <n v="20246.0"/>
        <n v="99321.0"/>
        <n v="99322.0"/>
        <n v="126561.0"/>
        <n v="113871.0"/>
        <n v="68332.0"/>
        <n v="102081.0"/>
        <n v="84213.0"/>
        <n v="68302.0"/>
        <n v="88238.0"/>
        <n v="84202.0"/>
        <n v="84226.0"/>
        <n v="104071.0"/>
        <n v="104075.0"/>
        <n v="91042.0"/>
        <n v="108047.0"/>
        <n v="90993.0"/>
        <n v="19277.0"/>
        <n v="84223.0"/>
        <n v="84225.0"/>
        <n v="113865.0"/>
        <n v="94645.0"/>
        <n v="104073.0"/>
        <n v="113880.0"/>
        <n v="91045.0"/>
        <n v="84231.0"/>
        <n v="68321.0"/>
        <n v="84211.0"/>
        <n v="158663.0"/>
        <n v="113874.0"/>
        <n v="84234.0"/>
        <n v="76642.0"/>
        <n v="126573.0"/>
        <n v="113877.0"/>
        <n v="84212.0"/>
        <n v="84203.0"/>
        <n v="91038.0"/>
        <n v="19335.0"/>
        <n v="103073.0"/>
        <n v="122261.0"/>
        <n v="68315.0"/>
        <n v="110229.0"/>
        <n v="5548.0"/>
        <n v="126544.0"/>
        <n v="90792.0"/>
        <n v="126541.0"/>
        <n v="71190.0"/>
        <n v="76425.0"/>
        <n v="76422.0"/>
        <n v="159201.0"/>
        <n v="76421.0"/>
        <n v="76424.0"/>
        <n v="90766.0"/>
        <n v="5538.0"/>
        <n v="68371.0"/>
        <n v="90808.0"/>
        <n v="5543.0"/>
        <n v="76420.0"/>
        <n v="68364.0"/>
        <n v="5541.0"/>
        <n v="5544.0"/>
        <n v="122257.0"/>
        <n v="90740.0"/>
        <n v="48280.0"/>
        <n v="71191.0"/>
        <n v="76418.0"/>
        <n v="87161.0"/>
        <n v="68323.0"/>
        <n v="72847.0"/>
        <n v="90799.0"/>
        <n v="71194.0"/>
        <n v="68378.0"/>
        <n v="76426.0"/>
        <n v="76413.0"/>
        <n v="68306.0"/>
        <n v="48283.0"/>
        <n v="81172.0"/>
        <n v="68328.0"/>
        <n v="158667.0"/>
        <n v="5539.0"/>
        <n v="68413.0"/>
        <n v="68345.0"/>
        <n v="70377.0"/>
        <n v="126547.0"/>
        <n v="117218.0"/>
        <n v="158668.0"/>
        <n v="19314.0"/>
        <n v="113867.0"/>
        <n v="19294.0"/>
        <n v="90961.0"/>
        <n v="118480.0"/>
        <n v="98337.0"/>
        <n v="90955.0"/>
        <n v="19303.0"/>
        <n v="98338.0"/>
        <n v="98339.0"/>
        <n v="19296.0"/>
        <n v="19306.0"/>
        <n v="90969.0"/>
        <n v="19299.0"/>
        <n v="5764.0"/>
        <n v="114667.0"/>
        <n v="113870.0"/>
        <n v="127918.0"/>
        <n v="127917.0"/>
        <n v="19297.0"/>
        <n v="19316.0"/>
        <n v="118481.0"/>
        <n v="118366.0"/>
        <n v="111183.0"/>
        <n v="124735.0"/>
        <n v="78727.0"/>
        <n v="111182.0"/>
        <n v="78734.0"/>
        <n v="78729.0"/>
        <n v="111662.0"/>
        <n v="78728.0"/>
        <n v="119082.0"/>
        <n v="5770.0"/>
        <n v="103072.0"/>
        <n v="19344.0"/>
        <n v="84219.0"/>
        <n v="19345.0"/>
        <n v="90816.0"/>
        <n v="23198.0"/>
        <n v="87207.0"/>
        <n v="5694.0"/>
        <n v="119084.0"/>
        <n v="127927.0"/>
        <n v="111184.0"/>
        <n v="19341.0"/>
        <n v="118485.0"/>
        <n v="110565.0"/>
        <n v="118484.0"/>
        <n v="107652.0"/>
        <n v="107673.0"/>
        <n v="107902.0"/>
        <n v="19340.0"/>
        <n v="69190.0"/>
        <n v="48451.0"/>
        <n v="19339.0"/>
        <n v="69195.0"/>
        <n v="77192.0"/>
        <n v="95922.0"/>
        <n v="116779.0"/>
        <n v="69238.0"/>
        <n v="19337.0"/>
        <n v="19326.0"/>
        <n v="69251.0"/>
        <n v="81871.0"/>
        <n v="19321.0"/>
        <n v="117618.0"/>
        <n v="117623.0"/>
        <n v="117614.0"/>
        <n v="14393.0"/>
        <n v="70419.0"/>
        <n v="111147.0"/>
        <n v="4325.0"/>
        <n v="4321.0"/>
        <n v="70418.0"/>
        <n v="80648.0"/>
        <n v="70417.0"/>
        <n v="79420.0"/>
        <n v="4327.0"/>
        <n v="89505.0"/>
        <n v="128344.0"/>
        <n v="79421.0"/>
        <n v="128336.0"/>
        <n v="5081.0"/>
        <n v="79423.0"/>
        <n v="116481.0"/>
        <n v="118278.0"/>
        <n v="116440.0"/>
        <n v="116478.0"/>
        <n v="139305.0"/>
        <n v="118280.0"/>
        <n v="116506.0"/>
        <n v="116504.0"/>
        <n v="116435.0"/>
        <n v="70575.0"/>
        <n v="128343.0"/>
        <n v="112099.0"/>
        <n v="128337.0"/>
        <n v="4339.0"/>
        <n v="14399.0"/>
        <n v="4340.0"/>
        <n v="45250.0"/>
        <n v="9651.0"/>
        <n v="4329.0"/>
        <n v="4338.0"/>
        <n v="112100.0"/>
        <n v="9650.0"/>
        <n v="9649.0"/>
        <n v="9652.0"/>
        <n v="79426.0"/>
        <n v="79425.0"/>
        <n v="4335.0"/>
        <n v="70420.0"/>
        <n v="9655.0"/>
        <n v="68510.0"/>
        <n v="11068.0"/>
        <n v="79888.0"/>
        <n v="108982.0"/>
        <n v="88020.0"/>
        <n v="44824.0"/>
        <n v="46900.0"/>
        <n v="41981.0"/>
        <n v="44825.0"/>
        <n v="6875.0"/>
        <n v="108981.0"/>
        <n v="110931.0"/>
        <n v="99037.0"/>
        <n v="99096.0"/>
        <n v="41986.0"/>
        <n v="79430.0"/>
        <n v="41921.0"/>
        <n v="41910.0"/>
        <n v="11069.0"/>
        <n v="41924.0"/>
        <n v="133913.0"/>
        <n v="70422.0"/>
        <n v="17812.0"/>
        <n v="70429.0"/>
        <n v="70428.0"/>
        <n v="99038.0"/>
        <n v="11071.0"/>
        <n v="17066.0"/>
        <n v="117649.0"/>
        <n v="70426.0"/>
        <n v="75750.0"/>
        <n v="117644.0"/>
        <n v="68512.0"/>
        <n v="12792.0"/>
        <n v="46684.0"/>
        <n v="12795.0"/>
        <n v="46686.0"/>
        <n v="12804.0"/>
        <n v="12799.0"/>
        <n v="100914.0"/>
        <n v="12802.0"/>
        <n v="100907.0"/>
        <n v="12794.0"/>
        <n v="4261.0"/>
        <n v="9656.0"/>
        <n v="9657.0"/>
        <n v="9660.0"/>
        <n v="9648.0"/>
        <n v="79424.0"/>
        <n v="4267.0"/>
        <n v="9647.0"/>
        <n v="110772.0"/>
        <n v="4255.0"/>
        <n v="4270.0"/>
        <n v="4264.0"/>
        <n v="4271.0"/>
        <n v="79428.0"/>
        <n v="68509.0"/>
        <n v="112104.0"/>
        <n v="79885.0"/>
        <n v="6876.0"/>
        <n v="79427.0"/>
        <n v="44828.0"/>
        <n v="122213.0"/>
        <n v="46903.0"/>
        <n v="80359.0"/>
        <n v="44827.0"/>
        <n v="79882.0"/>
        <n v="11065.0"/>
        <n v="41991.0"/>
        <n v="6877.0"/>
        <n v="4290.0"/>
        <n v="4905.0"/>
        <n v="41979.0"/>
        <n v="41925.0"/>
        <n v="17067.0"/>
        <n v="70425.0"/>
        <n v="17065.0"/>
        <n v="103514.0"/>
        <n v="4298.0"/>
        <n v="4301.0"/>
        <n v="75752.0"/>
        <n v="21520.0"/>
        <n v="82206.0"/>
        <n v="5599.0"/>
        <n v="87231.0"/>
        <n v="5861.0"/>
        <n v="90909.0"/>
        <n v="21523.0"/>
        <n v="5485.0"/>
        <n v="77294.0"/>
        <n v="5486.0"/>
        <n v="77293.0"/>
        <n v="112230.0"/>
        <n v="83607.0"/>
        <n v="117216.0"/>
        <n v="5487.0"/>
        <n v="77295.0"/>
        <n v="89774.0"/>
        <n v="5483.0"/>
        <n v="120541.0"/>
        <n v="100249.0"/>
        <n v="119242.0"/>
        <n v="90868.0"/>
        <n v="90854.0"/>
        <n v="76568.0"/>
        <n v="76589.0"/>
        <n v="76581.0"/>
        <n v="77250.0"/>
        <n v="87222.0"/>
        <n v="122120.0"/>
        <n v="122121.0"/>
        <n v="90880.0"/>
        <n v="122088.0"/>
        <n v="90886.0"/>
        <n v="90755.0"/>
        <n v="111045.0"/>
        <n v="76582.0"/>
        <n v="76570.0"/>
        <n v="87099.0"/>
        <n v="76569.0"/>
        <n v="5586.0"/>
        <n v="5600.0"/>
        <n v="120390.0"/>
        <n v="76389.0"/>
        <n v="5601.0"/>
        <n v="202579.0"/>
        <n v="5584.0"/>
        <n v="90888.0"/>
        <n v="76584.0"/>
        <n v="87171.0"/>
        <n v="110569.0"/>
        <n v="5588.0"/>
        <n v="117165.0"/>
        <n v="5587.0"/>
        <n v="68359.0"/>
        <n v="5590.0"/>
        <n v="76475.0"/>
        <n v="147309.0"/>
        <n v="120533.0"/>
        <n v="5591.0"/>
        <n v="77248.0"/>
        <n v="90819.0"/>
        <n v="90820.0"/>
        <n v="90839.0"/>
        <n v="90858.0"/>
        <n v="76588.0"/>
        <n v="90671.0"/>
        <n v="77194.0"/>
        <n v="5504.0"/>
        <n v="90662.0"/>
        <n v="87288.0"/>
        <n v="5494.0"/>
        <n v="76637.0"/>
        <n v="76601.0"/>
        <n v="87202.0"/>
        <n v="122244.0"/>
        <n v="122075.0"/>
        <n v="90735.0"/>
        <n v="20951.0"/>
        <n v="5502.0"/>
        <n v="90669.0"/>
        <n v="90673.0"/>
        <n v="68403.0"/>
        <n v="76636.0"/>
        <n v="77397.0"/>
        <n v="76195.0"/>
        <n v="90710.0"/>
        <n v="117148.0"/>
        <n v="5493.0"/>
        <n v="76671.0"/>
        <n v="90678.0"/>
        <n v="76207.0"/>
        <n v="5500.0"/>
        <n v="122081.0"/>
        <n v="77396.0"/>
        <n v="77398.0"/>
        <n v="90716.0"/>
        <n v="122846.0"/>
        <n v="77410.0"/>
        <n v="87083.0"/>
        <n v="73630.0"/>
        <n v="90659.0"/>
        <n v="122079.0"/>
        <n v="5551.0"/>
        <n v="90624.0"/>
        <n v="29100.0"/>
        <n v="46330.0"/>
        <n v="117659.0"/>
        <n v="48149.0"/>
        <n v="113739.0"/>
        <n v="147316.0"/>
        <n v="76297.0"/>
        <n v="102698.0"/>
        <n v="102699.0"/>
        <n v="5556.0"/>
        <n v="73629.0"/>
        <n v="77253.0"/>
        <n v="5552.0"/>
        <n v="73805.0"/>
        <n v="48403.0"/>
        <n v="90626.0"/>
        <n v="147324.0"/>
        <n v="77411.0"/>
        <n v="87085.0"/>
        <n v="76212.0"/>
        <n v="117655.0"/>
        <n v="83596.0"/>
        <n v="5561.0"/>
        <n v="87304.0"/>
        <n v="113735.0"/>
        <n v="90661.0"/>
        <n v="76281.0"/>
        <n v="90622.0"/>
        <n v="90637.0"/>
        <n v="76208.0"/>
        <n v="91355.0"/>
        <n v="122068.0"/>
        <n v="48404.0"/>
        <n v="5553.0"/>
        <n v="76282.0"/>
        <n v="5554.0"/>
        <n v="77408.0"/>
        <n v="147312.0"/>
        <n v="113741.0"/>
        <n v="76290.0"/>
        <n v="5559.0"/>
        <n v="68351.0"/>
        <n v="113736.0"/>
        <n v="113738.0"/>
        <n v="113737.0"/>
        <n v="73767.0"/>
        <n v="89559.0"/>
        <n v="102720.0"/>
        <n v="114668.0"/>
        <n v="159208.0"/>
        <n v="108476.0"/>
        <n v="76603.0"/>
        <n v="117672.0"/>
        <n v="73968.0"/>
        <n v="73967.0"/>
        <n v="159209.0"/>
        <n v="90675.0"/>
        <n v="117671.0"/>
        <n v="100015.0"/>
        <n v="90680.0"/>
        <n v="88351.0"/>
        <n v="108475.0"/>
        <n v="90676.0"/>
        <n v="43118.0"/>
        <n v="112472.0"/>
        <n v="108083.0"/>
        <n v="133907.0"/>
        <n v="45176.0"/>
        <n v="5480.0"/>
        <n v="119086.0"/>
        <n v="108084.0"/>
        <n v="45192.0"/>
        <n v="26320.0"/>
        <n v="133910.0"/>
        <n v="133908.0"/>
        <n v="9646.0"/>
        <n v="108091.0"/>
        <n v="108114.0"/>
        <n v="9639.0"/>
        <n v="108108.0"/>
        <n v="108081.0"/>
        <n v="4243.0"/>
        <n v="108090.0"/>
        <n v="133912.0"/>
        <n v="108087.0"/>
        <n v="78866.0"/>
        <n v="70415.0"/>
        <n v="9644.0"/>
        <n v="4247.0"/>
        <n v="119087.0"/>
        <n v="9635.0"/>
        <n v="108082.0"/>
        <n v="9643.0"/>
        <n v="117601.0"/>
        <n v="108085.0"/>
        <n v="133914.0"/>
        <n v="103503.0"/>
        <n v="128363.0"/>
        <n v="13863.0"/>
        <n v="74454.0"/>
        <n v="12500.0"/>
        <n v="116555.0"/>
        <n v="77622.0"/>
        <n v="68294.0"/>
        <n v="12497.0"/>
        <n v="74453.0"/>
        <n v="112246.0"/>
        <n v="110776.0"/>
        <n v="92846.0"/>
        <n v="119257.0"/>
        <n v="68313.0"/>
        <n v="12503.0"/>
        <n v="77624.0"/>
        <n v="77432.0"/>
        <n v="77429.0"/>
        <n v="93995.0"/>
        <n v="103185.0"/>
        <n v="13868.0"/>
        <n v="9504.0"/>
        <n v="77446.0"/>
        <n v="77498.0"/>
        <n v="77488.0"/>
        <n v="82203.0"/>
        <n v="82754.0"/>
        <n v="110837.0"/>
        <n v="9591.0"/>
        <n v="94040.0"/>
        <n v="9513.0"/>
        <n v="121543.0"/>
        <n v="164638.0"/>
        <n v="9554.0"/>
        <n v="117798.0"/>
        <n v="77480.0"/>
        <n v="9547.0"/>
        <n v="9551.0"/>
        <n v="9514.0"/>
        <n v="147310.0"/>
        <n v="13865.0"/>
        <n v="9521.0"/>
        <n v="9522.0"/>
        <n v="94048.0"/>
        <n v="121549.0"/>
        <n v="9593.0"/>
        <n v="119247.0"/>
        <n v="9516.0"/>
        <n v="193265.0"/>
        <n v="13869.0"/>
        <n v="13877.0"/>
        <n v="9493.0"/>
        <n v="9502.0"/>
        <n v="147301.0"/>
        <n v="30569.0"/>
        <n v="112190.0"/>
        <n v="110833.0"/>
        <n v="9505.0"/>
        <n v="119248.0"/>
        <n v="147306.0"/>
        <n v="77425.0"/>
        <n v="9497.0"/>
        <n v="9601.0"/>
        <n v="117799.0"/>
        <n v="82770.0"/>
        <n v="119249.0"/>
        <n v="86191.0"/>
        <n v="9503.0"/>
        <n v="94007.0"/>
        <n v="82761.0"/>
        <n v="9599.0"/>
        <n v="9496.0"/>
        <n v="195072.0"/>
        <n v="119252.0"/>
        <n v="9501.0"/>
        <n v="9491.0"/>
        <n v="194058.0"/>
        <n v="111319.0"/>
        <n v="86655.0"/>
        <n v="147300.0"/>
        <n v="13861.0"/>
        <n v="81510.0"/>
        <n v="9560.0"/>
        <n v="72161.0"/>
        <n v="9561.0"/>
        <n v="9562.0"/>
        <n v="119250.0"/>
        <n v="122297.0"/>
        <n v="164879.0"/>
        <n v="48697.0"/>
        <n v="122299.0"/>
        <n v="82997.0"/>
        <n v="108350.0"/>
        <n v="48699.0"/>
        <n v="108364.0"/>
        <n v="5799.0"/>
        <n v="81501.0"/>
        <n v="47648.0"/>
        <n v="105328.0"/>
        <n v="47654.0"/>
        <n v="82371.0"/>
        <n v="81500.0"/>
        <n v="48501.0"/>
        <n v="81498.0"/>
        <n v="48498.0"/>
        <n v="88628.0"/>
        <n v="180340.0"/>
        <n v="48503.0"/>
        <n v="74819.0"/>
        <n v="48502.0"/>
        <n v="96001.0"/>
        <n v="103095.0"/>
        <n v="88627.0"/>
        <n v="105329.0"/>
        <n v="105330.0"/>
        <n v="80252.0"/>
        <n v="77468.0"/>
        <n v="24203.0"/>
        <n v="139291.0"/>
        <n v="77426.0"/>
        <n v="94039.0"/>
        <n v="9508.0"/>
        <n v="121595.0"/>
        <n v="124762.0"/>
        <n v="77462.0"/>
        <n v="49158.0"/>
        <n v="93982.0"/>
        <n v="9546.0"/>
        <n v="9482.0"/>
        <n v="139290.0"/>
        <n v="121596.0"/>
        <n v="14441.0"/>
        <n v="9489.0"/>
        <n v="103189.0"/>
        <n v="9567.0"/>
        <n v="9543.0"/>
        <n v="77471.0"/>
        <n v="164631.0"/>
        <n v="9606.0"/>
        <n v="77473.0"/>
        <n v="9484.0"/>
        <n v="14439.0"/>
        <n v="124761.0"/>
        <n v="14440.0"/>
        <n v="9544.0"/>
        <n v="46482.0"/>
        <n v="46773.0"/>
        <n v="81502.0"/>
        <n v="76035.0"/>
        <n v="46774.0"/>
        <n v="121029.0"/>
        <n v="128199.0"/>
        <n v="82408.0"/>
        <n v="139298.0"/>
        <n v="91397.0"/>
        <n v="91396.0"/>
        <n v="139302.0"/>
        <n v="118283.0"/>
        <n v="118286.0"/>
        <n v="3375.0"/>
        <n v="118285.0"/>
        <n v="118284.0"/>
        <n v="116522.0"/>
        <n v="139307.0"/>
        <n v="120253.0"/>
        <n v="120252.0"/>
        <n v="120251.0"/>
        <n v="139306.0"/>
        <n v="120255.0"/>
        <n v="120980.0"/>
        <n v="139299.0"/>
        <n v="73635.0"/>
        <n v="116537.0"/>
        <n v="46716.0"/>
        <n v="109161.0"/>
        <n v="110760.0"/>
        <n v="112095.0"/>
        <n v="120261.0"/>
        <n v="142302.0"/>
        <n v="46715.0"/>
        <n v="102190.0"/>
        <n v="112098.0"/>
        <n v="110761.0"/>
        <n v="116529.0"/>
        <n v="119245.0"/>
        <n v="119454.0"/>
        <n v="118131.0"/>
        <n v="128395.0"/>
        <n v="117482.0"/>
        <n v="118130.0"/>
        <n v="109209.0"/>
        <n v="74428.0"/>
        <n v="13941.0"/>
        <n v="44316.0"/>
        <n v="122748.0"/>
        <n v="118936.0"/>
        <n v="122746.0"/>
        <n v="76567.0"/>
        <n v="122747.0"/>
        <n v="48484.0"/>
        <n v="10856.0"/>
        <n v="48486.0"/>
        <n v="108707.0"/>
        <n v="109565.0"/>
        <n v="99181.0"/>
        <n v="109060.0"/>
        <n v="109628.0"/>
        <n v="128346.0"/>
        <n v="90319.0"/>
        <n v="96287.0"/>
        <n v="96238.0"/>
        <n v="116553.0"/>
        <n v="116539.0"/>
        <n v="156015.0"/>
        <n v="77049.0"/>
        <n v="92906.0"/>
        <n v="6425.0"/>
        <n v="77653.0"/>
        <n v="156029.0"/>
        <n v="182726.0"/>
        <n v="3536.0"/>
        <n v="3541.0"/>
        <n v="147335.0"/>
        <n v="46896.0"/>
        <n v="46897.0"/>
        <n v="71729.0"/>
        <n v="45471.0"/>
        <n v="80622.0"/>
        <n v="111204.0"/>
        <n v="27843.0"/>
        <n v="111656.0"/>
        <n v="70043.0"/>
        <n v="127017.0"/>
        <n v="92320.0"/>
        <n v="109985.0"/>
        <n v="110415.0"/>
        <n v="101325.0"/>
        <n v="133904.0"/>
        <n v="91357.0"/>
        <n v="92330.0"/>
        <n v="128409.0"/>
        <n v="124704.0"/>
        <n v="122252.0"/>
        <n v="85159.0"/>
        <n v="103604.0"/>
        <n v="27845.0"/>
        <n v="11666.0"/>
        <n v="127016.0"/>
        <n v="2046.0"/>
        <n v="66998.0"/>
        <n v="103626.0"/>
        <n v="103603.0"/>
        <n v="85156.0"/>
        <n v="8118.0"/>
        <n v="109984.0"/>
        <n v="92134.0"/>
        <n v="129420.0"/>
        <n v="111010.0"/>
        <n v="46771.0"/>
        <n v="88396.0"/>
        <n v="88188.0"/>
        <n v="129373.0"/>
        <n v="103625.0"/>
        <n v="109332.0"/>
        <n v="92327.0"/>
        <n v="80699.0"/>
        <n v="101043.0"/>
        <n v="46760.0"/>
        <n v="109966.0"/>
        <n v="128408.0"/>
        <n v="81128.0"/>
        <n v="45571.0"/>
        <n v="44612.0"/>
        <n v="124684.0"/>
        <n v="112365.0"/>
        <n v="41038.0"/>
        <n v="87761.0"/>
        <n v="106590.0"/>
        <n v="85734.0"/>
        <n v="122511.0"/>
        <n v="2335.0"/>
        <n v="2339.0"/>
        <n v="108468.0"/>
        <n v="3439.0"/>
        <n v="2044.0"/>
        <n v="188354.0"/>
        <n v="27848.0"/>
        <n v="45642.0"/>
        <n v="79815.0"/>
        <n v="87643.0"/>
        <n v="30501.0"/>
        <n v="118198.0"/>
        <n v="4891.0"/>
        <n v="23050.0"/>
        <n v="94612.0"/>
        <n v="109983.0"/>
        <n v="110854.0"/>
        <n v="110414.0"/>
        <n v="103631.0"/>
        <n v="111009.0"/>
        <n v="109213.0"/>
        <n v="103847.0"/>
        <n v="96156.0"/>
        <n v="4887.0"/>
        <n v="92146.0"/>
        <n v="122248.0"/>
        <n v="122251.0"/>
        <n v="103638.0"/>
        <n v="111655.0"/>
        <n v="84201.0"/>
        <n v="80697.0"/>
        <n v="117394.0"/>
        <n v="103636.0"/>
        <n v="67001.0"/>
        <n v="2148.0"/>
        <n v="111672.0"/>
        <n v="80696.0"/>
        <n v="96853.0"/>
        <n v="117388.0"/>
        <n v="109971.0"/>
        <n v="122247.0"/>
        <n v="103635.0"/>
        <n v="122295.0"/>
        <n v="118351.0"/>
        <n v="91624.0"/>
        <n v="27765.0"/>
        <n v="26313.0"/>
        <n v="26314.0"/>
        <n v="91626.0"/>
        <n v="112264.0"/>
        <n v="27764.0"/>
        <n v="92653.0"/>
        <n v="117990.0"/>
        <n v="92651.0"/>
        <n v="104143.0"/>
        <n v="48641.0"/>
        <n v="47543.0"/>
        <n v="117045.0"/>
        <n v="109276.0"/>
        <n v="117040.0"/>
        <n v="108485.0"/>
        <n v="80095.0"/>
        <n v="117044.0"/>
        <n v="69279.0"/>
        <n v="48642.0"/>
        <n v="117569.0"/>
        <n v="83590.0"/>
        <n v="117566.0"/>
        <n v="116391.0"/>
        <n v="47388.0"/>
        <n v="117567.0"/>
        <n v="104319.0"/>
        <n v="120399.0"/>
        <n v="47389.0"/>
        <n v="47384.0"/>
        <n v="117568.0"/>
        <n v="80233.0"/>
        <n v="120396.0"/>
        <n v="47386.0"/>
        <n v="110294.0"/>
        <n v="47374.0"/>
        <n v="115586.0"/>
        <n v="112736.0"/>
        <n v="80234.0"/>
        <n v="92426.0"/>
        <n v="92429.0"/>
        <n v="117572.0"/>
        <n v="110982.0"/>
        <n v="92442.0"/>
        <n v="83591.0"/>
        <n v="104318.0"/>
        <n v="112740.0"/>
        <n v="117570.0"/>
        <n v="115584.0"/>
        <n v="47629.0"/>
        <n v="116389.0"/>
        <n v="117573.0"/>
        <n v="47638.0"/>
        <n v="110219.0"/>
        <n v="116851.0"/>
        <n v="122737.0"/>
        <n v="110226.0"/>
        <n v="115773.0"/>
        <n v="109580.0"/>
        <n v="114255.0"/>
        <n v="122745.0"/>
        <n v="116873.0"/>
        <n v="110228.0"/>
      </sharedItems>
    </cacheField>
    <cacheField name="category_1" numFmtId="0">
      <sharedItems>
        <s v="Maison"/>
        <s v="Boisson"/>
        <s v="Extérieur"/>
        <s v="Santé &amp; Bien-être"/>
        <s v="Epicerie salée"/>
        <s v="Beauté &amp; Hygiène"/>
        <s v="Enfant"/>
        <s v="Epicerie sucrée"/>
        <s v="Alimentation Bébé"/>
      </sharedItems>
    </cacheField>
    <cacheField name="category_2" numFmtId="0">
      <sharedItems>
        <s v="Mode"/>
        <s v="Soda"/>
        <s v="Café"/>
        <s v="Sirop"/>
        <s v="Alcool"/>
        <s v="Bière"/>
        <s v="Jardin"/>
        <s v="Livres"/>
        <s v="Cuisson"/>
        <s v="Gourdes"/>
        <s v="Literie"/>
        <s v="Minceur"/>
        <s v="Riz bio"/>
        <s v="Vin Bio"/>
        <s v="Hygiène"/>
        <s v="Kombucha"/>
        <s v="Thé bio"/>
        <s v="Entretien"/>
        <s v="Epilation"/>
        <s v="Maquillage"/>
        <s v="Pâtes bio"/>
        <s v="Allaitement"/>
        <s v="Composteurs"/>
        <s v="Décoration"/>
        <s v="Eau de coco"/>
        <s v="Fruits secs"/>
        <s v="Soins Homme"/>
        <s v="Thé Glacé"/>
        <s v="Chocolat bio"/>
        <s v="Conservation"/>
        <s v="Repas Bébé"/>
        <s v="Jus de fruits"/>
        <s v="Parapharmacie"/>
        <s v="Animalerie Bio"/>
        <s v="Apéritifs bio"/>
        <s v="Aromathérapie"/>
        <s v="Confiserie Bio"/>
        <s v="Douche et Bain"/>
        <s v="Jus de grenade"/>
        <s v="Salle de bains"/>
        <s v="Soins Solaires"/>
        <s v="Soins du corps"/>
        <s v="Art de la table"/>
        <s v="Eau aromatisée"/>
        <s v="Electroménager"/>
        <s v="Jus de légumes"/>
        <s v="Linge de maison"/>
        <s v="Plats cuisinés"/>
        <s v="Soins du visage"/>
        <s v="Sauces et coulis"/>
        <s v="Tisane, Infusion"/>
        <s v="Transport enfant"/>
        <s v="Loisirs Créatifs"/>
        <s v="Miel et confiture"/>
        <s v="Pain et biscottes"/>
        <s v="Pâte à tartiner"/>
        <s v="Soins des cheveux"/>
        <s v="Soins à l'Argile"/>
        <s v="Soupes bio bébé"/>
        <s v="Abris pour animaux"/>
        <s v="Biscuits, Gâteaux"/>
        <s v="Boisson végétale"/>
        <s v="Compote et dessert"/>
        <s v="Lait infantile bio"/>
        <s v="Matériel médical"/>
        <s v="Sport et Nutrition"/>
        <s v="Boissons bio bébé"/>
        <s v="Jouets écologiques"/>
        <s v="Boisson instantanée"/>
        <s v="Bouillies bio bébé"/>
        <s v="Couches écologiques"/>
        <s v="Farine, son, fécule"/>
        <s v="Graines à semer Bio"/>
        <s v="Produits de la ruche"/>
        <s v="Sucre et édulcorant"/>
        <s v="Vitamines, minéraux"/>
        <s v="Condiments, vinaigres"/>
        <s v="Céréales bio bébé"/>
        <s v="Mobilier d'intérieur"/>
        <s v="Nez - Gorge - Oreille"/>
        <s v="Peinture et Bricolage"/>
        <s v="Purée de fruits secs"/>
        <s v="Tartines et biscottes"/>
        <s v="Transport écologique"/>
        <s v="Ustensiles de cuisine"/>
        <s v="Veilleuses &amp; réveils"/>
        <s v="Aide à la pâtisserie"/>
        <s v="Biberons &amp; Accessoires"/>
        <s v="Cosmétique maison DIY"/>
        <s v="Graines et oléagineux"/>
        <s v="Légumes et conserves"/>
        <s v="Desserts lactés bébé"/>
        <s v="Huiles alimentaires bio"/>
        <s v="Hygiène Change et Soins"/>
        <s v="Lait de vache et chèvre"/>
        <s v="Poisson, viande, pâtés"/>
        <s v="Résistance et vitalité"/>
        <s v="Alimentation future maman"/>
        <s v="Chambre &amp; mobilier enfant"/>
        <s v="Compléments alimentaires"/>
        <s v="Digestion, transit, flore"/>
        <s v="Petits pots fruits bébé"/>
        <s v="Céréales petit déjeuner"/>
        <s v="Petits pots bébé du midi"/>
        <s v="Petits pots bébé du soir"/>
        <s v="Légumineuses et céréales"/>
        <s v="Petits pots légumes bébé"/>
        <s v="Kits DIY, à faire soi-même"/>
        <s v="Sel, épices, aide culinaire"/>
        <s v="Relaxation, Détente, Sommeil"/>
        <s v="Goûters &amp; biscuits bio bébé"/>
        <s v="Masques, Gels hydroalcooliques"/>
        <s v="Phytothérapie, gemmothérapie"/>
        <s v="Préparation végétale bébé"/>
        <s v="Carafes filtrantes et Fontaines"/>
        <s v="Fleurs de Bach, Elixirs floraux"/>
        <s v="Nature, Activités d'extérieur"/>
        <s v="Diffuseurs d'huiles essentielles"/>
        <s v="Huiles bébé, huiles enfant bio"/>
        <s v="Hygiène Bébé, soin maternité"/>
        <s v="Barre de céréales, pâte d'amande"/>
        <s v="Préparation lait de chèvre bébé"/>
      </sharedItems>
    </cacheField>
    <cacheField name="category_3" numFmtId="0">
      <sharedItems containsBlank="1">
        <s v="Bagagerie"/>
        <s v="Mode Bébé 0-36 mois"/>
        <s v="Cola bio"/>
        <s v="Limonade bio"/>
        <s v="Boisson gazeuse"/>
        <s v="Café moulu"/>
        <s v="Café soluble"/>
        <s v="Café en grains"/>
        <s v="Café décaféiné"/>
        <s v="Dosettes compatible Senséo ®"/>
        <s v="Substituts de café, chicorée"/>
        <s v="Capsules compatible Nespresso ®"/>
        <m/>
        <s v="Cidres Bio"/>
        <s v="Spiritueux bio"/>
        <s v="Boisson Apéritif bio"/>
        <s v="Bière blonde"/>
        <s v="Bière ambrée"/>
        <s v="Bière blanche"/>
        <s v="Coffret de Bière"/>
        <s v="Bière sans alcool"/>
        <s v="Bière sans gluten"/>
        <s v="Récupérateur d'eau"/>
        <s v="Potagers d'intérieur et graines"/>
        <s v="Livres Cuisine"/>
        <s v="Livres Entretien"/>
        <s v="Poêle"/>
        <s v="Casserole"/>
        <s v="Sauteuse, Wok"/>
        <s v="Batteries de cuisine"/>
        <s v="Gourdes filtrantes"/>
        <s v="Gourdes isothermes"/>
        <s v="Gourdes pour enfant"/>
        <s v="Gourdes simple paroi"/>
        <s v="Oreiller, traversin"/>
        <s v="Protège-matelas, alèse"/>
        <s v="Coupe-faim"/>
        <s v="Elimination"/>
        <s v="Détox minceur"/>
        <s v="Beauté du corps"/>
        <s v="Riz rond"/>
        <s v="Riz parfumé"/>
        <s v="Riz long grain"/>
        <s v="Riz cuisson rapide"/>
        <s v="Risotto, riz japonais"/>
        <s v="Riz Basmati, Thai, Jasmin"/>
        <s v="Riz rouge, riz noir, riz sauvage"/>
        <s v="Vins blancs"/>
        <s v="Vins rosés"/>
        <s v="Vins rouges"/>
        <s v="Mouchoirs"/>
        <s v="Gel intime"/>
        <s v="Déodorants"/>
        <s v="Cotons-tiges"/>
        <s v="Eponges Konjac"/>
        <s v="Papier toilette"/>
        <s v="Soins dentaires"/>
        <s v="Coupes menstruelles"/>
        <s v="Tampons écologiques"/>
        <s v="Culottes menstruelles"/>
        <s v="Serviettes et protèges slip"/>
        <s v="Couches adultes, incontinence"/>
        <s v="Cotons, lingettes démaquillantes"/>
        <s v="Maté"/>
        <s v="Matcha"/>
        <s v="Rooïbos"/>
        <s v="Thé noir"/>
        <s v="Thé blanc"/>
        <s v="Coffrets de thé"/>
        <s v="Thé vert nature"/>
        <s v="Thé vert parfumé"/>
        <s v="Anti insectes"/>
        <s v="Soin du linge"/>
        <s v="Désodorisants"/>
        <s v="Produits vaisselle"/>
        <s v="Savon de Marseille"/>
        <s v="Savon noir ménager"/>
        <s v="Accessoires ménagers"/>
        <s v="Droguerie écologique"/>
        <s v="Lessives écologiques"/>
        <s v="Nettoyants multi-usages"/>
        <s v="Soins épilation"/>
        <s v="Cires épilatoires"/>
        <s v="Crèmes dépilatoires"/>
        <s v="Le Teint"/>
        <s v="Les Yeux"/>
        <s v="Les Ongles"/>
        <s v="Les Lèvres"/>
        <s v="Base de maquillage"/>
        <s v="Pinceaux et accessoires"/>
        <s v="Pâtes Blanches"/>
        <s v="Pâtes complètes"/>
        <s v="Pâtes parfumées"/>
        <s v="Pâtes aux céréales"/>
        <s v="Pâtes de légumineuse"/>
        <s v="Pâtes demi complètes"/>
        <s v="Nouilles asiatiques, shirataki"/>
        <s v="Coussins d'allaitement"/>
        <s v="Accessoires d'allaitement"/>
        <s v="Poubelle, seau à compost"/>
        <s v="Bougies"/>
        <s v="Lampes de sel"/>
        <s v="Fleurs et plantes"/>
        <s v="Encens, porte encens"/>
        <s v="Fruit confit"/>
        <s v="Fruit séché"/>
        <s v="Fruit sec à coque"/>
        <s v="Fruit sec en poudre"/>
        <s v="Douche"/>
        <s v="Soins pour le rasage"/>
        <s v="Soins du visage homme"/>
        <s v="Déodorants et eau de toilette"/>
        <s v="Rasoir de sécurité, accessoires"/>
        <s v="Chocolat cru"/>
        <s v="Chocolat noir"/>
        <s v="Chocolat blanc"/>
        <s v="Chocolat au lait"/>
        <s v="Chocolat pâtissier"/>
        <s v="Truffe et bouchée chocolat"/>
        <s v="Boîtes en inox"/>
        <s v="Mugs isothermes"/>
        <s v="Boîtes en verre"/>
        <s v="Boîtes en plastique"/>
        <s v="Sacs de conservation"/>
        <s v="Bocaux et accessoires"/>
        <s v="Conservation sous vide"/>
        <s v="Boîtes à repas enfant"/>
        <s v="Emballages réutilisables"/>
        <s v="Lunch bags, sacs à repas"/>
        <s v="Lunch box et boîtes repas"/>
        <s v="Papier et film alimentaire"/>
        <s v="Bavoirs"/>
        <s v="Conservation du repas"/>
        <s v="Couverts et Vaisselle Bébé"/>
        <s v="Gourde compote réutilisable"/>
        <s v="Jus de citrons bio"/>
        <s v="Jus de pruneau bio"/>
        <s v="Jus de raisins bio"/>
        <s v="Jus de superfruits"/>
        <s v="Jus multifruits bio"/>
        <s v="Jus de fruits rouge bio"/>
        <s v="Jus de fruits exotiques bio"/>
        <s v="Jus de pommes et poires bio"/>
        <s v="Jus d'oranges et agrumes bio"/>
        <s v="Sexualité"/>
        <s v="Douleurs musculaires"/>
        <s v="Antimoustiques visage et corps"/>
        <s v="Peau abîmée, bosses et coups"/>
        <s v="Gels articulations, circulation"/>
        <s v="Alimentation Chats"/>
        <s v="Alimentation Chiens"/>
        <s v="Hygiène et soins Animaux"/>
        <s v="Antipasti"/>
        <s v="Olives bio"/>
        <s v="Tartinables"/>
        <s v="Chutney et confit"/>
        <s v="Pâtés végétaux"/>
        <s v="Biscuits apéritif bio"/>
        <s v="Fruits secs bio apéritif"/>
        <s v="Eaux florales"/>
        <s v="Huiles essentielles olfactives"/>
        <s v="Huiles végétales cosmétique"/>
        <s v="Huiles essentielles à diffuser"/>
        <s v="Huiles essentielles alimentaires"/>
        <s v="Huiles essentielles cosmétiques"/>
        <s v="Bonbon"/>
        <s v="Nougat"/>
        <s v="Guimauve"/>
        <s v="Chewing-gums"/>
        <s v="Savon"/>
        <s v="Gel douche"/>
        <s v="Savon liquide"/>
        <s v="Bain moussant et huile"/>
        <s v="Galets et sels de bain"/>
        <s v="Brosse et accessoire de bain"/>
        <s v="Filtres de douche"/>
        <s v="Distributeur de savon"/>
        <s v="Rangement salle de bains"/>
        <s v="Porte-savon et accessoires"/>
        <s v="Crèmes solaires teintées"/>
        <s v="Gommage"/>
        <s v="Huiles corps"/>
        <s v="Laits pour le corps"/>
        <s v="Soins mains et ongles"/>
        <s v="Soins pieds et jambes"/>
        <s v="Eau de toilette et Parfum"/>
        <s v="Baume et beurre de karité"/>
        <s v="Assiette"/>
        <s v="Couverts"/>
        <s v="Verre, gobelet"/>
        <s v="Accessoires thé et café"/>
        <s v="Carafe, distributeur de boisson"/>
        <s v="Petit déjeuner"/>
        <s v="Appareils de cuisine"/>
        <s v="Jus de Breuss"/>
        <s v="Jus de gingembre"/>
        <s v="Jus de tomate bio"/>
        <s v="Jus de carotte bio"/>
        <s v="Jus multi légumes"/>
        <s v="Jus de betterave bio"/>
        <s v="Linge de lit"/>
        <s v="Linge de bain"/>
        <s v="Linge de lit bébé, enfant"/>
        <s v="Salades bio"/>
        <s v="Tofu et seitan"/>
        <s v="Fruit du jacquier"/>
        <s v="Galettes à cuire et falafel"/>
        <s v="Plats cuisinés viande et poisson"/>
        <s v="Plats cuisinés céréales, légumes"/>
        <s v="Coffret visage"/>
        <s v="Soins des lèvres"/>
        <s v="Gommages et exfoliants"/>
        <s v="Soins contour des yeux"/>
        <s v="Peaux mixtes à grasses"/>
        <s v="Peaux matures, anti-âge"/>
        <s v="Peaux sèches et sensibles"/>
        <s v="Démaquillants et nettoyants"/>
        <s v="Peaux normales, soins hydratants"/>
        <s v="Sauces"/>
        <s v="Préparation liquide, cuisine"/>
        <s v="Coffrets de tisanes"/>
        <s v="Tisane ayurvédique"/>
        <s v="Tisane plante simple"/>
        <s v="Tisane de plantes composées"/>
        <s v="Echarpe &amp; Porte-Bébé"/>
        <s v="Moulage"/>
        <s v="Pâte à Modeler"/>
        <s v="Peinture &amp; Coloriage"/>
        <s v="Découpage &amp; Assemblage"/>
        <s v="Confiture"/>
        <s v="Miels bio"/>
        <s v="Pain, pain précuit"/>
        <s v="Crème de fruits à coque"/>
        <s v="Pâte à tartiner sans lait"/>
        <s v="Pâte à tartiner chocolat lait"/>
        <s v="Pâte à tartiner chocolat noir"/>
        <s v="Pâte à tartiner sans chocolat"/>
        <s v="Brosse et peigne"/>
        <s v="Soins capillaires"/>
        <s v="Shampoing traitant"/>
        <s v="Colorations naturelles"/>
        <s v="Gel et crème coiffante"/>
        <s v="Shampoing douche 2 en 1"/>
        <s v="Shampoing par type de cheveux"/>
        <s v="Shampoing volume et brillance"/>
        <s v="Argile en Vrac"/>
        <s v="Argile prête à l'emploi"/>
        <s v="Soupes bio bébé 4-6 mois"/>
        <s v="Soupes bio bébé 8-12 mois"/>
        <s v="Abris pour oiseaux"/>
        <s v="Gâteaux"/>
        <s v="Biscuit nature"/>
        <s v="Biscuit aux fruits"/>
        <s v="Biscuit au chocolat"/>
        <s v="Biscuit sans gluten"/>
        <s v="Madeleine et moelleux"/>
        <s v="Biscuit petit déjeuner"/>
        <s v="Biscuit caramel et vanille"/>
        <s v="Biscuit fruits secs et céréales"/>
        <s v="Boisson au riz"/>
        <s v="Boisson au soja"/>
        <s v="Boisson à la coco"/>
        <s v="Boisson à l'amande"/>
        <s v="Boisson à l'avoine"/>
        <s v="Boisson aux noisettes"/>
        <s v="Boisson à l'épeautre"/>
        <s v="Autre boisson végétale"/>
        <s v="Boisson à la châtaigne"/>
        <s v="Dessert et glace"/>
        <s v="Compote et purée de fruit"/>
        <s v="Lait de croissance bio"/>
        <s v="Lait infantile bio 1er âge"/>
        <s v="Lait infantile bio 2ème âge"/>
        <s v="Lavement, irrigation du colon"/>
        <s v="Energie et endurance"/>
        <s v="Protéines et barres protéinées"/>
        <s v="Tisanes bébé bio"/>
        <s v="Boissons bébé lactées"/>
        <s v="Puzzles"/>
        <s v="Draisiennes"/>
        <s v="Jeux Educatifs"/>
        <s v="Jouets musicaux"/>
        <s v="Jeux d'imitation"/>
        <s v="Jeux de société"/>
        <s v="Eveil &amp; Découverte"/>
        <s v="Bascules &amp; Roulettes"/>
        <s v="Jeux de construction"/>
        <s v="Déguisement et Maquillage"/>
        <s v="Livres enfants et conteuses"/>
        <s v="Casques &amp; accessoires Vélos"/>
        <s v="Garages, circuits &amp; véhicules"/>
        <s v="Poudre de caroube"/>
        <s v="Chocolat en poudre"/>
        <s v="Préparation instantanée à boire"/>
        <s v="Bouillies bio bébé 4 mois"/>
        <s v="Bouillies bio bébé 6 mois"/>
        <s v="Couches jetables 2-6 kg"/>
        <s v="Couches jetables 4-9 kg"/>
        <s v="Couches jetables 7-18 kg"/>
        <s v="Couches lavables 8-20 kg"/>
        <s v="Couches jetables 11-30 kg"/>
        <s v="Accessoires pour le change"/>
        <s v="Couches de piscine jetables"/>
        <s v="Culottes de protection 8-20 kg"/>
        <s v="Inserts &amp; Voiles de Protection"/>
        <s v="Culottes d'apprentissage 11-18kg"/>
        <s v="Culottes d'apprentissage 13-25kg"/>
        <s v="Chapelure"/>
        <s v="Son de blé"/>
        <s v="Son d'avoine"/>
        <s v="Farine de blé"/>
        <s v="Farine de fruits"/>
        <s v="Farine précuite"/>
        <s v="Fécule, tapioca"/>
        <s v="Farine de graines"/>
        <s v="Farine de céréales"/>
        <s v="Farine de légumineuses"/>
        <s v="Préparations pour pain, brioche"/>
        <s v="Fleurs Bio"/>
        <s v="Légumes racines Bio"/>
        <s v="Herbes et aromates Bio"/>
        <s v="Légumes fruits, tomates Bio"/>
        <s v="Légumes grains, gousses Bio"/>
        <s v="Légumes feuilles, salades Bio"/>
        <s v="Pollen"/>
        <s v="Gelée royale"/>
        <s v="Miel de Manuka"/>
        <s v="Propolis liquide et à mâcher"/>
        <s v="Sucre"/>
        <s v="Édulcorant naturel"/>
        <s v="Fer"/>
        <s v="Vitamine D"/>
        <s v="Vitamine B12"/>
        <s v="Multivitamines"/>
        <s v="Quinton, eau de mer"/>
        <s v="Acérola, Vitamine C"/>
        <s v="Magnésium, Potassium"/>
        <s v="Oligo éléments, acides aminés"/>
        <s v="Moutarde"/>
        <s v="Ketchup et sauce BBQ"/>
        <s v="Mayonnaise et aïoli"/>
        <s v="Vinaigres, vinaigrettes"/>
        <s v="Wasabi et pâte de curry"/>
        <s v="Cornichon, câpre et pickle"/>
        <s v="Céréales bio bébé 8 mois"/>
        <s v="Céréales bio bébé 4-6 mois"/>
        <s v="Gourdes petit déjeuner bébé"/>
        <s v="Meubles de rangement"/>
        <s v="Mobilier chambre enfant"/>
        <s v="Respiration"/>
        <s v="Gorge irritée"/>
        <s v="Hygiène du nez"/>
        <s v="Hygiène de l'oreille"/>
        <s v="Purée d'amande"/>
        <s v="Purée de graines"/>
        <s v="Purée de sésame"/>
        <s v="Purée de noisette"/>
        <s v="Purée de pistache"/>
        <s v="Purée de cacahuète"/>
        <s v="Purée de noix de cajou"/>
        <s v="Galette riz et céréales"/>
        <s v="Tartine craquante, biscotte"/>
        <s v="Trottinettes"/>
        <s v="Germoirs"/>
        <s v="Pâtisserie"/>
        <s v="Tapis de cuisson"/>
        <s v="Ustensiles de découpe"/>
        <s v="Essoreuses et passoires"/>
        <s v="Râpes, moulins, mortiers"/>
        <s v="Balances et verres doseurs"/>
        <s v="Cuillères, spatules, fouets"/>
        <s v="Autour du vin et de l'apéritif"/>
        <s v="Veilleuse"/>
        <s v="Réveil enfant"/>
        <s v="Peaux d'agneaux"/>
        <s v="Arôme"/>
        <s v="Ferments, présure"/>
        <s v="Levure et gélifiant"/>
        <s v="Décor gâteaux, Colorant"/>
        <s v="Ingrédients pour pâtisserie"/>
        <s v="Tire-Lait"/>
        <s v="Biberons en Verre"/>
        <s v="Tétines Biberons"/>
        <s v="Accessoires Biberons"/>
        <s v="Anneaux de dentition"/>
        <s v="Sucettes et attaches sucettes"/>
        <s v="Chauffe-biberons, stérilisateurs"/>
        <s v="Ingrédient de base DIY"/>
        <s v="Kits Cosmétique Maison"/>
        <s v="Ustensile, contenant DIY"/>
        <s v="Graines oléagineuses"/>
        <s v="Graines à germer et mélanges"/>
        <s v="Miso"/>
        <s v="Soupes bio"/>
        <s v="Purées bio"/>
        <s v="Légumes séchés"/>
        <s v="Légumes cuisinés"/>
        <s v="Légumes en conserve"/>
        <s v="Desserts lactés bébé 4-6 mois"/>
        <s v="Desserts lactés bébé 8-12 mois"/>
        <s v="Ghee bio"/>
        <s v="Huile de lin"/>
        <s v="Huile d'argan"/>
        <s v="Huile d'olive"/>
        <s v="Huile de coco"/>
        <s v="Huile de noix"/>
        <s v="Huile d'amande"/>
        <s v="Huile de colza"/>
        <s v="Huile de fruits"/>
        <s v="Huile de graines"/>
        <s v="Huile de pépins"/>
        <s v="Huile de sésame"/>
        <s v="Huile de tournesol"/>
        <s v="Mélanges d'huiles"/>
        <s v="Accessoires Puériculture"/>
        <s v="Baignoires, jouets de bain"/>
        <s v="Produits de la mer"/>
        <s v="Terrines de viande et pâtés"/>
        <s v="Spiruline"/>
        <s v="Anti-oxydant"/>
        <s v="Jus d'herbe, Green Magma"/>
        <s v="Energie, Vitalité, Tonus"/>
        <s v="Refroidissement, défenses"/>
        <s v="Citrobiotic, pépins pamplemousse"/>
        <s v="Parcs &amp; Tapis de Jeux"/>
        <s v="Chaises hautes et réhausseurs"/>
        <s v="Peaux"/>
        <s v="Curcuma"/>
        <s v="Oméga 3"/>
        <s v="Féminité"/>
        <s v="Vision, yeux"/>
        <s v="Articulations"/>
        <s v="Cheveux, ongles"/>
        <s v="Argent colloïdal"/>
        <s v="Circulation veineuse, sang"/>
        <s v="Cardiovasculaire, levure de riz"/>
        <s v="Relaxation, sérénité, mémoire"/>
        <s v="Psyllium"/>
        <s v="Charbon végétal"/>
        <s v="Bien être du foie"/>
        <s v="Jus et gel d'Aloé"/>
        <s v="Digestion, ballonnements"/>
        <s v="Equilibre intestinal, transit"/>
        <s v="Probiotiques, flore intestinale"/>
        <s v="Acidités, équilibre acidobasique"/>
        <s v="Fruits en coupelle 4 mois"/>
        <s v="Gourdes de fruits 12 mois"/>
        <s v="Gourdes de fruits 4-6 mois"/>
        <s v="Fruits en coupelle 6-8 mois"/>
        <s v="Petits pots de fruits +8 mois"/>
        <s v="Petits pots de fruits 4-6 mois"/>
        <s v="Porridge"/>
        <s v="Muesli nature"/>
        <s v="Muesli aux fruits"/>
        <s v="Muesli au chocolat"/>
        <s v="Céréale soufflée"/>
        <s v="Flocons de Céréales"/>
        <s v="Granola, Crunchy, Krounchy"/>
        <s v="Petit déjeuner instantané"/>
        <s v="Flakes, pétales de céréales"/>
        <s v="Céréale enfant petit déjeuner"/>
        <s v="Petits pots midi 4-6 mois"/>
        <s v="Pâtes bébé, condiments"/>
        <s v="Petits pots midi 8-12 mois"/>
        <s v="Assiettes midi bébé 12 mois"/>
        <s v="Assiettes midi bébé 6-8 mois"/>
        <s v="Assiettes midi bébé 15-18 mois"/>
        <s v="Sachets cuisinés bébé 6-8 mois"/>
        <s v="Petits pots soir 4-6 mois"/>
        <s v="Petits pots soir 8-12 mois"/>
        <s v="Assiettes soir bébé 12 mois"/>
        <s v="Assiettes soir bébé 6-8 mois"/>
        <s v="Assiettes soir bébé 15-18 mois"/>
        <s v="Soja"/>
        <s v="Quinoa bio"/>
        <s v="Légumineuses"/>
        <s v="Céréales en grains"/>
        <s v="Semoule, Boulgour, Couscous"/>
        <s v="Mélanges céréales légumineuses"/>
        <s v="Gourdes de légumes +4 mois"/>
        <s v="Petits pots légumes +4 mois"/>
        <s v="Kits DIY cuisine"/>
        <s v="Sels"/>
        <s v="Epices"/>
        <s v="Poivre"/>
        <s v="Gomasio"/>
        <s v="Bouillons cube"/>
        <s v="Herbes et aromates"/>
        <s v="Levure de bière et germe de blé"/>
        <s v="Aide à l'endormissement"/>
        <s v="Goûters bio bébé 6 mois"/>
        <s v="Goûters bio bébé 8 mois"/>
        <s v="Goûters bio bébé +10 mois"/>
        <s v="Extrait de plantes fraîches"/>
        <s v="Préparation végétale 1er âge"/>
        <s v="Préparation végétale 2ème âge"/>
        <s v="Préparation végétale croissance"/>
        <s v="Filtres à eau pour robinet"/>
        <s v="Charbon, filtres et cartouches"/>
        <s v="Remède de secours, rescue"/>
        <s v="Fleur de Bach unitaire n°1 à 38"/>
        <s v="Accessoires camping"/>
        <s v="Diffuseurs provençaux"/>
        <s v="Change bébé"/>
        <s v="Soins Maternité"/>
        <s v="Bébé, hygiène et soin"/>
        <s v="Enfant, hygiène et soin"/>
        <s v="Pâte d'amande, de fruit"/>
        <s v="Barre de céréales, fruits"/>
        <s v="Préparations chèvre 1er âge"/>
        <s v="Préparations chèvre 2ème âge"/>
        <s v="Préparations chèvre croissance"/>
      </sharedItems>
    </cacheField>
    <cacheField name="Product Name" numFmtId="0">
      <sharedItems>
        <s v="112463-Mode-Bagagerie"/>
        <s v="112481-Mode-Bagagerie"/>
        <s v="13346-Mode-Bagagerie"/>
        <s v="112454-Mode-Bagagerie"/>
        <s v="112461-Mode-Bagagerie"/>
        <s v="106532-Mode-Mode Bébé 0-36 mois"/>
        <s v="121135-Mode-Mode Bébé 0-36 mois"/>
        <s v="128362-Soda-Cola bio"/>
        <s v="71200-Soda-Limonade bio"/>
        <s v="19812-Soda-Limonade bio"/>
        <s v="122259-Soda-Boisson gazeuse"/>
        <s v="199526-Soda-Boisson gazeuse"/>
        <s v="140581-Soda-Boisson gazeuse"/>
        <s v="118383-Soda-Boisson gazeuse"/>
        <s v="122262-Soda-Boisson gazeuse"/>
        <s v="141879-Soda-Boisson gazeuse"/>
        <s v="19826-Café-Café moulu"/>
        <s v="93039-Café-Café moulu"/>
        <s v="128213-Café-Café moulu"/>
        <s v="83797-Café-Café moulu"/>
        <s v="19831-Café-Café moulu"/>
        <s v="93025-Café-Café moulu"/>
        <s v="81624-Café-Café moulu"/>
        <s v="92913-Café-Café moulu"/>
        <s v="126983-Café-Café moulu"/>
        <s v="118226-Café-Café moulu"/>
        <s v="48618-Café-Café moulu"/>
        <s v="93037-Café-Café moulu"/>
        <s v="126984-Café-Café moulu"/>
        <s v="47393-Café-Café moulu"/>
        <s v="128214-Café-Café moulu"/>
        <s v="83802-Café-Café moulu"/>
        <s v="48625-Café-Café moulu"/>
        <s v="83602-Café-Café moulu"/>
        <s v="98867-Café-Café soluble"/>
        <s v="127042-Café-Café soluble"/>
        <s v="127241-Café-Café en grains"/>
        <s v="118220-Café-Café en grains"/>
        <s v="128216-Café-Café en grains"/>
        <s v="93049-Café-Café en grains"/>
        <s v="118216-Café-Café en grains"/>
        <s v="118221-Café-Café en grains"/>
        <s v="92900-Café-Café en grains"/>
        <s v="118215-Café-Café en grains"/>
        <s v="19832-Café-Café en grains"/>
        <s v="93071-Café-Café en grains"/>
        <s v="122395-Café-Café en grains"/>
        <s v="116946-Café-Café en grains"/>
        <s v="97538-Café-Café en grains"/>
        <s v="127238-Café-Café en grains"/>
        <s v="81646-Café-Café en grains"/>
        <s v="81643-Café-Café en grains"/>
        <s v="128215-Café-Café en grains"/>
        <s v="108022-Café-Café en grains"/>
        <s v="81647-Café-Café en grains"/>
        <s v="83603-Café-Café en grains"/>
        <s v="118219-Café-Café en grains"/>
        <s v="120952-Café-Café décaféiné"/>
        <s v="81658-Café-Café décaféiné"/>
        <s v="93047-Café-Café décaféiné"/>
        <s v="83807-Café-Café décaféiné"/>
        <s v="92915-Café-Café décaféiné"/>
        <s v="81653-Café-Café décaféiné"/>
        <s v="81618-Café-Café décaféiné"/>
        <s v="118241-Café-Dosettes compatible Senséo ®"/>
        <s v="48634-Café-Dosettes compatible Senséo ®"/>
        <s v="48636-Café-Dosettes compatible Senséo ®"/>
        <s v="48629-Café-Dosettes compatible Senséo ®"/>
        <s v="47400-Café-Dosettes compatible Senséo ®"/>
        <s v="111237-Café-Dosettes compatible Senséo ®"/>
        <s v="18042-Café-Substituts de café, chicorée"/>
        <s v="114978-Café-Substituts de café, chicorée"/>
        <s v="82980-Café-Substituts de café, chicorée"/>
        <s v="83093-Café-Substituts de café, chicorée"/>
        <s v="18134-Café-Substituts de café, chicorée"/>
        <s v="107857-Café-Substituts de café, chicorée"/>
        <s v="18136-Café-Substituts de café, chicorée"/>
        <s v="69138-Café-Substituts de café, chicorée"/>
        <s v="74828-Café-Substituts de café, chicorée"/>
        <s v="74884-Café-Substituts de café, chicorée"/>
        <s v="127232-Café-Substituts de café, chicorée"/>
        <s v="82979-Café-Substituts de café, chicorée"/>
        <s v="18138-Café-Substituts de café, chicorée"/>
        <s v="127003-Café-Capsules compatible Nespresso ®"/>
        <s v="6036-Sirop-"/>
        <s v="6046-Sirop-"/>
        <s v="6037-Sirop-"/>
        <s v="6026-Sirop-"/>
        <s v="47431-Sirop-"/>
        <s v="82914-Sirop-"/>
        <s v="6044-Sirop-"/>
        <s v="82913-Sirop-"/>
        <s v="82922-Sirop-"/>
        <s v="6045-Sirop-"/>
        <s v="6027-Sirop-"/>
        <s v="97088-Alcool-Cidres Bio"/>
        <s v="122235-Alcool-Spiritueux bio"/>
        <s v="119887-Alcool-Spiritueux bio"/>
        <s v="97980-Alcool-Boisson Apéritif bio"/>
        <s v="119876-Alcool-Boisson Apéritif bio"/>
        <s v="119881-Alcool-Boisson Apéritif bio"/>
        <s v="26127-Bière-Bière blonde"/>
        <s v="87365-Bière-Bière blonde"/>
        <s v="87381-Bière-Bière blonde"/>
        <s v="122828-Bière-Bière blonde"/>
        <s v="73841-Bière-Bière blonde"/>
        <s v="73838-Bière-Bière ambrée"/>
        <s v="87372-Bière-Bière blanche"/>
        <s v="87383-Bière-Bière blanche"/>
        <s v="49068-Bière-Coffret de Bière"/>
        <s v="26130-Bière-Bière sans alcool"/>
        <s v="111493-Bière-Bière sans gluten"/>
        <s v="98395-Bière-Bière sans gluten"/>
        <s v="98396-Bière-Bière sans gluten"/>
        <s v="98394-Bière-Bière sans gluten"/>
        <s v="98397-Bière-Bière sans gluten"/>
        <s v="111489-Bière-Bière sans gluten"/>
        <s v="98393-Bière-Bière sans gluten"/>
        <s v="10933-Jardin-Récupérateur d'eau"/>
        <s v="111994-Jardin-Potagers d'intérieur et graines"/>
        <s v="101637-Jardin-Potagers d'intérieur et graines"/>
        <s v="111996-Jardin-Potagers d'intérieur et graines"/>
        <s v="120886-Livres-Livres Cuisine"/>
        <s v="85058-Livres-Livres Entretien"/>
        <s v="27380-Cuisson-Poêle"/>
        <s v="117204-Cuisson-Poêle"/>
        <s v="45484-Cuisson-Poêle"/>
        <s v="27382-Cuisson-Poêle"/>
        <s v="45491-Cuisson-Poêle"/>
        <s v="11631-Cuisson-Poêle"/>
        <s v="11630-Cuisson-Poêle"/>
        <s v="11634-Cuisson-Casserole"/>
        <s v="11635-Cuisson-Casserole"/>
        <s v="114776-Cuisson-Sauteuse, Wok"/>
        <s v="76762-Cuisson-Batteries de cuisine"/>
        <s v="181194-Gourdes-Gourdes filtrantes"/>
        <s v="164637-Gourdes-Gourdes isothermes"/>
        <s v="164636-Gourdes-Gourdes isothermes"/>
        <s v="164639-Gourdes-Gourdes isothermes"/>
        <s v="85251-Gourdes-Gourdes isothermes"/>
        <s v="113532-Gourdes-Gourdes isothermes"/>
        <s v="82501-Gourdes-Gourdes isothermes"/>
        <s v="121287-Gourdes-Gourdes isothermes"/>
        <s v="113559-Gourdes-Gourdes isothermes"/>
        <s v="85252-Gourdes-Gourdes isothermes"/>
        <s v="82507-Gourdes-Gourdes isothermes"/>
        <s v="109625-Gourdes-Gourdes isothermes"/>
        <s v="110864-Gourdes-Gourdes pour enfant"/>
        <s v="138916-Gourdes-Gourdes pour enfant"/>
        <s v="121076-Gourdes-Gourdes pour enfant"/>
        <s v="121077-Gourdes-Gourdes pour enfant"/>
        <s v="116631-Gourdes-Gourdes pour enfant"/>
        <s v="147263-Gourdes-Gourdes pour enfant"/>
        <s v="108763-Gourdes-Gourdes simple paroi"/>
        <s v="116593-Gourdes-Gourdes simple paroi"/>
        <s v="116613-Gourdes-Gourdes simple paroi"/>
        <s v="102476-Gourdes-Gourdes simple paroi"/>
        <s v="190030-Gourdes-Gourdes simple paroi"/>
        <s v="113845-Gourdes-Gourdes simple paroi"/>
        <s v="77824-Literie-Oreiller, traversin"/>
        <s v="85888-Literie-Oreiller, traversin"/>
        <s v="85890-Literie-Oreiller, traversin"/>
        <s v="83727-Literie-Oreiller, traversin"/>
        <s v="85887-Literie-Oreiller, traversin"/>
        <s v="77823-Literie-Oreiller, traversin"/>
        <s v="86753-Literie-Protège-matelas, alèse"/>
        <s v="145102-Literie-Protège-matelas, alèse"/>
        <s v="78717-Minceur-Coupe-faim"/>
        <s v="82777-Minceur-Coupe-faim"/>
        <s v="120341-Minceur-Elimination"/>
        <s v="110344-Minceur-Elimination"/>
        <s v="120233-Minceur-Elimination"/>
        <s v="117579-Minceur-Elimination"/>
        <s v="21066-Minceur-Elimination"/>
        <s v="117583-Minceur-Elimination"/>
        <s v="71107-Minceur-Détox minceur"/>
        <s v="104168-Minceur-Détox minceur"/>
        <s v="88913-Minceur-Détox minceur"/>
        <s v="108160-Minceur-Détox minceur"/>
        <s v="128377-Minceur-Détox minceur"/>
        <s v="108533-Minceur-Détox minceur"/>
        <s v="116392-Minceur-Détox minceur"/>
        <s v="110328-Minceur-Détox minceur"/>
        <s v="101445-Minceur-Détox minceur"/>
        <s v="117599-Minceur-Beauté du corps"/>
        <s v="5508-Riz bio-Riz rond"/>
        <s v="91241-Riz bio-Riz rond"/>
        <s v="5507-Riz bio-Riz rond"/>
        <s v="110575-Riz bio-Riz rond"/>
        <s v="6156-Riz bio-Riz rond"/>
        <s v="91239-Riz bio-Riz rond"/>
        <s v="77361-Riz bio-Riz rond"/>
        <s v="77363-Riz bio-Riz rond"/>
        <s v="124679-Riz bio-Riz parfumé"/>
        <s v="89558-Riz bio-Riz parfumé"/>
        <s v="91235-Riz bio-Riz long grain"/>
        <s v="5519-Riz bio-Riz long grain"/>
        <s v="87278-Riz bio-Riz long grain"/>
        <s v="77326-Riz bio-Riz long grain"/>
        <s v="6158-Riz bio-Riz long grain"/>
        <s v="77338-Riz bio-Riz long grain"/>
        <s v="159220-Riz bio-Riz long grain"/>
        <s v="5521-Riz bio-Riz long grain"/>
        <s v="91225-Riz bio-Riz long grain"/>
        <s v="5520-Riz bio-Riz long grain"/>
        <s v="87285-Riz bio-Riz long grain"/>
        <s v="72862-Riz bio-Riz cuisson rapide"/>
        <s v="109474-Riz bio-Riz cuisson rapide"/>
        <s v="45834-Riz bio-Riz cuisson rapide"/>
        <s v="45885-Riz bio-Risotto, riz japonais"/>
        <s v="77360-Riz bio-Risotto, riz japonais"/>
        <s v="89787-Riz bio-Risotto, riz japonais"/>
        <s v="5531-Riz bio-Risotto, riz japonais"/>
        <s v="72826-Riz bio-Risotto, riz japonais"/>
        <s v="91180-Riz bio-Risotto, riz japonais"/>
        <s v="58757-Riz bio-Risotto, riz japonais"/>
        <s v="87287-Riz bio-Risotto, riz japonais"/>
        <s v="91147-Riz bio-Riz Basmati, Thai, Jasmin"/>
        <s v="5526-Riz bio-Riz Basmati, Thai, Jasmin"/>
        <s v="77310-Riz bio-Riz Basmati, Thai, Jasmin"/>
        <s v="5525-Riz bio-Riz Basmati, Thai, Jasmin"/>
        <s v="5524-Riz bio-Riz Basmati, Thai, Jasmin"/>
        <s v="72849-Riz bio-Riz Basmati, Thai, Jasmin"/>
        <s v="77385-Riz bio-Riz Basmati, Thai, Jasmin"/>
        <s v="5529-Riz bio-Riz Basmati, Thai, Jasmin"/>
        <s v="45879-Riz bio-Riz Basmati, Thai, Jasmin"/>
        <s v="58753-Riz bio-Riz Basmati, Thai, Jasmin"/>
        <s v="77318-Riz bio-Riz Basmati, Thai, Jasmin"/>
        <s v="122091-Riz bio-Riz Basmati, Thai, Jasmin"/>
        <s v="91144-Riz bio-Riz Basmati, Thai, Jasmin"/>
        <s v="79000-Riz bio-Riz Basmati, Thai, Jasmin"/>
        <s v="77389-Riz bio-Riz Basmati, Thai, Jasmin"/>
        <s v="72857-Riz bio-Riz Basmati, Thai, Jasmin"/>
        <s v="72859-Riz bio-Riz Basmati, Thai, Jasmin"/>
        <s v="91264-Riz bio-Riz Basmati, Thai, Jasmin"/>
        <s v="77316-Riz bio-Riz Basmati, Thai, Jasmin"/>
        <s v="110573-Riz bio-Riz Basmati, Thai, Jasmin"/>
        <s v="82236-Riz bio-Riz Basmati, Thai, Jasmin"/>
        <s v="72855-Riz bio-Riz Basmati, Thai, Jasmin"/>
        <s v="77392-Riz bio-Riz Basmati, Thai, Jasmin"/>
        <s v="45867-Riz bio-Riz Basmati, Thai, Jasmin"/>
        <s v="45846-Riz bio-Riz Basmati, Thai, Jasmin"/>
        <s v="91265-Riz bio-Riz Basmati, Thai, Jasmin"/>
        <s v="5527-Riz bio-Riz Basmati, Thai, Jasmin"/>
        <s v="82249-Riz bio-Riz Basmati, Thai, Jasmin"/>
        <s v="87273-Riz bio-Riz rouge, riz noir, riz sauvage"/>
        <s v="5537-Riz bio-Riz rouge, riz noir, riz sauvage"/>
        <s v="87281-Riz bio-Riz rouge, riz noir, riz sauvage"/>
        <s v="5522-Riz bio-Riz rouge, riz noir, riz sauvage"/>
        <s v="76595-Riz bio-Riz rouge, riz noir, riz sauvage"/>
        <s v="147305-Riz bio-Riz rouge, riz noir, riz sauvage"/>
        <s v="158660-Riz bio-Riz rouge, riz noir, riz sauvage"/>
        <s v="77371-Riz bio-Riz rouge, riz noir, riz sauvage"/>
        <s v="77366-Riz bio-Riz rouge, riz noir, riz sauvage"/>
        <s v="87282-Riz bio-Riz rouge, riz noir, riz sauvage"/>
        <s v="80402-Riz bio-Riz rouge, riz noir, riz sauvage"/>
        <s v="120504-Vin Bio-Vins blancs"/>
        <s v="72833-Vin Bio-Vins blancs"/>
        <s v="72831-Vin Bio-Vins blancs"/>
        <s v="112547-Vin Bio-Vins blancs"/>
        <s v="149598-Vin Bio-Vins rosés"/>
        <s v="98129-Vin Bio-Vins rouges"/>
        <s v="72825-Vin Bio-Vins rouges"/>
        <s v="72820-Vin Bio-Vins rouges"/>
        <s v="81939-Vin Bio-Vins rouges"/>
        <s v="114382-Vin Bio-Vins rouges"/>
        <s v="111427-Vin Bio-Vins rouges"/>
        <s v="81937-Vin Bio-Vins rouges"/>
        <s v="72824-Vin Bio-Vins rouges"/>
        <s v="112188-Vin Bio-Vins rouges"/>
        <s v="98186-Vin Bio-Vins rouges"/>
        <s v="72822-Vin Bio-Vins rouges"/>
        <s v="122601-Hygiène-Mouchoirs"/>
        <s v="106779-Hygiène-Mouchoirs"/>
        <s v="106785-Hygiène-Mouchoirs"/>
        <s v="122602-Hygiène-Mouchoirs"/>
        <s v="45574-Hygiène-Mouchoirs"/>
        <s v="80808-Hygiène-Mouchoirs"/>
        <s v="80802-Hygiène-Mouchoirs"/>
        <s v="110385-Hygiène-Gel intime"/>
        <s v="80633-Hygiène-Gel intime"/>
        <s v="120700-Hygiène-Gel intime"/>
        <s v="112853-Hygiène-Gel intime"/>
        <s v="120699-Hygiène-Gel intime"/>
        <s v="20195-Hygiène-Gel intime"/>
        <s v="11422-Hygiène-Gel intime"/>
        <s v="4492-Hygiène-Gel intime"/>
        <s v="4560-Hygiène-Gel intime"/>
        <s v="110383-Hygiène-Gel intime"/>
        <s v="112850-Hygiène-Gel intime"/>
        <s v="120702-Hygiène-Gel intime"/>
        <s v="91860-Hygiène-Gel intime"/>
        <s v="9716-Hygiène-Gel intime"/>
        <s v="77135-Hygiène-Gel intime"/>
        <s v="91857-Hygiène-Gel intime"/>
        <s v="76429-Hygiène-Gel intime"/>
        <s v="122507-Hygiène-Déodorants"/>
        <s v="77844-Hygiène-Déodorants"/>
        <s v="100041-Hygiène-Déodorants"/>
        <s v="111591-Hygiène-Déodorants"/>
        <s v="128329-Hygiène-Déodorants"/>
        <s v="147268-Hygiène-Déodorants"/>
        <s v="48511-Hygiène-Déodorants"/>
        <s v="100040-Hygiène-Déodorants"/>
        <s v="79366-Hygiène-Déodorants"/>
        <s v="160754-Hygiène-Déodorants"/>
        <s v="100038-Hygiène-Déodorants"/>
        <s v="100035-Hygiène-Déodorants"/>
        <s v="29654-Hygiène-Déodorants"/>
        <s v="107804-Hygiène-Déodorants"/>
        <s v="75809-Hygiène-Déodorants"/>
        <s v="128325-Hygiène-Déodorants"/>
        <s v="110072-Hygiène-Déodorants"/>
        <s v="93814-Hygiène-Déodorants"/>
        <s v="128326-Hygiène-Déodorants"/>
        <s v="48510-Hygiène-Déodorants"/>
        <s v="82463-Hygiène-Déodorants"/>
        <s v="82462-Hygiène-Déodorants"/>
        <s v="110635-Hygiène-Déodorants"/>
        <s v="82464-Hygiène-Déodorants"/>
        <s v="129133-Hygiène-Déodorants"/>
        <s v="195081-Hygiène-Déodorants"/>
        <s v="92669-Hygiène-Déodorants"/>
        <s v="122089-Hygiène-Déodorants"/>
        <s v="95927-Hygiène-Déodorants"/>
        <s v="160756-Hygiène-Déodorants"/>
        <s v="147267-Hygiène-Déodorants"/>
        <s v="160747-Hygiène-Déodorants"/>
        <s v="79365-Hygiène-Déodorants"/>
        <s v="110633-Hygiène-Déodorants"/>
        <s v="160750-Hygiène-Déodorants"/>
        <s v="128332-Hygiène-Déodorants"/>
        <s v="200354-Hygiène-Déodorants"/>
        <s v="100042-Hygiène-Déodorants"/>
        <s v="122446-Hygiène-Déodorants"/>
        <s v="160761-Hygiène-Déodorants"/>
        <s v="89503-Hygiène-Déodorants"/>
        <s v="160744-Hygiène-Déodorants"/>
        <s v="111590-Hygiène-Déodorants"/>
        <s v="110070-Hygiène-Déodorants"/>
        <s v="101005-Hygiène-Déodorants"/>
        <s v="160745-Hygiène-Déodorants"/>
        <s v="23073-Hygiène-Déodorants"/>
        <s v="70064-Hygiène-Déodorants"/>
        <s v="129135-Hygiène-Déodorants"/>
        <s v="104440-Hygiène-Déodorants"/>
        <s v="70063-Hygiène-Déodorants"/>
        <s v="160748-Hygiène-Déodorants"/>
        <s v="181242-Hygiène-Déodorants"/>
        <s v="200323-Hygiène-Déodorants"/>
        <s v="129132-Hygiène-Déodorants"/>
        <s v="160743-Hygiène-Déodorants"/>
        <s v="89610-Hygiène-Déodorants"/>
        <s v="112113-Hygiène-Déodorants"/>
        <s v="107801-Hygiène-Déodorants"/>
        <s v="70065-Hygiène-Déodorants"/>
        <s v="539-Hygiène-Cotons-tiges"/>
        <s v="7857-Hygiène-Cotons-tiges"/>
        <s v="111726-Hygiène-Cotons-tiges"/>
        <s v="120992-Hygiène-Cotons-tiges"/>
        <s v="158482-Hygiène-Cotons-tiges"/>
        <s v="193132-Hygiène-Cotons-tiges"/>
        <s v="118901-Hygiène-Cotons-tiges"/>
        <s v="193131-Hygiène-Cotons-tiges"/>
        <s v="115709-Hygiène-Cotons-tiges"/>
        <s v="121619-Hygiène-Cotons-tiges"/>
        <s v="103647-Hygiène-Cotons-tiges"/>
        <s v="121616-Hygiène-Cotons-tiges"/>
        <s v="121618-Hygiène-Cotons-tiges"/>
        <s v="129360-Hygiène-Cotons-tiges"/>
        <s v="115708-Hygiène-Cotons-tiges"/>
        <s v="121617-Hygiène-Cotons-tiges"/>
        <s v="109540-Hygiène-Cotons-tiges"/>
        <s v="101323-Hygiène-Cotons-tiges"/>
        <s v="120991-Hygiène-Cotons-tiges"/>
        <s v="115698-Hygiène-Cotons-tiges"/>
        <s v="72511-Hygiène-Eponges Konjac"/>
        <s v="72512-Hygiène-Eponges Konjac"/>
        <s v="120108-Hygiène-Eponges Konjac"/>
        <s v="1636-Hygiène-Papier toilette"/>
        <s v="106767-Hygiène-Papier toilette"/>
        <s v="117246-Hygiène-Papier toilette"/>
        <s v="106758-Hygiène-Papier toilette"/>
        <s v="118150-Hygiène-Soins dentaires"/>
        <s v="108896-Hygiène-Soins dentaires"/>
        <s v="92566-Hygiène-Soins dentaires"/>
        <s v="182195-Hygiène-Soins dentaires"/>
        <s v="101560-Hygiène-Soins dentaires"/>
        <s v="96067-Hygiène-Soins dentaires"/>
        <s v="47325-Hygiène-Soins dentaires"/>
        <s v="109386-Hygiène-Soins dentaires"/>
        <s v="118972-Hygiène-Soins dentaires"/>
        <s v="100412-Hygiène-Soins dentaires"/>
        <s v="73259-Hygiène-Soins dentaires"/>
        <s v="116888-Hygiène-Soins dentaires"/>
        <s v="102086-Hygiène-Soins dentaires"/>
        <s v="108892-Hygiène-Soins dentaires"/>
        <s v="110935-Hygiène-Soins dentaires"/>
        <s v="103599-Hygiène-Soins dentaires"/>
        <s v="108811-Hygiène-Soins dentaires"/>
        <s v="2202-Hygiène-Soins dentaires"/>
        <s v="122789-Hygiène-Soins dentaires"/>
        <s v="101563-Hygiène-Soins dentaires"/>
        <s v="110934-Hygiène-Soins dentaires"/>
        <s v="110147-Hygiène-Soins dentaires"/>
        <s v="104135-Hygiène-Soins dentaires"/>
        <s v="101559-Hygiène-Soins dentaires"/>
        <s v="129340-Hygiène-Soins dentaires"/>
        <s v="103609-Hygiène-Soins dentaires"/>
        <s v="122499-Hygiène-Soins dentaires"/>
        <s v="117311-Hygiène-Soins dentaires"/>
        <s v="116670-Hygiène-Soins dentaires"/>
        <s v="2204-Hygiène-Soins dentaires"/>
        <s v="104128-Hygiène-Soins dentaires"/>
        <s v="103600-Hygiène-Soins dentaires"/>
        <s v="108802-Hygiène-Soins dentaires"/>
        <s v="201034-Hygiène-Soins dentaires"/>
        <s v="6522-Hygiène-Soins dentaires"/>
        <s v="77644-Hygiène-Soins dentaires"/>
        <s v="3225-Hygiène-Soins dentaires"/>
        <s v="158447-Hygiène-Soins dentaires"/>
        <s v="9737-Hygiène-Soins dentaires"/>
        <s v="73260-Hygiène-Soins dentaires"/>
        <s v="158467-Hygiène-Soins dentaires"/>
        <s v="117319-Hygiène-Soins dentaires"/>
        <s v="108893-Hygiène-Soins dentaires"/>
        <s v="111734-Hygiène-Soins dentaires"/>
        <s v="96066-Hygiène-Soins dentaires"/>
        <s v="3222-Hygiène-Soins dentaires"/>
        <s v="117312-Hygiène-Soins dentaires"/>
        <s v="104791-Hygiène-Soins dentaires"/>
        <s v="10051-Hygiène-Soins dentaires"/>
        <s v="29318-Hygiène-Soins dentaires"/>
        <s v="116885-Hygiène-Soins dentaires"/>
        <s v="121614-Hygiène-Soins dentaires"/>
        <s v="10048-Hygiène-Soins dentaires"/>
        <s v="109534-Hygiène-Soins dentaires"/>
        <s v="111802-Hygiène-Soins dentaires"/>
        <s v="108801-Hygiène-Soins dentaires"/>
        <s v="9735-Hygiène-Soins dentaires"/>
        <s v="109531-Hygiène-Soins dentaires"/>
        <s v="44533-Hygiène-Soins dentaires"/>
        <s v="158465-Hygiène-Soins dentaires"/>
        <s v="79107-Hygiène-Soins dentaires"/>
        <s v="78631-Hygiène-Soins dentaires"/>
        <s v="120469-Hygiène-Soins dentaires"/>
        <s v="6523-Hygiène-Soins dentaires"/>
        <s v="41819-Hygiène-Soins dentaires"/>
        <s v="108889-Hygiène-Soins dentaires"/>
        <s v="92564-Hygiène-Soins dentaires"/>
        <s v="158456-Hygiène-Soins dentaires"/>
        <s v="111735-Hygiène-Soins dentaires"/>
        <s v="109537-Hygiène-Soins dentaires"/>
        <s v="109381-Hygiène-Soins dentaires"/>
        <s v="120944-Hygiène-Soins dentaires"/>
        <s v="29320-Hygiène-Soins dentaires"/>
        <s v="118222-Hygiène-Soins dentaires"/>
        <s v="108897-Hygiène-Soins dentaires"/>
        <s v="101565-Hygiène-Soins dentaires"/>
        <s v="29319-Hygiène-Soins dentaires"/>
        <s v="96444-Hygiène-Soins dentaires"/>
        <s v="101557-Hygiène-Soins dentaires"/>
        <s v="103610-Hygiène-Soins dentaires"/>
        <s v="181195-Hygiène-Soins dentaires"/>
        <s v="12639-Hygiène-Soins dentaires"/>
        <s v="158464-Hygiène-Soins dentaires"/>
        <s v="116525-Hygiène-Soins dentaires"/>
        <s v="116295-Hygiène-Soins dentaires"/>
        <s v="116297-Hygiène-Soins dentaires"/>
        <s v="11421-Hygiène-Soins dentaires"/>
        <s v="101549-Hygiène-Soins dentaires"/>
        <s v="109543-Hygiène-Soins dentaires"/>
        <s v="79318-Hygiène-Soins dentaires"/>
        <s v="2203-Hygiène-Soins dentaires"/>
        <s v="111727-Hygiène-Soins dentaires"/>
        <s v="118151-Hygiène-Soins dentaires"/>
        <s v="108888-Hygiène-Soins dentaires"/>
        <s v="120465-Hygiène-Soins dentaires"/>
        <s v="92561-Hygiène-Soins dentaires"/>
        <s v="150294-Hygiène-Soins dentaires"/>
        <s v="108895-Hygiène-Soins dentaires"/>
        <s v="41666-Hygiène-Soins dentaires"/>
        <s v="41816-Hygiène-Soins dentaires"/>
        <s v="99779-Hygiène-Soins dentaires"/>
        <s v="111716-Hygiène-Soins dentaires"/>
        <s v="96443-Hygiène-Soins dentaires"/>
        <s v="193187-Hygiène-Soins dentaires"/>
        <s v="96068-Hygiène-Soins dentaires"/>
        <s v="3227-Hygiène-Soins dentaires"/>
        <s v="193183-Hygiène-Soins dentaires"/>
        <s v="120945-Hygiène-Soins dentaires"/>
        <s v="110940-Hygiène-Coupes menstruelles"/>
        <s v="110942-Hygiène-Coupes menstruelles"/>
        <s v="142301-Hygiène-Coupes menstruelles"/>
        <s v="109760-Hygiène-Tampons écologiques"/>
        <s v="100392-Hygiène-Tampons écologiques"/>
        <s v="109763-Hygiène-Tampons écologiques"/>
        <s v="7271-Hygiène-Tampons écologiques"/>
        <s v="7267-Hygiène-Tampons écologiques"/>
        <s v="128412-Hygiène-Tampons écologiques"/>
        <s v="7268-Hygiène-Tampons écologiques"/>
        <s v="124701-Hygiène-Tampons écologiques"/>
        <s v="110007-Hygiène-Tampons écologiques"/>
        <s v="7266-Hygiène-Tampons écologiques"/>
        <s v="7269-Hygiène-Tampons écologiques"/>
        <s v="100393-Hygiène-Tampons écologiques"/>
        <s v="110009-Hygiène-Tampons écologiques"/>
        <s v="100394-Hygiène-Tampons écologiques"/>
        <s v="118248-Hygiène-Tampons écologiques"/>
        <s v="118467-Hygiène-Culottes menstruelles"/>
        <s v="118465-Hygiène-Culottes menstruelles"/>
        <s v="118450-Hygiène-Culottes menstruelles"/>
        <s v="118457-Hygiène-Culottes menstruelles"/>
        <s v="118463-Hygiène-Culottes menstruelles"/>
        <s v="118460-Hygiène-Culottes menstruelles"/>
        <s v="121035-Hygiène-Culottes menstruelles"/>
        <s v="122623-Hygiène-Culottes menstruelles"/>
        <s v="118469-Hygiène-Culottes menstruelles"/>
        <s v="184629-Hygiène-Culottes menstruelles"/>
        <s v="44469-Hygiène-Serviettes et protèges slip"/>
        <s v="98421-Hygiène-Serviettes et protèges slip"/>
        <s v="149512-Hygiène-Serviettes et protèges slip"/>
        <s v="101489-Hygiène-Serviettes et protèges slip"/>
        <s v="7263-Hygiène-Serviettes et protèges slip"/>
        <s v="149510-Hygiène-Serviettes et protèges slip"/>
        <s v="124692-Hygiène-Serviettes et protèges slip"/>
        <s v="7253-Hygiène-Serviettes et protèges slip"/>
        <s v="109999-Hygiène-Serviettes et protèges slip"/>
        <s v="101535-Hygiène-Serviettes et protèges slip"/>
        <s v="181795-Hygiène-Serviettes et protèges slip"/>
        <s v="124686-Hygiène-Serviettes et protèges slip"/>
        <s v="110003-Hygiène-Serviettes et protèges slip"/>
        <s v="124691-Hygiène-Serviettes et protèges slip"/>
        <s v="98444-Hygiène-Serviettes et protèges slip"/>
        <s v="110393-Hygiène-Serviettes et protèges slip"/>
        <s v="7254-Hygiène-Serviettes et protèges slip"/>
        <s v="86502-Hygiène-Serviettes et protèges slip"/>
        <s v="98442-Hygiène-Serviettes et protèges slip"/>
        <s v="7256-Hygiène-Serviettes et protèges slip"/>
        <s v="110394-Hygiène-Serviettes et protèges slip"/>
        <s v="120998-Hygiène-Serviettes et protèges slip"/>
        <s v="17674-Hygiène-Serviettes et protèges slip"/>
        <s v="102946-Hygiène-Serviettes et protèges slip"/>
        <s v="102947-Hygiène-Serviettes et protèges slip"/>
        <s v="98445-Hygiène-Serviettes et protèges slip"/>
        <s v="109273-Hygiène-Serviettes et protèges slip"/>
        <s v="44465-Hygiène-Serviettes et protèges slip"/>
        <s v="44451-Hygiène-Serviettes et protèges slip"/>
        <s v="17664-Hygiène-Serviettes et protèges slip"/>
        <s v="44459-Hygiène-Serviettes et protèges slip"/>
        <s v="110398-Hygiène-Serviettes et protèges slip"/>
        <s v="149495-Hygiène-Serviettes et protèges slip"/>
        <s v="124685-Hygiène-Serviettes et protèges slip"/>
        <s v="110004-Hygiène-Serviettes et protèges slip"/>
        <s v="111052-Hygiène-Serviettes et protèges slip"/>
        <s v="102948-Hygiène-Serviettes et protèges slip"/>
        <s v="110000-Hygiène-Serviettes et protèges slip"/>
        <s v="7264-Hygiène-Serviettes et protèges slip"/>
        <s v="110005-Hygiène-Serviettes et protèges slip"/>
        <s v="124693-Hygiène-Serviettes et protèges slip"/>
        <s v="86501-Hygiène-Serviettes et protèges slip"/>
        <s v="101536-Hygiène-Serviettes et protèges slip"/>
        <s v="101534-Hygiène-Serviettes et protèges slip"/>
        <s v="110002-Hygiène-Serviettes et protèges slip"/>
        <s v="110001-Hygiène-Serviettes et protèges slip"/>
        <s v="111051-Hygiène-Serviettes et protèges slip"/>
        <s v="7258-Hygiène-Serviettes et protèges slip"/>
        <s v="111053-Hygiène-Serviettes et protèges slip"/>
        <s v="120996-Hygiène-Serviettes et protèges slip"/>
        <s v="109746-Hygiène-Serviettes et protèges slip"/>
        <s v="147288-Hygiène-Serviettes et protèges slip"/>
        <s v="120997-Hygiène-Serviettes et protèges slip"/>
        <s v="109742-Hygiène-Serviettes et protèges slip"/>
        <s v="156013-Hygiène-Serviettes et protèges slip"/>
        <s v="98426-Hygiène-Serviettes et protèges slip"/>
        <s v="110006-Hygiène-Serviettes et protèges slip"/>
        <s v="110409-Hygiène-Couches adultes, incontinence"/>
        <s v="117774-Hygiène-Couches adultes, incontinence"/>
        <s v="110411-Hygiène-Couches adultes, incontinence"/>
        <s v="86743-Hygiène-Couches adultes, incontinence"/>
        <s v="86691-Hygiène-Couches adultes, incontinence"/>
        <s v="7257-Hygiène-Couches adultes, incontinence"/>
        <s v="77706-Hygiène-Cotons, lingettes démaquillantes"/>
        <s v="122599-Hygiène-Cotons, lingettes démaquillantes"/>
        <s v="109741-Hygiène-Cotons, lingettes démaquillantes"/>
        <s v="69064-Hygiène-Cotons, lingettes démaquillantes"/>
        <s v="119447-Hygiène-Cotons, lingettes démaquillantes"/>
        <s v="111730-Hygiène-Cotons, lingettes démaquillantes"/>
        <s v="100437-Hygiène-Cotons, lingettes démaquillantes"/>
        <s v="92304-Hygiène-Cotons, lingettes démaquillantes"/>
        <s v="103655-Hygiène-Cotons, lingettes démaquillantes"/>
        <s v="103656-Hygiène-Cotons, lingettes démaquillantes"/>
        <s v="103704-Hygiène-Cotons, lingettes démaquillantes"/>
        <s v="46759-Hygiène-Cotons, lingettes démaquillantes"/>
        <s v="113594-Kombucha-"/>
        <s v="111791-Kombucha-"/>
        <s v="44674-Thé bio-Maté"/>
        <s v="48639-Thé bio-Maté"/>
        <s v="76559-Thé bio-Maté"/>
        <s v="22112-Thé bio-Matcha"/>
        <s v="84390-Thé bio-Matcha"/>
        <s v="100327-Thé bio-Matcha"/>
        <s v="81427-Thé bio-Matcha"/>
        <s v="19847-Thé bio-Rooïbos"/>
        <s v="121989-Thé bio-Rooïbos"/>
        <s v="3431-Thé bio-Rooïbos"/>
        <s v="68858-Thé bio-Rooïbos"/>
        <s v="147279-Thé bio-Rooïbos"/>
        <s v="19853-Thé bio-Rooïbos"/>
        <s v="84315-Thé bio-Rooïbos"/>
        <s v="3433-Thé bio-Rooïbos"/>
        <s v="48640-Thé bio-Rooïbos"/>
        <s v="81678-Thé bio-Thé noir"/>
        <s v="117528-Thé bio-Thé noir"/>
        <s v="84324-Thé bio-Thé noir"/>
        <s v="3420-Thé bio-Thé noir"/>
        <s v="19837-Thé bio-Thé noir"/>
        <s v="19835-Thé bio-Thé noir"/>
        <s v="69109-Thé bio-Thé noir"/>
        <s v="104387-Thé bio-Thé noir"/>
        <s v="19843-Thé bio-Thé noir"/>
        <s v="117523-Thé bio-Thé noir"/>
        <s v="121981-Thé bio-Thé noir"/>
        <s v="121993-Thé bio-Thé blanc"/>
        <s v="81389-Thé bio-Thé blanc"/>
        <s v="99473-Thé bio-Thé blanc"/>
        <s v="81393-Thé bio-Thé blanc"/>
        <s v="104364-Thé bio-Thé blanc"/>
        <s v="76602-Thé bio-Coffrets de thé"/>
        <s v="119824-Thé bio-Coffrets de thé"/>
        <s v="112618-Thé bio-Coffrets de thé"/>
        <s v="112617-Thé bio-Coffrets de thé"/>
        <s v="113963-Thé bio-Coffrets de thé"/>
        <s v="104359-Thé bio-Thé vert nature"/>
        <s v="81675-Thé bio-Thé vert nature"/>
        <s v="84835-Thé bio-Thé vert nature"/>
        <s v="81680-Thé bio-Thé vert nature"/>
        <s v="104361-Thé bio-Thé vert nature"/>
        <s v="83080-Thé bio-Thé vert nature"/>
        <s v="84930-Thé bio-Thé vert nature"/>
        <s v="19848-Thé bio-Thé vert nature"/>
        <s v="104362-Thé bio-Thé vert nature"/>
        <s v="92122-Thé bio-Thé vert nature"/>
        <s v="15854-Thé bio-Thé vert nature"/>
        <s v="81383-Thé bio-Thé vert nature"/>
        <s v="81430-Thé bio-Thé vert nature"/>
        <s v="84325-Thé bio-Thé vert parfumé"/>
        <s v="127244-Thé bio-Thé vert parfumé"/>
        <s v="15865-Thé bio-Thé vert parfumé"/>
        <s v="121996-Thé bio-Thé vert parfumé"/>
        <s v="93083-Thé bio-Thé vert parfumé"/>
        <s v="3426-Thé bio-Thé vert parfumé"/>
        <s v="111349-Thé bio-Thé vert parfumé"/>
        <s v="74917-Thé bio-Thé vert parfumé"/>
        <s v="69127-Thé bio-Thé vert parfumé"/>
        <s v="84819-Thé bio-Thé vert parfumé"/>
        <s v="104367-Thé bio-Thé vert parfumé"/>
        <s v="121997-Thé bio-Thé vert parfumé"/>
        <s v="117499-Thé bio-Thé vert parfumé"/>
        <s v="69125-Thé bio-Thé vert parfumé"/>
        <s v="19850-Thé bio-Thé vert parfumé"/>
        <s v="3425-Thé bio-Thé vert parfumé"/>
        <s v="84913-Thé bio-Thé vert parfumé"/>
        <s v="120378-Entretien-Anti insectes"/>
        <s v="5905-Entretien-Anti insectes"/>
        <s v="23213-Entretien-Anti insectes"/>
        <s v="47168-Entretien-Anti insectes"/>
        <s v="102990-Entretien-Anti insectes"/>
        <s v="46441-Entretien-Anti insectes"/>
        <s v="11085-Entretien-Anti insectes"/>
        <s v="96441-Entretien-Anti insectes"/>
        <s v="82131-Entretien-Anti insectes"/>
        <s v="46440-Entretien-Anti insectes"/>
        <s v="23214-Entretien-Anti insectes"/>
        <s v="82134-Entretien-Anti insectes"/>
        <s v="46439-Entretien-Anti insectes"/>
        <s v="116451-Entretien-Soin du linge"/>
        <s v="147340-Entretien-Soin du linge"/>
        <s v="140602-Entretien-Soin du linge"/>
        <s v="109174-Entretien-Soin du linge"/>
        <s v="2795-Entretien-Soin du linge"/>
        <s v="141867-Entretien-Soin du linge"/>
        <s v="118152-Entretien-Soin du linge"/>
        <s v="1607-Entretien-Soin du linge"/>
        <s v="71322-Entretien-Soin du linge"/>
        <s v="88773-Entretien-Soin du linge"/>
        <s v="46964-Entretien-Soin du linge"/>
        <s v="104454-Entretien-Soin du linge"/>
        <s v="8003-Entretien-Soin du linge"/>
        <s v="90183-Entretien-Soin du linge"/>
        <s v="45489-Entretien-Soin du linge"/>
        <s v="147337-Entretien-Soin du linge"/>
        <s v="116446-Entretien-Soin du linge"/>
        <s v="44760-Entretien-Soin du linge"/>
        <s v="44764-Entretien-Soin du linge"/>
        <s v="72801-Entretien-Soin du linge"/>
        <s v="86573-Entretien-Soin du linge"/>
        <s v="107784-Entretien-Soin du linge"/>
        <s v="103388-Entretien-Soin du linge"/>
        <s v="8004-Entretien-Soin du linge"/>
        <s v="103387-Entretien-Soin du linge"/>
        <s v="76731-Entretien-Soin du linge"/>
        <s v="116449-Entretien-Soin du linge"/>
        <s v="95211-Entretien-Soin du linge"/>
        <s v="118255-Entretien-Soin du linge"/>
        <s v="8010-Entretien-Désodorisants"/>
        <s v="128351-Entretien-Désodorisants"/>
        <s v="12452-Entretien-Désodorisants"/>
        <s v="108996-Entretien-Désodorisants"/>
        <s v="15638-Entretien-Désodorisants"/>
        <s v="118109-Entretien-Désodorisants"/>
        <s v="15634-Entretien-Désodorisants"/>
        <s v="2802-Entretien-Désodorisants"/>
        <s v="46962-Entretien-Désodorisants"/>
        <s v="128348-Entretien-Désodorisants"/>
        <s v="108963-Entretien-Désodorisants"/>
        <s v="2800-Entretien-Désodorisants"/>
        <s v="12451-Entretien-Désodorisants"/>
        <s v="19024-Entretien-Produits vaisselle"/>
        <s v="9472-Entretien-Produits vaisselle"/>
        <s v="1587-Entretien-Produits vaisselle"/>
        <s v="118262-Entretien-Produits vaisselle"/>
        <s v="44739-Entretien-Produits vaisselle"/>
        <s v="199855-Entretien-Produits vaisselle"/>
        <s v="71674-Entretien-Produits vaisselle"/>
        <s v="101357-Entretien-Produits vaisselle"/>
        <s v="121066-Entretien-Produits vaisselle"/>
        <s v="72818-Entretien-Produits vaisselle"/>
        <s v="109178-Entretien-Produits vaisselle"/>
        <s v="114876-Entretien-Produits vaisselle"/>
        <s v="9471-Entretien-Produits vaisselle"/>
        <s v="87840-Entretien-Produits vaisselle"/>
        <s v="72816-Entretien-Produits vaisselle"/>
        <s v="122354-Entretien-Produits vaisselle"/>
        <s v="109188-Entretien-Produits vaisselle"/>
        <s v="7999-Entretien-Produits vaisselle"/>
        <s v="9469-Entretien-Produits vaisselle"/>
        <s v="46955-Entretien-Produits vaisselle"/>
        <s v="9464-Entretien-Produits vaisselle"/>
        <s v="79485-Entretien-Produits vaisselle"/>
        <s v="118224-Entretien-Produits vaisselle"/>
        <s v="122353-Entretien-Produits vaisselle"/>
        <s v="1584-Entretien-Produits vaisselle"/>
        <s v="2792-Entretien-Produits vaisselle"/>
        <s v="109187-Entretien-Produits vaisselle"/>
        <s v="118257-Entretien-Produits vaisselle"/>
        <s v="7995-Entretien-Produits vaisselle"/>
        <s v="99360-Entretien-Produits vaisselle"/>
        <s v="118156-Entretien-Produits vaisselle"/>
        <s v="44943-Entretien-Produits vaisselle"/>
        <s v="9462-Entretien-Produits vaisselle"/>
        <s v="79501-Entretien-Produits vaisselle"/>
        <s v="97161-Entretien-Produits vaisselle"/>
        <s v="112842-Entretien-Produits vaisselle"/>
        <s v="109180-Entretien-Produits vaisselle"/>
        <s v="46954-Entretien-Produits vaisselle"/>
        <s v="79500-Entretien-Produits vaisselle"/>
        <s v="99302-Entretien-Produits vaisselle"/>
        <s v="105026-Entretien-Produits vaisselle"/>
        <s v="19972-Entretien-Produits vaisselle"/>
        <s v="99233-Entretien-Produits vaisselle"/>
        <s v="118260-Entretien-Produits vaisselle"/>
        <s v="128398-Entretien-Produits vaisselle"/>
        <s v="8001-Entretien-Produits vaisselle"/>
        <s v="106782-Entretien-Produits vaisselle"/>
        <s v="110793-Entretien-Savon de Marseille"/>
        <s v="86808-Entretien-Savon de Marseille"/>
        <s v="50367-Entretien-Savon de Marseille"/>
        <s v="102750-Entretien-Savon de Marseille"/>
        <s v="102758-Entretien-Savon de Marseille"/>
        <s v="86787-Entretien-Savon de Marseille"/>
        <s v="102740-Entretien-Savon de Marseille"/>
        <s v="102734-Entretien-Savon de Marseille"/>
        <s v="102751-Entretien-Savon de Marseille"/>
        <s v="102752-Entretien-Savon de Marseille"/>
        <s v="102735-Entretien-Savon de Marseille"/>
        <s v="86793-Entretien-Savon de Marseille"/>
        <s v="86792-Entretien-Savon de Marseille"/>
        <s v="86785-Entretien-Savon de Marseille"/>
        <s v="102773-Entretien-Savon noir ménager"/>
        <s v="42807-Entretien-Savon noir ménager"/>
        <s v="42809-Entretien-Savon noir ménager"/>
        <s v="86821-Entretien-Savon noir ménager"/>
        <s v="110719-Entretien-Savon noir ménager"/>
        <s v="86818-Entretien-Savon noir ménager"/>
        <s v="71318-Entretien-Savon noir ménager"/>
        <s v="122303-Entretien-Savon noir ménager"/>
        <s v="110716-Entretien-Savon noir ménager"/>
        <s v="9480-Entretien-Savon noir ménager"/>
        <s v="113920-Entretien-Savon noir ménager"/>
        <s v="166088-Entretien-Accessoires ménagers"/>
        <s v="122712-Entretien-Accessoires ménagers"/>
        <s v="86523-Entretien-Accessoires ménagers"/>
        <s v="106773-Entretien-Accessoires ménagers"/>
        <s v="128356-Entretien-Accessoires ménagers"/>
        <s v="28897-Entretien-Accessoires ménagers"/>
        <s v="181502-Entretien-Accessoires ménagers"/>
        <s v="13368-Entretien-Accessoires ménagers"/>
        <s v="105178-Entretien-Accessoires ménagers"/>
        <s v="158445-Entretien-Accessoires ménagers"/>
        <s v="105861-Entretien-Accessoires ménagers"/>
        <s v="28668-Entretien-Accessoires ménagers"/>
        <s v="28661-Entretien-Accessoires ménagers"/>
        <s v="13349-Entretien-Accessoires ménagers"/>
        <s v="1634-Entretien-Accessoires ménagers"/>
        <s v="86524-Entretien-Accessoires ménagers"/>
        <s v="86531-Entretien-Accessoires ménagers"/>
        <s v="95210-Entretien-Accessoires ménagers"/>
        <s v="158450-Entretien-Accessoires ménagers"/>
        <s v="103080-Entretien-Accessoires ménagers"/>
        <s v="121067-Entretien-Accessoires ménagers"/>
        <s v="41513-Entretien-Accessoires ménagers"/>
        <s v="166089-Entretien-Accessoires ménagers"/>
        <s v="26446-Entretien-Accessoires ménagers"/>
        <s v="13350-Entretien-Accessoires ménagers"/>
        <s v="111728-Entretien-Accessoires ménagers"/>
        <s v="28883-Entretien-Accessoires ménagers"/>
        <s v="121068-Entretien-Accessoires ménagers"/>
        <s v="181499-Entretien-Accessoires ménagers"/>
        <s v="16097-Entretien-Accessoires ménagers"/>
        <s v="117247-Entretien-Accessoires ménagers"/>
        <s v="1732-Entretien-Accessoires ménagers"/>
        <s v="105174-Entretien-Accessoires ménagers"/>
        <s v="128357-Entretien-Accessoires ménagers"/>
        <s v="166090-Entretien-Accessoires ménagers"/>
        <s v="121070-Entretien-Accessoires ménagers"/>
        <s v="80818-Entretien-Accessoires ménagers"/>
        <s v="13367-Entretien-Accessoires ménagers"/>
        <s v="44329-Entretien-Droguerie écologique"/>
        <s v="70879-Entretien-Droguerie écologique"/>
        <s v="99266-Entretien-Droguerie écologique"/>
        <s v="88216-Entretien-Droguerie écologique"/>
        <s v="28590-Entretien-Droguerie écologique"/>
        <s v="88215-Entretien-Droguerie écologique"/>
        <s v="81771-Entretien-Droguerie écologique"/>
        <s v="194520-Entretien-Droguerie écologique"/>
        <s v="5901-Entretien-Droguerie écologique"/>
        <s v="156054-Entretien-Droguerie écologique"/>
        <s v="5869-Entretien-Droguerie écologique"/>
        <s v="7343-Entretien-Droguerie écologique"/>
        <s v="88218-Entretien-Droguerie écologique"/>
        <s v="99263-Entretien-Droguerie écologique"/>
        <s v="7357-Entretien-Droguerie écologique"/>
        <s v="28591-Entretien-Droguerie écologique"/>
        <s v="5871-Entretien-Droguerie écologique"/>
        <s v="81772-Entretien-Droguerie écologique"/>
        <s v="110587-Entretien-Droguerie écologique"/>
        <s v="5870-Entretien-Droguerie écologique"/>
        <s v="158444-Entretien-Droguerie écologique"/>
        <s v="80785-Entretien-Droguerie écologique"/>
        <s v="110586-Entretien-Droguerie écologique"/>
        <s v="99264-Entretien-Droguerie écologique"/>
        <s v="110977-Entretien-Droguerie écologique"/>
        <s v="45529-Entretien-Droguerie écologique"/>
        <s v="84030-Entretien-Droguerie écologique"/>
        <s v="99262-Entretien-Droguerie écologique"/>
        <s v="110722-Entretien-Droguerie écologique"/>
        <s v="80781-Entretien-Droguerie écologique"/>
        <s v="122700-Entretien-Droguerie écologique"/>
        <s v="111783-Entretien-Droguerie écologique"/>
        <s v="110724-Entretien-Droguerie écologique"/>
        <s v="13348-Entretien-Droguerie écologique"/>
        <s v="28595-Entretien-Droguerie écologique"/>
        <s v="81770-Entretien-Droguerie écologique"/>
        <s v="85059-Entretien-Droguerie écologique"/>
        <s v="110597-Entretien-Droguerie écologique"/>
        <s v="7358-Entretien-Droguerie écologique"/>
        <s v="86583-Entretien-Droguerie écologique"/>
        <s v="98100-Entretien-Lessives écologiques"/>
        <s v="118154-Entretien-Lessives écologiques"/>
        <s v="42840-Entretien-Lessives écologiques"/>
        <s v="47175-Entretien-Lessives écologiques"/>
        <s v="112013-Entretien-Lessives écologiques"/>
        <s v="107953-Entretien-Lessives écologiques"/>
        <s v="44738-Entretien-Lessives écologiques"/>
        <s v="103386-Entretien-Lessives écologiques"/>
        <s v="86815-Entretien-Lessives écologiques"/>
        <s v="46953-Entretien-Lessives écologiques"/>
        <s v="108732-Entretien-Lessives écologiques"/>
        <s v="118227-Entretien-Lessives écologiques"/>
        <s v="122484-Entretien-Lessives écologiques"/>
        <s v="71326-Entretien-Lessives écologiques"/>
        <s v="110794-Entretien-Lessives écologiques"/>
        <s v="80066-Entretien-Lessives écologiques"/>
        <s v="106776-Entretien-Lessives écologiques"/>
        <s v="113608-Entretien-Lessives écologiques"/>
        <s v="116454-Entretien-Lessives écologiques"/>
        <s v="108724-Entretien-Lessives écologiques"/>
        <s v="118253-Entretien-Lessives écologiques"/>
        <s v="110567-Entretien-Lessives écologiques"/>
        <s v="122697-Entretien-Lessives écologiques"/>
        <s v="109190-Entretien-Lessives écologiques"/>
        <s v="109191-Entretien-Lessives écologiques"/>
        <s v="44759-Entretien-Lessives écologiques"/>
        <s v="109192-Entretien-Lessives écologiques"/>
        <s v="113605-Entretien-Lessives écologiques"/>
        <s v="147339-Entretien-Lessives écologiques"/>
        <s v="118068-Entretien-Lessives écologiques"/>
        <s v="44758-Entretien-Lessives écologiques"/>
        <s v="110579-Entretien-Lessives écologiques"/>
        <s v="116437-Entretien-Lessives écologiques"/>
        <s v="9519-Entretien-Lessives écologiques"/>
        <s v="147338-Entretien-Lessives écologiques"/>
        <s v="118250-Entretien-Lessives écologiques"/>
        <s v="20053-Entretien-Lessives écologiques"/>
        <s v="71321-Entretien-Lessives écologiques"/>
        <s v="79503-Entretien-Lessives écologiques"/>
        <s v="99270-Entretien-Lessives écologiques"/>
        <s v="112848-Entretien-Lessives écologiques"/>
        <s v="13369-Entretien-Lessives écologiques"/>
        <s v="147336-Entretien-Lessives écologiques"/>
        <s v="114899-Entretien-Lessives écologiques"/>
        <s v="113607-Entretien-Lessives écologiques"/>
        <s v="47183-Entretien-Lessives écologiques"/>
        <s v="78338-Entretien-Lessives écologiques"/>
        <s v="9526-Entretien-Lessives écologiques"/>
        <s v="107910-Entretien-Lessives écologiques"/>
        <s v="20056-Entretien-Nettoyants multi-usages"/>
        <s v="108951-Entretien-Nettoyants multi-usages"/>
        <s v="107783-Entretien-Nettoyants multi-usages"/>
        <s v="80798-Entretien-Nettoyants multi-usages"/>
        <s v="108950-Entretien-Nettoyants multi-usages"/>
        <s v="112847-Entretien-Nettoyants multi-usages"/>
        <s v="109202-Entretien-Nettoyants multi-usages"/>
        <s v="109198-Entretien-Nettoyants multi-usages"/>
        <s v="108990-Entretien-Nettoyants multi-usages"/>
        <s v="72815-Entretien-Nettoyants multi-usages"/>
        <s v="9479-Entretien-Nettoyants multi-usages"/>
        <s v="46961-Entretien-Nettoyants multi-usages"/>
        <s v="122352-Entretien-Nettoyants multi-usages"/>
        <s v="44750-Entretien-Nettoyants multi-usages"/>
        <s v="114405-Entretien-Nettoyants multi-usages"/>
        <s v="2797-Entretien-Nettoyants multi-usages"/>
        <s v="79499-Entretien-Nettoyants multi-usages"/>
        <s v="5902-Entretien-Nettoyants multi-usages"/>
        <s v="46956-Entretien-Nettoyants multi-usages"/>
        <s v="11490-Entretien-Nettoyants multi-usages"/>
        <s v="8027-Entretien-Nettoyants multi-usages"/>
        <s v="121588-Entretien-Nettoyants multi-usages"/>
        <s v="1279-Entretien-Nettoyants multi-usages"/>
        <s v="5978-Entretien-Nettoyants multi-usages"/>
        <s v="72813-Entretien-Nettoyants multi-usages"/>
        <s v="9486-Entretien-Nettoyants multi-usages"/>
        <s v="2791-Entretien-Nettoyants multi-usages"/>
        <s v="109206-Entretien-Nettoyants multi-usages"/>
        <s v="9478-Entretien-Nettoyants multi-usages"/>
        <s v="122699-Entretien-Nettoyants multi-usages"/>
        <s v="2794-Entretien-Nettoyants multi-usages"/>
        <s v="109200-Entretien-Nettoyants multi-usages"/>
        <s v="118263-Entretien-Nettoyants multi-usages"/>
        <s v="71320-Entretien-Nettoyants multi-usages"/>
        <s v="108944-Entretien-Nettoyants multi-usages"/>
        <s v="122693-Entretien-Nettoyants multi-usages"/>
        <s v="20049-Entretien-Nettoyants multi-usages"/>
        <s v="20055-Entretien-Nettoyants multi-usages"/>
        <s v="112845-Entretien-Nettoyants multi-usages"/>
        <s v="9490-Entretien-Nettoyants multi-usages"/>
        <s v="105034-Entretien-Nettoyants multi-usages"/>
        <s v="122680-Entretien-Nettoyants multi-usages"/>
        <s v="112846-Entretien-Nettoyants multi-usages"/>
        <s v="80816-Entretien-Nettoyants multi-usages"/>
        <s v="44749-Entretien-Nettoyants multi-usages"/>
        <s v="79498-Entretien-Nettoyants multi-usages"/>
        <s v="2799-Entretien-Nettoyants multi-usages"/>
        <s v="194401-Entretien-Nettoyants multi-usages"/>
        <s v="5291-Entretien-Nettoyants multi-usages"/>
        <s v="2796-Entretien-Nettoyants multi-usages"/>
        <s v="71325-Entretien-Nettoyants multi-usages"/>
        <s v="2793-Entretien-Nettoyants multi-usages"/>
        <s v="102781-Entretien-Nettoyants multi-usages"/>
        <s v="109201-Entretien-Nettoyants multi-usages"/>
        <s v="72814-Entretien-Nettoyants multi-usages"/>
        <s v="122351-Entretien-Nettoyants multi-usages"/>
        <s v="99298-Entretien-Nettoyants multi-usages"/>
        <s v="3731-Entretien-Nettoyants multi-usages"/>
        <s v="11489-Entretien-Nettoyants multi-usages"/>
        <s v="122302-Entretien-Nettoyants multi-usages"/>
        <s v="28838-Entretien-Nettoyants multi-usages"/>
        <s v="72843-Entretien-Nettoyants multi-usages"/>
        <s v="80809-Entretien-Nettoyants multi-usages"/>
        <s v="127006-Epilation-Soins épilation"/>
        <s v="82448-Epilation-Soins épilation"/>
        <s v="13028-Epilation-Soins épilation"/>
        <s v="118577-Epilation-Cires épilatoires"/>
        <s v="117890-Epilation-Cires épilatoires"/>
        <s v="118617-Epilation-Cires épilatoires"/>
        <s v="109995-Epilation-Crèmes dépilatoires"/>
        <s v="109996-Epilation-Crèmes dépilatoires"/>
        <s v="49107-Maquillage-Le Teint"/>
        <s v="29585-Maquillage-Le Teint"/>
        <s v="111677-Maquillage-Le Teint"/>
        <s v="93102-Maquillage-Le Teint"/>
        <s v="30712-Maquillage-Le Teint"/>
        <s v="89128-Maquillage-Le Teint"/>
        <s v="29587-Maquillage-Le Teint"/>
        <s v="30711-Maquillage-Le Teint"/>
        <s v="45306-Maquillage-Le Teint"/>
        <s v="120803-Maquillage-Le Teint"/>
        <s v="108004-Maquillage-Le Teint"/>
        <s v="92205-Maquillage-Le Teint"/>
        <s v="119509-Maquillage-Le Teint"/>
        <s v="109056-Maquillage-Le Teint"/>
        <s v="45305-Maquillage-Le Teint"/>
        <s v="29582-Maquillage-Le Teint"/>
        <s v="111676-Maquillage-Le Teint"/>
        <s v="30578-Maquillage-Le Teint"/>
        <s v="93095-Maquillage-Le Teint"/>
        <s v="70036-Maquillage-Le Teint"/>
        <s v="90498-Maquillage-Le Teint"/>
        <s v="89127-Maquillage-Le Teint"/>
        <s v="75215-Maquillage-Le Teint"/>
        <s v="119566-Maquillage-Le Teint"/>
        <s v="92208-Maquillage-Le Teint"/>
        <s v="119579-Maquillage-Le Teint"/>
        <s v="45309-Maquillage-Le Teint"/>
        <s v="30743-Maquillage-Le Teint"/>
        <s v="49108-Maquillage-Le Teint"/>
        <s v="29584-Maquillage-Le Teint"/>
        <s v="119501-Maquillage-Le Teint"/>
        <s v="30504-Maquillage-Le Teint"/>
        <s v="93101-Maquillage-Le Teint"/>
        <s v="30749-Maquillage-Le Teint"/>
        <s v="120813-Maquillage-Le Teint"/>
        <s v="29590-Maquillage-Le Teint"/>
        <s v="118662-Maquillage-Les Yeux"/>
        <s v="30478-Maquillage-Les Yeux"/>
        <s v="90475-Maquillage-Les Yeux"/>
        <s v="29530-Maquillage-Les Yeux"/>
        <s v="81528-Maquillage-Les Yeux"/>
        <s v="100436-Maquillage-Les Yeux"/>
        <s v="29499-Maquillage-Les Yeux"/>
        <s v="30683-Maquillage-Les Yeux"/>
        <s v="69906-Maquillage-Les Yeux"/>
        <s v="90174-Maquillage-Les Yeux"/>
        <s v="90168-Maquillage-Les Yeux"/>
        <s v="79488-Maquillage-Les Yeux"/>
        <s v="119640-Maquillage-Les Yeux"/>
        <s v="119515-Maquillage-Les Yeux"/>
        <s v="103685-Maquillage-Les Yeux"/>
        <s v="111617-Maquillage-Les Yeux"/>
        <s v="98637-Maquillage-Les Yeux"/>
        <s v="90159-Maquillage-Les Yeux"/>
        <s v="76651-Maquillage-Les Yeux"/>
        <s v="119531-Maquillage-Les Yeux"/>
        <s v="93884-Maquillage-Les Yeux"/>
        <s v="79467-Maquillage-Les Yeux"/>
        <s v="29532-Maquillage-Les Yeux"/>
        <s v="104063-Maquillage-Les Yeux"/>
        <s v="90166-Maquillage-Les Yeux"/>
        <s v="29538-Maquillage-Les Yeux"/>
        <s v="70538-Maquillage-Les Yeux"/>
        <s v="93893-Maquillage-Les Yeux"/>
        <s v="119518-Maquillage-Les Yeux"/>
        <s v="111338-Maquillage-Les Yeux"/>
        <s v="100435-Maquillage-Les Yeux"/>
        <s v="89130-Maquillage-Les Yeux"/>
        <s v="103695-Maquillage-Les Yeux"/>
        <s v="90201-Maquillage-Les Yeux"/>
        <s v="70025-Maquillage-Les Yeux"/>
        <s v="29485-Maquillage-Les Yeux"/>
        <s v="119530-Maquillage-Les Yeux"/>
        <s v="103671-Maquillage-Les Yeux"/>
        <s v="102803-Maquillage-Les Yeux"/>
        <s v="122156-Maquillage-Les Ongles"/>
        <s v="103688-Maquillage-Les Ongles"/>
        <s v="128303-Maquillage-Les Ongles"/>
        <s v="122164-Maquillage-Les Ongles"/>
        <s v="119629-Maquillage-Les Ongles"/>
        <s v="122238-Maquillage-Les Ongles"/>
        <s v="100106-Maquillage-Les Ongles"/>
        <s v="74260-Maquillage-Les Ongles"/>
        <s v="122159-Maquillage-Les Ongles"/>
        <s v="100104-Maquillage-Les Ongles"/>
        <s v="103702-Maquillage-Les Ongles"/>
        <s v="103696-Maquillage-Les Ongles"/>
        <s v="111083-Maquillage-Les Ongles"/>
        <s v="76658-Maquillage-Les Lèvres"/>
        <s v="111339-Maquillage-Les Lèvres"/>
        <s v="79491-Maquillage-Les Lèvres"/>
        <s v="110380-Maquillage-Les Lèvres"/>
        <s v="111341-Maquillage-Les Lèvres"/>
        <s v="81785-Maquillage-Les Lèvres"/>
        <s v="89155-Maquillage-Les Lèvres"/>
        <s v="90253-Maquillage-Base de maquillage"/>
        <s v="119544-Maquillage-Pinceaux et accessoires"/>
        <s v="108675-Maquillage-Pinceaux et accessoires"/>
        <s v="119542-Maquillage-Pinceaux et accessoires"/>
        <s v="30752-Maquillage-Pinceaux et accessoires"/>
        <s v="116180-Pâtes bio-Pâtes Blanches"/>
        <s v="96953-Pâtes bio-Pâtes Blanches"/>
        <s v="118303-Pâtes bio-Pâtes Blanches"/>
        <s v="117222-Pâtes bio-Pâtes Blanches"/>
        <s v="5620-Pâtes bio-Pâtes Blanches"/>
        <s v="122346-Pâtes bio-Pâtes Blanches"/>
        <s v="96968-Pâtes bio-Pâtes Blanches"/>
        <s v="126578-Pâtes bio-Pâtes Blanches"/>
        <s v="126581-Pâtes bio-Pâtes Blanches"/>
        <s v="96956-Pâtes bio-Pâtes Blanches"/>
        <s v="116774-Pâtes bio-Pâtes Blanches"/>
        <s v="147293-Pâtes bio-Pâtes Blanches"/>
        <s v="119228-Pâtes bio-Pâtes Blanches"/>
        <s v="5618-Pâtes bio-Pâtes Blanches"/>
        <s v="126579-Pâtes bio-Pâtes Blanches"/>
        <s v="117219-Pâtes bio-Pâtes Blanches"/>
        <s v="44110-Pâtes bio-Pâtes Blanches"/>
        <s v="76223-Pâtes bio-Pâtes Blanches"/>
        <s v="48406-Pâtes bio-Pâtes Blanches"/>
        <s v="77514-Pâtes bio-Pâtes Blanches"/>
        <s v="117221-Pâtes bio-Pâtes Blanches"/>
        <s v="115602-Pâtes bio-Pâtes Blanches"/>
        <s v="44107-Pâtes bio-Pâtes Blanches"/>
        <s v="115604-Pâtes bio-Pâtes Blanches"/>
        <s v="118926-Pâtes bio-Pâtes Blanches"/>
        <s v="118304-Pâtes bio-Pâtes Blanches"/>
        <s v="5621-Pâtes bio-Pâtes Blanches"/>
        <s v="44105-Pâtes bio-Pâtes Blanches"/>
        <s v="126580-Pâtes bio-Pâtes Blanches"/>
        <s v="5624-Pâtes bio-Pâtes Blanches"/>
        <s v="88679-Pâtes bio-Pâtes Blanches"/>
        <s v="118305-Pâtes bio-Pâtes Blanches"/>
        <s v="60380-Pâtes bio-Pâtes Blanches"/>
        <s v="77475-Pâtes bio-Pâtes complètes"/>
        <s v="110577-Pâtes bio-Pâtes complètes"/>
        <s v="110571-Pâtes bio-Pâtes complètes"/>
        <s v="103835-Pâtes bio-Pâtes complètes"/>
        <s v="5646-Pâtes bio-Pâtes complètes"/>
        <s v="5649-Pâtes bio-Pâtes complètes"/>
        <s v="5647-Pâtes bio-Pâtes complètes"/>
        <s v="5648-Pâtes bio-Pâtes complètes"/>
        <s v="108292-Pâtes bio-Pâtes complètes"/>
        <s v="110572-Pâtes bio-Pâtes complètes"/>
        <s v="77456-Pâtes bio-Pâtes complètes"/>
        <s v="77454-Pâtes bio-Pâtes parfumées"/>
        <s v="44095-Pâtes bio-Pâtes parfumées"/>
        <s v="87419-Pâtes bio-Pâtes parfumées"/>
        <s v="44087-Pâtes bio-Pâtes parfumées"/>
        <s v="44129-Pâtes bio-Pâtes parfumées"/>
        <s v="103832-Pâtes bio-Pâtes parfumées"/>
        <s v="103819-Pâtes bio-Pâtes parfumées"/>
        <s v="88683-Pâtes bio-Pâtes parfumées"/>
        <s v="5676-Pâtes bio-Pâtes parfumées"/>
        <s v="116776-Pâtes bio-Pâtes parfumées"/>
        <s v="5668-Pâtes bio-Pâtes parfumées"/>
        <s v="119052-Pâtes bio-Pâtes parfumées"/>
        <s v="118920-Pâtes bio-Pâtes parfumées"/>
        <s v="96003-Pâtes bio-Pâtes aux céréales"/>
        <s v="116380-Pâtes bio-Pâtes aux céréales"/>
        <s v="46291-Pâtes bio-Pâtes aux céréales"/>
        <s v="148742-Pâtes bio-Pâtes aux céréales"/>
        <s v="83634-Pâtes bio-Pâtes aux céréales"/>
        <s v="5657-Pâtes bio-Pâtes aux céréales"/>
        <s v="78856-Pâtes bio-Pâtes aux céréales"/>
        <s v="44123-Pâtes bio-Pâtes aux céréales"/>
        <s v="78855-Pâtes bio-Pâtes aux céréales"/>
        <s v="48408-Pâtes bio-Pâtes aux céréales"/>
        <s v="46303-Pâtes bio-Pâtes aux céréales"/>
        <s v="147274-Pâtes bio-Pâtes aux céréales"/>
        <s v="44144-Pâtes bio-Pâtes aux céréales"/>
        <s v="96972-Pâtes bio-Pâtes aux céréales"/>
        <s v="5665-Pâtes bio-Pâtes aux céréales"/>
        <s v="26072-Pâtes bio-Pâtes aux céréales"/>
        <s v="5631-Pâtes bio-Pâtes aux céréales"/>
        <s v="104316-Pâtes bio-Pâtes aux céréales"/>
        <s v="83612-Pâtes bio-Pâtes aux céréales"/>
        <s v="87425-Pâtes bio-Pâtes aux céréales"/>
        <s v="115611-Pâtes bio-Pâtes aux céréales"/>
        <s v="88688-Pâtes bio-Pâtes aux céréales"/>
        <s v="83605-Pâtes bio-Pâtes aux céréales"/>
        <s v="44125-Pâtes bio-Pâtes aux céréales"/>
        <s v="83639-Pâtes bio-Pâtes aux céréales"/>
        <s v="5656-Pâtes bio-Pâtes aux céréales"/>
        <s v="88686-Pâtes bio-Pâtes aux céréales"/>
        <s v="83601-Pâtes bio-Pâtes aux céréales"/>
        <s v="48407-Pâtes bio-Pâtes aux céréales"/>
        <s v="5692-Pâtes bio-Pâtes aux céréales"/>
        <s v="112803-Pâtes bio-Pâtes aux céréales"/>
        <s v="83600-Pâtes bio-Pâtes aux céréales"/>
        <s v="83621-Pâtes bio-Pâtes aux céréales"/>
        <s v="115599-Pâtes bio-Pâtes aux céréales"/>
        <s v="83598-Pâtes bio-Pâtes aux céréales"/>
        <s v="5652-Pâtes bio-Pâtes aux céréales"/>
        <s v="122661-Pâtes bio-Pâtes aux céréales"/>
        <s v="116384-Pâtes bio-Pâtes aux céréales"/>
        <s v="78859-Pâtes bio-Pâtes aux céréales"/>
        <s v="87096-Pâtes bio-Pâtes aux céréales"/>
        <s v="87428-Pâtes bio-Pâtes aux céréales"/>
        <s v="5690-Pâtes bio-Pâtes aux céréales"/>
        <s v="5663-Pâtes bio-Pâtes aux céréales"/>
        <s v="5654-Pâtes bio-Pâtes aux céréales"/>
        <s v="44607-Pâtes bio-Pâtes aux céréales"/>
        <s v="5662-Pâtes bio-Pâtes aux céréales"/>
        <s v="87426-Pâtes bio-Pâtes aux céréales"/>
        <s v="5680-Pâtes bio-Pâtes aux céréales"/>
        <s v="5661-Pâtes bio-Pâtes aux céréales"/>
        <s v="83629-Pâtes bio-Pâtes aux céréales"/>
        <s v="83599-Pâtes bio-Pâtes aux céréales"/>
        <s v="83625-Pâtes bio-Pâtes aux céréales"/>
        <s v="87887-Pâtes bio-Pâtes de légumineuse"/>
        <s v="118923-Pâtes bio-Pâtes de légumineuse"/>
        <s v="87421-Pâtes bio-Pâtes de légumineuse"/>
        <s v="117531-Pâtes bio-Pâtes de légumineuse"/>
        <s v="122267-Pâtes bio-Pâtes de légumineuse"/>
        <s v="117527-Pâtes bio-Pâtes de légumineuse"/>
        <s v="44138-Pâtes bio-Pâtes de légumineuse"/>
        <s v="117529-Pâtes bio-Pâtes de légumineuse"/>
        <s v="122269-Pâtes bio-Pâtes de légumineuse"/>
        <s v="87886-Pâtes bio-Pâtes de légumineuse"/>
        <s v="104317-Pâtes bio-Pâtes de légumineuse"/>
        <s v="114943-Pâtes bio-Pâtes de légumineuse"/>
        <s v="44134-Pâtes bio-Pâtes de légumineuse"/>
        <s v="5637-Pâtes bio-Pâtes demi complètes"/>
        <s v="5641-Pâtes bio-Pâtes demi complètes"/>
        <s v="147323-Pâtes bio-Pâtes demi complètes"/>
        <s v="44118-Pâtes bio-Pâtes demi complètes"/>
        <s v="115608-Pâtes bio-Pâtes demi complètes"/>
        <s v="44127-Pâtes bio-Pâtes demi complètes"/>
        <s v="122348-Pâtes bio-Pâtes demi complètes"/>
        <s v="147304-Pâtes bio-Pâtes demi complètes"/>
        <s v="118310-Pâtes bio-Pâtes demi complètes"/>
        <s v="77175-Pâtes bio-Pâtes demi complètes"/>
        <s v="5645-Pâtes bio-Pâtes demi complètes"/>
        <s v="76679-Pâtes bio-Pâtes demi complètes"/>
        <s v="5635-Pâtes bio-Pâtes demi complètes"/>
        <s v="110960-Pâtes bio-Pâtes demi complètes"/>
        <s v="108290-Pâtes bio-Pâtes demi complètes"/>
        <s v="117680-Pâtes bio-Pâtes demi complètes"/>
        <s v="77183-Pâtes bio-Pâtes demi complètes"/>
        <s v="147322-Pâtes bio-Pâtes demi complètes"/>
        <s v="44120-Pâtes bio-Pâtes demi complètes"/>
        <s v="44115-Pâtes bio-Pâtes demi complètes"/>
        <s v="44117-Pâtes bio-Pâtes demi complètes"/>
        <s v="76670-Pâtes bio-Pâtes demi complètes"/>
        <s v="122347-Pâtes bio-Pâtes demi complètes"/>
        <s v="112462-Pâtes bio-Pâtes demi complètes"/>
        <s v="5636-Pâtes bio-Pâtes demi complètes"/>
        <s v="112464-Pâtes bio-Pâtes demi complètes"/>
        <s v="5639-Pâtes bio-Pâtes demi complètes"/>
        <s v="44147-Pâtes bio-Pâtes demi complètes"/>
        <s v="5638-Pâtes bio-Pâtes demi complètes"/>
        <s v="103074-Pâtes bio-Pâtes demi complètes"/>
        <s v="45913-Pâtes bio-Nouilles asiatiques, shirataki"/>
        <s v="120044-Pâtes bio-Nouilles asiatiques, shirataki"/>
        <s v="90973-Pâtes bio-Nouilles asiatiques, shirataki"/>
        <s v="103830-Pâtes bio-Nouilles asiatiques, shirataki"/>
        <s v="111765-Pâtes bio-Nouilles asiatiques, shirataki"/>
        <s v="45952-Pâtes bio-Nouilles asiatiques, shirataki"/>
        <s v="91749-Pâtes bio-Nouilles asiatiques, shirataki"/>
        <s v="120040-Pâtes bio-Nouilles asiatiques, shirataki"/>
        <s v="17143-Pâtes bio-Nouilles asiatiques, shirataki"/>
        <s v="120515-Pâtes bio-Nouilles asiatiques, shirataki"/>
        <s v="120045-Pâtes bio-Nouilles asiatiques, shirataki"/>
        <s v="122268-Pâtes bio-Nouilles asiatiques, shirataki"/>
        <s v="195737-Pâtes bio-Nouilles asiatiques, shirataki"/>
        <s v="78759-Pâtes bio-Nouilles asiatiques, shirataki"/>
        <s v="8857-Pâtes bio-Nouilles asiatiques, shirataki"/>
        <s v="8860-Pâtes bio-Nouilles asiatiques, shirataki"/>
        <s v="182790-Pâtes bio-Nouilles asiatiques, shirataki"/>
        <s v="120042-Pâtes bio-Nouilles asiatiques, shirataki"/>
        <s v="114941-Pâtes bio-Nouilles asiatiques, shirataki"/>
        <s v="108473-Pâtes bio-Nouilles asiatiques, shirataki"/>
        <s v="90968-Pâtes bio-Nouilles asiatiques, shirataki"/>
        <s v="114929-Pâtes bio-Nouilles asiatiques, shirataki"/>
        <s v="68868-Pâtes bio-Nouilles asiatiques, shirataki"/>
        <s v="103831-Pâtes bio-Nouilles asiatiques, shirataki"/>
        <s v="83272-Pâtes bio-Nouilles asiatiques, shirataki"/>
        <s v="120046-Pâtes bio-Nouilles asiatiques, shirataki"/>
        <s v="181989-Allaitement-Coussins d'allaitement"/>
        <s v="84359-Allaitement-Accessoires d'allaitement"/>
        <s v="102939-Allaitement-Accessoires d'allaitement"/>
        <s v="111504-Allaitement-Accessoires d'allaitement"/>
        <s v="75678-Allaitement-Accessoires d'allaitement"/>
        <s v="79005-Allaitement-Accessoires d'allaitement"/>
        <s v="188360-Allaitement-Accessoires d'allaitement"/>
        <s v="79695-Composteurs-Poubelle, seau à compost"/>
        <s v="73768-Composteurs-Poubelle, seau à compost"/>
        <s v="44663-Composteurs-Poubelle, seau à compost"/>
        <s v="766-Composteurs-Poubelle, seau à compost"/>
        <s v="109961-Décoration-Bougies"/>
        <s v="109932-Décoration-Bougies"/>
        <s v="109956-Décoration-Bougies"/>
        <s v="109962-Décoration-Bougies"/>
        <s v="101622-Décoration-Bougies"/>
        <s v="101623-Décoration-Bougies"/>
        <s v="4513-Décoration-Bougies"/>
        <s v="24648-Décoration-Bougies"/>
        <s v="16386-Décoration-Lampes de sel"/>
        <s v="16383-Décoration-Lampes de sel"/>
        <s v="113588-Décoration-Fleurs et plantes"/>
        <s v="99392-Décoration-Encens, porte encens"/>
        <s v="99412-Décoration-Encens, porte encens"/>
        <s v="25306-Décoration-Encens, porte encens"/>
        <s v="99399-Décoration-Encens, porte encens"/>
        <s v="25304-Décoration-Encens, porte encens"/>
        <s v="99400-Décoration-Encens, porte encens"/>
        <s v="80484-Décoration-Encens, porte encens"/>
        <s v="14477-Décoration-Encens, porte encens"/>
        <s v="95056-Eau de coco-"/>
        <s v="78519-Eau de coco-"/>
        <s v="90377-Eau de coco-"/>
        <s v="90375-Eau de coco-"/>
        <s v="112073-Fruits secs-Fruit confit"/>
        <s v="101339-Fruits secs-Fruit confit"/>
        <s v="92421-Fruits secs-Fruit confit"/>
        <s v="112079-Fruits secs-Fruit confit"/>
        <s v="44716-Fruits secs-Fruit confit"/>
        <s v="89640-Fruits secs-Fruit confit"/>
        <s v="112072-Fruits secs-Fruit confit"/>
        <s v="112991-Fruits secs-Fruit confit"/>
        <s v="101587-Fruits secs-Fruit séché"/>
        <s v="10525-Fruits secs-Fruit séché"/>
        <s v="121349-Fruits secs-Fruit séché"/>
        <s v="127811-Fruits secs-Fruit séché"/>
        <s v="81507-Fruits secs-Fruit séché"/>
        <s v="78412-Fruits secs-Fruit séché"/>
        <s v="109312-Fruits secs-Fruit séché"/>
        <s v="78502-Fruits secs-Fruit séché"/>
        <s v="111498-Fruits secs-Fruit séché"/>
        <s v="87242-Fruits secs-Fruit séché"/>
        <s v="139286-Fruits secs-Fruit séché"/>
        <s v="10524-Fruits secs-Fruit séché"/>
        <s v="78397-Fruits secs-Fruit séché"/>
        <s v="78421-Fruits secs-Fruit séché"/>
        <s v="23420-Fruits secs-Fruit séché"/>
        <s v="78498-Fruits secs-Fruit séché"/>
        <s v="78427-Fruits secs-Fruit séché"/>
        <s v="119256-Fruits secs-Fruit séché"/>
        <s v="44731-Fruits secs-Fruit séché"/>
        <s v="86852-Fruits secs-Fruit séché"/>
        <s v="103137-Fruits secs-Fruit séché"/>
        <s v="95079-Fruits secs-Fruit séché"/>
        <s v="121568-Fruits secs-Fruit séché"/>
        <s v="89645-Fruits secs-Fruit séché"/>
        <s v="44691-Fruits secs-Fruit séché"/>
        <s v="94055-Fruits secs-Fruit séché"/>
        <s v="101586-Fruits secs-Fruit séché"/>
        <s v="106731-Fruits secs-Fruit séché"/>
        <s v="87072-Fruits secs-Fruit séché"/>
        <s v="44711-Fruits secs-Fruit séché"/>
        <s v="78428-Fruits secs-Fruit séché"/>
        <s v="10531-Fruits secs-Fruit séché"/>
        <s v="158475-Fruits secs-Fruit séché"/>
        <s v="89633-Fruits secs-Fruit séché"/>
        <s v="86836-Fruits secs-Fruit séché"/>
        <s v="44698-Fruits secs-Fruit séché"/>
        <s v="127870-Fruits secs-Fruit séché"/>
        <s v="141891-Fruits secs-Fruit séché"/>
        <s v="78426-Fruits secs-Fruit séché"/>
        <s v="77792-Fruits secs-Fruit séché"/>
        <s v="21027-Fruits secs-Fruit séché"/>
        <s v="95063-Fruits secs-Fruit séché"/>
        <s v="30314-Fruits secs-Fruit séché"/>
        <s v="19838-Fruits secs-Fruit séché"/>
        <s v="111283-Fruits secs-Fruit séché"/>
        <s v="87568-Fruits secs-Fruit séché"/>
        <s v="78419-Fruits secs-Fruit séché"/>
        <s v="106806-Fruits secs-Fruit séché"/>
        <s v="78420-Fruits secs-Fruit séché"/>
        <s v="78442-Fruits secs-Fruit séché"/>
        <s v="78492-Fruits secs-Fruit séché"/>
        <s v="80297-Fruits secs-Fruit séché"/>
        <s v="44712-Fruits secs-Fruit séché"/>
        <s v="89736-Fruits secs-Fruit séché"/>
        <s v="83270-Fruits secs-Fruit séché"/>
        <s v="101588-Fruits secs-Fruit séché"/>
        <s v="104171-Fruits secs-Fruit séché"/>
        <s v="101042-Fruits secs-Fruit séché"/>
        <s v="108881-Fruits secs-Fruit séché"/>
        <s v="87571-Fruits secs-Fruit séché"/>
        <s v="44718-Fruits secs-Fruit séché"/>
        <s v="44735-Fruits secs-Fruit séché"/>
        <s v="21035-Fruits secs-Fruit séché"/>
        <s v="30308-Fruits secs-Fruit séché"/>
        <s v="44694-Fruits secs-Fruit séché"/>
        <s v="78493-Fruits secs-Fruit séché"/>
        <s v="78409-Fruits secs-Fruit séché"/>
        <s v="86844-Fruits secs-Fruit séché"/>
        <s v="86771-Fruits secs-Fruit séché"/>
        <s v="78511-Fruits secs-Fruit séché"/>
        <s v="83267-Fruits secs-Fruit séché"/>
        <s v="78490-Fruits secs-Fruit séché"/>
        <s v="73175-Fruits secs-Fruit séché"/>
        <s v="44730-Fruits secs-Fruit séché"/>
        <s v="10535-Fruits secs-Fruit séché"/>
        <s v="80299-Fruits secs-Fruit séché"/>
        <s v="121350-Fruits secs-Fruit séché"/>
        <s v="79958-Fruits secs-Fruit séché"/>
        <s v="95074-Fruits secs-Fruit séché"/>
        <s v="87574-Fruits secs-Fruit séché"/>
        <s v="77769-Fruits secs-Fruit séché"/>
        <s v="141889-Fruits secs-Fruit séché"/>
        <s v="83269-Fruits secs-Fruit séché"/>
        <s v="89647-Fruits secs-Fruit séché"/>
        <s v="77256-Fruits secs-Fruit séché"/>
        <s v="86840-Fruits secs-Fruit séché"/>
        <s v="30306-Fruits secs-Fruit séché"/>
        <s v="76427-Fruits secs-Fruit sec à coque"/>
        <s v="44706-Fruits secs-Fruit sec à coque"/>
        <s v="44701-Fruits secs-Fruit sec à coque"/>
        <s v="10537-Fruits secs-Fruit sec à coque"/>
        <s v="10523-Fruits secs-Fruit sec à coque"/>
        <s v="76664-Fruits secs-Fruit sec à coque"/>
        <s v="78472-Fruits secs-Fruit sec à coque"/>
        <s v="44721-Fruits secs-Fruit sec à coque"/>
        <s v="121576-Fruits secs-Fruit sec à coque"/>
        <s v="117208-Fruits secs-Fruit sec à coque"/>
        <s v="78497-Fruits secs-Fruit sec à coque"/>
        <s v="44726-Fruits secs-Fruit sec à coque"/>
        <s v="117210-Fruits secs-Fruit sec à coque"/>
        <s v="87082-Fruits secs-Fruit sec à coque"/>
        <s v="10529-Fruits secs-Fruit sec à coque"/>
        <s v="44705-Fruits secs-Fruit sec à coque"/>
        <s v="100564-Fruits secs-Fruit sec à coque"/>
        <s v="87193-Fruits secs-Fruit sec à coque"/>
        <s v="76044-Fruits secs-Fruit sec à coque"/>
        <s v="121578-Fruits secs-Fruit sec à coque"/>
        <s v="117206-Fruits secs-Fruit sec à coque"/>
        <s v="81519-Fruits secs-Fruit sec à coque"/>
        <s v="44724-Fruits secs-Fruit sec à coque"/>
        <s v="82114-Fruits secs-Fruit sec à coque"/>
        <s v="82115-Fruits secs-Fruit sec à coque"/>
        <s v="109307-Fruits secs-Fruit sec à coque"/>
        <s v="76046-Fruits secs-Fruit sec à coque"/>
        <s v="117187-Fruits secs-Fruit sec à coque"/>
        <s v="10538-Fruits secs-Fruit sec à coque"/>
        <s v="78508-Fruits secs-Fruit sec à coque"/>
        <s v="44723-Fruits secs-Fruit sec à coque"/>
        <s v="109309-Fruits secs-Fruit sec à coque"/>
        <s v="76656-Fruits secs-Fruit sec à coque"/>
        <s v="80305-Fruits secs-Fruit sec à coque"/>
        <s v="78506-Fruits secs-Fruit sec à coque"/>
        <s v="82133-Fruits secs-Fruit sec à coque"/>
        <s v="188805-Fruits secs-Fruit sec à coque"/>
        <s v="78481-Fruits secs-Fruit sec à coque"/>
        <s v="109310-Fruits secs-Fruit sec à coque"/>
        <s v="120689-Fruits secs-Fruit sec à coque"/>
        <s v="10540-Fruits secs-Fruit sec à coque"/>
        <s v="44727-Fruits secs-Fruit sec à coque"/>
        <s v="73190-Fruits secs-Fruit sec à coque"/>
        <s v="112169-Fruits secs-Fruit sec à coque"/>
        <s v="120695-Fruits secs-Fruit sec à coque"/>
        <s v="80270-Fruits secs-Fruit sec à coque"/>
        <s v="5795-Fruits secs-Fruit sec à coque"/>
        <s v="107316-Fruits secs-Fruit sec à coque"/>
        <s v="78482-Fruits secs-Fruit sec à coque"/>
        <s v="158473-Fruits secs-Fruit sec à coque"/>
        <s v="109308-Fruits secs-Fruit sec à coque"/>
        <s v="78507-Fruits secs-Fruit sec à coque"/>
        <s v="100827-Fruits secs-Fruit sec à coque"/>
        <s v="102189-Fruits secs-Fruit sec à coque"/>
        <s v="10522-Fruits secs-Fruit sec à coque"/>
        <s v="78467-Fruits secs-Fruit sec à coque"/>
        <s v="84367-Fruits secs-Fruit sec à coque"/>
        <s v="87402-Fruits secs-Fruit sec en poudre"/>
        <s v="44707-Fruits secs-Fruit sec en poudre"/>
        <s v="78400-Fruits secs-Fruit sec en poudre"/>
        <s v="102188-Fruits secs-Fruit sec en poudre"/>
        <s v="73173-Fruits secs-Fruit sec en poudre"/>
        <s v="76661-Fruits secs-Fruit sec en poudre"/>
        <s v="78479-Fruits secs-Fruit sec en poudre"/>
        <s v="103401-Fruits secs-Fruit sec en poudre"/>
        <s v="83340-Fruits secs-Fruit sec en poudre"/>
        <s v="44725-Fruits secs-Fruit sec en poudre"/>
        <s v="109311-Fruits secs-Fruit sec en poudre"/>
        <s v="133901-Soins Homme-Douche"/>
        <s v="92678-Soins Homme-Douche"/>
        <s v="82447-Soins Homme-Soins pour le rasage"/>
        <s v="110126-Soins Homme-Soins pour le rasage"/>
        <s v="3219-Soins Homme-Soins pour le rasage"/>
        <s v="127007-Soins Homme-Soins pour le rasage"/>
        <s v="102277-Soins Homme-Soins du visage homme"/>
        <s v="122544-Soins Homme-Soins du visage homme"/>
        <s v="91486-Soins Homme-Soins du visage homme"/>
        <s v="28009-Soins Homme-Soins du visage homme"/>
        <s v="110814-Soins Homme-Déodorants et eau de toilette"/>
        <s v="117437-Soins Homme-Déodorants et eau de toilette"/>
        <s v="23074-Soins Homme-Déodorants et eau de toilette"/>
        <s v="8900-Soins Homme-Déodorants et eau de toilette"/>
        <s v="92676-Soins Homme-Déodorants et eau de toilette"/>
        <s v="117266-Soins Homme-Déodorants et eau de toilette"/>
        <s v="14527-Soins Homme-Déodorants et eau de toilette"/>
        <s v="27534-Soins Homme-Déodorants et eau de toilette"/>
        <s v="91636-Soins Homme-Déodorants et eau de toilette"/>
        <s v="120941-Soins Homme-Rasoir de sécurité, accessoires"/>
        <s v="111897-Soins Homme-Rasoir de sécurité, accessoires"/>
        <s v="158485-Soins Homme-Rasoir de sécurité, accessoires"/>
        <s v="199530-Thé Glacé-"/>
        <s v="120946-Thé Glacé-"/>
        <s v="82957-Thé Glacé-"/>
        <s v="109830-Thé Glacé-"/>
        <s v="109831-Thé Glacé-"/>
        <s v="107899-Chocolat bio-Chocolat cru"/>
        <s v="139289-Chocolat bio-Chocolat cru"/>
        <s v="72129-Chocolat bio-Chocolat cru"/>
        <s v="106541-Chocolat bio-Chocolat cru"/>
        <s v="43810-Chocolat bio-Chocolat cru"/>
        <s v="83117-Chocolat bio-Chocolat cru"/>
        <s v="78863-Chocolat bio-Chocolat cru"/>
        <s v="107898-Chocolat bio-Chocolat cru"/>
        <s v="80181-Chocolat bio-Chocolat noir"/>
        <s v="150280-Chocolat bio-Chocolat noir"/>
        <s v="80173-Chocolat bio-Chocolat noir"/>
        <s v="100647-Chocolat bio-Chocolat noir"/>
        <s v="147273-Chocolat bio-Chocolat noir"/>
        <s v="83770-Chocolat bio-Chocolat noir"/>
        <s v="180773-Chocolat bio-Chocolat noir"/>
        <s v="80125-Chocolat bio-Chocolat noir"/>
        <s v="89909-Chocolat bio-Chocolat noir"/>
        <s v="80114-Chocolat bio-Chocolat noir"/>
        <s v="73916-Chocolat bio-Chocolat noir"/>
        <s v="80117-Chocolat bio-Chocolat noir"/>
        <s v="22008-Chocolat bio-Chocolat noir"/>
        <s v="76608-Chocolat bio-Chocolat noir"/>
        <s v="80793-Chocolat bio-Chocolat noir"/>
        <s v="102588-Chocolat bio-Chocolat noir"/>
        <s v="80794-Chocolat bio-Chocolat noir"/>
        <s v="80174-Chocolat bio-Chocolat noir"/>
        <s v="114722-Chocolat bio-Chocolat noir"/>
        <s v="180843-Chocolat bio-Chocolat noir"/>
        <s v="22020-Chocolat bio-Chocolat noir"/>
        <s v="111259-Chocolat bio-Chocolat noir"/>
        <s v="89895-Chocolat bio-Chocolat noir"/>
        <s v="22014-Chocolat bio-Chocolat noir"/>
        <s v="44254-Chocolat bio-Chocolat noir"/>
        <s v="22025-Chocolat bio-Chocolat noir"/>
        <s v="83765-Chocolat bio-Chocolat noir"/>
        <s v="89930-Chocolat bio-Chocolat noir"/>
        <s v="83767-Chocolat bio-Chocolat noir"/>
        <s v="83745-Chocolat bio-Chocolat noir"/>
        <s v="78827-Chocolat bio-Chocolat noir"/>
        <s v="122266-Chocolat bio-Chocolat noir"/>
        <s v="949-Chocolat bio-Chocolat noir"/>
        <s v="102595-Chocolat bio-Chocolat noir"/>
        <s v="80790-Chocolat bio-Chocolat noir"/>
        <s v="114257-Chocolat bio-Chocolat noir"/>
        <s v="80121-Chocolat bio-Chocolat noir"/>
        <s v="164929-Chocolat bio-Chocolat noir"/>
        <s v="80180-Chocolat bio-Chocolat noir"/>
        <s v="92930-Chocolat bio-Chocolat noir"/>
        <s v="147271-Chocolat bio-Chocolat noir"/>
        <s v="83748-Chocolat bio-Chocolat noir"/>
        <s v="80120-Chocolat bio-Chocolat noir"/>
        <s v="164931-Chocolat bio-Chocolat noir"/>
        <s v="78804-Chocolat bio-Chocolat noir"/>
        <s v="103096-Chocolat bio-Chocolat noir"/>
        <s v="180770-Chocolat bio-Chocolat noir"/>
        <s v="80115-Chocolat bio-Chocolat noir"/>
        <s v="83771-Chocolat bio-Chocolat noir"/>
        <s v="80124-Chocolat bio-Chocolat noir"/>
        <s v="80111-Chocolat bio-Chocolat noir"/>
        <s v="63864-Chocolat bio-Chocolat noir"/>
        <s v="76824-Chocolat bio-Chocolat noir"/>
        <s v="102599-Chocolat bio-Chocolat noir"/>
        <s v="103001-Chocolat bio-Chocolat noir"/>
        <s v="164928-Chocolat bio-Chocolat noir"/>
        <s v="80791-Chocolat bio-Chocolat noir"/>
        <s v="83223-Chocolat bio-Chocolat noir"/>
        <s v="951-Chocolat bio-Chocolat noir"/>
        <s v="149928-Chocolat bio-Chocolat noir"/>
        <s v="60375-Chocolat bio-Chocolat blanc"/>
        <s v="102594-Chocolat bio-Chocolat au lait"/>
        <s v="128218-Chocolat bio-Chocolat au lait"/>
        <s v="80178-Chocolat bio-Chocolat au lait"/>
        <s v="164932-Chocolat bio-Chocolat au lait"/>
        <s v="22036-Chocolat bio-Chocolat au lait"/>
        <s v="102585-Chocolat bio-Chocolat au lait"/>
        <s v="78816-Chocolat bio-Chocolat au lait"/>
        <s v="78822-Chocolat bio-Chocolat au lait"/>
        <s v="83773-Chocolat bio-Chocolat au lait"/>
        <s v="114720-Chocolat bio-Chocolat au lait"/>
        <s v="83777-Chocolat bio-Chocolat au lait"/>
        <s v="102593-Chocolat bio-Chocolat au lait"/>
        <s v="164930-Chocolat bio-Chocolat au lait"/>
        <s v="102584-Chocolat bio-Chocolat au lait"/>
        <s v="102586-Chocolat bio-Chocolat au lait"/>
        <s v="83758-Chocolat bio-Chocolat pâtissier"/>
        <s v="80189-Chocolat bio-Chocolat pâtissier"/>
        <s v="26148-Chocolat bio-Chocolat pâtissier"/>
        <s v="121902-Chocolat bio-Chocolat pâtissier"/>
        <s v="21032-Chocolat bio-Chocolat pâtissier"/>
        <s v="22071-Chocolat bio-Chocolat pâtissier"/>
        <s v="87404-Chocolat bio-Chocolat pâtissier"/>
        <s v="42712-Chocolat bio-Chocolat pâtissier"/>
        <s v="76609-Chocolat bio-Chocolat pâtissier"/>
        <s v="952-Chocolat bio-Chocolat pâtissier"/>
        <s v="26136-Chocolat bio-Chocolat pâtissier"/>
        <s v="87502-Chocolat bio-Chocolat pâtissier"/>
        <s v="73923-Chocolat bio-Chocolat pâtissier"/>
        <s v="164927-Chocolat bio-Chocolat pâtissier"/>
        <s v="108749-Chocolat bio-Truffe et bouchée chocolat"/>
        <s v="89919-Chocolat bio-Truffe et bouchée chocolat"/>
        <s v="112897-Chocolat bio-Truffe et bouchée chocolat"/>
        <s v="122013-Chocolat bio-Truffe et bouchée chocolat"/>
        <s v="89902-Chocolat bio-Truffe et bouchée chocolat"/>
        <s v="89900-Chocolat bio-Truffe et bouchée chocolat"/>
        <s v="92461-Chocolat bio-Truffe et bouchée chocolat"/>
        <s v="128834-Conservation-Boîtes en inox"/>
        <s v="135180-Conservation-Boîtes en inox"/>
        <s v="120582-Conservation-Boîtes en inox"/>
        <s v="105794-Conservation-Mugs isothermes"/>
        <s v="81049-Conservation-Mugs isothermes"/>
        <s v="13364-Conservation-Boîtes en verre"/>
        <s v="13361-Conservation-Boîtes en verre"/>
        <s v="75659-Conservation-Boîtes en verre"/>
        <s v="75655-Conservation-Boîtes en verre"/>
        <s v="117866-Conservation-Boîtes en verre"/>
        <s v="90556-Conservation-Boîtes en verre"/>
        <s v="68605-Conservation-Boîtes en verre"/>
        <s v="103829-Conservation-Boîtes en verre"/>
        <s v="90558-Conservation-Boîtes en verre"/>
        <s v="120490-Conservation-Boîtes en verre"/>
        <s v="75662-Conservation-Boîtes en verre"/>
        <s v="121298-Conservation-Boîtes en verre"/>
        <s v="13363-Conservation-Boîtes en verre"/>
        <s v="117863-Conservation-Boîtes en verre"/>
        <s v="68607-Conservation-Boîtes en verre"/>
        <s v="122705-Conservation-Boîtes en plastique"/>
        <s v="88195-Conservation-Sacs de conservation"/>
        <s v="45523-Conservation-Sacs de conservation"/>
        <s v="158449-Conservation-Sacs de conservation"/>
        <s v="45518-Conservation-Sacs de conservation"/>
        <s v="96288-Conservation-Sacs de conservation"/>
        <s v="76981-Conservation-Sacs de conservation"/>
        <s v="113827-Conservation-Sacs de conservation"/>
        <s v="76987-Conservation-Sacs de conservation"/>
        <s v="113824-Conservation-Sacs de conservation"/>
        <s v="113823-Conservation-Sacs de conservation"/>
        <s v="156053-Conservation-Sacs de conservation"/>
        <s v="45522-Conservation-Sacs de conservation"/>
        <s v="99176-Conservation-Bocaux et accessoires"/>
        <s v="49219-Conservation-Bocaux et accessoires"/>
        <s v="102370-Conservation-Bocaux et accessoires"/>
        <s v="49222-Conservation-Bocaux et accessoires"/>
        <s v="102352-Conservation-Bocaux et accessoires"/>
        <s v="49233-Conservation-Bocaux et accessoires"/>
        <s v="99163-Conservation-Bocaux et accessoires"/>
        <s v="142785-Conservation-Bocaux et accessoires"/>
        <s v="113054-Conservation-Bocaux et accessoires"/>
        <s v="88105-Conservation-Conservation sous vide"/>
        <s v="97036-Conservation-Conservation sous vide"/>
        <s v="81229-Conservation-Boîtes à repas enfant"/>
        <s v="120563-Conservation-Boîtes à repas enfant"/>
        <s v="122290-Conservation-Emballages réutilisables"/>
        <s v="122373-Conservation-Emballages réutilisables"/>
        <s v="117830-Conservation-Emballages réutilisables"/>
        <s v="109008-Conservation-Emballages réutilisables"/>
        <s v="122371-Conservation-Emballages réutilisables"/>
        <s v="109012-Conservation-Emballages réutilisables"/>
        <s v="156047-Conservation-Emballages réutilisables"/>
        <s v="117839-Conservation-Emballages réutilisables"/>
        <s v="156051-Conservation-Emballages réutilisables"/>
        <s v="156048-Conservation-Emballages réutilisables"/>
        <s v="117832-Conservation-Emballages réutilisables"/>
        <s v="117877-Conservation-Lunch bags, sacs à repas"/>
        <s v="117876-Conservation-Lunch bags, sacs à repas"/>
        <s v="83507-Conservation-Lunch bags, sacs à repas"/>
        <s v="121285-Conservation-Lunch box et boîtes repas"/>
        <s v="122684-Conservation-Lunch box et boîtes repas"/>
        <s v="116615-Conservation-Lunch box et boîtes repas"/>
        <s v="121083-Conservation-Lunch box et boîtes repas"/>
        <s v="108936-Conservation-Lunch box et boîtes repas"/>
        <s v="128388-Conservation-Lunch box et boîtes repas"/>
        <s v="120559-Conservation-Lunch box et boîtes repas"/>
        <s v="122685-Conservation-Lunch box et boîtes repas"/>
        <s v="122686-Conservation-Lunch box et boîtes repas"/>
        <s v="181263-Conservation-Lunch box et boîtes repas"/>
        <s v="122723-Conservation-Lunch box et boîtes repas"/>
        <s v="26533-Conservation-Papier et film alimentaire"/>
        <s v="16048-Conservation-Papier et film alimentaire"/>
        <s v="16049-Conservation-Papier et film alimentaire"/>
        <s v="122421-Repas Bébé-Bavoirs"/>
        <s v="121718-Repas Bébé-Bavoirs"/>
        <s v="117892-Repas Bébé-Conservation du repas"/>
        <s v="117893-Repas Bébé-Conservation du repas"/>
        <s v="78448-Repas Bébé-Couverts et Vaisselle Bébé"/>
        <s v="89463-Repas Bébé-Gourde compote réutilisable"/>
        <s v="108096-Repas Bébé-Gourde compote réutilisable"/>
        <s v="70495-Repas Bébé-Gourde compote réutilisable"/>
        <s v="115733-Jus de fruits-Jus de citrons bio"/>
        <s v="26349-Jus de fruits-Jus de citrons bio"/>
        <s v="26350-Jus de fruits-Jus de citrons bio"/>
        <s v="115724-Jus de fruits-Jus de citrons bio"/>
        <s v="115726-Jus de fruits-Jus de citrons bio"/>
        <s v="26352-Jus de fruits-Jus de citrons bio"/>
        <s v="19782-Jus de fruits-Jus de pruneau bio"/>
        <s v="19793-Jus de fruits-Jus de raisins bio"/>
        <s v="87604-Jus de fruits-Jus de raisins bio"/>
        <s v="29931-Jus de fruits-Jus de superfruits"/>
        <s v="9335-Jus de fruits-Jus de superfruits"/>
        <s v="88722-Jus de fruits-Jus multifruits bio"/>
        <s v="121865-Jus de fruits-Jus multifruits bio"/>
        <s v="100934-Jus de fruits-Jus multifruits bio"/>
        <s v="117116-Jus de fruits-Jus multifruits bio"/>
        <s v="19802-Jus de fruits-Jus multifruits bio"/>
        <s v="81780-Jus de fruits-Jus multifruits bio"/>
        <s v="117094-Jus de fruits-Jus multifruits bio"/>
        <s v="19797-Jus de fruits-Jus multifruits bio"/>
        <s v="86131-Jus de fruits-Jus multifruits bio"/>
        <s v="121864-Jus de fruits-Jus multifruits bio"/>
        <s v="15061-Jus de fruits-Jus de fruits rouge bio"/>
        <s v="79929-Jus de fruits-Jus de fruits exotiques bio"/>
        <s v="19792-Jus de fruits-Jus de pommes et poires bio"/>
        <s v="108805-Jus de fruits-Jus de pommes et poires bio"/>
        <s v="71689-Jus de fruits-Jus de pommes et poires bio"/>
        <s v="71718-Jus de fruits-Jus de pommes et poires bio"/>
        <s v="19752-Jus de fruits-Jus de pommes et poires bio"/>
        <s v="116205-Jus de fruits-Jus de pommes et poires bio"/>
        <s v="117113-Jus de fruits-Jus de pommes et poires bio"/>
        <s v="71716-Jus de fruits-Jus de pommes et poires bio"/>
        <s v="44398-Jus de fruits-Jus d'oranges et agrumes bio"/>
        <s v="100932-Jus de fruits-Jus d'oranges et agrumes bio"/>
        <s v="117125-Jus de fruits-Jus d'oranges et agrumes bio"/>
        <s v="19746-Jus de fruits-Jus d'oranges et agrumes bio"/>
        <s v="80729-Jus de fruits-Jus d'oranges et agrumes bio"/>
        <s v="19800-Jus de fruits-Jus d'oranges et agrumes bio"/>
        <s v="19790-Jus de fruits-Jus d'oranges et agrumes bio"/>
        <s v="19747-Jus de fruits-Jus d'oranges et agrumes bio"/>
        <s v="44524-Parapharmacie-Sexualité"/>
        <s v="103839-Parapharmacie-Sexualité"/>
        <s v="195240-Parapharmacie-Sexualité"/>
        <s v="195244-Parapharmacie-Sexualité"/>
        <s v="119465-Parapharmacie-Sexualité"/>
        <s v="47081-Parapharmacie-Douleurs musculaires"/>
        <s v="91635-Parapharmacie-Antimoustiques visage et corps"/>
        <s v="188359-Parapharmacie-Antimoustiques visage et corps"/>
        <s v="29655-Parapharmacie-Antimoustiques visage et corps"/>
        <s v="193188-Parapharmacie-Peau abîmée, bosses et coups"/>
        <s v="188367-Parapharmacie-Peau abîmée, bosses et coups"/>
        <s v="188853-Parapharmacie-Peau abîmée, bosses et coups"/>
        <s v="116214-Parapharmacie-Gels articulations, circulation"/>
        <s v="82296-Parapharmacie-Gels articulations, circulation"/>
        <s v="10269-Animalerie Bio-Alimentation Chats"/>
        <s v="121860-Animalerie Bio-Alimentation Chats"/>
        <s v="100464-Animalerie Bio-Alimentation Chats"/>
        <s v="10270-Animalerie Bio-Alimentation Chats"/>
        <s v="10283-Animalerie Bio-Alimentation Chats"/>
        <s v="10278-Animalerie Bio-Alimentation Chats"/>
        <s v="10259-Animalerie Bio-Alimentation Chiens"/>
        <s v="200359-Animalerie Bio-Alimentation Chiens"/>
        <s v="10243-Animalerie Bio-Alimentation Chiens"/>
        <s v="200360-Animalerie Bio-Alimentation Chiens"/>
        <s v="196501-Animalerie Bio-Alimentation Chiens"/>
        <s v="100460-Animalerie Bio-Alimentation Chiens"/>
        <s v="5880-Animalerie Bio-Hygiène et soins Animaux"/>
        <s v="5872-Animalerie Bio-Hygiène et soins Animaux"/>
        <s v="114258-Animalerie Bio-Hygiène et soins Animaux"/>
        <s v="11122-Animalerie Bio-Hygiène et soins Animaux"/>
        <s v="116894-Animalerie Bio-Hygiène et soins Animaux"/>
        <s v="72994-Animalerie Bio-Hygiène et soins Animaux"/>
        <s v="120863-Apéritifs bio-Antipasti"/>
        <s v="120870-Apéritifs bio-Antipasti"/>
        <s v="120868-Apéritifs bio-Antipasti"/>
        <s v="102063-Apéritifs bio-Antipasti"/>
        <s v="120869-Apéritifs bio-Antipasti"/>
        <s v="120871-Apéritifs bio-Olives bio"/>
        <s v="24195-Apéritifs bio-Olives bio"/>
        <s v="120422-Apéritifs bio-Olives bio"/>
        <s v="120874-Apéritifs bio-Olives bio"/>
        <s v="120416-Apéritifs bio-Olives bio"/>
        <s v="80944-Apéritifs bio-Olives bio"/>
        <s v="120873-Apéritifs bio-Olives bio"/>
        <s v="120875-Apéritifs bio-Olives bio"/>
        <s v="147285-Apéritifs bio-Olives bio"/>
        <s v="88604-Apéritifs bio-Olives bio"/>
        <s v="120417-Apéritifs bio-Olives bio"/>
        <s v="113914-Apéritifs bio-Olives bio"/>
        <s v="68793-Apéritifs bio-Tartinables"/>
        <s v="106707-Apéritifs bio-Tartinables"/>
        <s v="24210-Apéritifs bio-Tartinables"/>
        <s v="44012-Apéritifs bio-Tartinables"/>
        <s v="106710-Apéritifs bio-Tartinables"/>
        <s v="117239-Apéritifs bio-Tartinables"/>
        <s v="80186-Apéritifs bio-Tartinables"/>
        <s v="80185-Apéritifs bio-Tartinables"/>
        <s v="107151-Apéritifs bio-Tartinables"/>
        <s v="120420-Apéritifs bio-Tartinables"/>
        <s v="80184-Apéritifs bio-Tartinables"/>
        <s v="107157-Apéritifs bio-Tartinables"/>
        <s v="118432-Apéritifs bio-Tartinables"/>
        <s v="86512-Apéritifs bio-Tartinables"/>
        <s v="118431-Apéritifs bio-Tartinables"/>
        <s v="80187-Apéritifs bio-Tartinables"/>
        <s v="107163-Apéritifs bio-Tartinables"/>
        <s v="108342-Apéritifs bio-Tartinables"/>
        <s v="20949-Apéritifs bio-Tartinables"/>
        <s v="118436-Apéritifs bio-Tartinables"/>
        <s v="113566-Apéritifs bio-Tartinables"/>
        <s v="113571-Apéritifs bio-Tartinables"/>
        <s v="107160-Apéritifs bio-Tartinables"/>
        <s v="44007-Apéritifs bio-Tartinables"/>
        <s v="69453-Apéritifs bio-Tartinables"/>
        <s v="122690-Apéritifs bio-Tartinables"/>
        <s v="117243-Apéritifs bio-Tartinables"/>
        <s v="71988-Apéritifs bio-Chutney et confit"/>
        <s v="111582-Apéritifs bio-Chutney et confit"/>
        <s v="77235-Apéritifs bio-Pâtés végétaux"/>
        <s v="105272-Apéritifs bio-Pâtés végétaux"/>
        <s v="120809-Apéritifs bio-Pâtés végétaux"/>
        <s v="10651-Apéritifs bio-Biscuits apéritif bio"/>
        <s v="10657-Apéritifs bio-Biscuits apéritif bio"/>
        <s v="9132-Apéritifs bio-Biscuits apéritif bio"/>
        <s v="197151-Apéritifs bio-Biscuits apéritif bio"/>
        <s v="73386-Apéritifs bio-Biscuits apéritif bio"/>
        <s v="121604-Apéritifs bio-Biscuits apéritif bio"/>
        <s v="89533-Apéritifs bio-Biscuits apéritif bio"/>
        <s v="73381-Apéritifs bio-Biscuits apéritif bio"/>
        <s v="26096-Apéritifs bio-Biscuits apéritif bio"/>
        <s v="119050-Apéritifs bio-Biscuits apéritif bio"/>
        <s v="44028-Apéritifs bio-Biscuits apéritif bio"/>
        <s v="73572-Apéritifs bio-Biscuits apéritif bio"/>
        <s v="83083-Apéritifs bio-Biscuits apéritif bio"/>
        <s v="13338-Apéritifs bio-Biscuits apéritif bio"/>
        <s v="83418-Apéritifs bio-Biscuits apéritif bio"/>
        <s v="68640-Apéritifs bio-Biscuits apéritif bio"/>
        <s v="10647-Apéritifs bio-Biscuits apéritif bio"/>
        <s v="85884-Apéritifs bio-Biscuits apéritif bio"/>
        <s v="113933-Apéritifs bio-Biscuits apéritif bio"/>
        <s v="188843-Apéritifs bio-Biscuits apéritif bio"/>
        <s v="13342-Apéritifs bio-Biscuits apéritif bio"/>
        <s v="83002-Apéritifs bio-Biscuits apéritif bio"/>
        <s v="112860-Apéritifs bio-Biscuits apéritif bio"/>
        <s v="118374-Apéritifs bio-Biscuits apéritif bio"/>
        <s v="119049-Apéritifs bio-Biscuits apéritif bio"/>
        <s v="120964-Apéritifs bio-Biscuits apéritif bio"/>
        <s v="26093-Apéritifs bio-Biscuits apéritif bio"/>
        <s v="99311-Apéritifs bio-Biscuits apéritif bio"/>
        <s v="9131-Apéritifs bio-Biscuits apéritif bio"/>
        <s v="122167-Apéritifs bio-Biscuits apéritif bio"/>
        <s v="10649-Apéritifs bio-Biscuits apéritif bio"/>
        <s v="85875-Apéritifs bio-Biscuits apéritif bio"/>
        <s v="9136-Apéritifs bio-Biscuits apéritif bio"/>
        <s v="121835-Apéritifs bio-Biscuits apéritif bio"/>
        <s v="113934-Apéritifs bio-Biscuits apéritif bio"/>
        <s v="5750-Apéritifs bio-Biscuits apéritif bio"/>
        <s v="73390-Apéritifs bio-Biscuits apéritif bio"/>
        <s v="114251-Apéritifs bio-Biscuits apéritif bio"/>
        <s v="73392-Apéritifs bio-Biscuits apéritif bio"/>
        <s v="9128-Apéritifs bio-Biscuits apéritif bio"/>
        <s v="122672-Apéritifs bio-Biscuits apéritif bio"/>
        <s v="85857-Apéritifs bio-Biscuits apéritif bio"/>
        <s v="9129-Apéritifs bio-Biscuits apéritif bio"/>
        <s v="162438-Apéritifs bio-Biscuits apéritif bio"/>
        <s v="73391-Apéritifs bio-Biscuits apéritif bio"/>
        <s v="46428-Apéritifs bio-Biscuits apéritif bio"/>
        <s v="85861-Apéritifs bio-Biscuits apéritif bio"/>
        <s v="69324-Apéritifs bio-Biscuits apéritif bio"/>
        <s v="122618-Apéritifs bio-Biscuits apéritif bio"/>
        <s v="99312-Apéritifs bio-Biscuits apéritif bio"/>
        <s v="113932-Apéritifs bio-Biscuits apéritif bio"/>
        <s v="5751-Apéritifs bio-Biscuits apéritif bio"/>
        <s v="85885-Apéritifs bio-Biscuits apéritif bio"/>
        <s v="87877-Apéritifs bio-Biscuits apéritif bio"/>
        <s v="197150-Apéritifs bio-Biscuits apéritif bio"/>
        <s v="87878-Apéritifs bio-Biscuits apéritif bio"/>
        <s v="122166-Apéritifs bio-Biscuits apéritif bio"/>
        <s v="122617-Apéritifs bio-Biscuits apéritif bio"/>
        <s v="118590-Apéritifs bio-Biscuits apéritif bio"/>
        <s v="122366-Apéritifs bio-Biscuits apéritif bio"/>
        <s v="83001-Apéritifs bio-Biscuits apéritif bio"/>
        <s v="118594-Apéritifs bio-Biscuits apéritif bio"/>
        <s v="85881-Apéritifs bio-Biscuits apéritif bio"/>
        <s v="10655-Apéritifs bio-Biscuits apéritif bio"/>
        <s v="121606-Apéritifs bio-Biscuits apéritif bio"/>
        <s v="13341-Apéritifs bio-Biscuits apéritif bio"/>
        <s v="122631-Apéritifs bio-Biscuits apéritif bio"/>
        <s v="189132-Apéritifs bio-Biscuits apéritif bio"/>
        <s v="87876-Apéritifs bio-Biscuits apéritif bio"/>
        <s v="26094-Apéritifs bio-Biscuits apéritif bio"/>
        <s v="189129-Apéritifs bio-Biscuits apéritif bio"/>
        <s v="10654-Apéritifs bio-Biscuits apéritif bio"/>
        <s v="5754-Apéritifs bio-Biscuits apéritif bio"/>
        <s v="10648-Apéritifs bio-Biscuits apéritif bio"/>
        <s v="114947-Apéritifs bio-Fruits secs bio apéritif"/>
        <s v="44728-Apéritifs bio-Fruits secs bio apéritif"/>
        <s v="120709-Apéritifs bio-Fruits secs bio apéritif"/>
        <s v="114949-Apéritifs bio-Fruits secs bio apéritif"/>
        <s v="48706-Apéritifs bio-Fruits secs bio apéritif"/>
        <s v="78411-Apéritifs bio-Fruits secs bio apéritif"/>
        <s v="120016-Apéritifs bio-Fruits secs bio apéritif"/>
        <s v="120710-Apéritifs bio-Fruits secs bio apéritif"/>
        <s v="48705-Apéritifs bio-Fruits secs bio apéritif"/>
        <s v="114948-Apéritifs bio-Fruits secs bio apéritif"/>
        <s v="117330-Apéritifs bio-Fruits secs bio apéritif"/>
        <s v="89665-Apéritifs bio-Fruits secs bio apéritif"/>
        <s v="89450-Aromathérapie-Eaux florales"/>
        <s v="72080-Aromathérapie-Eaux florales"/>
        <s v="72086-Aromathérapie-Eaux florales"/>
        <s v="117076-Aromathérapie-Eaux florales"/>
        <s v="72081-Aromathérapie-Eaux florales"/>
        <s v="72088-Aromathérapie-Eaux florales"/>
        <s v="72078-Aromathérapie-Eaux florales"/>
        <s v="72085-Aromathérapie-Eaux florales"/>
        <s v="112204-Aromathérapie-Eaux florales"/>
        <s v="59138-Aromathérapie-Eaux florales"/>
        <s v="72074-Aromathérapie-Eaux florales"/>
        <s v="72096-Aromathérapie-Eaux florales"/>
        <s v="72099-Aromathérapie-Eaux florales"/>
        <s v="89451-Aromathérapie-Eaux florales"/>
        <s v="29606-Aromathérapie-Eaux florales"/>
        <s v="72089-Aromathérapie-Eaux florales"/>
        <s v="29601-Aromathérapie-Eaux florales"/>
        <s v="50372-Aromathérapie-Eaux florales"/>
        <s v="89452-Aromathérapie-Eaux florales"/>
        <s v="156019-Aromathérapie-Huiles essentielles olfactives"/>
        <s v="117705-Aromathérapie-Huiles végétales cosmétique"/>
        <s v="121184-Aromathérapie-Huiles végétales cosmétique"/>
        <s v="89446-Aromathérapie-Huiles végétales cosmétique"/>
        <s v="102339-Aromathérapie-Huiles végétales cosmétique"/>
        <s v="121193-Aromathérapie-Huiles végétales cosmétique"/>
        <s v="102332-Aromathérapie-Huiles végétales cosmétique"/>
        <s v="121775-Aromathérapie-Huiles végétales cosmétique"/>
        <s v="100903-Aromathérapie-Huiles végétales cosmétique"/>
        <s v="81463-Aromathérapie-Huiles végétales cosmétique"/>
        <s v="75788-Aromathérapie-Huiles végétales cosmétique"/>
        <s v="121185-Aromathérapie-Huiles végétales cosmétique"/>
        <s v="89440-Aromathérapie-Huiles végétales cosmétique"/>
        <s v="103058-Aromathérapie-Huiles végétales cosmétique"/>
        <s v="117716-Aromathérapie-Huiles végétales cosmétique"/>
        <s v="71287-Aromathérapie-Huiles végétales cosmétique"/>
        <s v="110685-Aromathérapie-Huiles végétales cosmétique"/>
        <s v="79335-Aromathérapie-Huiles végétales cosmétique"/>
        <s v="45538-Aromathérapie-Huiles végétales cosmétique"/>
        <s v="76691-Aromathérapie-Huiles végétales cosmétique"/>
        <s v="2336-Aromathérapie-Huiles végétales cosmétique"/>
        <s v="91912-Aromathérapie-Huiles végétales cosmétique"/>
        <s v="110826-Aromathérapie-Huiles végétales cosmétique"/>
        <s v="117710-Aromathérapie-Huiles végétales cosmétique"/>
        <s v="3621-Aromathérapie-Huiles végétales cosmétique"/>
        <s v="4179-Aromathérapie-Huiles végétales cosmétique"/>
        <s v="89407-Aromathérapie-Huiles végétales cosmétique"/>
        <s v="121190-Aromathérapie-Huiles végétales cosmétique"/>
        <s v="45524-Aromathérapie-Huiles végétales cosmétique"/>
        <s v="3634-Aromathérapie-Huiles végétales cosmétique"/>
        <s v="104327-Aromathérapie-Huiles végétales cosmétique"/>
        <s v="71282-Aromathérapie-Huiles végétales cosmétique"/>
        <s v="89411-Aromathérapie-Huiles végétales cosmétique"/>
        <s v="105361-Aromathérapie-Huiles essentielles à diffuser"/>
        <s v="105359-Aromathérapie-Huiles essentielles à diffuser"/>
        <s v="75174-Aromathérapie-Huiles essentielles à diffuser"/>
        <s v="11895-Aromathérapie-Huiles essentielles à diffuser"/>
        <s v="11812-Aromathérapie-Huiles essentielles à diffuser"/>
        <s v="11815-Aromathérapie-Huiles essentielles alimentaires"/>
        <s v="11784-Aromathérapie-Huiles essentielles alimentaires"/>
        <s v="89241-Aromathérapie-Huiles essentielles alimentaires"/>
        <s v="117688-Aromathérapie-Huiles essentielles alimentaires"/>
        <s v="77688-Aromathérapie-Huiles essentielles alimentaires"/>
        <s v="89282-Aromathérapie-Huiles essentielles alimentaires"/>
        <s v="11769-Aromathérapie-Huiles essentielles alimentaires"/>
        <s v="117544-Aromathérapie-Huiles essentielles alimentaires"/>
        <s v="94860-Aromathérapie-Huiles essentielles alimentaires"/>
        <s v="79041-Aromathérapie-Huiles essentielles alimentaires"/>
        <s v="117686-Aromathérapie-Huiles essentielles alimentaires"/>
        <s v="89299-Aromathérapie-Huiles essentielles alimentaires"/>
        <s v="11823-Aromathérapie-Huiles essentielles alimentaires"/>
        <s v="117543-Aromathérapie-Huiles essentielles alimentaires"/>
        <s v="11765-Aromathérapie-Huiles essentielles alimentaires"/>
        <s v="121519-Aromathérapie-Huiles essentielles alimentaires"/>
        <s v="71276-Aromathérapie-Huiles essentielles alimentaires"/>
        <s v="120135-Aromathérapie-Huiles essentielles alimentaires"/>
        <s v="116793-Aromathérapie-Huiles essentielles alimentaires"/>
        <s v="11774-Aromathérapie-Huiles essentielles alimentaires"/>
        <s v="11900-Aromathérapie-Huiles essentielles alimentaires"/>
        <s v="11809-Aromathérapie-Huiles essentielles alimentaires"/>
        <s v="117642-Aromathérapie-Huiles essentielles alimentaires"/>
        <s v="71259-Aromathérapie-Huiles essentielles alimentaires"/>
        <s v="79047-Aromathérapie-Huiles essentielles alimentaires"/>
        <s v="11796-Aromathérapie-Huiles essentielles alimentaires"/>
        <s v="79043-Aromathérapie-Huiles essentielles alimentaires"/>
        <s v="89246-Aromathérapie-Huiles essentielles alimentaires"/>
        <s v="71275-Aromathérapie-Huiles essentielles alimentaires"/>
        <s v="11800-Aromathérapie-Huiles essentielles alimentaires"/>
        <s v="11818-Aromathérapie-Huiles essentielles alimentaires"/>
        <s v="11795-Aromathérapie-Huiles essentielles alimentaires"/>
        <s v="117641-Aromathérapie-Huiles essentielles alimentaires"/>
        <s v="82579-Aromathérapie-Huiles essentielles alimentaires"/>
        <s v="120153-Aromathérapie-Huiles essentielles alimentaires"/>
        <s v="81320-Aromathérapie-Huiles essentielles alimentaires"/>
        <s v="121517-Aromathérapie-Huiles essentielles alimentaires"/>
        <s v="89276-Aromathérapie-Huiles essentielles alimentaires"/>
        <s v="11822-Aromathérapie-Huiles essentielles alimentaires"/>
        <s v="11771-Aromathérapie-Huiles essentielles alimentaires"/>
        <s v="89295-Aromathérapie-Huiles essentielles alimentaires"/>
        <s v="117684-Aromathérapie-Huiles essentielles alimentaires"/>
        <s v="11817-Aromathérapie-Huiles essentielles alimentaires"/>
        <s v="120697-Aromathérapie-Huiles essentielles alimentaires"/>
        <s v="11783-Aromathérapie-Huiles essentielles alimentaires"/>
        <s v="11821-Aromathérapie-Huiles essentielles alimentaires"/>
        <s v="11814-Aromathérapie-Huiles essentielles cosmétiques"/>
        <s v="71242-Aromathérapie-Huiles essentielles cosmétiques"/>
        <s v="120449-Confiserie Bio-Bonbon"/>
        <s v="23682-Confiserie Bio-Bonbon"/>
        <s v="119076-Confiserie Bio-Bonbon"/>
        <s v="9139-Confiserie Bio-Bonbon"/>
        <s v="9138-Confiserie Bio-Bonbon"/>
        <s v="109483-Confiserie Bio-Bonbon"/>
        <s v="120438-Confiserie Bio-Bonbon"/>
        <s v="120439-Confiserie Bio-Bonbon"/>
        <s v="23681-Confiserie Bio-Bonbon"/>
        <s v="89564-Confiserie Bio-Bonbon"/>
        <s v="111962-Confiserie Bio-Bonbon"/>
        <s v="124771-Confiserie Bio-Bonbon"/>
        <s v="120446-Confiserie Bio-Bonbon"/>
        <s v="111973-Confiserie Bio-Bonbon"/>
        <s v="120437-Confiserie Bio-Bonbon"/>
        <s v="124769-Confiserie Bio-Bonbon"/>
        <s v="111972-Confiserie Bio-Bonbon"/>
        <s v="47390-Confiserie Bio-Nougat"/>
        <s v="27047-Confiserie Bio-Guimauve"/>
        <s v="68713-Confiserie Bio-Guimauve"/>
        <s v="120568-Confiserie Bio-Chewing-gums"/>
        <s v="120567-Confiserie Bio-Chewing-gums"/>
        <s v="77038-Confiserie Bio-Chewing-gums"/>
        <s v="87760-Douche et Bain-Savon"/>
        <s v="122612-Douche et Bain-Savon"/>
        <s v="110655-Douche et Bain-Savon"/>
        <s v="87785-Douche et Bain-Savon"/>
        <s v="122629-Douche et Bain-Savon"/>
        <s v="122614-Douche et Bain-Savon"/>
        <s v="122788-Douche et Bain-Savon"/>
        <s v="20226-Douche et Bain-Savon"/>
        <s v="120894-Douche et Bain-Savon"/>
        <s v="46762-Douche et Bain-Savon"/>
        <s v="118212-Douche et Bain-Savon"/>
        <s v="150950-Douche et Bain-Savon"/>
        <s v="190106-Douche et Bain-Savon"/>
        <s v="79810-Douche et Bain-Savon"/>
        <s v="82459-Douche et Bain-Savon"/>
        <s v="49360-Douche et Bain-Savon"/>
        <s v="194507-Douche et Bain-Savon"/>
        <s v="82453-Douche et Bain-Savon"/>
        <s v="79669-Douche et Bain-Savon"/>
        <s v="122294-Douche et Bain-Savon"/>
        <s v="73245-Douche et Bain-Savon"/>
        <s v="122082-Douche et Bain-Savon"/>
        <s v="194501-Douche et Bain-Savon"/>
        <s v="79105-Douche et Bain-Savon"/>
        <s v="87769-Douche et Bain-Savon"/>
        <s v="9734-Douche et Bain-Savon"/>
        <s v="149615-Douche et Bain-Savon"/>
        <s v="108966-Douche et Bain-Savon"/>
        <s v="116943-Douche et Bain-Savon"/>
        <s v="46769-Douche et Bain-Savon"/>
        <s v="87766-Douche et Bain-Savon"/>
        <s v="110701-Douche et Bain-Savon"/>
        <s v="4205-Douche et Bain-Savon"/>
        <s v="122615-Douche et Bain-Savon"/>
        <s v="87800-Douche et Bain-Savon"/>
        <s v="87801-Douche et Bain-Savon"/>
        <s v="87767-Douche et Bain-Savon"/>
        <s v="82454-Douche et Bain-Savon"/>
        <s v="194506-Douche et Bain-Savon"/>
        <s v="16240-Douche et Bain-Savon"/>
        <s v="16237-Douche et Bain-Savon"/>
        <s v="122760-Douche et Bain-Savon"/>
        <s v="82446-Douche et Bain-Savon"/>
        <s v="118333-Douche et Bain-Savon"/>
        <s v="122774-Douche et Bain-Savon"/>
        <s v="87789-Douche et Bain-Savon"/>
        <s v="111159-Douche et Bain-Savon"/>
        <s v="194500-Douche et Bain-Savon"/>
        <s v="80432-Douche et Bain-Savon"/>
        <s v="122636-Douche et Bain-Savon"/>
        <s v="110697-Douche et Bain-Savon"/>
        <s v="117966-Douche et Bain-Savon"/>
        <s v="122782-Douche et Bain-Savon"/>
        <s v="49358-Douche et Bain-Savon"/>
        <s v="190250-Douche et Bain-Savon"/>
        <s v="100243-Douche et Bain-Savon"/>
        <s v="87773-Douche et Bain-Savon"/>
        <s v="79103-Douche et Bain-Savon"/>
        <s v="87759-Douche et Bain-Savon"/>
        <s v="82461-Douche et Bain-Savon"/>
        <s v="122613-Douche et Bain-Savon"/>
        <s v="79746-Douche et Bain-Savon"/>
        <s v="110860-Douche et Bain-Savon"/>
        <s v="49355-Douche et Bain-Savon"/>
        <s v="93520-Douche et Bain-Savon"/>
        <s v="87765-Douche et Bain-Savon"/>
        <s v="110863-Douche et Bain-Savon"/>
        <s v="16238-Douche et Bain-Savon"/>
        <s v="122643-Douche et Bain-Savon"/>
        <s v="82452-Douche et Bain-Savon"/>
        <s v="122775-Douche et Bain-Savon"/>
        <s v="100240-Douche et Bain-Savon"/>
        <s v="87758-Douche et Bain-Savon"/>
        <s v="110689-Douche et Bain-Savon"/>
        <s v="110704-Douche et Bain-Savon"/>
        <s v="82455-Douche et Bain-Savon"/>
        <s v="127013-Douche et Bain-Savon"/>
        <s v="113063-Douche et Bain-Savon"/>
        <s v="11296-Douche et Bain-Savon"/>
        <s v="105305-Douche et Bain-Savon"/>
        <s v="73244-Douche et Bain-Savon"/>
        <s v="82458-Douche et Bain-Savon"/>
        <s v="105302-Douche et Bain-Savon"/>
        <s v="150951-Douche et Bain-Savon"/>
        <s v="122492-Douche et Bain-Gel douche"/>
        <s v="110436-Douche et Bain-Gel douche"/>
        <s v="10674-Douche et Bain-Gel douche"/>
        <s v="117166-Douche et Bain-Gel douche"/>
        <s v="111776-Douche et Bain-Gel douche"/>
        <s v="122388-Douche et Bain-Gel douche"/>
        <s v="117160-Douche et Bain-Gel douche"/>
        <s v="98795-Douche et Bain-Gel douche"/>
        <s v="117150-Douche et Bain-Gel douche"/>
        <s v="109416-Douche et Bain-Gel douche"/>
        <s v="122291-Douche et Bain-Gel douche"/>
        <s v="21820-Douche et Bain-Gel douche"/>
        <s v="150105-Douche et Bain-Gel douche"/>
        <s v="46474-Douche et Bain-Gel douche"/>
        <s v="118207-Douche et Bain-Gel douche"/>
        <s v="111007-Douche et Bain-Gel douche"/>
        <s v="9727-Douche et Bain-Gel douche"/>
        <s v="72321-Douche et Bain-Gel douche"/>
        <s v="100063-Douche et Bain-Gel douche"/>
        <s v="79818-Douche et Bain-Gel douche"/>
        <s v="121731-Douche et Bain-Gel douche"/>
        <s v="200584-Douche et Bain-Gel douche"/>
        <s v="68600-Douche et Bain-Gel douche"/>
        <s v="98788-Douche et Bain-Gel douche"/>
        <s v="122390-Douche et Bain-Gel douche"/>
        <s v="109930-Douche et Bain-Gel douche"/>
        <s v="118299-Douche et Bain-Gel douche"/>
        <s v="72320-Douche et Bain-Gel douche"/>
        <s v="87839-Douche et Bain-Gel douche"/>
        <s v="79819-Douche et Bain-Gel douche"/>
        <s v="117169-Douche et Bain-Gel douche"/>
        <s v="200585-Douche et Bain-Gel douche"/>
        <s v="70339-Douche et Bain-Gel douche"/>
        <s v="45597-Douche et Bain-Gel douche"/>
        <s v="117147-Douche et Bain-Gel douche"/>
        <s v="46309-Douche et Bain-Gel douche"/>
        <s v="45595-Douche et Bain-Gel douche"/>
        <s v="100311-Douche et Bain-Gel douche"/>
        <s v="122491-Douche et Bain-Gel douche"/>
        <s v="117466-Douche et Bain-Gel douche"/>
        <s v="85107-Douche et Bain-Gel douche"/>
        <s v="45594-Douche et Bain-Gel douche"/>
        <s v="118298-Douche et Bain-Gel douche"/>
        <s v="98802-Douche et Bain-Gel douche"/>
        <s v="46985-Douche et Bain-Gel douche"/>
        <s v="46476-Douche et Bain-Gel douche"/>
        <s v="110187-Douche et Bain-Gel douche"/>
        <s v="79988-Douche et Bain-Gel douche"/>
        <s v="46970-Douche et Bain-Gel douche"/>
        <s v="6519-Douche et Bain-Gel douche"/>
        <s v="118205-Douche et Bain-Gel douche"/>
        <s v="109412-Douche et Bain-Gel douche"/>
        <s v="117931-Douche et Bain-Gel douche"/>
        <s v="70042-Douche et Bain-Gel douche"/>
        <s v="150104-Douche et Bain-Gel douche"/>
        <s v="72319-Douche et Bain-Gel douche"/>
        <s v="100060-Douche et Bain-Gel douche"/>
        <s v="6521-Douche et Bain-Gel douche"/>
        <s v="45058-Douche et Bain-Gel douche"/>
        <s v="117139-Douche et Bain-Gel douche"/>
        <s v="117464-Douche et Bain-Gel douche"/>
        <s v="111777-Douche et Bain-Gel douche"/>
        <s v="122375-Douche et Bain-Savon liquide"/>
        <s v="122282-Douche et Bain-Savon liquide"/>
        <s v="47161-Douche et Bain-Savon liquide"/>
        <s v="47159-Douche et Bain-Savon liquide"/>
        <s v="71327-Douche et Bain-Savon liquide"/>
        <s v="122276-Douche et Bain-Savon liquide"/>
        <s v="72806-Douche et Bain-Savon liquide"/>
        <s v="100248-Douche et Bain-Savon liquide"/>
        <s v="122378-Douche et Bain-Savon liquide"/>
        <s v="44762-Douche et Bain-Savon liquide"/>
        <s v="100247-Douche et Bain-Savon liquide"/>
        <s v="182272-Douche et Bain-Savon liquide"/>
        <s v="128297-Douche et Bain-Savon liquide"/>
        <s v="10673-Douche et Bain-Savon liquide"/>
        <s v="69332-Douche et Bain-Savon liquide"/>
        <s v="151239-Douche et Bain-Savon liquide"/>
        <s v="116667-Douche et Bain-Savon liquide"/>
        <s v="72809-Douche et Bain-Savon liquide"/>
        <s v="165917-Douche et Bain-Savon liquide"/>
        <s v="8746-Douche et Bain-Savon liquide"/>
        <s v="122374-Douche et Bain-Savon liquide"/>
        <s v="118166-Douche et Bain-Savon liquide"/>
        <s v="42729-Douche et Bain-Savon liquide"/>
        <s v="182271-Douche et Bain-Savon liquide"/>
        <s v="109211-Douche et Bain-Savon liquide"/>
        <s v="192901-Douche et Bain-Savon liquide"/>
        <s v="122379-Douche et Bain-Savon liquide"/>
        <s v="109891-Douche et Bain-Bain moussant et huile"/>
        <s v="125688-Douche et Bain-Bain moussant et huile"/>
        <s v="68599-Douche et Bain-Galets et sels de bain"/>
        <s v="104841-Douche et Bain-Galets et sels de bain"/>
        <s v="20243-Douche et Bain-Galets et sels de bain"/>
        <s v="10332-Douche et Bain-Brosse et accessoire de bain"/>
        <s v="7361-Douche et Bain-Brosse et accessoire de bain"/>
        <s v="21320-Douche et Bain-Brosse et accessoire de bain"/>
        <s v="7365-Douche et Bain-Brosse et accessoire de bain"/>
        <s v="7364-Douche et Bain-Brosse et accessoire de bain"/>
        <s v="7362-Douche et Bain-Brosse et accessoire de bain"/>
        <s v="117237-Jus de grenade-"/>
        <s v="19784-Jus de grenade-"/>
        <s v="9329-Jus de grenade-"/>
        <s v="10859-Salle de bains-Filtres de douche"/>
        <s v="118329-Salle de bains-Distributeur de savon"/>
        <s v="105169-Salle de bains-Distributeur de savon"/>
        <s v="90567-Salle de bains-Distributeur de savon"/>
        <s v="46672-Salle de bains-Rangement salle de bains"/>
        <s v="118229-Salle de bains-Porte-savon et accessoires"/>
        <s v="193230-Salle de bains-Porte-savon et accessoires"/>
        <s v="193254-Salle de bains-Porte-savon et accessoires"/>
        <s v="113228-Salle de bains-Porte-savon et accessoires"/>
        <s v="193193-Salle de bains-Porte-savon et accessoires"/>
        <s v="113223-Salle de bains-Porte-savon et accessoires"/>
        <s v="113227-Salle de bains-Porte-savon et accessoires"/>
        <s v="114198-Salle de bains-Porte-savon et accessoires"/>
        <s v="100451-Salle de bains-Porte-savon et accessoires"/>
        <s v="100446-Salle de bains-Porte-savon et accessoires"/>
        <s v="193253-Salle de bains-Porte-savon et accessoires"/>
        <s v="82432-Salle de bains-Porte-savon et accessoires"/>
        <s v="122703-Soins Solaires-Crèmes solaires teintées"/>
        <s v="129410-Soins Solaires-Crèmes solaires teintées"/>
        <s v="103236-Soins du corps-Gommage"/>
        <s v="127534-Soins du corps-Gommage"/>
        <s v="100906-Soins du corps-Huiles corps"/>
        <s v="109098-Soins du corps-Huiles corps"/>
        <s v="155864-Soins du corps-Huiles corps"/>
        <s v="120314-Soins du corps-Huiles corps"/>
        <s v="199547-Soins du corps-Laits pour le corps"/>
        <s v="110540-Soins du corps-Laits pour le corps"/>
        <s v="182190-Soins du corps-Laits pour le corps"/>
        <s v="79341-Soins du corps-Laits pour le corps"/>
        <s v="108969-Soins du corps-Laits pour le corps"/>
        <s v="79939-Soins du corps-Laits pour le corps"/>
        <s v="11733-Soins du corps-Laits pour le corps"/>
        <s v="12647-Soins du corps-Laits pour le corps"/>
        <s v="122292-Soins du corps-Laits pour le corps"/>
        <s v="117433-Soins du corps-Laits pour le corps"/>
        <s v="127018-Soins du corps-Laits pour le corps"/>
        <s v="9705-Soins du corps-Laits pour le corps"/>
        <s v="9703-Soins du corps-Laits pour le corps"/>
        <s v="86005-Soins du corps-Laits pour le corps"/>
        <s v="9704-Soins du corps-Laits pour le corps"/>
        <s v="182189-Soins du corps-Laits pour le corps"/>
        <s v="29452-Soins du corps-Laits pour le corps"/>
        <s v="122485-Soins du corps-Laits pour le corps"/>
        <s v="9706-Soins du corps-Laits pour le corps"/>
        <s v="12648-Soins du corps-Laits pour le corps"/>
        <s v="93899-Soins du corps-Soins mains et ongles"/>
        <s v="28890-Soins du corps-Soins mains et ongles"/>
        <s v="17638-Soins du corps-Soins mains et ongles"/>
        <s v="28888-Soins du corps-Soins mains et ongles"/>
        <s v="29455-Soins du corps-Soins mains et ongles"/>
        <s v="93895-Soins du corps-Soins mains et ongles"/>
        <s v="116417-Soins du corps-Soins mains et ongles"/>
        <s v="1971-Soins du corps-Soins mains et ongles"/>
        <s v="12649-Soins du corps-Soins mains et ongles"/>
        <s v="93896-Soins du corps-Soins mains et ongles"/>
        <s v="44386-Soins du corps-Soins mains et ongles"/>
        <s v="188156-Soins du corps-Soins mains et ongles"/>
        <s v="7360-Soins du corps-Soins mains et ongles"/>
        <s v="79323-Soins du corps-Soins pieds et jambes"/>
        <s v="72015-Soins du corps-Soins pieds et jambes"/>
        <s v="44310-Soins du corps-Soins pieds et jambes"/>
        <s v="77044-Soins du corps-Soins pieds et jambes"/>
        <s v="120636-Soins du corps-Soins pieds et jambes"/>
        <s v="92662-Soins du corps-Soins pieds et jambes"/>
        <s v="117263-Soins du corps-Eau de toilette et Parfum"/>
        <s v="117261-Soins du corps-Eau de toilette et Parfum"/>
        <s v="10644-Soins du corps-Eau de toilette et Parfum"/>
        <s v="102457-Soins du corps-Baume et beurre de karité"/>
        <s v="117419-Soins du corps-Baume et beurre de karité"/>
        <s v="150939-Soins du corps-Baume et beurre de karité"/>
        <s v="10517-Soins du corps-Baume et beurre de karité"/>
        <s v="79109-Soins du corps-Baume et beurre de karité"/>
        <s v="118918-Soins du corps-Baume et beurre de karité"/>
        <s v="102456-Soins du corps-Baume et beurre de karité"/>
        <s v="155865-Soins du corps-Baume et beurre de karité"/>
        <s v="100443-Soins du corps-Baume et beurre de karité"/>
        <s v="93833-Soins du corps-Baume et beurre de karité"/>
        <s v="76693-Soins du corps-Baume et beurre de karité"/>
        <s v="100441-Soins du corps-Baume et beurre de karité"/>
        <s v="103230-Soins du corps-Baume et beurre de karité"/>
        <s v="117902-Art de la table-Assiette"/>
        <s v="105745-Art de la table-Couverts"/>
        <s v="100811-Art de la table-Couverts"/>
        <s v="102505-Art de la table-Verre, gobelet"/>
        <s v="121317-Art de la table-Verre, gobelet"/>
        <s v="121318-Art de la table-Verre, gobelet"/>
        <s v="95155-Art de la table-Accessoires thé et café"/>
        <s v="25199-Art de la table-Accessoires thé et café"/>
        <s v="156020-Art de la table-Accessoires thé et café"/>
        <s v="28587-Art de la table-Accessoires thé et café"/>
        <s v="16050-Art de la table-Accessoires thé et café"/>
        <s v="119453-Art de la table-Accessoires thé et café"/>
        <s v="113070-Art de la table-Carafe, distributeur de boisson"/>
        <s v="99097-Art de la table-Carafe, distributeur de boisson"/>
        <s v="99099-Art de la table-Carafe, distributeur de boisson"/>
        <s v="104998-Eau aromatisée-"/>
        <s v="110524-Eau aromatisée-"/>
        <s v="117133-Electroménager-Petit déjeuner"/>
        <s v="70696-Electroménager-Petit déjeuner"/>
        <s v="121278-Electroménager-Appareils de cuisine"/>
        <s v="74382-Jus de légumes-Jus de Breuss"/>
        <s v="121921-Jus de légumes-Jus de gingembre"/>
        <s v="83853-Jus de légumes-Jus de tomate bio"/>
        <s v="111706-Jus de légumes-Jus de tomate bio"/>
        <s v="15062-Jus de légumes-Jus de carotte bio"/>
        <s v="79948-Jus de légumes-Jus de carotte bio"/>
        <s v="84400-Jus de légumes-Jus de carotte bio"/>
        <s v="79299-Jus de légumes-Jus de carotte bio"/>
        <s v="19776-Jus de légumes-Jus de carotte bio"/>
        <s v="74392-Jus de légumes-Jus multi légumes"/>
        <s v="83399-Jus de légumes-Jus multi légumes"/>
        <s v="74383-Jus de légumes-Jus multi légumes"/>
        <s v="100819-Jus de légumes-Jus multi légumes"/>
        <s v="190857-Jus de légumes-Jus multi légumes"/>
        <s v="120331-Jus de légumes-Jus multi légumes"/>
        <s v="87580-Jus de légumes-Jus multi légumes"/>
        <s v="79300-Jus de légumes-Jus multi légumes"/>
        <s v="79950-Jus de légumes-Jus de betterave bio"/>
        <s v="84402-Jus de légumes-Jus de betterave bio"/>
        <s v="79298-Jus de légumes-Jus de betterave bio"/>
        <s v="145105-Linge de maison-Linge de lit"/>
        <s v="92313-Linge de maison-Linge de bain"/>
        <s v="121735-Linge de maison-Linge de lit bébé, enfant"/>
        <s v="47545-Plats cuisinés-Salades bio"/>
        <s v="122630-Plats cuisinés-Tofu et seitan"/>
        <s v="159490-Plats cuisinés-Tofu et seitan"/>
        <s v="120519-Plats cuisinés-Tofu et seitan"/>
        <s v="159403-Plats cuisinés-Tofu et seitan"/>
        <s v="159617-Plats cuisinés-Tofu et seitan"/>
        <s v="85839-Plats cuisinés-Tofu et seitan"/>
        <s v="85838-Plats cuisinés-Tofu et seitan"/>
        <s v="8868-Plats cuisinés-Tofu et seitan"/>
        <s v="116191-Plats cuisinés-Fruit du jacquier"/>
        <s v="90828-Plats cuisinés-Galettes à cuire et falafel"/>
        <s v="26276-Plats cuisinés-Galettes à cuire et falafel"/>
        <s v="29022-Plats cuisinés-Galettes à cuire et falafel"/>
        <s v="111081-Plats cuisinés-Galettes à cuire et falafel"/>
        <s v="26277-Plats cuisinés-Galettes à cuire et falafel"/>
        <s v="100251-Plats cuisinés-Galettes à cuire et falafel"/>
        <s v="87885-Plats cuisinés-Galettes à cuire et falafel"/>
        <s v="29023-Plats cuisinés-Galettes à cuire et falafel"/>
        <s v="100250-Plats cuisinés-Galettes à cuire et falafel"/>
        <s v="116320-Plats cuisinés-Galettes à cuire et falafel"/>
        <s v="122149-Plats cuisinés-Plats cuisinés viande et poisson"/>
        <s v="107220-Plats cuisinés-Plats cuisinés viande et poisson"/>
        <s v="122151-Plats cuisinés-Plats cuisinés viande et poisson"/>
        <s v="115766-Plats cuisinés-Plats cuisinés viande et poisson"/>
        <s v="114033-Plats cuisinés-Plats cuisinés viande et poisson"/>
        <s v="149508-Plats cuisinés-Plats cuisinés viande et poisson"/>
        <s v="107256-Plats cuisinés-Plats cuisinés viande et poisson"/>
        <s v="121615-Plats cuisinés-Plats cuisinés viande et poisson"/>
        <s v="107226-Plats cuisinés-Plats cuisinés viande et poisson"/>
        <s v="120188-Plats cuisinés-Plats cuisinés viande et poisson"/>
        <s v="107944-Plats cuisinés-Plats cuisinés viande et poisson"/>
        <s v="70243-Plats cuisinés-Plats cuisinés viande et poisson"/>
        <s v="149505-Plats cuisinés-Plats cuisinés viande et poisson"/>
        <s v="101428-Plats cuisinés-Plats cuisinés viande et poisson"/>
        <s v="121798-Plats cuisinés-Plats cuisinés céréales, légumes"/>
        <s v="88636-Plats cuisinés-Plats cuisinés céréales, légumes"/>
        <s v="111038-Plats cuisinés-Plats cuisinés céréales, légumes"/>
        <s v="75032-Plats cuisinés-Plats cuisinés céréales, légumes"/>
        <s v="70187-Plats cuisinés-Plats cuisinés céréales, légumes"/>
        <s v="147278-Plats cuisinés-Plats cuisinés céréales, légumes"/>
        <s v="114972-Plats cuisinés-Plats cuisinés céréales, légumes"/>
        <s v="75072-Plats cuisinés-Plats cuisinés céréales, légumes"/>
        <s v="114971-Plats cuisinés-Plats cuisinés céréales, légumes"/>
        <s v="99981-Plats cuisinés-Plats cuisinés céréales, légumes"/>
        <s v="86383-Plats cuisinés-Plats cuisinés céréales, légumes"/>
        <s v="89587-Plats cuisinés-Plats cuisinés céréales, légumes"/>
        <s v="89516-Plats cuisinés-Plats cuisinés céréales, légumes"/>
        <s v="89519-Plats cuisinés-Plats cuisinés céréales, légumes"/>
        <s v="75060-Plats cuisinés-Plats cuisinés céréales, légumes"/>
        <s v="111745-Plats cuisinés-Plats cuisinés céréales, légumes"/>
        <s v="70242-Plats cuisinés-Plats cuisinés céréales, légumes"/>
        <s v="75061-Plats cuisinés-Plats cuisinés céréales, légumes"/>
        <s v="69467-Plats cuisinés-Plats cuisinés céréales, légumes"/>
        <s v="121800-Plats cuisinés-Plats cuisinés céréales, légumes"/>
        <s v="110974-Plats cuisinés-Plats cuisinés céréales, légumes"/>
        <s v="114969-Plats cuisinés-Plats cuisinés céréales, légumes"/>
        <s v="111041-Plats cuisinés-Plats cuisinés céréales, légumes"/>
        <s v="82382-Plats cuisinés-Plats cuisinés céréales, légumes"/>
        <s v="89634-Plats cuisinés-Plats cuisinés céréales, légumes"/>
        <s v="82381-Plats cuisinés-Plats cuisinés céréales, légumes"/>
        <s v="107232-Plats cuisinés-Plats cuisinés céréales, légumes"/>
        <s v="70247-Plats cuisinés-Plats cuisinés céréales, légumes"/>
        <s v="107253-Plats cuisinés-Plats cuisinés céréales, légumes"/>
        <s v="102709-Plats cuisinés-Plats cuisinés céréales, légumes"/>
        <s v="75050-Plats cuisinés-Plats cuisinés céréales, légumes"/>
        <s v="111014-Plats cuisinés-Plats cuisinés céréales, légumes"/>
        <s v="120282-Soins du visage-Coffret visage"/>
        <s v="84512-Soins du visage-Coffret visage"/>
        <s v="77197-Soins du visage-Soins des lèvres"/>
        <s v="29650-Soins du visage-Soins des lèvres"/>
        <s v="4162-Soins du visage-Soins des lèvres"/>
        <s v="88214-Soins du visage-Soins des lèvres"/>
        <s v="73254-Soins du visage-Soins des lèvres"/>
        <s v="108204-Soins du visage-Soins des lèvres"/>
        <s v="9676-Soins du visage-Soins des lèvres"/>
        <s v="44412-Soins du visage-Soins des lèvres"/>
        <s v="73253-Soins du visage-Soins des lèvres"/>
        <s v="122516-Soins du visage-Soins des lèvres"/>
        <s v="70314-Soins du visage-Soins des lèvres"/>
        <s v="17644-Soins du visage-Gommages et exfoliants"/>
        <s v="118996-Soins du visage-Gommages et exfoliants"/>
        <s v="79199-Soins du visage-Gommages et exfoliants"/>
        <s v="128316-Soins du visage-Gommages et exfoliants"/>
        <s v="7933-Soins du visage-Soins contour des yeux"/>
        <s v="85944-Soins du visage-Soins contour des yeux"/>
        <s v="76665-Soins du visage-Soins contour des yeux"/>
        <s v="102286-Soins du visage-Soins contour des yeux"/>
        <s v="77199-Soins du visage-Soins contour des yeux"/>
        <s v="11722-Soins du visage-Soins contour des yeux"/>
        <s v="97949-Soins du visage-Soins contour des yeux"/>
        <s v="9701-Soins du visage-Peaux mixtes à grasses"/>
        <s v="117615-Soins du visage-Peaux mixtes à grasses"/>
        <s v="10076-Soins du visage-Peaux mixtes à grasses"/>
        <s v="106572-Soins du visage-Peaux mixtes à grasses"/>
        <s v="10081-Soins du visage-Peaux mixtes à grasses"/>
        <s v="46424-Soins du visage-Peaux mixtes à grasses"/>
        <s v="118931-Soins du visage-Peaux mixtes à grasses"/>
        <s v="10078-Soins du visage-Peaux mixtes à grasses"/>
        <s v="75824-Soins du visage-Peaux mixtes à grasses"/>
        <s v="80433-Soins du visage-Peaux mixtes à grasses"/>
        <s v="106566-Soins du visage-Peaux mixtes à grasses"/>
        <s v="9702-Soins du visage-Peaux mixtes à grasses"/>
        <s v="122445-Soins du visage-Peaux mixtes à grasses"/>
        <s v="77178-Soins du visage-Peaux mixtes à grasses"/>
        <s v="10075-Soins du visage-Peaux mixtes à grasses"/>
        <s v="10079-Soins du visage-Peaux mixtes à grasses"/>
        <s v="111469-Soins du visage-Peaux mixtes à grasses"/>
        <s v="166324-Soins du visage-Peaux matures, anti-âge"/>
        <s v="7829-Soins du visage-Peaux matures, anti-âge"/>
        <s v="105507-Soins du visage-Peaux matures, anti-âge"/>
        <s v="12834-Soins du visage-Peaux matures, anti-âge"/>
        <s v="27984-Soins du visage-Peaux matures, anti-âge"/>
        <s v="29444-Soins du visage-Peaux matures, anti-âge"/>
        <s v="107878-Soins du visage-Peaux matures, anti-âge"/>
        <s v="122416-Soins du visage-Peaux matures, anti-âge"/>
        <s v="95628-Soins du visage-Peaux matures, anti-âge"/>
        <s v="9654-Soins du visage-Peaux matures, anti-âge"/>
        <s v="105609-Soins du visage-Peaux matures, anti-âge"/>
        <s v="118932-Soins du visage-Peaux matures, anti-âge"/>
        <s v="103976-Soins du visage-Peaux matures, anti-âge"/>
        <s v="107881-Soins du visage-Peaux matures, anti-âge"/>
        <s v="7830-Soins du visage-Peaux matures, anti-âge"/>
        <s v="159717-Soins du visage-Peaux matures, anti-âge"/>
        <s v="113449-Soins du visage-Peaux matures, anti-âge"/>
        <s v="79942-Soins du visage-Peaux matures, anti-âge"/>
        <s v="29437-Soins du visage-Peaux matures, anti-âge"/>
        <s v="99234-Soins du visage-Peaux matures, anti-âge"/>
        <s v="103985-Soins du visage-Peaux matures, anti-âge"/>
        <s v="97947-Soins du visage-Peaux matures, anti-âge"/>
        <s v="101083-Soins du visage-Peaux matures, anti-âge"/>
        <s v="111287-Soins du visage-Peaux sèches et sensibles"/>
        <s v="11728-Soins du visage-Peaux sèches et sensibles"/>
        <s v="111286-Soins du visage-Peaux sèches et sensibles"/>
        <s v="29426-Soins du visage-Peaux sèches et sensibles"/>
        <s v="93419-Soins du visage-Peaux sèches et sensibles"/>
        <s v="93418-Soins du visage-Peaux sèches et sensibles"/>
        <s v="79198-Soins du visage-Peaux sèches et sensibles"/>
        <s v="11720-Soins du visage-Peaux sèches et sensibles"/>
        <s v="122534-Soins du visage-Peaux sèches et sensibles"/>
        <s v="92209-Soins du visage-Peaux sèches et sensibles"/>
        <s v="93417-Soins du visage-Peaux sèches et sensibles"/>
        <s v="103197-Soins du visage-Peaux sèches et sensibles"/>
        <s v="118930-Soins du visage-Peaux sèches et sensibles"/>
        <s v="92199-Soins du visage-Peaux sèches et sensibles"/>
        <s v="29647-Soins du visage-Peaux sèches et sensibles"/>
        <s v="121857-Soins du visage-Démaquillants et nettoyants"/>
        <s v="129484-Soins du visage-Démaquillants et nettoyants"/>
        <s v="122405-Soins du visage-Démaquillants et nettoyants"/>
        <s v="108690-Soins du visage-Démaquillants et nettoyants"/>
        <s v="11726-Soins du visage-Démaquillants et nettoyants"/>
        <s v="109074-Soins du visage-Démaquillants et nettoyants"/>
        <s v="75818-Soins du visage-Démaquillants et nettoyants"/>
        <s v="10663-Soins du visage-Démaquillants et nettoyants"/>
        <s v="9667-Soins du visage-Démaquillants et nettoyants"/>
        <s v="109073-Soins du visage-Démaquillants et nettoyants"/>
        <s v="11731-Soins du visage-Démaquillants et nettoyants"/>
        <s v="155869-Soins du visage-Démaquillants et nettoyants"/>
        <s v="118982-Soins du visage-Démaquillants et nettoyants"/>
        <s v="29642-Soins du visage-Démaquillants et nettoyants"/>
        <s v="111774-Soins du visage-Démaquillants et nettoyants"/>
        <s v="117290-Soins du visage-Démaquillants et nettoyants"/>
        <s v="105593-Soins du visage-Démaquillants et nettoyants"/>
        <s v="70751-Soins du visage-Démaquillants et nettoyants"/>
        <s v="118929-Soins du visage-Démaquillants et nettoyants"/>
        <s v="70594-Soins du visage-Démaquillants et nettoyants"/>
        <s v="118270-Soins du visage-Démaquillants et nettoyants"/>
        <s v="20584-Soins du visage-Démaquillants et nettoyants"/>
        <s v="150541-Soins du visage-Démaquillants et nettoyants"/>
        <s v="12633-Soins du visage-Démaquillants et nettoyants"/>
        <s v="9666-Soins du visage-Démaquillants et nettoyants"/>
        <s v="79940-Soins du visage-Démaquillants et nettoyants"/>
        <s v="201198-Soins du visage-Démaquillants et nettoyants"/>
        <s v="117268-Soins du visage-Démaquillants et nettoyants"/>
        <s v="80623-Soins du visage-Démaquillants et nettoyants"/>
        <s v="9698-Soins du visage-Démaquillants et nettoyants"/>
        <s v="83102-Soins du visage-Démaquillants et nettoyants"/>
        <s v="118271-Soins du visage-Démaquillants et nettoyants"/>
        <s v="41659-Soins du visage-Démaquillants et nettoyants"/>
        <s v="81564-Soins du visage-Démaquillants et nettoyants"/>
        <s v="110132-Soins du visage-Démaquillants et nettoyants"/>
        <s v="17639-Soins du visage-Démaquillants et nettoyants"/>
        <s v="201025-Soins du visage-Démaquillants et nettoyants"/>
        <s v="70589-Soins du visage-Démaquillants et nettoyants"/>
        <s v="75825-Soins du visage-Démaquillants et nettoyants"/>
        <s v="9699-Soins du visage-Démaquillants et nettoyants"/>
        <s v="122448-Soins du visage-Démaquillants et nettoyants"/>
        <s v="105506-Soins du visage-Peaux normales, soins hydratants"/>
        <s v="142304-Soins du visage-Peaux normales, soins hydratants"/>
        <s v="105505-Soins du visage-Peaux normales, soins hydratants"/>
        <s v="122502-Soins du visage-Peaux normales, soins hydratants"/>
        <s v="118264-Soins du visage-Peaux normales, soins hydratants"/>
        <s v="17632-Soins du visage-Peaux normales, soins hydratants"/>
        <s v="108790-Soins du visage-Peaux normales, soins hydratants"/>
        <s v="92200-Soins du visage-Peaux normales, soins hydratants"/>
        <s v="17634-Soins du visage-Peaux normales, soins hydratants"/>
        <s v="122522-Soins du visage-Peaux normales, soins hydratants"/>
        <s v="122505-Soins du visage-Peaux normales, soins hydratants"/>
        <s v="93416-Soins du visage-Peaux normales, soins hydratants"/>
        <s v="93406-Soins du visage-Peaux normales, soins hydratants"/>
        <s v="69329-Soins du visage-Peaux normales, soins hydratants"/>
        <s v="155953-Soins du visage-Peaux normales, soins hydratants"/>
        <s v="11721-Soins du visage-Peaux normales, soins hydratants"/>
        <s v="41654-Soins du visage-Peaux normales, soins hydratants"/>
        <s v="92204-Soins du visage-Peaux normales, soins hydratants"/>
        <s v="105572-Soins du visage-Peaux normales, soins hydratants"/>
        <s v="110141-Soins du visage-Peaux normales, soins hydratants"/>
        <s v="158471-Soins du visage-Peaux normales, soins hydratants"/>
        <s v="120876-Sauces et coulis-Sauces"/>
        <s v="87437-Sauces et coulis-Sauces"/>
        <s v="121462-Sauces et coulis-Sauces"/>
        <s v="69471-Sauces et coulis-Sauces"/>
        <s v="114904-Sauces et coulis-Sauces"/>
        <s v="113910-Sauces et coulis-Sauces"/>
        <s v="18100-Sauces et coulis-Sauces"/>
        <s v="114963-Sauces et coulis-Sauces"/>
        <s v="121495-Sauces et coulis-Sauces"/>
        <s v="83041-Sauces et coulis-Sauces"/>
        <s v="121499-Sauces et coulis-Sauces"/>
        <s v="108528-Sauces et coulis-Sauces"/>
        <s v="69547-Sauces et coulis-Sauces"/>
        <s v="18126-Sauces et coulis-Sauces"/>
        <s v="121812-Sauces et coulis-Sauces"/>
        <s v="81497-Sauces et coulis-Sauces"/>
        <s v="121500-Sauces et coulis-Sauces"/>
        <s v="45903-Sauces et coulis-Sauces"/>
        <s v="121813-Sauces et coulis-Sauces"/>
        <s v="108512-Sauces et coulis-Sauces"/>
        <s v="70189-Sauces et coulis-Sauces"/>
        <s v="194057-Sauces et coulis-Sauces"/>
        <s v="121460-Sauces et coulis-Sauces"/>
        <s v="121950-Sauces et coulis-Sauces"/>
        <s v="121811-Sauces et coulis-Sauces"/>
        <s v="86400-Sauces et coulis-Sauces"/>
        <s v="108527-Sauces et coulis-Sauces"/>
        <s v="88622-Sauces et coulis-Sauces"/>
        <s v="121803-Sauces et coulis-Sauces"/>
        <s v="87418-Sauces et coulis-Sauces"/>
        <s v="26275-Sauces et coulis-Sauces"/>
        <s v="119229-Sauces et coulis-Sauces"/>
        <s v="74881-Sauces et coulis-Sauces"/>
        <s v="86469-Sauces et coulis-Sauces"/>
        <s v="120798-Sauces et coulis-Sauces"/>
        <s v="86479-Sauces et coulis-Sauces"/>
        <s v="80411-Sauces et coulis-Sauces"/>
        <s v="120797-Sauces et coulis-Sauces"/>
        <s v="86480-Sauces et coulis-Sauces"/>
        <s v="86478-Sauces et coulis-Sauces"/>
        <s v="118887-Sauces et coulis-Sauces"/>
        <s v="121802-Sauces et coulis-Sauces"/>
        <s v="87440-Sauces et coulis-Sauces"/>
        <s v="86477-Sauces et coulis-Sauces"/>
        <s v="83059-Sauces et coulis-Sauces"/>
        <s v="86449-Sauces et coulis-Sauces"/>
        <s v="86416-Sauces et coulis-Sauces"/>
        <s v="83064-Sauces et coulis-Sauces"/>
        <s v="108514-Sauces et coulis-Sauces"/>
        <s v="86454-Sauces et coulis-Sauces"/>
        <s v="143238-Sauces et coulis-Sauces"/>
        <s v="107070-Sauces et coulis-Sauces"/>
        <s v="114467-Sauces et coulis-Sauces"/>
        <s v="143237-Sauces et coulis-Sauces"/>
        <s v="86417-Sauces et coulis-Sauces"/>
        <s v="147317-Sauces et coulis-Sauces"/>
        <s v="122177-Sauces et coulis-Sauces"/>
        <s v="114909-Sauces et coulis-Sauces"/>
        <s v="119230-Sauces et coulis-Sauces"/>
        <s v="107109-Sauces et coulis-Sauces"/>
        <s v="121461-Sauces et coulis-Sauces"/>
        <s v="86413-Sauces et coulis-Sauces"/>
        <s v="108511-Sauces et coulis-Sauces"/>
        <s v="120877-Sauces et coulis-Sauces"/>
        <s v="194052-Sauces et coulis-Sauces"/>
        <s v="121493-Sauces et coulis-Sauces"/>
        <s v="121479-Sauces et coulis-Sauces"/>
        <s v="79011-Sauces et coulis-Sauces"/>
        <s v="86470-Sauces et coulis-Sauces"/>
        <s v="194997-Sauces et coulis-Sauces"/>
        <s v="108515-Sauces et coulis-Sauces"/>
        <s v="69346-Sauces et coulis-Sauces"/>
        <s v="119971-Sauces et coulis-Sauces"/>
        <s v="107274-Sauces et coulis-Sauces"/>
        <s v="69451-Sauces et coulis-Sauces"/>
        <s v="87416-Sauces et coulis-Sauces"/>
        <s v="23667-Sauces et coulis-Préparation liquide, cuisine"/>
        <s v="112770-Sauces et coulis-Préparation liquide, cuisine"/>
        <s v="116186-Sauces et coulis-Préparation liquide, cuisine"/>
        <s v="95413-Sauces et coulis-Préparation liquide, cuisine"/>
        <s v="116184-Sauces et coulis-Préparation liquide, cuisine"/>
        <s v="95412-Sauces et coulis-Préparation liquide, cuisine"/>
        <s v="95414-Sauces et coulis-Préparation liquide, cuisine"/>
        <s v="24088-Sauces et coulis-Préparation liquide, cuisine"/>
        <s v="75156-Sauces et coulis-Préparation liquide, cuisine"/>
        <s v="6216-Sauces et coulis-Préparation liquide, cuisine"/>
        <s v="149867-Sauces et coulis-Préparation liquide, cuisine"/>
        <s v="44037-Sauces et coulis-Préparation liquide, cuisine"/>
        <s v="83029-Sauces et coulis-Préparation liquide, cuisine"/>
        <s v="100395-Sauces et coulis-Préparation liquide, cuisine"/>
        <s v="110437-Sauces et coulis-Préparation liquide, cuisine"/>
        <s v="29430-Sauces et coulis-Préparation liquide, cuisine"/>
        <s v="95416-Sauces et coulis-Préparation liquide, cuisine"/>
        <s v="108493-Sauces et coulis-Préparation liquide, cuisine"/>
        <s v="109293-Sauces et coulis-Préparation liquide, cuisine"/>
        <s v="73581-Sauces et coulis-Préparation liquide, cuisine"/>
        <s v="100396-Sauces et coulis-Préparation liquide, cuisine"/>
        <s v="45917-Sauces et coulis-Préparation liquide, cuisine"/>
        <s v="83420-Sauces et coulis-Préparation liquide, cuisine"/>
        <s v="101591-Sauces et coulis-Préparation liquide, cuisine"/>
        <s v="116181-Sauces et coulis-Préparation liquide, cuisine"/>
        <s v="109300-Sauces et coulis-Préparation liquide, cuisine"/>
        <s v="46160-Sauces et coulis-Préparation liquide, cuisine"/>
        <s v="116202-Sauces et coulis-Préparation liquide, cuisine"/>
        <s v="106884-Sauces et coulis-Préparation liquide, cuisine"/>
        <s v="98598-Sauces et coulis-Préparation liquide, cuisine"/>
        <s v="78515-Sauces et coulis-Préparation liquide, cuisine"/>
        <s v="46154-Sauces et coulis-Préparation liquide, cuisine"/>
        <s v="23668-Sauces et coulis-Préparation liquide, cuisine"/>
        <s v="107900-Tisane, Infusion-Coffrets de tisanes"/>
        <s v="85037-Tisane, Infusion-Coffrets de tisanes"/>
        <s v="49182-Tisane, Infusion-Coffrets de tisanes"/>
        <s v="69111-Tisane, Infusion-Tisane ayurvédique"/>
        <s v="80054-Tisane, Infusion-Tisane ayurvédique"/>
        <s v="79782-Tisane, Infusion-Tisane ayurvédique"/>
        <s v="80045-Tisane, Infusion-Tisane ayurvédique"/>
        <s v="69108-Tisane, Infusion-Tisane ayurvédique"/>
        <s v="69112-Tisane, Infusion-Tisane ayurvédique"/>
        <s v="121992-Tisane, Infusion-Tisane ayurvédique"/>
        <s v="80048-Tisane, Infusion-Tisane ayurvédique"/>
        <s v="121982-Tisane, Infusion-Tisane ayurvédique"/>
        <s v="121974-Tisane, Infusion-Tisane ayurvédique"/>
        <s v="69110-Tisane, Infusion-Tisane ayurvédique"/>
        <s v="23540-Tisane, Infusion-Tisane ayurvédique"/>
        <s v="69123-Tisane, Infusion-Tisane ayurvédique"/>
        <s v="121984-Tisane, Infusion-Tisane ayurvédique"/>
        <s v="121979-Tisane, Infusion-Tisane ayurvédique"/>
        <s v="80043-Tisane, Infusion-Tisane ayurvédique"/>
        <s v="100326-Tisane, Infusion-Tisane ayurvédique"/>
        <s v="69117-Tisane, Infusion-Tisane ayurvédique"/>
        <s v="100334-Tisane, Infusion-Tisane ayurvédique"/>
        <s v="69120-Tisane, Infusion-Tisane ayurvédique"/>
        <s v="69119-Tisane, Infusion-Tisane ayurvédique"/>
        <s v="69118-Tisane, Infusion-Tisane ayurvédique"/>
        <s v="80044-Tisane, Infusion-Tisane ayurvédique"/>
        <s v="23556-Tisane, Infusion-Tisane ayurvédique"/>
        <s v="69114-Tisane, Infusion-Tisane ayurvédique"/>
        <s v="79778-Tisane, Infusion-Tisane ayurvédique"/>
        <s v="100323-Tisane, Infusion-Tisane ayurvédique"/>
        <s v="69116-Tisane, Infusion-Tisane ayurvédique"/>
        <s v="68938-Tisane, Infusion-Tisane ayurvédique"/>
        <s v="121987-Tisane, Infusion-Tisane ayurvédique"/>
        <s v="69113-Tisane, Infusion-Tisane ayurvédique"/>
        <s v="80053-Tisane, Infusion-Tisane ayurvédique"/>
        <s v="121986-Tisane, Infusion-Tisane ayurvédique"/>
        <s v="121988-Tisane, Infusion-Tisane ayurvédique"/>
        <s v="121990-Tisane, Infusion-Tisane ayurvédique"/>
        <s v="68941-Tisane, Infusion-Tisane ayurvédique"/>
        <s v="69122-Tisane, Infusion-Tisane ayurvédique"/>
        <s v="80049-Tisane, Infusion-Tisane ayurvédique"/>
        <s v="121971-Tisane, Infusion-Tisane ayurvédique"/>
        <s v="68945-Tisane, Infusion-Tisane ayurvédique"/>
        <s v="79780-Tisane, Infusion-Tisane ayurvédique"/>
        <s v="80056-Tisane, Infusion-Tisane ayurvédique"/>
        <s v="80040-Tisane, Infusion-Tisane ayurvédique"/>
        <s v="114480-Tisane, Infusion-Tisane ayurvédique"/>
        <s v="111922-Tisane, Infusion-Tisane ayurvédique"/>
        <s v="111924-Tisane, Infusion-Tisane ayurvédique"/>
        <s v="80047-Tisane, Infusion-Tisane ayurvédique"/>
        <s v="69121-Tisane, Infusion-Tisane ayurvédique"/>
        <s v="68939-Tisane, Infusion-Tisane ayurvédique"/>
        <s v="69124-Tisane, Infusion-Tisane ayurvédique"/>
        <s v="23552-Tisane, Infusion-Tisane ayurvédique"/>
        <s v="68943-Tisane, Infusion-Tisane ayurvédique"/>
        <s v="69115-Tisane, Infusion-Tisane ayurvédique"/>
        <s v="81122-Tisane, Infusion-Tisane plante simple"/>
        <s v="84672-Tisane, Infusion-Tisane plante simple"/>
        <s v="81127-Tisane, Infusion-Tisane plante simple"/>
        <s v="87858-Tisane, Infusion-Tisane plante simple"/>
        <s v="84673-Tisane, Infusion-Tisane plante simple"/>
        <s v="81064-Tisane, Infusion-Tisane plante simple"/>
        <s v="81139-Tisane, Infusion-Tisane plante simple"/>
        <s v="81141-Tisane, Infusion-Tisane plante simple"/>
        <s v="81054-Tisane, Infusion-Tisane plante simple"/>
        <s v="118352-Tisane, Infusion-Tisane plante simple"/>
        <s v="81091-Tisane, Infusion-Tisane plante simple"/>
        <s v="81025-Tisane, Infusion-Tisane plante simple"/>
        <s v="81129-Tisane, Infusion-Tisane plante simple"/>
        <s v="81043-Tisane, Infusion-Tisane plante simple"/>
        <s v="81120-Tisane, Infusion-Tisane plante simple"/>
        <s v="81109-Tisane, Infusion-Tisane plante simple"/>
        <s v="81082-Tisane, Infusion-Tisane plante simple"/>
        <s v="81036-Tisane, Infusion-Tisane plante simple"/>
        <s v="81690-Tisane, Infusion-Tisane plante simple"/>
        <s v="87849-Tisane, Infusion-Tisane plante simple"/>
        <s v="81094-Tisane, Infusion-Tisane plante simple"/>
        <s v="202726-Tisane, Infusion-Tisane de plantes composées"/>
        <s v="101516-Tisane, Infusion-Tisane de plantes composées"/>
        <s v="84332-Tisane, Infusion-Tisane de plantes composées"/>
        <s v="16959-Tisane, Infusion-Tisane de plantes composées"/>
        <s v="87762-Tisane, Infusion-Tisane de plantes composées"/>
        <s v="16952-Tisane, Infusion-Tisane de plantes composées"/>
        <s v="16958-Tisane, Infusion-Tisane de plantes composées"/>
        <s v="16950-Tisane, Infusion-Tisane de plantes composées"/>
        <s v="102266-Tisane, Infusion-Tisane de plantes composées"/>
        <s v="202746-Tisane, Infusion-Tisane de plantes composées"/>
        <s v="101519-Tisane, Infusion-Tisane de plantes composées"/>
        <s v="81688-Tisane, Infusion-Tisane de plantes composées"/>
        <s v="120365-Tisane, Infusion-Tisane de plantes composées"/>
        <s v="3438-Tisane, Infusion-Tisane de plantes composées"/>
        <s v="102262-Tisane, Infusion-Tisane de plantes composées"/>
        <s v="87764-Tisane, Infusion-Tisane de plantes composées"/>
        <s v="3437-Tisane, Infusion-Tisane de plantes composées"/>
        <s v="111017-Tisane, Infusion-Tisane de plantes composées"/>
        <s v="102264-Tisane, Infusion-Tisane de plantes composées"/>
        <s v="18088-Tisane, Infusion-Tisane de plantes composées"/>
        <s v="87836-Tisane, Infusion-Tisane de plantes composées"/>
        <s v="87804-Tisane, Infusion-Tisane de plantes composées"/>
        <s v="108207-Transport enfant-Echarpe &amp; Porte-Bébé"/>
        <s v="111043-Transport enfant-Echarpe &amp; Porte-Bébé"/>
        <s v="100223-Transport enfant-Echarpe &amp; Porte-Bébé"/>
        <s v="92161-Loisirs Créatifs-Moulage"/>
        <s v="113405-Loisirs Créatifs-Pâte à Modeler"/>
        <s v="120817-Loisirs Créatifs-Peinture &amp; Coloriage"/>
        <s v="14520-Loisirs Créatifs-Peinture &amp; Coloriage"/>
        <s v="104928-Loisirs Créatifs-Peinture &amp; Coloriage"/>
        <s v="14517-Loisirs Créatifs-Peinture &amp; Coloriage"/>
        <s v="122563-Loisirs Créatifs-Peinture &amp; Coloriage"/>
        <s v="96404-Loisirs Créatifs-Peinture &amp; Coloriage"/>
        <s v="121469-Loisirs Créatifs-Découpage &amp; Assemblage"/>
        <s v="122579-Loisirs Créatifs-Découpage &amp; Assemblage"/>
        <s v="113407-Loisirs Créatifs-Découpage &amp; Assemblage"/>
        <s v="91995-Loisirs Créatifs-Découpage &amp; Assemblage"/>
        <s v="81178-Miel et confiture-Confiture"/>
        <s v="12918-Miel et confiture-Confiture"/>
        <s v="122411-Miel et confiture-Confiture"/>
        <s v="81194-Miel et confiture-Confiture"/>
        <s v="71876-Miel et confiture-Confiture"/>
        <s v="129493-Miel et confiture-Confiture"/>
        <s v="81190-Miel et confiture-Confiture"/>
        <s v="71875-Miel et confiture-Confiture"/>
        <s v="81198-Miel et confiture-Confiture"/>
        <s v="188723-Miel et confiture-Confiture"/>
        <s v="115053-Miel et confiture-Confiture"/>
        <s v="104609-Miel et confiture-Confiture"/>
        <s v="12916-Miel et confiture-Confiture"/>
        <s v="129488-Miel et confiture-Confiture"/>
        <s v="78566-Miel et confiture-Confiture"/>
        <s v="15090-Miel et confiture-Confiture"/>
        <s v="81209-Miel et confiture-Confiture"/>
        <s v="108141-Miel et confiture-Confiture"/>
        <s v="12914-Miel et confiture-Confiture"/>
        <s v="129492-Miel et confiture-Confiture"/>
        <s v="120473-Miel et confiture-Confiture"/>
        <s v="12924-Miel et confiture-Confiture"/>
        <s v="12920-Miel et confiture-Confiture"/>
        <s v="81200-Miel et confiture-Confiture"/>
        <s v="122410-Miel et confiture-Confiture"/>
        <s v="81720-Miel et confiture-Confiture"/>
        <s v="12923-Miel et confiture-Confiture"/>
        <s v="81173-Miel et confiture-Confiture"/>
        <s v="12910-Miel et confiture-Confiture"/>
        <s v="81193-Miel et confiture-Confiture"/>
        <s v="12917-Miel et confiture-Confiture"/>
        <s v="129491-Miel et confiture-Confiture"/>
        <s v="15104-Miel et confiture-Confiture"/>
        <s v="122407-Miel et confiture-Confiture"/>
        <s v="81191-Miel et confiture-Confiture"/>
        <s v="188725-Miel et confiture-Confiture"/>
        <s v="188724-Miel et confiture-Confiture"/>
        <s v="12911-Miel et confiture-Confiture"/>
        <s v="21612-Miel et confiture-Confiture"/>
        <s v="21603-Miel et confiture-Confiture"/>
        <s v="81218-Miel et confiture-Miels bio"/>
        <s v="70543-Miel et confiture-Miels bio"/>
        <s v="80549-Miel et confiture-Miels bio"/>
        <s v="79404-Miel et confiture-Miels bio"/>
        <s v="110596-Miel et confiture-Miels bio"/>
        <s v="70547-Miel et confiture-Miels bio"/>
        <s v="11410-Miel et confiture-Miels bio"/>
        <s v="116632-Miel et confiture-Miels bio"/>
        <s v="80546-Miel et confiture-Miels bio"/>
        <s v="80572-Miel et confiture-Miels bio"/>
        <s v="70558-Miel et confiture-Miels bio"/>
        <s v="79405-Miel et confiture-Miels bio"/>
        <s v="80543-Miel et confiture-Miels bio"/>
        <s v="14041-Miel et confiture-Miels bio"/>
        <s v="70559-Miel et confiture-Miels bio"/>
        <s v="80582-Miel et confiture-Miels bio"/>
        <s v="90004-Miel et confiture-Miels bio"/>
        <s v="117907-Miel et confiture-Miels bio"/>
        <s v="70542-Miel et confiture-Miels bio"/>
        <s v="81210-Miel et confiture-Miels bio"/>
        <s v="81211-Miel et confiture-Miels bio"/>
        <s v="80573-Miel et confiture-Miels bio"/>
        <s v="117909-Miel et confiture-Miels bio"/>
        <s v="80584-Miel et confiture-Miels bio"/>
        <s v="80550-Miel et confiture-Miels bio"/>
        <s v="81227-Miel et confiture-Miels bio"/>
        <s v="80578-Miel et confiture-Miels bio"/>
        <s v="110595-Miel et confiture-Miels bio"/>
        <s v="70557-Miel et confiture-Miels bio"/>
        <s v="147284-Miel et confiture-Miels bio"/>
        <s v="70553-Miel et confiture-Miels bio"/>
        <s v="81212-Miel et confiture-Miels bio"/>
        <s v="120427-Miel et confiture-Miels bio"/>
        <s v="46049-Pain et biscottes-Pain, pain précuit"/>
        <s v="46039-Pain et biscottes-Pain, pain précuit"/>
        <s v="46037-Pain et biscottes-Pain, pain précuit"/>
        <s v="88965-Pain et biscottes-Pain, pain précuit"/>
        <s v="102614-Pain et biscottes-Pain, pain précuit"/>
        <s v="122704-Pain et biscottes-Pain, pain précuit"/>
        <s v="164902-Pain et biscottes-Pain, pain précuit"/>
        <s v="117783-Pain et biscottes-Pain, pain précuit"/>
        <s v="114278-Pain et biscottes-Pain, pain précuit"/>
        <s v="46056-Pain et biscottes-Pain, pain précuit"/>
        <s v="5703-Pain et biscottes-Pain, pain précuit"/>
        <s v="102607-Pain et biscottes-Pain, pain précuit"/>
        <s v="87913-Pain et biscottes-Pain, pain précuit"/>
        <s v="149513-Pain et biscottes-Pain, pain précuit"/>
        <s v="87909-Pain et biscottes-Pain, pain précuit"/>
        <s v="101897-Pain et biscottes-Pain, pain précuit"/>
        <s v="121675-Pain et biscottes-Pain, pain précuit"/>
        <s v="99349-Pain et biscottes-Pain, pain précuit"/>
        <s v="117785-Pain et biscottes-Pain, pain précuit"/>
        <s v="120558-Pain et biscottes-Pain, pain précuit"/>
        <s v="99351-Pain et biscottes-Pain, pain précuit"/>
        <s v="113058-Pain et biscottes-Pain, pain précuit"/>
        <s v="118917-Pain et biscottes-Pain, pain précuit"/>
        <s v="164891-Pain et biscottes-Pain, pain précuit"/>
        <s v="101901-Pain et biscottes-Pain, pain précuit"/>
        <s v="197164-Pain et biscottes-Pain, pain précuit"/>
        <s v="114277-Pain et biscottes-Pain, pain précuit"/>
        <s v="86913-Pain et biscottes-Pain, pain précuit"/>
        <s v="88971-Pain et biscottes-Pain, pain précuit"/>
        <s v="188840-Pain et biscottes-Pain, pain précuit"/>
        <s v="95652-Pain et biscottes-Pain, pain précuit"/>
        <s v="68627-Pain et biscottes-Pain, pain précuit"/>
        <s v="46043-Pain et biscottes-Pain, pain précuit"/>
        <s v="60592-Pain et biscottes-Pain, pain précuit"/>
        <s v="99350-Pain et biscottes-Pain, pain précuit"/>
        <s v="78983-Pain et biscottes-Pain, pain précuit"/>
        <s v="188845-Pain et biscottes-Pain, pain précuit"/>
        <s v="117787-Pain et biscottes-Pain, pain précuit"/>
        <s v="119986-Pain et biscottes-Pain, pain précuit"/>
        <s v="188841-Pain et biscottes-Pain, pain précuit"/>
        <s v="99348-Pain et biscottes-Pain, pain précuit"/>
        <s v="78978-Pain et biscottes-Pain, pain précuit"/>
        <s v="120556-Pain et biscottes-Pain, pain précuit"/>
        <s v="80254-Pain et biscottes-Pain, pain précuit"/>
        <s v="121911-Pâte à tartiner-Crème de fruits à coque"/>
        <s v="120328-Pâte à tartiner-Crème de fruits à coque"/>
        <s v="122702-Pâte à tartiner-Crème de fruits à coque"/>
        <s v="92542-Pâte à tartiner-Crème de fruits à coque"/>
        <s v="15423-Pâte à tartiner-Crème de fruits à coque"/>
        <s v="111797-Pâte à tartiner-Crème de fruits à coque"/>
        <s v="112626-Pâte à tartiner-Crème de fruits à coque"/>
        <s v="12925-Pâte à tartiner-Crème de fruits à coque"/>
        <s v="107034-Pâte à tartiner-Crème de fruits à coque"/>
        <s v="88319-Pâte à tartiner-Crème de fruits à coque"/>
        <s v="3453-Pâte à tartiner-Crème de fruits à coque"/>
        <s v="121425-Pâte à tartiner-Pâte à tartiner sans lait"/>
        <s v="10561-Pâte à tartiner-Pâte à tartiner sans lait"/>
        <s v="90294-Pâte à tartiner-Pâte à tartiner sans lait"/>
        <s v="70804-Pâte à tartiner-Pâte à tartiner sans lait"/>
        <s v="81237-Pâte à tartiner-Pâte à tartiner sans lait"/>
        <s v="47564-Pâte à tartiner-Pâte à tartiner sans lait"/>
        <s v="24055-Pâte à tartiner-Pâte à tartiner sans lait"/>
        <s v="48637-Pâte à tartiner-Pâte à tartiner chocolat lait"/>
        <s v="3447-Pâte à tartiner-Pâte à tartiner chocolat lait"/>
        <s v="117921-Pâte à tartiner-Pâte à tartiner chocolat lait"/>
        <s v="128322-Pâte à tartiner-Pâte à tartiner chocolat lait"/>
        <s v="42207-Pâte à tartiner-Pâte à tartiner chocolat lait"/>
        <s v="108394-Pâte à tartiner-Pâte à tartiner chocolat lait"/>
        <s v="119967-Pâte à tartiner-Pâte à tartiner chocolat lait"/>
        <s v="81235-Pâte à tartiner-Pâte à tartiner chocolat lait"/>
        <s v="24053-Pâte à tartiner-Pâte à tartiner chocolat lait"/>
        <s v="116936-Pâte à tartiner-Pâte à tartiner chocolat lait"/>
        <s v="44268-Pâte à tartiner-Pâte à tartiner chocolat lait"/>
        <s v="111946-Pâte à tartiner-Pâte à tartiner chocolat lait"/>
        <s v="81234-Pâte à tartiner-Pâte à tartiner chocolat lait"/>
        <s v="24038-Pâte à tartiner-Pâte à tartiner chocolat lait"/>
        <s v="44882-Pâte à tartiner-Pâte à tartiner chocolat noir"/>
        <s v="44266-Pâte à tartiner-Pâte à tartiner chocolat noir"/>
        <s v="3452-Pâte à tartiner-Pâte à tartiner chocolat noir"/>
        <s v="118569-Pâte à tartiner-Pâte à tartiner chocolat noir"/>
        <s v="84378-Pâte à tartiner-Pâte à tartiner sans chocolat"/>
        <s v="112731-Pâte à tartiner-Pâte à tartiner sans chocolat"/>
        <s v="166201-Soins des cheveux-Brosse et peigne"/>
        <s v="48495-Soins des cheveux-Brosse et peigne"/>
        <s v="10383-Soins des cheveux-Brosse et peigne"/>
        <s v="116284-Soins des cheveux-Brosse et peigne"/>
        <s v="86543-Soins des cheveux-Brosse et peigne"/>
        <s v="21165-Soins des cheveux-Brosse et peigne"/>
        <s v="10309-Soins des cheveux-Brosse et peigne"/>
        <s v="10367-Soins des cheveux-Brosse et peigne"/>
        <s v="86545-Soins des cheveux-Brosse et peigne"/>
        <s v="86544-Soins des cheveux-Brosse et peigne"/>
        <s v="10384-Soins des cheveux-Brosse et peigne"/>
        <s v="79314-Soins des cheveux-Soins capillaires"/>
        <s v="79311-Soins des cheveux-Soins capillaires"/>
        <s v="118249-Soins des cheveux-Soins capillaires"/>
        <s v="128420-Soins des cheveux-Soins capillaires"/>
        <s v="120692-Soins des cheveux-Soins capillaires"/>
        <s v="122464-Soins des cheveux-Soins capillaires"/>
        <s v="79762-Soins des cheveux-Soins capillaires"/>
        <s v="79315-Soins des cheveux-Soins capillaires"/>
        <s v="98941-Soins des cheveux-Soins capillaires"/>
        <s v="118245-Soins des cheveux-Soins capillaires"/>
        <s v="122333-Soins des cheveux-Soins capillaires"/>
        <s v="121901-Soins des cheveux-Soins capillaires"/>
        <s v="79316-Soins des cheveux-Soins capillaires"/>
        <s v="109899-Soins des cheveux-Soins capillaires"/>
        <s v="70570-Soins des cheveux-Soins capillaires"/>
        <s v="79364-Soins des cheveux-Soins capillaires"/>
        <s v="113103-Soins des cheveux-Soins capillaires"/>
        <s v="200581-Soins des cheveux-Soins capillaires"/>
        <s v="91490-Soins des cheveux-Soins capillaires"/>
        <s v="79320-Soins des cheveux-Soins capillaires"/>
        <s v="122331-Soins des cheveux-Soins capillaires"/>
        <s v="79921-Soins des cheveux-Soins capillaires"/>
        <s v="128421-Soins des cheveux-Soins capillaires"/>
        <s v="80421-Soins des cheveux-Soins capillaires"/>
        <s v="121867-Soins des cheveux-Soins capillaires"/>
        <s v="122501-Soins des cheveux-Soins capillaires"/>
        <s v="44531-Soins des cheveux-Soins capillaires"/>
        <s v="118153-Soins des cheveux-Soins capillaires"/>
        <s v="118244-Soins des cheveux-Soins capillaires"/>
        <s v="46974-Soins des cheveux-Soins capillaires"/>
        <s v="69232-Soins des cheveux-Soins capillaires"/>
        <s v="117461-Soins des cheveux-Soins capillaires"/>
        <s v="122324-Soins des cheveux-Soins capillaires"/>
        <s v="119023-Soins des cheveux-Soins capillaires"/>
        <s v="70600-Soins des cheveux-Soins capillaires"/>
        <s v="10689-Soins des cheveux-Soins capillaires"/>
        <s v="158427-Soins des cheveux-Soins capillaires"/>
        <s v="122462-Soins des cheveux-Soins capillaires"/>
        <s v="155951-Soins des cheveux-Soins capillaires"/>
        <s v="79338-Soins des cheveux-Soins capillaires"/>
        <s v="79919-Soins des cheveux-Soins capillaires"/>
        <s v="117057-Soins des cheveux-Soins capillaires"/>
        <s v="122334-Soins des cheveux-Soins capillaires"/>
        <s v="122648-Soins des cheveux-Soins capillaires"/>
        <s v="128418-Soins des cheveux-Soins capillaires"/>
        <s v="109883-Soins des cheveux-Soins capillaires"/>
        <s v="119027-Soins des cheveux-Soins capillaires"/>
        <s v="30522-Soins des cheveux-Soins capillaires"/>
        <s v="118155-Soins des cheveux-Soins capillaires"/>
        <s v="188068-Soins des cheveux-Soins capillaires"/>
        <s v="92613-Soins des cheveux-Soins capillaires"/>
        <s v="69234-Soins des cheveux-Soins capillaires"/>
        <s v="109938-Soins des cheveux-Soins capillaires"/>
        <s v="120307-Soins des cheveux-Soins capillaires"/>
        <s v="118906-Soins des cheveux-Soins capillaires"/>
        <s v="128309-Soins des cheveux-Shampoing traitant"/>
        <s v="1986-Soins des cheveux-Shampoing traitant"/>
        <s v="117749-Soins des cheveux-Shampoing traitant"/>
        <s v="117748-Soins des cheveux-Shampoing traitant"/>
        <s v="1962-Soins des cheveux-Shampoing traitant"/>
        <s v="109994-Soins des cheveux-Shampoing traitant"/>
        <s v="69364-Soins des cheveux-Shampoing traitant"/>
        <s v="69365-Soins des cheveux-Shampoing traitant"/>
        <s v="46990-Soins des cheveux-Shampoing traitant"/>
        <s v="11428-Soins des cheveux-Shampoing traitant"/>
        <s v="122318-Soins des cheveux-Shampoing traitant"/>
        <s v="182194-Soins des cheveux-Shampoing traitant"/>
        <s v="147256-Soins des cheveux-Shampoing traitant"/>
        <s v="5079-Soins des cheveux-Shampoing traitant"/>
        <s v="92621-Soins des cheveux-Shampoing traitant"/>
        <s v="11003-Soins des cheveux-Shampoing traitant"/>
        <s v="117560-Soins des cheveux-Shampoing traitant"/>
        <s v="188368-Soins des cheveux-Shampoing traitant"/>
        <s v="124765-Soins des cheveux-Shampoing traitant"/>
        <s v="8726-Soins des cheveux-Shampoing traitant"/>
        <s v="118158-Soins des cheveux-Colorations naturelles"/>
        <s v="121871-Soins des cheveux-Colorations naturelles"/>
        <s v="121876-Soins des cheveux-Colorations naturelles"/>
        <s v="121877-Soins des cheveux-Colorations naturelles"/>
        <s v="121879-Soins des cheveux-Colorations naturelles"/>
        <s v="121874-Soins des cheveux-Colorations naturelles"/>
        <s v="121893-Soins des cheveux-Colorations naturelles"/>
        <s v="121892-Soins des cheveux-Colorations naturelles"/>
        <s v="102678-Soins des cheveux-Colorations naturelles"/>
        <s v="121887-Soins des cheveux-Colorations naturelles"/>
        <s v="21344-Soins des cheveux-Colorations naturelles"/>
        <s v="121873-Soins des cheveux-Colorations naturelles"/>
        <s v="108833-Soins des cheveux-Colorations naturelles"/>
        <s v="121882-Soins des cheveux-Colorations naturelles"/>
        <s v="91492-Soins des cheveux-Colorations naturelles"/>
        <s v="111392-Soins des cheveux-Colorations naturelles"/>
        <s v="108835-Soins des cheveux-Colorations naturelles"/>
        <s v="118111-Soins des cheveux-Colorations naturelles"/>
        <s v="121872-Soins des cheveux-Colorations naturelles"/>
        <s v="112885-Soins des cheveux-Colorations naturelles"/>
        <s v="108738-Soins des cheveux-Colorations naturelles"/>
        <s v="21338-Soins des cheveux-Colorations naturelles"/>
        <s v="76513-Soins des cheveux-Colorations naturelles"/>
        <s v="76514-Soins des cheveux-Colorations naturelles"/>
        <s v="21339-Soins des cheveux-Colorations naturelles"/>
        <s v="75436-Soins des cheveux-Colorations naturelles"/>
        <s v="84092-Soins des cheveux-Colorations naturelles"/>
        <s v="86943-Soins des cheveux-Colorations naturelles"/>
        <s v="8688-Soins des cheveux-Gel et crème coiffante"/>
        <s v="117967-Soins des cheveux-Gel et crème coiffante"/>
        <s v="23061-Soins des cheveux-Gel et crème coiffante"/>
        <s v="10688-Soins des cheveux-Gel et crème coiffante"/>
        <s v="8690-Soins des cheveux-Gel et crème coiffante"/>
        <s v="79808-Soins des cheveux-Shampoing douche 2 en 1"/>
        <s v="44797-Soins des cheveux-Shampoing douche 2 en 1"/>
        <s v="79807-Soins des cheveux-Shampoing douche 2 en 1"/>
        <s v="11426-Soins des cheveux-Shampoing douche 2 en 1"/>
        <s v="45059-Soins des cheveux-Shampoing douche 2 en 1"/>
        <s v="200582-Soins des cheveux-Shampoing douche 2 en 1"/>
        <s v="143825-Soins des cheveux-Shampoing douche 2 en 1"/>
        <s v="85232-Soins des cheveux-Shampoing douche 2 en 1"/>
        <s v="79806-Soins des cheveux-Shampoing douche 2 en 1"/>
        <s v="46991-Soins des cheveux-Shampoing douche 2 en 1"/>
        <s v="69360-Soins des cheveux-Shampoing douche 2 en 1"/>
        <s v="110441-Soins des cheveux-Shampoing douche 2 en 1"/>
        <s v="120781-Soins des cheveux-Shampoing douche 2 en 1"/>
        <s v="79809-Soins des cheveux-Shampoing douche 2 en 1"/>
        <s v="45057-Soins des cheveux-Shampoing douche 2 en 1"/>
        <s v="79805-Soins des cheveux-Shampoing douche 2 en 1"/>
        <s v="45707-Soins des cheveux-Shampoing douche 2 en 1"/>
        <s v="117282-Soins des cheveux-Shampoing par type de cheveux"/>
        <s v="30503-Soins des cheveux-Shampoing par type de cheveux"/>
        <s v="187336-Soins des cheveux-Shampoing par type de cheveux"/>
        <s v="82427-Soins des cheveux-Shampoing par type de cheveux"/>
        <s v="11000-Soins des cheveux-Shampoing par type de cheveux"/>
        <s v="117274-Soins des cheveux-Shampoing par type de cheveux"/>
        <s v="117445-Soins des cheveux-Shampoing par type de cheveux"/>
        <s v="103246-Soins des cheveux-Shampoing par type de cheveux"/>
        <s v="92626-Soins des cheveux-Shampoing par type de cheveux"/>
        <s v="79352-Soins des cheveux-Shampoing par type de cheveux"/>
        <s v="128315-Soins des cheveux-Shampoing par type de cheveux"/>
        <s v="117272-Soins des cheveux-Shampoing par type de cheveux"/>
        <s v="116770-Soins des cheveux-Shampoing par type de cheveux"/>
        <s v="118012-Soins des cheveux-Shampoing par type de cheveux"/>
        <s v="117306-Soins des cheveux-Shampoing par type de cheveux"/>
        <s v="117056-Soins des cheveux-Shampoing par type de cheveux"/>
        <s v="188066-Soins des cheveux-Shampoing par type de cheveux"/>
        <s v="181147-Soins des cheveux-Shampoing par type de cheveux"/>
        <s v="79917-Soins des cheveux-Shampoing par type de cheveux"/>
        <s v="110282-Soins des cheveux-Shampoing par type de cheveux"/>
        <s v="200526-Soins des cheveux-Shampoing par type de cheveux"/>
        <s v="193197-Soins des cheveux-Shampoing par type de cheveux"/>
        <s v="79820-Soins des cheveux-Shampoing par type de cheveux"/>
        <s v="122327-Soins des cheveux-Shampoing par type de cheveux"/>
        <s v="117956-Soins des cheveux-Shampoing par type de cheveux"/>
        <s v="86182-Soins des cheveux-Shampoing par type de cheveux"/>
        <s v="46989-Soins des cheveux-Shampoing par type de cheveux"/>
        <s v="46976-Soins des cheveux-Shampoing par type de cheveux"/>
        <s v="79354-Soins des cheveux-Shampoing par type de cheveux"/>
        <s v="114268-Soins des cheveux-Shampoing par type de cheveux"/>
        <s v="10685-Soins des cheveux-Shampoing par type de cheveux"/>
        <s v="118157-Soins des cheveux-Shampoing par type de cheveux"/>
        <s v="122322-Soins des cheveux-Shampoing par type de cheveux"/>
        <s v="27509-Soins des cheveux-Shampoing par type de cheveux"/>
        <s v="110852-Soins des cheveux-Shampoing par type de cheveux"/>
        <s v="128312-Soins des cheveux-Shampoing par type de cheveux"/>
        <s v="79355-Soins des cheveux-Shampoing par type de cheveux"/>
        <s v="86185-Soins des cheveux-Shampoing par type de cheveux"/>
        <s v="77138-Soins des cheveux-Shampoing par type de cheveux"/>
        <s v="86183-Soins des cheveux-Shampoing par type de cheveux"/>
        <s v="122595-Soins des cheveux-Shampoing par type de cheveux"/>
        <s v="70338-Soins des cheveux-Shampoing par type de cheveux"/>
        <s v="114273-Soins des cheveux-Shampoing par type de cheveux"/>
        <s v="110849-Soins des cheveux-Shampoing par type de cheveux"/>
        <s v="45056-Soins des cheveux-Shampoing par type de cheveux"/>
        <s v="92633-Soins des cheveux-Shampoing par type de cheveux"/>
        <s v="111011-Soins des cheveux-Shampoing par type de cheveux"/>
        <s v="11002-Soins des cheveux-Shampoing par type de cheveux"/>
        <s v="80661-Soins des cheveux-Shampoing par type de cheveux"/>
        <s v="128310-Soins des cheveux-Shampoing par type de cheveux"/>
        <s v="182193-Soins des cheveux-Shampoing par type de cheveux"/>
        <s v="116771-Soins des cheveux-Shampoing par type de cheveux"/>
        <s v="103245-Soins des cheveux-Shampoing par type de cheveux"/>
        <s v="1961-Soins des cheveux-Shampoing par type de cheveux"/>
        <s v="128314-Soins des cheveux-Shampoing par type de cheveux"/>
        <s v="109993-Soins des cheveux-Shampoing par type de cheveux"/>
        <s v="117270-Soins des cheveux-Shampoing par type de cheveux"/>
        <s v="42748-Soins des cheveux-Shampoing par type de cheveux"/>
        <s v="110447-Soins des cheveux-Shampoing par type de cheveux"/>
        <s v="46979-Soins des cheveux-Shampoing par type de cheveux"/>
        <s v="1296-Soins des cheveux-Shampoing par type de cheveux"/>
        <s v="109973-Soins des cheveux-Shampoing par type de cheveux"/>
        <s v="155949-Soins des cheveux-Shampoing par type de cheveux"/>
        <s v="187346-Soins des cheveux-Shampoing par type de cheveux"/>
        <s v="46978-Soins des cheveux-Shampoing par type de cheveux"/>
        <s v="110283-Soins des cheveux-Shampoing par type de cheveux"/>
        <s v="147257-Soins des cheveux-Shampoing par type de cheveux"/>
        <s v="182191-Soins des cheveux-Shampoing par type de cheveux"/>
        <s v="9722-Soins des cheveux-Shampoing par type de cheveux"/>
        <s v="124772-Soins des cheveux-Shampoing par type de cheveux"/>
        <s v="8681-Soins des cheveux-Shampoing par type de cheveux"/>
        <s v="5077-Soins des cheveux-Shampoing par type de cheveux"/>
        <s v="114274-Soins des cheveux-Shampoing par type de cheveux"/>
        <s v="1297-Soins des cheveux-Shampoing par type de cheveux"/>
        <s v="46988-Soins des cheveux-Shampoing par type de cheveux"/>
        <s v="92623-Soins des cheveux-Shampoing par type de cheveux"/>
        <s v="79761-Soins des cheveux-Shampoing par type de cheveux"/>
        <s v="11001-Soins des cheveux-Shampoing par type de cheveux"/>
        <s v="9731-Soins des cheveux-Shampoing volume et brillance"/>
        <s v="122316-Soins des cheveux-Shampoing volume et brillance"/>
        <s v="147255-Soins des cheveux-Shampoing volume et brillance"/>
        <s v="8675-Soins des cheveux-Shampoing volume et brillance"/>
        <s v="121900-Soins des cheveux-Shampoing volume et brillance"/>
        <s v="124764-Soins des cheveux-Shampoing volume et brillance"/>
        <s v="124774-Soins des cheveux-Shampoing volume et brillance"/>
        <s v="79353-Soins des cheveux-Shampoing volume et brillance"/>
        <s v="82703-Soins des cheveux-Shampoing volume et brillance"/>
        <s v="71820-Soins des cheveux-Shampoing volume et brillance"/>
        <s v="128311-Soins des cheveux-Shampoing volume et brillance"/>
        <s v="70595-Soins des cheveux-Shampoing volume et brillance"/>
        <s v="8676-Soins des cheveux-Shampoing volume et brillance"/>
        <s v="128313-Soins des cheveux-Shampoing volume et brillance"/>
        <s v="45479-Soins à l'Argile-Argile en Vrac"/>
        <s v="45481-Soins à l'Argile-Argile en Vrac"/>
        <s v="80001-Soins à l'Argile-Argile en Vrac"/>
        <s v="10068-Soins à l'Argile-Argile en Vrac"/>
        <s v="10054-Soins à l'Argile-Argile en Vrac"/>
        <s v="10070-Soins à l'Argile-Argile en Vrac"/>
        <s v="45480-Soins à l'Argile-Argile en Vrac"/>
        <s v="92791-Soins à l'Argile-Argile en Vrac"/>
        <s v="188722-Soins à l'Argile-Argile prête à l'emploi"/>
        <s v="10061-Soins à l'Argile-Argile prête à l'emploi"/>
        <s v="188708-Soins à l'Argile-Argile prête à l'emploi"/>
        <s v="110927-Soins à l'Argile-Argile prête à l'emploi"/>
        <s v="188729-Soins à l'Argile-Argile prête à l'emploi"/>
        <s v="120969-Soins à l'Argile-Argile prête à l'emploi"/>
        <s v="188728-Soins à l'Argile-Argile prête à l'emploi"/>
        <s v="188663-Soins à l'Argile-Argile prête à l'emploi"/>
        <s v="188727-Soins à l'Argile-Argile prête à l'emploi"/>
        <s v="9741-Soins à l'Argile-Argile prête à l'emploi"/>
        <s v="70406-Soupes bio bébé-Soupes bio bébé 4-6 mois"/>
        <s v="112114-Soupes bio bébé-Soupes bio bébé 4-6 mois"/>
        <s v="70405-Soupes bio bébé-Soupes bio bébé 4-6 mois"/>
        <s v="20405-Soupes bio bébé-Soupes bio bébé 8-12 mois"/>
        <s v="121308-Abris pour animaux-Abris pour oiseaux"/>
        <s v="121311-Abris pour animaux-Abris pour oiseaux"/>
        <s v="124748-Biscuits, Gâteaux-Gâteaux"/>
        <s v="104315-Biscuits, Gâteaux-Gâteaux"/>
        <s v="104314-Biscuits, Gâteaux-Gâteaux"/>
        <s v="69287-Biscuits, Gâteaux-Gâteaux"/>
        <s v="5789-Biscuits, Gâteaux-Gâteaux"/>
        <s v="14013-Biscuits, Gâteaux-Gâteaux"/>
        <s v="14015-Biscuits, Gâteaux-Gâteaux"/>
        <s v="69291-Biscuits, Gâteaux-Gâteaux"/>
        <s v="26057-Biscuits, Gâteaux-Biscuit nature"/>
        <s v="14022-Biscuits, Gâteaux-Biscuit nature"/>
        <s v="80109-Biscuits, Gâteaux-Biscuit nature"/>
        <s v="121686-Biscuits, Gâteaux-Biscuit nature"/>
        <s v="60365-Biscuits, Gâteaux-Biscuit nature"/>
        <s v="86488-Biscuits, Gâteaux-Biscuit nature"/>
        <s v="122530-Biscuits, Gâteaux-Biscuit nature"/>
        <s v="60526-Biscuits, Gâteaux-Biscuit nature"/>
        <s v="116807-Biscuits, Gâteaux-Biscuit nature"/>
        <s v="80030-Biscuits, Gâteaux-Biscuit nature"/>
        <s v="122529-Biscuits, Gâteaux-Biscuit nature"/>
        <s v="14042-Biscuits, Gâteaux-Biscuit nature"/>
        <s v="14043-Biscuits, Gâteaux-Biscuit nature"/>
        <s v="9157-Biscuits, Gâteaux-Biscuit aux fruits"/>
        <s v="149968-Biscuits, Gâteaux-Biscuit aux fruits"/>
        <s v="47299-Biscuits, Gâteaux-Biscuit aux fruits"/>
        <s v="109275-Biscuits, Gâteaux-Biscuit aux fruits"/>
        <s v="122768-Biscuits, Gâteaux-Biscuit aux fruits"/>
        <s v="80400-Biscuits, Gâteaux-Biscuit aux fruits"/>
        <s v="8803-Biscuits, Gâteaux-Biscuit aux fruits"/>
        <s v="80085-Biscuits, Gâteaux-Biscuit aux fruits"/>
        <s v="47379-Biscuits, Gâteaux-Biscuit aux fruits"/>
        <s v="47366-Biscuits, Gâteaux-Biscuit aux fruits"/>
        <s v="47376-Biscuits, Gâteaux-Biscuit aux fruits"/>
        <s v="95799-Biscuits, Gâteaux-Biscuit aux fruits"/>
        <s v="112733-Biscuits, Gâteaux-Biscuit aux fruits"/>
        <s v="47050-Biscuits, Gâteaux-Biscuit au chocolat"/>
        <s v="112449-Biscuits, Gâteaux-Biscuit au chocolat"/>
        <s v="14025-Biscuits, Gâteaux-Biscuit au chocolat"/>
        <s v="26054-Biscuits, Gâteaux-Biscuit au chocolat"/>
        <s v="60366-Biscuits, Gâteaux-Biscuit au chocolat"/>
        <s v="116805-Biscuits, Gâteaux-Biscuit au chocolat"/>
        <s v="8804-Biscuits, Gâteaux-Biscuit au chocolat"/>
        <s v="48470-Biscuits, Gâteaux-Biscuit au chocolat"/>
        <s v="86485-Biscuits, Gâteaux-Biscuit au chocolat"/>
        <s v="73872-Biscuits, Gâteaux-Biscuit au chocolat"/>
        <s v="72852-Biscuits, Gâteaux-Biscuit au chocolat"/>
        <s v="85856-Biscuits, Gâteaux-Biscuit au chocolat"/>
        <s v="14018-Biscuits, Gâteaux-Biscuit au chocolat"/>
        <s v="100262-Biscuits, Gâteaux-Biscuit au chocolat"/>
        <s v="114657-Biscuits, Gâteaux-Biscuit au chocolat"/>
        <s v="150281-Biscuits, Gâteaux-Biscuit au chocolat"/>
        <s v="81491-Biscuits, Gâteaux-Biscuit au chocolat"/>
        <s v="88519-Biscuits, Gâteaux-Biscuit au chocolat"/>
        <s v="116800-Biscuits, Gâteaux-Biscuit au chocolat"/>
        <s v="117675-Biscuits, Gâteaux-Biscuit au chocolat"/>
        <s v="47051-Biscuits, Gâteaux-Biscuit au chocolat"/>
        <s v="103171-Biscuits, Gâteaux-Biscuit au chocolat"/>
        <s v="47049-Biscuits, Gâteaux-Biscuit au chocolat"/>
        <s v="47351-Biscuits, Gâteaux-Biscuit au chocolat"/>
        <s v="47575-Biscuits, Gâteaux-Biscuit au chocolat"/>
        <s v="80088-Biscuits, Gâteaux-Biscuit au chocolat"/>
        <s v="47298-Biscuits, Gâteaux-Biscuit au chocolat"/>
        <s v="100271-Biscuits, Gâteaux-Biscuit au chocolat"/>
        <s v="47621-Biscuits, Gâteaux-Biscuit au chocolat"/>
        <s v="117609-Biscuits, Gâteaux-Biscuit au chocolat"/>
        <s v="103873-Biscuits, Gâteaux-Biscuit au chocolat"/>
        <s v="14026-Biscuits, Gâteaux-Biscuit au chocolat"/>
        <s v="95951-Biscuits, Gâteaux-Biscuit au chocolat"/>
        <s v="9162-Biscuits, Gâteaux-Biscuit au chocolat"/>
        <s v="80089-Biscuits, Gâteaux-Biscuit au chocolat"/>
        <s v="122521-Biscuits, Gâteaux-Biscuit au chocolat"/>
        <s v="69300-Biscuits, Gâteaux-Biscuit au chocolat"/>
        <s v="80417-Biscuits, Gâteaux-Biscuit au chocolat"/>
        <s v="128323-Biscuits, Gâteaux-Biscuit au chocolat"/>
        <s v="80091-Biscuits, Gâteaux-Biscuit au chocolat"/>
        <s v="92927-Biscuits, Gâteaux-Biscuit au chocolat"/>
        <s v="9158-Biscuits, Gâteaux-Biscuit au chocolat"/>
        <s v="103872-Biscuits, Gâteaux-Biscuit au chocolat"/>
        <s v="116809-Biscuits, Gâteaux-Biscuit au chocolat"/>
        <s v="114655-Biscuits, Gâteaux-Biscuit au chocolat"/>
        <s v="80228-Biscuits, Gâteaux-Biscuit au chocolat"/>
        <s v="47207-Biscuits, Gâteaux-Biscuit au chocolat"/>
        <s v="116402-Biscuits, Gâteaux-Biscuit sans gluten"/>
        <s v="116408-Biscuits, Gâteaux-Biscuit sans gluten"/>
        <s v="83592-Biscuits, Gâteaux-Biscuit sans gluten"/>
        <s v="122241-Biscuits, Gâteaux-Biscuit sans gluten"/>
        <s v="112799-Biscuits, Gâteaux-Biscuit sans gluten"/>
        <s v="122659-Biscuits, Gâteaux-Biscuit sans gluten"/>
        <s v="112797-Biscuits, Gâteaux-Biscuit sans gluten"/>
        <s v="122663-Biscuits, Gâteaux-Biscuit sans gluten"/>
        <s v="112809-Biscuits, Gâteaux-Biscuit sans gluten"/>
        <s v="80220-Biscuits, Gâteaux-Biscuit sans gluten"/>
        <s v="112732-Biscuits, Gâteaux-Biscuit sans gluten"/>
        <s v="83354-Biscuits, Gâteaux-Biscuit sans gluten"/>
        <s v="116410-Biscuits, Gâteaux-Biscuit sans gluten"/>
        <s v="103841-Biscuits, Gâteaux-Biscuit sans gluten"/>
        <s v="116746-Biscuits, Gâteaux-Biscuit sans gluten"/>
        <s v="116405-Biscuits, Gâteaux-Biscuit sans gluten"/>
        <s v="112810-Biscuits, Gâteaux-Biscuit sans gluten"/>
        <s v="47347-Biscuits, Gâteaux-Madeleine et moelleux"/>
        <s v="101902-Biscuits, Gâteaux-Madeleine et moelleux"/>
        <s v="92926-Biscuits, Gâteaux-Madeleine et moelleux"/>
        <s v="47345-Biscuits, Gâteaux-Madeleine et moelleux"/>
        <s v="121611-Biscuits, Gâteaux-Madeleine et moelleux"/>
        <s v="73310-Biscuits, Gâteaux-Madeleine et moelleux"/>
        <s v="80102-Biscuits, Gâteaux-Madeleine et moelleux"/>
        <s v="122773-Biscuits, Gâteaux-Madeleine et moelleux"/>
        <s v="119421-Biscuits, Gâteaux-Madeleine et moelleux"/>
        <s v="118276-Biscuits, Gâteaux-Madeleine et moelleux"/>
        <s v="47314-Biscuits, Gâteaux-Madeleine et moelleux"/>
        <s v="122771-Biscuits, Gâteaux-Madeleine et moelleux"/>
        <s v="47380-Biscuits, Gâteaux-Biscuit petit déjeuner"/>
        <s v="98329-Biscuits, Gâteaux-Biscuit petit déjeuner"/>
        <s v="81485-Biscuits, Gâteaux-Biscuit petit déjeuner"/>
        <s v="77847-Biscuits, Gâteaux-Biscuit petit déjeuner"/>
        <s v="77290-Biscuits, Gâteaux-Biscuit petit déjeuner"/>
        <s v="114656-Biscuits, Gâteaux-Biscuit petit déjeuner"/>
        <s v="118486-Biscuits, Gâteaux-Biscuit petit déjeuner"/>
        <s v="101889-Biscuits, Gâteaux-Biscuit petit déjeuner"/>
        <s v="14030-Biscuits, Gâteaux-Biscuit petit déjeuner"/>
        <s v="47381-Biscuits, Gâteaux-Biscuit petit déjeuner"/>
        <s v="101888-Biscuits, Gâteaux-Biscuit petit déjeuner"/>
        <s v="98328-Biscuits, Gâteaux-Biscuit petit déjeuner"/>
        <s v="79775-Biscuits, Gâteaux-Biscuit caramel et vanille"/>
        <s v="122616-Biscuits, Gâteaux-Biscuit caramel et vanille"/>
        <s v="101950-Biscuits, Gâteaux-Biscuit caramel et vanille"/>
        <s v="9163-Biscuits, Gâteaux-Biscuit caramel et vanille"/>
        <s v="110106-Biscuits, Gâteaux-Biscuit caramel et vanille"/>
        <s v="14045-Biscuits, Gâteaux-Biscuit fruits secs et céréales"/>
        <s v="95993-Biscuits, Gâteaux-Biscuit fruits secs et céréales"/>
        <s v="81488-Biscuits, Gâteaux-Biscuit fruits secs et céréales"/>
        <s v="14049-Biscuits, Gâteaux-Biscuit fruits secs et céréales"/>
        <s v="121749-Biscuits, Gâteaux-Biscuit fruits secs et céréales"/>
        <s v="101927-Biscuits, Gâteaux-Biscuit fruits secs et céréales"/>
        <s v="103864-Biscuits, Gâteaux-Biscuit fruits secs et céréales"/>
        <s v="85862-Biscuits, Gâteaux-Biscuit fruits secs et céréales"/>
        <s v="46124-Boisson végétale-Boisson au riz"/>
        <s v="114346-Boisson végétale-Boisson au riz"/>
        <s v="80194-Boisson végétale-Boisson au riz"/>
        <s v="80192-Boisson végétale-Boisson au riz"/>
        <s v="46109-Boisson végétale-Boisson au riz"/>
        <s v="80196-Boisson végétale-Boisson au riz"/>
        <s v="149602-Boisson végétale-Boisson au riz"/>
        <s v="46123-Boisson végétale-Boisson au riz"/>
        <s v="46113-Boisson végétale-Boisson au riz"/>
        <s v="46116-Boisson végétale-Boisson au riz"/>
        <s v="46119-Boisson végétale-Boisson au riz"/>
        <s v="63867-Boisson végétale-Boisson au riz"/>
        <s v="80190-Boisson végétale-Boisson au riz"/>
        <s v="48485-Boisson végétale-Boisson au riz"/>
        <s v="80203-Boisson végétale-Boisson au riz"/>
        <s v="100670-Boisson végétale-Boisson au riz"/>
        <s v="16546-Boisson végétale-Boisson au riz"/>
        <s v="121622-Boisson végétale-Boisson au riz"/>
        <s v="80202-Boisson végétale-Boisson au riz"/>
        <s v="24263-Boisson végétale-Boisson au riz"/>
        <s v="16552-Boisson végétale-Boisson au riz"/>
        <s v="112771-Boisson végétale-Boisson au soja"/>
        <s v="116197-Boisson végétale-Boisson au soja"/>
        <s v="46138-Boisson végétale-Boisson au soja"/>
        <s v="109546-Boisson végétale-Boisson au soja"/>
        <s v="199475-Boisson végétale-Boisson au soja"/>
        <s v="199479-Boisson végétale-Boisson au soja"/>
        <s v="48180-Boisson végétale-Boisson à la coco"/>
        <s v="90374-Boisson végétale-Boisson à la coco"/>
        <s v="80318-Boisson végétale-Boisson à la coco"/>
        <s v="6206-Boisson végétale-Boisson à la coco"/>
        <s v="181492-Boisson végétale-Boisson à la coco"/>
        <s v="148738-Boisson végétale-Boisson à la coco"/>
        <s v="100692-Boisson végétale-Boisson à la coco"/>
        <s v="121708-Boisson végétale-Boisson à l'amande"/>
        <s v="47508-Boisson végétale-Boisson à l'amande"/>
        <s v="89514-Boisson végétale-Boisson à l'amande"/>
        <s v="117918-Boisson végétale-Boisson à l'amande"/>
        <s v="16645-Boisson végétale-Boisson à l'amande"/>
        <s v="148740-Boisson végétale-Boisson à l'amande"/>
        <s v="100688-Boisson végétale-Boisson à l'amande"/>
        <s v="148741-Boisson végétale-Boisson à l'amande"/>
        <s v="109299-Boisson végétale-Boisson à l'amande"/>
        <s v="196109-Boisson végétale-Boisson à l'amande"/>
        <s v="72155-Boisson végétale-Boisson à l'amande"/>
        <s v="80245-Boisson végétale-Boisson à l'amande"/>
        <s v="6215-Boisson végétale-Boisson à l'amande"/>
        <s v="45810-Boisson végétale-Boisson à l'amande"/>
        <s v="80205-Boisson végétale-Boisson à l'amande"/>
        <s v="107064-Boisson végétale-Boisson à l'amande"/>
        <s v="6211-Boisson végétale-Boisson à l'amande"/>
        <s v="44036-Boisson végétale-Boisson à l'amande"/>
        <s v="181493-Boisson végétale-Boisson à l'amande"/>
        <s v="6210-Boisson végétale-Boisson à l'amande"/>
        <s v="110431-Boisson végétale-Boisson à l'avoine"/>
        <s v="122878-Boisson végétale-Boisson à l'avoine"/>
        <s v="14092-Boisson végétale-Boisson à l'avoine"/>
        <s v="121621-Boisson végétale-Boisson à l'avoine"/>
        <s v="120511-Boisson végétale-Boisson à l'avoine"/>
        <s v="46132-Boisson végétale-Boisson à l'avoine"/>
        <s v="83014-Boisson végétale-Boisson à l'avoine"/>
        <s v="80199-Boisson végétale-Boisson à l'avoine"/>
        <s v="80201-Boisson végétale-Boisson à l'avoine"/>
        <s v="46131-Boisson végétale-Boisson à l'avoine"/>
        <s v="102346-Boisson végétale-Boisson à l'avoine"/>
        <s v="14094-Boisson végétale-Boisson à l'avoine"/>
        <s v="100679-Boisson végétale-Boisson à l'avoine"/>
        <s v="102345-Boisson végétale-Boisson à l'avoine"/>
        <s v="121695-Boisson végétale-Boisson à l'avoine"/>
        <s v="6204-Boisson végétale-Boisson aux noisettes"/>
        <s v="16571-Boisson végétale-Boisson aux noisettes"/>
        <s v="181494-Boisson végétale-Boisson aux noisettes"/>
        <s v="80315-Boisson végétale-Boisson aux noisettes"/>
        <s v="83054-Boisson végétale-Boisson à l'épeautre"/>
        <s v="83056-Boisson végétale-Boisson à l'épeautre"/>
        <s v="83055-Boisson végétale-Boisson à l'épeautre"/>
        <s v="46134-Boisson végétale-Boisson à l'épeautre"/>
        <s v="121693-Boisson végétale-Boisson à l'épeautre"/>
        <s v="102344-Boisson végétale-Autre boisson végétale"/>
        <s v="100687-Boisson végétale-Autre boisson végétale"/>
        <s v="70327-Boisson végétale-Autre boisson végétale"/>
        <s v="80191-Boisson végétale-Autre boisson végétale"/>
        <s v="103037-Boisson végétale-Autre boisson végétale"/>
        <s v="6205-Boisson végétale-Boisson à la châtaigne"/>
        <s v="70387-Boisson végétale-Boisson à la châtaigne"/>
        <s v="122278-Compote et dessert-Dessert et glace"/>
        <s v="29365-Compote et dessert-Dessert et glace"/>
        <s v="17769-Compote et dessert-Dessert et glace"/>
        <s v="23144-Compote et dessert-Dessert et glace"/>
        <s v="120115-Compote et dessert-Dessert et glace"/>
        <s v="29384-Compote et dessert-Dessert et glace"/>
        <s v="17746-Compote et dessert-Dessert et glace"/>
        <s v="121630-Compote et dessert-Dessert et glace"/>
        <s v="29385-Compote et dessert-Dessert et glace"/>
        <s v="17767-Compote et dessert-Dessert et glace"/>
        <s v="103047-Compote et dessert-Dessert et glace"/>
        <s v="70209-Compote et dessert-Dessert et glace"/>
        <s v="29372-Compote et dessert-Dessert et glace"/>
        <s v="120485-Compote et dessert-Dessert et glace"/>
        <s v="120486-Compote et dessert-Dessert et glace"/>
        <s v="70293-Compote et dessert-Compote et purée de fruit"/>
        <s v="71772-Compote et dessert-Compote et purée de fruit"/>
        <s v="86111-Compote et dessert-Compote et purée de fruit"/>
        <s v="71840-Compote et dessert-Compote et purée de fruit"/>
        <s v="28533-Compote et dessert-Compote et purée de fruit"/>
        <s v="86994-Compote et dessert-Compote et purée de fruit"/>
        <s v="124881-Compote et dessert-Compote et purée de fruit"/>
        <s v="119280-Compote et dessert-Compote et purée de fruit"/>
        <s v="87001-Compote et dessert-Compote et purée de fruit"/>
        <s v="71839-Compote et dessert-Compote et purée de fruit"/>
        <s v="119288-Compote et dessert-Compote et purée de fruit"/>
        <s v="71770-Compote et dessert-Compote et purée de fruit"/>
        <s v="28536-Compote et dessert-Compote et purée de fruit"/>
        <s v="90007-Compote et dessert-Compote et purée de fruit"/>
        <s v="71830-Compote et dessert-Compote et purée de fruit"/>
        <s v="71837-Compote et dessert-Compote et purée de fruit"/>
        <s v="83640-Compote et dessert-Compote et purée de fruit"/>
        <s v="111191-Compote et dessert-Compote et purée de fruit"/>
        <s v="70442-Compote et dessert-Compote et purée de fruit"/>
        <s v="122228-Compote et dessert-Compote et purée de fruit"/>
        <s v="46822-Compote et dessert-Compote et purée de fruit"/>
        <s v="71769-Compote et dessert-Compote et purée de fruit"/>
        <s v="9302-Compote et dessert-Compote et purée de fruit"/>
        <s v="90006-Compote et dessert-Compote et purée de fruit"/>
        <s v="80673-Compote et dessert-Compote et purée de fruit"/>
        <s v="71834-Compote et dessert-Compote et purée de fruit"/>
        <s v="107310-Compote et dessert-Compote et purée de fruit"/>
        <s v="71843-Compote et dessert-Compote et purée de fruit"/>
        <s v="107358-Compote et dessert-Compote et purée de fruit"/>
        <s v="44842-Compote et dessert-Compote et purée de fruit"/>
        <s v="111181-Compote et dessert-Compote et purée de fruit"/>
        <s v="71773-Compote et dessert-Compote et purée de fruit"/>
        <s v="71836-Compote et dessert-Compote et purée de fruit"/>
        <s v="70276-Compote et dessert-Compote et purée de fruit"/>
        <s v="71775-Compote et dessert-Compote et purée de fruit"/>
        <s v="44844-Compote et dessert-Compote et purée de fruit"/>
        <s v="156181-Compote et dessert-Compote et purée de fruit"/>
        <s v="102898-Compote et dessert-Compote et purée de fruit"/>
        <s v="47600-Compote et dessert-Compote et purée de fruit"/>
        <s v="111173-Compote et dessert-Compote et purée de fruit"/>
        <s v="70201-Compote et dessert-Compote et purée de fruit"/>
        <s v="71842-Compote et dessert-Compote et purée de fruit"/>
        <s v="47601-Compote et dessert-Compote et purée de fruit"/>
        <s v="87000-Compote et dessert-Compote et purée de fruit"/>
        <s v="103457-Compote et dessert-Compote et purée de fruit"/>
        <s v="42198-Compote et dessert-Compote et purée de fruit"/>
        <s v="46823-Compote et dessert-Compote et purée de fruit"/>
        <s v="116196-Compote et dessert-Compote et purée de fruit"/>
        <s v="111177-Compote et dessert-Compote et purée de fruit"/>
        <s v="70292-Compote et dessert-Compote et purée de fruit"/>
        <s v="90008-Compote et dessert-Compote et purée de fruit"/>
        <s v="71768-Compote et dessert-Compote et purée de fruit"/>
        <s v="86972-Compote et dessert-Compote et purée de fruit"/>
        <s v="111179-Compote et dessert-Compote et purée de fruit"/>
        <s v="81726-Compote et dessert-Compote et purée de fruit"/>
        <s v="28535-Compote et dessert-Compote et purée de fruit"/>
        <s v="80682-Compote et dessert-Compote et purée de fruit"/>
        <s v="144008-Compote et dessert-Compote et purée de fruit"/>
        <s v="111129-Compote et dessert-Compote et purée de fruit"/>
        <s v="107307-Compote et dessert-Compote et purée de fruit"/>
        <s v="70206-Compote et dessert-Compote et purée de fruit"/>
        <s v="107349-Compote et dessert-Compote et purée de fruit"/>
        <s v="122231-Compote et dessert-Compote et purée de fruit"/>
        <s v="103458-Compote et dessert-Compote et purée de fruit"/>
        <s v="71838-Compote et dessert-Compote et purée de fruit"/>
        <s v="104671-Compote et dessert-Compote et purée de fruit"/>
        <s v="83793-Compote et dessert-Compote et purée de fruit"/>
        <s v="50478-Compote et dessert-Compote et purée de fruit"/>
        <s v="118891-Compote et dessert-Compote et purée de fruit"/>
        <s v="70440-Compote et dessert-Compote et purée de fruit"/>
        <s v="44840-Compote et dessert-Compote et purée de fruit"/>
        <s v="107304-Compote et dessert-Compote et purée de fruit"/>
        <s v="116195-Compote et dessert-Compote et purée de fruit"/>
        <s v="86980-Compote et dessert-Compote et purée de fruit"/>
        <s v="122230-Compote et dessert-Compote et purée de fruit"/>
        <s v="47602-Compote et dessert-Compote et purée de fruit"/>
        <s v="42190-Compote et dessert-Compote et purée de fruit"/>
        <s v="111130-Compote et dessert-Compote et purée de fruit"/>
        <s v="71774-Compote et dessert-Compote et purée de fruit"/>
        <s v="75010-Compote et dessert-Compote et purée de fruit"/>
        <s v="119276-Compote et dessert-Compote et purée de fruit"/>
        <s v="83789-Compote et dessert-Compote et purée de fruit"/>
        <s v="86999-Compote et dessert-Compote et purée de fruit"/>
        <s v="80678-Compote et dessert-Compote et purée de fruit"/>
        <s v="86973-Compote et dessert-Compote et purée de fruit"/>
        <s v="81724-Compote et dessert-Compote et purée de fruit"/>
        <s v="104678-Compote et dessert-Compote et purée de fruit"/>
        <s v="71844-Compote et dessert-Compote et purée de fruit"/>
        <s v="42287-Lait infantile bio-Lait de croissance bio"/>
        <s v="116678-Lait infantile bio-Lait de croissance bio"/>
        <s v="116845-Lait infantile bio-Lait de croissance bio"/>
        <s v="114252-Lait infantile bio-Lait de croissance bio"/>
        <s v="117595-Lait infantile bio-Lait de croissance bio"/>
        <s v="109579-Lait infantile bio-Lait de croissance bio"/>
        <s v="117597-Lait infantile bio-Lait de croissance bio"/>
        <s v="14401-Lait infantile bio-Lait de croissance bio"/>
        <s v="109290-Lait infantile bio-Lait de croissance bio"/>
        <s v="117665-Lait infantile bio-Lait de croissance bio"/>
        <s v="117681-Lait infantile bio-Lait de croissance bio"/>
        <s v="119406-Lait infantile bio-Lait de croissance bio"/>
        <s v="117676-Lait infantile bio-Lait infantile bio 1er âge"/>
        <s v="109571-Lait infantile bio-Lait infantile bio 1er âge"/>
        <s v="116676-Lait infantile bio-Lait infantile bio 1er âge"/>
        <s v="116816-Lait infantile bio-Lait infantile bio 1er âge"/>
        <s v="117663-Lait infantile bio-Lait infantile bio 1er âge"/>
        <s v="117652-Lait infantile bio-Lait infantile bio 1er âge"/>
        <s v="109289-Lait infantile bio-Lait infantile bio 2ème âge"/>
        <s v="117656-Lait infantile bio-Lait infantile bio 2ème âge"/>
        <s v="117677-Lait infantile bio-Lait infantile bio 2ème âge"/>
        <s v="116677-Lait infantile bio-Lait infantile bio 2ème âge"/>
        <s v="117256-Lait infantile bio-Lait infantile bio 2ème âge"/>
        <s v="122738-Lait infantile bio-Lait infantile bio 2ème âge"/>
        <s v="116679-Lait infantile bio-Lait infantile bio 2ème âge"/>
        <s v="116831-Lait infantile bio-Lait infantile bio 2ème âge"/>
        <s v="109577-Lait infantile bio-Lait infantile bio 2ème âge"/>
        <s v="77790-Matériel médical-Lavement, irrigation du colon"/>
        <s v="101172-Sport et Nutrition-Energie et endurance"/>
        <s v="87023-Sport et Nutrition-Protéines et barres protéinées"/>
        <s v="101520-Sport et Nutrition-Protéines et barres protéinées"/>
        <s v="118362-Sport et Nutrition-Protéines et barres protéinées"/>
        <s v="87313-Sport et Nutrition-Protéines et barres protéinées"/>
        <s v="111015-Sport et Nutrition-Protéines et barres protéinées"/>
        <s v="87312-Sport et Nutrition-Protéines et barres protéinées"/>
        <s v="87025-Sport et Nutrition-Protéines et barres protéinées"/>
        <s v="111587-Sport et Nutrition-Protéines et barres protéinées"/>
        <s v="114934-Boissons bio bébé-Tisanes bébé bio"/>
        <s v="116519-Boissons bio bébé-Boissons bébé lactées"/>
        <s v="116516-Boissons bio bébé-Boissons bébé lactées"/>
        <s v="104931-Jouets écologiques-Puzzles"/>
        <s v="105656-Jouets écologiques-Puzzles"/>
        <s v="117702-Jouets écologiques-Draisiennes"/>
        <s v="88385-Jouets écologiques-Draisiennes"/>
        <s v="76451-Jouets écologiques-Jeux Educatifs"/>
        <s v="199950-Jouets écologiques-Jeux Educatifs"/>
        <s v="121167-Jouets écologiques-Jeux Educatifs"/>
        <s v="199954-Jouets écologiques-Jeux Educatifs"/>
        <s v="190713-Jouets écologiques-Jeux Educatifs"/>
        <s v="199951-Jouets écologiques-Jeux Educatifs"/>
        <s v="85263-Jouets écologiques-Jeux Educatifs"/>
        <s v="180016-Jouets écologiques-Jouets musicaux"/>
        <s v="129432-Jouets écologiques-Jouets musicaux"/>
        <s v="120052-Jouets écologiques-Jouets musicaux"/>
        <s v="111876-Jouets écologiques-Jeux d'imitation"/>
        <s v="85092-Jouets écologiques-Jeux de société"/>
        <s v="121046-Jouets écologiques-Jeux de société"/>
        <s v="849-Jouets écologiques-Jeux de société"/>
        <s v="21662-Jouets écologiques-Jeux de société"/>
        <s v="127038-Jouets écologiques-Jeux de société"/>
        <s v="91954-Jouets écologiques-Jeux de société"/>
        <s v="96365-Jouets écologiques-Eveil &amp; Découverte"/>
        <s v="121172-Jouets écologiques-Eveil &amp; Découverte"/>
        <s v="74331-Jouets écologiques-Eveil &amp; Découverte"/>
        <s v="105657-Jouets écologiques-Eveil &amp; Découverte"/>
        <s v="113716-Jouets écologiques-Eveil &amp; Découverte"/>
        <s v="104510-Jouets écologiques-Eveil &amp; Découverte"/>
        <s v="105059-Jouets écologiques-Eveil &amp; Découverte"/>
        <s v="63608-Jouets écologiques-Eveil &amp; Découverte"/>
        <s v="121095-Jouets écologiques-Eveil &amp; Découverte"/>
        <s v="76450-Jouets écologiques-Eveil &amp; Découverte"/>
        <s v="121012-Jouets écologiques-Eveil &amp; Découverte"/>
        <s v="113187-Jouets écologiques-Eveil &amp; Découverte"/>
        <s v="101946-Jouets écologiques-Bascules &amp; Roulettes"/>
        <s v="117275-Jouets écologiques-Bascules &amp; Roulettes"/>
        <s v="117695-Jouets écologiques-Bascules &amp; Roulettes"/>
        <s v="74398-Jouets écologiques-Jeux de construction"/>
        <s v="105230-Jouets écologiques-Jeux de construction"/>
        <s v="112776-Jouets écologiques-Jeux de construction"/>
        <s v="23968-Jouets écologiques-Jeux de construction"/>
        <s v="127025-Jouets écologiques-Jeux de construction"/>
        <s v="118956-Jouets écologiques-Déguisement et Maquillage"/>
        <s v="118947-Jouets écologiques-Déguisement et Maquillage"/>
        <s v="95873-Jouets écologiques-Déguisement et Maquillage"/>
        <s v="118946-Jouets écologiques-Déguisement et Maquillage"/>
        <s v="44991-Jouets écologiques-Déguisement et Maquillage"/>
        <s v="122398-Jouets écologiques-Déguisement et Maquillage"/>
        <s v="108638-Jouets écologiques-Déguisement et Maquillage"/>
        <s v="113633-Jouets écologiques-Livres enfants et conteuses"/>
        <s v="113649-Jouets écologiques-Livres enfants et conteuses"/>
        <s v="113619-Jouets écologiques-Livres enfants et conteuses"/>
        <s v="113648-Jouets écologiques-Livres enfants et conteuses"/>
        <s v="120889-Jouets écologiques-Livres enfants et conteuses"/>
        <s v="113620-Jouets écologiques-Livres enfants et conteuses"/>
        <s v="113626-Jouets écologiques-Livres enfants et conteuses"/>
        <s v="113657-Jouets écologiques-Livres enfants et conteuses"/>
        <s v="113645-Jouets écologiques-Livres enfants et conteuses"/>
        <s v="18247-Jouets écologiques-Casques &amp; accessoires Vélos"/>
        <s v="121249-Jouets écologiques-Garages, circuits &amp; véhicules"/>
        <s v="104912-Jouets écologiques-Garages, circuits &amp; véhicules"/>
        <s v="73222-Boisson instantanée-Poudre de caroube"/>
        <s v="78834-Boisson instantanée-Poudre de caroube"/>
        <s v="15109-Boisson instantanée-Chocolat en poudre"/>
        <s v="26126-Boisson instantanée-Chocolat en poudre"/>
        <s v="48724-Boisson instantanée-Chocolat en poudre"/>
        <s v="98888-Boisson instantanée-Chocolat en poudre"/>
        <s v="48605-Boisson instantanée-Chocolat en poudre"/>
        <s v="119243-Boisson instantanée-Chocolat en poudre"/>
        <s v="22045-Boisson instantanée-Chocolat en poudre"/>
        <s v="73221-Boisson instantanée-Chocolat en poudre"/>
        <s v="72168-Boisson instantanée-Chocolat en poudre"/>
        <s v="127039-Boisson instantanée-Chocolat en poudre"/>
        <s v="155861-Boisson instantanée-Préparation instantanée à boire"/>
        <s v="6213-Boisson instantanée-Préparation instantanée à boire"/>
        <s v="6476-Bouillies bio bébé-Bouillies bio bébé 4 mois"/>
        <s v="114933-Bouillies bio bébé-Bouillies bio bébé 4 mois"/>
        <s v="6473-Bouillies bio bébé-Bouillies bio bébé 4 mois"/>
        <s v="99248-Bouillies bio bébé-Bouillies bio bébé 4 mois"/>
        <s v="6477-Bouillies bio bébé-Bouillies bio bébé 4 mois"/>
        <s v="6478-Bouillies bio bébé-Bouillies bio bébé 6 mois"/>
        <s v="6474-Bouillies bio bébé-Bouillies bio bébé 6 mois"/>
        <s v="70574-Bouillies bio bébé-Bouillies bio bébé 6 mois"/>
        <s v="101302-Couches écologiques-Couches jetables 2-6 kg"/>
        <s v="104475-Couches écologiques-Couches jetables 2-6 kg"/>
        <s v="101296-Couches écologiques-Couches jetables 2-6 kg"/>
        <s v="122029-Couches écologiques-Couches jetables 2-6 kg"/>
        <s v="102549-Couches écologiques-Couches jetables 2-6 kg"/>
        <s v="122026-Couches écologiques-Couches jetables 2-6 kg"/>
        <s v="101303-Couches écologiques-Couches jetables 2-6 kg"/>
        <s v="102548-Couches écologiques-Couches jetables 2-6 kg"/>
        <s v="122027-Couches écologiques-Couches jetables 2-6 kg"/>
        <s v="46963-Couches écologiques-Couches jetables 2-6 kg"/>
        <s v="102268-Couches écologiques-Couches jetables 2-6 kg"/>
        <s v="26649-Couches écologiques-Couches jetables 2-6 kg"/>
        <s v="102275-Couches écologiques-Couches jetables 4-9 kg"/>
        <s v="43943-Couches écologiques-Couches jetables 4-9 kg"/>
        <s v="102550-Couches écologiques-Couches jetables 4-9 kg"/>
        <s v="26650-Couches écologiques-Couches jetables 4-9 kg"/>
        <s v="117728-Couches écologiques-Couches jetables 4-9 kg"/>
        <s v="103588-Couches écologiques-Couches jetables 4-9 kg"/>
        <s v="101297-Couches écologiques-Couches jetables 4-9 kg"/>
        <s v="101298-Couches écologiques-Couches jetables 7-18 kg"/>
        <s v="113129-Couches écologiques-Couches jetables 7-18 kg"/>
        <s v="102551-Couches écologiques-Couches jetables 7-18 kg"/>
        <s v="117735-Couches écologiques-Couches jetables 7-18 kg"/>
        <s v="101299-Couches écologiques-Couches jetables 7-18 kg"/>
        <s v="103590-Couches écologiques-Couches jetables 7-18 kg"/>
        <s v="43944-Couches écologiques-Couches jetables 7-18 kg"/>
        <s v="113128-Couches écologiques-Couches jetables 7-18 kg"/>
        <s v="102553-Couches écologiques-Couches jetables 7-18 kg"/>
        <s v="114230-Couches écologiques-Couches jetables 7-18 kg"/>
        <s v="122028-Couches écologiques-Couches jetables 7-18 kg"/>
        <s v="102269-Couches écologiques-Couches jetables 7-18 kg"/>
        <s v="26651-Couches écologiques-Couches jetables 7-18 kg"/>
        <s v="101316-Couches écologiques-Couches jetables 7-18 kg"/>
        <s v="117742-Couches écologiques-Couches jetables 7-18 kg"/>
        <s v="101315-Couches écologiques-Couches jetables 7-18 kg"/>
        <s v="43945-Couches écologiques-Couches jetables 7-18 kg"/>
        <s v="103589-Couches écologiques-Couches jetables 7-18 kg"/>
        <s v="88896-Couches écologiques-Couches lavables 8-20 kg"/>
        <s v="103595-Couches écologiques-Couches jetables 11-30 kg"/>
        <s v="101300-Couches écologiques-Couches jetables 11-30 kg"/>
        <s v="113130-Couches écologiques-Couches jetables 11-30 kg"/>
        <s v="102272-Couches écologiques-Couches jetables 11-30 kg"/>
        <s v="43947-Couches écologiques-Couches jetables 11-30 kg"/>
        <s v="102271-Couches écologiques-Couches jetables 11-30 kg"/>
        <s v="103592-Couches écologiques-Couches jetables 11-30 kg"/>
        <s v="26652-Couches écologiques-Couches jetables 11-30 kg"/>
        <s v="43946-Couches écologiques-Couches jetables 11-30 kg"/>
        <s v="101301-Couches écologiques-Couches jetables 11-30 kg"/>
        <s v="108458-Couches écologiques-Couches jetables 11-30 kg"/>
        <s v="117736-Couches écologiques-Couches jetables 11-30 kg"/>
        <s v="49606-Couches écologiques-Accessoires pour le change"/>
        <s v="106297-Couches écologiques-Accessoires pour le change"/>
        <s v="15556-Couches écologiques-Accessoires pour le change"/>
        <s v="49605-Couches écologiques-Accessoires pour le change"/>
        <s v="102312-Couches écologiques-Couches de piscine jetables"/>
        <s v="121125-Couches écologiques-Culottes de protection 8-20 kg"/>
        <s v="106401-Couches écologiques-Culottes de protection 8-20 kg"/>
        <s v="116834-Couches écologiques-Inserts &amp; Voiles de Protection"/>
        <s v="1953-Couches écologiques-Inserts &amp; Voiles de Protection"/>
        <s v="106305-Couches écologiques-Inserts &amp; Voiles de Protection"/>
        <s v="108278-Couches écologiques-Inserts &amp; Voiles de Protection"/>
        <s v="47660-Couches écologiques-Inserts &amp; Voiles de Protection"/>
        <s v="47657-Couches écologiques-Inserts &amp; Voiles de Protection"/>
        <s v="64185-Couches écologiques-Culottes d'apprentissage 11-18kg"/>
        <s v="108256-Couches écologiques-Culottes d'apprentissage 11-18kg"/>
        <s v="62597-Couches écologiques-Culottes d'apprentissage 11-18kg"/>
        <s v="102304-Couches écologiques-Culottes d'apprentissage 11-18kg"/>
        <s v="118242-Couches écologiques-Culottes d'apprentissage 11-18kg"/>
        <s v="121743-Couches écologiques-Culottes d'apprentissage 11-18kg"/>
        <s v="108257-Couches écologiques-Culottes d'apprentissage 11-18kg"/>
        <s v="117756-Couches écologiques-Culottes d'apprentissage 11-18kg"/>
        <s v="110334-Couches écologiques-Culottes d'apprentissage 11-18kg"/>
        <s v="102307-Couches écologiques-Culottes d'apprentissage 11-18kg"/>
        <s v="117750-Couches écologiques-Culottes d'apprentissage 11-18kg"/>
        <s v="181976-Couches écologiques-Culottes d'apprentissage 11-18kg"/>
        <s v="108258-Couches écologiques-Culottes d'apprentissage 13-25kg"/>
        <s v="110241-Couches écologiques-Culottes d'apprentissage 13-25kg"/>
        <s v="110337-Couches écologiques-Culottes d'apprentissage 13-25kg"/>
        <s v="118243-Couches écologiques-Culottes d'apprentissage 13-25kg"/>
        <s v="102305-Couches écologiques-Culottes d'apprentissage 13-25kg"/>
        <s v="110342-Couches écologiques-Culottes d'apprentissage 13-25kg"/>
        <s v="102306-Couches écologiques-Culottes d'apprentissage 13-25kg"/>
        <s v="194045-Farine, son, fécule-Chapelure"/>
        <s v="96009-Farine, son, fécule-Chapelure"/>
        <s v="104087-Farine, son, fécule-Son de blé"/>
        <s v="77448-Farine, son, fécule-Son de blé"/>
        <s v="5801-Farine, son, fécule-Son de blé"/>
        <s v="90650-Farine, son, fécule-Son d'avoine"/>
        <s v="6395-Farine, son, fécule-Son d'avoine"/>
        <s v="77444-Farine, son, fécule-Son d'avoine"/>
        <s v="20389-Farine, son, fécule-Son d'avoine"/>
        <s v="68293-Farine, son, fécule-Son d'avoine"/>
        <s v="90982-Farine, son, fécule-Son d'avoine"/>
        <s v="48279-Farine, son, fécule-Son d'avoine"/>
        <s v="77447-Farine, son, fécule-Son d'avoine"/>
        <s v="5710-Farine, son, fécule-Farine de blé"/>
        <s v="90906-Farine, son, fécule-Farine de blé"/>
        <s v="90883-Farine, son, fécule-Farine de blé"/>
        <s v="113093-Farine, son, fécule-Farine de blé"/>
        <s v="73926-Farine, son, fécule-Farine de blé"/>
        <s v="110083-Farine, son, fécule-Farine de blé"/>
        <s v="76313-Farine, son, fécule-Farine de blé"/>
        <s v="68404-Farine, son, fécule-Farine de blé"/>
        <s v="68322-Farine, son, fécule-Farine de blé"/>
        <s v="73947-Farine, son, fécule-Farine de blé"/>
        <s v="29116-Farine, son, fécule-Farine de blé"/>
        <s v="90846-Farine, son, fécule-Farine de blé"/>
        <s v="110084-Farine, son, fécule-Farine de blé"/>
        <s v="73925-Farine, son, fécule-Farine de blé"/>
        <s v="68296-Farine, son, fécule-Farine de blé"/>
        <s v="90873-Farine, son, fécule-Farine de blé"/>
        <s v="90874-Farine, son, fécule-Farine de blé"/>
        <s v="90842-Farine, son, fécule-Farine de blé"/>
        <s v="5709-Farine, son, fécule-Farine de blé"/>
        <s v="76341-Farine, son, fécule-Farine de blé"/>
        <s v="113094-Farine, son, fécule-Farine de blé"/>
        <s v="76301-Farine, son, fécule-Farine de blé"/>
        <s v="90844-Farine, son, fécule-Farine de blé"/>
        <s v="90848-Farine, son, fécule-Farine de blé"/>
        <s v="76318-Farine, son, fécule-Farine de blé"/>
        <s v="118885-Farine, son, fécule-Farine de fruits"/>
        <s v="76349-Farine, son, fécule-Farine de fruits"/>
        <s v="30878-Farine, son, fécule-Farine de fruits"/>
        <s v="104176-Farine, son, fécule-Farine de fruits"/>
        <s v="78516-Farine, son, fécule-Farine de fruits"/>
        <s v="118884-Farine, son, fécule-Farine de fruits"/>
        <s v="119239-Farine, son, fécule-Farine de fruits"/>
        <s v="30875-Farine, son, fécule-Farine de fruits"/>
        <s v="73946-Farine, son, fécule-Farine de fruits"/>
        <s v="90690-Farine, son, fécule-Farine précuite"/>
        <s v="101380-Farine, son, fécule-Farine précuite"/>
        <s v="5804-Farine, son, fécule-Fécule, tapioca"/>
        <s v="82372-Farine, son, fécule-Fécule, tapioca"/>
        <s v="90643-Farine, son, fécule-Fécule, tapioca"/>
        <s v="68412-Farine, son, fécule-Fécule, tapioca"/>
        <s v="82393-Farine, son, fécule-Fécule, tapioca"/>
        <s v="5803-Farine, son, fécule-Fécule, tapioca"/>
        <s v="121706-Farine, son, fécule-Fécule, tapioca"/>
        <s v="68374-Farine, son, fécule-Fécule, tapioca"/>
        <s v="90946-Farine, son, fécule-Fécule, tapioca"/>
        <s v="69312-Farine, son, fécule-Fécule, tapioca"/>
        <s v="87128-Farine, son, fécule-Fécule, tapioca"/>
        <s v="149506-Farine, son, fécule-Farine de graines"/>
        <s v="5722-Farine, son, fécule-Farine de céréales"/>
        <s v="5697-Farine, son, fécule-Farine de céréales"/>
        <s v="29117-Farine, son, fécule-Farine de céréales"/>
        <s v="68305-Farine, son, fécule-Farine de céréales"/>
        <s v="5714-Farine, son, fécule-Farine de céréales"/>
        <s v="73951-Farine, son, fécule-Farine de céréales"/>
        <s v="68337-Farine, son, fécule-Farine de céréales"/>
        <s v="76338-Farine, son, fécule-Farine de céréales"/>
        <s v="202592-Farine, son, fécule-Farine de céréales"/>
        <s v="69578-Farine, son, fécule-Farine de céréales"/>
        <s v="76383-Farine, son, fécule-Farine de céréales"/>
        <s v="5696-Farine, son, fécule-Farine de céréales"/>
        <s v="90929-Farine, son, fécule-Farine de céréales"/>
        <s v="90926-Farine, son, fécule-Farine de céréales"/>
        <s v="76364-Farine, son, fécule-Farine de céréales"/>
        <s v="79152-Farine, son, fécule-Farine de céréales"/>
        <s v="30874-Farine, son, fécule-Farine de céréales"/>
        <s v="5718-Farine, son, fécule-Farine de céréales"/>
        <s v="126542-Farine, son, fécule-Farine de céréales"/>
        <s v="90852-Farine, son, fécule-Farine de céréales"/>
        <s v="122139-Farine, son, fécule-Farine de céréales"/>
        <s v="126975-Farine, son, fécule-Farine de céréales"/>
        <s v="202593-Farine, son, fécule-Farine de céréales"/>
        <s v="73940-Farine, son, fécule-Farine de céréales"/>
        <s v="76360-Farine, son, fécule-Farine de céréales"/>
        <s v="118876-Farine, son, fécule-Farine de céréales"/>
        <s v="76366-Farine, son, fécule-Farine de céréales"/>
        <s v="122645-Farine, son, fécule-Farine de céréales"/>
        <s v="76372-Farine, son, fécule-Farine de céréales"/>
        <s v="5720-Farine, son, fécule-Farine de céréales"/>
        <s v="5695-Farine, son, fécule-Farine de céréales"/>
        <s v="90931-Farine, son, fécule-Farine de céréales"/>
        <s v="110085-Farine, son, fécule-Farine de céréales"/>
        <s v="113096-Farine, son, fécule-Farine de céréales"/>
        <s v="90878-Farine, son, fécule-Farine de céréales"/>
        <s v="73938-Farine, son, fécule-Farine de céréales"/>
        <s v="5698-Farine, son, fécule-Farine de céréales"/>
        <s v="76373-Farine, son, fécule-Farine de céréales"/>
        <s v="73945-Farine, son, fécule-Farine de céréales"/>
        <s v="159200-Farine, son, fécule-Farine de céréales"/>
        <s v="68354-Farine, son, fécule-Farine de céréales"/>
        <s v="5712-Farine, son, fécule-Farine de céréales"/>
        <s v="114471-Farine, son, fécule-Farine de céréales"/>
        <s v="90934-Farine, son, fécule-Farine de céréales"/>
        <s v="87851-Farine, son, fécule-Farine de céréales"/>
        <s v="90891-Farine, son, fécule-Farine de céréales"/>
        <s v="69579-Farine, son, fécule-Farine de céréales"/>
        <s v="90924-Farine, son, fécule-Farine de céréales"/>
        <s v="69311-Farine, son, fécule-Farine de céréales"/>
        <s v="90923-Farine, son, fécule-Farine de légumineuses"/>
        <s v="159197-Farine, son, fécule-Farine de légumineuses"/>
        <s v="88268-Farine, son, fécule-Farine de légumineuses"/>
        <s v="90913-Farine, son, fécule-Farine de légumineuses"/>
        <s v="76365-Farine, son, fécule-Farine de légumineuses"/>
        <s v="9205-Farine, son, fécule-Farine de légumineuses"/>
        <s v="76363-Farine, son, fécule-Farine de légumineuses"/>
        <s v="121967-Farine, son, fécule-Farine de légumineuses"/>
        <s v="90935-Farine, son, fécule-Farine de légumineuses"/>
        <s v="87126-Farine, son, fécule-Farine de légumineuses"/>
        <s v="90928-Farine, son, fécule-Farine de légumineuses"/>
        <s v="90912-Farine, son, fécule-Farine de légumineuses"/>
        <s v="48508-Farine, son, fécule-Farine de légumineuses"/>
        <s v="90853-Farine, son, fécule-Farine de légumineuses"/>
        <s v="117628-Farine, son, fécule-Préparations pour pain, brioche"/>
        <s v="5699-Farine, son, fécule-Préparations pour pain, brioche"/>
        <s v="5735-Farine, son, fécule-Préparations pour pain, brioche"/>
        <s v="109832-Farine, son, fécule-Préparations pour pain, brioche"/>
        <s v="122675-Farine, son, fécule-Préparations pour pain, brioche"/>
        <s v="87225-Farine, son, fécule-Préparations pour pain, brioche"/>
        <s v="82373-Farine, son, fécule-Préparations pour pain, brioche"/>
        <s v="77254-Farine, son, fécule-Préparations pour pain, brioche"/>
        <s v="5742-Farine, son, fécule-Préparations pour pain, brioche"/>
        <s v="117622-Farine, son, fécule-Préparations pour pain, brioche"/>
        <s v="77255-Farine, son, fécule-Préparations pour pain, brioche"/>
        <s v="101964-Farine, son, fécule-Préparations pour pain, brioche"/>
        <s v="48491-Farine, son, fécule-Préparations pour pain, brioche"/>
        <s v="82368-Farine, son, fécule-Préparations pour pain, brioche"/>
        <s v="82367-Farine, son, fécule-Préparations pour pain, brioche"/>
        <s v="118426-Farine, son, fécule-Préparations pour pain, brioche"/>
        <s v="5068-Graines à semer Bio-Fleurs Bio"/>
        <s v="84660-Graines à semer Bio-Fleurs Bio"/>
        <s v="5070-Graines à semer Bio-Fleurs Bio"/>
        <s v="84681-Graines à semer Bio-Légumes racines Bio"/>
        <s v="102596-Graines à semer Bio-Légumes racines Bio"/>
        <s v="5037-Graines à semer Bio-Herbes et aromates Bio"/>
        <s v="5052-Graines à semer Bio-Herbes et aromates Bio"/>
        <s v="5051-Graines à semer Bio-Herbes et aromates Bio"/>
        <s v="102647-Graines à semer Bio-Légumes fruits, tomates Bio"/>
        <s v="5061-Graines à semer Bio-Légumes fruits, tomates Bio"/>
        <s v="102649-Graines à semer Bio-Légumes fruits, tomates Bio"/>
        <s v="102662-Graines à semer Bio-Légumes grains, gousses Bio"/>
        <s v="108337-Graines à semer Bio-Légumes feuilles, salades Bio"/>
        <s v="188352-Produits de la ruche-"/>
        <s v="11459-Produits de la ruche-"/>
        <s v="11443-Produits de la ruche-Pollen"/>
        <s v="70560-Produits de la ruche-Pollen"/>
        <s v="110363-Produits de la ruche-Gelée royale"/>
        <s v="11449-Produits de la ruche-Gelée royale"/>
        <s v="119793-Produits de la ruche-Gelée royale"/>
        <s v="41107-Produits de la ruche-Gelée royale"/>
        <s v="78358-Produits de la ruche-Gelée royale"/>
        <s v="77048-Produits de la ruche-Gelée royale"/>
        <s v="27428-Produits de la ruche-Miel de Manuka"/>
        <s v="8530-Produits de la ruche-Miel de Manuka"/>
        <s v="14281-Produits de la ruche-Miel de Manuka"/>
        <s v="140582-Produits de la ruche-Miel de Manuka"/>
        <s v="98895-Produits de la ruche-Propolis liquide et à mâcher"/>
        <s v="77491-Sucre et édulcorant-Sucre"/>
        <s v="81704-Sucre et édulcorant-Sucre"/>
        <s v="111565-Sucre et édulcorant-Sucre"/>
        <s v="5774-Sucre et édulcorant-Sucre"/>
        <s v="112075-Sucre et édulcorant-Sucre"/>
        <s v="88469-Sucre et édulcorant-Sucre"/>
        <s v="112249-Sucre et édulcorant-Sucre"/>
        <s v="5775-Sucre et édulcorant-Sucre"/>
        <s v="77506-Sucre et édulcorant-Sucre"/>
        <s v="83646-Sucre et édulcorant-Sucre"/>
        <s v="77484-Sucre et édulcorant-Sucre"/>
        <s v="77481-Sucre et édulcorant-Sucre"/>
        <s v="17075-Sucre et édulcorant-Sucre"/>
        <s v="77492-Sucre et édulcorant-Sucre"/>
        <s v="112084-Sucre et édulcorant-Sucre"/>
        <s v="12041-Sucre et édulcorant-Sucre"/>
        <s v="83042-Sucre et édulcorant-Sucre"/>
        <s v="77490-Sucre et édulcorant-Sucre"/>
        <s v="43336-Sucre et édulcorant-Sucre"/>
        <s v="48609-Sucre et édulcorant-Sucre"/>
        <s v="117074-Sucre et édulcorant-Sucre"/>
        <s v="112085-Sucre et édulcorant-Sucre"/>
        <s v="106656-Sucre et édulcorant-Sucre"/>
        <s v="119244-Sucre et édulcorant-Édulcorant naturel"/>
        <s v="73236-Sucre et édulcorant-Édulcorant naturel"/>
        <s v="127582-Sucre et édulcorant-Édulcorant naturel"/>
        <s v="128210-Sucre et édulcorant-Édulcorant naturel"/>
        <s v="73187-Sucre et édulcorant-Édulcorant naturel"/>
        <s v="41681-Sucre et édulcorant-Édulcorant naturel"/>
        <s v="30624-Sucre et édulcorant-Édulcorant naturel"/>
        <s v="114267-Sucre et édulcorant-Édulcorant naturel"/>
        <s v="77441-Sucre et édulcorant-Édulcorant naturel"/>
        <s v="116636-Sucre et édulcorant-Édulcorant naturel"/>
        <s v="115198-Sucre et édulcorant-Édulcorant naturel"/>
        <s v="89845-Sucre et édulcorant-Édulcorant naturel"/>
        <s v="112248-Sucre et édulcorant-Édulcorant naturel"/>
        <s v="89849-Sucre et édulcorant-Édulcorant naturel"/>
        <s v="121709-Sucre et édulcorant-Édulcorant naturel"/>
        <s v="122653-Sucre et édulcorant-Édulcorant naturel"/>
        <s v="9759-Sucre et édulcorant-Édulcorant naturel"/>
        <s v="86782-Sucre et édulcorant-Édulcorant naturel"/>
        <s v="119246-Sucre et édulcorant-Édulcorant naturel"/>
        <s v="6047-Sucre et édulcorant-Édulcorant naturel"/>
        <s v="117526-Sucre et édulcorant-Édulcorant naturel"/>
        <s v="106671-Sucre et édulcorant-Édulcorant naturel"/>
        <s v="30889-Sucre et édulcorant-Édulcorant naturel"/>
        <s v="80634-Sucre et édulcorant-Édulcorant naturel"/>
        <s v="114269-Sucre et édulcorant-Édulcorant naturel"/>
        <s v="84034-Sucre et édulcorant-Édulcorant naturel"/>
        <s v="103271-Sucre et édulcorant-Édulcorant naturel"/>
        <s v="72248-Sucre et édulcorant-Édulcorant naturel"/>
        <s v="7672-Vitamines, minéraux-Fer"/>
        <s v="82844-Vitamines, minéraux-Fer"/>
        <s v="7685-Vitamines, minéraux-Fer"/>
        <s v="7673-Vitamines, minéraux-Fer"/>
        <s v="72328-Vitamines, minéraux-Vitamine D"/>
        <s v="87967-Vitamines, minéraux-Vitamine D"/>
        <s v="113193-Vitamines, minéraux-Vitamine D"/>
        <s v="82821-Vitamines, minéraux-Vitamine D"/>
        <s v="87964-Vitamines, minéraux-Vitamine D"/>
        <s v="201751-Vitamines, minéraux-Vitamine D"/>
        <s v="79057-Vitamines, minéraux-Vitamine D"/>
        <s v="41225-Vitamines, minéraux-Vitamine D"/>
        <s v="113300-Vitamines, minéraux-Vitamine D"/>
        <s v="113299-Vitamines, minéraux-Vitamine B12"/>
        <s v="105475-Vitamines, minéraux-Vitamine B12"/>
        <s v="114724-Vitamines, minéraux-Vitamine B12"/>
        <s v="113298-Vitamines, minéraux-Vitamine B12"/>
        <s v="82838-Vitamines, minéraux-Multivitamines"/>
        <s v="111960-Vitamines, minéraux-Multivitamines"/>
        <s v="108840-Vitamines, minéraux-Multivitamines"/>
        <s v="201044-Vitamines, minéraux-Multivitamines"/>
        <s v="81880-Vitamines, minéraux-Multivitamines"/>
        <s v="81873-Vitamines, minéraux-Multivitamines"/>
        <s v="117613-Vitamines, minéraux-Multivitamines"/>
        <s v="81876-Vitamines, minéraux-Multivitamines"/>
        <s v="104050-Vitamines, minéraux-Multivitamines"/>
        <s v="111934-Vitamines, minéraux-Quinton, eau de mer"/>
        <s v="29819-Vitamines, minéraux-Quinton, eau de mer"/>
        <s v="120392-Vitamines, minéraux-Quinton, eau de mer"/>
        <s v="29820-Vitamines, minéraux-Quinton, eau de mer"/>
        <s v="83755-Vitamines, minéraux-Acérola, Vitamine C"/>
        <s v="111941-Vitamines, minéraux-Acérola, Vitamine C"/>
        <s v="80858-Vitamines, minéraux-Acérola, Vitamine C"/>
        <s v="81902-Vitamines, minéraux-Acérola, Vitamine C"/>
        <s v="83754-Vitamines, minéraux-Acérola, Vitamine C"/>
        <s v="116233-Vitamines, minéraux-Acérola, Vitamine C"/>
        <s v="112192-Vitamines, minéraux-Acérola, Vitamine C"/>
        <s v="119728-Vitamines, minéraux-Acérola, Vitamine C"/>
        <s v="81901-Vitamines, minéraux-Acérola, Vitamine C"/>
        <s v="141878-Vitamines, minéraux-Acérola, Vitamine C"/>
        <s v="116236-Vitamines, minéraux-Acérola, Vitamine C"/>
        <s v="120751-Vitamines, minéraux-Acérola, Vitamine C"/>
        <s v="80756-Vitamines, minéraux-Acérola, Vitamine C"/>
        <s v="119729-Vitamines, minéraux-Acérola, Vitamine C"/>
        <s v="119028-Vitamines, minéraux-Acérola, Vitamine C"/>
        <s v="116957-Vitamines, minéraux-Magnésium, Potassium"/>
        <s v="78235-Vitamines, minéraux-Magnésium, Potassium"/>
        <s v="119803-Vitamines, minéraux-Magnésium, Potassium"/>
        <s v="7669-Vitamines, minéraux-Magnésium, Potassium"/>
        <s v="139312-Vitamines, minéraux-Magnésium, Potassium"/>
        <s v="77773-Vitamines, minéraux-Magnésium, Potassium"/>
        <s v="73442-Vitamines, minéraux-Magnésium, Potassium"/>
        <s v="3974-Vitamines, minéraux-Magnésium, Potassium"/>
        <s v="104032-Vitamines, minéraux-Oligo éléments, acides aminés"/>
        <s v="24162-Condiments, vinaigres-Moutarde"/>
        <s v="24167-Condiments, vinaigres-Moutarde"/>
        <s v="24174-Condiments, vinaigres-Moutarde"/>
        <s v="24161-Condiments, vinaigres-Moutarde"/>
        <s v="88594-Condiments, vinaigres-Moutarde"/>
        <s v="118818-Condiments, vinaigres-Moutarde"/>
        <s v="24166-Condiments, vinaigres-Moutarde"/>
        <s v="118828-Condiments, vinaigres-Moutarde"/>
        <s v="86169-Condiments, vinaigres-Moutarde"/>
        <s v="118851-Condiments, vinaigres-Moutarde"/>
        <s v="118824-Condiments, vinaigres-Moutarde"/>
        <s v="122728-Condiments, vinaigres-Moutarde"/>
        <s v="103474-Condiments, vinaigres-Ketchup et sauce BBQ"/>
        <s v="120635-Condiments, vinaigres-Ketchup et sauce BBQ"/>
        <s v="120633-Condiments, vinaigres-Ketchup et sauce BBQ"/>
        <s v="121477-Condiments, vinaigres-Ketchup et sauce BBQ"/>
        <s v="156024-Condiments, vinaigres-Ketchup et sauce BBQ"/>
        <s v="70191-Condiments, vinaigres-Ketchup et sauce BBQ"/>
        <s v="19822-Condiments, vinaigres-Ketchup et sauce BBQ"/>
        <s v="156023-Condiments, vinaigres-Ketchup et sauce BBQ"/>
        <s v="120628-Condiments, vinaigres-Ketchup et sauce BBQ"/>
        <s v="45830-Condiments, vinaigres-Mayonnaise et aïoli"/>
        <s v="86192-Condiments, vinaigres-Mayonnaise et aïoli"/>
        <s v="127372-Condiments, vinaigres-Mayonnaise et aïoli"/>
        <s v="113902-Condiments, vinaigres-Mayonnaise et aïoli"/>
        <s v="119133-Condiments, vinaigres-Mayonnaise et aïoli"/>
        <s v="114946-Condiments, vinaigres-Mayonnaise et aïoli"/>
        <s v="118832-Condiments, vinaigres-Mayonnaise et aïoli"/>
        <s v="86499-Condiments, vinaigres-Vinaigres, vinaigrettes"/>
        <s v="81790-Condiments, vinaigres-Vinaigres, vinaigrettes"/>
        <s v="45898-Condiments, vinaigres-Vinaigres, vinaigrettes"/>
        <s v="24144-Condiments, vinaigres-Vinaigres, vinaigrettes"/>
        <s v="98351-Condiments, vinaigres-Vinaigres, vinaigrettes"/>
        <s v="86481-Condiments, vinaigres-Vinaigres, vinaigrettes"/>
        <s v="115747-Condiments, vinaigres-Vinaigres, vinaigrettes"/>
        <s v="116187-Condiments, vinaigres-Vinaigres, vinaigrettes"/>
        <s v="86162-Condiments, vinaigres-Vinaigres, vinaigrettes"/>
        <s v="90654-Condiments, vinaigres-Vinaigres, vinaigrettes"/>
        <s v="71743-Condiments, vinaigres-Vinaigres, vinaigrettes"/>
        <s v="71744-Condiments, vinaigres-Vinaigres, vinaigrettes"/>
        <s v="88590-Condiments, vinaigres-Vinaigres, vinaigrettes"/>
        <s v="78940-Condiments, vinaigres-Vinaigres, vinaigrettes"/>
        <s v="194752-Condiments, vinaigres-Wasabi et pâte de curry"/>
        <s v="194748-Condiments, vinaigres-Wasabi et pâte de curry"/>
        <s v="111580-Condiments, vinaigres-Wasabi et pâte de curry"/>
        <s v="194741-Condiments, vinaigres-Wasabi et pâte de curry"/>
        <s v="107082-Condiments, vinaigres-Wasabi et pâte de curry"/>
        <s v="83092-Condiments, vinaigres-Wasabi et pâte de curry"/>
        <s v="111581-Condiments, vinaigres-Wasabi et pâte de curry"/>
        <s v="88402-Condiments, vinaigres-Wasabi et pâte de curry"/>
        <s v="88413-Condiments, vinaigres-Wasabi et pâte de curry"/>
        <s v="86560-Condiments, vinaigres-Cornichon, câpre et pickle"/>
        <s v="127584-Condiments, vinaigres-Cornichon, câpre et pickle"/>
        <s v="122254-Condiments, vinaigres-Cornichon, câpre et pickle"/>
        <s v="118849-Condiments, vinaigres-Cornichon, câpre et pickle"/>
        <s v="107187-Condiments, vinaigres-Cornichon, câpre et pickle"/>
        <s v="119932-Condiments, vinaigres-Cornichon, câpre et pickle"/>
        <s v="92045-Céréales bio bébé-Céréales bio bébé 8 mois"/>
        <s v="82168-Céréales bio bébé-Céréales bio bébé 8 mois"/>
        <s v="79263-Céréales bio bébé-Céréales bio bébé 8 mois"/>
        <s v="92044-Céréales bio bébé-Céréales bio bébé 8 mois"/>
        <s v="114725-Céréales bio bébé-Céréales bio bébé 8 mois"/>
        <s v="50684-Céréales bio bébé-Céréales bio bébé 4-6 mois"/>
        <s v="82167-Céréales bio bébé-Céréales bio bébé 4-6 mois"/>
        <s v="68513-Céréales bio bébé-Céréales bio bébé 4-6 mois"/>
        <s v="76566-Céréales bio bébé-Céréales bio bébé 4-6 mois"/>
        <s v="119088-Céréales bio bébé-Céréales bio bébé 4-6 mois"/>
        <s v="119431-Céréales bio bébé-Céréales bio bébé 4-6 mois"/>
        <s v="101279-Céréales bio bébé-Gourdes petit déjeuner bébé"/>
        <s v="101270-Céréales bio bébé-Gourdes petit déjeuner bébé"/>
        <s v="101282-Céréales bio bébé-Gourdes petit déjeuner bébé"/>
        <s v="70291-Mobilier d'intérieur-Meubles de rangement"/>
        <s v="70290-Mobilier d'intérieur-Meubles de rangement"/>
        <s v="19188-Mobilier d'intérieur-Mobilier chambre enfant"/>
        <s v="41117-Nez - Gorge - Oreille-Respiration"/>
        <s v="30625-Nez - Gorge - Oreille-Respiration"/>
        <s v="11462-Nez - Gorge - Oreille-Respiration"/>
        <s v="120733-Nez - Gorge - Oreille-Respiration"/>
        <s v="83487-Nez - Gorge - Oreille-Respiration"/>
        <s v="117610-Nez - Gorge - Oreille-Respiration"/>
        <s v="112177-Nez - Gorge - Oreille-Respiration"/>
        <s v="11412-Nez - Gorge - Oreille-Respiration"/>
        <s v="76842-Nez - Gorge - Oreille-Gorge irritée"/>
        <s v="78366-Nez - Gorge - Oreille-Gorge irritée"/>
        <s v="98984-Nez - Gorge - Oreille-Gorge irritée"/>
        <s v="120310-Nez - Gorge - Oreille-Gorge irritée"/>
        <s v="116277-Nez - Gorge - Oreille-Gorge irritée"/>
        <s v="77670-Nez - Gorge - Oreille-Gorge irritée"/>
        <s v="78363-Nez - Gorge - Oreille-Gorge irritée"/>
        <s v="11458-Nez - Gorge - Oreille-Gorge irritée"/>
        <s v="11456-Nez - Gorge - Oreille-Gorge irritée"/>
        <s v="120726-Nez - Gorge - Oreille-Gorge irritée"/>
        <s v="11404-Nez - Gorge - Oreille-Gorge irritée"/>
        <s v="11408-Nez - Gorge - Oreille-Gorge irritée"/>
        <s v="120708-Nez - Gorge - Oreille-Gorge irritée"/>
        <s v="74419-Nez - Gorge - Oreille-Gorge irritée"/>
        <s v="113278-Nez - Gorge - Oreille-Gorge irritée"/>
        <s v="83486-Nez - Gorge - Oreille-Gorge irritée"/>
        <s v="11452-Nez - Gorge - Oreille-Gorge irritée"/>
        <s v="116803-Nez - Gorge - Oreille-Gorge irritée"/>
        <s v="77657-Nez - Gorge - Oreille-Gorge irritée"/>
        <s v="120309-Nez - Gorge - Oreille-Gorge irritée"/>
        <s v="116276-Nez - Gorge - Oreille-Gorge irritée"/>
        <s v="104623-Nez - Gorge - Oreille-Gorge irritée"/>
        <s v="78364-Nez - Gorge - Oreille-Gorge irritée"/>
        <s v="76837-Nez - Gorge - Oreille-Gorge irritée"/>
        <s v="82873-Nez - Gorge - Oreille-Hygiène du nez"/>
        <s v="110341-Nez - Gorge - Oreille-Hygiène du nez"/>
        <s v="76874-Nez - Gorge - Oreille-Hygiène du nez"/>
        <s v="110340-Nez - Gorge - Oreille-Hygiène du nez"/>
        <s v="44409-Nez - Gorge - Oreille-Hygiène du nez"/>
        <s v="73831-Nez - Gorge - Oreille-Hygiène du nez"/>
        <s v="79035-Nez - Gorge - Oreille-Hygiène de l'oreille"/>
        <s v="94951-Nez - Gorge - Oreille-Hygiène de l'oreille"/>
        <s v="22248-Peinture et Bricolage-"/>
        <s v="16088-Peinture et Bricolage-"/>
        <s v="10571-Purée de fruits secs-Purée d'amande"/>
        <s v="182012-Purée de fruits secs-Purée d'amande"/>
        <s v="182013-Purée de fruits secs-Purée d'amande"/>
        <s v="107400-Purée de fruits secs-Purée d'amande"/>
        <s v="48623-Purée de fruits secs-Purée d'amande"/>
        <s v="48616-Purée de fruits secs-Purée d'amande"/>
        <s v="47515-Purée de fruits secs-Purée d'amande"/>
        <s v="81915-Purée de fruits secs-Purée d'amande"/>
        <s v="108920-Purée de fruits secs-Purée d'amande"/>
        <s v="107406-Purée de fruits secs-Purée d'amande"/>
        <s v="24074-Purée de fruits secs-Purée d'amande"/>
        <s v="107388-Purée de fruits secs-Purée d'amande"/>
        <s v="24075-Purée de fruits secs-Purée d'amande"/>
        <s v="27639-Purée de fruits secs-Purée d'amande"/>
        <s v="103632-Purée de fruits secs-Purée d'amande"/>
        <s v="10569-Purée de fruits secs-Purée d'amande"/>
        <s v="182007-Purée de fruits secs-Purée d'amande"/>
        <s v="182009-Purée de fruits secs-Purée d'amande"/>
        <s v="103630-Purée de fruits secs-Purée d'amande"/>
        <s v="47514-Purée de fruits secs-Purée d'amande"/>
        <s v="86370-Purée de fruits secs-Purée de graines"/>
        <s v="86368-Purée de fruits secs-Purée de graines"/>
        <s v="103174-Purée de fruits secs-Purée de graines"/>
        <s v="48632-Purée de fruits secs-Purée de sésame"/>
        <s v="48630-Purée de fruits secs-Purée de sésame"/>
        <s v="48624-Purée de fruits secs-Purée de sésame"/>
        <s v="10573-Purée de fruits secs-Purée de sésame"/>
        <s v="18115-Purée de fruits secs-Purée de sésame"/>
        <s v="83057-Purée de fruits secs-Purée de sésame"/>
        <s v="26727-Purée de fruits secs-Purée de sésame"/>
        <s v="85779-Purée de fruits secs-Purée de sésame"/>
        <s v="84396-Purée de fruits secs-Purée de sésame"/>
        <s v="42676-Purée de fruits secs-Purée de noisette"/>
        <s v="108380-Purée de fruits secs-Purée de noisette"/>
        <s v="10565-Purée de fruits secs-Purée de noisette"/>
        <s v="107631-Purée de fruits secs-Purée de noisette"/>
        <s v="24061-Purée de fruits secs-Purée de noisette"/>
        <s v="182051-Purée de fruits secs-Purée de noisette"/>
        <s v="86360-Purée de fruits secs-Purée de pistache"/>
        <s v="10566-Purée de fruits secs-Purée de pistache"/>
        <s v="182014-Purée de fruits secs-Purée de cacahuète"/>
        <s v="182010-Purée de fruits secs-Purée de cacahuète"/>
        <s v="24076-Purée de fruits secs-Purée de cacahuète"/>
        <s v="10572-Purée de fruits secs-Purée de cacahuète"/>
        <s v="47527-Purée de fruits secs-Purée de noix de cajou"/>
        <s v="10577-Purée de fruits secs-Purée de noix de cajou"/>
        <s v="81914-Purée de fruits secs-Purée de noix de cajou"/>
        <s v="120186-Purée de fruits secs-Purée de noix de cajou"/>
        <s v="182015-Purée de fruits secs-Purée de noix de cajou"/>
        <s v="117919-Purée de fruits secs-Purée de noix de cajou"/>
        <s v="71228-Tartines et biscottes-Galette riz et céréales"/>
        <s v="67264-Tartines et biscottes-Galette riz et céréales"/>
        <s v="82984-Tartines et biscottes-Galette riz et céréales"/>
        <s v="86420-Tartines et biscottes-Galette riz et céréales"/>
        <s v="71227-Tartines et biscottes-Galette riz et céréales"/>
        <s v="18055-Tartines et biscottes-Galette riz et céréales"/>
        <s v="82989-Tartines et biscottes-Galette riz et céréales"/>
        <s v="86438-Tartines et biscottes-Galette riz et céréales"/>
        <s v="18061-Tartines et biscottes-Galette riz et céréales"/>
        <s v="67265-Tartines et biscottes-Galette riz et céréales"/>
        <s v="69552-Tartines et biscottes-Galette riz et céréales"/>
        <s v="110955-Tartines et biscottes-Tartine craquante, biscotte"/>
        <s v="79505-Tartines et biscottes-Tartine craquante, biscotte"/>
        <s v="110943-Tartines et biscottes-Tartine craquante, biscotte"/>
        <s v="119048-Tartines et biscottes-Tartine craquante, biscotte"/>
        <s v="42695-Tartines et biscottes-Tartine craquante, biscotte"/>
        <s v="88980-Tartines et biscottes-Tartine craquante, biscotte"/>
        <s v="149507-Tartines et biscottes-Tartine craquante, biscotte"/>
        <s v="86988-Tartines et biscottes-Tartine craquante, biscotte"/>
        <s v="73836-Tartines et biscottes-Tartine craquante, biscotte"/>
        <s v="69322-Tartines et biscottes-Tartine craquante, biscotte"/>
        <s v="8696-Tartines et biscottes-Tartine craquante, biscotte"/>
        <s v="119062-Tartines et biscottes-Tartine craquante, biscotte"/>
        <s v="188931-Tartines et biscottes-Tartine craquante, biscotte"/>
        <s v="100238-Tartines et biscottes-Tartine craquante, biscotte"/>
        <s v="47010-Tartines et biscottes-Tartine craquante, biscotte"/>
        <s v="104605-Tartines et biscottes-Tartine craquante, biscotte"/>
        <s v="42694-Tartines et biscottes-Tartine craquante, biscotte"/>
        <s v="8697-Tartines et biscottes-Tartine craquante, biscotte"/>
        <s v="110957-Tartines et biscottes-Tartine craquante, biscotte"/>
        <s v="86989-Tartines et biscottes-Tartine craquante, biscotte"/>
        <s v="8695-Tartines et biscottes-Tartine craquante, biscotte"/>
        <s v="122792-Tartines et biscottes-Tartine craquante, biscotte"/>
        <s v="8698-Tartines et biscottes-Tartine craquante, biscotte"/>
        <s v="103866-Tartines et biscottes-Tartine craquante, biscotte"/>
        <s v="103865-Tartines et biscottes-Tartine craquante, biscotte"/>
        <s v="110945-Tartines et biscottes-Tartine craquante, biscotte"/>
        <s v="158671-Tartines et biscottes-Tartine craquante, biscotte"/>
        <s v="118915-Tartines et biscottes-Tartine craquante, biscotte"/>
        <s v="88990-Tartines et biscottes-Tartine craquante, biscotte"/>
        <s v="73835-Tartines et biscottes-Tartine craquante, biscotte"/>
        <s v="8699-Tartines et biscottes-Tartine craquante, biscotte"/>
        <s v="81494-Tartines et biscottes-Tartine craquante, biscotte"/>
        <s v="89821-Tartines et biscottes-Tartine craquante, biscotte"/>
        <s v="83567-Tartines et biscottes-Tartine craquante, biscotte"/>
        <s v="69323-Tartines et biscottes-Tartine craquante, biscotte"/>
        <s v="88976-Tartines et biscottes-Tartine craquante, biscotte"/>
        <s v="199415-Tartines et biscottes-Tartine craquante, biscotte"/>
        <s v="112792-Tartines et biscottes-Tartine craquante, biscotte"/>
        <s v="104322-Tartines et biscottes-Tartine craquante, biscotte"/>
        <s v="69321-Tartines et biscottes-Tartine craquante, biscotte"/>
        <s v="110948-Tartines et biscottes-Tartine craquante, biscotte"/>
        <s v="82008-Tartines et biscottes-Tartine craquante, biscotte"/>
        <s v="86987-Tartines et biscottes-Tartine craquante, biscotte"/>
        <s v="118912-Tartines et biscottes-Tartine craquante, biscotte"/>
        <s v="47048-Tartines et biscottes-Tartine craquante, biscotte"/>
        <s v="103870-Tartines et biscottes-Tartine craquante, biscotte"/>
        <s v="86985-Tartines et biscottes-Tartine craquante, biscotte"/>
        <s v="82005-Tartines et biscottes-Tartine craquante, biscotte"/>
        <s v="119053-Tartines et biscottes-Tartine craquante, biscotte"/>
        <s v="102015-Transport écologique-Trottinettes"/>
        <s v="92823-Ustensiles de cuisine-Germoirs"/>
        <s v="108060-Ustensiles de cuisine-Germoirs"/>
        <s v="4214-Ustensiles de cuisine-Germoirs"/>
        <s v="14715-Ustensiles de cuisine-Germoirs"/>
        <s v="16771-Ustensiles de cuisine-Pâtisserie"/>
        <s v="97945-Ustensiles de cuisine-Pâtisserie"/>
        <s v="144740-Ustensiles de cuisine-Pâtisserie"/>
        <s v="75342-Ustensiles de cuisine-Tapis de cuisson"/>
        <s v="88189-Ustensiles de cuisine-Ustensiles de découpe"/>
        <s v="70677-Ustensiles de cuisine-Ustensiles de découpe"/>
        <s v="86506-Ustensiles de cuisine-Ustensiles de découpe"/>
        <s v="17360-Ustensiles de cuisine-Essoreuses et passoires"/>
        <s v="9819-Ustensiles de cuisine-Essoreuses et passoires"/>
        <s v="28574-Ustensiles de cuisine-Râpes, moulins, mortiers"/>
        <s v="102395-Ustensiles de cuisine-Râpes, moulins, mortiers"/>
        <s v="147302-Ustensiles de cuisine-Râpes, moulins, mortiers"/>
        <s v="85049-Ustensiles de cuisine-Balances et verres doseurs"/>
        <s v="1683-Ustensiles de cuisine-Cuillères, spatules, fouets"/>
        <s v="1685-Ustensiles de cuisine-Cuillères, spatules, fouets"/>
        <s v="22193-Ustensiles de cuisine-Cuillères, spatules, fouets"/>
        <s v="9786-Ustensiles de cuisine-Cuillères, spatules, fouets"/>
        <s v="108770-Ustensiles de cuisine-Autour du vin et de l'apéritif"/>
        <s v="109536-Ustensiles de cuisine-Autour du vin et de l'apéritif"/>
        <s v="111743-Ustensiles de cuisine-Autour du vin et de l'apéritif"/>
        <s v="108769-Ustensiles de cuisine-Autour du vin et de l'apéritif"/>
        <s v="111742-Ustensiles de cuisine-Autour du vin et de l'apéritif"/>
        <s v="88989-Veilleuses &amp; réveils-Veilleuse"/>
        <s v="88987-Veilleuses &amp; réveils-Veilleuse"/>
        <s v="88988-Veilleuses &amp; réveils-Veilleuse"/>
        <s v="102816-Veilleuses &amp; réveils-Réveil enfant"/>
        <s v="49803-Veilleuses &amp; réveils-Peaux d'agneaux"/>
        <s v="77302-Veilleuses &amp; réveils-Peaux d'agneaux"/>
        <s v="94000-Aide à la pâtisserie-Arôme"/>
        <s v="9616-Aide à la pâtisserie-Arôme"/>
        <s v="115135-Aide à la pâtisserie-Arôme"/>
        <s v="90727-Aide à la pâtisserie-Arôme"/>
        <s v="24060-Aide à la pâtisserie-Arôme"/>
        <s v="112086-Aide à la pâtisserie-Arôme"/>
        <s v="90723-Aide à la pâtisserie-Arôme"/>
        <s v="77601-Aide à la pâtisserie-Arôme"/>
        <s v="12005-Aide à la pâtisserie-Ferments, présure"/>
        <s v="41680-Aide à la pâtisserie-Ferments, présure"/>
        <s v="12000-Aide à la pâtisserie-Ferments, présure"/>
        <s v="12022-Aide à la pâtisserie-Ferments, présure"/>
        <s v="113596-Aide à la pâtisserie-Ferments, présure"/>
        <s v="11998-Aide à la pâtisserie-Ferments, présure"/>
        <s v="12063-Aide à la pâtisserie-Ferments, présure"/>
        <s v="96069-Aide à la pâtisserie-Ferments, présure"/>
        <s v="12007-Aide à la pâtisserie-Ferments, présure"/>
        <s v="113592-Aide à la pâtisserie-Ferments, présure"/>
        <s v="147308-Aide à la pâtisserie-Ferments, présure"/>
        <s v="41679-Aide à la pâtisserie-Ferments, présure"/>
        <s v="112077-Aide à la pâtisserie-Levure et gélifiant"/>
        <s v="115133-Aide à la pâtisserie-Levure et gélifiant"/>
        <s v="30465-Aide à la pâtisserie-Levure et gélifiant"/>
        <s v="87405-Aide à la pâtisserie-Levure et gélifiant"/>
        <s v="77602-Aide à la pâtisserie-Levure et gélifiant"/>
        <s v="107058-Aide à la pâtisserie-Levure et gélifiant"/>
        <s v="5807-Aide à la pâtisserie-Levure et gélifiant"/>
        <s v="87061-Aide à la pâtisserie-Levure et gélifiant"/>
        <s v="108039-Aide à la pâtisserie-Levure et gélifiant"/>
        <s v="90837-Aide à la pâtisserie-Levure et gélifiant"/>
        <s v="88461-Aide à la pâtisserie-Levure et gélifiant"/>
        <s v="81504-Aide à la pâtisserie-Levure et gélifiant"/>
        <s v="12027-Aide à la pâtisserie-Levure et gélifiant"/>
        <s v="8883-Aide à la pâtisserie-Levure et gélifiant"/>
        <s v="112082-Aide à la pâtisserie-Levure et gélifiant"/>
        <s v="114961-Aide à la pâtisserie-Levure et gélifiant"/>
        <s v="112078-Aide à la pâtisserie-Levure et gélifiant"/>
        <s v="12025-Aide à la pâtisserie-Levure et gélifiant"/>
        <s v="11992-Aide à la pâtisserie-Levure et gélifiant"/>
        <s v="188850-Aide à la pâtisserie-Levure et gélifiant"/>
        <s v="69296-Aide à la pâtisserie-Levure et gélifiant"/>
        <s v="115141-Aide à la pâtisserie-Décor gâteaux, Colorant"/>
        <s v="112081-Aide à la pâtisserie-Décor gâteaux, Colorant"/>
        <s v="77611-Aide à la pâtisserie-Décor gâteaux, Colorant"/>
        <s v="111722-Aide à la pâtisserie-Décor gâteaux, Colorant"/>
        <s v="81503-Aide à la pâtisserie-Ingrédients pour pâtisserie"/>
        <s v="117559-Aide à la pâtisserie-Ingrédients pour pâtisserie"/>
        <s v="110230-Biberons &amp; Accessoires-Tire-Lait"/>
        <s v="122854-Biberons &amp; Accessoires-Biberons en Verre"/>
        <s v="95371-Biberons &amp; Accessoires-Biberons en Verre"/>
        <s v="101190-Biberons &amp; Accessoires-Biberons en Verre"/>
        <s v="121532-Biberons &amp; Accessoires-Tétines Biberons"/>
        <s v="6614-Biberons &amp; Accessoires-Tétines Biberons"/>
        <s v="6618-Biberons &amp; Accessoires-Accessoires Biberons"/>
        <s v="96096-Biberons &amp; Accessoires-Accessoires Biberons"/>
        <s v="105977-Biberons &amp; Accessoires-Anneaux de dentition"/>
        <s v="105901-Biberons &amp; Accessoires-Sucettes et attaches sucettes"/>
        <s v="180823-Biberons &amp; Accessoires-Sucettes et attaches sucettes"/>
        <s v="118979-Biberons &amp; Accessoires-Sucettes et attaches sucettes"/>
        <s v="111502-Biberons &amp; Accessoires-Sucettes et attaches sucettes"/>
        <s v="180822-Biberons &amp; Accessoires-Sucettes et attaches sucettes"/>
        <s v="101196-Biberons &amp; Accessoires-Sucettes et attaches sucettes"/>
        <s v="180824-Biberons &amp; Accessoires-Sucettes et attaches sucettes"/>
        <s v="105905-Biberons &amp; Accessoires-Sucettes et attaches sucettes"/>
        <s v="101194-Biberons &amp; Accessoires-Chauffe-biberons, stérilisateurs"/>
        <s v="113719-Biberons &amp; Accessoires-Chauffe-biberons, stérilisateurs"/>
        <s v="111330-Cosmétique maison DIY-Ingrédient de base DIY"/>
        <s v="102089-Cosmétique maison DIY-Ingrédient de base DIY"/>
        <s v="116867-Cosmétique maison DIY-Ingrédient de base DIY"/>
        <s v="150297-Cosmétique maison DIY-Ingrédient de base DIY"/>
        <s v="23628-Cosmétique maison DIY-Ingrédient de base DIY"/>
        <s v="120369-Cosmétique maison DIY-Kits Cosmétique Maison"/>
        <s v="114175-Cosmétique maison DIY-Ustensile, contenant DIY"/>
        <s v="23649-Cosmétique maison DIY-Ustensile, contenant DIY"/>
        <s v="80419-Cosmétique maison DIY-Ustensile, contenant DIY"/>
        <s v="114173-Cosmétique maison DIY-Ustensile, contenant DIY"/>
        <s v="91562-Cosmétique maison DIY-Ustensile, contenant DIY"/>
        <s v="23662-Cosmétique maison DIY-Ustensile, contenant DIY"/>
        <s v="76466-Graines et oléagineux-Graines oléagineuses"/>
        <s v="76465-Graines et oléagineux-Graines oléagineuses"/>
        <s v="68329-Graines et oléagineux-Graines oléagineuses"/>
        <s v="114470-Graines et oléagineux-Graines oléagineuses"/>
        <s v="110568-Graines et oléagineux-Graines oléagineuses"/>
        <s v="76470-Graines et oléagineux-Graines oléagineuses"/>
        <s v="5604-Graines et oléagineux-Graines oléagineuses"/>
        <s v="28613-Graines et oléagineux-Graines oléagineuses"/>
        <s v="159402-Graines et oléagineux-Graines oléagineuses"/>
        <s v="68379-Graines et oléagineux-Graines oléagineuses"/>
        <s v="91069-Graines et oléagineux-Graines oléagineuses"/>
        <s v="91060-Graines et oléagineux-Graines oléagineuses"/>
        <s v="182274-Graines et oléagineux-Graines oléagineuses"/>
        <s v="110566-Graines et oléagineux-Graines oléagineuses"/>
        <s v="78877-Graines et oléagineux-Graines oléagineuses"/>
        <s v="5490-Graines et oléagineux-Graines oléagineuses"/>
        <s v="68382-Graines et oléagineux-Graines oléagineuses"/>
        <s v="114663-Graines et oléagineux-Graines oléagineuses"/>
        <s v="76474-Graines et oléagineux-Graines oléagineuses"/>
        <s v="76455-Graines et oléagineux-Graines oléagineuses"/>
        <s v="46337-Graines et oléagineux-Graines oléagineuses"/>
        <s v="78430-Graines et oléagineux-Graines oléagineuses"/>
        <s v="5605-Graines et oléagineux-Graines oléagineuses"/>
        <s v="77419-Graines et oléagineux-Graines oléagineuses"/>
        <s v="121701-Graines et oléagineux-Graines oléagineuses"/>
        <s v="91072-Graines et oléagineux-Graines oléagineuses"/>
        <s v="68486-Graines et oléagineux-Graines oléagineuses"/>
        <s v="110576-Graines et oléagineux-Graines oléagineuses"/>
        <s v="78503-Graines et oléagineux-Graines oléagineuses"/>
        <s v="77439-Graines et oléagineux-Graines oléagineuses"/>
        <s v="5615-Graines et oléagineux-Graines oléagineuses"/>
        <s v="5602-Graines et oléagineux-Graines oléagineuses"/>
        <s v="28612-Graines et oléagineux-Graines oléagineuses"/>
        <s v="72247-Graines et oléagineux-Graines oléagineuses"/>
        <s v="76469-Graines et oléagineux-Graines oléagineuses"/>
        <s v="78876-Graines et oléagineux-Graines oléagineuses"/>
        <s v="91064-Graines et oléagineux-Graines oléagineuses"/>
        <s v="5603-Graines et oléagineux-Graines oléagineuses"/>
        <s v="5612-Graines et oléagineux-Graines oléagineuses"/>
        <s v="43897-Graines et oléagineux-Graines oléagineuses"/>
        <s v="91058-Graines et oléagineux-Graines oléagineuses"/>
        <s v="107998-Graines et oléagineux-Graines oléagineuses"/>
        <s v="112194-Graines et oléagineux-Graines oléagineuses"/>
        <s v="68232-Graines et oléagineux-Graines oléagineuses"/>
        <s v="159386-Graines et oléagineux-Graines oléagineuses"/>
        <s v="76471-Graines et oléagineux-Graines oléagineuses"/>
        <s v="68357-Graines et oléagineux-Graines oléagineuses"/>
        <s v="68303-Graines et oléagineux-Graines oléagineuses"/>
        <s v="68325-Graines et oléagineux-Graines oléagineuses"/>
        <s v="68515-Graines et oléagineux-Graines oléagineuses"/>
        <s v="107989-Graines et oléagineux-Graines oléagineuses"/>
        <s v="76732-Graines et oléagineux-Graines oléagineuses"/>
        <s v="14711-Graines et oléagineux-Graines à germer et mélanges"/>
        <s v="14706-Graines et oléagineux-Graines à germer et mélanges"/>
        <s v="23975-Graines et oléagineux-Graines à germer et mélanges"/>
        <s v="90665-Graines et oléagineux-Graines à germer et mélanges"/>
        <s v="69551-Graines et oléagineux-Graines à germer et mélanges"/>
        <s v="69503-Graines et oléagineux-Graines à germer et mélanges"/>
        <s v="23473-Graines et oléagineux-Graines à germer et mélanges"/>
        <s v="69500-Graines et oléagineux-Graines à germer et mélanges"/>
        <s v="14689-Graines et oléagineux-Graines à germer et mélanges"/>
        <s v="19409-Graines et oléagineux-Graines à germer et mélanges"/>
        <s v="69526-Graines et oléagineux-Graines à germer et mélanges"/>
        <s v="19412-Graines et oléagineux-Graines à germer et mélanges"/>
        <s v="23471-Graines et oléagineux-Graines à germer et mélanges"/>
        <s v="14670-Graines et oléagineux-Graines à germer et mélanges"/>
        <s v="69499-Graines et oléagineux-Graines à germer et mélanges"/>
        <s v="90686-Graines et oléagineux-Graines à germer et mélanges"/>
        <s v="111872-Graines et oléagineux-Graines à germer et mélanges"/>
        <s v="23964-Graines et oléagineux-Graines à germer et mélanges"/>
        <s v="111837-Graines et oléagineux-Graines à germer et mélanges"/>
        <s v="19377-Graines et oléagineux-Graines à germer et mélanges"/>
        <s v="111836-Graines et oléagineux-Graines à germer et mélanges"/>
        <s v="190103-Graines et oléagineux-Graines à germer et mélanges"/>
        <s v="19408-Graines et oléagineux-Graines à germer et mélanges"/>
        <s v="14694-Graines et oléagineux-Graines à germer et mélanges"/>
        <s v="5686-Graines et oléagineux-Graines à germer et mélanges"/>
        <s v="111842-Graines et oléagineux-Graines à germer et mélanges"/>
        <s v="23978-Graines et oléagineux-Graines à germer et mélanges"/>
        <s v="14682-Graines et oléagineux-Graines à germer et mélanges"/>
        <s v="111873-Graines et oléagineux-Graines à germer et mélanges"/>
        <s v="23454-Graines et oléagineux-Graines à germer et mélanges"/>
        <s v="16760-Graines et oléagineux-Graines à germer et mélanges"/>
        <s v="14709-Graines et oléagineux-Graines à germer et mélanges"/>
        <s v="14665-Graines et oléagineux-Graines à germer et mélanges"/>
        <s v="8869-Légumes et conserves-Miso"/>
        <s v="68520-Légumes et conserves-Miso"/>
        <s v="107331-Légumes et conserves-Miso"/>
        <s v="107325-Légumes et conserves-Miso"/>
        <s v="8871-Légumes et conserves-Miso"/>
        <s v="107334-Légumes et conserves-Miso"/>
        <s v="120302-Légumes et conserves-Soupes bio"/>
        <s v="117661-Légumes et conserves-Soupes bio"/>
        <s v="79006-Légumes et conserves-Soupes bio"/>
        <s v="17133-Légumes et conserves-Soupes bio"/>
        <s v="76818-Légumes et conserves-Soupes bio"/>
        <s v="70236-Légumes et conserves-Soupes bio"/>
        <s v="91342-Légumes et conserves-Soupes bio"/>
        <s v="121782-Légumes et conserves-Soupes bio"/>
        <s v="76822-Légumes et conserves-Soupes bio"/>
        <s v="100278-Légumes et conserves-Soupes bio"/>
        <s v="122795-Légumes et conserves-Soupes bio"/>
        <s v="100282-Légumes et conserves-Soupes bio"/>
        <s v="68867-Légumes et conserves-Soupes bio"/>
        <s v="8862-Légumes et conserves-Soupes bio"/>
        <s v="72131-Légumes et conserves-Soupes bio"/>
        <s v="12047-Légumes et conserves-Soupes bio"/>
        <s v="121790-Légumes et conserves-Soupes bio"/>
        <s v="121787-Légumes et conserves-Soupes bio"/>
        <s v="70239-Légumes et conserves-Soupes bio"/>
        <s v="113942-Légumes et conserves-Soupes bio"/>
        <s v="119134-Légumes et conserves-Soupes bio"/>
        <s v="76813-Légumes et conserves-Soupes bio"/>
        <s v="121793-Légumes et conserves-Soupes bio"/>
        <s v="100283-Légumes et conserves-Soupes bio"/>
        <s v="75028-Légumes et conserves-Soupes bio"/>
        <s v="113946-Légumes et conserves-Soupes bio"/>
        <s v="12050-Légumes et conserves-Soupes bio"/>
        <s v="104312-Légumes et conserves-Soupes bio"/>
        <s v="121780-Légumes et conserves-Soupes bio"/>
        <s v="88638-Légumes et conserves-Soupes bio"/>
        <s v="70238-Légumes et conserves-Soupes bio"/>
        <s v="121839-Légumes et conserves-Soupes bio"/>
        <s v="77621-Légumes et conserves-Soupes bio"/>
        <s v="121783-Légumes et conserves-Soupes bio"/>
        <s v="75033-Légumes et conserves-Soupes bio"/>
        <s v="12053-Légumes et conserves-Soupes bio"/>
        <s v="113954-Légumes et conserves-Soupes bio"/>
        <s v="5782-Légumes et conserves-Soupes bio"/>
        <s v="107915-Légumes et conserves-Soupes bio"/>
        <s v="68866-Légumes et conserves-Soupes bio"/>
        <s v="121837-Légumes et conserves-Soupes bio"/>
        <s v="121840-Légumes et conserves-Soupes bio"/>
        <s v="90979-Légumes et conserves-Soupes bio"/>
        <s v="114350-Légumes et conserves-Soupes bio"/>
        <s v="47539-Légumes et conserves-Soupes bio"/>
        <s v="83948-Légumes et conserves-Soupes bio"/>
        <s v="17139-Légumes et conserves-Soupes bio"/>
        <s v="12051-Légumes et conserves-Soupes bio"/>
        <s v="12052-Légumes et conserves-Soupes bio"/>
        <s v="121838-Légumes et conserves-Soupes bio"/>
        <s v="107917-Légumes et conserves-Soupes bio"/>
        <s v="5779-Légumes et conserves-Soupes bio"/>
        <s v="120303-Légumes et conserves-Soupes bio"/>
        <s v="121784-Légumes et conserves-Soupes bio"/>
        <s v="107913-Légumes et conserves-Soupes bio"/>
        <s v="58759-Légumes et conserves-Soupes bio"/>
        <s v="158697-Légumes et conserves-Soupes bio"/>
        <s v="87160-Légumes et conserves-Purées bio"/>
        <s v="88694-Légumes et conserves-Purées bio"/>
        <s v="120393-Légumes et conserves-Purées bio"/>
        <s v="89581-Légumes et conserves-Purées bio"/>
        <s v="6514-Légumes et conserves-Purées bio"/>
        <s v="105340-Légumes et conserves-Légumes séchés"/>
        <s v="120865-Légumes et conserves-Légumes séchés"/>
        <s v="110078-Légumes et conserves-Légumes séchés"/>
        <s v="122343-Légumes et conserves-Légumes séchés"/>
        <s v="12296-Légumes et conserves-Légumes séchés"/>
        <s v="96952-Légumes et conserves-Légumes séchés"/>
        <s v="82193-Légumes et conserves-Légumes séchés"/>
        <s v="89802-Légumes et conserves-Légumes séchés"/>
        <s v="87044-Légumes et conserves-Légumes séchés"/>
        <s v="87042-Légumes et conserves-Légumes séchés"/>
        <s v="116274-Légumes et conserves-Légumes séchés"/>
        <s v="122344-Légumes et conserves-Légumes séchés"/>
        <s v="122345-Légumes et conserves-Légumes séchés"/>
        <s v="120867-Légumes et conserves-Légumes séchés"/>
        <s v="28494-Légumes et conserves-Légumes séchés"/>
        <s v="8882-Légumes et conserves-Légumes séchés"/>
        <s v="116275-Légumes et conserves-Légumes séchés"/>
        <s v="121424-Légumes et conserves-Légumes séchés"/>
        <s v="75058-Légumes et conserves-Légumes cuisinés"/>
        <s v="75056-Légumes et conserves-Légumes cuisinés"/>
        <s v="42239-Légumes et conserves-Légumes cuisinés"/>
        <s v="42237-Légumes et conserves-Légumes cuisinés"/>
        <s v="69457-Légumes et conserves-Légumes cuisinés"/>
        <s v="69328-Légumes et conserves-Légumes cuisinés"/>
        <s v="69454-Légumes et conserves-Légumes cuisinés"/>
        <s v="69469-Légumes et conserves-Légumes cuisinés"/>
        <s v="193264-Légumes et conserves-Légumes cuisinés"/>
        <s v="115763-Légumes et conserves-Légumes cuisinés"/>
        <s v="69463-Légumes et conserves-Légumes cuisinés"/>
        <s v="84168-Légumes et conserves-Légumes cuisinés"/>
        <s v="75077-Légumes et conserves-Légumes cuisinés"/>
        <s v="42229-Légumes et conserves-Légumes cuisinés"/>
        <s v="89588-Légumes et conserves-Légumes cuisinés"/>
        <s v="99973-Légumes et conserves-Légumes cuisinés"/>
        <s v="70241-Légumes et conserves-Légumes cuisinés"/>
        <s v="129479-Légumes et conserves-Légumes cuisinés"/>
        <s v="107926-Légumes et conserves-Légumes cuisinés"/>
        <s v="42232-Légumes et conserves-Légumes cuisinés"/>
        <s v="122106-Légumes et conserves-Légumes cuisinés"/>
        <s v="69456-Légumes et conserves-Légumes cuisinés"/>
        <s v="118888-Légumes et conserves-Légumes cuisinés"/>
        <s v="69468-Légumes et conserves-Légumes cuisinés"/>
        <s v="117629-Légumes et conserves-Légumes en conserve"/>
        <s v="121475-Légumes et conserves-Légumes en conserve"/>
        <s v="80412-Légumes et conserves-Légumes en conserve"/>
        <s v="122857-Légumes et conserves-Légumes en conserve"/>
        <s v="115769-Légumes et conserves-Légumes en conserve"/>
        <s v="115774-Légumes et conserves-Légumes en conserve"/>
        <s v="118889-Légumes et conserves-Légumes en conserve"/>
        <s v="115758-Légumes et conserves-Légumes en conserve"/>
        <s v="115755-Légumes et conserves-Légumes en conserve"/>
        <s v="114964-Légumes et conserves-Légumes en conserve"/>
        <s v="87617-Légumes et conserves-Légumes en conserve"/>
        <s v="118542-Légumes et conserves-Légumes en conserve"/>
        <s v="122845-Légumes et conserves-Légumes en conserve"/>
        <s v="114967-Légumes et conserves-Légumes en conserve"/>
        <s v="121476-Légumes et conserves-Légumes en conserve"/>
        <s v="120529-Légumes et conserves-Légumes en conserve"/>
        <s v="120530-Légumes et conserves-Légumes en conserve"/>
        <s v="117638-Légumes et conserves-Légumes en conserve"/>
        <s v="108240-Légumes et conserves-Légumes en conserve"/>
        <s v="88635-Légumes et conserves-Légumes en conserve"/>
        <s v="69340-Légumes et conserves-Légumes en conserve"/>
        <s v="199472-Légumes et conserves-Légumes en conserve"/>
        <s v="117646-Légumes et conserves-Légumes en conserve"/>
        <s v="84167-Légumes et conserves-Légumes en conserve"/>
        <s v="81742-Légumes et conserves-Légumes en conserve"/>
        <s v="115754-Légumes et conserves-Légumes en conserve"/>
        <s v="69334-Légumes et conserves-Légumes en conserve"/>
        <s v="117753-Légumes et conserves-Légumes en conserve"/>
        <s v="129482-Légumes et conserves-Légumes en conserve"/>
        <s v="117634-Légumes et conserves-Légumes en conserve"/>
        <s v="111027-Légumes et conserves-Légumes en conserve"/>
        <s v="115772-Légumes et conserves-Légumes en conserve"/>
        <s v="115768-Légumes et conserves-Légumes en conserve"/>
        <s v="69476-Légumes et conserves-Légumes en conserve"/>
        <s v="122118-Légumes et conserves-Légumes en conserve"/>
        <s v="87447-Légumes et conserves-Légumes en conserve"/>
        <s v="129480-Légumes et conserves-Légumes en conserve"/>
        <s v="84164-Légumes et conserves-Légumes en conserve"/>
        <s v="69338-Légumes et conserves-Légumes en conserve"/>
        <s v="120531-Légumes et conserves-Légumes en conserve"/>
        <s v="120524-Légumes et conserves-Légumes en conserve"/>
        <s v="117631-Légumes et conserves-Légumes en conserve"/>
        <s v="115757-Légumes et conserves-Légumes en conserve"/>
        <s v="42243-Légumes et conserves-Légumes en conserve"/>
        <s v="115761-Légumes et conserves-Légumes en conserve"/>
        <s v="113960-Légumes et conserves-Légumes en conserve"/>
        <s v="42241-Légumes et conserves-Légumes en conserve"/>
        <s v="115770-Légumes et conserves-Légumes en conserve"/>
        <s v="118541-Légumes et conserves-Légumes en conserve"/>
        <s v="115750-Légumes et conserves-Légumes en conserve"/>
        <s v="99969-Légumes et conserves-Légumes en conserve"/>
        <s v="129483-Légumes et conserves-Légumes en conserve"/>
        <s v="42255-Légumes et conserves-Légumes en conserve"/>
        <s v="100235-Légumes et conserves-Légumes en conserve"/>
        <s v="129481-Légumes et conserves-Légumes en conserve"/>
        <s v="87455-Légumes et conserves-Légumes en conserve"/>
        <s v="120257-Desserts lactés bébé-Desserts lactés bébé 4-6 mois"/>
        <s v="122221-Desserts lactés bébé-Desserts lactés bébé 4-6 mois"/>
        <s v="122216-Desserts lactés bébé-Desserts lactés bébé 4-6 mois"/>
        <s v="140598-Desserts lactés bébé-Desserts lactés bébé 4-6 mois"/>
        <s v="112123-Desserts lactés bébé-Desserts lactés bébé 4-6 mois"/>
        <s v="70402-Desserts lactés bébé-Desserts lactés bébé 4-6 mois"/>
        <s v="119110-Desserts lactés bébé-Desserts lactés bébé 4-6 mois"/>
        <s v="139295-Desserts lactés bébé-Desserts lactés bébé 4-6 mois"/>
        <s v="71056-Desserts lactés bébé-Desserts lactés bébé 4-6 mois"/>
        <s v="122218-Desserts lactés bébé-Desserts lactés bébé 4-6 mois"/>
        <s v="122217-Desserts lactés bébé-Desserts lactés bébé 4-6 mois"/>
        <s v="119119-Desserts lactés bébé-Desserts lactés bébé 4-6 mois"/>
        <s v="46933-Desserts lactés bébé-Desserts lactés bébé 4-6 mois"/>
        <s v="119118-Desserts lactés bébé-Desserts lactés bébé 4-6 mois"/>
        <s v="41035-Desserts lactés bébé-Desserts lactés bébé 4-6 mois"/>
        <s v="139303-Desserts lactés bébé-Desserts lactés bébé 4-6 mois"/>
        <s v="101784-Desserts lactés bébé-Desserts lactés bébé 4-6 mois"/>
        <s v="122219-Desserts lactés bébé-Desserts lactés bébé 4-6 mois"/>
        <s v="122215-Desserts lactés bébé-Desserts lactés bébé 4-6 mois"/>
        <s v="111154-Desserts lactés bébé-Desserts lactés bébé 4-6 mois"/>
        <s v="119117-Desserts lactés bébé-Desserts lactés bébé 4-6 mois"/>
        <s v="20419-Desserts lactés bébé-Desserts lactés bébé 4-6 mois"/>
        <s v="122220-Desserts lactés bébé-Desserts lactés bébé 4-6 mois"/>
        <s v="122214-Desserts lactés bébé-Desserts lactés bébé 4-6 mois"/>
        <s v="46936-Desserts lactés bébé-Desserts lactés bébé 4-6 mois"/>
        <s v="112122-Desserts lactés bébé-Desserts lactés bébé 4-6 mois"/>
        <s v="71055-Desserts lactés bébé-Desserts lactés bébé 4-6 mois"/>
        <s v="41034-Desserts lactés bébé-Desserts lactés bébé 4-6 mois"/>
        <s v="111153-Desserts lactés bébé-Desserts lactés bébé 4-6 mois"/>
        <s v="119120-Desserts lactés bébé-Desserts lactés bébé 4-6 mois"/>
        <s v="139297-Desserts lactés bébé-Desserts lactés bébé 8-12 mois"/>
        <s v="48476-Desserts lactés bébé-Desserts lactés bébé 8-12 mois"/>
        <s v="103454-Desserts lactés bébé-Desserts lactés bébé 8-12 mois"/>
        <s v="103456-Desserts lactés bébé-Desserts lactés bébé 8-12 mois"/>
        <s v="139304-Desserts lactés bébé-Desserts lactés bébé 8-12 mois"/>
        <s v="158661-Huiles alimentaires bio-Ghee bio"/>
        <s v="162441-Huiles alimentaires bio-Ghee bio"/>
        <s v="102695-Huiles alimentaires bio-Ghee bio"/>
        <s v="78913-Huiles alimentaires bio-Huile de lin"/>
        <s v="71397-Huiles alimentaires bio-Huile de lin"/>
        <s v="17596-Huiles alimentaires bio-Huile de lin"/>
        <s v="71398-Huiles alimentaires bio-Huile de lin"/>
        <s v="17627-Huiles alimentaires bio-Huile d'argan"/>
        <s v="86166-Huiles alimentaires bio-Huile d'olive"/>
        <s v="71409-Huiles alimentaires bio-Huile d'olive"/>
        <s v="12877-Huiles alimentaires bio-Huile d'olive"/>
        <s v="121868-Huiles alimentaires bio-Huile d'olive"/>
        <s v="17626-Huiles alimentaires bio-Huile d'olive"/>
        <s v="71394-Huiles alimentaires bio-Huile d'olive"/>
        <s v="17620-Huiles alimentaires bio-Huile d'olive"/>
        <s v="86186-Huiles alimentaires bio-Huile d'olive"/>
        <s v="71410-Huiles alimentaires bio-Huile d'olive"/>
        <s v="121869-Huiles alimentaires bio-Huile d'olive"/>
        <s v="17624-Huiles alimentaires bio-Huile d'olive"/>
        <s v="119737-Huiles alimentaires bio-Huile d'olive"/>
        <s v="17618-Huiles alimentaires bio-Huile d'olive"/>
        <s v="78741-Huiles alimentaires bio-Huile d'olive"/>
        <s v="86864-Huiles alimentaires bio-Huile d'olive"/>
        <s v="71421-Huiles alimentaires bio-Huile d'olive"/>
        <s v="115776-Huiles alimentaires bio-Huile d'olive"/>
        <s v="71393-Huiles alimentaires bio-Huile d'olive"/>
        <s v="78739-Huiles alimentaires bio-Huile d'olive"/>
        <s v="71408-Huiles alimentaires bio-Huile d'olive"/>
        <s v="109194-Huiles alimentaires bio-Huile de coco"/>
        <s v="84448-Huiles alimentaires bio-Huile de coco"/>
        <s v="140575-Huiles alimentaires bio-Huile de coco"/>
        <s v="71420-Huiles alimentaires bio-Huile de coco"/>
        <s v="71375-Huiles alimentaires bio-Huile de coco"/>
        <s v="71376-Huiles alimentaires bio-Huile de coco"/>
        <s v="110975-Huiles alimentaires bio-Huile de coco"/>
        <s v="86170-Huiles alimentaires bio-Huile de coco"/>
        <s v="142787-Huiles alimentaires bio-Huile de coco"/>
        <s v="109185-Huiles alimentaires bio-Huile de coco"/>
        <s v="109184-Huiles alimentaires bio-Huile de coco"/>
        <s v="72575-Huiles alimentaires bio-Huile de coco"/>
        <s v="78909-Huiles alimentaires bio-Huile de coco"/>
        <s v="17630-Huiles alimentaires bio-Huile de noix"/>
        <s v="78924-Huiles alimentaires bio-Huile de noix"/>
        <s v="82196-Huiles alimentaires bio-Huile de noix"/>
        <s v="86184-Huiles alimentaires bio-Huile d'amande"/>
        <s v="6219-Huiles alimentaires bio-Huile d'amande"/>
        <s v="116185-Huiles alimentaires bio-Huile de colza"/>
        <s v="12873-Huiles alimentaires bio-Huile de colza"/>
        <s v="71413-Huiles alimentaires bio-Huile de colza"/>
        <s v="128352-Huiles alimentaires bio-Huile de colza"/>
        <s v="17594-Huiles alimentaires bio-Huile de colza"/>
        <s v="71404-Huiles alimentaires bio-Huile de colza"/>
        <s v="129473-Huiles alimentaires bio-Huile de colza"/>
        <s v="78904-Huiles alimentaires bio-Huile de colza"/>
        <s v="122311-Huiles alimentaires bio-Huile de fruits"/>
        <s v="86172-Huiles alimentaires bio-Huile de graines"/>
        <s v="17592-Huiles alimentaires bio-Huile de graines"/>
        <s v="89981-Huiles alimentaires bio-Huile de graines"/>
        <s v="71399-Huiles alimentaires bio-Huile de graines"/>
        <s v="17587-Huiles alimentaires bio-Huile de graines"/>
        <s v="17647-Huiles alimentaires bio-Huile de graines"/>
        <s v="107364-Huiles alimentaires bio-Huile de graines"/>
        <s v="24118-Huiles alimentaires bio-Huile de pépins"/>
        <s v="86181-Huiles alimentaires bio-Huile de sésame"/>
        <s v="129474-Huiles alimentaires bio-Huile de sésame"/>
        <s v="17601-Huiles alimentaires bio-Huile de sésame"/>
        <s v="78938-Huiles alimentaires bio-Huile de sésame"/>
        <s v="17609-Huiles alimentaires bio-Huile de sésame"/>
        <s v="129452-Huiles alimentaires bio-Huile de tournesol"/>
        <s v="88587-Huiles alimentaires bio-Huile de tournesol"/>
        <s v="17645-Huiles alimentaires bio-Huile de tournesol"/>
        <s v="78899-Huiles alimentaires bio-Huile de tournesol"/>
        <s v="71402-Huiles alimentaires bio-Huile de tournesol"/>
        <s v="12875-Huiles alimentaires bio-Huile de tournesol"/>
        <s v="17615-Huiles alimentaires bio-Huile de tournesol"/>
        <s v="193116-Huiles alimentaires bio-Huile de tournesol"/>
        <s v="72577-Huiles alimentaires bio-Huile de tournesol"/>
        <s v="78916-Huiles alimentaires bio-Mélanges d'huiles"/>
        <s v="71419-Huiles alimentaires bio-Mélanges d'huiles"/>
        <s v="188223-Huiles alimentaires bio-Mélanges d'huiles"/>
        <s v="71417-Huiles alimentaires bio-Mélanges d'huiles"/>
        <s v="46895-Huiles alimentaires bio-Mélanges d'huiles"/>
        <s v="86157-Huiles alimentaires bio-Mélanges d'huiles"/>
        <s v="159110-Huiles alimentaires bio-Mélanges d'huiles"/>
        <s v="46913-Huiles alimentaires bio-Mélanges d'huiles"/>
        <s v="71400-Huiles alimentaires bio-Mélanges d'huiles"/>
        <s v="46914-Huiles alimentaires bio-Mélanges d'huiles"/>
        <s v="120300-Huiles alimentaires bio-Mélanges d'huiles"/>
        <s v="71412-Huiles alimentaires bio-Mélanges d'huiles"/>
        <s v="71415-Huiles alimentaires bio-Mélanges d'huiles"/>
        <s v="71414-Huiles alimentaires bio-Mélanges d'huiles"/>
        <s v="10336-Hygiène Change et Soins-Accessoires Puériculture"/>
        <s v="125173-Hygiène Change et Soins-Baignoires, jouets de bain"/>
        <s v="112994-Hygiène Change et Soins-Baignoires, jouets de bain"/>
        <s v="125182-Hygiène Change et Soins-Baignoires, jouets de bain"/>
        <s v="121112-Hygiène Change et Soins-Baignoires, jouets de bain"/>
        <s v="125172-Hygiène Change et Soins-Baignoires, jouets de bain"/>
        <s v="125196-Hygiène Change et Soins-Baignoires, jouets de bain"/>
        <s v="125192-Hygiène Change et Soins-Baignoires, jouets de bain"/>
        <s v="125194-Hygiène Change et Soins-Baignoires, jouets de bain"/>
        <s v="125198-Hygiène Change et Soins-Baignoires, jouets de bain"/>
        <s v="111220-Hygiène Change et Soins-Baignoires, jouets de bain"/>
        <s v="105969-Hygiène Change et Soins-Baignoires, jouets de bain"/>
        <s v="105981-Hygiène Change et Soins-Baignoires, jouets de bain"/>
        <s v="125185-Hygiène Change et Soins-Baignoires, jouets de bain"/>
        <s v="111605-Lait de vache et chèvre-"/>
        <s v="111608-Lait de vache et chèvre-"/>
        <s v="97023-Lait de vache et chèvre-"/>
        <s v="111607-Lait de vache et chèvre-"/>
        <s v="71083-Poisson, viande, pâtés-Produits de la mer"/>
        <s v="118178-Poisson, viande, pâtés-Produits de la mer"/>
        <s v="81767-Poisson, viande, pâtés-Produits de la mer"/>
        <s v="118186-Poisson, viande, pâtés-Produits de la mer"/>
        <s v="43228-Poisson, viande, pâtés-Produits de la mer"/>
        <s v="199268-Poisson, viande, pâtés-Produits de la mer"/>
        <s v="118196-Poisson, viande, pâtés-Produits de la mer"/>
        <s v="71084-Poisson, viande, pâtés-Produits de la mer"/>
        <s v="120587-Poisson, viande, pâtés-Produits de la mer"/>
        <s v="80952-Poisson, viande, pâtés-Produits de la mer"/>
        <s v="120575-Poisson, viande, pâtés-Produits de la mer"/>
        <s v="43244-Poisson, viande, pâtés-Produits de la mer"/>
        <s v="116477-Poisson, viande, pâtés-Produits de la mer"/>
        <s v="110480-Poisson, viande, pâtés-Produits de la mer"/>
        <s v="87548-Poisson, viande, pâtés-Produits de la mer"/>
        <s v="77223-Poisson, viande, pâtés-Produits de la mer"/>
        <s v="43241-Poisson, viande, pâtés-Produits de la mer"/>
        <s v="71161-Poisson, viande, pâtés-Produits de la mer"/>
        <s v="77224-Poisson, viande, pâtés-Produits de la mer"/>
        <s v="113992-Poisson, viande, pâtés-Produits de la mer"/>
        <s v="112611-Poisson, viande, pâtés-Produits de la mer"/>
        <s v="116482-Poisson, viande, pâtés-Produits de la mer"/>
        <s v="77246-Poisson, viande, pâtés-Produits de la mer"/>
        <s v="122798-Poisson, viande, pâtés-Produits de la mer"/>
        <s v="120590-Poisson, viande, pâtés-Produits de la mer"/>
        <s v="71914-Poisson, viande, pâtés-Produits de la mer"/>
        <s v="118206-Poisson, viande, pâtés-Produits de la mer"/>
        <s v="118179-Poisson, viande, pâtés-Produits de la mer"/>
        <s v="43247-Poisson, viande, pâtés-Produits de la mer"/>
        <s v="71166-Poisson, viande, pâtés-Produits de la mer"/>
        <s v="43238-Poisson, viande, pâtés-Produits de la mer"/>
        <s v="114003-Poisson, viande, pâtés-Produits de la mer"/>
        <s v="87540-Poisson, viande, pâtés-Produits de la mer"/>
        <s v="77229-Poisson, viande, pâtés-Produits de la mer"/>
        <s v="113994-Poisson, viande, pâtés-Produits de la mer"/>
        <s v="106725-Poisson, viande, pâtés-Produits de la mer"/>
        <s v="43235-Poisson, viande, pâtés-Produits de la mer"/>
        <s v="118176-Poisson, viande, pâtés-Produits de la mer"/>
        <s v="114018-Poisson, viande, pâtés-Produits de la mer"/>
        <s v="116480-Poisson, viande, pâtés-Produits de la mer"/>
        <s v="120577-Poisson, viande, pâtés-Produits de la mer"/>
        <s v="118201-Poisson, viande, pâtés-Produits de la mer"/>
        <s v="77245-Poisson, viande, pâtés-Produits de la mer"/>
        <s v="118195-Poisson, viande, pâtés-Produits de la mer"/>
        <s v="118197-Poisson, viande, pâtés-Produits de la mer"/>
        <s v="187317-Poisson, viande, pâtés-Produits de la mer"/>
        <s v="199484-Poisson, viande, pâtés-Produits de la mer"/>
        <s v="113995-Poisson, viande, pâtés-Produits de la mer"/>
        <s v="113669-Poisson, viande, pâtés-Terrines de viande et pâtés"/>
        <s v="111584-Poisson, viande, pâtés-Terrines de viande et pâtés"/>
        <s v="26123-Poisson, viande, pâtés-Terrines de viande et pâtés"/>
        <s v="113665-Poisson, viande, pâtés-Terrines de viande et pâtés"/>
        <s v="181241-Poisson, viande, pâtés-Terrines de viande et pâtés"/>
        <s v="113664-Poisson, viande, pâtés-Terrines de viande et pâtés"/>
        <s v="113677-Poisson, viande, pâtés-Terrines de viande et pâtés"/>
        <s v="120343-Poisson, viande, pâtés-Terrines de viande et pâtés"/>
        <s v="113666-Poisson, viande, pâtés-Terrines de viande et pâtés"/>
        <s v="113663-Poisson, viande, pâtés-Terrines de viande et pâtés"/>
        <s v="116983-Résistance et vitalité-Spiruline"/>
        <s v="94043-Résistance et vitalité-Spiruline"/>
        <s v="68216-Résistance et vitalité-Spiruline"/>
        <s v="80131-Résistance et vitalité-Spiruline"/>
        <s v="80998-Résistance et vitalité-Spiruline"/>
        <s v="87014-Résistance et vitalité-Spiruline"/>
        <s v="102900-Résistance et vitalité-Spiruline"/>
        <s v="80997-Résistance et vitalité-Spiruline"/>
        <s v="116989-Résistance et vitalité-Spiruline"/>
        <s v="43826-Résistance et vitalité-Spiruline"/>
        <s v="8769-Résistance et vitalité-Spiruline"/>
        <s v="104427-Résistance et vitalité-Spiruline"/>
        <s v="8770-Résistance et vitalité-Spiruline"/>
        <s v="94930-Résistance et vitalité-Anti-oxydant"/>
        <s v="111576-Résistance et vitalité-Anti-oxydant"/>
        <s v="71715-Résistance et vitalité-Anti-oxydant"/>
        <s v="71710-Résistance et vitalité-Anti-oxydant"/>
        <s v="102790-Résistance et vitalité-Jus d'herbe, Green Magma"/>
        <s v="3518-Résistance et vitalité-Jus d'herbe, Green Magma"/>
        <s v="18318-Résistance et vitalité-Jus d'herbe, Green Magma"/>
        <s v="104220-Résistance et vitalité-Energie, Vitalité, Tonus"/>
        <s v="106109-Résistance et vitalité-Energie, Vitalité, Tonus"/>
        <s v="72162-Résistance et vitalité-Energie, Vitalité, Tonus"/>
        <s v="104410-Résistance et vitalité-Energie, Vitalité, Tonus"/>
        <s v="88825-Résistance et vitalité-Energie, Vitalité, Tonus"/>
        <s v="13928-Résistance et vitalité-Energie, Vitalité, Tonus"/>
        <s v="45368-Résistance et vitalité-Energie, Vitalité, Tonus"/>
        <s v="119732-Résistance et vitalité-Energie, Vitalité, Tonus"/>
        <s v="90467-Résistance et vitalité-Energie, Vitalité, Tonus"/>
        <s v="119874-Résistance et vitalité-Energie, Vitalité, Tonus"/>
        <s v="121316-Résistance et vitalité-Energie, Vitalité, Tonus"/>
        <s v="77390-Résistance et vitalité-Energie, Vitalité, Tonus"/>
        <s v="11444-Résistance et vitalité-Refroidissement, défenses"/>
        <s v="74416-Résistance et vitalité-Refroidissement, défenses"/>
        <s v="75323-Résistance et vitalité-Refroidissement, défenses"/>
        <s v="86619-Résistance et vitalité-Refroidissement, défenses"/>
        <s v="119801-Résistance et vitalité-Refroidissement, défenses"/>
        <s v="126576-Résistance et vitalité-Refroidissement, défenses"/>
        <s v="108841-Résistance et vitalité-Refroidissement, défenses"/>
        <s v="82820-Résistance et vitalité-Refroidissement, défenses"/>
        <s v="116826-Résistance et vitalité-Refroidissement, défenses"/>
        <s v="126965-Résistance et vitalité-Refroidissement, défenses"/>
        <s v="103795-Résistance et vitalité-Refroidissement, défenses"/>
        <s v="116821-Résistance et vitalité-Refroidissement, défenses"/>
        <s v="126577-Résistance et vitalité-Refroidissement, défenses"/>
        <s v="82806-Résistance et vitalité-Refroidissement, défenses"/>
        <s v="68099-Résistance et vitalité-Refroidissement, défenses"/>
        <s v="82827-Résistance et vitalité-Refroidissement, défenses"/>
        <s v="77127-Résistance et vitalité-Refroidissement, défenses"/>
        <s v="69002-Résistance et vitalité-Refroidissement, défenses"/>
        <s v="119847-Résistance et vitalité-Refroidissement, défenses"/>
        <s v="11446-Résistance et vitalité-Refroidissement, défenses"/>
        <s v="30628-Résistance et vitalité-Refroidissement, défenses"/>
        <s v="113003-Résistance et vitalité-Refroidissement, défenses"/>
        <s v="30631-Résistance et vitalité-Refroidissement, défenses"/>
        <s v="188351-Résistance et vitalité-Refroidissement, défenses"/>
        <s v="67025-Résistance et vitalité-Citrobiotic, pépins pamplemousse"/>
        <s v="119797-Résistance et vitalité-Citrobiotic, pépins pamplemousse"/>
        <s v="3592-Résistance et vitalité-Citrobiotic, pépins pamplemousse"/>
        <s v="3586-Résistance et vitalité-Citrobiotic, pépins pamplemousse"/>
        <s v="3591-Résistance et vitalité-Citrobiotic, pépins pamplemousse"/>
        <s v="73847-Résistance et vitalité-Citrobiotic, pépins pamplemousse"/>
        <s v="3590-Résistance et vitalité-Citrobiotic, pépins pamplemousse"/>
        <s v="116903-Résistance et vitalité-Citrobiotic, pépins pamplemousse"/>
        <s v="116780-Résistance et vitalité-Citrobiotic, pépins pamplemousse"/>
        <s v="114912-Alimentation future maman-"/>
        <s v="111970-Chambre &amp; mobilier enfant-Parcs &amp; Tapis de Jeux"/>
        <s v="126973-Chambre &amp; mobilier enfant-Chaises hautes et réhausseurs"/>
        <s v="116964-Compléments alimentaires-Peaux"/>
        <s v="122340-Compléments alimentaires-Peaux"/>
        <s v="116963-Compléments alimentaires-Peaux"/>
        <s v="120241-Compléments alimentaires-Peaux"/>
        <s v="120205-Compléments alimentaires-Peaux"/>
        <s v="104162-Compléments alimentaires-Peaux"/>
        <s v="110792-Compléments alimentaires-Peaux"/>
        <s v="104169-Compléments alimentaires-Curcuma"/>
        <s v="111957-Compléments alimentaires-Oméga 3"/>
        <s v="89201-Compléments alimentaires-Oméga 3"/>
        <s v="87305-Compléments alimentaires-Oméga 3"/>
        <s v="3480-Compléments alimentaires-Oméga 3"/>
        <s v="116817-Compléments alimentaires-Oméga 3"/>
        <s v="47209-Compléments alimentaires-Oméga 3"/>
        <s v="68213-Compléments alimentaires-Féminité"/>
        <s v="100999-Compléments alimentaires-Féminité"/>
        <s v="119241-Compléments alimentaires-Féminité"/>
        <s v="133917-Compléments alimentaires-Féminité"/>
        <s v="128334-Compléments alimentaires-Féminité"/>
        <s v="113235-Compléments alimentaires-Féminité"/>
        <s v="113249-Compléments alimentaires-Vision, yeux"/>
        <s v="89210-Compléments alimentaires-Vision, yeux"/>
        <s v="104170-Compléments alimentaires-Articulations"/>
        <s v="18671-Compléments alimentaires-Articulations"/>
        <s v="83804-Compléments alimentaires-Articulations"/>
        <s v="104415-Compléments alimentaires-Articulations"/>
        <s v="78351-Compléments alimentaires-Articulations"/>
        <s v="112174-Compléments alimentaires-Articulations"/>
        <s v="120248-Compléments alimentaires-Articulations"/>
        <s v="18672-Compléments alimentaires-Articulations"/>
        <s v="13517-Compléments alimentaires-Articulations"/>
        <s v="119896-Compléments alimentaires-Articulations"/>
        <s v="120249-Compléments alimentaires-Articulations"/>
        <s v="78352-Compléments alimentaires-Articulations"/>
        <s v="45630-Compléments alimentaires-Cheveux, ongles"/>
        <s v="99726-Compléments alimentaires-Cheveux, ongles"/>
        <s v="88619-Compléments alimentaires-Cheveux, ongles"/>
        <s v="73430-Compléments alimentaires-Cheveux, ongles"/>
        <s v="98939-Compléments alimentaires-Argent colloïdal"/>
        <s v="45826-Compléments alimentaires-Argent colloïdal"/>
        <s v="100797-Compléments alimentaires-Argent colloïdal"/>
        <s v="104429-Compléments alimentaires-Circulation veineuse, sang"/>
        <s v="119806-Compléments alimentaires-Circulation veineuse, sang"/>
        <s v="120734-Compléments alimentaires-Cardiovasculaire, levure de riz"/>
        <s v="104423-Compléments alimentaires-Cardiovasculaire, levure de riz"/>
        <s v="120286-Compléments alimentaires-Cardiovasculaire, levure de riz"/>
        <s v="81838-Compléments alimentaires-Cardiovasculaire, levure de riz"/>
        <s v="117718-Compléments alimentaires-Cardiovasculaire, levure de riz"/>
        <s v="70611-Compléments alimentaires-Relaxation, sérénité, mémoire"/>
        <s v="110848-Compléments alimentaires-Relaxation, sérénité, mémoire"/>
        <s v="107925-Compléments alimentaires-Relaxation, sérénité, mémoire"/>
        <s v="156038-Compléments alimentaires-Relaxation, sérénité, mémoire"/>
        <s v="117392-Compléments alimentaires-Relaxation, sérénité, mémoire"/>
        <s v="86620-Compléments alimentaires-Relaxation, sérénité, mémoire"/>
        <s v="27871-Compléments alimentaires-Relaxation, sérénité, mémoire"/>
        <s v="82874-Compléments alimentaires-Relaxation, sérénité, mémoire"/>
        <s v="120292-Compléments alimentaires-Relaxation, sérénité, mémoire"/>
        <s v="120293-Compléments alimentaires-Relaxation, sérénité, mémoire"/>
        <s v="44522-Compléments alimentaires-Relaxation, sérénité, mémoire"/>
        <s v="143999-Compléments alimentaires-Relaxation, sérénité, mémoire"/>
        <s v="144000-Compléments alimentaires-Relaxation, sérénité, mémoire"/>
        <s v="91236-Digestion, transit, flore-Psyllium"/>
        <s v="78213-Digestion, transit, flore-Psyllium"/>
        <s v="119254-Digestion, transit, flore-Psyllium"/>
        <s v="82149-Digestion, transit, flore-Psyllium"/>
        <s v="30864-Digestion, transit, flore-Psyllium"/>
        <s v="82148-Digestion, transit, flore-Psyllium"/>
        <s v="78069-Digestion, transit, flore-Psyllium"/>
        <s v="68623-Digestion, transit, flore-Psyllium"/>
        <s v="108904-Digestion, transit, flore-Psyllium"/>
        <s v="113967-Digestion, transit, flore-Psyllium"/>
        <s v="10145-Digestion, transit, flore-Charbon végétal"/>
        <s v="116960-Digestion, transit, flore-Charbon végétal"/>
        <s v="103663-Digestion, transit, flore-Charbon végétal"/>
        <s v="45983-Digestion, transit, flore-Charbon végétal"/>
        <s v="103662-Digestion, transit, flore-Charbon végétal"/>
        <s v="78318-Digestion, transit, flore-Charbon végétal"/>
        <s v="120179-Digestion, transit, flore-Charbon végétal"/>
        <s v="10144-Digestion, transit, flore-Charbon végétal"/>
        <s v="78304-Digestion, transit, flore-Charbon végétal"/>
        <s v="86598-Digestion, transit, flore-Charbon végétal"/>
        <s v="103665-Digestion, transit, flore-Charbon végétal"/>
        <s v="77771-Digestion, transit, flore-Bien être du foie"/>
        <s v="116798-Digestion, transit, flore-Bien être du foie"/>
        <s v="100610-Digestion, transit, flore-Bien être du foie"/>
        <s v="77772-Digestion, transit, flore-Bien être du foie"/>
        <s v="119914-Digestion, transit, flore-Bien être du foie"/>
        <s v="88495-Digestion, transit, flore-Jus et gel d'Aloé"/>
        <s v="88487-Digestion, transit, flore-Jus et gel d'Aloé"/>
        <s v="109488-Digestion, transit, flore-Jus et gel d'Aloé"/>
        <s v="11401-Digestion, transit, flore-Digestion, ballonnements"/>
        <s v="45530-Digestion, transit, flore-Digestion, ballonnements"/>
        <s v="104426-Digestion, transit, flore-Digestion, ballonnements"/>
        <s v="119827-Digestion, transit, flore-Digestion, ballonnements"/>
        <s v="104384-Digestion, transit, flore-Digestion, ballonnements"/>
        <s v="121966-Digestion, transit, flore-Digestion, ballonnements"/>
        <s v="120183-Digestion, transit, flore-Equilibre intestinal, transit"/>
        <s v="82832-Digestion, transit, flore-Probiotiques, flore intestinale"/>
        <s v="117607-Digestion, transit, flore-Probiotiques, flore intestinale"/>
        <s v="116244-Digestion, transit, flore-Probiotiques, flore intestinale"/>
        <s v="81045-Digestion, transit, flore-Probiotiques, flore intestinale"/>
        <s v="106021-Digestion, transit, flore-Probiotiques, flore intestinale"/>
        <s v="86622-Digestion, transit, flore-Probiotiques, flore intestinale"/>
        <s v="82834-Digestion, transit, flore-Probiotiques, flore intestinale"/>
        <s v="81008-Digestion, transit, flore-Probiotiques, flore intestinale"/>
        <s v="83167-Digestion, transit, flore-Probiotiques, flore intestinale"/>
        <s v="86584-Digestion, transit, flore-Acidités, équilibre acidobasique"/>
        <s v="79902-Petits pots fruits bébé-"/>
        <s v="41328-Petits pots fruits bébé-"/>
        <s v="79907-Petits pots fruits bébé-"/>
        <s v="70588-Petits pots fruits bébé-"/>
        <s v="70587-Petits pots fruits bébé-"/>
        <s v="109356-Petits pots fruits bébé-"/>
        <s v="47892-Petits pots fruits bébé-"/>
        <s v="79901-Petits pots fruits bébé-"/>
        <s v="70585-Petits pots fruits bébé-"/>
        <s v="4375-Petits pots fruits bébé-Fruits en coupelle 4 mois"/>
        <s v="4380-Petits pots fruits bébé-Fruits en coupelle 4 mois"/>
        <s v="84967-Petits pots fruits bébé-Fruits en coupelle 4 mois"/>
        <s v="4381-Petits pots fruits bébé-Fruits en coupelle 4 mois"/>
        <s v="4379-Petits pots fruits bébé-Fruits en coupelle 4 mois"/>
        <s v="4383-Petits pots fruits bébé-Fruits en coupelle 4 mois"/>
        <s v="110770-Petits pots fruits bébé-Gourdes de fruits 12 mois"/>
        <s v="110764-Petits pots fruits bébé-Gourdes de fruits 12 mois"/>
        <s v="109355-Petits pots fruits bébé-Gourdes de fruits 12 mois"/>
        <s v="110765-Petits pots fruits bébé-Gourdes de fruits 12 mois"/>
        <s v="103510-Petits pots fruits bébé-Gourdes de fruits 12 mois"/>
        <s v="114936-Petits pots fruits bébé-Gourdes de fruits 12 mois"/>
        <s v="114935-Petits pots fruits bébé-Gourdes de fruits 12 mois"/>
        <s v="110768-Petits pots fruits bébé-Gourdes de fruits 12 mois"/>
        <s v="120256-Petits pots fruits bébé-Gourdes de fruits 4-6 mois"/>
        <s v="101783-Petits pots fruits bébé-Gourdes de fruits 4-6 mois"/>
        <s v="75766-Petits pots fruits bébé-Gourdes de fruits 4-6 mois"/>
        <s v="69756-Petits pots fruits bébé-Gourdes de fruits 4-6 mois"/>
        <s v="112471-Petits pots fruits bébé-Gourdes de fruits 4-6 mois"/>
        <s v="99040-Petits pots fruits bébé-Gourdes de fruits 4-6 mois"/>
        <s v="112321-Petits pots fruits bébé-Gourdes de fruits 4-6 mois"/>
        <s v="139296-Petits pots fruits bébé-Gourdes de fruits 4-6 mois"/>
        <s v="112318-Petits pots fruits bébé-Gourdes de fruits 4-6 mois"/>
        <s v="86119-Petits pots fruits bébé-Gourdes de fruits 4-6 mois"/>
        <s v="79895-Petits pots fruits bébé-Gourdes de fruits 4-6 mois"/>
        <s v="133909-Petits pots fruits bébé-Gourdes de fruits 4-6 mois"/>
        <s v="128338-Petits pots fruits bébé-Gourdes de fruits 4-6 mois"/>
        <s v="42990-Petits pots fruits bébé-Gourdes de fruits 4-6 mois"/>
        <s v="128339-Petits pots fruits bébé-Gourdes de fruits 4-6 mois"/>
        <s v="42008-Petits pots fruits bébé-Gourdes de fruits 4-6 mois"/>
        <s v="112320-Petits pots fruits bébé-Gourdes de fruits 4-6 mois"/>
        <s v="111150-Petits pots fruits bébé-Gourdes de fruits 4-6 mois"/>
        <s v="101782-Petits pots fruits bébé-Gourdes de fruits 4-6 mois"/>
        <s v="128402-Petits pots fruits bébé-Gourdes de fruits 4-6 mois"/>
        <s v="112322-Petits pots fruits bébé-Gourdes de fruits 4-6 mois"/>
        <s v="41994-Petits pots fruits bébé-Gourdes de fruits 4-6 mois"/>
        <s v="112319-Petits pots fruits bébé-Gourdes de fruits 4-6 mois"/>
        <s v="42002-Petits pots fruits bébé-Gourdes de fruits 4-6 mois"/>
        <s v="120263-Petits pots fruits bébé-Gourdes de fruits 4-6 mois"/>
        <s v="112855-Petits pots fruits bébé-Gourdes de fruits 4-6 mois"/>
        <s v="111151-Petits pots fruits bébé-Gourdes de fruits 4-6 mois"/>
        <s v="111152-Petits pots fruits bébé-Gourdes de fruits 4-6 mois"/>
        <s v="122224-Petits pots fruits bébé-Gourdes de fruits 4-6 mois"/>
        <s v="124709-Petits pots fruits bébé-Gourdes de fruits 4-6 mois"/>
        <s v="99039-Petits pots fruits bébé-Gourdes de fruits 4-6 mois"/>
        <s v="82928-Petits pots fruits bébé-Gourdes de fruits 4-6 mois"/>
        <s v="111149-Petits pots fruits bébé-Gourdes de fruits 4-6 mois"/>
        <s v="82927-Petits pots fruits bébé-Gourdes de fruits 4-6 mois"/>
        <s v="112317-Petits pots fruits bébé-Gourdes de fruits 4-6 mois"/>
        <s v="140597-Petits pots fruits bébé-Gourdes de fruits 4-6 mois"/>
        <s v="122229-Petits pots fruits bébé-Gourdes de fruits 4-6 mois"/>
        <s v="112473-Petits pots fruits bébé-Gourdes de fruits 4-6 mois"/>
        <s v="122226-Petits pots fruits bébé-Gourdes de fruits 4-6 mois"/>
        <s v="4385-Petits pots fruits bébé-Fruits en coupelle 6-8 mois"/>
        <s v="41029-Petits pots fruits bébé-Fruits en coupelle 6-8 mois"/>
        <s v="4386-Petits pots fruits bébé-Fruits en coupelle 6-8 mois"/>
        <s v="41030-Petits pots fruits bébé-Fruits en coupelle 6-8 mois"/>
        <s v="84950-Petits pots fruits bébé-Fruits en coupelle 6-8 mois"/>
        <s v="45255-Petits pots fruits bébé-Petits pots de fruits +8 mois"/>
        <s v="108070-Petits pots fruits bébé-Petits pots de fruits +8 mois"/>
        <s v="108069-Petits pots fruits bébé-Petits pots de fruits +8 mois"/>
        <s v="9668-Petits pots fruits bébé-Petits pots de fruits 4-6 mois"/>
        <s v="26322-Petits pots fruits bébé-Petits pots de fruits 4-6 mois"/>
        <s v="70413-Petits pots fruits bébé-Petits pots de fruits 4-6 mois"/>
        <s v="4389-Petits pots fruits bébé-Petits pots de fruits 4-6 mois"/>
        <s v="128340-Petits pots fruits bébé-Petits pots de fruits 4-6 mois"/>
        <s v="108071-Petits pots fruits bébé-Petits pots de fruits 4-6 mois"/>
        <s v="108068-Petits pots fruits bébé-Petits pots de fruits 4-6 mois"/>
        <s v="9662-Petits pots fruits bébé-Petits pots de fruits 4-6 mois"/>
        <s v="117611-Petits pots fruits bébé-Petits pots de fruits 4-6 mois"/>
        <s v="111148-Petits pots fruits bébé-Petits pots de fruits 4-6 mois"/>
        <s v="9680-Petits pots fruits bébé-Petits pots de fruits 4-6 mois"/>
        <s v="117605-Petits pots fruits bébé-Petits pots de fruits 4-6 mois"/>
        <s v="108077-Petits pots fruits bébé-Petits pots de fruits 4-6 mois"/>
        <s v="9681-Petits pots fruits bébé-Petits pots de fruits 4-6 mois"/>
        <s v="4388-Petits pots fruits bébé-Petits pots de fruits 4-6 mois"/>
        <s v="99036-Petits pots fruits bébé-Petits pots de fruits 4-6 mois"/>
        <s v="109344-Petits pots fruits bébé-Petits pots de fruits 4-6 mois"/>
        <s v="9663-Petits pots fruits bébé-Petits pots de fruits 4-6 mois"/>
        <s v="119106-Petits pots fruits bébé-Petits pots de fruits 4-6 mois"/>
        <s v="9664-Petits pots fruits bébé-Petits pots de fruits 4-6 mois"/>
        <s v="108064-Petits pots fruits bébé-Petits pots de fruits 4-6 mois"/>
        <s v="70414-Petits pots fruits bébé-Petits pots de fruits 4-6 mois"/>
        <s v="9673-Petits pots fruits bébé-Petits pots de fruits 4-6 mois"/>
        <s v="117604-Petits pots fruits bébé-Petits pots de fruits 4-6 mois"/>
        <s v="45165-Petits pots fruits bébé-Petits pots de fruits 4-6 mois"/>
        <s v="128341-Petits pots fruits bébé-Petits pots de fruits 4-6 mois"/>
        <s v="101917-Petits pots fruits bébé-Petits pots de fruits 4-6 mois"/>
        <s v="79419-Petits pots fruits bébé-Petits pots de fruits 4-6 mois"/>
        <s v="9675-Petits pots fruits bébé-Petits pots de fruits 4-6 mois"/>
        <s v="9671-Petits pots fruits bébé-Petits pots de fruits 4-6 mois"/>
        <s v="20247-Céréales petit déjeuner-Porridge"/>
        <s v="109240-Céréales petit déjeuner-Porridge"/>
        <s v="104079-Céréales petit déjeuner-Porridge"/>
        <s v="126567-Céréales petit déjeuner-Porridge"/>
        <s v="45567-Céréales petit déjeuner-Porridge"/>
        <s v="109241-Céréales petit déjeuner-Porridge"/>
        <s v="126564-Céréales petit déjeuner-Porridge"/>
        <s v="20246-Céréales petit déjeuner-Porridge"/>
        <s v="99321-Céréales petit déjeuner-Porridge"/>
        <s v="99322-Céréales petit déjeuner-Porridge"/>
        <s v="126561-Céréales petit déjeuner-Porridge"/>
        <s v="113871-Céréales petit déjeuner-Muesli nature"/>
        <s v="68332-Céréales petit déjeuner-Muesli nature"/>
        <s v="102081-Céréales petit déjeuner-Muesli nature"/>
        <s v="84213-Céréales petit déjeuner-Muesli nature"/>
        <s v="68302-Céréales petit déjeuner-Muesli nature"/>
        <s v="88238-Céréales petit déjeuner-Muesli nature"/>
        <s v="84202-Céréales petit déjeuner-Muesli nature"/>
        <s v="84226-Céréales petit déjeuner-Muesli aux fruits"/>
        <s v="104071-Céréales petit déjeuner-Muesli aux fruits"/>
        <s v="104075-Céréales petit déjeuner-Muesli aux fruits"/>
        <s v="91042-Céréales petit déjeuner-Muesli aux fruits"/>
        <s v="108047-Céréales petit déjeuner-Muesli aux fruits"/>
        <s v="90993-Céréales petit déjeuner-Muesli aux fruits"/>
        <s v="19277-Céréales petit déjeuner-Muesli aux fruits"/>
        <s v="84223-Céréales petit déjeuner-Muesli aux fruits"/>
        <s v="84225-Céréales petit déjeuner-Muesli aux fruits"/>
        <s v="113865-Céréales petit déjeuner-Muesli aux fruits"/>
        <s v="94645-Céréales petit déjeuner-Muesli aux fruits"/>
        <s v="104073-Céréales petit déjeuner-Muesli aux fruits"/>
        <s v="113880-Céréales petit déjeuner-Muesli aux fruits"/>
        <s v="91045-Céréales petit déjeuner-Muesli aux fruits"/>
        <s v="84231-Céréales petit déjeuner-Muesli aux fruits"/>
        <s v="68321-Céréales petit déjeuner-Muesli aux fruits"/>
        <s v="84211-Céréales petit déjeuner-Muesli au chocolat"/>
        <s v="158663-Céréales petit déjeuner-Muesli au chocolat"/>
        <s v="113874-Céréales petit déjeuner-Muesli au chocolat"/>
        <s v="84234-Céréales petit déjeuner-Muesli au chocolat"/>
        <s v="76642-Céréales petit déjeuner-Muesli au chocolat"/>
        <s v="126573-Céréales petit déjeuner-Muesli au chocolat"/>
        <s v="113877-Céréales petit déjeuner-Muesli au chocolat"/>
        <s v="84212-Céréales petit déjeuner-Muesli au chocolat"/>
        <s v="84203-Céréales petit déjeuner-Muesli au chocolat"/>
        <s v="91038-Céréales petit déjeuner-Céréale soufflée"/>
        <s v="19335-Céréales petit déjeuner-Céréale soufflée"/>
        <s v="103073-Céréales petit déjeuner-Céréale soufflée"/>
        <s v="122261-Céréales petit déjeuner-Flocons de Céréales"/>
        <s v="68315-Céréales petit déjeuner-Flocons de Céréales"/>
        <s v="110229-Céréales petit déjeuner-Flocons de Céréales"/>
        <s v="5548-Céréales petit déjeuner-Flocons de Céréales"/>
        <s v="126544-Céréales petit déjeuner-Flocons de Céréales"/>
        <s v="90792-Céréales petit déjeuner-Flocons de Céréales"/>
        <s v="126541-Céréales petit déjeuner-Flocons de Céréales"/>
        <s v="71190-Céréales petit déjeuner-Flocons de Céréales"/>
        <s v="76425-Céréales petit déjeuner-Flocons de Céréales"/>
        <s v="76422-Céréales petit déjeuner-Flocons de Céréales"/>
        <s v="159201-Céréales petit déjeuner-Flocons de Céréales"/>
        <s v="76421-Céréales petit déjeuner-Flocons de Céréales"/>
        <s v="76424-Céréales petit déjeuner-Flocons de Céréales"/>
        <s v="90766-Céréales petit déjeuner-Flocons de Céréales"/>
        <s v="5538-Céréales petit déjeuner-Flocons de Céréales"/>
        <s v="68371-Céréales petit déjeuner-Flocons de Céréales"/>
        <s v="90808-Céréales petit déjeuner-Flocons de Céréales"/>
        <s v="5543-Céréales petit déjeuner-Flocons de Céréales"/>
        <s v="76420-Céréales petit déjeuner-Flocons de Céréales"/>
        <s v="68364-Céréales petit déjeuner-Flocons de Céréales"/>
        <s v="5541-Céréales petit déjeuner-Flocons de Céréales"/>
        <s v="5544-Céréales petit déjeuner-Flocons de Céréales"/>
        <s v="122257-Céréales petit déjeuner-Flocons de Céréales"/>
        <s v="90740-Céréales petit déjeuner-Flocons de Céréales"/>
        <s v="48280-Céréales petit déjeuner-Flocons de Céréales"/>
        <s v="71191-Céréales petit déjeuner-Flocons de Céréales"/>
        <s v="76418-Céréales petit déjeuner-Flocons de Céréales"/>
        <s v="87161-Céréales petit déjeuner-Flocons de Céréales"/>
        <s v="68323-Céréales petit déjeuner-Flocons de Céréales"/>
        <s v="72847-Céréales petit déjeuner-Flocons de Céréales"/>
        <s v="90799-Céréales petit déjeuner-Flocons de Céréales"/>
        <s v="71194-Céréales petit déjeuner-Flocons de Céréales"/>
        <s v="68378-Céréales petit déjeuner-Flocons de Céréales"/>
        <s v="76426-Céréales petit déjeuner-Flocons de Céréales"/>
        <s v="76413-Céréales petit déjeuner-Flocons de Céréales"/>
        <s v="68306-Céréales petit déjeuner-Flocons de Céréales"/>
        <s v="48283-Céréales petit déjeuner-Flocons de Céréales"/>
        <s v="81172-Céréales petit déjeuner-Flocons de Céréales"/>
        <s v="68328-Céréales petit déjeuner-Flocons de Céréales"/>
        <s v="158667-Céréales petit déjeuner-Flocons de Céréales"/>
        <s v="5539-Céréales petit déjeuner-Flocons de Céréales"/>
        <s v="68413-Céréales petit déjeuner-Flocons de Céréales"/>
        <s v="68345-Céréales petit déjeuner-Flocons de Céréales"/>
        <s v="70377-Céréales petit déjeuner-Flocons de Céréales"/>
        <s v="126547-Céréales petit déjeuner-Flocons de Céréales"/>
        <s v="117218-Céréales petit déjeuner-Flocons de Céréales"/>
        <s v="158668-Céréales petit déjeuner-Flocons de Céréales"/>
        <s v="19314-Céréales petit déjeuner-Granola, Crunchy, Krounchy"/>
        <s v="113867-Céréales petit déjeuner-Granola, Crunchy, Krounchy"/>
        <s v="19294-Céréales petit déjeuner-Granola, Crunchy, Krounchy"/>
        <s v="90961-Céréales petit déjeuner-Granola, Crunchy, Krounchy"/>
        <s v="118480-Céréales petit déjeuner-Granola, Crunchy, Krounchy"/>
        <s v="98337-Céréales petit déjeuner-Granola, Crunchy, Krounchy"/>
        <s v="90955-Céréales petit déjeuner-Granola, Crunchy, Krounchy"/>
        <s v="19303-Céréales petit déjeuner-Granola, Crunchy, Krounchy"/>
        <s v="98338-Céréales petit déjeuner-Granola, Crunchy, Krounchy"/>
        <s v="98339-Céréales petit déjeuner-Granola, Crunchy, Krounchy"/>
        <s v="19296-Céréales petit déjeuner-Granola, Crunchy, Krounchy"/>
        <s v="19306-Céréales petit déjeuner-Granola, Crunchy, Krounchy"/>
        <s v="90969-Céréales petit déjeuner-Granola, Crunchy, Krounchy"/>
        <s v="19299-Céréales petit déjeuner-Granola, Crunchy, Krounchy"/>
        <s v="5764-Céréales petit déjeuner-Granola, Crunchy, Krounchy"/>
        <s v="114667-Céréales petit déjeuner-Granola, Crunchy, Krounchy"/>
        <s v="113870-Céréales petit déjeuner-Granola, Crunchy, Krounchy"/>
        <s v="127918-Céréales petit déjeuner-Granola, Crunchy, Krounchy"/>
        <s v="127917-Céréales petit déjeuner-Granola, Crunchy, Krounchy"/>
        <s v="19297-Céréales petit déjeuner-Granola, Crunchy, Krounchy"/>
        <s v="19316-Céréales petit déjeuner-Granola, Crunchy, Krounchy"/>
        <s v="118481-Céréales petit déjeuner-Granola, Crunchy, Krounchy"/>
        <s v="118366-Céréales petit déjeuner-Granola, Crunchy, Krounchy"/>
        <s v="111183-Céréales petit déjeuner-Petit déjeuner instantané"/>
        <s v="124735-Céréales petit déjeuner-Petit déjeuner instantané"/>
        <s v="78727-Céréales petit déjeuner-Petit déjeuner instantané"/>
        <s v="111182-Céréales petit déjeuner-Petit déjeuner instantané"/>
        <s v="78734-Céréales petit déjeuner-Petit déjeuner instantané"/>
        <s v="78729-Céréales petit déjeuner-Petit déjeuner instantané"/>
        <s v="111662-Céréales petit déjeuner-Petit déjeuner instantané"/>
        <s v="78728-Céréales petit déjeuner-Petit déjeuner instantané"/>
        <s v="119082-Céréales petit déjeuner-Flakes, pétales de céréales"/>
        <s v="5770-Céréales petit déjeuner-Flakes, pétales de céréales"/>
        <s v="103072-Céréales petit déjeuner-Flakes, pétales de céréales"/>
        <s v="19344-Céréales petit déjeuner-Flakes, pétales de céréales"/>
        <s v="84219-Céréales petit déjeuner-Flakes, pétales de céréales"/>
        <s v="19345-Céréales petit déjeuner-Flakes, pétales de céréales"/>
        <s v="90816-Céréales petit déjeuner-Flakes, pétales de céréales"/>
        <s v="23198-Céréales petit déjeuner-Flakes, pétales de céréales"/>
        <s v="87207-Céréales petit déjeuner-Flakes, pétales de céréales"/>
        <s v="5694-Céréales petit déjeuner-Flakes, pétales de céréales"/>
        <s v="119084-Céréales petit déjeuner-Flakes, pétales de céréales"/>
        <s v="127927-Céréales petit déjeuner-Flakes, pétales de céréales"/>
        <s v="111184-Céréales petit déjeuner-Flakes, pétales de céréales"/>
        <s v="19341-Céréales petit déjeuner-Flakes, pétales de céréales"/>
        <s v="118485-Céréales petit déjeuner-Céréale enfant petit déjeuner"/>
        <s v="110565-Céréales petit déjeuner-Céréale enfant petit déjeuner"/>
        <s v="118484-Céréales petit déjeuner-Céréale enfant petit déjeuner"/>
        <s v="107652-Céréales petit déjeuner-Céréale enfant petit déjeuner"/>
        <s v="107673-Céréales petit déjeuner-Céréale enfant petit déjeuner"/>
        <s v="107902-Céréales petit déjeuner-Céréale enfant petit déjeuner"/>
        <s v="19340-Céréales petit déjeuner-Céréale enfant petit déjeuner"/>
        <s v="69190-Céréales petit déjeuner-Céréale enfant petit déjeuner"/>
        <s v="48451-Céréales petit déjeuner-Céréale enfant petit déjeuner"/>
        <s v="19339-Céréales petit déjeuner-Céréale enfant petit déjeuner"/>
        <s v="69195-Céréales petit déjeuner-Céréale enfant petit déjeuner"/>
        <s v="77192-Céréales petit déjeuner-Céréale enfant petit déjeuner"/>
        <s v="95922-Céréales petit déjeuner-Céréale enfant petit déjeuner"/>
        <s v="116779-Céréales petit déjeuner-Céréale enfant petit déjeuner"/>
        <s v="69238-Céréales petit déjeuner-Céréale enfant petit déjeuner"/>
        <s v="19337-Céréales petit déjeuner-Céréale enfant petit déjeuner"/>
        <s v="19326-Céréales petit déjeuner-Céréale enfant petit déjeuner"/>
        <s v="69251-Céréales petit déjeuner-Céréale enfant petit déjeuner"/>
        <s v="81871-Céréales petit déjeuner-Céréale enfant petit déjeuner"/>
        <s v="19321-Céréales petit déjeuner-Céréale enfant petit déjeuner"/>
        <s v="117618-Petits pots bébé du midi-"/>
        <s v="117623-Petits pots bébé du midi-"/>
        <s v="117614-Petits pots bébé du midi-"/>
        <s v="14393-Petits pots bébé du midi-Petits pots midi 4-6 mois"/>
        <s v="70419-Petits pots bébé du midi-Petits pots midi 4-6 mois"/>
        <s v="111147-Petits pots bébé du midi-Petits pots midi 4-6 mois"/>
        <s v="4325-Petits pots bébé du midi-Petits pots midi 4-6 mois"/>
        <s v="4321-Petits pots bébé du midi-Petits pots midi 4-6 mois"/>
        <s v="70418-Petits pots bébé du midi-Petits pots midi 4-6 mois"/>
        <s v="80648-Petits pots bébé du midi-Petits pots midi 4-6 mois"/>
        <s v="70417-Petits pots bébé du midi-Petits pots midi 4-6 mois"/>
        <s v="79420-Petits pots bébé du midi-Petits pots midi 4-6 mois"/>
        <s v="4327-Petits pots bébé du midi-Petits pots midi 4-6 mois"/>
        <s v="89505-Petits pots bébé du midi-Petits pots midi 4-6 mois"/>
        <s v="128344-Petits pots bébé du midi-Petits pots midi 4-6 mois"/>
        <s v="79421-Petits pots bébé du midi-Petits pots midi 4-6 mois"/>
        <s v="128336-Petits pots bébé du midi-Petits pots midi 4-6 mois"/>
        <s v="5081-Petits pots bébé du midi-Petits pots midi 4-6 mois"/>
        <s v="79423-Petits pots bébé du midi-Petits pots midi 4-6 mois"/>
        <s v="116481-Petits pots bébé du midi-Pâtes bébé, condiments"/>
        <s v="118278-Petits pots bébé du midi-Pâtes bébé, condiments"/>
        <s v="116440-Petits pots bébé du midi-Pâtes bébé, condiments"/>
        <s v="116478-Petits pots bébé du midi-Pâtes bébé, condiments"/>
        <s v="139305-Petits pots bébé du midi-Pâtes bébé, condiments"/>
        <s v="118280-Petits pots bébé du midi-Pâtes bébé, condiments"/>
        <s v="116506-Petits pots bébé du midi-Pâtes bébé, condiments"/>
        <s v="116504-Petits pots bébé du midi-Pâtes bébé, condiments"/>
        <s v="116435-Petits pots bébé du midi-Pâtes bébé, condiments"/>
        <s v="70575-Petits pots bébé du midi-Pâtes bébé, condiments"/>
        <s v="128343-Petits pots bébé du midi-Petits pots midi 8-12 mois"/>
        <s v="112099-Petits pots bébé du midi-Petits pots midi 8-12 mois"/>
        <s v="128337-Petits pots bébé du midi-Petits pots midi 8-12 mois"/>
        <s v="4339-Petits pots bébé du midi-Petits pots midi 8-12 mois"/>
        <s v="14399-Petits pots bébé du midi-Petits pots midi 8-12 mois"/>
        <s v="4340-Petits pots bébé du midi-Petits pots midi 8-12 mois"/>
        <s v="45250-Petits pots bébé du midi-Petits pots midi 8-12 mois"/>
        <s v="9651-Petits pots bébé du midi-Petits pots midi 8-12 mois"/>
        <s v="4329-Petits pots bébé du midi-Petits pots midi 8-12 mois"/>
        <s v="4338-Petits pots bébé du midi-Petits pots midi 8-12 mois"/>
        <s v="112100-Petits pots bébé du midi-Petits pots midi 8-12 mois"/>
        <s v="9650-Petits pots bébé du midi-Petits pots midi 8-12 mois"/>
        <s v="9649-Petits pots bébé du midi-Petits pots midi 8-12 mois"/>
        <s v="9652-Petits pots bébé du midi-Petits pots midi 8-12 mois"/>
        <s v="79426-Petits pots bébé du midi-Petits pots midi 8-12 mois"/>
        <s v="79425-Petits pots bébé du midi-Petits pots midi 8-12 mois"/>
        <s v="4335-Petits pots bébé du midi-Petits pots midi 8-12 mois"/>
        <s v="70420-Petits pots bébé du midi-Petits pots midi 8-12 mois"/>
        <s v="9655-Petits pots bébé du midi-Petits pots midi 8-12 mois"/>
        <s v="68510-Petits pots bébé du midi-Assiettes midi bébé 12 mois"/>
        <s v="11068-Petits pots bébé du midi-Assiettes midi bébé 12 mois"/>
        <s v="79888-Petits pots bébé du midi-Assiettes midi bébé 12 mois"/>
        <s v="108982-Petits pots bébé du midi-Assiettes midi bébé 12 mois"/>
        <s v="88020-Petits pots bébé du midi-Assiettes midi bébé 12 mois"/>
        <s v="44824-Petits pots bébé du midi-Assiettes midi bébé 12 mois"/>
        <s v="46900-Petits pots bébé du midi-Assiettes midi bébé 12 mois"/>
        <s v="41981-Petits pots bébé du midi-Assiettes midi bébé 12 mois"/>
        <s v="44825-Petits pots bébé du midi-Assiettes midi bébé 12 mois"/>
        <s v="6875-Petits pots bébé du midi-Assiettes midi bébé 12 mois"/>
        <s v="108981-Petits pots bébé du midi-Assiettes midi bébé 12 mois"/>
        <s v="110931-Petits pots bébé du midi-Assiettes midi bébé 12 mois"/>
        <s v="99037-Petits pots bébé du midi-Assiettes midi bébé 12 mois"/>
        <s v="99096-Petits pots bébé du midi-Assiettes midi bébé 12 mois"/>
        <s v="41986-Petits pots bébé du midi-Assiettes midi bébé 12 mois"/>
        <s v="79430-Petits pots bébé du midi-Assiettes midi bébé 12 mois"/>
        <s v="41921-Petits pots bébé du midi-Assiettes midi bébé 6-8 mois"/>
        <s v="41910-Petits pots bébé du midi-Assiettes midi bébé 6-8 mois"/>
        <s v="11069-Petits pots bébé du midi-Assiettes midi bébé 6-8 mois"/>
        <s v="41924-Petits pots bébé du midi-Assiettes midi bébé 6-8 mois"/>
        <s v="133913-Petits pots bébé du midi-Assiettes midi bébé 6-8 mois"/>
        <s v="70422-Petits pots bébé du midi-Assiettes midi bébé 6-8 mois"/>
        <s v="17812-Petits pots bébé du midi-Assiettes midi bébé 15-18 mois"/>
        <s v="70429-Petits pots bébé du midi-Assiettes midi bébé 15-18 mois"/>
        <s v="70428-Petits pots bébé du midi-Assiettes midi bébé 15-18 mois"/>
        <s v="99038-Petits pots bébé du midi-Assiettes midi bébé 15-18 mois"/>
        <s v="11071-Petits pots bébé du midi-Assiettes midi bébé 15-18 mois"/>
        <s v="17066-Petits pots bébé du midi-Assiettes midi bébé 15-18 mois"/>
        <s v="117649-Petits pots bébé du midi-Assiettes midi bébé 15-18 mois"/>
        <s v="70426-Petits pots bébé du midi-Assiettes midi bébé 15-18 mois"/>
        <s v="75750-Petits pots bébé du midi-Assiettes midi bébé 15-18 mois"/>
        <s v="117644-Petits pots bébé du midi-Assiettes midi bébé 15-18 mois"/>
        <s v="68512-Petits pots bébé du midi-Assiettes midi bébé 15-18 mois"/>
        <s v="12792-Petits pots bébé du midi-Sachets cuisinés bébé 6-8 mois"/>
        <s v="46684-Petits pots bébé du midi-Sachets cuisinés bébé 6-8 mois"/>
        <s v="12795-Petits pots bébé du midi-Sachets cuisinés bébé 6-8 mois"/>
        <s v="46686-Petits pots bébé du midi-Sachets cuisinés bébé 6-8 mois"/>
        <s v="12804-Petits pots bébé du midi-Sachets cuisinés bébé 6-8 mois"/>
        <s v="12799-Petits pots bébé du midi-Sachets cuisinés bébé 6-8 mois"/>
        <s v="100914-Petits pots bébé du midi-Sachets cuisinés bébé 6-8 mois"/>
        <s v="12802-Petits pots bébé du midi-Sachets cuisinés bébé 6-8 mois"/>
        <s v="100907-Petits pots bébé du midi-Sachets cuisinés bébé 6-8 mois"/>
        <s v="12794-Petits pots bébé du midi-Sachets cuisinés bébé 6-8 mois"/>
        <s v="4261-Petits pots bébé du soir-Petits pots soir 4-6 mois"/>
        <s v="9656-Petits pots bébé du soir-Petits pots soir 4-6 mois"/>
        <s v="9657-Petits pots bébé du soir-Petits pots soir 4-6 mois"/>
        <s v="9660-Petits pots bébé du soir-Petits pots soir 4-6 mois"/>
        <s v="9648-Petits pots bébé du soir-Petits pots soir 8-12 mois"/>
        <s v="79424-Petits pots bébé du soir-Petits pots soir 8-12 mois"/>
        <s v="4267-Petits pots bébé du soir-Petits pots soir 8-12 mois"/>
        <s v="9647-Petits pots bébé du soir-Petits pots soir 8-12 mois"/>
        <s v="110772-Petits pots bébé du soir-Petits pots soir 8-12 mois"/>
        <s v="4255-Petits pots bébé du soir-Petits pots soir 8-12 mois"/>
        <s v="4270-Petits pots bébé du soir-Petits pots soir 8-12 mois"/>
        <s v="4264-Petits pots bébé du soir-Petits pots soir 8-12 mois"/>
        <s v="4271-Petits pots bébé du soir-Petits pots soir 8-12 mois"/>
        <s v="79428-Petits pots bébé du soir-Petits pots soir 8-12 mois"/>
        <s v="68509-Petits pots bébé du soir-Assiettes soir bébé 12 mois"/>
        <s v="112104-Petits pots bébé du soir-Assiettes soir bébé 12 mois"/>
        <s v="79885-Petits pots bébé du soir-Assiettes soir bébé 12 mois"/>
        <s v="6876-Petits pots bébé du soir-Assiettes soir bébé 12 mois"/>
        <s v="79427-Petits pots bébé du soir-Assiettes soir bébé 12 mois"/>
        <s v="44828-Petits pots bébé du soir-Assiettes soir bébé 12 mois"/>
        <s v="122213-Petits pots bébé du soir-Assiettes soir bébé 12 mois"/>
        <s v="46903-Petits pots bébé du soir-Assiettes soir bébé 12 mois"/>
        <s v="80359-Petits pots bébé du soir-Assiettes soir bébé 12 mois"/>
        <s v="44827-Petits pots bébé du soir-Assiettes soir bébé 12 mois"/>
        <s v="79882-Petits pots bébé du soir-Assiettes soir bébé 12 mois"/>
        <s v="11065-Petits pots bébé du soir-Assiettes soir bébé 12 mois"/>
        <s v="41991-Petits pots bébé du soir-Assiettes soir bébé 12 mois"/>
        <s v="6877-Petits pots bébé du soir-Assiettes soir bébé 12 mois"/>
        <s v="4290-Petits pots bébé du soir-Assiettes soir bébé 12 mois"/>
        <s v="4905-Petits pots bébé du soir-Assiettes soir bébé 12 mois"/>
        <s v="41979-Petits pots bébé du soir-Assiettes soir bébé 6-8 mois"/>
        <s v="41925-Petits pots bébé du soir-Assiettes soir bébé 6-8 mois"/>
        <s v="17067-Petits pots bébé du soir-Assiettes soir bébé 15-18 mois"/>
        <s v="70425-Petits pots bébé du soir-Assiettes soir bébé 15-18 mois"/>
        <s v="17065-Petits pots bébé du soir-Assiettes soir bébé 15-18 mois"/>
        <s v="103514-Petits pots bébé du soir-Assiettes soir bébé 15-18 mois"/>
        <s v="4298-Petits pots bébé du soir-Assiettes soir bébé 15-18 mois"/>
        <s v="4301-Petits pots bébé du soir-Assiettes soir bébé 15-18 mois"/>
        <s v="75752-Petits pots bébé du soir-Assiettes soir bébé 15-18 mois"/>
        <s v="21520-Légumineuses et céréales-Soja"/>
        <s v="82206-Légumineuses et céréales-Soja"/>
        <s v="5599-Légumineuses et céréales-Soja"/>
        <s v="87231-Légumineuses et céréales-Soja"/>
        <s v="5861-Légumineuses et céréales-Soja"/>
        <s v="90909-Légumineuses et céréales-Soja"/>
        <s v="21523-Légumineuses et céréales-Soja"/>
        <s v="5485-Légumineuses et céréales-Quinoa bio"/>
        <s v="77294-Légumineuses et céréales-Quinoa bio"/>
        <s v="5486-Légumineuses et céréales-Quinoa bio"/>
        <s v="77293-Légumineuses et céréales-Quinoa bio"/>
        <s v="112230-Légumineuses et céréales-Quinoa bio"/>
        <s v="83607-Légumineuses et céréales-Quinoa bio"/>
        <s v="117216-Légumineuses et céréales-Quinoa bio"/>
        <s v="5487-Légumineuses et céréales-Quinoa bio"/>
        <s v="77295-Légumineuses et céréales-Quinoa bio"/>
        <s v="89774-Légumineuses et céréales-Quinoa bio"/>
        <s v="5483-Légumineuses et céréales-Quinoa bio"/>
        <s v="120541-Légumineuses et céréales-Quinoa bio"/>
        <s v="100249-Légumineuses et céréales-Quinoa bio"/>
        <s v="119242-Légumineuses et céréales-Quinoa bio"/>
        <s v="90868-Légumineuses et céréales-Légumineuses"/>
        <s v="90854-Légumineuses et céréales-Légumineuses"/>
        <s v="76568-Légumineuses et céréales-Légumineuses"/>
        <s v="76589-Légumineuses et céréales-Légumineuses"/>
        <s v="76581-Légumineuses et céréales-Légumineuses"/>
        <s v="77250-Légumineuses et céréales-Légumineuses"/>
        <s v="87222-Légumineuses et céréales-Légumineuses"/>
        <s v="122120-Légumineuses et céréales-Légumineuses"/>
        <s v="122121-Légumineuses et céréales-Légumineuses"/>
        <s v="90880-Légumineuses et céréales-Légumineuses"/>
        <s v="122088-Légumineuses et céréales-Légumineuses"/>
        <s v="90886-Légumineuses et céréales-Légumineuses"/>
        <s v="90755-Légumineuses et céréales-Légumineuses"/>
        <s v="111045-Légumineuses et céréales-Légumineuses"/>
        <s v="76582-Légumineuses et céréales-Légumineuses"/>
        <s v="76570-Légumineuses et céréales-Légumineuses"/>
        <s v="87099-Légumineuses et céréales-Légumineuses"/>
        <s v="76569-Légumineuses et céréales-Légumineuses"/>
        <s v="5586-Légumineuses et céréales-Légumineuses"/>
        <s v="5600-Légumineuses et céréales-Légumineuses"/>
        <s v="120390-Légumineuses et céréales-Légumineuses"/>
        <s v="76389-Légumineuses et céréales-Légumineuses"/>
        <s v="5601-Légumineuses et céréales-Légumineuses"/>
        <s v="202579-Légumineuses et céréales-Légumineuses"/>
        <s v="5584-Légumineuses et céréales-Légumineuses"/>
        <s v="90888-Légumineuses et céréales-Légumineuses"/>
        <s v="76584-Légumineuses et céréales-Légumineuses"/>
        <s v="87171-Légumineuses et céréales-Légumineuses"/>
        <s v="110569-Légumineuses et céréales-Légumineuses"/>
        <s v="5588-Légumineuses et céréales-Légumineuses"/>
        <s v="117165-Légumineuses et céréales-Légumineuses"/>
        <s v="5587-Légumineuses et céréales-Légumineuses"/>
        <s v="68359-Légumineuses et céréales-Légumineuses"/>
        <s v="5590-Légumineuses et céréales-Légumineuses"/>
        <s v="76475-Légumineuses et céréales-Légumineuses"/>
        <s v="147309-Légumineuses et céréales-Légumineuses"/>
        <s v="120533-Légumineuses et céréales-Légumineuses"/>
        <s v="5591-Légumineuses et céréales-Légumineuses"/>
        <s v="77248-Légumineuses et céréales-Légumineuses"/>
        <s v="90819-Légumineuses et céréales-Légumineuses"/>
        <s v="90820-Légumineuses et céréales-Légumineuses"/>
        <s v="90839-Légumineuses et céréales-Légumineuses"/>
        <s v="90858-Légumineuses et céréales-Légumineuses"/>
        <s v="76588-Légumineuses et céréales-Légumineuses"/>
        <s v="90671-Légumineuses et céréales-Céréales en grains"/>
        <s v="77194-Légumineuses et céréales-Céréales en grains"/>
        <s v="5504-Légumineuses et céréales-Céréales en grains"/>
        <s v="90662-Légumineuses et céréales-Céréales en grains"/>
        <s v="87288-Légumineuses et céréales-Céréales en grains"/>
        <s v="5494-Légumineuses et céréales-Céréales en grains"/>
        <s v="76637-Légumineuses et céréales-Céréales en grains"/>
        <s v="76601-Légumineuses et céréales-Céréales en grains"/>
        <s v="87202-Légumineuses et céréales-Céréales en grains"/>
        <s v="122244-Légumineuses et céréales-Céréales en grains"/>
        <s v="122075-Légumineuses et céréales-Céréales en grains"/>
        <s v="90735-Légumineuses et céréales-Céréales en grains"/>
        <s v="20951-Légumineuses et céréales-Céréales en grains"/>
        <s v="5502-Légumineuses et céréales-Céréales en grains"/>
        <s v="90669-Légumineuses et céréales-Céréales en grains"/>
        <s v="90673-Légumineuses et céréales-Céréales en grains"/>
        <s v="68403-Légumineuses et céréales-Céréales en grains"/>
        <s v="76636-Légumineuses et céréales-Céréales en grains"/>
        <s v="77397-Légumineuses et céréales-Céréales en grains"/>
        <s v="76195-Légumineuses et céréales-Céréales en grains"/>
        <s v="90710-Légumineuses et céréales-Céréales en grains"/>
        <s v="117148-Légumineuses et céréales-Céréales en grains"/>
        <s v="5493-Légumineuses et céréales-Céréales en grains"/>
        <s v="76671-Légumineuses et céréales-Céréales en grains"/>
        <s v="90678-Légumineuses et céréales-Céréales en grains"/>
        <s v="76207-Légumineuses et céréales-Céréales en grains"/>
        <s v="5500-Légumineuses et céréales-Céréales en grains"/>
        <s v="122081-Légumineuses et céréales-Céréales en grains"/>
        <s v="77396-Légumineuses et céréales-Céréales en grains"/>
        <s v="77398-Légumineuses et céréales-Céréales en grains"/>
        <s v="90716-Légumineuses et céréales-Céréales en grains"/>
        <s v="122846-Légumineuses et céréales-Semoule, Boulgour, Couscous"/>
        <s v="77410-Légumineuses et céréales-Semoule, Boulgour, Couscous"/>
        <s v="87083-Légumineuses et céréales-Semoule, Boulgour, Couscous"/>
        <s v="73630-Légumineuses et céréales-Semoule, Boulgour, Couscous"/>
        <s v="90659-Légumineuses et céréales-Semoule, Boulgour, Couscous"/>
        <s v="122079-Légumineuses et céréales-Semoule, Boulgour, Couscous"/>
        <s v="5551-Légumineuses et céréales-Semoule, Boulgour, Couscous"/>
        <s v="90624-Légumineuses et céréales-Semoule, Boulgour, Couscous"/>
        <s v="29100-Légumineuses et céréales-Semoule, Boulgour, Couscous"/>
        <s v="46330-Légumineuses et céréales-Semoule, Boulgour, Couscous"/>
        <s v="117659-Légumineuses et céréales-Semoule, Boulgour, Couscous"/>
        <s v="48149-Légumineuses et céréales-Semoule, Boulgour, Couscous"/>
        <s v="113739-Légumineuses et céréales-Semoule, Boulgour, Couscous"/>
        <s v="147316-Légumineuses et céréales-Semoule, Boulgour, Couscous"/>
        <s v="76297-Légumineuses et céréales-Semoule, Boulgour, Couscous"/>
        <s v="102698-Légumineuses et céréales-Semoule, Boulgour, Couscous"/>
        <s v="102699-Légumineuses et céréales-Semoule, Boulgour, Couscous"/>
        <s v="5556-Légumineuses et céréales-Semoule, Boulgour, Couscous"/>
        <s v="73629-Légumineuses et céréales-Semoule, Boulgour, Couscous"/>
        <s v="77253-Légumineuses et céréales-Semoule, Boulgour, Couscous"/>
        <s v="5552-Légumineuses et céréales-Semoule, Boulgour, Couscous"/>
        <s v="73805-Légumineuses et céréales-Semoule, Boulgour, Couscous"/>
        <s v="48403-Légumineuses et céréales-Semoule, Boulgour, Couscous"/>
        <s v="90626-Légumineuses et céréales-Semoule, Boulgour, Couscous"/>
        <s v="147324-Légumineuses et céréales-Semoule, Boulgour, Couscous"/>
        <s v="77411-Légumineuses et céréales-Semoule, Boulgour, Couscous"/>
        <s v="87085-Légumineuses et céréales-Semoule, Boulgour, Couscous"/>
        <s v="76212-Légumineuses et céréales-Semoule, Boulgour, Couscous"/>
        <s v="117655-Légumineuses et céréales-Semoule, Boulgour, Couscous"/>
        <s v="83596-Légumineuses et céréales-Semoule, Boulgour, Couscous"/>
        <s v="5561-Légumineuses et céréales-Semoule, Boulgour, Couscous"/>
        <s v="87304-Légumineuses et céréales-Semoule, Boulgour, Couscous"/>
        <s v="113735-Légumineuses et céréales-Semoule, Boulgour, Couscous"/>
        <s v="90661-Légumineuses et céréales-Semoule, Boulgour, Couscous"/>
        <s v="76281-Légumineuses et céréales-Semoule, Boulgour, Couscous"/>
        <s v="90622-Légumineuses et céréales-Semoule, Boulgour, Couscous"/>
        <s v="90637-Légumineuses et céréales-Semoule, Boulgour, Couscous"/>
        <s v="76208-Légumineuses et céréales-Semoule, Boulgour, Couscous"/>
        <s v="91355-Légumineuses et céréales-Semoule, Boulgour, Couscous"/>
        <s v="122068-Légumineuses et céréales-Semoule, Boulgour, Couscous"/>
        <s v="48404-Légumineuses et céréales-Semoule, Boulgour, Couscous"/>
        <s v="5553-Légumineuses et céréales-Semoule, Boulgour, Couscous"/>
        <s v="76282-Légumineuses et céréales-Semoule, Boulgour, Couscous"/>
        <s v="5554-Légumineuses et céréales-Semoule, Boulgour, Couscous"/>
        <s v="77408-Légumineuses et céréales-Semoule, Boulgour, Couscous"/>
        <s v="147312-Légumineuses et céréales-Semoule, Boulgour, Couscous"/>
        <s v="113741-Légumineuses et céréales-Semoule, Boulgour, Couscous"/>
        <s v="76290-Légumineuses et céréales-Semoule, Boulgour, Couscous"/>
        <s v="5559-Légumineuses et céréales-Semoule, Boulgour, Couscous"/>
        <s v="68351-Légumineuses et céréales-Semoule, Boulgour, Couscous"/>
        <s v="113736-Légumineuses et céréales-Semoule, Boulgour, Couscous"/>
        <s v="113738-Légumineuses et céréales-Semoule, Boulgour, Couscous"/>
        <s v="113737-Légumineuses et céréales-Semoule, Boulgour, Couscous"/>
        <s v="73767-Légumineuses et céréales-Semoule, Boulgour, Couscous"/>
        <s v="89559-Légumineuses et céréales-Mélanges céréales légumineuses"/>
        <s v="102720-Légumineuses et céréales-Mélanges céréales légumineuses"/>
        <s v="114668-Légumineuses et céréales-Mélanges céréales légumineuses"/>
        <s v="159208-Légumineuses et céréales-Mélanges céréales légumineuses"/>
        <s v="108476-Légumineuses et céréales-Mélanges céréales légumineuses"/>
        <s v="76603-Légumineuses et céréales-Mélanges céréales légumineuses"/>
        <s v="117672-Légumineuses et céréales-Mélanges céréales légumineuses"/>
        <s v="73968-Légumineuses et céréales-Mélanges céréales légumineuses"/>
        <s v="73967-Légumineuses et céréales-Mélanges céréales légumineuses"/>
        <s v="159209-Légumineuses et céréales-Mélanges céréales légumineuses"/>
        <s v="90675-Légumineuses et céréales-Mélanges céréales légumineuses"/>
        <s v="117671-Légumineuses et céréales-Mélanges céréales légumineuses"/>
        <s v="100015-Légumineuses et céréales-Mélanges céréales légumineuses"/>
        <s v="90680-Légumineuses et céréales-Mélanges céréales légumineuses"/>
        <s v="88351-Légumineuses et céréales-Mélanges céréales légumineuses"/>
        <s v="108475-Légumineuses et céréales-Mélanges céréales légumineuses"/>
        <s v="90676-Légumineuses et céréales-Mélanges céréales légumineuses"/>
        <s v="43118-Petits pots légumes bébé-Gourdes de légumes +4 mois"/>
        <s v="112472-Petits pots légumes bébé-Gourdes de légumes +4 mois"/>
        <s v="108083-Petits pots légumes bébé-Petits pots légumes +4 mois"/>
        <s v="133907-Petits pots légumes bébé-Petits pots légumes +4 mois"/>
        <s v="45176-Petits pots légumes bébé-Petits pots légumes +4 mois"/>
        <s v="5480-Petits pots légumes bébé-Petits pots légumes +4 mois"/>
        <s v="119086-Petits pots légumes bébé-Petits pots légumes +4 mois"/>
        <s v="108084-Petits pots légumes bébé-Petits pots légumes +4 mois"/>
        <s v="45192-Petits pots légumes bébé-Petits pots légumes +4 mois"/>
        <s v="26320-Petits pots légumes bébé-Petits pots légumes +4 mois"/>
        <s v="133910-Petits pots légumes bébé-Petits pots légumes +4 mois"/>
        <s v="133908-Petits pots légumes bébé-Petits pots légumes +4 mois"/>
        <s v="9646-Petits pots légumes bébé-Petits pots légumes +4 mois"/>
        <s v="108091-Petits pots légumes bébé-Petits pots légumes +4 mois"/>
        <s v="108114-Petits pots légumes bébé-Petits pots légumes +4 mois"/>
        <s v="9639-Petits pots légumes bébé-Petits pots légumes +4 mois"/>
        <s v="108108-Petits pots légumes bébé-Petits pots légumes +4 mois"/>
        <s v="108081-Petits pots légumes bébé-Petits pots légumes +4 mois"/>
        <s v="4243-Petits pots légumes bébé-Petits pots légumes +4 mois"/>
        <s v="108090-Petits pots légumes bébé-Petits pots légumes +4 mois"/>
        <s v="133912-Petits pots légumes bébé-Petits pots légumes +4 mois"/>
        <s v="108087-Petits pots légumes bébé-Petits pots légumes +4 mois"/>
        <s v="78866-Petits pots légumes bébé-Petits pots légumes +4 mois"/>
        <s v="70415-Petits pots légumes bébé-Petits pots légumes +4 mois"/>
        <s v="9644-Petits pots légumes bébé-Petits pots légumes +4 mois"/>
        <s v="4247-Petits pots légumes bébé-Petits pots légumes +4 mois"/>
        <s v="119087-Petits pots légumes bébé-Petits pots légumes +4 mois"/>
        <s v="9635-Petits pots légumes bébé-Petits pots légumes +4 mois"/>
        <s v="108082-Petits pots légumes bébé-Petits pots légumes +4 mois"/>
        <s v="9643-Petits pots légumes bébé-Petits pots légumes +4 mois"/>
        <s v="117601-Petits pots légumes bébé-Petits pots légumes +4 mois"/>
        <s v="108085-Petits pots légumes bébé-Petits pots légumes +4 mois"/>
        <s v="133914-Petits pots légumes bébé-Petits pots légumes +4 mois"/>
        <s v="103503-Kits DIY, à faire soi-même-Kits DIY cuisine"/>
        <s v="128363-Kits DIY, à faire soi-même-Kits DIY cuisine"/>
        <s v="13863-Sel, épices, aide culinaire-Sels"/>
        <s v="74454-Sel, épices, aide culinaire-Sels"/>
        <s v="12500-Sel, épices, aide culinaire-Sels"/>
        <s v="116555-Sel, épices, aide culinaire-Sels"/>
        <s v="77622-Sel, épices, aide culinaire-Sels"/>
        <s v="68294-Sel, épices, aide culinaire-Sels"/>
        <s v="12497-Sel, épices, aide culinaire-Sels"/>
        <s v="74453-Sel, épices, aide culinaire-Sels"/>
        <s v="112246-Sel, épices, aide culinaire-Sels"/>
        <s v="110776-Sel, épices, aide culinaire-Sels"/>
        <s v="92846-Sel, épices, aide culinaire-Sels"/>
        <s v="119257-Sel, épices, aide culinaire-Sels"/>
        <s v="68313-Sel, épices, aide culinaire-Sels"/>
        <s v="12503-Sel, épices, aide culinaire-Sels"/>
        <s v="77624-Sel, épices, aide culinaire-Sels"/>
        <s v="77432-Sel, épices, aide culinaire-Epices"/>
        <s v="77429-Sel, épices, aide culinaire-Epices"/>
        <s v="93995-Sel, épices, aide culinaire-Epices"/>
        <s v="103185-Sel, épices, aide culinaire-Epices"/>
        <s v="13868-Sel, épices, aide culinaire-Epices"/>
        <s v="9504-Sel, épices, aide culinaire-Epices"/>
        <s v="77446-Sel, épices, aide culinaire-Epices"/>
        <s v="77498-Sel, épices, aide culinaire-Epices"/>
        <s v="77488-Sel, épices, aide culinaire-Epices"/>
        <s v="82203-Sel, épices, aide culinaire-Epices"/>
        <s v="82754-Sel, épices, aide culinaire-Epices"/>
        <s v="110837-Sel, épices, aide culinaire-Epices"/>
        <s v="9591-Sel, épices, aide culinaire-Epices"/>
        <s v="94040-Sel, épices, aide culinaire-Epices"/>
        <s v="9513-Sel, épices, aide culinaire-Epices"/>
        <s v="121543-Sel, épices, aide culinaire-Epices"/>
        <s v="164638-Sel, épices, aide culinaire-Epices"/>
        <s v="9554-Sel, épices, aide culinaire-Epices"/>
        <s v="117798-Sel, épices, aide culinaire-Epices"/>
        <s v="77480-Sel, épices, aide culinaire-Epices"/>
        <s v="9547-Sel, épices, aide culinaire-Epices"/>
        <s v="9551-Sel, épices, aide culinaire-Epices"/>
        <s v="9514-Sel, épices, aide culinaire-Epices"/>
        <s v="147310-Sel, épices, aide culinaire-Epices"/>
        <s v="13865-Sel, épices, aide culinaire-Epices"/>
        <s v="9521-Sel, épices, aide culinaire-Epices"/>
        <s v="9522-Sel, épices, aide culinaire-Epices"/>
        <s v="94048-Sel, épices, aide culinaire-Epices"/>
        <s v="121549-Sel, épices, aide culinaire-Epices"/>
        <s v="9593-Sel, épices, aide culinaire-Epices"/>
        <s v="119247-Sel, épices, aide culinaire-Epices"/>
        <s v="9516-Sel, épices, aide culinaire-Epices"/>
        <s v="193265-Sel, épices, aide culinaire-Epices"/>
        <s v="13869-Sel, épices, aide culinaire-Epices"/>
        <s v="13877-Sel, épices, aide culinaire-Epices"/>
        <s v="9493-Sel, épices, aide culinaire-Epices"/>
        <s v="9502-Sel, épices, aide culinaire-Epices"/>
        <s v="147301-Sel, épices, aide culinaire-Epices"/>
        <s v="30569-Sel, épices, aide culinaire-Epices"/>
        <s v="112190-Sel, épices, aide culinaire-Epices"/>
        <s v="110833-Sel, épices, aide culinaire-Epices"/>
        <s v="9505-Sel, épices, aide culinaire-Epices"/>
        <s v="119248-Sel, épices, aide culinaire-Epices"/>
        <s v="147306-Sel, épices, aide culinaire-Epices"/>
        <s v="77425-Sel, épices, aide culinaire-Epices"/>
        <s v="9497-Sel, épices, aide culinaire-Epices"/>
        <s v="9601-Sel, épices, aide culinaire-Epices"/>
        <s v="117799-Sel, épices, aide culinaire-Epices"/>
        <s v="82770-Sel, épices, aide culinaire-Epices"/>
        <s v="119249-Sel, épices, aide culinaire-Epices"/>
        <s v="86191-Sel, épices, aide culinaire-Epices"/>
        <s v="9503-Sel, épices, aide culinaire-Epices"/>
        <s v="94007-Sel, épices, aide culinaire-Epices"/>
        <s v="82761-Sel, épices, aide culinaire-Epices"/>
        <s v="9599-Sel, épices, aide culinaire-Epices"/>
        <s v="9496-Sel, épices, aide culinaire-Epices"/>
        <s v="195072-Sel, épices, aide culinaire-Epices"/>
        <s v="119252-Sel, épices, aide culinaire-Epices"/>
        <s v="9501-Sel, épices, aide culinaire-Epices"/>
        <s v="9491-Sel, épices, aide culinaire-Epices"/>
        <s v="194058-Sel, épices, aide culinaire-Epices"/>
        <s v="111319-Sel, épices, aide culinaire-Poivre"/>
        <s v="86655-Sel, épices, aide culinaire-Poivre"/>
        <s v="147300-Sel, épices, aide culinaire-Poivre"/>
        <s v="13861-Sel, épices, aide culinaire-Poivre"/>
        <s v="81510-Sel, épices, aide culinaire-Poivre"/>
        <s v="9560-Sel, épices, aide culinaire-Poivre"/>
        <s v="72161-Sel, épices, aide culinaire-Poivre"/>
        <s v="9561-Sel, épices, aide culinaire-Poivre"/>
        <s v="9562-Sel, épices, aide culinaire-Poivre"/>
        <s v="119250-Sel, épices, aide culinaire-Poivre"/>
        <s v="122297-Sel, épices, aide culinaire-Gomasio"/>
        <s v="164879-Sel, épices, aide culinaire-Gomasio"/>
        <s v="48697-Sel, épices, aide culinaire-Gomasio"/>
        <s v="122299-Sel, épices, aide culinaire-Gomasio"/>
        <s v="82997-Sel, épices, aide culinaire-Gomasio"/>
        <s v="108350-Sel, épices, aide culinaire-Gomasio"/>
        <s v="48699-Sel, épices, aide culinaire-Gomasio"/>
        <s v="108364-Sel, épices, aide culinaire-Gomasio"/>
        <s v="5799-Sel, épices, aide culinaire-Gomasio"/>
        <s v="81501-Sel, épices, aide culinaire-Bouillons cube"/>
        <s v="47648-Sel, épices, aide culinaire-Bouillons cube"/>
        <s v="105328-Sel, épices, aide culinaire-Bouillons cube"/>
        <s v="47654-Sel, épices, aide culinaire-Bouillons cube"/>
        <s v="82371-Sel, épices, aide culinaire-Bouillons cube"/>
        <s v="81500-Sel, épices, aide culinaire-Bouillons cube"/>
        <s v="48501-Sel, épices, aide culinaire-Bouillons cube"/>
        <s v="81498-Sel, épices, aide culinaire-Bouillons cube"/>
        <s v="48498-Sel, épices, aide culinaire-Bouillons cube"/>
        <s v="88628-Sel, épices, aide culinaire-Bouillons cube"/>
        <s v="180340-Sel, épices, aide culinaire-Bouillons cube"/>
        <s v="48503-Sel, épices, aide culinaire-Bouillons cube"/>
        <s v="74819-Sel, épices, aide culinaire-Bouillons cube"/>
        <s v="48502-Sel, épices, aide culinaire-Bouillons cube"/>
        <s v="96001-Sel, épices, aide culinaire-Bouillons cube"/>
        <s v="103095-Sel, épices, aide culinaire-Bouillons cube"/>
        <s v="88627-Sel, épices, aide culinaire-Bouillons cube"/>
        <s v="105329-Sel, épices, aide culinaire-Bouillons cube"/>
        <s v="105330-Sel, épices, aide culinaire-Bouillons cube"/>
        <s v="80252-Sel, épices, aide culinaire-Bouillons cube"/>
        <s v="77468-Sel, épices, aide culinaire-Herbes et aromates"/>
        <s v="24203-Sel, épices, aide culinaire-Herbes et aromates"/>
        <s v="139291-Sel, épices, aide culinaire-Herbes et aromates"/>
        <s v="77426-Sel, épices, aide culinaire-Herbes et aromates"/>
        <s v="94039-Sel, épices, aide culinaire-Herbes et aromates"/>
        <s v="9508-Sel, épices, aide culinaire-Herbes et aromates"/>
        <s v="121595-Sel, épices, aide culinaire-Herbes et aromates"/>
        <s v="124762-Sel, épices, aide culinaire-Herbes et aromates"/>
        <s v="77462-Sel, épices, aide culinaire-Herbes et aromates"/>
        <s v="49158-Sel, épices, aide culinaire-Herbes et aromates"/>
        <s v="93982-Sel, épices, aide culinaire-Herbes et aromates"/>
        <s v="9546-Sel, épices, aide culinaire-Herbes et aromates"/>
        <s v="9482-Sel, épices, aide culinaire-Herbes et aromates"/>
        <s v="139290-Sel, épices, aide culinaire-Herbes et aromates"/>
        <s v="121596-Sel, épices, aide culinaire-Herbes et aromates"/>
        <s v="14441-Sel, épices, aide culinaire-Herbes et aromates"/>
        <s v="9489-Sel, épices, aide culinaire-Herbes et aromates"/>
        <s v="103189-Sel, épices, aide culinaire-Herbes et aromates"/>
        <s v="9567-Sel, épices, aide culinaire-Herbes et aromates"/>
        <s v="9543-Sel, épices, aide culinaire-Herbes et aromates"/>
        <s v="77471-Sel, épices, aide culinaire-Herbes et aromates"/>
        <s v="164631-Sel, épices, aide culinaire-Herbes et aromates"/>
        <s v="9606-Sel, épices, aide culinaire-Herbes et aromates"/>
        <s v="77473-Sel, épices, aide culinaire-Herbes et aromates"/>
        <s v="9484-Sel, épices, aide culinaire-Herbes et aromates"/>
        <s v="14439-Sel, épices, aide culinaire-Herbes et aromates"/>
        <s v="124761-Sel, épices, aide culinaire-Herbes et aromates"/>
        <s v="14440-Sel, épices, aide culinaire-Herbes et aromates"/>
        <s v="9544-Sel, épices, aide culinaire-Herbes et aromates"/>
        <s v="46482-Sel, épices, aide culinaire-Levure de bière et germe de blé"/>
        <s v="46773-Sel, épices, aide culinaire-Levure de bière et germe de blé"/>
        <s v="81502-Sel, épices, aide culinaire-Levure de bière et germe de blé"/>
        <s v="76035-Sel, épices, aide culinaire-Levure de bière et germe de blé"/>
        <s v="46774-Sel, épices, aide culinaire-Levure de bière et germe de blé"/>
        <s v="121029-Relaxation, Détente, Sommeil-Aide à l'endormissement"/>
        <s v="128199-Relaxation, Détente, Sommeil-Aide à l'endormissement"/>
        <s v="82408-Goûters &amp; biscuits bio bébé-Goûters bio bébé 6 mois"/>
        <s v="139298-Goûters &amp; biscuits bio bébé-Goûters bio bébé 8 mois"/>
        <s v="91397-Goûters &amp; biscuits bio bébé-Goûters bio bébé 8 mois"/>
        <s v="91396-Goûters &amp; biscuits bio bébé-Goûters bio bébé 8 mois"/>
        <s v="139302-Goûters &amp; biscuits bio bébé-Goûters bio bébé 8 mois"/>
        <s v="118283-Goûters &amp; biscuits bio bébé-Goûters bio bébé 8 mois"/>
        <s v="118286-Goûters &amp; biscuits bio bébé-Goûters bio bébé 8 mois"/>
        <s v="3375-Goûters &amp; biscuits bio bébé-Goûters bio bébé 8 mois"/>
        <s v="118285-Goûters &amp; biscuits bio bébé-Goûters bio bébé 8 mois"/>
        <s v="118284-Goûters &amp; biscuits bio bébé-Goûters bio bébé 8 mois"/>
        <s v="116522-Goûters &amp; biscuits bio bébé-Goûters bio bébé +10 mois"/>
        <s v="139307-Goûters &amp; biscuits bio bébé-Goûters bio bébé +10 mois"/>
        <s v="120253-Goûters &amp; biscuits bio bébé-Goûters bio bébé +10 mois"/>
        <s v="120252-Goûters &amp; biscuits bio bébé-Goûters bio bébé +10 mois"/>
        <s v="120251-Goûters &amp; biscuits bio bébé-Goûters bio bébé +10 mois"/>
        <s v="139306-Goûters &amp; biscuits bio bébé-Goûters bio bébé +10 mois"/>
        <s v="120255-Goûters &amp; biscuits bio bébé-Goûters bio bébé +10 mois"/>
        <s v="120980-Goûters &amp; biscuits bio bébé-Goûters bio bébé +10 mois"/>
        <s v="139299-Goûters &amp; biscuits bio bébé-Goûters bio bébé +10 mois"/>
        <s v="73635-Goûters &amp; biscuits bio bébé-Goûters bio bébé +10 mois"/>
        <s v="116537-Goûters &amp; biscuits bio bébé-Goûters bio bébé +10 mois"/>
        <s v="46716-Goûters &amp; biscuits bio bébé-Goûters bio bébé +10 mois"/>
        <s v="109161-Goûters &amp; biscuits bio bébé-Goûters bio bébé +10 mois"/>
        <s v="110760-Goûters &amp; biscuits bio bébé-Goûters bio bébé +10 mois"/>
        <s v="112095-Goûters &amp; biscuits bio bébé-Goûters bio bébé +10 mois"/>
        <s v="120261-Goûters &amp; biscuits bio bébé-Goûters bio bébé +10 mois"/>
        <s v="142302-Goûters &amp; biscuits bio bébé-Goûters bio bébé +10 mois"/>
        <s v="46715-Goûters &amp; biscuits bio bébé-Goûters bio bébé +10 mois"/>
        <s v="102190-Goûters &amp; biscuits bio bébé-Goûters bio bébé +10 mois"/>
        <s v="112098-Goûters &amp; biscuits bio bébé-Goûters bio bébé +10 mois"/>
        <s v="110761-Goûters &amp; biscuits bio bébé-Goûters bio bébé +10 mois"/>
        <s v="116529-Goûters &amp; biscuits bio bébé-Goûters bio bébé +10 mois"/>
        <s v="119245-Masques, Gels hydroalcooliques-"/>
        <s v="119454-Masques, Gels hydroalcooliques-"/>
        <s v="118131-Masques, Gels hydroalcooliques-"/>
        <s v="128395-Masques, Gels hydroalcooliques-"/>
        <s v="117482-Masques, Gels hydroalcooliques-"/>
        <s v="118130-Masques, Gels hydroalcooliques-"/>
        <s v="109209-Masques, Gels hydroalcooliques-"/>
        <s v="74428-Phytothérapie, gemmothérapie-Extrait de plantes fraîches"/>
        <s v="13941-Phytothérapie, gemmothérapie-Extrait de plantes fraîches"/>
        <s v="44316-Préparation végétale bébé-Préparation végétale 1er âge"/>
        <s v="122748-Préparation végétale bébé-Préparation végétale 1er âge"/>
        <s v="118936-Préparation végétale bébé-Préparation végétale 2ème âge"/>
        <s v="122746-Préparation végétale bébé-Préparation végétale 2ème âge"/>
        <s v="76567-Préparation végétale bébé-Préparation végétale croissance"/>
        <s v="122747-Préparation végétale bébé-Préparation végétale croissance"/>
        <s v="48484-Carafes filtrantes et Fontaines-Filtres à eau pour robinet"/>
        <s v="10856-Carafes filtrantes et Fontaines-Filtres à eau pour robinet"/>
        <s v="48486-Carafes filtrantes et Fontaines-Filtres à eau pour robinet"/>
        <s v="108707-Carafes filtrantes et Fontaines-Charbon, filtres et cartouches"/>
        <s v="109565-Carafes filtrantes et Fontaines-Charbon, filtres et cartouches"/>
        <s v="99181-Carafes filtrantes et Fontaines-Charbon, filtres et cartouches"/>
        <s v="109060-Carafes filtrantes et Fontaines-Charbon, filtres et cartouches"/>
        <s v="109628-Carafes filtrantes et Fontaines-Charbon, filtres et cartouches"/>
        <s v="128346-Carafes filtrantes et Fontaines-Charbon, filtres et cartouches"/>
        <s v="90319-Carafes filtrantes et Fontaines-Charbon, filtres et cartouches"/>
        <s v="96287-Carafes filtrantes et Fontaines-Charbon, filtres et cartouches"/>
        <s v="96238-Carafes filtrantes et Fontaines-Charbon, filtres et cartouches"/>
        <s v="116553-Carafes filtrantes et Fontaines-Charbon, filtres et cartouches"/>
        <s v="116539-Carafes filtrantes et Fontaines-Charbon, filtres et cartouches"/>
        <s v="156015-Fleurs de Bach, Elixirs floraux-"/>
        <s v="77049-Fleurs de Bach, Elixirs floraux-Remède de secours, rescue"/>
        <s v="92906-Fleurs de Bach, Elixirs floraux-Remède de secours, rescue"/>
        <s v="6425-Fleurs de Bach, Elixirs floraux-Remède de secours, rescue"/>
        <s v="77653-Fleurs de Bach, Elixirs floraux-Fleur de Bach unitaire n°1 à 38"/>
        <s v="156029-Fleurs de Bach, Elixirs floraux-Fleur de Bach unitaire n°1 à 38"/>
        <s v="182726-Nature, Activités d'extérieur-Accessoires camping"/>
        <s v="3536-Diffuseurs d'huiles essentielles-Diffuseurs provençaux"/>
        <s v="3541-Diffuseurs d'huiles essentielles-Diffuseurs provençaux"/>
        <s v="147335-Huiles bébé, huiles enfant bio-"/>
        <s v="46896-Huiles bébé, huiles enfant bio-"/>
        <s v="46897-Huiles bébé, huiles enfant bio-"/>
        <s v="71729-Hygiène Bébé, soin maternité-Change bébé"/>
        <s v="45471-Hygiène Bébé, soin maternité-Change bébé"/>
        <s v="80622-Hygiène Bébé, soin maternité-Change bébé"/>
        <s v="111204-Hygiène Bébé, soin maternité-Change bébé"/>
        <s v="27843-Hygiène Bébé, soin maternité-Change bébé"/>
        <s v="111656-Hygiène Bébé, soin maternité-Change bébé"/>
        <s v="70043-Hygiène Bébé, soin maternité-Change bébé"/>
        <s v="127017-Hygiène Bébé, soin maternité-Change bébé"/>
        <s v="92320-Hygiène Bébé, soin maternité-Change bébé"/>
        <s v="109985-Hygiène Bébé, soin maternité-Change bébé"/>
        <s v="110415-Hygiène Bébé, soin maternité-Change bébé"/>
        <s v="101325-Hygiène Bébé, soin maternité-Change bébé"/>
        <s v="133904-Hygiène Bébé, soin maternité-Change bébé"/>
        <s v="91357-Hygiène Bébé, soin maternité-Change bébé"/>
        <s v="92330-Hygiène Bébé, soin maternité-Change bébé"/>
        <s v="128409-Hygiène Bébé, soin maternité-Change bébé"/>
        <s v="124704-Hygiène Bébé, soin maternité-Change bébé"/>
        <s v="122252-Hygiène Bébé, soin maternité-Change bébé"/>
        <s v="85159-Hygiène Bébé, soin maternité-Change bébé"/>
        <s v="103604-Hygiène Bébé, soin maternité-Change bébé"/>
        <s v="27845-Hygiène Bébé, soin maternité-Change bébé"/>
        <s v="11666-Hygiène Bébé, soin maternité-Change bébé"/>
        <s v="127016-Hygiène Bébé, soin maternité-Change bébé"/>
        <s v="2046-Hygiène Bébé, soin maternité-Change bébé"/>
        <s v="66998-Hygiène Bébé, soin maternité-Change bébé"/>
        <s v="103626-Hygiène Bébé, soin maternité-Change bébé"/>
        <s v="103603-Hygiène Bébé, soin maternité-Change bébé"/>
        <s v="85156-Hygiène Bébé, soin maternité-Change bébé"/>
        <s v="8118-Hygiène Bébé, soin maternité-Change bébé"/>
        <s v="109984-Hygiène Bébé, soin maternité-Change bébé"/>
        <s v="92134-Hygiène Bébé, soin maternité-Change bébé"/>
        <s v="129420-Hygiène Bébé, soin maternité-Change bébé"/>
        <s v="111010-Hygiène Bébé, soin maternité-Change bébé"/>
        <s v="46771-Hygiène Bébé, soin maternité-Change bébé"/>
        <s v="88396-Hygiène Bébé, soin maternité-Change bébé"/>
        <s v="88188-Hygiène Bébé, soin maternité-Change bébé"/>
        <s v="129373-Hygiène Bébé, soin maternité-Change bébé"/>
        <s v="103625-Hygiène Bébé, soin maternité-Change bébé"/>
        <s v="109332-Hygiène Bébé, soin maternité-Change bébé"/>
        <s v="92327-Hygiène Bébé, soin maternité-Change bébé"/>
        <s v="80699-Hygiène Bébé, soin maternité-Change bébé"/>
        <s v="101043-Hygiène Bébé, soin maternité-Change bébé"/>
        <s v="46760-Hygiène Bébé, soin maternité-Change bébé"/>
        <s v="109966-Hygiène Bébé, soin maternité-Change bébé"/>
        <s v="128408-Hygiène Bébé, soin maternité-Change bébé"/>
        <s v="81128-Hygiène Bébé, soin maternité-Change bébé"/>
        <s v="45571-Hygiène Bébé, soin maternité-Change bébé"/>
        <s v="44612-Hygiène Bébé, soin maternité-Change bébé"/>
        <s v="124684-Hygiène Bébé, soin maternité-Change bébé"/>
        <s v="112365-Hygiène Bébé, soin maternité-Soins Maternité"/>
        <s v="41038-Hygiène Bébé, soin maternité-Soins Maternité"/>
        <s v="87761-Hygiène Bébé, soin maternité-Soins Maternité"/>
        <s v="106590-Hygiène Bébé, soin maternité-Soins Maternité"/>
        <s v="85734-Hygiène Bébé, soin maternité-Soins Maternité"/>
        <s v="122511-Hygiène Bébé, soin maternité-Soins Maternité"/>
        <s v="2335-Hygiène Bébé, soin maternité-Soins Maternité"/>
        <s v="2339-Hygiène Bébé, soin maternité-Soins Maternité"/>
        <s v="108468-Hygiène Bébé, soin maternité-Soins Maternité"/>
        <s v="3439-Hygiène Bébé, soin maternité-Soins Maternité"/>
        <s v="2044-Hygiène Bébé, soin maternité-Bébé, hygiène et soin"/>
        <s v="188354-Hygiène Bébé, soin maternité-Bébé, hygiène et soin"/>
        <s v="27848-Hygiène Bébé, soin maternité-Bébé, hygiène et soin"/>
        <s v="45642-Hygiène Bébé, soin maternité-Bébé, hygiène et soin"/>
        <s v="79815-Hygiène Bébé, soin maternité-Bébé, hygiène et soin"/>
        <s v="87643-Hygiène Bébé, soin maternité-Bébé, hygiène et soin"/>
        <s v="30501-Hygiène Bébé, soin maternité-Bébé, hygiène et soin"/>
        <s v="118198-Hygiène Bébé, soin maternité-Bébé, hygiène et soin"/>
        <s v="4891-Hygiène Bébé, soin maternité-Bébé, hygiène et soin"/>
        <s v="23050-Hygiène Bébé, soin maternité-Bébé, hygiène et soin"/>
        <s v="94612-Hygiène Bébé, soin maternité-Bébé, hygiène et soin"/>
        <s v="109983-Hygiène Bébé, soin maternité-Bébé, hygiène et soin"/>
        <s v="110854-Hygiène Bébé, soin maternité-Bébé, hygiène et soin"/>
        <s v="110414-Hygiène Bébé, soin maternité-Bébé, hygiène et soin"/>
        <s v="103631-Hygiène Bébé, soin maternité-Bébé, hygiène et soin"/>
        <s v="111009-Hygiène Bébé, soin maternité-Bébé, hygiène et soin"/>
        <s v="109213-Hygiène Bébé, soin maternité-Bébé, hygiène et soin"/>
        <s v="103847-Hygiène Bébé, soin maternité-Bébé, hygiène et soin"/>
        <s v="96156-Hygiène Bébé, soin maternité-Bébé, hygiène et soin"/>
        <s v="4887-Hygiène Bébé, soin maternité-Bébé, hygiène et soin"/>
        <s v="92146-Hygiène Bébé, soin maternité-Bébé, hygiène et soin"/>
        <s v="122248-Hygiène Bébé, soin maternité-Bébé, hygiène et soin"/>
        <s v="122251-Hygiène Bébé, soin maternité-Bébé, hygiène et soin"/>
        <s v="103638-Hygiène Bébé, soin maternité-Bébé, hygiène et soin"/>
        <s v="111655-Hygiène Bébé, soin maternité-Bébé, hygiène et soin"/>
        <s v="84201-Hygiène Bébé, soin maternité-Bébé, hygiène et soin"/>
        <s v="80697-Hygiène Bébé, soin maternité-Bébé, hygiène et soin"/>
        <s v="117394-Hygiène Bébé, soin maternité-Bébé, hygiène et soin"/>
        <s v="103636-Hygiène Bébé, soin maternité-Bébé, hygiène et soin"/>
        <s v="67001-Hygiène Bébé, soin maternité-Bébé, hygiène et soin"/>
        <s v="2148-Hygiène Bébé, soin maternité-Bébé, hygiène et soin"/>
        <s v="111672-Hygiène Bébé, soin maternité-Bébé, hygiène et soin"/>
        <s v="80696-Hygiène Bébé, soin maternité-Bébé, hygiène et soin"/>
        <s v="96853-Hygiène Bébé, soin maternité-Bébé, hygiène et soin"/>
        <s v="117388-Hygiène Bébé, soin maternité-Bébé, hygiène et soin"/>
        <s v="109971-Hygiène Bébé, soin maternité-Bébé, hygiène et soin"/>
        <s v="122247-Hygiène Bébé, soin maternité-Bébé, hygiène et soin"/>
        <s v="103635-Hygiène Bébé, soin maternité-Bébé, hygiène et soin"/>
        <s v="122295-Hygiène Bébé, soin maternité-Bébé, hygiène et soin"/>
        <s v="118351-Hygiène Bébé, soin maternité-Enfant, hygiène et soin"/>
        <s v="91624-Hygiène Bébé, soin maternité-Enfant, hygiène et soin"/>
        <s v="27765-Hygiène Bébé, soin maternité-Enfant, hygiène et soin"/>
        <s v="26313-Hygiène Bébé, soin maternité-Enfant, hygiène et soin"/>
        <s v="26314-Hygiène Bébé, soin maternité-Enfant, hygiène et soin"/>
        <s v="91626-Hygiène Bébé, soin maternité-Enfant, hygiène et soin"/>
        <s v="112264-Hygiène Bébé, soin maternité-Enfant, hygiène et soin"/>
        <s v="27764-Hygiène Bébé, soin maternité-Enfant, hygiène et soin"/>
        <s v="92653-Hygiène Bébé, soin maternité-Enfant, hygiène et soin"/>
        <s v="117990-Hygiène Bébé, soin maternité-Enfant, hygiène et soin"/>
        <s v="92651-Hygiène Bébé, soin maternité-Enfant, hygiène et soin"/>
        <s v="104143-Hygiène Bébé, soin maternité-Enfant, hygiène et soin"/>
        <s v="48641-Barre de céréales, pâte d'amande-Pâte d'amande, de fruit"/>
        <s v="47543-Barre de céréales, pâte d'amande-Pâte d'amande, de fruit"/>
        <s v="117045-Barre de céréales, pâte d'amande-Pâte d'amande, de fruit"/>
        <s v="109276-Barre de céréales, pâte d'amande-Pâte d'amande, de fruit"/>
        <s v="117040-Barre de céréales, pâte d'amande-Pâte d'amande, de fruit"/>
        <s v="108485-Barre de céréales, pâte d'amande-Pâte d'amande, de fruit"/>
        <s v="80095-Barre de céréales, pâte d'amande-Pâte d'amande, de fruit"/>
        <s v="117044-Barre de céréales, pâte d'amande-Pâte d'amande, de fruit"/>
        <s v="69279-Barre de céréales, pâte d'amande-Pâte d'amande, de fruit"/>
        <s v="48642-Barre de céréales, pâte d'amande-Pâte d'amande, de fruit"/>
        <s v="117569-Barre de céréales, pâte d'amande-Barre de céréales, fruits"/>
        <s v="83590-Barre de céréales, pâte d'amande-Barre de céréales, fruits"/>
        <s v="117566-Barre de céréales, pâte d'amande-Barre de céréales, fruits"/>
        <s v="116391-Barre de céréales, pâte d'amande-Barre de céréales, fruits"/>
        <s v="47388-Barre de céréales, pâte d'amande-Barre de céréales, fruits"/>
        <s v="117567-Barre de céréales, pâte d'amande-Barre de céréales, fruits"/>
        <s v="104319-Barre de céréales, pâte d'amande-Barre de céréales, fruits"/>
        <s v="120399-Barre de céréales, pâte d'amande-Barre de céréales, fruits"/>
        <s v="47389-Barre de céréales, pâte d'amande-Barre de céréales, fruits"/>
        <s v="47384-Barre de céréales, pâte d'amande-Barre de céréales, fruits"/>
        <s v="117568-Barre de céréales, pâte d'amande-Barre de céréales, fruits"/>
        <s v="80233-Barre de céréales, pâte d'amande-Barre de céréales, fruits"/>
        <s v="120396-Barre de céréales, pâte d'amande-Barre de céréales, fruits"/>
        <s v="47386-Barre de céréales, pâte d'amande-Barre de céréales, fruits"/>
        <s v="110294-Barre de céréales, pâte d'amande-Barre de céréales, fruits"/>
        <s v="47374-Barre de céréales, pâte d'amande-Barre de céréales, fruits"/>
        <s v="115586-Barre de céréales, pâte d'amande-Barre de céréales, fruits"/>
        <s v="112736-Barre de céréales, pâte d'amande-Barre de céréales, fruits"/>
        <s v="80234-Barre de céréales, pâte d'amande-Barre de céréales, fruits"/>
        <s v="92426-Barre de céréales, pâte d'amande-Barre de céréales, fruits"/>
        <s v="92429-Barre de céréales, pâte d'amande-Barre de céréales, fruits"/>
        <s v="117572-Barre de céréales, pâte d'amande-Barre de céréales, fruits"/>
        <s v="110982-Barre de céréales, pâte d'amande-Barre de céréales, fruits"/>
        <s v="92442-Barre de céréales, pâte d'amande-Barre de céréales, fruits"/>
        <s v="83591-Barre de céréales, pâte d'amande-Barre de céréales, fruits"/>
        <s v="104318-Barre de céréales, pâte d'amande-Barre de céréales, fruits"/>
        <s v="112740-Barre de céréales, pâte d'amande-Barre de céréales, fruits"/>
        <s v="117570-Barre de céréales, pâte d'amande-Barre de céréales, fruits"/>
        <s v="115584-Barre de céréales, pâte d'amande-Barre de céréales, fruits"/>
        <s v="47629-Barre de céréales, pâte d'amande-Barre de céréales, fruits"/>
        <s v="116389-Barre de céréales, pâte d'amande-Barre de céréales, fruits"/>
        <s v="117573-Barre de céréales, pâte d'amande-Barre de céréales, fruits"/>
        <s v="47638-Barre de céréales, pâte d'amande-Barre de céréales, fruits"/>
        <s v="110219-Préparation lait de chèvre bébé-Préparations chèvre 1er âge"/>
        <s v="116851-Préparation lait de chèvre bébé-Préparations chèvre 1er âge"/>
        <s v="122737-Préparation lait de chèvre bébé-Préparations chèvre 1er âge"/>
        <s v="110226-Préparation lait de chèvre bébé-Préparations chèvre 2ème âge"/>
        <s v="115773-Préparation lait de chèvre bébé-Préparations chèvre 2ème âge"/>
        <s v="109580-Préparation lait de chèvre bébé-Préparations chèvre 2ème âge"/>
        <s v="114255-Préparation lait de chèvre bébé-Préparations chèvre croissance"/>
        <s v="122745-Préparation lait de chèvre bébé-Préparations chèvre croissance"/>
        <s v="116873-Préparation lait de chèvre bébé-Préparations chèvre croissance"/>
        <s v="110228-Préparation lait de chèvre bébé-Préparations chèvre croissance"/>
      </sharedItems>
    </cacheField>
    <cacheField name="new" numFmtId="0">
      <sharedItems containsSemiMixedTypes="0" containsString="0" containsNumber="1" containsInteger="1">
        <n v="0.0"/>
        <n v="1.0"/>
      </sharedItems>
    </cacheField>
    <cacheField name="forecast_stock" numFmtId="0">
      <sharedItems containsSemiMixedTypes="0" containsString="0" containsNumber="1" containsInteger="1">
        <n v="326.0"/>
        <n v="0.0"/>
        <n v="100.0"/>
        <n v="278.0"/>
        <n v="980.0"/>
        <n v="44.0"/>
        <n v="48.0"/>
        <n v="258.0"/>
        <n v="165.0"/>
        <n v="507.0"/>
        <n v="69.0"/>
        <n v="21.0"/>
        <n v="245.0"/>
        <n v="309.0"/>
        <n v="20.0"/>
        <n v="197.0"/>
        <n v="53.0"/>
        <n v="300.0"/>
        <n v="59.0"/>
        <n v="198.0"/>
        <n v="325.0"/>
        <n v="195.0"/>
        <n v="150.0"/>
        <n v="620.0"/>
        <n v="26.0"/>
        <n v="83.0"/>
        <n v="68.0"/>
        <n v="175.0"/>
        <n v="430.0"/>
        <n v="37.0"/>
        <n v="131.0"/>
        <n v="107.0"/>
        <n v="612.0"/>
        <n v="146.0"/>
        <n v="143.0"/>
        <n v="158.0"/>
        <n v="389.0"/>
        <n v="934.0"/>
        <n v="394.0"/>
        <n v="442.0"/>
        <n v="556.0"/>
        <n v="878.0"/>
        <n v="402.0"/>
        <n v="145.0"/>
        <n v="669.0"/>
        <n v="508.0"/>
        <n v="603.0"/>
        <n v="842.0"/>
        <n v="65.0"/>
        <n v="111.0"/>
        <n v="893.0"/>
        <n v="835.0"/>
        <n v="31.0"/>
        <n v="928.0"/>
        <n v="870.0"/>
        <n v="428.0"/>
        <n v="247.0"/>
        <n v="295.0"/>
        <n v="336.0"/>
        <n v="452.0"/>
        <n v="510.0"/>
        <n v="662.0"/>
        <n v="848.0"/>
        <n v="40.0"/>
        <n v="664.0"/>
        <n v="6.0"/>
        <n v="715.0"/>
        <n v="764.0"/>
        <n v="561.0"/>
        <n v="753.0"/>
        <n v="447.0"/>
        <n v="737.0"/>
        <n v="276.0"/>
        <n v="475.0"/>
        <n v="192.0"/>
        <n v="766.0"/>
        <n v="1.0"/>
        <n v="272.0"/>
        <n v="366.0"/>
        <n v="941.0"/>
        <n v="743.0"/>
        <n v="367.0"/>
        <n v="742.0"/>
        <n v="771.0"/>
        <n v="949.0"/>
        <n v="699.0"/>
        <n v="91.0"/>
        <n v="359.0"/>
        <n v="382.0"/>
        <n v="549.0"/>
        <n v="723.0"/>
        <n v="929.0"/>
        <n v="201.0"/>
        <n v="207.0"/>
        <n v="601.0"/>
        <n v="568.0"/>
        <n v="417.0"/>
        <n v="246.0"/>
        <n v="46.0"/>
        <n v="694.0"/>
        <n v="635.0"/>
        <n v="853.0"/>
        <n v="243.0"/>
        <n v="629.0"/>
        <n v="386.0"/>
        <n v="141.0"/>
        <n v="60.0"/>
        <n v="860.0"/>
        <n v="937.0"/>
        <n v="266.0"/>
        <n v="806.0"/>
        <n v="481.0"/>
        <n v="684.0"/>
        <n v="320.0"/>
        <n v="138.0"/>
        <n v="577.0"/>
        <n v="750.0"/>
        <n v="590.0"/>
        <n v="701.0"/>
        <n v="115.0"/>
        <n v="12.0"/>
        <n v="823.0"/>
        <n v="17.0"/>
        <n v="358.0"/>
        <n v="927.0"/>
        <n v="851.0"/>
        <n v="8.0"/>
        <n v="257.0"/>
        <n v="584.0"/>
        <n v="311.0"/>
        <n v="147.0"/>
        <n v="450.0"/>
        <n v="38.0"/>
        <n v="633.0"/>
        <n v="269.0"/>
        <n v="730.0"/>
        <n v="113.0"/>
        <n v="479.0"/>
        <n v="779.0"/>
        <n v="331.0"/>
        <n v="604.0"/>
        <n v="209.0"/>
        <n v="470.0"/>
        <n v="718.0"/>
        <n v="813.0"/>
        <n v="626.0"/>
        <n v="415.0"/>
        <n v="708.0"/>
        <n v="418.0"/>
        <n v="51.0"/>
        <n v="960.0"/>
        <n v="621.0"/>
        <n v="233.0"/>
        <n v="360.0"/>
        <n v="54.0"/>
        <n v="408.0"/>
        <n v="398.0"/>
        <n v="94.0"/>
        <n v="298.0"/>
        <n v="976.0"/>
        <n v="465.0"/>
        <n v="676.0"/>
        <n v="560.0"/>
        <n v="50.0"/>
        <n v="866.0"/>
        <n v="93.0"/>
        <n v="846.0"/>
        <n v="529.0"/>
        <n v="221.0"/>
        <n v="685.0"/>
        <n v="58.0"/>
        <n v="790.0"/>
        <n v="225.0"/>
        <n v="592.0"/>
        <n v="953.0"/>
        <n v="130.0"/>
        <n v="894.0"/>
        <n v="183.0"/>
        <n v="291.0"/>
        <n v="722.0"/>
        <n v="277.0"/>
        <n v="553.0"/>
        <n v="800.0"/>
        <n v="646.0"/>
        <n v="828.0"/>
        <n v="617.0"/>
        <n v="608.0"/>
        <n v="964.0"/>
        <n v="340.0"/>
        <n v="211.0"/>
        <n v="159.0"/>
        <n v="602.0"/>
        <n v="27.0"/>
        <n v="330.0"/>
        <n v="780.0"/>
        <n v="582.0"/>
        <n v="772.0"/>
        <n v="795.0"/>
        <n v="763.0"/>
        <n v="977.0"/>
        <n v="166.0"/>
        <n v="191.0"/>
        <n v="369.0"/>
        <n v="354.0"/>
        <n v="514.0"/>
        <n v="56.0"/>
        <n v="47.0"/>
        <n v="194.0"/>
        <n v="624.0"/>
        <n v="657.0"/>
        <n v="82.0"/>
        <n v="923.0"/>
        <n v="346.0"/>
        <n v="109.0"/>
        <n v="212.0"/>
        <n v="270.0"/>
        <n v="453.0"/>
        <n v="974.0"/>
        <n v="321.0"/>
        <n v="663.0"/>
        <n v="833.0"/>
        <n v="177.0"/>
        <n v="25.0"/>
        <n v="190.0"/>
        <n v="726.0"/>
        <n v="616.0"/>
        <n v="168.0"/>
        <n v="101.0"/>
        <n v="134.0"/>
        <n v="287.0"/>
        <n v="679.0"/>
        <n v="962.0"/>
        <n v="116.0"/>
        <n v="61.0"/>
        <n v="849.0"/>
        <n v="364.0"/>
        <n v="509.0"/>
        <n v="970.0"/>
        <n v="622.0"/>
        <n v="52.0"/>
        <n v="286.0"/>
        <n v="558.0"/>
        <n v="705.0"/>
        <n v="648.0"/>
        <n v="282.0"/>
        <n v="232.0"/>
        <n v="440.0"/>
        <n v="826.0"/>
        <n v="804.0"/>
        <n v="535.0"/>
        <n v="500.0"/>
        <n v="390.0"/>
        <n v="169.0"/>
        <n v="873.0"/>
        <n v="263.0"/>
        <n v="108.0"/>
        <n v="512.0"/>
        <n v="338.0"/>
        <n v="791.0"/>
        <n v="963.0"/>
        <n v="139.0"/>
        <n v="576.0"/>
        <n v="880.0"/>
        <n v="796.0"/>
        <n v="758.0"/>
        <n v="854.0"/>
        <n v="868.0"/>
        <n v="702.0"/>
        <n v="925.0"/>
        <n v="936.0"/>
        <n v="503.0"/>
        <n v="216.0"/>
        <n v="861.0"/>
        <n v="7.0"/>
        <n v="458.0"/>
        <n v="782.0"/>
        <n v="575.0"/>
        <n v="914.0"/>
        <n v="313.0"/>
        <n v="573.0"/>
        <n v="350.0"/>
        <n v="435.0"/>
        <n v="521.0"/>
        <n v="497.0"/>
        <n v="827.0"/>
        <n v="533.0"/>
        <n v="808.0"/>
        <n v="151.0"/>
        <n v="349.0"/>
        <n v="769.0"/>
        <n v="899.0"/>
        <n v="583.0"/>
        <n v="809.0"/>
        <n v="760.0"/>
        <n v="559.0"/>
        <n v="593.0"/>
        <n v="912.0"/>
        <n v="550.0"/>
        <n v="545.0"/>
        <n v="597.0"/>
        <n v="468.0"/>
        <n v="712.0"/>
        <n v="164.0"/>
        <n v="213.0"/>
        <n v="785.0"/>
        <n v="544.0"/>
        <n v="433.0"/>
        <n v="472.0"/>
        <n v="419.0"/>
        <n v="665.0"/>
        <n v="654.0"/>
        <n v="15.0"/>
        <n v="618.0"/>
        <n v="578.0"/>
        <n v="530.0"/>
        <n v="904.0"/>
        <n v="932.0"/>
        <n v="205.0"/>
        <n v="78.0"/>
        <n v="448.0"/>
        <n v="639.0"/>
        <n v="841.0"/>
        <n v="70.0"/>
        <n v="178.0"/>
        <n v="768.0"/>
        <n v="555.0"/>
        <n v="649.0"/>
        <n v="180.0"/>
        <n v="456.0"/>
        <n v="888.0"/>
        <n v="425.0"/>
        <n v="681.0"/>
        <n v="88.0"/>
        <n v="127.0"/>
        <n v="73.0"/>
        <n v="745.0"/>
        <n v="585.0"/>
        <n v="176.0"/>
        <n v="852.0"/>
        <n v="412.0"/>
        <n v="520.0"/>
        <n v="126.0"/>
        <n v="482.0"/>
        <n v="877.0"/>
        <n v="922.0"/>
        <n v="352.0"/>
        <n v="445.0"/>
        <n v="128.0"/>
        <n v="11.0"/>
        <n v="467.0"/>
        <n v="728.0"/>
        <n v="857.0"/>
        <n v="154.0"/>
        <n v="680.0"/>
        <n v="161.0"/>
        <n v="429.0"/>
        <n v="155.0"/>
        <n v="682.0"/>
        <n v="199.0"/>
        <n v="625.0"/>
        <n v="302.0"/>
        <n v="945.0"/>
        <n v="117.0"/>
        <n v="33.0"/>
        <n v="666.0"/>
        <n v="446.0"/>
        <n v="887.0"/>
        <n v="930.0"/>
        <n v="816.0"/>
        <n v="423.0"/>
        <n v="548.0"/>
        <n v="344.0"/>
        <n v="952.0"/>
        <n v="954.0"/>
        <n v="132.0"/>
        <n v="457.0"/>
        <n v="63.0"/>
        <n v="688.0"/>
        <n v="628.0"/>
        <n v="660.0"/>
        <n v="9.0"/>
        <n v="316.0"/>
        <n v="874.0"/>
        <n v="253.0"/>
        <n v="280.0"/>
        <n v="204.0"/>
        <n v="732.0"/>
        <n v="943.0"/>
        <n v="174.0"/>
        <n v="215.0"/>
        <n v="283.0"/>
        <n v="788.0"/>
        <n v="380.0"/>
        <n v="36.0"/>
        <n v="255.0"/>
        <n v="234.0"/>
        <n v="693.0"/>
        <n v="374.0"/>
        <n v="807.0"/>
        <n v="373.0"/>
        <n v="661.0"/>
        <n v="516.0"/>
        <n v="477.0"/>
        <n v="230.0"/>
        <n v="462.0"/>
        <n v="210.0"/>
        <n v="836.0"/>
        <n v="886.0"/>
        <n v="334.0"/>
        <n v="523.0"/>
        <n v="226.0"/>
        <n v="595.0"/>
        <n v="67.0"/>
        <n v="391.0"/>
        <n v="264.0"/>
        <n v="218.0"/>
        <n v="323.0"/>
        <n v="720.0"/>
        <n v="895.0"/>
        <n v="739.0"/>
        <n v="303.0"/>
        <n v="775.0"/>
        <n v="124.0"/>
        <n v="504.0"/>
        <n v="863.0"/>
        <n v="502.0"/>
        <n v="920.0"/>
        <n v="332.0"/>
        <n v="274.0"/>
        <n v="140.0"/>
        <n v="206.0"/>
        <n v="933.0"/>
        <n v="487.0"/>
        <n v="76.0"/>
        <n v="787.0"/>
        <n v="432.0"/>
        <n v="244.0"/>
        <n v="898.0"/>
        <n v="938.0"/>
        <n v="913.0"/>
        <n v="979.0"/>
        <n v="630.0"/>
        <n v="566.0"/>
        <n v="572.0"/>
        <n v="711.0"/>
        <n v="202.0"/>
        <n v="181.0"/>
        <n v="547.0"/>
        <n v="356.0"/>
        <n v="541.0"/>
        <n v="908.0"/>
        <n v="34.0"/>
        <n v="97.0"/>
        <n v="916.0"/>
        <n v="284.0"/>
        <n v="393.0"/>
        <n v="455.0"/>
        <n v="256.0"/>
        <n v="704.0"/>
        <n v="847.0"/>
        <n v="915.0"/>
        <n v="406.0"/>
        <n v="483.0"/>
        <n v="153.0"/>
        <n v="324.0"/>
        <n v="668.0"/>
        <n v="924.0"/>
        <n v="343.0"/>
        <n v="357.0"/>
        <n v="882.0"/>
        <n v="896.0"/>
        <n v="859.0"/>
        <n v="384.0"/>
        <n v="587.0"/>
        <n v="485.0"/>
        <n v="238.0"/>
        <n v="223.0"/>
        <n v="957.0"/>
        <n v="644.0"/>
        <n v="843.0"/>
        <n v="163.0"/>
        <n v="375.0"/>
        <n v="416.0"/>
        <n v="397.0"/>
        <n v="297.0"/>
        <n v="236.0"/>
        <n v="692.0"/>
        <n v="884.0"/>
        <n v="379.0"/>
        <n v="611.0"/>
        <n v="187.0"/>
        <n v="110.0"/>
        <n v="781.0"/>
        <n v="710.0"/>
        <n v="574.0"/>
        <n v="958.0"/>
        <n v="377.0"/>
        <n v="125.0"/>
        <n v="651.0"/>
        <n v="362.0"/>
        <n v="289.0"/>
        <n v="496.0"/>
        <n v="610.0"/>
        <n v="903.0"/>
        <n v="80.0"/>
        <n v="39.0"/>
        <n v="965.0"/>
        <n v="288.0"/>
        <n v="825.0"/>
        <n v="627.0"/>
        <n v="741.0"/>
        <n v="724.0"/>
        <n v="149.0"/>
        <n v="519.0"/>
        <n v="312.0"/>
        <n v="656.0"/>
        <n v="749.0"/>
        <n v="978.0"/>
        <n v="881.0"/>
        <n v="911.0"/>
        <n v="831.0"/>
        <n v="518.0"/>
        <n v="292.0"/>
        <n v="733.0"/>
        <n v="16.0"/>
        <n v="746.0"/>
        <n v="208.0"/>
        <n v="200.0"/>
        <n v="944.0"/>
        <n v="817.0"/>
        <n v="632.0"/>
        <n v="907.0"/>
        <n v="337.0"/>
        <n v="761.0"/>
        <n v="554.0"/>
        <n v="267.0"/>
        <n v="805.0"/>
        <n v="137.0"/>
        <n v="152.0"/>
        <n v="947.0"/>
        <n v="409.0"/>
        <n v="967.0"/>
        <n v="399.0"/>
        <n v="89.0"/>
        <n v="875.0"/>
        <n v="864.0"/>
        <n v="410.0"/>
        <n v="900.0"/>
        <n v="961.0"/>
        <n v="905.0"/>
        <n v="57.0"/>
        <n v="619.0"/>
        <n v="789.0"/>
        <n v="798.0"/>
        <n v="196.0"/>
        <n v="106.0"/>
        <n v="471.0"/>
        <n v="773.0"/>
        <n v="855.0"/>
        <n v="552.0"/>
        <n v="829.0"/>
        <n v="333.0"/>
        <n v="341.0"/>
        <n v="917.0"/>
        <n v="370.0"/>
        <n v="275.0"/>
        <n v="755.0"/>
        <n v="968.0"/>
        <n v="104.0"/>
        <n v="98.0"/>
        <n v="388.0"/>
        <n v="32.0"/>
        <n v="696.0"/>
        <n v="588.0"/>
        <n v="293.0"/>
        <n v="279.0"/>
        <n v="883.0"/>
        <n v="248.0"/>
        <n v="918.0"/>
        <n v="426.0"/>
        <n v="820.0"/>
        <n v="459.0"/>
        <n v="120.0"/>
        <n v="762.0"/>
        <n v="466.0"/>
        <n v="672.0"/>
        <n v="157.0"/>
        <n v="242.0"/>
        <n v="444.0"/>
        <n v="935.0"/>
        <n v="586.0"/>
        <n v="102.0"/>
        <n v="434.0"/>
        <n v="488.0"/>
        <n v="786.0"/>
        <n v="122.0"/>
        <n v="328.0"/>
        <n v="77.0"/>
        <n v="75.0"/>
        <n v="844.0"/>
        <n v="476.0"/>
        <n v="689.0"/>
        <n v="142.0"/>
        <n v="182.0"/>
        <n v="921.0"/>
        <n v="252.0"/>
        <n v="709.0"/>
        <n v="260.0"/>
        <n v="717.0"/>
        <n v="387.0"/>
        <n v="845.0"/>
        <n v="339.0"/>
        <n v="285.0"/>
        <n v="219.0"/>
        <n v="451.0"/>
        <n v="659.0"/>
        <n v="294.0"/>
        <n v="757.0"/>
        <n v="734.0"/>
        <n v="186.0"/>
        <n v="493.0"/>
        <n v="862.0"/>
        <n v="413.0"/>
        <n v="909.0"/>
        <n v="449.0"/>
        <n v="832.0"/>
        <n v="318.0"/>
        <n v="296.0"/>
        <n v="542.0"/>
        <n v="112.0"/>
        <n v="162.0"/>
        <n v="731.0"/>
        <n v="803.0"/>
        <n v="135.0"/>
        <n v="231.0"/>
        <n v="454.0"/>
        <n v="371.0"/>
        <n v="752.0"/>
        <n v="939.0"/>
        <n v="606.0"/>
        <n v="463.0"/>
        <n v="86.0"/>
        <n v="2.0"/>
        <n v="99.0"/>
        <n v="569.0"/>
        <n v="24.0"/>
        <n v="906.0"/>
        <n v="598.0"/>
        <n v="501.0"/>
        <n v="799.0"/>
        <n v="678.0"/>
        <n v="92.0"/>
        <n v="972.0"/>
        <n v="372.0"/>
        <n v="531.0"/>
        <n v="511.0"/>
        <n v="464.0"/>
        <n v="687.0"/>
        <n v="834.0"/>
        <n v="814.0"/>
        <n v="420.0"/>
        <n v="783.0"/>
        <n v="975.0"/>
        <n v="237.0"/>
        <n v="345.0"/>
        <n v="869.0"/>
        <n v="797.0"/>
        <n v="871.0"/>
        <n v="534.0"/>
        <n v="837.0"/>
        <n v="160.0"/>
        <n v="85.0"/>
        <n v="23.0"/>
        <n v="623.0"/>
        <n v="129.0"/>
        <n v="524.0"/>
        <n v="329.0"/>
        <n v="599.0"/>
        <n v="441.0"/>
        <n v="919.0"/>
        <n v="536.0"/>
        <n v="714.0"/>
        <n v="121.0"/>
        <n v="355.0"/>
        <n v="706.0"/>
        <n v="240.0"/>
        <n v="119.0"/>
        <n v="64.0"/>
        <n v="794.0"/>
        <n v="310.0"/>
        <n v="220.0"/>
        <n v="777.0"/>
        <n v="405.0"/>
        <n v="691.0"/>
        <n v="889.0"/>
        <n v="319.0"/>
        <n v="557.0"/>
        <n v="72.0"/>
        <n v="95.0"/>
        <n v="407.0"/>
        <n v="49.0"/>
        <n v="677.0"/>
        <n v="436.0"/>
        <n v="376.0"/>
        <n v="652.0"/>
        <n v="670.0"/>
        <n v="698.0"/>
        <n v="484.0"/>
        <n v="571.0"/>
        <n v="74.0"/>
        <n v="697.0"/>
        <n v="103.0"/>
        <n v="172.0"/>
        <n v="114.0"/>
        <n v="756.0"/>
        <n v="214.0"/>
        <n v="748.0"/>
        <n v="643.0"/>
        <n v="314.0"/>
        <n v="812.0"/>
        <n v="767.0"/>
        <n v="522.0"/>
        <n v="867.0"/>
        <n v="227.0"/>
        <n v="84.0"/>
        <n v="123.0"/>
        <n v="30.0"/>
        <n v="171.0"/>
        <n v="671.0"/>
        <n v="18.0"/>
        <n v="185.0"/>
        <n v="271.0"/>
        <n v="562.0"/>
        <n v="926.0"/>
        <n v="490.0"/>
        <n v="29.0"/>
        <n v="719.0"/>
        <n v="613.0"/>
        <n v="570.0"/>
        <n v="897.0"/>
        <n v="634.0"/>
        <n v="235.0"/>
        <n v="361.0"/>
        <n v="525.0"/>
        <n v="188.0"/>
        <n v="473.0"/>
        <n v="265.0"/>
        <n v="902.0"/>
        <n v="551.0"/>
        <n v="170.0"/>
        <n v="189.0"/>
        <n v="217.0"/>
        <n v="229.0"/>
        <n v="735.0"/>
        <n v="184.0"/>
        <n v="494.0"/>
        <n v="424.0"/>
        <n v="261.0"/>
        <n v="563.0"/>
        <n v="751.0"/>
        <n v="951.0"/>
        <n v="273.0"/>
        <n v="249.0"/>
        <n v="865.0"/>
        <n v="653.0"/>
        <n v="392.0"/>
        <n v="136.0"/>
        <n v="22.0"/>
        <n v="940.0"/>
        <n v="658.0"/>
        <n v="365.0"/>
        <n v="385.0"/>
        <n v="910.0"/>
        <n v="431.0"/>
        <n v="872.0"/>
        <n v="348.0"/>
        <n v="596.0"/>
        <n v="396.0"/>
        <n v="856.0"/>
        <n v="395.0"/>
        <n v="250.0"/>
        <n v="802.0"/>
        <n v="942.0"/>
        <n v="581.0"/>
        <n v="308.0"/>
        <n v="716.0"/>
        <n v="946.0"/>
        <n v="353.0"/>
        <n v="506.0"/>
        <n v="609.0"/>
        <n v="307.0"/>
        <n v="281.0"/>
        <n v="383.0"/>
        <n v="736.0"/>
        <n v="885.0"/>
        <n v="478.0"/>
        <n v="747.0"/>
        <n v="19.0"/>
        <n v="778.0"/>
        <n v="5.0"/>
        <n v="35.0"/>
        <n v="956.0"/>
        <n v="721.0"/>
        <n v="673.0"/>
        <n v="42.0"/>
        <n v="840.0"/>
        <n v="759.0"/>
        <n v="683.0"/>
        <n v="811.0"/>
        <n v="515.0"/>
        <n v="179.0"/>
        <n v="118.0"/>
        <n v="228.0"/>
        <n v="317.0"/>
        <n v="378.0"/>
        <n v="579.0"/>
        <n v="306.0"/>
        <n v="437.0"/>
        <n v="605.0"/>
        <n v="495.0"/>
        <n v="528.0"/>
        <n v="546.0"/>
        <n v="439.0"/>
        <n v="891.0"/>
        <n v="474.0"/>
        <n v="489.0"/>
        <n v="565.0"/>
        <n v="368.0"/>
        <n v="193.0"/>
        <n v="686.0"/>
        <n v="850.0"/>
        <n v="327.0"/>
        <n v="971.0"/>
        <n v="822.0"/>
        <n v="707.0"/>
        <n v="144.0"/>
        <n v="969.0"/>
        <n v="532.0"/>
        <n v="892.0"/>
        <n v="222.0"/>
        <n v="505.0"/>
        <n v="422.0"/>
        <n v="890.0"/>
        <n v="784.0"/>
        <n v="241.0"/>
        <n v="631.0"/>
        <n v="642.0"/>
        <n v="268.0"/>
        <n v="675.0"/>
        <n v="700.0"/>
        <n v="335.0"/>
        <n v="765.0"/>
        <n v="81.0"/>
        <n v="600.0"/>
        <n v="879.0"/>
        <n v="695.0"/>
        <n v="674.0"/>
        <n v="655.0"/>
        <n v="259.0"/>
        <n v="404.0"/>
        <n v="4.0"/>
        <n v="262.0"/>
        <n v="28.0"/>
        <n v="538.0"/>
        <n v="738.0"/>
        <n v="90.0"/>
        <n v="414.0"/>
        <n v="513.0"/>
        <n v="770.0"/>
        <n v="744.0"/>
        <n v="87.0"/>
        <n v="774.0"/>
        <n v="858.0"/>
        <n v="607.0"/>
        <n v="224.0"/>
        <n v="156.0"/>
        <n v="304.0"/>
        <n v="71.0"/>
        <n v="55.0"/>
        <n v="315.0"/>
        <n v="830.0"/>
        <n v="403.0"/>
        <n v="821.0"/>
        <n v="564.0"/>
        <n v="491.0"/>
        <n v="96.0"/>
        <n v="400.0"/>
        <n v="640.0"/>
        <n v="641.0"/>
        <n v="955.0"/>
        <n v="486.0"/>
        <n v="492.0"/>
        <n v="167.0"/>
        <n v="567.0"/>
        <n v="713.0"/>
        <n v="427.0"/>
        <n v="43.0"/>
        <n v="290.0"/>
        <n v="754.0"/>
        <n v="173.0"/>
        <n v="79.0"/>
        <n v="645.0"/>
        <n v="690.0"/>
        <n v="589.0"/>
        <n v="301.0"/>
        <n v="540.0"/>
        <n v="539.0"/>
        <n v="461.0"/>
        <n v="438.0"/>
        <n v="203.0"/>
        <n v="105.0"/>
        <n v="254.0"/>
        <n v="776.0"/>
        <n v="239.0"/>
        <n v="45.0"/>
        <n v="931.0"/>
        <n v="537.0"/>
        <n v="41.0"/>
        <n v="959.0"/>
        <n v="818.0"/>
        <n v="594.0"/>
        <n v="66.0"/>
        <n v="636.0"/>
        <n v="824.0"/>
        <n v="543.0"/>
        <n v="614.0"/>
        <n v="251.0"/>
        <n v="948.0"/>
        <n v="966.0"/>
        <n v="526.0"/>
        <n v="729.0"/>
        <n v="517.0"/>
        <n v="973.0"/>
        <n v="801.0"/>
        <n v="901.0"/>
        <n v="13.0"/>
        <n v="792.0"/>
        <n v="411.0"/>
        <n v="347.0"/>
        <n v="401.0"/>
        <n v="62.0"/>
        <n v="527.0"/>
        <n v="480.0"/>
        <n v="819.0"/>
        <n v="667.0"/>
        <n v="299.0"/>
        <n v="460.0"/>
        <n v="443.0"/>
        <n v="322.0"/>
        <n v="838.0"/>
        <n v="133.0"/>
        <n v="839.0"/>
        <n v="815.0"/>
        <n v="3.0"/>
        <n v="14.0"/>
        <n v="810.0"/>
        <n v="580.0"/>
        <n v="421.0"/>
        <n v="725.0"/>
        <n v="591.0"/>
        <n v="727.0"/>
        <n v="650.0"/>
        <n v="703.0"/>
        <n v="469.0"/>
        <n v="876.0"/>
        <n v="615.0"/>
        <n v="638.0"/>
        <n v="499.0"/>
        <n v="793.0"/>
        <n v="351.0"/>
        <n v="498.0"/>
        <n v="10.0"/>
        <n v="363.0"/>
        <n v="342.0"/>
        <n v="305.0"/>
        <n v="381.0"/>
        <n v="637.0"/>
        <n v="647.0"/>
        <n v="148.0"/>
        <n v="740.0"/>
        <n v="950.0"/>
      </sharedItems>
    </cacheField>
    <cacheField name="stock" numFmtId="0">
      <sharedItems containsSemiMixedTypes="0" containsString="0" containsNumber="1" containsInteger="1">
        <n v="326.0"/>
        <n v="0.0"/>
        <n v="100.0"/>
        <n v="269.0"/>
        <n v="476.0"/>
        <n v="44.0"/>
        <n v="40.0"/>
        <n v="153.0"/>
        <n v="407.0"/>
        <n v="66.0"/>
        <n v="13.0"/>
        <n v="245.0"/>
        <n v="309.0"/>
        <n v="20.0"/>
        <n v="97.0"/>
        <n v="53.0"/>
        <n v="59.0"/>
        <n v="143.0"/>
        <n v="325.0"/>
        <n v="79.0"/>
        <n v="150.0"/>
        <n v="620.0"/>
        <n v="6.0"/>
        <n v="608.0"/>
        <n v="83.0"/>
        <n v="36.0"/>
        <n v="68.0"/>
        <n v="175.0"/>
        <n v="430.0"/>
        <n v="37.0"/>
        <n v="131.0"/>
        <n v="26.0"/>
        <n v="129.0"/>
        <n v="49.0"/>
        <n v="575.0"/>
        <n v="19.0"/>
        <n v="2.0"/>
        <n v="86.0"/>
        <n v="87.0"/>
        <n v="95.0"/>
        <n v="155.0"/>
        <n v="303.0"/>
        <n v="246.0"/>
        <n v="277.0"/>
        <n v="231.0"/>
        <n v="106.0"/>
        <n v="210.0"/>
        <n v="84.0"/>
        <n v="41.0"/>
        <n v="296.0"/>
        <n v="563.0"/>
        <n v="31.0"/>
        <n v="33.0"/>
        <n v="1.0"/>
        <n v="181.0"/>
        <n v="8.0"/>
        <n v="630.0"/>
        <n v="397.0"/>
        <n v="123.0"/>
        <n v="228.0"/>
        <n v="260.0"/>
        <n v="394.0"/>
        <n v="395.0"/>
        <n v="336.0"/>
        <n v="807.0"/>
        <n v="25.0"/>
        <n v="622.0"/>
        <n v="657.0"/>
        <n v="714.0"/>
        <n v="347.0"/>
        <n v="393.0"/>
        <n v="438.0"/>
        <n v="321.0"/>
        <n v="27.0"/>
        <n v="7.0"/>
        <n v="337.0"/>
        <n v="167.0"/>
        <n v="114.0"/>
        <n v="105.0"/>
        <n v="168.0"/>
        <n v="298.0"/>
        <n v="126.0"/>
        <n v="505.0"/>
        <n v="345.0"/>
        <n v="441.0"/>
        <n v="223.0"/>
        <n v="413.0"/>
        <n v="45.0"/>
        <n v="52.0"/>
        <n v="42.0"/>
        <n v="9.0"/>
        <n v="502.0"/>
        <n v="60.0"/>
        <n v="139.0"/>
        <n v="47.0"/>
        <n v="409.0"/>
        <n v="78.0"/>
        <n v="39.0"/>
        <n v="118.0"/>
        <n v="144.0"/>
        <n v="713.0"/>
        <n v="317.0"/>
        <n v="554.0"/>
        <n v="365.0"/>
        <n v="177.0"/>
        <n v="252.0"/>
        <n v="243.0"/>
        <n v="503.0"/>
        <n v="221.0"/>
        <n v="201.0"/>
        <n v="198.0"/>
        <n v="120.0"/>
        <n v="233.0"/>
        <n v="318.0"/>
        <n v="125.0"/>
        <n v="58.0"/>
        <n v="151.0"/>
        <n v="15.0"/>
        <n v="328.0"/>
        <n v="753.0"/>
        <n v="565.0"/>
        <n v="3.0"/>
        <n v="93.0"/>
        <n v="464.0"/>
        <n v="80.0"/>
        <n v="69.0"/>
        <n v="14.0"/>
        <n v="259.0"/>
        <n v="428.0"/>
        <n v="200.0"/>
        <n v="103.0"/>
        <n v="771.0"/>
        <n v="515.0"/>
        <n v="331.0"/>
        <n v="219.0"/>
        <n v="513.0"/>
        <n v="462.0"/>
        <n v="679.0"/>
        <n v="124.0"/>
        <n v="162.0"/>
        <n v="862.0"/>
        <n v="16.0"/>
        <n v="156.0"/>
        <n v="174.0"/>
        <n v="5.0"/>
        <n v="204.0"/>
        <n v="10.0"/>
        <n v="390.0"/>
        <n v="543.0"/>
        <n v="556.0"/>
        <n v="72.0"/>
        <n v="24.0"/>
        <n v="171.0"/>
        <n v="546.0"/>
        <n v="48.0"/>
        <n v="119.0"/>
        <n v="371.0"/>
        <n v="738.0"/>
        <n v="237.0"/>
        <n v="274.0"/>
        <n v="524.0"/>
        <n v="214.0"/>
        <n v="372.0"/>
        <n v="406.0"/>
        <n v="572.0"/>
        <n v="94.0"/>
        <n v="511.0"/>
        <n v="306.0"/>
        <n v="792.0"/>
        <n v="310.0"/>
        <n v="211.0"/>
        <n v="98.0"/>
        <n v="76.0"/>
        <n v="288.0"/>
        <n v="751.0"/>
        <n v="381.0"/>
        <n v="805.0"/>
        <n v="101.0"/>
        <n v="148.0"/>
        <n v="196.0"/>
        <n v="399.0"/>
        <n v="130.0"/>
        <n v="330.0"/>
        <n v="449.0"/>
        <n v="43.0"/>
        <n v="73.0"/>
        <n v="183.0"/>
        <n v="658.0"/>
        <n v="562.0"/>
        <n v="121.0"/>
        <n v="591.0"/>
        <n v="234.0"/>
        <n v="63.0"/>
        <n v="99.0"/>
        <n v="138.0"/>
        <n v="190.0"/>
        <n v="299.0"/>
        <n v="134.0"/>
        <n v="316.0"/>
        <n v="256.0"/>
        <n v="901.0"/>
        <n v="427.0"/>
        <n v="158.0"/>
        <n v="374.0"/>
        <n v="349.0"/>
        <n v="254.0"/>
        <n v="222.0"/>
        <n v="366.0"/>
        <n v="55.0"/>
        <n v="224.0"/>
        <n v="215.0"/>
        <n v="18.0"/>
        <n v="377.0"/>
        <n v="32.0"/>
        <n v="248.0"/>
        <n v="535.0"/>
        <n v="236.0"/>
        <n v="364.0"/>
        <n v="164.0"/>
        <n v="170.0"/>
        <n v="743.0"/>
        <n v="437.0"/>
        <n v="23.0"/>
        <n v="484.0"/>
        <n v="75.0"/>
        <n v="487.0"/>
        <n v="615.0"/>
        <n v="241.0"/>
        <n v="460.0"/>
        <n v="425.0"/>
        <n v="888.0"/>
        <n v="81.0"/>
        <n v="172.0"/>
        <n v="313.0"/>
        <n v="57.0"/>
        <n v="404.0"/>
        <n v="666.0"/>
        <n v="312.0"/>
        <n v="12.0"/>
        <n v="402.0"/>
        <n v="108.0"/>
        <n v="88.0"/>
        <n v="247.0"/>
        <n v="527.0"/>
        <n v="255.0"/>
        <n v="300.0"/>
        <n v="723.0"/>
        <n v="342.0"/>
        <n v="264.0"/>
        <n v="682.0"/>
        <n v="283.0"/>
        <n v="431.0"/>
        <n v="605.0"/>
        <n v="282.0"/>
        <n v="154.0"/>
        <n v="444.0"/>
        <n v="415.0"/>
        <n v="203.0"/>
        <n v="384.0"/>
        <n v="89.0"/>
        <n v="604.0"/>
        <n v="456.0"/>
        <n v="46.0"/>
        <n v="334.0"/>
        <n v="329.0"/>
        <n v="965.0"/>
        <n v="494.0"/>
        <n v="297.0"/>
        <n v="217.0"/>
        <n v="147.0"/>
        <n v="238.0"/>
        <n v="549.0"/>
        <n v="111.0"/>
        <n v="266.0"/>
        <n v="65.0"/>
        <n v="21.0"/>
        <n v="450.0"/>
        <n v="35.0"/>
        <n v="663.0"/>
        <n v="533.0"/>
        <n v="267.0"/>
        <n v="34.0"/>
        <n v="115.0"/>
        <n v="544.0"/>
        <n v="244.0"/>
        <n v="722.0"/>
        <n v="187.0"/>
        <n v="286.0"/>
        <n v="161.0"/>
        <n v="230.0"/>
        <n v="485.0"/>
        <n v="71.0"/>
        <n v="4.0"/>
        <n v="285.0"/>
        <n v="239.0"/>
        <n v="332.0"/>
        <n v="417.0"/>
        <n v="548.0"/>
        <n v="418.0"/>
        <n v="207.0"/>
        <n v="142.0"/>
        <n v="92.0"/>
        <n v="650.0"/>
        <n v="107.0"/>
        <n v="424.0"/>
        <n v="432.0"/>
        <n v="116.0"/>
        <n v="775.0"/>
        <n v="38.0"/>
        <n v="649.0"/>
        <n v="85.0"/>
        <n v="229.0"/>
        <n v="133.0"/>
        <n v="373.0"/>
        <n v="273.0"/>
        <n v="706.0"/>
        <n v="62.0"/>
        <n v="602.0"/>
        <n v="359.0"/>
        <n v="28.0"/>
        <n v="202.0"/>
        <n v="193.0"/>
        <n v="435.0"/>
        <n v="61.0"/>
        <n v="839.0"/>
        <n v="356.0"/>
        <n v="621.0"/>
        <n v="774.0"/>
        <n v="178.0"/>
        <n v="132.0"/>
        <n v="350.0"/>
        <n v="192.0"/>
        <n v="530.0"/>
        <n v="314.0"/>
        <n v="279.0"/>
        <n v="149.0"/>
        <n v="348.0"/>
        <n v="216.0"/>
        <n v="496.0"/>
        <n v="876.0"/>
        <n v="104.0"/>
        <n v="189.0"/>
        <n v="539.0"/>
        <n v="70.0"/>
        <n v="268.0"/>
        <n v="745.0"/>
        <n v="894.0"/>
        <n v="311.0"/>
        <n v="160.0"/>
        <n v="141.0"/>
        <n v="54.0"/>
        <n v="352.0"/>
        <n v="74.0"/>
        <n v="199.0"/>
        <n v="419.0"/>
        <n v="416.0"/>
        <n v="29.0"/>
        <n v="30.0"/>
        <n v="861.0"/>
        <n v="195.0"/>
        <n v="284.0"/>
        <n v="560.0"/>
        <n v="127.0"/>
        <n v="135.0"/>
        <n v="67.0"/>
        <n v="538.0"/>
        <n v="506.0"/>
        <n v="56.0"/>
        <n v="493.0"/>
        <n v="705.0"/>
        <n v="547.0"/>
        <n v="635.0"/>
        <n v="376.0"/>
        <n v="293.0"/>
        <n v="573.0"/>
        <n v="886.0"/>
        <n v="194.0"/>
        <n v="165.0"/>
        <n v="261.0"/>
        <n v="308.0"/>
        <n v="176.0"/>
        <n v="112.0"/>
        <n v="633.0"/>
        <n v="581.0"/>
        <n v="333.0"/>
        <n v="803.0"/>
        <n v="235.0"/>
        <n v="480.0"/>
        <n v="748.0"/>
        <n v="595.0"/>
        <n v="110.0"/>
        <n v="249.0"/>
        <n v="609.0"/>
        <n v="258.0"/>
        <n v="541.0"/>
        <n v="136.0"/>
        <n v="902.0"/>
        <n v="163.0"/>
        <n v="17.0"/>
        <n v="835.0"/>
        <n v="590.0"/>
        <n v="761.0"/>
        <n v="474.0"/>
        <n v="545.0"/>
        <n v="512.0"/>
        <n v="526.0"/>
        <n v="872.0"/>
        <n v="529.0"/>
        <n v="701.0"/>
        <n v="878.0"/>
        <n v="275.0"/>
        <n v="613.0"/>
        <n v="410.0"/>
        <n v="324.0"/>
        <n v="197.0"/>
        <n v="77.0"/>
        <n v="433.0"/>
        <n v="263.0"/>
        <n v="186.0"/>
        <n v="567.0"/>
        <n v="559.0"/>
        <n v="414.0"/>
        <n v="721.0"/>
        <n v="51.0"/>
        <n v="555.0"/>
        <n v="550.0"/>
        <n v="508.0"/>
        <n v="616.0"/>
        <n v="184.0"/>
        <n v="510.0"/>
        <n v="50.0"/>
        <n v="295.0"/>
        <n v="667.0"/>
        <n v="304.0"/>
        <n v="607.0"/>
        <n v="411.0"/>
        <n v="191.0"/>
        <n v="475.0"/>
        <n v="389.0"/>
        <n v="478.0"/>
        <n v="205.0"/>
        <n v="152.0"/>
        <n v="225.0"/>
        <n v="227.0"/>
        <n v="656.0"/>
        <n v="218.0"/>
        <n v="294.0"/>
        <n v="617.0"/>
        <n v="458.0"/>
        <n v="599.0"/>
        <n v="335.0"/>
        <n v="834.0"/>
        <n v="206.0"/>
        <n v="692.0"/>
        <n v="482.0"/>
        <n v="357.0"/>
        <n v="528.0"/>
        <n v="668.0"/>
        <n v="109.0"/>
        <n v="422.0"/>
        <n v="169.0"/>
        <n v="782.0"/>
        <n v="346.0"/>
        <n v="709.0"/>
        <n v="212.0"/>
        <n v="91.0"/>
        <n v="351.0"/>
        <n v="643.0"/>
        <n v="636.0"/>
        <n v="315.0"/>
        <n v="102.0"/>
        <n v="242.0"/>
        <n v="370.0"/>
        <n v="388.0"/>
        <n v="146.0"/>
        <n v="145.0"/>
        <n v="447.0"/>
        <n v="412.0"/>
        <n v="408.0"/>
        <n v="434.0"/>
        <n v="645.0"/>
        <n v="382.0"/>
        <n v="117.0"/>
        <n v="681.0"/>
        <n v="459.0"/>
        <n v="385.0"/>
        <n v="580.0"/>
        <n v="188.0"/>
        <n v="179.0"/>
        <n v="866.0"/>
        <n v="448.0"/>
        <n v="90.0"/>
        <n v="173.0"/>
        <n v="736.0"/>
        <n v="500.0"/>
        <n v="638.0"/>
        <n v="611.0"/>
        <n v="641.0"/>
        <n v="64.0"/>
        <n v="532.0"/>
        <n v="619.0"/>
        <n v="481.0"/>
        <n v="766.0"/>
        <n v="353.0"/>
        <n v="468.0"/>
        <n v="537.0"/>
        <n v="507.0"/>
        <n v="747.0"/>
        <n v="733.0"/>
        <n v="429.0"/>
        <n v="362.0"/>
        <n v="670.0"/>
        <n v="740.0"/>
        <n v="280.0"/>
        <n v="262.0"/>
        <n v="695.0"/>
        <n v="343.0"/>
        <n v="360.0"/>
        <n v="491.0"/>
        <n v="122.0"/>
        <n v="597.0"/>
        <n v="291.0"/>
        <n v="504.0"/>
        <n v="253.0"/>
        <n v="302.0"/>
        <n v="463.0"/>
        <n v="542.0"/>
        <n v="140.0"/>
        <n v="383.0"/>
        <n v="445.0"/>
        <n v="401.0"/>
        <n v="271.0"/>
        <n v="769.0"/>
        <n v="764.0"/>
        <n v="276.0"/>
        <n v="812.0"/>
        <n v="882.0"/>
        <n v="287.0"/>
        <n v="257.0"/>
        <n v="113.0"/>
        <n v="749.0"/>
        <n v="319.0"/>
        <n v="600.0"/>
        <n v="355.0"/>
        <n v="517.0"/>
        <n v="628.0"/>
        <n v="301.0"/>
        <n v="209.0"/>
        <n v="232.0"/>
        <n v="662.0"/>
        <n v="588.0"/>
        <n v="392.0"/>
        <n v="634.0"/>
        <n v="841.0"/>
        <n v="367.0"/>
        <n v="787.0"/>
        <n v="927.0"/>
        <n v="472.0"/>
        <n v="322.0"/>
        <n v="157.0"/>
        <n v="490.0"/>
        <n v="593.0"/>
        <n v="379.0"/>
        <n v="525.0"/>
        <n v="623.0"/>
        <n v="290.0"/>
        <n v="618.0"/>
        <n v="442.0"/>
        <n v="423.0"/>
        <n v="96.0"/>
        <n v="455.0"/>
        <n v="403.0"/>
        <n v="570.0"/>
        <n v="159.0"/>
        <n v="664.0"/>
        <n v="789.0"/>
        <n v="644.0"/>
        <n v="558.0"/>
        <n v="483.0"/>
        <n v="895.0"/>
        <n v="518.0"/>
        <n v="610.0"/>
        <n v="220.0"/>
        <n v="557.0"/>
        <n v="637.0"/>
        <n v="568.0"/>
        <n v="806.0"/>
        <n v="307.0"/>
        <n v="251.0"/>
        <n v="780.0"/>
        <n v="226.0"/>
        <n v="711.0"/>
        <n v="497.0"/>
        <n v="718.0"/>
        <n v="358.0"/>
        <n v="11.0"/>
        <n v="180.0"/>
        <n v="378.0"/>
        <n v="516.0"/>
        <n v="272.0"/>
        <n v="598.0"/>
        <n v="908.0"/>
        <n v="832.0"/>
        <n v="185.0"/>
        <n v="770.0"/>
        <n v="582.0"/>
        <n v="585.0"/>
        <n v="292.0"/>
        <n v="368.0"/>
        <n v="451.0"/>
        <n v="327.0"/>
        <n v="684.0"/>
        <n v="278.0"/>
        <n v="799.0"/>
        <n v="137.0"/>
        <n v="369.0"/>
        <n v="553.0"/>
        <n v="387.0"/>
        <n v="925.0"/>
        <n v="564.0"/>
        <n v="466.0"/>
        <n v="400.0"/>
        <n v="452.0"/>
        <n v="22.0"/>
        <n v="579.0"/>
        <n v="443.0"/>
        <n v="492.0"/>
        <n v="323.0"/>
        <n v="270.0"/>
        <n v="166.0"/>
        <n v="742.0"/>
        <n v="182.0"/>
        <n v="250.0"/>
        <n v="719.0"/>
        <n v="734.0"/>
        <n v="281.0"/>
        <n v="871.0"/>
        <n v="741.0"/>
        <n v="386.0"/>
        <n v="699.0"/>
        <n v="536.0"/>
        <n v="725.0"/>
        <n v="477.0"/>
        <n v="486.0"/>
        <n v="860.0"/>
        <n v="82.0"/>
        <n v="436.0"/>
        <n v="380.0"/>
        <n v="551.0"/>
        <n v="951.0"/>
        <n v="391.0"/>
        <n v="289.0"/>
        <n v="896.0"/>
        <n v="396.0"/>
        <n v="514.0"/>
        <n v="398.0"/>
        <n v="693.0"/>
        <n v="855.0"/>
        <n v="421.0"/>
        <n v="457.0"/>
        <n v="672.0"/>
        <n v="552.0"/>
        <n v="509.0"/>
        <n v="945.0"/>
        <n v="783.0"/>
        <n v="781.0"/>
        <n v="687.0"/>
        <n v="675.0"/>
        <n v="473.0"/>
        <n v="574.0"/>
        <n v="763.0"/>
        <n v="522.0"/>
        <n v="596.0"/>
        <n v="128.0"/>
        <n v="498.0"/>
        <n v="712.0"/>
        <n v="830.0"/>
        <n v="540.0"/>
        <n v="469.0"/>
        <n v="471.0"/>
        <n v="852.0"/>
        <n v="488.0"/>
        <n v="534.0"/>
        <n v="586.0"/>
        <n v="808.0"/>
        <n v="523.0"/>
        <n v="857.0"/>
        <n v="426.0"/>
        <n v="531.0"/>
        <n v="489.0"/>
        <n v="884.0"/>
        <n v="606.0"/>
        <n v="829.0"/>
        <n v="639.0"/>
        <n v="624.0"/>
        <n v="954.0"/>
        <n v="375.0"/>
        <n v="208.0"/>
        <n v="520.0"/>
        <n v="873.0"/>
        <n v="571.0"/>
        <n v="720.0"/>
        <n v="213.0"/>
        <n v="467.0"/>
        <n v="499.0"/>
        <n v="686.0"/>
        <n v="665.0"/>
        <n v="240.0"/>
        <n v="501.0"/>
        <n v="848.0"/>
        <n v="802.0"/>
        <n v="824.0"/>
        <n v="952.0"/>
        <n v="697.0"/>
        <n v="868.0"/>
        <n v="899.0"/>
        <n v="265.0"/>
        <n v="354.0"/>
        <n v="592.0"/>
        <n v="911.0"/>
        <n v="338.0"/>
        <n v="589.0"/>
        <n v="727.0"/>
        <n v="454.0"/>
        <n v="683.0"/>
        <n v="439.0"/>
        <n v="704.0"/>
        <n v="654.0"/>
        <n v="521.0"/>
        <n v="361.0"/>
        <n v="420.0"/>
        <n v="779.0"/>
        <n v="772.0"/>
        <n v="646.0"/>
        <n v="676.0"/>
        <n v="465.0"/>
        <n v="479.0"/>
        <n v="702.0"/>
        <n v="594.0"/>
        <n v="340.0"/>
        <n v="795.0"/>
        <n v="689.0"/>
        <n v="576.0"/>
        <n v="320.0"/>
        <n v="612.0"/>
        <n v="583.0"/>
        <n v="724.0"/>
        <n v="648.0"/>
        <n v="344.0"/>
        <n v="652.0"/>
        <n v="629.0"/>
        <n v="914.0"/>
        <n v="913.0"/>
        <n v="561.0"/>
        <n v="786.0"/>
        <n v="603.0"/>
        <n v="930.0"/>
        <n v="760.0"/>
        <n v="703.0"/>
        <n v="440.0"/>
        <n v="920.0"/>
        <n v="519.0"/>
        <n v="405.0"/>
        <n v="956.0"/>
        <n v="341.0"/>
        <n v="614.0"/>
        <n v="892.0"/>
        <n v="671.0"/>
        <n v="566.0"/>
        <n v="651.0"/>
        <n v="785.0"/>
        <n v="677.0"/>
        <n v="653.0"/>
        <n v="716.0"/>
        <n v="941.0"/>
        <n v="846.0"/>
        <n v="917.0"/>
        <n v="715.0"/>
        <n v="837.0"/>
        <n v="814.0"/>
        <n v="791.0"/>
        <n v="305.0"/>
        <n v="569.0"/>
        <n v="680.0"/>
        <n v="850.0"/>
        <n v="717.0"/>
        <n v="759.0"/>
        <n v="698.0"/>
        <n v="363.0"/>
        <n v="339.0"/>
        <n v="578.0"/>
        <n v="858.0"/>
        <n v="798.0"/>
        <n v="710.0"/>
        <n v="735.0"/>
        <n v="849.0"/>
        <n v="820.0"/>
        <n v="461.0"/>
        <n v="887.0"/>
        <n v="856.0"/>
        <n v="877.0"/>
        <n v="640.0"/>
        <n v="788.0"/>
        <n v="577.0"/>
        <n v="453.0"/>
        <n v="674.0"/>
        <n v="750.0"/>
        <n v="470.0"/>
        <n v="737.0"/>
        <n v="642.0"/>
        <n v="626.0"/>
        <n v="584.0"/>
        <n v="842.0"/>
        <n v="728.0"/>
        <n v="495.0"/>
        <n v="817.0"/>
        <n v="859.0"/>
        <n v="446.0"/>
        <n v="844.0"/>
        <n v="797.0"/>
        <n v="731.0"/>
        <n v="813.0"/>
        <n v="685.0"/>
        <n v="690.0"/>
        <n v="810.0"/>
        <n v="660.0"/>
      </sharedItems>
    </cacheField>
    <cacheField name="price" numFmtId="0">
      <sharedItems containsSemiMixedTypes="0" containsString="0" containsNumber="1">
        <n v="4.22"/>
        <n v="5.99"/>
        <n v="2.39"/>
        <n v="1.11"/>
        <n v="1.17"/>
        <n v="8.75"/>
        <n v="4.74"/>
        <n v="1.92"/>
        <n v="2.79"/>
        <n v="1.59"/>
        <n v="3.91"/>
        <n v="1.27"/>
        <n v="2.18"/>
        <n v="2.69"/>
        <n v="3.02"/>
        <n v="4.51"/>
        <n v="5.92"/>
        <n v="3.75"/>
        <n v="2.3"/>
        <n v="7.24"/>
        <n v="6.8"/>
        <n v="2.92"/>
        <n v="1.71"/>
        <n v="2.14"/>
        <n v="3.16"/>
        <n v="1.95"/>
        <n v="2.82"/>
        <n v="3.27"/>
        <n v="4.17"/>
        <n v="12.25"/>
        <n v="4.16"/>
        <n v="4.12"/>
        <n v="12.33"/>
        <n v="12.01"/>
        <n v="11.18"/>
        <n v="6.58"/>
        <n v="7.41"/>
        <n v="6.22"/>
        <n v="10.49"/>
        <n v="10.93"/>
        <n v="11.4"/>
        <n v="8.82"/>
        <n v="6.91"/>
        <n v="8.96"/>
        <n v="8.34"/>
        <n v="8.69"/>
        <n v="11.64"/>
        <n v="6.9"/>
        <n v="2.89"/>
        <n v="5.37"/>
        <n v="3.4"/>
        <n v="3.88"/>
        <n v="4.13"/>
        <n v="3.55"/>
        <n v="2.36"/>
        <n v="3.21"/>
        <n v="2.38"/>
        <n v="2.25"/>
        <n v="3.97"/>
        <n v="3.46"/>
        <n v="4.44"/>
        <n v="2.5"/>
        <n v="4.21"/>
        <n v="4.11"/>
        <n v="3.83"/>
        <n v="5.46"/>
        <n v="5.31"/>
        <n v="4.59"/>
        <n v="5.02"/>
        <n v="3.12"/>
        <n v="5.97"/>
        <n v="3.54"/>
        <n v="3.94"/>
        <n v="5.08"/>
        <n v="4.39"/>
        <n v="3.49"/>
        <n v="5.25"/>
        <n v="4.19"/>
        <n v="4.6"/>
        <n v="2.47"/>
        <n v="12.77"/>
        <n v="18.28"/>
        <n v="13.23"/>
        <n v="14.76"/>
        <n v="14.08"/>
        <n v="1.25"/>
        <n v="3.05"/>
        <n v="1.44"/>
        <n v="1.37"/>
        <n v="3.37"/>
        <n v="3.5"/>
        <n v="6.95"/>
        <n v="2.85"/>
        <n v="1.34"/>
        <n v="13.77"/>
        <n v="4.83"/>
        <n v="12.79"/>
        <n v="9.78"/>
        <n v="15.0"/>
        <n v="12.19"/>
        <n v="14.52"/>
        <n v="21.75"/>
        <n v="19.87"/>
        <n v="28.71"/>
        <n v="21.94"/>
        <n v="6.37"/>
        <n v="6.88"/>
        <n v="13.39"/>
        <n v="46.41"/>
        <n v="22.05"/>
        <n v="16.03"/>
        <n v="12.57"/>
        <n v="15.17"/>
        <n v="10.83"/>
        <n v="8.67"/>
        <n v="11.26"/>
        <n v="14.29"/>
        <n v="7.97"/>
        <n v="9.4"/>
        <n v="9.38"/>
        <n v="10.4"/>
        <n v="13.37"/>
        <n v="6.33"/>
        <n v="9.85"/>
        <n v="10.7"/>
        <n v="8.24"/>
        <n v="13.43"/>
        <n v="6.32"/>
        <n v="4.77"/>
        <n v="32.75"/>
        <n v="5.03"/>
        <n v="12.13"/>
        <n v="5.4"/>
        <n v="14.1"/>
        <n v="12.52"/>
        <n v="9.09"/>
        <n v="2.07"/>
        <n v="7.23"/>
        <n v="7.81"/>
        <n v="13.24"/>
        <n v="4.87"/>
        <n v="14.97"/>
        <n v="6.93"/>
        <n v="6.23"/>
        <n v="5.63"/>
        <n v="6.01"/>
        <n v="3.28"/>
        <n v="14.19"/>
        <n v="8.2"/>
        <n v="5.12"/>
        <n v="6.79"/>
        <n v="2.72"/>
        <n v="6.14"/>
        <n v="2.63"/>
        <n v="1.12"/>
        <n v="2.2"/>
        <n v="2.23"/>
        <n v="2.52"/>
        <n v="2.61"/>
        <n v="5.86"/>
        <n v="2.76"/>
        <n v="2.95"/>
        <n v="2.0"/>
        <n v="3.17"/>
        <n v="2.64"/>
        <n v="0.7"/>
        <n v="3.09"/>
        <n v="1.89"/>
        <n v="1.38"/>
        <n v="2.11"/>
        <n v="2.28"/>
        <n v="1.81"/>
        <n v="1.88"/>
        <n v="2.04"/>
        <n v="1.42"/>
        <n v="9.5"/>
        <n v="3.48"/>
        <n v="1.99"/>
        <n v="7.25"/>
        <n v="1.69"/>
        <n v="2.42"/>
        <n v="1.98"/>
        <n v="1.8"/>
        <n v="1.33"/>
        <n v="7.9"/>
        <n v="1.57"/>
        <n v="6.68"/>
        <n v="4.4"/>
        <n v="1.67"/>
        <n v="1.66"/>
        <n v="1.19"/>
        <n v="35.49"/>
        <n v="4.14"/>
        <n v="2.27"/>
        <n v="2.17"/>
        <n v="8.55"/>
        <n v="32.56"/>
        <n v="1.85"/>
        <n v="2.31"/>
        <n v="1.22"/>
        <n v="3.93"/>
        <n v="1.79"/>
        <n v="2.29"/>
        <n v="4.7"/>
        <n v="5.81"/>
        <n v="5.36"/>
        <n v="4.84"/>
        <n v="7.77"/>
        <n v="8.89"/>
        <n v="4.42"/>
        <n v="8.85"/>
        <n v="5.77"/>
        <n v="9.11"/>
        <n v="2.35"/>
        <n v="9.26"/>
        <n v="0.87"/>
        <n v="0.94"/>
        <n v="1.39"/>
        <n v="0.96"/>
        <n v="1.7"/>
        <n v="5.17"/>
        <n v="4.79"/>
        <n v="5.95"/>
        <n v="6.78"/>
        <n v="5.32"/>
        <n v="5.26"/>
        <n v="2.32"/>
        <n v="3.58"/>
        <n v="3.42"/>
        <n v="6.06"/>
        <n v="4.9"/>
        <n v="6.48"/>
        <n v="4.04"/>
        <n v="6.38"/>
        <n v="5.44"/>
        <n v="7.7"/>
        <n v="5.73"/>
        <n v="2.88"/>
        <n v="10.34"/>
        <n v="4.09"/>
        <n v="8.71"/>
        <n v="4.33"/>
        <n v="3.6"/>
        <n v="3.67"/>
        <n v="2.73"/>
        <n v="4.61"/>
        <n v="3.66"/>
        <n v="5.57"/>
        <n v="3.34"/>
        <n v="2.54"/>
        <n v="3.69"/>
        <n v="4.99"/>
        <n v="3.89"/>
        <n v="4.18"/>
        <n v="4.75"/>
        <n v="3.56"/>
        <n v="3.65"/>
        <n v="6.73"/>
        <n v="6.65"/>
        <n v="3.57"/>
        <n v="0.95"/>
        <n v="0.79"/>
        <n v="1.61"/>
        <n v="4.43"/>
        <n v="1.64"/>
        <n v="2.48"/>
        <n v="0.81"/>
        <n v="0.71"/>
        <n v="2.33"/>
        <n v="2.02"/>
        <n v="1.9"/>
        <n v="1.43"/>
        <n v="3.31"/>
        <n v="3.71"/>
        <n v="4.24"/>
        <n v="1.76"/>
        <n v="1.28"/>
        <n v="1.26"/>
        <n v="1.31"/>
        <n v="2.4"/>
        <n v="1.94"/>
        <n v="4.96"/>
        <n v="1.3"/>
        <n v="6.34"/>
        <n v="1.52"/>
        <n v="1.97"/>
        <n v="1.45"/>
        <n v="2.56"/>
        <n v="2.77"/>
        <n v="2.67"/>
        <n v="1.47"/>
        <n v="2.53"/>
        <n v="4.65"/>
        <n v="1.2"/>
        <n v="2.49"/>
        <n v="3.25"/>
        <n v="1.55"/>
        <n v="1.53"/>
        <n v="6.13"/>
        <n v="2.8"/>
        <n v="1.86"/>
        <n v="6.98"/>
        <n v="2.24"/>
        <n v="3.52"/>
        <n v="4.54"/>
        <n v="3.61"/>
        <n v="4.3"/>
        <n v="1.5"/>
        <n v="5.3"/>
        <n v="4.35"/>
        <n v="2.62"/>
        <n v="1.18"/>
        <n v="5.53"/>
        <n v="1.93"/>
        <n v="4.26"/>
        <n v="6.47"/>
        <n v="1.58"/>
        <n v="2.94"/>
        <n v="2.03"/>
        <n v="3.9"/>
        <n v="2.57"/>
        <n v="9.31"/>
        <n v="11.75"/>
        <n v="11.68"/>
        <n v="12.15"/>
        <n v="2.37"/>
        <n v="2.19"/>
        <n v="2.08"/>
        <n v="1.96"/>
        <n v="2.26"/>
        <n v="3.99"/>
        <n v="2.97"/>
        <n v="15.83"/>
        <n v="16.82"/>
        <n v="20.58"/>
        <n v="23.03"/>
        <n v="18.52"/>
        <n v="1.68"/>
        <n v="1.32"/>
        <n v="1.65"/>
        <n v="48.17"/>
        <n v="8.13"/>
        <n v="5.94"/>
        <n v="8.4"/>
        <n v="10.27"/>
        <n v="7.8"/>
        <n v="9.34"/>
        <n v="3.45"/>
        <n v="3.81"/>
        <n v="4.23"/>
        <n v="7.17"/>
        <n v="10.29"/>
        <n v="7.46"/>
        <n v="5.74"/>
        <n v="7.4"/>
        <n v="0.99"/>
        <n v="7.92"/>
        <n v="0.73"/>
        <n v="6.49"/>
        <n v="2.13"/>
        <n v="2.59"/>
        <n v="5.23"/>
        <n v="1.82"/>
        <n v="3.35"/>
        <n v="3.78"/>
        <n v="2.22"/>
        <n v="8.01"/>
        <n v="1.74"/>
        <n v="2.44"/>
        <n v="27.5"/>
        <n v="2.46"/>
        <n v="2.01"/>
        <n v="9.15"/>
        <n v="11.32"/>
        <n v="6.97"/>
        <n v="6.31"/>
        <n v="2.34"/>
        <n v="2.58"/>
        <n v="5.59"/>
        <n v="16.72"/>
        <n v="3.85"/>
        <n v="1.24"/>
        <n v="2.6"/>
        <n v="1.72"/>
        <n v="4.29"/>
        <n v="3.36"/>
        <n v="2.09"/>
        <n v="0.97"/>
        <n v="1.84"/>
        <n v="3.47"/>
        <n v="1.91"/>
        <n v="3.29"/>
        <n v="5.64"/>
        <n v="0.76"/>
        <n v="6.67"/>
        <n v="5.93"/>
        <n v="8.68"/>
        <n v="7.27"/>
        <n v="2.06"/>
        <n v="9.45"/>
        <n v="5.98"/>
        <n v="5.56"/>
        <n v="4.37"/>
        <n v="2.1"/>
        <n v="3.39"/>
        <n v="2.55"/>
        <n v="2.78"/>
        <n v="3.53"/>
        <n v="3.13"/>
        <n v="4.55"/>
        <n v="18.22"/>
        <n v="1.21"/>
        <n v="3.43"/>
        <n v="1.49"/>
        <n v="1.23"/>
        <n v="2.96"/>
        <n v="1.62"/>
        <n v="5.8"/>
        <n v="7.44"/>
        <n v="7.01"/>
        <n v="3.33"/>
        <n v="4.68"/>
        <n v="1.16"/>
        <n v="0.93"/>
        <n v="1.78"/>
        <n v="6.5"/>
        <n v="8.88"/>
        <n v="1.04"/>
        <n v="5.83"/>
        <n v="6.56"/>
        <n v="4.73"/>
        <n v="5.75"/>
        <n v="5.67"/>
        <n v="6.09"/>
        <n v="2.05"/>
        <n v="9.41"/>
        <n v="3.19"/>
        <n v="15.41"/>
        <n v="3.14"/>
        <n v="10.85"/>
        <n v="2.15"/>
        <n v="4.1"/>
        <n v="0.98"/>
        <n v="10.03"/>
        <n v="0.74"/>
        <n v="1.56"/>
        <n v="0.56"/>
        <n v="4.25"/>
        <n v="0.8"/>
        <n v="0.9"/>
        <n v="5.24"/>
        <n v="7.11"/>
        <n v="1.6"/>
        <n v="2.12"/>
        <n v="5.39"/>
        <n v="1.51"/>
        <n v="3.64"/>
        <n v="2.83"/>
        <n v="14.04"/>
        <n v="1.02"/>
        <n v="5.27"/>
        <n v="12.17"/>
        <n v="4.57"/>
        <n v="4.48"/>
        <n v="9.03"/>
        <n v="1.08"/>
        <n v="1.63"/>
        <n v="1.46"/>
        <n v="7.47"/>
        <n v="4.46"/>
        <n v="11.52"/>
        <n v="13.17"/>
        <n v="5.09"/>
        <n v="8.09"/>
        <n v="6.43"/>
        <n v="11.37"/>
        <n v="4.66"/>
        <n v="9.95"/>
        <n v="3.32"/>
        <n v="3.63"/>
        <n v="10.77"/>
        <n v="6.2"/>
        <n v="8.37"/>
        <n v="6.3"/>
        <n v="9.02"/>
        <n v="4.56"/>
        <n v="10.3"/>
        <n v="11.1"/>
        <n v="4.38"/>
        <n v="12.7"/>
        <n v="10.24"/>
        <n v="7.57"/>
        <n v="4.06"/>
        <n v="1.54"/>
        <n v="5.48"/>
        <n v="4.88"/>
        <n v="3.82"/>
        <n v="14.35"/>
        <n v="3.06"/>
        <n v="5.1"/>
        <n v="11.38"/>
        <n v="2.99"/>
        <n v="4.97"/>
        <n v="10.62"/>
        <n v="5.16"/>
        <n v="3.26"/>
        <n v="4.92"/>
        <n v="5.68"/>
        <n v="3.38"/>
        <n v="4.0"/>
        <n v="11.59"/>
        <n v="4.31"/>
        <n v="3.01"/>
        <n v="6.87"/>
        <n v="10.41"/>
        <n v="13.31"/>
        <n v="12.07"/>
        <n v="16.97"/>
        <n v="8.87"/>
        <n v="12.87"/>
        <n v="7.08"/>
        <n v="6.39"/>
        <n v="5.58"/>
        <n v="11.53"/>
        <n v="7.22"/>
        <n v="7.71"/>
        <n v="7.5"/>
        <n v="15.07"/>
        <n v="4.41"/>
        <n v="4.95"/>
        <n v="9.75"/>
        <n v="6.71"/>
        <n v="5.61"/>
        <n v="4.05"/>
        <n v="4.8"/>
        <n v="14.81"/>
        <n v="3.96"/>
        <n v="3.0"/>
        <n v="4.49"/>
        <n v="5.07"/>
        <n v="3.74"/>
        <n v="6.51"/>
        <n v="1.15"/>
        <n v="0.91"/>
        <n v="1.13"/>
        <n v="0.85"/>
        <n v="0.89"/>
        <n v="0.82"/>
        <n v="1.0"/>
        <n v="8.48"/>
        <n v="2.45"/>
        <n v="3.24"/>
        <n v="1.87"/>
        <n v="3.03"/>
        <n v="1.83"/>
        <n v="2.68"/>
        <n v="3.77"/>
        <n v="2.65"/>
        <n v="2.74"/>
        <n v="1.09"/>
        <n v="1.73"/>
        <n v="1.01"/>
        <n v="9.94"/>
        <n v="9.62"/>
        <n v="0.92"/>
        <n v="3.3"/>
        <n v="2.91"/>
        <n v="4.08"/>
        <n v="7.65"/>
        <n v="5.33"/>
        <n v="4.45"/>
        <n v="19.2"/>
        <n v="18.25"/>
        <n v="5.82"/>
        <n v="7.52"/>
        <n v="12.59"/>
        <n v="1.75"/>
        <n v="2.81"/>
        <n v="4.71"/>
        <n v="11.09"/>
        <n v="9.0"/>
        <n v="4.91"/>
        <n v="7.61"/>
        <n v="1.36"/>
        <n v="3.98"/>
        <n v="3.73"/>
        <n v="2.16"/>
        <n v="1.35"/>
        <n v="5.19"/>
        <n v="4.53"/>
        <n v="5.78"/>
        <n v="23.39"/>
        <n v="5.87"/>
        <n v="1.4"/>
        <n v="19.31"/>
        <n v="4.58"/>
        <n v="2.9"/>
        <n v="4.62"/>
        <n v="2.51"/>
        <n v="1.06"/>
        <n v="8.21"/>
        <n v="17.18"/>
        <n v="14.03"/>
        <n v="17.07"/>
        <n v="3.7"/>
        <n v="22.89"/>
        <n v="29.98"/>
        <n v="1.14"/>
        <n v="15.23"/>
        <n v="6.1"/>
        <n v="4.69"/>
        <n v="4.67"/>
        <n v="10.37"/>
        <n v="5.71"/>
        <n v="8.31"/>
        <n v="6.84"/>
        <n v="2.43"/>
        <n v="2.21"/>
        <n v="1.05"/>
        <n v="5.35"/>
        <n v="3.41"/>
        <n v="0.69"/>
        <n v="4.36"/>
        <n v="8.33"/>
        <n v="4.5"/>
        <n v="4.64"/>
        <n v="4.94"/>
        <n v="11.35"/>
        <n v="4.81"/>
        <n v="11.57"/>
        <n v="9.25"/>
        <n v="1.07"/>
        <n v="5.6"/>
        <n v="3.79"/>
        <n v="2.41"/>
        <n v="2.87"/>
        <n v="2.66"/>
        <n v="2.93"/>
        <n v="1.77"/>
        <n v="1.41"/>
        <n v="4.85"/>
        <n v="12.56"/>
        <n v="5.47"/>
        <n v="11.05"/>
        <n v="14.99"/>
        <n v="9.98"/>
        <n v="6.86"/>
        <n v="9.93"/>
        <n v="0.62"/>
        <n v="6.29"/>
        <n v="11.29"/>
        <n v="12.38"/>
        <n v="13.54"/>
        <n v="18.06"/>
        <n v="5.66"/>
        <n v="7.3"/>
        <n v="6.07"/>
        <n v="6.42"/>
        <n v="13.57"/>
        <n v="16.33"/>
        <n v="15.51"/>
        <n v="7.37"/>
        <n v="17.48"/>
        <n v="7.03"/>
        <n v="10.02"/>
        <n v="12.82"/>
        <n v="14.38"/>
        <n v="9.57"/>
        <n v="6.82"/>
        <n v="6.27"/>
        <n v="0.64"/>
        <n v="5.18"/>
        <n v="0.67"/>
        <n v="5.38"/>
        <n v="5.04"/>
        <n v="4.02"/>
        <n v="3.8"/>
        <n v="12.48"/>
        <n v="7.58"/>
        <n v="9.44"/>
        <n v="20.22"/>
        <n v="28.78"/>
        <n v="12.22"/>
        <n v="0.61"/>
        <n v="9.36"/>
        <n v="10.96"/>
        <n v="7.42"/>
        <n v="15.81"/>
        <n v="9.48"/>
        <n v="11.62"/>
        <n v="3.86"/>
        <n v="5.01"/>
        <n v="3.15"/>
        <n v="2.98"/>
        <n v="1.1"/>
        <n v="1.29"/>
        <n v="1.48"/>
        <n v="24.99"/>
        <n v="10.48"/>
        <n v="3.87"/>
        <n v="3.59"/>
        <n v="6.66"/>
        <n v="6.17"/>
        <n v="6.74"/>
        <n v="4.63"/>
        <n v="11.77"/>
        <n v="6.19"/>
        <n v="6.05"/>
        <n v="3.95"/>
        <n v="6.24"/>
        <n v="5.45"/>
        <n v="11.87"/>
        <n v="7.63"/>
        <n v="5.06"/>
        <n v="7.36"/>
        <n v="6.85"/>
        <n v="6.53"/>
        <n v="5.13"/>
        <n v="7.19"/>
        <n v="6.0"/>
        <n v="9.7"/>
        <n v="6.92"/>
        <n v="3.11"/>
        <n v="2.75"/>
        <n v="4.15"/>
        <n v="5.96"/>
        <n v="3.76"/>
        <n v="8.99"/>
        <n v="5.52"/>
        <n v="6.12"/>
        <n v="4.32"/>
        <n v="2.86"/>
        <n v="0.88"/>
        <n v="6.36"/>
        <n v="23.58"/>
        <n v="5.84"/>
        <n v="4.93"/>
        <n v="6.41"/>
        <n v="4.34"/>
        <n v="21.42"/>
        <n v="7.96"/>
        <n v="24.12"/>
        <n v="5.05"/>
        <n v="7.29"/>
        <n v="7.32"/>
        <n v="3.07"/>
        <n v="15.29"/>
        <n v="18.29"/>
        <n v="21.9"/>
        <n v="5.41"/>
        <n v="2.71"/>
        <n v="10.69"/>
        <n v="4.72"/>
        <n v="9.53"/>
        <n v="8.08"/>
        <n v="42.51"/>
        <n v="12.32"/>
        <n v="11.15"/>
        <n v="12.54"/>
        <n v="11.44"/>
        <n v="12.61"/>
        <n v="8.07"/>
        <n v="5.0"/>
        <n v="5.62"/>
        <n v="6.4"/>
        <n v="5.7"/>
        <n v="9.65"/>
        <n v="5.91"/>
        <n v="1.03"/>
        <n v="4.76"/>
        <n v="3.23"/>
        <n v="14.0"/>
        <n v="7.54"/>
        <n v="15.59"/>
        <n v="6.57"/>
        <n v="8.19"/>
        <n v="0.84"/>
        <n v="214.32"/>
        <n v="31.08"/>
        <n v="9.39"/>
        <n v="5.65"/>
        <n v="3.68"/>
        <n v="6.11"/>
        <n v="6.16"/>
        <n v="4.07"/>
        <n v="14.94"/>
        <n v="12.05"/>
        <n v="5.22"/>
        <n v="10.99"/>
        <n v="7.56"/>
        <n v="13.71"/>
        <n v="8.6"/>
        <n v="13.36"/>
        <n v="14.84"/>
        <n v="11.84"/>
        <n v="12.78"/>
        <n v="15.47"/>
        <n v="19.34"/>
        <n v="11.24"/>
        <n v="7.99"/>
        <n v="25.84"/>
        <n v="12.86"/>
        <n v="18.3"/>
        <n v="8.54"/>
        <n v="9.05"/>
        <n v="13.02"/>
        <n v="12.91"/>
        <n v="22.35"/>
        <n v="8.0"/>
        <n v="20.39"/>
        <n v="23.51"/>
        <n v="11.0"/>
        <n v="5.21"/>
        <n v="4.01"/>
        <n v="6.02"/>
        <n v="5.2"/>
        <n v="6.25"/>
        <n v="10.72"/>
        <n v="10.31"/>
        <n v="7.2"/>
        <n v="7.45"/>
        <n v="26.98"/>
        <n v="11.76"/>
        <n v="9.89"/>
        <n v="9.29"/>
        <n v="6.63"/>
        <n v="0.72"/>
        <n v="5.15"/>
        <n v="8.61"/>
        <n v="3.72"/>
        <n v="0.65"/>
        <n v="0.6"/>
        <n v="10.19"/>
        <n v="5.89"/>
        <n v="0.75"/>
        <n v="3.18"/>
        <n v="0.5"/>
        <n v="0.52"/>
        <n v="21.89"/>
        <n v="62.73"/>
        <n v="28.66"/>
        <n v="7.66"/>
        <n v="3.04"/>
        <n v="6.15"/>
        <n v="5.11"/>
        <n v="6.04"/>
        <n v="9.86"/>
        <n v="9.3"/>
        <n v="7.07"/>
        <n v="12.3"/>
        <n v="7.51"/>
        <n v="10.06"/>
        <n v="2.84"/>
        <n v="4.2"/>
        <n v="8.79"/>
        <n v="6.7"/>
        <n v="9.27"/>
        <n v="3.44"/>
        <n v="9.76"/>
        <n v="6.45"/>
        <n v="5.42"/>
        <n v="9.92"/>
        <n v="9.14"/>
        <n v="7.6"/>
        <n v="6.99"/>
        <n v="9.54"/>
        <n v="5.76"/>
        <n v="8.44"/>
        <n v="8.73"/>
        <n v="4.98"/>
        <n v="8.02"/>
        <n v="6.21"/>
        <n v="4.89"/>
        <n v="9.35"/>
        <n v="5.55"/>
        <n v="8.7"/>
        <n v="5.9"/>
        <n v="7.39"/>
        <n v="8.46"/>
        <n v="7.02"/>
        <n v="6.77"/>
        <n v="7.16"/>
        <n v="3.62"/>
        <n v="19.79"/>
        <n v="5.79"/>
        <n v="7.13"/>
        <n v="6.35"/>
        <n v="7.75"/>
        <n v="5.54"/>
        <n v="0.43"/>
        <n v="2.7"/>
        <n v="0.66"/>
        <n v="3.2"/>
        <n v="0.57"/>
        <n v="10.14"/>
        <n v="0.78"/>
        <n v="10.47"/>
        <n v="11.12"/>
        <n v="23.77"/>
        <n v="13.61"/>
        <n v="10.65"/>
        <n v="4.27"/>
        <n v="6.44"/>
        <n v="7.87"/>
        <n v="8.52"/>
        <n v="12.88"/>
        <n v="13.04"/>
        <n v="9.18"/>
        <n v="13.79"/>
        <n v="10.55"/>
        <n v="14.53"/>
        <n v="16.35"/>
        <n v="8.58"/>
        <n v="11.34"/>
        <n v="11.58"/>
        <n v="14.6"/>
        <n v="13.78"/>
        <n v="9.51"/>
        <n v="17.52"/>
        <n v="16.64"/>
        <n v="13.87"/>
        <n v="13.7"/>
        <n v="9.66"/>
        <n v="15.04"/>
        <n v="9.08"/>
        <n v="11.49"/>
        <n v="12.02"/>
        <n v="7.64"/>
        <n v="9.8"/>
        <n v="7.93"/>
        <n v="12.06"/>
        <n v="7.12"/>
        <n v="11.33"/>
        <n v="42.89"/>
        <n v="55.69"/>
        <n v="56.78"/>
        <n v="10.76"/>
        <n v="9.19"/>
        <n v="8.43"/>
        <n v="33.63"/>
        <n v="17.54"/>
        <n v="18.59"/>
        <n v="23.48"/>
        <n v="10.98"/>
        <n v="21.62"/>
        <n v="15.36"/>
        <n v="9.2"/>
        <n v="12.2"/>
        <n v="15.42"/>
        <n v="8.38"/>
        <n v="26.49"/>
        <n v="11.63"/>
        <n v="24.51"/>
        <n v="30.63"/>
        <n v="15.25"/>
        <n v="13.46"/>
        <n v="11.46"/>
        <n v="13.38"/>
        <n v="17.97"/>
        <n v="13.85"/>
        <n v="6.96"/>
        <n v="45.44"/>
        <n v="14.26"/>
        <n v="20.54"/>
        <n v="50.83"/>
        <n v="3.51"/>
        <n v="11.54"/>
        <n v="5.69"/>
        <n v="11.82"/>
        <n v="12.4"/>
        <n v="8.64"/>
        <n v="10.58"/>
        <n v="16.77"/>
        <n v="8.84"/>
        <n v="8.17"/>
        <n v="19.42"/>
        <n v="0.55"/>
        <n v="7.04"/>
        <n v="6.26"/>
        <n v="6.46"/>
        <n v="8.42"/>
        <n v="7.79"/>
        <n v="9.58"/>
        <n v="6.59"/>
        <n v="10.28"/>
        <n v="12.92"/>
        <n v="20.19"/>
        <n v="32.71"/>
        <n v="45.21"/>
        <n v="32.36"/>
        <n v="10.68"/>
        <n v="3.1"/>
        <n v="16.91"/>
        <n v="7.78"/>
        <n v="8.16"/>
        <n v="8.12"/>
        <n v="13.95"/>
        <n v="8.1"/>
        <n v="11.6"/>
        <n v="12.0"/>
        <n v="10.53"/>
        <n v="9.68"/>
        <n v="12.58"/>
        <n v="12.14"/>
        <n v="11.92"/>
        <n v="9.22"/>
        <n v="10.36"/>
        <n v="12.96"/>
        <n v="13.75"/>
        <n v="9.12"/>
        <n v="10.09"/>
        <n v="9.55"/>
        <n v="13.15"/>
        <n v="7.73"/>
        <n v="7.68"/>
        <n v="17.08"/>
        <n v="10.57"/>
        <n v="8.26"/>
        <n v="16.14"/>
        <n v="14.95"/>
        <n v="7.06"/>
        <n v="3.08"/>
        <n v="6.08"/>
        <n v="11.88"/>
        <n v="8.47"/>
        <n v="9.72"/>
        <n v="10.05"/>
        <n v="13.41"/>
        <n v="6.83"/>
        <n v="5.49"/>
        <n v="11.9"/>
        <n v="13.06"/>
        <n v="16.08"/>
        <n v="8.76"/>
        <n v="7.0"/>
        <n v="4.86"/>
        <n v="13.74"/>
        <n v="6.28"/>
        <n v="8.41"/>
        <n v="0.83"/>
        <n v="0.86"/>
        <n v="34.66"/>
        <n v="12.29"/>
        <n v="28.45"/>
        <n v="12.42"/>
        <n v="34.83"/>
        <n v="23.12"/>
        <n v="30.82"/>
        <n v="10.8"/>
        <n v="48.66"/>
        <n v="23.61"/>
        <n v="5.43"/>
        <n v="0.77"/>
        <n v="0.26"/>
        <n v="0.46"/>
        <n v="43.8"/>
        <n v="13.52"/>
        <n v="7.53"/>
        <n v="29.05"/>
        <n v="152.88"/>
        <n v="10.01"/>
        <n v="6.18"/>
        <n v="5.72"/>
        <n v="7.14"/>
        <n v="0.49"/>
        <n v="0.47"/>
        <n v="0.38"/>
        <n v="7.43"/>
        <n v="0.63"/>
        <n v="3.84"/>
        <n v="10.12"/>
        <n v="7.33"/>
        <n v="22.31"/>
        <n v="19.58"/>
        <n v="38.84"/>
        <n v="6.76"/>
        <n v="16.36"/>
        <n v="7.55"/>
        <n v="8.83"/>
        <n v="20.08"/>
        <n v="7.18"/>
        <n v="3.92"/>
        <n v="13.55"/>
        <n v="11.8"/>
        <n v="9.56"/>
        <n v="7.98"/>
        <n v="12.74"/>
        <n v="10.82"/>
        <n v="9.04"/>
        <n v="17.92"/>
        <n v="12.28"/>
        <n v="10.1"/>
        <n v="11.22"/>
        <n v="7.69"/>
        <n v="7.15"/>
        <n v="17.63"/>
        <n v="10.18"/>
        <n v="15.66"/>
        <n v="28.79"/>
        <n v="13.14"/>
        <n v="7.83"/>
        <n v="11.56"/>
        <n v="15.1"/>
        <n v="8.81"/>
        <n v="11.01"/>
        <n v="23.38"/>
        <n v="7.21"/>
        <n v="12.9"/>
        <n v="38.44"/>
        <n v="53.14"/>
        <n v="13.64"/>
        <n v="11.41"/>
        <n v="9.9"/>
        <n v="14.28"/>
        <n v="23.55"/>
        <n v="6.62"/>
        <n v="12.44"/>
        <n v="16.67"/>
        <n v="10.54"/>
        <n v="15.39"/>
        <n v="20.0"/>
        <n v="13.07"/>
        <n v="7.84"/>
        <n v="9.99"/>
        <n v="10.88"/>
        <n v="12.62"/>
        <n v="16.07"/>
        <n v="25.57"/>
        <n v="10.32"/>
        <n v="7.72"/>
        <n v="6.72"/>
        <n v="7.82"/>
        <n v="8.36"/>
        <n v="8.94"/>
        <n v="8.03"/>
        <n v="19.92"/>
        <n v="11.71"/>
        <n v="18.51"/>
        <n v="3.22"/>
        <n v="31.83"/>
        <n v="9.61"/>
        <n v="5.28"/>
        <n v="4.52"/>
        <n v="8.66"/>
        <n v="10.75"/>
        <n v="6.89"/>
        <n v="13.05"/>
        <n v="4.82"/>
        <n v="27.38"/>
        <n v="11.96"/>
        <n v="17.13"/>
        <n v="7.34"/>
        <n v="10.5"/>
        <n v="9.1"/>
        <n v="46.58"/>
        <n v="47.53"/>
        <n v="25.63"/>
        <n v="17.68"/>
        <n v="22.96"/>
        <n v="26.54"/>
        <n v="19.49"/>
        <n v="11.7"/>
        <n v="4.03"/>
        <n v="15.14"/>
        <n v="10.61"/>
        <n v="9.28"/>
        <n v="18.55"/>
        <n v="8.39"/>
        <n v="9.07"/>
        <n v="19.53"/>
        <n v="5.29"/>
        <n v="8.5"/>
        <n v="6.03"/>
        <n v="8.78"/>
        <n v="13.72"/>
        <n v="20.81"/>
        <n v="18.81"/>
        <n v="13.94"/>
        <n v="20.85"/>
        <n v="19.86"/>
        <n v="20.77"/>
      </sharedItems>
    </cacheField>
    <cacheField name="stock_value" numFmtId="0">
      <sharedItems containsSemiMixedTypes="0" containsString="0" containsNumber="1">
        <n v="1375.72"/>
        <n v="0.0"/>
        <n v="239.0"/>
        <n v="298.59000000000003"/>
        <n v="556.92"/>
        <n v="385.0"/>
        <n v="350.0"/>
        <n v="474.0"/>
        <n v="293.76"/>
        <n v="781.4399999999999"/>
        <n v="279.0"/>
        <n v="104.94000000000001"/>
        <n v="50.83"/>
        <n v="311.15"/>
        <n v="862.11"/>
        <n v="43.6"/>
        <n v="260.93"/>
        <n v="160.06"/>
        <n v="690.03"/>
        <n v="349.28"/>
        <n v="536.25"/>
        <n v="747.4999999999999"/>
        <n v="724.0"/>
        <n v="680.0"/>
        <n v="230.68"/>
        <n v="256.5"/>
        <n v="214.0"/>
        <n v="1959.2"/>
        <n v="11.7"/>
        <n v="1714.56"/>
        <n v="374.33"/>
        <n v="117.72"/>
        <n v="417.0"/>
        <n v="833.0"/>
        <n v="728.0"/>
        <n v="1771.6000000000001"/>
        <n v="1023.39"/>
        <n v="323.75"/>
        <n v="1573.31"/>
        <n v="290.68"/>
        <n v="741.0"/>
        <n v="802.38"/>
        <n v="514.01"/>
        <n v="4163.0"/>
        <n v="207.67"/>
        <n v="22.8"/>
        <n v="758.52"/>
        <n v="601.17"/>
        <n v="851.2"/>
        <n v="1292.7"/>
        <n v="2633.0699999999997"/>
        <n v="2863.44"/>
        <n v="1911.3000000000002"/>
        <n v="2007.3899999999999"/>
        <n v="1298.5"/>
        <n v="1837.5"/>
        <n v="242.76000000000002"/>
        <n v="220.17000000000002"/>
        <n v="1006.4"/>
        <n v="1261.0"/>
        <n v="3501.8599999999997"/>
        <n v="128.03"/>
        <n v="117.14999999999999"/>
        <n v="2.36"/>
        <n v="571.96"/>
        <n v="25.68"/>
        <n v="1499.3999999999999"/>
        <n v="893.25"/>
        <n v="488.31"/>
        <n v="788.88"/>
        <n v="1154.4"/>
        <n v="387.5"/>
        <n v="1658.74"/>
        <n v="1623.45"/>
        <n v="1286.88"/>
        <n v="4406.22"/>
        <n v="132.75"/>
        <n v="2854.98"/>
        <n v="30.119999999999997"/>
        <n v="2049.84"/>
        <n v="1370.8799999999999"/>
        <n v="2071.5899999999997"/>
        <n v="1391.22"/>
        <n v="1725.72"/>
        <n v="1630.68"/>
        <n v="1014.0899999999999"/>
        <n v="94.23"/>
        <n v="23.8"/>
        <n v="1479.4299999999998"/>
        <n v="876.75"/>
        <n v="477.66"/>
        <n v="482.99999999999994"/>
        <n v="5.08"/>
        <n v="571.1999999999999"/>
        <n v="736.0600000000001"/>
        <n v="1609.02"/>
        <n v="9231.400000000001"/>
        <n v="4564.35"/>
        <n v="6509.16"/>
        <n v="1365.76"/>
        <n v="278.75"/>
        <n v="1259.6499999999999"/>
        <n v="64.8"/>
        <n v="71.24000000000001"/>
        <n v="52.5"/>
        <n v="11.25"/>
        <n v="1691.74"/>
        <n v="210.0"/>
        <n v="180.70000000000002"/>
        <n v="173.75"/>
        <n v="396.15000000000003"/>
        <n v="64.39"/>
        <n v="113.75999999999999"/>
        <n v="560.33"/>
        <n v="112.32"/>
        <n v="53.43000000000001"/>
        <n v="158.12"/>
        <n v="1982.8799999999999"/>
        <n v="3443.79"/>
        <n v="468.51"/>
        <n v="1531.1100000000001"/>
        <n v="7085.66"/>
        <n v="3569.7"/>
        <n v="735.0"/>
        <n v="97.52"/>
        <n v="2570.04"/>
        <n v="5481.0"/>
        <n v="4828.41"/>
        <n v="14441.130000000001"/>
        <n v="4848.740000000001"/>
        <n v="1280.3700000000001"/>
        <n v="1362.24"/>
        <n v="1606.8000000000002"/>
        <n v="10813.529999999999"/>
        <n v="7011.900000000001"/>
        <n v="304.57000000000005"/>
        <n v="2003.7500000000002"/>
        <n v="929.74"/>
        <n v="75.42"/>
        <n v="2290.67"/>
        <n v="162.45"/>
        <n v="240.45000000000002"/>
        <n v="2843.7599999999998"/>
        <n v="9465.210000000001"/>
        <n v="7102.05"/>
        <n v="33.78"/>
        <n v="1328.97"/>
        <n v="3698.08"/>
        <n v="752.0"/>
        <n v="780.2"/>
        <n v="549.93"/>
        <n v="131.32000000000002"/>
        <n v="426.40000000000003"/>
        <n v="3462.83"/>
        <n v="2709.2400000000002"/>
        <n v="1970.0"/>
        <n v="74.89999999999999"/>
        <n v="848.72"/>
        <n v="10354.53"/>
        <n v="2028.72"/>
        <n v="2456.5499999999997"/>
        <n v="1080.75"/>
        <n v="1664.93"/>
        <n v="2656.4700000000003"/>
        <n v="2770.2000000000003"/>
        <n v="6514.2"/>
        <n v="4569.8"/>
        <n v="6172.11"/>
        <n v="256.68"/>
        <n v="14.46"/>
        <n v="1265.22"/>
        <n v="11412.880000000001"/>
        <n v="77.92"/>
        <n v="2335.32"/>
        <n v="1254.33"/>
        <n v="261.66"/>
        <n v="979.62"/>
        <n v="30.049999999999997"/>
        <n v="669.12"/>
        <n v="212.85"/>
        <n v="82.0"/>
        <n v="2575.36"/>
        <n v="2648.1"/>
        <n v="7189.32"/>
        <n v="1512.3200000000002"/>
        <n v="245.6"/>
        <n v="520.74"/>
        <n v="40.32000000000001"/>
        <n v="224.64000000000001"/>
        <n v="30.800000000000004"/>
        <n v="53.519999999999996"/>
        <n v="430.92"/>
        <n v="118.19"/>
        <n v="20.88"/>
        <n v="3199.5600000000004"/>
        <n v="132.48"/>
        <n v="351.05"/>
        <n v="742.0"/>
        <n v="2339.46"/>
        <n v="165.89999999999998"/>
        <n v="129.78"/>
        <n v="1605.64"/>
        <n v="990.3599999999999"/>
        <n v="304.97999999999996"/>
        <n v="890.24"/>
        <n v="784.92"/>
        <n v="86.04"/>
        <n v="925.68"/>
        <n v="1035.32"/>
        <n v="183.29999999999998"/>
        <n v="434.28"/>
        <n v="1149.75"/>
        <n v="624.24"/>
        <n v="79.18"/>
        <n v="1124.6399999999999"/>
        <n v="627.0"/>
        <n v="1078.8"/>
        <n v="658.32"/>
        <n v="195.02"/>
        <n v="284.49"/>
        <n v="181.25"/>
        <n v="128.44"/>
        <n v="544.3199999999999"/>
        <n v="312.18"/>
        <n v="667.26"/>
        <n v="1351.8"/>
        <n v="506.73"/>
        <n v="6359.5"/>
        <n v="244.42"/>
        <n v="146.01000000000002"/>
        <n v="988.64"/>
        <n v="862.4000000000001"/>
        <n v="666.3299999999999"/>
        <n v="26.56"/>
        <n v="39.269999999999996"/>
        <n v="4613.7"/>
        <n v="1366.1999999999998"/>
        <n v="145.29"/>
        <n v="1019.23"/>
        <n v="10.85"/>
        <n v="59.85000000000001"/>
        <n v="336.0"/>
        <n v="1400.0800000000002"/>
        <n v="131.4"/>
        <n v="71.28"/>
        <n v="266.40000000000003"/>
        <n v="60.06"/>
        <n v="402.6"/>
        <n v="947.52"/>
        <n v="685.64"/>
        <n v="475.53000000000003"/>
        <n v="8.95"/>
        <n v="1152.45"/>
        <n v="535.86"/>
        <n v="296.1"/>
        <n v="145.25"/>
        <n v="182.4"/>
        <n v="407.36"/>
        <n v="479.15999999999997"/>
        <n v="4724.16"/>
        <n v="1226.8200000000002"/>
        <n v="250.17"/>
        <n v="145.85999999999999"/>
        <n v="1681.5"/>
        <n v="1494.4299999999998"/>
        <n v="4655.21"/>
        <n v="581.0"/>
        <n v="94.0"/>
        <n v="1405.3"/>
        <n v="257.28"/>
        <n v="2926.16"/>
        <n v="222.72"/>
        <n v="783.87"/>
        <n v="3954.02"/>
        <n v="148.51999999999998"/>
        <n v="9.729999999999999"/>
        <n v="223.67999999999998"/>
        <n v="554.1999999999999"/>
        <n v="437.58"/>
        <n v="1804.33"/>
        <n v="1216.66"/>
        <n v="1320.9"/>
        <n v="2481.48"/>
        <n v="197.2"/>
        <n v="2995.1600000000003"/>
        <n v="999.4"/>
        <n v="127.6"/>
        <n v="801.9200000000001"/>
        <n v="492.48"/>
        <n v="781.7399999999999"/>
        <n v="1053.5"/>
        <n v="648.0"/>
        <n v="72.72"/>
        <n v="2405.2599999999998"/>
        <n v="174.08"/>
        <n v="1096.16"/>
        <n v="4119.5"/>
        <n v="1352.2800000000002"/>
        <n v="414.06"/>
        <n v="1048.32"/>
        <n v="944.64"/>
        <n v="1695.76"/>
        <n v="491.3"/>
        <n v="3038.87"/>
        <n v="2264.6000000000004"/>
        <n v="3806.2700000000004"/>
        <n v="26.909999999999997"/>
        <n v="822.7"/>
        <n v="147.6"/>
        <n v="1495.56"/>
        <n v="275.25"/>
        <n v="2108.71"/>
        <n v="293.55"/>
        <n v="1771.2"/>
        <n v="734.0"/>
        <n v="194.51"/>
        <n v="150.15"/>
        <n v="601.88"/>
        <n v="1111.01"/>
        <n v="2120.6000000000004"/>
        <n v="25.62"/>
        <n v="33.42"/>
        <n v="521.04"/>
        <n v="1305.08"/>
        <n v="1224.0"/>
        <n v="2255.52"/>
        <n v="234.09"/>
        <n v="365.82"/>
        <n v="1120.6599999999999"/>
        <n v="634.68"/>
        <n v="1561.8700000000001"/>
        <n v="438.90000000000003"/>
        <n v="676.86"/>
        <n v="1668.52"/>
        <n v="2783.8799999999997"/>
        <n v="792.48"/>
        <n v="68.76"/>
        <n v="1475.34"/>
        <n v="1296.9"/>
        <n v="274.32"/>
        <n v="418.0"/>
        <n v="879.32"/>
        <n v="2429.4700000000003"/>
        <n v="810.3"/>
        <n v="907.8000000000001"/>
        <n v="762.0"/>
        <n v="4865.79"/>
        <n v="2274.3"/>
        <n v="1217.0400000000002"/>
        <n v="1732.28"/>
        <n v="1182.9399999999998"/>
        <n v="1538.6699999999998"/>
        <n v="2619.65"/>
        <n v="1003.92"/>
        <n v="146.29999999999998"/>
        <n v="350.76"/>
        <n v="1838.4499999999998"/>
        <n v="795.7"/>
        <n v="39.15"/>
        <n v="332.91999999999996"/>
        <n v="1002.24"/>
        <n v="394.27"/>
        <n v="131.44"/>
        <n v="131.22"/>
        <n v="1497.92"/>
        <n v="1130.8799999999999"/>
        <n v="75.44"/>
        <n v="934.7299999999999"/>
        <n v="828.32"/>
        <n v="286.23"/>
        <n v="685.15"/>
        <n v="1966.9199999999998"/>
        <n v="2188.42"/>
        <n v="13.98"/>
        <n v="855.36"/>
        <n v="84.2"/>
        <n v="264.09999999999997"/>
        <n v="20.67"/>
        <n v="70.0"/>
        <n v="185.9"/>
        <n v="431.83"/>
        <n v="342.51"/>
        <n v="476.13"/>
        <n v="787.78"/>
        <n v="2036.79"/>
        <n v="42.400000000000006"/>
        <n v="195.36"/>
        <n v="340.48"/>
        <n v="506.09000000000003"/>
        <n v="81.9"/>
        <n v="27.51"/>
        <n v="1080.0"/>
        <n v="67.89999999999999"/>
        <n v="3288.48"/>
        <n v="31.200000000000003"/>
        <n v="3379.22"/>
        <n v="330.72"/>
        <n v="1043.97"/>
        <n v="685.52"/>
        <n v="66.98"/>
        <n v="6.540000000000001"/>
        <n v="1817.19"/>
        <n v="2104.19"/>
        <n v="166.75"/>
        <n v="663.04"/>
        <n v="2404.48"/>
        <n v="293.62"/>
        <n v="651.48"/>
        <n v="1386.24"/>
        <n v="140.4"/>
        <n v="30.87"/>
        <n v="363.3"/>
        <n v="32.89"/>
        <n v="647.02"/>
        <n v="823.68"/>
        <n v="186.0"/>
        <n v="1927.74"/>
        <n v="202.86"/>
        <n v="276.0"/>
        <n v="2143.7"/>
        <n v="242.5"/>
        <n v="235.8"/>
        <n v="462.59"/>
        <n v="425.79"/>
        <n v="253.47"/>
        <n v="176.22"/>
        <n v="1056.25"/>
        <n v="19.6"/>
        <n v="441.75"/>
        <n v="834.11"/>
        <n v="224.25"/>
        <n v="507.96000000000004"/>
        <n v="545.5699999999999"/>
        <n v="11.2"/>
        <n v="1113.3899999999999"/>
        <n v="1006.74"/>
        <n v="1019.2800000000001"/>
        <n v="846.7199999999999"/>
        <n v="969.7599999999999"/>
        <n v="3210.8"/>
        <n v="66.75"/>
        <n v="117.6"/>
        <n v="177.75"/>
        <n v="22.400000000000002"/>
        <n v="72.23"/>
        <n v="830.72"/>
        <n v="939.78"/>
        <n v="433.09999999999997"/>
        <n v="25.02"/>
        <n v="332.12"/>
        <n v="9.8"/>
        <n v="30.099999999999998"/>
        <n v="975.0"/>
        <n v="162.64000000000001"/>
        <n v="2077.6000000000004"/>
        <n v="1196.64"/>
        <n v="614.8"/>
        <n v="1123.75"/>
        <n v="165.29999999999998"/>
        <n v="26.200000000000003"/>
        <n v="328.32"/>
        <n v="164.01999999999998"/>
        <n v="1096.81"/>
        <n v="780.78"/>
        <n v="304.15000000000003"/>
        <n v="758.49"/>
        <n v="1351.6000000000001"/>
        <n v="1759.3799999999999"/>
        <n v="317.73"/>
        <n v="1539.86"/>
        <n v="134.3"/>
        <n v="879.06"/>
        <n v="570.21"/>
        <n v="102.52000000000001"/>
        <n v="687.61"/>
        <n v="757.1899999999999"/>
        <n v="933.66"/>
        <n v="339.75"/>
        <n v="1515.48"/>
        <n v="614.22"/>
        <n v="171.74"/>
        <n v="730.87"/>
        <n v="44.519999999999996"/>
        <n v="2347.7999999999997"/>
        <n v="922.63"/>
        <n v="1183.32"/>
        <n v="27.93"/>
        <n v="2634.73"/>
        <n v="2350.0"/>
        <n v="327.03999999999996"/>
        <n v="787.8"/>
        <n v="2344.9500000000003"/>
        <n v="1039.65"/>
        <n v="804.64"/>
        <n v="144.57"/>
        <n v="13.14"/>
        <n v="1745.1200000000001"/>
        <n v="697.76"/>
        <n v="788.67"/>
        <n v="677.9999999999999"/>
        <n v="3088.26"/>
        <n v="11.850000000000001"/>
        <n v="465.09000000000003"/>
        <n v="528.6600000000001"/>
        <n v="2564.46"/>
        <n v="3925.84"/>
        <n v="3625.07"/>
        <n v="237.45"/>
        <n v="2808.94"/>
        <n v="756.9"/>
        <n v="1008.42"/>
        <n v="6195.070000000001"/>
        <n v="2523.0"/>
        <n v="92.6"/>
        <n v="196.01999999999998"/>
        <n v="477.04"/>
        <n v="498.96"/>
        <n v="223.07999999999998"/>
        <n v="263.13"/>
        <n v="21.84"/>
        <n v="21.12"/>
        <n v="35.65"/>
        <n v="219.45"/>
        <n v="109.85"/>
        <n v="16859.5"/>
        <n v="104.28"/>
        <n v="14.85"/>
        <n v="10.56"/>
        <n v="52.699999999999996"/>
        <n v="324.48"/>
        <n v="81.74000000000001"/>
        <n v="1918.6800000000003"/>
        <n v="112.77"/>
        <n v="636.0"/>
        <n v="387.01"/>
        <n v="486.71999999999997"/>
        <n v="1865.16"/>
        <n v="168.0"/>
        <n v="277.28999999999996"/>
        <n v="426.87"/>
        <n v="59.400000000000006"/>
        <n v="20.25"/>
        <n v="378.46"/>
        <n v="7.88"/>
        <n v="911.76"/>
        <n v="438.34"/>
        <n v="285.12"/>
        <n v="1645.8"/>
        <n v="5793.28"/>
        <n v="1445.3999999999999"/>
        <n v="826.98"/>
        <n v="785.4"/>
        <n v="176.88"/>
        <n v="1684.8"/>
        <n v="211.25"/>
        <n v="740.22"/>
        <n v="254.1"/>
        <n v="79.19999999999999"/>
        <n v="845.5200000000001"/>
        <n v="359.09999999999997"/>
        <n v="4204.2"/>
        <n v="118.3"/>
        <n v="1830.6399999999999"/>
        <n v="924.6"/>
        <n v="1259.05"/>
        <n v="43063.98"/>
        <n v="1184.91"/>
        <n v="286.4"/>
        <n v="194.7"/>
        <n v="331.76"/>
        <n v="596.4300000000001"/>
        <n v="60.31999999999999"/>
        <n v="387.18"/>
        <n v="3622.08"/>
        <n v="199.06"/>
        <n v="1946.2199999999998"/>
        <n v="362.25"/>
        <n v="3125.74"/>
        <n v="491.55"/>
        <n v="57.400000000000006"/>
        <n v="3078.4"/>
        <n v="28.71"/>
        <n v="388.08"/>
        <n v="21.9"/>
        <n v="602.6999999999999"/>
        <n v="481.65000000000003"/>
        <n v="7.92"/>
        <n v="649.0"/>
        <n v="29.82"/>
        <n v="2189.88"/>
        <n v="23.31"/>
        <n v="582.8000000000001"/>
        <n v="1508.04"/>
        <n v="1097.6"/>
        <n v="1332.8"/>
        <n v="836.8000000000001"/>
        <n v="231.14000000000001"/>
        <n v="797.79"/>
        <n v="395.3"/>
        <n v="38.22"/>
        <n v="313.2"/>
        <n v="1546.02"/>
        <n v="395.16"/>
        <n v="1723.68"/>
        <n v="595.0"/>
        <n v="216.26999999999998"/>
        <n v="116.58"/>
        <n v="1114.44"/>
        <n v="428.73"/>
        <n v="556.16"/>
        <n v="1312.72"/>
        <n v="93.38"/>
        <n v="6490.0"/>
        <n v="1690.04"/>
        <n v="82.32"/>
        <n v="310.59"/>
        <n v="428.33"/>
        <n v="946.56"/>
        <n v="1565.1000000000001"/>
        <n v="1345.62"/>
        <n v="283.40999999999997"/>
        <n v="383.66999999999996"/>
        <n v="805.2"/>
        <n v="76.56"/>
        <n v="984.84"/>
        <n v="4425.95"/>
        <n v="9.75"/>
        <n v="934.96"/>
        <n v="466.94"/>
        <n v="60.839999999999996"/>
        <n v="369.57"/>
        <n v="744.48"/>
        <n v="237.36"/>
        <n v="2705.56"/>
        <n v="5166.48"/>
        <n v="234.85"/>
        <n v="22.32"/>
        <n v="1570.48"/>
        <n v="219.78000000000003"/>
        <n v="106.60000000000001"/>
        <n v="1678.4399999999998"/>
        <n v="408.03"/>
        <n v="985.56"/>
        <n v="3854.1"/>
        <n v="558.72"/>
        <n v="773.43"/>
        <n v="641.85"/>
        <n v="876.9599999999999"/>
        <n v="202.99999999999997"/>
        <n v="633.27"/>
        <n v="625.2399999999999"/>
        <n v="161.04000000000002"/>
        <n v="1168.4"/>
        <n v="688.1600000000001"/>
        <n v="148.41"/>
        <n v="206.08"/>
        <n v="326.18"/>
        <n v="1209.03"/>
        <n v="2074.17"/>
        <n v="893.2"/>
        <n v="2375.38"/>
        <n v="148.95"/>
        <n v="843.21"/>
        <n v="649.44"/>
        <n v="1878.12"/>
        <n v="2641.87"/>
        <n v="44.0"/>
        <n v="178.6"/>
        <n v="670.25"/>
        <n v="793.73"/>
        <n v="1262.3999999999999"/>
        <n v="2277.12"/>
        <n v="1503.4799999999998"/>
        <n v="172.64"/>
        <n v="5164.599999999999"/>
        <n v="102.92999999999999"/>
        <n v="799.6999999999999"/>
        <n v="212.18"/>
        <n v="124.14999999999999"/>
        <n v="4583.25"/>
        <n v="315.84000000000003"/>
        <n v="577.68"/>
        <n v="327.8"/>
        <n v="43.199999999999996"/>
        <n v="1102.29"/>
        <n v="479.36000000000007"/>
        <n v="127.68"/>
        <n v="269.1"/>
        <n v="533.6"/>
        <n v="511.29"/>
        <n v="678.54"/>
        <n v="898.06"/>
        <n v="299.20000000000005"/>
        <n v="508.95"/>
        <n v="1930.2800000000002"/>
        <n v="1851.4799999999998"/>
        <n v="458.85"/>
        <n v="342.3"/>
        <n v="57.63"/>
        <n v="87.5"/>
        <n v="547.76"/>
        <n v="1060.5"/>
        <n v="2129.25"/>
        <n v="37.5"/>
        <n v="20.4"/>
        <n v="2000.1000000000001"/>
        <n v="1200.6"/>
        <n v="311.04"/>
        <n v="333.59999999999997"/>
        <n v="1324.14"/>
        <n v="624.71"/>
        <n v="1673.2199999999998"/>
        <n v="575.34"/>
        <n v="1705.85"/>
        <n v="2256.7999999999997"/>
        <n v="670.72"/>
        <n v="209.76"/>
        <n v="190.19"/>
        <n v="8089.679999999999"/>
        <n v="164.56"/>
        <n v="1804.18"/>
        <n v="764.37"/>
        <n v="145.70000000000002"/>
        <n v="113.86999999999999"/>
        <n v="1072.56"/>
        <n v="367.04"/>
        <n v="413.1"/>
        <n v="348.0"/>
        <n v="3935.76"/>
        <n v="4914.01"/>
        <n v="2923.7400000000002"/>
        <n v="9.65"/>
        <n v="257.76"/>
        <n v="538.1999999999999"/>
        <n v="319.0"/>
        <n v="570.09"/>
        <n v="8.92"/>
        <n v="773.5"/>
        <n v="94.34"/>
        <n v="383.03999999999996"/>
        <n v="664.2"/>
        <n v="476.28"/>
        <n v="393.12"/>
        <n v="169.0"/>
        <n v="230.88000000000002"/>
        <n v="204.88"/>
        <n v="35.28"/>
        <n v="458.15000000000003"/>
        <n v="408.1"/>
        <n v="1352.96"/>
        <n v="232.32"/>
        <n v="195.3"/>
        <n v="965.59"/>
        <n v="439.56000000000006"/>
        <n v="82.51"/>
        <n v="911.8399999999999"/>
        <n v="14.190000000000001"/>
        <n v="102.0"/>
        <n v="218.5"/>
        <n v="1491.21"/>
        <n v="230.64"/>
        <n v="265.74"/>
        <n v="110.88"/>
        <n v="1332.45"/>
        <n v="2801.4"/>
        <n v="1105.6499999999999"/>
        <n v="1145.9499999999998"/>
        <n v="51.3"/>
        <n v="348.32000000000005"/>
        <n v="445.55"/>
        <n v="1018.4399999999999"/>
        <n v="621.0600000000001"/>
        <n v="2249.52"/>
        <n v="95.34"/>
        <n v="1378.08"/>
        <n v="785.91"/>
        <n v="1168.0800000000002"/>
        <n v="6021.75"/>
        <n v="1529.0"/>
        <n v="1092.2"/>
        <n v="1611.3"/>
        <n v="1121.1200000000001"/>
        <n v="180.32"/>
        <n v="912.9"/>
        <n v="251.85"/>
        <n v="408.72"/>
        <n v="501.49999999999994"/>
        <n v="277.38"/>
        <n v="97.11"/>
        <n v="265.66"/>
        <n v="193.6"/>
        <n v="29.900000000000002"/>
        <n v="62.55"/>
        <n v="460.2"/>
        <n v="132.89000000000001"/>
        <n v="466.9"/>
        <n v="185.92000000000002"/>
        <n v="105.05"/>
        <n v="552.5"/>
        <n v="460.0"/>
        <n v="1164.32"/>
        <n v="190.12"/>
        <n v="213.2"/>
        <n v="594.96"/>
        <n v="546.3000000000001"/>
        <n v="2153.64"/>
        <n v="67.94"/>
        <n v="1358.01"/>
        <n v="112.75"/>
        <n v="769.5"/>
        <n v="219.76000000000002"/>
        <n v="288.86"/>
        <n v="1419.85"/>
        <n v="1959.7999999999997"/>
        <n v="923.03"/>
        <n v="192.7"/>
        <n v="670.6999999999999"/>
        <n v="589.76"/>
        <n v="249.60000000000002"/>
        <n v="1066.3600000000001"/>
        <n v="1843.3799999999999"/>
        <n v="805.5"/>
        <n v="235.56"/>
        <n v="6.550000000000001"/>
        <n v="1448.26"/>
        <n v="343.33"/>
        <n v="560.5600000000001"/>
        <n v="1043.04"/>
        <n v="212.25"/>
        <n v="153.55"/>
        <n v="1664.79"/>
        <n v="691.2"/>
        <n v="1393.3400000000001"/>
        <n v="329.18"/>
        <n v="208.32"/>
        <n v="370.44"/>
        <n v="6021.4800000000005"/>
        <n v="359.04"/>
        <n v="500.65"/>
        <n v="851.4599999999999"/>
        <n v="158.21"/>
        <n v="2093.06"/>
        <n v="2683.5200000000004"/>
        <n v="319.14000000000004"/>
        <n v="3025.0499999999997"/>
        <n v="929.64"/>
        <n v="3.24"/>
        <n v="1012.2299999999999"/>
        <n v="287.62"/>
        <n v="817.3199999999999"/>
        <n v="381.1"/>
        <n v="941.07"/>
        <n v="464.58"/>
        <n v="1445.85"/>
        <n v="1688.48"/>
        <n v="454.5"/>
        <n v="124.08"/>
        <n v="58.28999999999999"/>
        <n v="752.8"/>
        <n v="3212.1"/>
        <n v="4279.36"/>
        <n v="1159.6"/>
        <n v="656.64"/>
        <n v="1014.09"/>
        <n v="570.0799999999999"/>
        <n v="655.29"/>
        <n v="249.5"/>
        <n v="3099.2599999999998"/>
        <n v="1396.29"/>
        <n v="4425.12"/>
        <n v="1817.1299999999999"/>
        <n v="261.51"/>
        <n v="2096.1600000000003"/>
        <n v="545.78"/>
        <n v="3112.88"/>
        <n v="9.68"/>
        <n v="1136.52"/>
        <n v="1552.1999999999998"/>
        <n v="1114.74"/>
        <n v="129.86"/>
        <n v="1132.56"/>
        <n v="641.48"/>
        <n v="707.41"/>
        <n v="3360.24"/>
        <n v="1221.4"/>
        <n v="437.0"/>
        <n v="234.35999999999999"/>
        <n v="2658.6"/>
        <n v="1524.3799999999999"/>
        <n v="779.7599999999999"/>
        <n v="265.68"/>
        <n v="17.849999999999998"/>
        <n v="8054.6"/>
        <n v="688.1999999999999"/>
        <n v="917.6100000000001"/>
        <n v="1757.68"/>
        <n v="3261.3999999999996"/>
        <n v="2284.48"/>
        <n v="841.64"/>
        <n v="5816.599999999999"/>
        <n v="256.0"/>
        <n v="121.12"/>
        <n v="161.98"/>
        <n v="519.75"/>
        <n v="593.1899999999999"/>
        <n v="1800.3999999999999"/>
        <n v="2582.16"/>
        <n v="316.68"/>
        <n v="605.68"/>
        <n v="800.1"/>
        <n v="239.76"/>
        <n v="145.60000000000002"/>
        <n v="157.08"/>
        <n v="554.1800000000001"/>
        <n v="55.50000000000001"/>
        <n v="2027.6000000000001"/>
        <n v="340.29"/>
        <n v="1020.4399999999999"/>
        <n v="70.11"/>
        <n v="712.48"/>
        <n v="170.0"/>
        <n v="252.3"/>
        <n v="104.91"/>
        <n v="1984.68"/>
        <n v="57.3"/>
        <n v="2.23"/>
        <n v="1248.45"/>
        <n v="57.2"/>
        <n v="512.5"/>
        <n v="1260.72"/>
        <n v="140.22"/>
        <n v="947.6400000000001"/>
        <n v="848.64"/>
        <n v="533.8199999999999"/>
        <n v="8494.65"/>
        <n v="1310.26"/>
        <n v="136.71"/>
        <n v="52.52"/>
        <n v="74.48"/>
        <n v="1425.9"/>
        <n v="560.04"/>
        <n v="156.42000000000002"/>
        <n v="64.0"/>
        <n v="212.94"/>
        <n v="1300.71"/>
        <n v="200.94"/>
        <n v="290.7"/>
        <n v="238.63"/>
        <n v="1078.65"/>
        <n v="835.4499999999999"/>
        <n v="1173.1999999999998"/>
        <n v="3812.3"/>
        <n v="2412.9300000000003"/>
        <n v="687.04"/>
        <n v="1328.2"/>
        <n v="454.96"/>
        <n v="452.27"/>
        <n v="38.87"/>
        <n v="335.82"/>
        <n v="509.76"/>
        <n v="1284.8400000000001"/>
        <n v="1829.75"/>
        <n v="25.0"/>
        <n v="617.5500000000001"/>
        <n v="2823.16"/>
        <n v="3394.2700000000004"/>
        <n v="3030.25"/>
        <n v="2204.16"/>
        <n v="351.90000000000003"/>
        <n v="1107.6"/>
        <n v="1084.98"/>
        <n v="432.0"/>
        <n v="2005.07"/>
        <n v="547.08"/>
        <n v="73.27"/>
        <n v="2215.3599999999997"/>
        <n v="1616.0"/>
        <n v="1439.54"/>
        <n v="99.11"/>
        <n v="254.19"/>
        <n v="119.03999999999999"/>
        <n v="2342.25"/>
        <n v="758.6700000000001"/>
        <n v="2915.0"/>
        <n v="810.37"/>
        <n v="175.56"/>
        <n v="7394.42"/>
        <n v="1798.43"/>
        <n v="522.69"/>
        <n v="1268.0"/>
        <n v="4514.0199999999995"/>
        <n v="1117.62"/>
        <n v="6499.349999999999"/>
        <n v="2206.92"/>
        <n v="205.32"/>
        <n v="3904.29"/>
        <n v="251.1"/>
        <n v="662.48"/>
        <n v="56.0"/>
        <n v="5038.61"/>
        <n v="1826.6399999999999"/>
        <n v="2487.08"/>
        <n v="150.92"/>
        <n v="400.33"/>
        <n v="827.52"/>
        <n v="7.71"/>
        <n v="15.42"/>
        <n v="85.76"/>
        <n v="672.6800000000001"/>
        <n v="33.8"/>
        <n v="50.25"/>
        <n v="6585.0"/>
        <n v="164.68"/>
        <n v="1045.44"/>
        <n v="5410.13"/>
        <n v="3197.3199999999997"/>
        <n v="335.16"/>
        <n v="5372.92"/>
        <n v="2618.55"/>
        <n v="1510.3400000000001"/>
        <n v="1026.44"/>
        <n v="3783.0"/>
        <n v="193.82999999999998"/>
        <n v="4113.23"/>
        <n v="46.900000000000006"/>
        <n v="544.1700000000001"/>
        <n v="386.22"/>
        <n v="92.46000000000001"/>
        <n v="1278.7"/>
        <n v="1754.4099999999999"/>
        <n v="432.18"/>
        <n v="340.2"/>
        <n v="233.22"/>
        <n v="1581.84"/>
        <n v="1017.5999999999999"/>
        <n v="689.4399999999999"/>
        <n v="434.16"/>
        <n v="1815.06"/>
        <n v="4270.5"/>
        <n v="4400.76"/>
        <n v="1747.5800000000002"/>
        <n v="1083.1499999999999"/>
        <n v="913.5"/>
        <n v="193.60000000000002"/>
        <n v="1062.85"/>
        <n v="1805.76"/>
        <n v="401.65"/>
        <n v="633.0"/>
        <n v="323.34999999999997"/>
        <n v="147.9"/>
        <n v="216.0"/>
        <n v="623.5"/>
        <n v="218.95"/>
        <n v="376.2"/>
        <n v="105.45"/>
        <n v="2725.4300000000003"/>
        <n v="152.10000000000002"/>
        <n v="3723.72"/>
        <n v="2056.42"/>
        <n v="669.7"/>
        <n v="1989.9"/>
        <n v="344.25"/>
        <n v="86.39999999999999"/>
        <n v="100.98"/>
        <n v="21.8"/>
        <n v="3508.89"/>
        <n v="725.1999999999999"/>
        <n v="43.699999999999996"/>
        <n v="248.16"/>
        <n v="392.21000000000004"/>
        <n v="16.95"/>
        <n v="91.8"/>
        <n v="816.0"/>
        <n v="422.23999999999995"/>
        <n v="324.79999999999995"/>
        <n v="29.9"/>
        <n v="233.18"/>
        <n v="785.3499999999999"/>
        <n v="261.25"/>
        <n v="974.06"/>
        <n v="397.88"/>
        <n v="25.48"/>
        <n v="145.14"/>
        <n v="76.16000000000001"/>
        <n v="295.2"/>
        <n v="349.44"/>
        <n v="1034.52"/>
        <n v="293.0"/>
        <n v="629.28"/>
        <n v="294.81"/>
        <n v="425.04"/>
        <n v="471.35999999999996"/>
        <n v="133.0"/>
        <n v="80.03999999999999"/>
        <n v="248.89999999999998"/>
        <n v="91.96"/>
        <n v="1.76"/>
        <n v="138.24"/>
        <n v="100.03999999999999"/>
        <n v="33.67"/>
        <n v="130.13"/>
        <n v="104.06"/>
        <n v="31.85"/>
        <n v="418.6"/>
        <n v="573.12"/>
        <n v="1365.28"/>
        <n v="12.299999999999999"/>
        <n v="172.92000000000002"/>
        <n v="488.48"/>
        <n v="230.39999999999998"/>
        <n v="514.28"/>
        <n v="30.96"/>
        <n v="162.96"/>
        <n v="500.52"/>
        <n v="235.72"/>
        <n v="272.15999999999997"/>
        <n v="25.99"/>
        <n v="1021.6500000000001"/>
        <n v="14.349999999999998"/>
        <n v="50.220000000000006"/>
        <n v="512.0"/>
        <n v="296.82"/>
        <n v="821.4000000000001"/>
        <n v="191.16000000000003"/>
        <n v="473.11"/>
        <n v="582.86"/>
        <n v="379.04"/>
        <n v="42.94"/>
        <n v="542.0500000000001"/>
        <n v="626.82"/>
        <n v="414.0"/>
        <n v="938.5999999999999"/>
        <n v="101.46"/>
        <n v="173.85"/>
        <n v="132.16"/>
        <n v="528.8199999999999"/>
        <n v="83.08"/>
        <n v="1152.8700000000001"/>
        <n v="121.80000000000001"/>
        <n v="29.2"/>
        <n v="353.16"/>
        <n v="910.56"/>
        <n v="29.79"/>
        <n v="445.06"/>
        <n v="485.09999999999997"/>
        <n v="1006.59"/>
        <n v="624.18"/>
        <n v="177.66"/>
        <n v="129.32"/>
        <n v="607.11"/>
        <n v="331.8"/>
        <n v="90.3"/>
        <n v="580.8"/>
        <n v="1476.0"/>
        <n v="1014.9499999999999"/>
        <n v="813.7800000000001"/>
        <n v="254.76"/>
        <n v="320.6"/>
        <n v="165.12"/>
        <n v="840.16"/>
        <n v="315.84"/>
        <n v="832.1500000000001"/>
        <n v="785.96"/>
        <n v="397.7"/>
        <n v="256.47"/>
        <n v="54.6"/>
        <n v="661.24"/>
        <n v="2791.47"/>
        <n v="177.87"/>
        <n v="1910.0"/>
        <n v="405.71999999999997"/>
        <n v="74.97999999999999"/>
        <n v="191.76"/>
        <n v="669.28"/>
        <n v="224.72"/>
        <n v="491.28000000000003"/>
        <n v="87.72"/>
        <n v="332.86"/>
        <n v="495.51"/>
        <n v="376.32"/>
        <n v="181.72"/>
        <n v="634.6800000000001"/>
        <n v="1254.6"/>
        <n v="5.6499999999999995"/>
        <n v="168.95000000000002"/>
        <n v="449.8"/>
        <n v="152.0"/>
        <n v="177.31"/>
        <n v="190.5"/>
        <n v="136.85"/>
        <n v="763.28"/>
        <n v="837.9"/>
        <n v="256.65999999999997"/>
        <n v="96.05"/>
        <n v="289.87"/>
        <n v="170.63"/>
        <n v="236.18"/>
        <n v="1202.74"/>
        <n v="981.2399999999999"/>
        <n v="73.60000000000001"/>
        <n v="403.49"/>
        <n v="35.0"/>
        <n v="351.78"/>
        <n v="146.2"/>
        <n v="66.64"/>
        <n v="3.3899999999999997"/>
        <n v="617.4"/>
        <n v="350.52000000000004"/>
        <n v="7.38"/>
        <n v="107.35"/>
        <n v="373.92"/>
        <n v="441.56"/>
        <n v="648.13"/>
        <n v="1468.04"/>
        <n v="717.75"/>
        <n v="708.0"/>
        <n v="290.4"/>
        <n v="264.8"/>
        <n v="185.25"/>
        <n v="481.74000000000007"/>
        <n v="187.17999999999998"/>
        <n v="59.160000000000004"/>
        <n v="119.4"/>
        <n v="1029.4199999999998"/>
        <n v="276.45"/>
        <n v="869.7500000000001"/>
        <n v="148.4"/>
        <n v="1473.45"/>
        <n v="1417.17"/>
        <n v="1846.6399999999999"/>
        <n v="167.70000000000002"/>
        <n v="1755.6"/>
        <n v="1538.6000000000001"/>
        <n v="203.98"/>
        <n v="592.97"/>
        <n v="1598.8500000000001"/>
        <n v="474.37"/>
        <n v="1274.49"/>
        <n v="133.5"/>
        <n v="1491.76"/>
        <n v="244.76"/>
        <n v="2169.16"/>
        <n v="7493.84"/>
        <n v="7488.0"/>
        <n v="657.0"/>
        <n v="1513.2"/>
        <n v="1017.5500000000001"/>
        <n v="611.1"/>
        <n v="342.07"/>
        <n v="523.9300000000001"/>
        <n v="1703.9099999999999"/>
        <n v="2016.8400000000001"/>
        <n v="1360.24"/>
        <n v="813.22"/>
        <n v="112.8"/>
        <n v="3645.5"/>
        <n v="4834.5599999999995"/>
        <n v="362.88"/>
        <n v="1194.22"/>
        <n v="309.75"/>
        <n v="1.08"/>
        <n v="630.0"/>
        <n v="309.96000000000004"/>
        <n v="19.88"/>
        <n v="136.12"/>
        <n v="172.28"/>
        <n v="184.0"/>
        <n v="39.26"/>
        <n v="105.36999999999999"/>
        <n v="2572.84"/>
        <n v="525.8199999999999"/>
        <n v="78.74"/>
        <n v="248.92000000000002"/>
        <n v="36.0"/>
        <n v="1065.24"/>
        <n v="696.88"/>
        <n v="253.76"/>
        <n v="174.23000000000002"/>
        <n v="1159.72"/>
        <n v="41.849999999999994"/>
        <n v="1589.74"/>
        <n v="765.0"/>
        <n v="4403.25"/>
        <n v="797.68"/>
        <n v="1958.1000000000001"/>
        <n v="335.17"/>
        <n v="4.71"/>
        <n v="1959.53"/>
        <n v="192.1"/>
        <n v="998.1"/>
        <n v="2729.96"/>
        <n v="120.12"/>
        <n v="4489.900000000001"/>
        <n v="608.5799999999999"/>
        <n v="223.04000000000002"/>
        <n v="1017.8999999999999"/>
        <n v="3018.88"/>
        <n v="30.599999999999998"/>
        <n v="8.34"/>
        <n v="262.68"/>
        <n v="585.61"/>
        <n v="508.28"/>
        <n v="449.45000000000005"/>
        <n v="280.8"/>
        <n v="1189.17"/>
        <n v="79.2"/>
        <n v="973.08"/>
        <n v="661.5"/>
        <n v="34.74"/>
        <n v="275.4"/>
        <n v="272.8"/>
        <n v="1473.96"/>
        <n v="3534.93"/>
        <n v="2058.75"/>
        <n v="2134.8"/>
        <n v="427.22999999999996"/>
        <n v="1540.77"/>
        <n v="2260.44"/>
        <n v="1716.8700000000001"/>
        <n v="40.46"/>
        <n v="641.9"/>
        <n v="781.9999999999999"/>
        <n v="1228.1999999999998"/>
        <n v="1050.0"/>
        <n v="25.2"/>
        <n v="1588.6499999999999"/>
        <n v="196.5"/>
        <n v="1730.8600000000001"/>
        <n v="32.11"/>
        <n v="874.54"/>
        <n v="1075.08"/>
        <n v="323.7"/>
        <n v="1006.3000000000001"/>
        <n v="178.84"/>
        <n v="497.70000000000005"/>
        <n v="30.26"/>
        <n v="2620.32"/>
        <n v="939.2"/>
        <n v="490.19999999999993"/>
        <n v="127.39999999999999"/>
        <n v="84.39999999999999"/>
        <n v="359.15999999999997"/>
        <n v="1950.31"/>
        <n v="795.1999999999999"/>
        <n v="69.28999999999999"/>
        <n v="517.4399999999999"/>
        <n v="4729.4"/>
        <n v="634.34"/>
        <n v="287.92"/>
        <n v="1987.72"/>
        <n v="262.0"/>
        <n v="92.07000000000001"/>
        <n v="914.1"/>
        <n v="597.24"/>
        <n v="1577.79"/>
        <n v="2309.55"/>
        <n v="648.96"/>
        <n v="227.35999999999999"/>
        <n v="687.3"/>
        <n v="181.44"/>
        <n v="483.0"/>
        <n v="9.52"/>
        <n v="291.43"/>
        <n v="325.6"/>
        <n v="1285.22"/>
        <n v="2102.1"/>
        <n v="390.6"/>
        <n v="43.92"/>
        <n v="607.42"/>
        <n v="830.8499999999999"/>
        <n v="427.18"/>
        <n v="2479.42"/>
        <n v="2134.05"/>
        <n v="171.35999999999999"/>
        <n v="771.12"/>
        <n v="1.35"/>
        <n v="1145.6999999999998"/>
        <n v="131.5"/>
        <n v="133.98"/>
        <n v="564.48"/>
        <n v="866.6999999999999"/>
        <n v="30.520000000000003"/>
        <n v="197.01"/>
        <n v="17.0"/>
        <n v="9036.68"/>
        <n v="42.089999999999996"/>
        <n v="544.48"/>
        <n v="844.29"/>
        <n v="144.95"/>
        <n v="396.47999999999996"/>
        <n v="14.02"/>
        <n v="72.38"/>
        <n v="176.96"/>
        <n v="248.52"/>
        <n v="324.84999999999997"/>
        <n v="787.31"/>
        <n v="11334.48"/>
        <n v="580.9"/>
        <n v="925.16"/>
        <n v="3432.1499999999996"/>
        <n v="14741.16"/>
        <n v="111.24000000000001"/>
        <n v="857.28"/>
        <n v="1349.1"/>
        <n v="6.84"/>
        <n v="3898.88"/>
        <n v="61.0"/>
        <n v="2617.0200000000004"/>
        <n v="1466.3799999999999"/>
        <n v="1482.9099999999999"/>
        <n v="353.85"/>
        <n v="177.01"/>
        <n v="1695.24"/>
        <n v="410.4"/>
        <n v="461.70000000000005"/>
        <n v="731.24"/>
        <n v="607.75"/>
        <n v="1621.74"/>
        <n v="337.75"/>
        <n v="941.8499999999999"/>
        <n v="97.02"/>
        <n v="31.14"/>
        <n v="98.6"/>
        <n v="251.92"/>
        <n v="321.0"/>
        <n v="1009.36"/>
        <n v="86.25"/>
        <n v="1395.3500000000001"/>
        <n v="848.0"/>
        <n v="256.32"/>
        <n v="58.67999999999999"/>
        <n v="2105.88"/>
        <n v="2342.15"/>
        <n v="1500.75"/>
        <n v="266.56"/>
        <n v="1027.0"/>
        <n v="3991.35"/>
        <n v="7338.999999999999"/>
        <n v="1867.5"/>
        <n v="788.8"/>
        <n v="2558.92"/>
        <n v="652.47"/>
        <n v="586.36"/>
        <n v="226.20000000000002"/>
        <n v="2428.9"/>
        <n v="404.68"/>
        <n v="322.27"/>
        <n v="185.12"/>
        <n v="14.84"/>
        <n v="2784.25"/>
        <n v="46.11"/>
        <n v="55.68"/>
        <n v="66.69"/>
        <n v="409.81"/>
        <n v="262.15000000000003"/>
        <n v="1512.8"/>
        <n v="341.0"/>
        <n v="1859.1999999999998"/>
        <n v="65.52"/>
        <n v="2239.89"/>
        <n v="2290.68"/>
        <n v="329.0"/>
        <n v="7.4399999999999995"/>
        <n v="74.71000000000001"/>
        <n v="126.17"/>
        <n v="16.099999999999998"/>
        <n v="1654.2900000000002"/>
        <n v="435.08"/>
        <n v="143.5"/>
        <n v="2.31"/>
        <n v="240.57000000000002"/>
        <n v="513.8100000000001"/>
        <n v="68.75999999999999"/>
        <n v="5.1"/>
        <n v="283.5"/>
        <n v="404.7"/>
        <n v="453.74"/>
        <n v="602.7"/>
        <n v="63.55"/>
        <n v="226.10000000000002"/>
        <n v="989.69"/>
        <n v="603.7199999999999"/>
        <n v="426.58"/>
        <n v="870.48"/>
        <n v="1125.63"/>
        <n v="544.32"/>
        <n v="980.98"/>
        <n v="605.88"/>
        <n v="442.43"/>
        <n v="1062.16"/>
        <n v="380.1"/>
        <n v="243.1"/>
        <n v="1378.26"/>
        <n v="488.59999999999997"/>
        <n v="543.39"/>
        <n v="376.96999999999997"/>
        <n v="604.5"/>
        <n v="62.4"/>
        <n v="301.2"/>
        <n v="3003.0"/>
        <n v="519.8"/>
        <n v="1237.14"/>
        <n v="121.27000000000001"/>
        <n v="84.71"/>
        <n v="661.01"/>
        <n v="1026.74"/>
        <n v="123.24000000000001"/>
        <n v="665.88"/>
        <n v="236.84"/>
        <n v="155.79999999999998"/>
        <n v="457.71"/>
        <n v="7.1"/>
        <n v="81.49"/>
        <n v="21.009999999999998"/>
        <n v="369.15"/>
        <n v="316.8"/>
        <n v="960.68"/>
        <n v="183.26"/>
        <n v="1048.59"/>
        <n v="1052.0"/>
        <n v="392.70000000000005"/>
        <n v="1099.98"/>
        <n v="55.43000000000001"/>
        <n v="196.8"/>
        <n v="53.199999999999996"/>
        <n v="444.84999999999997"/>
        <n v="115.83"/>
        <n v="563.22"/>
        <n v="26.79"/>
        <n v="1413.8400000000001"/>
        <n v="260.26"/>
        <n v="112.56"/>
        <n v="251.08999999999997"/>
        <n v="1268.9499999999998"/>
        <n v="484.79999999999995"/>
        <n v="780.64"/>
        <n v="3900.96"/>
        <n v="839.93"/>
        <n v="473.34"/>
        <n v="505.92"/>
        <n v="579.37"/>
        <n v="533.12"/>
        <n v="1402.95"/>
        <n v="272.7"/>
        <n v="472.64"/>
        <n v="99.44"/>
        <n v="1594.85"/>
        <n v="384.25"/>
        <n v="226.08"/>
        <n v="2788.75"/>
        <n v="164.85"/>
        <n v="7.8500000000000005"/>
        <n v="722.2"/>
        <n v="192.78"/>
        <n v="5111.92"/>
        <n v="6581.4400000000005"/>
        <n v="5471.7"/>
        <n v="481.35999999999996"/>
        <n v="10033.400000000001"/>
        <n v="350.24"/>
        <n v="19.459999999999997"/>
        <n v="88.36"/>
        <n v="136.5"/>
        <n v="2743.17"/>
        <n v="317.46"/>
        <n v="767.6600000000001"/>
        <n v="2255.48"/>
        <n v="952.47"/>
        <n v="701.7600000000001"/>
        <n v="1562.4"/>
        <n v="134.91"/>
        <n v="261.8"/>
        <n v="5707.52"/>
        <n v="986.46"/>
        <n v="3962.0699999999997"/>
        <n v="170.88"/>
        <n v="796.72"/>
        <n v="707.5500000000001"/>
        <n v="169.26"/>
        <n v="2684.22"/>
        <n v="502.68"/>
        <n v="579.84"/>
        <n v="15.84"/>
        <n v="98.39999999999999"/>
        <n v="1603.95"/>
        <n v="184.08"/>
        <n v="273.59999999999997"/>
        <n v="92.39999999999999"/>
        <n v="159.84"/>
        <n v="1106.75"/>
        <n v="1558.02"/>
        <n v="19.349999999999998"/>
        <n v="1052.3"/>
        <n v="194.8"/>
        <n v="19.74"/>
        <n v="1233.8400000000001"/>
        <n v="81.24"/>
        <n v="1191.9599999999998"/>
        <n v="1324.44"/>
        <n v="951.21"/>
        <n v="1036.6"/>
        <n v="350.54999999999995"/>
        <n v="100.23"/>
        <n v="36.42"/>
        <n v="3494.48"/>
        <n v="1726.92"/>
        <n v="1768.1399999999999"/>
        <n v="1187.7"/>
        <n v="26.0"/>
        <n v="62.74999999999999"/>
        <n v="1234.8700000000001"/>
        <n v="2344.94"/>
        <n v="1123.46"/>
        <n v="1380.23"/>
        <n v="5509.42"/>
        <n v="1910.61"/>
        <n v="228.78"/>
        <n v="5338.0"/>
        <n v="5397.48"/>
        <n v="5674.9"/>
        <n v="1623.78"/>
        <n v="326.59999999999997"/>
        <n v="51.21"/>
        <n v="7009.4800000000005"/>
        <n v="2078.34"/>
        <n v="2.13"/>
        <n v="755.2"/>
        <n v="156.35"/>
        <n v="4112.55"/>
        <n v="1019.08"/>
        <n v="30.06"/>
        <n v="3974.2000000000003"/>
        <n v="207.57000000000002"/>
        <n v="6197.780000000001"/>
        <n v="909.15"/>
        <n v="421.08000000000004"/>
        <n v="65.72"/>
        <n v="374.06"/>
        <n v="146.73"/>
        <n v="581.01"/>
        <n v="42.84"/>
        <n v="577.76"/>
        <n v="1339.47"/>
        <n v="120.9"/>
        <n v="575.6600000000001"/>
        <n v="228.47"/>
        <n v="198.98999999999998"/>
        <n v="2230.14"/>
        <n v="493.68"/>
        <n v="259.84"/>
        <n v="213.12"/>
        <n v="2175.69"/>
        <n v="437.76"/>
        <n v="1125.8999999999999"/>
        <n v="395.24"/>
        <n v="549.0799999999999"/>
        <n v="1918.54"/>
        <n v="73.7"/>
        <n v="225.96"/>
        <n v="116.88"/>
        <n v="453.25"/>
        <n v="1773.7800000000002"/>
        <n v="238.38"/>
        <n v="1266.6499999999999"/>
        <n v="1041.6799999999998"/>
        <n v="273.88"/>
        <n v="690.0300000000001"/>
        <n v="1133.6499999999999"/>
        <n v="497.84"/>
        <n v="145.28"/>
        <n v="79.98"/>
        <n v="610.88"/>
        <n v="151.2"/>
        <n v="285.41999999999996"/>
        <n v="2232.99"/>
        <n v="1096.3"/>
        <n v="1884.8"/>
        <n v="3419.52"/>
        <n v="681.45"/>
        <n v="477.21999999999997"/>
        <n v="628.39"/>
        <n v="1066.56"/>
        <n v="160.48"/>
        <n v="5924.46"/>
        <n v="246.5"/>
        <n v="3050.6800000000003"/>
        <n v="1160.9"/>
        <n v="787.35"/>
        <n v="73.81"/>
        <n v="12.81"/>
        <n v="70.05999999999999"/>
        <n v="501.42"/>
        <n v="99.36"/>
        <n v="1692.75"/>
        <n v="2386.7999999999997"/>
        <n v="1611.1200000000001"/>
        <n v="831.04"/>
        <n v="8916.84"/>
        <n v="5149.95"/>
        <n v="663.6"/>
        <n v="2556.75"/>
        <n v="1754.62"/>
        <n v="4.84"/>
        <n v="105.8"/>
        <n v="189.42000000000002"/>
        <n v="565.39"/>
        <n v="1864.3799999999999"/>
        <n v="742.56"/>
        <n v="128.34"/>
        <n v="325.12"/>
        <n v="374.21999999999997"/>
        <n v="712.98"/>
        <n v="385.70000000000005"/>
        <n v="784.0"/>
        <n v="295.59"/>
        <n v="233.68"/>
        <n v="479.18000000000006"/>
        <n v="60.239999999999995"/>
        <n v="60.8"/>
        <n v="887.25"/>
        <n v="20.240000000000002"/>
        <n v="816.3399999999999"/>
        <n v="1421.0"/>
        <n v="831.6800000000001"/>
        <n v="38.5"/>
        <n v="369.25"/>
        <n v="175.76"/>
        <n v="225.68"/>
        <n v="266.0"/>
        <n v="984.3"/>
        <n v="928.72"/>
        <n v="1719.8999999999999"/>
        <n v="595.2700000000001"/>
        <n v="22.75"/>
        <n v="99.28"/>
        <n v="223.78"/>
        <n v="128.64000000000001"/>
        <n v="274.17"/>
        <n v="661.56"/>
        <n v="1690.65"/>
        <n v="34.720000000000006"/>
        <n v="53.55"/>
        <n v="142.1"/>
        <n v="1452.32"/>
        <n v="943.9200000000001"/>
        <n v="270.47999999999996"/>
        <n v="244.28"/>
        <n v="295.32"/>
        <n v="247.50000000000003"/>
        <n v="558.5400000000001"/>
        <n v="20.5"/>
        <n v="544.7"/>
        <n v="308.78999999999996"/>
        <n v="205.79999999999998"/>
        <n v="231.84"/>
        <n v="432.15"/>
        <n v="571.47"/>
        <n v="238.07000000000002"/>
        <n v="445.26"/>
        <n v="303.62"/>
        <n v="564.3"/>
        <n v="793.3599999999999"/>
        <n v="220.78"/>
        <n v="411.40000000000003"/>
        <n v="638.8100000000001"/>
        <n v="74.34"/>
        <n v="127.26"/>
        <n v="29.259999999999998"/>
        <n v="148.05"/>
        <n v="275.07"/>
        <n v="586.17"/>
        <n v="409.64000000000004"/>
        <n v="121.52"/>
        <n v="72.44999999999999"/>
        <n v="92.66"/>
        <n v="579.0"/>
        <n v="912.66"/>
        <n v="768.26"/>
        <n v="351.26"/>
        <n v="28.699999999999996"/>
        <n v="176.39999999999998"/>
        <n v="824.98"/>
        <n v="729.64"/>
        <n v="564.4000000000001"/>
        <n v="41.519999999999996"/>
        <n v="70.72"/>
        <n v="73.92"/>
        <n v="297.03999999999996"/>
        <n v="399.74999999999994"/>
        <n v="1752.44"/>
        <n v="749.7"/>
        <n v="261.12"/>
        <n v="562.8"/>
        <n v="322.31"/>
        <n v="15.03"/>
        <n v="541.44"/>
        <n v="99.64"/>
        <n v="129.21"/>
        <n v="254.24999999999997"/>
        <n v="166.10000000000002"/>
        <n v="264.32"/>
        <n v="235.94"/>
        <n v="101.76"/>
        <n v="814.26"/>
        <n v="161.0"/>
        <n v="194.6"/>
        <n v="438.9"/>
        <n v="130.20000000000002"/>
        <n v="110.6"/>
        <n v="140.97"/>
        <n v="403.76"/>
        <n v="944.72"/>
        <n v="89.86999999999999"/>
        <n v="415.0"/>
        <n v="345.6"/>
        <n v="83.2"/>
        <n v="927.51"/>
        <n v="467.2"/>
        <n v="355.95"/>
        <n v="11.459999999999999"/>
        <n v="471.90000000000003"/>
        <n v="57.39999999999999"/>
        <n v="230.27999999999997"/>
        <n v="11470.41"/>
        <n v="684.6999999999999"/>
        <n v="716.0"/>
        <n v="188.16"/>
        <n v="760.45"/>
        <n v="2640.96"/>
        <n v="549.8399999999999"/>
        <n v="268.32"/>
        <n v="1067.1999999999998"/>
        <n v="1575.0900000000001"/>
        <n v="122.69999999999999"/>
        <n v="3002.06"/>
        <n v="973.75"/>
        <n v="199.81"/>
        <n v="1262.46"/>
        <n v="1649.43"/>
        <n v="298.15000000000003"/>
        <n v="601.4"/>
        <n v="348.53000000000003"/>
        <n v="308.74"/>
        <n v="1067.3700000000001"/>
        <n v="432.90000000000003"/>
        <n v="322.47999999999996"/>
        <n v="1562.36"/>
        <n v="1432.2"/>
        <n v="2105.78"/>
        <n v="333.20000000000005"/>
        <n v="569.9"/>
        <n v="331.74"/>
        <n v="2042.27"/>
        <n v="175.23000000000002"/>
        <n v="653.78"/>
        <n v="776.3100000000001"/>
        <n v="31.299999999999997"/>
        <n v="1790.5500000000002"/>
        <n v="870.4399999999999"/>
        <n v="105.92999999999999"/>
        <n v="5391.490000000001"/>
        <n v="1130.96"/>
        <n v="2038.85"/>
        <n v="517.45"/>
        <n v="576.63"/>
        <n v="692.64"/>
        <n v="1062.75"/>
        <n v="3371.08"/>
        <n v="450.17"/>
        <n v="1101.12"/>
        <n v="2200.71"/>
        <n v="293.47999999999996"/>
        <n v="140.74"/>
        <n v="856.9799999999999"/>
        <n v="1414.1000000000001"/>
        <n v="1664.55"/>
        <n v="717.8000000000001"/>
        <n v="1083.98"/>
        <n v="735.49"/>
        <n v="1571.22"/>
        <n v="266.76"/>
        <n v="3038.1"/>
        <n v="706.86"/>
        <n v="532.0600000000001"/>
        <n v="4716.64"/>
        <n v="898.16"/>
        <n v="745.36"/>
        <n v="920.6099999999999"/>
        <n v="684.0"/>
        <n v="1729.2800000000002"/>
        <n v="486.0"/>
        <n v="6815.25"/>
        <n v="5208.9"/>
        <n v="3709.12"/>
        <n v="574.5600000000001"/>
        <n v="2065.96"/>
        <n v="39.76"/>
        <n v="1206.1200000000001"/>
        <n v="631.3299999999999"/>
        <n v="580.44"/>
        <n v="1566.76"/>
        <n v="1072.26"/>
        <n v="965.3"/>
        <n v="1326.0"/>
        <n v="161.48"/>
        <n v="3088.5"/>
        <n v="1470.64"/>
        <n v="621.0"/>
        <n v="1069.14"/>
        <n v="810.0"/>
        <n v="1247.4"/>
        <n v="4444.32"/>
        <n v="1036.75"/>
        <n v="7.19"/>
        <n v="604.1999999999999"/>
        <n v="469.68"/>
        <n v="2337.27"/>
        <n v="401.58"/>
        <n v="1979.5500000000002"/>
        <n v="3080.85"/>
        <n v="2896.56"/>
        <n v="248.39999999999998"/>
        <n v="1613.04"/>
        <n v="207.0"/>
        <n v="46.9"/>
        <n v="2175.58"/>
        <n v="2373.6"/>
        <n v="363.6"/>
        <n v="801.15"/>
        <n v="1043.28"/>
        <n v="2726.0"/>
        <n v="323.09999999999997"/>
        <n v="61.2"/>
        <n v="452.64"/>
        <n v="1718.04"/>
        <n v="28.2"/>
        <n v="199.42"/>
        <n v="35.339999999999996"/>
        <n v="158.92"/>
        <n v="360.76"/>
        <n v="933.0400000000001"/>
        <n v="155.1"/>
        <n v="131.13"/>
        <n v="811.1999999999999"/>
        <n v="122.32"/>
        <n v="1116.88"/>
        <n v="113.04"/>
        <n v="568.23"/>
        <n v="338.2"/>
        <n v="66.27"/>
        <n v="233.01999999999998"/>
        <n v="101.46000000000001"/>
        <n v="132.09"/>
        <n v="177.54"/>
        <n v="1956.05"/>
        <n v="63.839999999999996"/>
        <n v="75.6"/>
        <n v="649.35"/>
        <n v="742.59"/>
        <n v="325.44"/>
        <n v="611.52"/>
        <n v="585.36"/>
        <n v="380.7"/>
        <n v="984.9599999999999"/>
        <n v="331.53999999999996"/>
        <n v="109.03999999999999"/>
        <n v="45.370000000000005"/>
        <n v="74.49"/>
        <n v="881.28"/>
        <n v="151.8"/>
        <n v="400.0"/>
        <n v="35.7"/>
        <n v="1113.05"/>
        <n v="666.39"/>
        <n v="300.96000000000004"/>
        <n v="547.66"/>
        <n v="810.6"/>
        <n v="646.98"/>
        <n v="33.300000000000004"/>
        <n v="538.0"/>
        <n v="398.64000000000004"/>
        <n v="182.16"/>
        <n v="180.63"/>
        <n v="1902.0"/>
        <n v="744.1800000000001"/>
        <n v="396.94"/>
        <n v="265.37"/>
        <n v="234.92999999999998"/>
        <n v="120.42"/>
        <n v="77.74"/>
        <n v="440.21999999999997"/>
        <n v="388.8"/>
        <n v="882.18"/>
        <n v="568.65"/>
        <n v="370.18"/>
        <n v="492.5"/>
        <n v="46.08"/>
        <n v="44.88"/>
        <n v="459.36"/>
        <n v="616.12"/>
        <n v="233.28"/>
        <n v="1.44"/>
        <n v="604.4399999999999"/>
        <n v="664.54"/>
        <n v="671.2299999999999"/>
        <n v="938.4"/>
        <n v="6.8"/>
        <n v="514.5"/>
        <n v="1255.54"/>
        <n v="2691.36"/>
        <n v="194.37"/>
        <n v="387.03000000000003"/>
        <n v="113.71000000000001"/>
        <n v="152.28"/>
        <n v="1641.28"/>
        <n v="45.54"/>
        <n v="35.68"/>
        <n v="307.32"/>
        <n v="275.03999999999996"/>
        <n v="391.5"/>
        <n v="407.54999999999995"/>
        <n v="410.31"/>
        <n v="24.53"/>
        <n v="604.01"/>
        <n v="681.12"/>
        <n v="2205.4900000000002"/>
        <n v="851.04"/>
        <n v="537.28"/>
        <n v="1000.08"/>
        <n v="256.71"/>
        <n v="2302.72"/>
        <n v="496.44"/>
        <n v="162.25"/>
        <n v="481.9"/>
        <n v="316.67999999999995"/>
        <n v="593.4599999999999"/>
        <n v="70.98"/>
        <n v="3.94"/>
        <n v="209.1"/>
        <n v="113.88"/>
        <n v="2210.25"/>
        <n v="131.01000000000002"/>
        <n v="1596.3600000000001"/>
        <n v="1846.32"/>
        <n v="4598.099999999999"/>
        <n v="2312.64"/>
        <n v="990.56"/>
        <n v="4459.549999999999"/>
        <n v="80.25"/>
        <n v="1065.8999999999999"/>
        <n v="420.28000000000003"/>
        <n v="1917.77"/>
        <n v="3336.07"/>
        <n v="1671.8100000000002"/>
        <n v="3294.7400000000002"/>
        <n v="599.47"/>
        <n v="1644.3"/>
        <n v="1495.04"/>
        <n v="9384.84"/>
        <n v="69.24"/>
        <n v="3724.5"/>
        <n v="1783.5300000000002"/>
        <n v="4365.9"/>
        <n v="1614.48"/>
        <n v="10.8"/>
        <n v="4262.58"/>
        <n v="240.13"/>
        <n v="3876.9599999999996"/>
        <n v="859.68"/>
        <n v="746.35"/>
        <n v="5.19"/>
        <n v="985.14"/>
        <n v="909.72"/>
        <n v="603.0"/>
        <n v="2407.79"/>
        <n v="3347.5"/>
        <n v="28.28"/>
        <n v="2983.9500000000003"/>
        <n v="1460.8200000000002"/>
        <n v="2299.0"/>
        <n v="373.7"/>
        <n v="962.28"/>
        <n v="3938.1600000000003"/>
        <n v="268.8"/>
        <n v="158.4"/>
        <n v="18.419999999999998"/>
        <n v="1110.78"/>
        <n v="73.14999999999999"/>
        <n v="1181.18"/>
        <n v="5377.99"/>
        <n v="2862.7999999999997"/>
        <n v="2652.0"/>
        <n v="1102.08"/>
        <n v="2965.9300000000003"/>
        <n v="351.66999999999996"/>
        <n v="841.3399999999999"/>
        <n v="272.84999999999997"/>
        <n v="1572.0"/>
        <n v="919.8"/>
        <n v="6.33"/>
        <n v="2264.85"/>
        <n v="205.58"/>
        <n v="166.41"/>
        <n v="161.04"/>
        <n v="37.949999999999996"/>
        <n v="271.89"/>
        <n v="4526.0"/>
        <n v="58.849999999999994"/>
        <n v="848.9"/>
        <n v="403.2"/>
        <n v="1422.05"/>
        <n v="9.4"/>
        <n v="2829.12"/>
        <n v="257.24"/>
        <n v="329.40000000000003"/>
        <n v="2633.04"/>
        <n v="750.67"/>
        <n v="117.58999999999999"/>
        <n v="1743.06"/>
        <n v="33.04"/>
        <n v="64.89999999999999"/>
        <n v="646.6999999999999"/>
        <n v="4308.599999999999"/>
        <n v="4850.7699999999995"/>
        <n v="2901.1499999999996"/>
        <n v="372.3"/>
        <n v="710.7"/>
        <n v="5357.04"/>
        <n v="2513.0400000000004"/>
        <n v="4932.9"/>
        <n v="3124.0"/>
        <n v="521.85"/>
        <n v="6419.009999999999"/>
        <n v="273.24"/>
        <n v="674.1"/>
        <n v="4125.099999999999"/>
        <n v="12.979999999999999"/>
        <n v="160.43"/>
        <n v="466.46000000000004"/>
        <n v="110.5"/>
        <n v="800.5500000000001"/>
        <n v="380.25"/>
        <n v="321.84"/>
        <n v="168.75"/>
        <n v="112.32000000000001"/>
        <n v="504.34"/>
        <n v="696.6400000000001"/>
        <n v="900.25"/>
        <n v="1262.94"/>
        <n v="911.6800000000001"/>
        <n v="3512.25"/>
        <n v="3386.91"/>
        <n v="361.13"/>
        <n v="8464.5"/>
        <n v="1825.0"/>
        <n v="2596.88"/>
        <n v="37.83"/>
        <n v="1242.09"/>
        <n v="2000.7900000000002"/>
        <n v="419.64"/>
        <n v="1743.39"/>
        <n v="2870.0"/>
        <n v="1478.06"/>
        <n v="7248.5"/>
        <n v="624.11"/>
        <n v="2150.06"/>
        <n v="4906.8"/>
        <n v="2578.08"/>
        <n v="179.20000000000002"/>
        <n v="2713.6000000000004"/>
        <n v="3814.4"/>
        <n v="527.36"/>
        <n v="2171.25"/>
        <n v="243.20000000000002"/>
        <n v="726.9300000000001"/>
        <n v="13.6"/>
        <n v="1334.64"/>
        <n v="575.11"/>
        <n v="1708.8"/>
        <n v="2548.1"/>
        <n v="118.56"/>
        <n v="80.4"/>
        <n v="128.52"/>
        <n v="589.5300000000001"/>
        <n v="247.52"/>
        <n v="332.35"/>
        <n v="9.45"/>
        <n v="299.73"/>
        <n v="2318.12"/>
        <n v="1200.64"/>
        <n v="1922.4"/>
        <n v="877.6800000000001"/>
        <n v="2396.63"/>
        <n v="1514.87"/>
        <n v="261.0"/>
        <n v="553.32"/>
        <n v="714.0"/>
        <n v="1390.54"/>
        <n v="2201.68"/>
        <n v="1495.3700000000001"/>
        <n v="97.52000000000001"/>
        <n v="329.4"/>
        <n v="1608.8799999999999"/>
        <n v="47.09"/>
        <n v="623.6"/>
        <n v="1408.68"/>
        <n v="386.4"/>
        <n v="19.71"/>
        <n v="670.8"/>
        <n v="3028.5299999999997"/>
        <n v="434.07"/>
        <n v="288.51"/>
        <n v="2779.36"/>
        <n v="3399.48"/>
        <n v="454.92"/>
        <n v="430.55999999999995"/>
        <n v="19.9"/>
        <n v="560.64"/>
        <n v="1223.85"/>
        <n v="521.22"/>
        <n v="265.32"/>
        <n v="139.08"/>
        <n v="53.76"/>
        <n v="10.78"/>
        <n v="2.75"/>
        <n v="810.84"/>
        <n v="90443.04"/>
        <n v="3356.64"/>
        <n v="114.0"/>
        <n v="161.31"/>
        <n v="224.94"/>
        <n v="375.06"/>
        <n v="602.5799999999999"/>
        <n v="26.85"/>
        <n v="18.81"/>
        <n v="102.87"/>
        <n v="198.66"/>
        <n v="265.5"/>
        <n v="285.31"/>
        <n v="571.1700000000001"/>
        <n v="1243.62"/>
        <n v="379.26"/>
        <n v="1658.3400000000001"/>
        <n v="389.58"/>
        <n v="333.96"/>
        <n v="276.06"/>
        <n v="154.32999999999998"/>
        <n v="619.76"/>
        <n v="551.1800000000001"/>
        <n v="1635.6000000000001"/>
        <n v="2732.8"/>
        <n v="1830.8"/>
        <n v="579.74"/>
        <n v="650.41"/>
        <n v="4.54"/>
        <n v="553.8"/>
        <n v="128.25"/>
        <n v="18.369999999999997"/>
        <n v="463.89"/>
        <n v="262.35"/>
        <n v="111.53999999999999"/>
        <n v="1260.24"/>
        <n v="387.59999999999997"/>
        <n v="646.64"/>
        <n v="1256.6399999999999"/>
        <n v="262.15999999999997"/>
        <n v="139.23999999999998"/>
        <n v="535.92"/>
        <n v="292.5"/>
        <n v="5192.67"/>
        <n v="2109.6"/>
        <n v="1662.0300000000002"/>
        <n v="235.2"/>
        <n v="282.5"/>
        <n v="681.87"/>
        <n v="2825.0"/>
        <n v="305.44"/>
        <n v="830.96"/>
        <n v="1404.48"/>
        <n v="1812.3999999999999"/>
        <n v="496.54"/>
        <n v="2169.32"/>
        <n v="80.04"/>
        <n v="984.5400000000001"/>
        <n v="817.76"/>
        <n v="1247.58"/>
        <n v="400.8"/>
        <n v="491.63"/>
        <n v="172.0"/>
        <n v="308.06"/>
        <n v="616.0"/>
        <n v="917.2800000000001"/>
        <n v="29.54"/>
        <n v="365.94"/>
        <n v="232.83"/>
        <n v="21.89"/>
        <n v="18.88"/>
        <n v="680.2"/>
        <n v="131.34"/>
        <n v="1813.56"/>
        <n v="1350.3500000000001"/>
        <n v="34.68"/>
        <n v="1257.56"/>
        <n v="734.76"/>
        <n v="212.52"/>
        <n v="1236.92"/>
        <n v="228.96"/>
        <n v="157.29999999999998"/>
        <n v="223.02"/>
        <n v="123.48"/>
        <n v="1228.16"/>
        <n v="81.0"/>
        <n v="986.23"/>
        <n v="2539.7999999999997"/>
        <n v="3639.1000000000004"/>
        <n v="1359.8"/>
        <n v="241.01999999999998"/>
        <n v="1825.4099999999999"/>
        <n v="1.27"/>
        <n v="1704.0"/>
        <n v="8.2"/>
        <n v="93.93"/>
        <n v="2680.65"/>
        <n v="1524.25"/>
        <n v="970.92"/>
        <n v="1312.24"/>
        <n v="173.04"/>
        <n v="5299.38"/>
        <n v="1526.37"/>
        <n v="999.9399999999999"/>
        <n v="4057.9"/>
        <n v="2428.79"/>
        <n v="982.8"/>
        <n v="561.47"/>
        <n v="1907.84"/>
        <n v="1113.84"/>
        <n v="415.34999999999997"/>
        <n v="3660.57"/>
        <n v="1128.8999999999999"/>
        <n v="1425.8999999999999"/>
        <n v="100.32"/>
        <n v="136.32"/>
        <n v="576.1999999999999"/>
        <n v="198.72"/>
        <n v="2191.04"/>
        <n v="278.96"/>
        <n v="90.48"/>
        <n v="2978.0099999999998"/>
        <n v="57.51"/>
        <n v="913.77"/>
        <n v="1781.01"/>
        <n v="350.06"/>
        <n v="757.64"/>
        <n v="2344.72"/>
        <n v="828.8"/>
        <n v="1482.48"/>
        <n v="195.05"/>
        <n v="4656.47"/>
        <n v="1141.06"/>
        <n v="103.85999999999999"/>
        <n v="3731.6800000000003"/>
        <n v="4841.76"/>
        <n v="2325.44"/>
        <n v="111.86"/>
        <n v="7519.44"/>
        <n v="2713.46"/>
        <n v="4941.0"/>
        <n v="3065.8599999999997"/>
        <n v="831.6"/>
        <n v="268.56"/>
        <n v="1472.64"/>
        <n v="4651.700000000001"/>
        <n v="808.27"/>
        <n v="5598.599999999999"/>
        <n v="1254.54"/>
        <n v="2445.0"/>
        <n v="12.18"/>
        <n v="537.12"/>
        <n v="1820.31"/>
        <n v="5967.450000000001"/>
        <n v="436.17"/>
        <n v="1165.78"/>
        <n v="102.7"/>
        <n v="1744.0"/>
        <n v="2487.58"/>
        <n v="2633.1200000000003"/>
        <n v="1575.86"/>
        <n v="2827.0"/>
        <n v="1667.25"/>
        <n v="6055.4"/>
        <n v="585.8"/>
        <n v="21.92"/>
        <n v="856.8"/>
        <n v="1486.8"/>
        <n v="1370.2"/>
        <n v="1272.3200000000002"/>
        <n v="997.7399999999999"/>
        <n v="359.49"/>
        <n v="402.21999999999997"/>
        <n v="671.6"/>
        <n v="3393.6"/>
        <n v="177.8"/>
        <n v="404.14"/>
        <n v="1393.85"/>
        <n v="204.51"/>
        <n v="2463.44"/>
        <n v="4584.37"/>
        <n v="3148.8"/>
        <n v="914.62"/>
        <n v="5463.450000000001"/>
        <n v="387.0"/>
        <n v="771.84"/>
        <n v="621.5600000000001"/>
        <n v="95.76"/>
        <n v="1616.84"/>
        <n v="4611.32"/>
        <n v="846.0600000000001"/>
        <n v="1622.7900000000002"/>
        <n v="77.51"/>
        <n v="46.71"/>
        <n v="746.7900000000001"/>
        <n v="748.8000000000001"/>
        <n v="11.05"/>
        <n v="130.95"/>
        <n v="547.47"/>
        <n v="1212.0"/>
        <n v="826.5"/>
        <n v="506.25"/>
        <n v="3505.44"/>
        <n v="451.43999999999994"/>
        <n v="3051.76"/>
        <n v="1450.8"/>
        <n v="1164.29"/>
        <n v="297.35999999999996"/>
        <n v="1292.13"/>
        <n v="4234.23"/>
        <n v="208.8"/>
        <n v="998.3000000000001"/>
        <n v="1162.23"/>
        <n v="7041.78"/>
        <n v="1248.87"/>
        <n v="2351.52"/>
        <n v="1324.75"/>
        <n v="1148.96"/>
        <n v="2598.96"/>
        <n v="356.04"/>
        <n v="195.08999999999997"/>
        <n v="428.64"/>
        <n v="249.14999999999998"/>
        <n v="641.92"/>
        <n v="467.28"/>
        <n v="2265.12"/>
        <n v="1458.6"/>
        <n v="87.84"/>
        <n v="1278.32"/>
        <n v="3510.7200000000003"/>
        <n v="19.439999999999998"/>
        <n v="103.0"/>
        <n v="461.76"/>
        <n v="826.56"/>
        <n v="347.2"/>
        <n v="294.0"/>
        <n v="89.18"/>
        <n v="1227.6000000000001"/>
        <n v="191.79999999999998"/>
        <n v="577.16"/>
        <n v="360.72"/>
        <n v="39.0"/>
        <n v="370.21999999999997"/>
        <n v="10.08"/>
        <n v="54.53"/>
        <n v="896.2199999999999"/>
        <n v="37.44"/>
        <n v="375.09999999999997"/>
        <n v="622.5"/>
        <n v="40.75"/>
        <n v="249.76"/>
        <n v="159.46"/>
        <n v="28.749999999999996"/>
        <n v="166.25"/>
        <n v="25.5"/>
        <n v="29.87"/>
        <n v="0.6"/>
        <n v="220.48000000000002"/>
        <n v="5.300000000000001"/>
        <n v="1237.6"/>
        <n v="609.0699999999999"/>
        <n v="89.61"/>
        <n v="1397.8"/>
        <n v="8.7"/>
        <n v="236.74"/>
        <n v="10.19"/>
        <n v="142.73999999999998"/>
        <n v="371.85"/>
        <n v="408.5"/>
        <n v="5460.03"/>
        <n v="198.85999999999999"/>
        <n v="182.28"/>
        <n v="416.65999999999997"/>
        <n v="167.25"/>
        <n v="387.52"/>
        <n v="414.96"/>
        <n v="798.22"/>
        <n v="188.48"/>
        <n v="63.24"/>
        <n v="511.28"/>
        <n v="1071.6"/>
        <n v="568.08"/>
        <n v="764.66"/>
        <n v="111.86999999999999"/>
        <n v="928.0"/>
        <n v="32.400000000000006"/>
        <n v="766.0999999999999"/>
        <n v="60.19"/>
        <n v="197.06"/>
        <n v="59.449999999999996"/>
        <n v="535.5"/>
        <n v="295.75"/>
        <n v="143.07999999999998"/>
        <n v="1.38"/>
        <n v="652.62"/>
        <n v="20.01"/>
        <n v="128.4"/>
        <n v="111.28"/>
        <n v="355.81"/>
        <n v="3.51"/>
        <n v="483.36"/>
        <n v="20.8"/>
        <n v="256.2"/>
        <n v="39.5"/>
        <n v="376.25"/>
        <n v="267.96"/>
        <n v="2496.7799999999997"/>
        <n v="52.78"/>
        <n v="808.3000000000001"/>
        <n v="311.85"/>
        <n v="260.35"/>
        <n v="253.65"/>
        <n v="433.18"/>
        <n v="669.9"/>
        <n v="22.36"/>
        <n v="505.12"/>
        <n v="16.5"/>
        <n v="1295.36"/>
        <n v="865.8"/>
        <n v="87.92"/>
        <n v="371.15000000000003"/>
        <n v="670.53"/>
        <n v="254.0"/>
        <n v="71.12"/>
        <n v="117.74"/>
        <n v="366.52"/>
        <n v="587.86"/>
        <n v="8.12"/>
        <n v="168.48999999999998"/>
        <n v="767.3399999999999"/>
        <n v="1713.6"/>
        <n v="26.389999999999997"/>
        <n v="2.03"/>
        <n v="534.6"/>
        <n v="18.27"/>
        <n v="219.08999999999997"/>
        <n v="517.65"/>
        <n v="430.78"/>
        <n v="492.65999999999997"/>
        <n v="432.39"/>
        <n v="295.12"/>
        <n v="1331.6799999999998"/>
        <n v="261.86999999999995"/>
        <n v="343.07"/>
        <n v="278.46"/>
        <n v="235.17"/>
        <n v="90.44"/>
        <n v="28.56"/>
        <n v="434.15999999999997"/>
        <n v="1634.1499999999999"/>
        <n v="129.92"/>
        <n v="18.089999999999996"/>
        <n v="961.52"/>
        <n v="10.149999999999999"/>
        <n v="66.99"/>
        <n v="138.69"/>
        <n v="948.0099999999999"/>
        <n v="456.74999999999994"/>
        <n v="1572.84"/>
        <n v="381.64"/>
        <n v="640.22"/>
        <n v="799.68"/>
        <n v="1680.28"/>
        <n v="55.98"/>
        <n v="149.26999999999998"/>
        <n v="414.91999999999996"/>
        <n v="1218.56"/>
        <n v="164.82"/>
        <n v="111.64999999999999"/>
        <n v="1431.1499999999999"/>
        <n v="2.43"/>
        <n v="980.4899999999999"/>
        <n v="514.56"/>
        <n v="212.5"/>
        <n v="1576.8"/>
        <n v="47.52"/>
        <n v="95.2"/>
        <n v="1333.8"/>
        <n v="10.92"/>
        <n v="626.6"/>
        <n v="941.63"/>
        <n v="434.56"/>
        <n v="883.74"/>
        <n v="422.16999999999996"/>
        <n v="1375.76"/>
        <n v="531.0"/>
        <n v="839.78"/>
        <n v="3.26"/>
        <n v="863.94"/>
        <n v="163.2"/>
        <n v="1559.5200000000002"/>
        <n v="189.24"/>
        <n v="28.44"/>
        <n v="585.88"/>
        <n v="82.14"/>
        <n v="78.3"/>
        <n v="335.98"/>
        <n v="10.89"/>
        <n v="522.72"/>
        <n v="500.94"/>
        <n v="972.1600000000001"/>
        <n v="3547.8900000000003"/>
        <n v="993.28"/>
        <n v="534.57"/>
        <n v="340.75"/>
        <n v="2490.18"/>
        <n v="233.28000000000003"/>
        <n v="601.34"/>
        <n v="2413.95"/>
        <n v="429.52000000000004"/>
        <n v="362.88000000000005"/>
        <n v="2.8"/>
        <n v="1725.8400000000001"/>
        <n v="341.28000000000003"/>
        <n v="4421.78"/>
        <n v="13988.789999999999"/>
        <n v="6878.4"/>
        <n v="3066.12"/>
        <n v="848.16"/>
        <n v="785.46"/>
        <n v="155.53"/>
        <n v="5.84"/>
        <n v="697.8399999999999"/>
        <n v="6495.68"/>
        <n v="2157.75"/>
        <n v="1449.96"/>
        <n v="1211.0"/>
        <n v="553.11"/>
        <n v="592.8000000000001"/>
        <n v="12.67"/>
        <n v="482.55999999999995"/>
        <n v="638.4200000000001"/>
        <n v="461.55"/>
        <n v="448.32"/>
        <n v="17.25"/>
        <n v="394.58"/>
        <n v="3472.66"/>
        <n v="155.66"/>
        <n v="378.37"/>
        <n v="2504.96"/>
        <n v="2.56"/>
        <n v="92.4"/>
        <n v="351.08000000000004"/>
        <n v="232.04999999999998"/>
        <n v="878.84"/>
        <n v="264.26"/>
        <n v="185.64"/>
        <n v="939.58"/>
        <n v="446.19"/>
        <n v="5.48"/>
        <n v="881.8199999999999"/>
        <n v="164.72"/>
        <n v="336.66"/>
        <n v="257.04"/>
        <n v="3132.08"/>
        <n v="81.77"/>
        <n v="606.35"/>
        <n v="738.92"/>
        <n v="43.44"/>
        <n v="444.0"/>
        <n v="613.72"/>
        <n v="452.48"/>
        <n v="19.040000000000003"/>
        <n v="19.91"/>
        <n v="38.86"/>
        <n v="707.0"/>
        <n v="205.20000000000002"/>
        <n v="1244.65"/>
        <n v="142.33"/>
        <n v="1356.9399999999998"/>
        <n v="2995.05"/>
        <n v="689.85"/>
        <n v="5084.400000000001"/>
        <n v="483.2"/>
        <n v="3400.8"/>
        <n v="2282.8399999999997"/>
        <n v="1938.02"/>
        <n v="597.87"/>
        <n v="2769.24"/>
        <n v="608.42"/>
        <n v="2479.25"/>
        <n v="1755.08"/>
        <n v="5430.24"/>
        <n v="2532.83"/>
        <n v="930.0000000000001"/>
        <n v="311.55"/>
        <n v="3480.75"/>
        <n v="890.01"/>
        <n v="334.63"/>
        <n v="4676.87"/>
        <n v="137.35"/>
        <n v="98.4"/>
        <n v="6518.679999999999"/>
        <n v="193.5"/>
        <n v="221.32000000000002"/>
        <n v="4845.61"/>
        <n v="2854.0499999999997"/>
        <n v="529.76"/>
        <n v="2167.75"/>
        <n v="33.5"/>
        <n v="1548.6"/>
        <n v="1007.6400000000001"/>
        <n v="583.1600000000001"/>
        <n v="1360.52"/>
        <n v="2037.3999999999999"/>
        <n v="457.6"/>
        <n v="801.4499999999999"/>
        <n v="168.95999999999998"/>
        <n v="181.35"/>
        <n v="370.0"/>
        <n v="552.84"/>
        <n v="69.44"/>
        <n v="58.379999999999995"/>
        <n v="296.84"/>
        <n v="137.06"/>
        <n v="311.24"/>
        <n v="71.05000000000001"/>
        <n v="449.75"/>
        <n v="392.94000000000005"/>
        <n v="355.88"/>
        <n v="845.1199999999999"/>
        <n v="401.88"/>
        <n v="182.45"/>
        <n v="439.68"/>
        <n v="1681.28"/>
        <n v="177.60000000000002"/>
        <n v="299.72"/>
        <n v="303.79999999999995"/>
        <n v="1272.24"/>
        <n v="1642.88"/>
        <n v="825.0"/>
        <n v="147.48999999999998"/>
        <n v="339.5"/>
        <n v="200.91000000000003"/>
        <n v="271.36"/>
        <n v="258.3"/>
        <n v="115.91999999999999"/>
        <n v="1569.3999999999999"/>
        <n v="95.46000000000001"/>
        <n v="520.7"/>
        <n v="398.67"/>
        <n v="188.02"/>
        <n v="453.6"/>
        <n v="2364.66"/>
        <n v="628.5600000000001"/>
        <n v="1540.26"/>
        <n v="244.29"/>
        <n v="171.18"/>
        <n v="47.400000000000006"/>
        <n v="876.16"/>
        <n v="47.76"/>
        <n v="409.6"/>
        <n v="1142.4"/>
        <n v="2487.75"/>
        <n v="43.949999999999996"/>
        <n v="111.15"/>
        <n v="3092.46"/>
        <n v="1261.12"/>
        <n v="3969.28"/>
        <n v="116.82000000000001"/>
        <n v="991.6"/>
        <n v="532.86"/>
        <n v="1559.46"/>
        <n v="731.38"/>
        <n v="1672.5"/>
        <n v="505.04999999999995"/>
        <n v="287.37"/>
        <n v="485.04"/>
        <n v="86.36"/>
        <n v="1216.9"/>
        <n v="702.72"/>
        <n v="1181.25"/>
        <n v="66.04"/>
        <n v="704.3299999999999"/>
        <n v="2570.88"/>
        <n v="123.11999999999999"/>
        <n v="2261.77"/>
        <n v="354.17"/>
        <n v="4438.12"/>
        <n v="406.0"/>
        <n v="3243.16"/>
        <n v="1567.91"/>
        <n v="1077.15"/>
        <n v="433.38"/>
        <n v="1934.57"/>
        <n v="113.82"/>
        <n v="1307.4299999999998"/>
        <n v="83.76"/>
        <n v="899.64"/>
        <n v="2389.52"/>
        <n v="462.40000000000003"/>
        <n v="1537.1599999999999"/>
        <n v="536.75"/>
        <n v="4275.5199999999995"/>
        <n v="651.88"/>
        <n v="270.83000000000004"/>
        <n v="207.3"/>
        <n v="1655.97"/>
        <n v="6498.54"/>
        <n v="1955.25"/>
        <n v="2011.96"/>
        <n v="1377.1000000000001"/>
        <n v="592.0"/>
        <n v="896.8"/>
        <n v="360.21999999999997"/>
        <n v="818.0999999999999"/>
        <n v="420.32"/>
        <n v="3208.1400000000003"/>
        <n v="1726.53"/>
        <n v="419.76"/>
        <n v="1261.44"/>
        <n v="883.92"/>
        <n v="286.77"/>
        <n v="2362.62"/>
        <n v="447.45"/>
        <n v="283.22"/>
        <n v="1375.22"/>
        <n v="212.06"/>
        <n v="3177.3"/>
        <n v="923.51"/>
        <n v="101.28"/>
        <n v="5141.97"/>
        <n v="1148.62"/>
        <n v="694.4"/>
        <n v="1460.29"/>
        <n v="1118.8799999999999"/>
        <n v="3700.1400000000003"/>
        <n v="804.32"/>
        <n v="2165.24"/>
        <n v="2222.4"/>
        <n v="1099.06"/>
        <n v="4812.75"/>
        <n v="593.28"/>
        <n v="549.9000000000001"/>
        <n v="1632.48"/>
        <n v="694.52"/>
        <n v="613.47"/>
        <n v="1892.4299999999998"/>
        <n v="1228.08"/>
        <n v="2572.5"/>
        <n v="1076.3999999999999"/>
        <n v="255.15"/>
        <n v="3777.3999999999996"/>
        <n v="210.04"/>
        <n v="2217.82"/>
        <n v="260.09999999999997"/>
        <n v="1322.58"/>
        <n v="35.5"/>
        <n v="1430.68"/>
        <n v="205.16"/>
        <n v="460.68"/>
        <n v="1134.25"/>
        <n v="5696.98"/>
        <n v="894.6"/>
        <n v="567.3"/>
        <n v="904.3199999999999"/>
        <n v="298.8"/>
        <n v="505.61999999999995"/>
        <n v="896.14"/>
        <n v="94.08"/>
        <n v="504.82"/>
        <n v="886.37"/>
        <n v="3909.42"/>
        <n v="2817.6"/>
        <n v="311.11"/>
        <n v="5.87"/>
        <n v="651.57"/>
        <n v="63.7"/>
        <n v="557.65"/>
        <n v="82.18"/>
        <n v="6620.7"/>
        <n v="2829.34"/>
        <n v="1426.12"/>
        <n v="4630.99"/>
        <n v="3575.7"/>
        <n v="1562.1999999999998"/>
        <n v="2471.27"/>
        <n v="1592.1"/>
        <n v="5463.599999999999"/>
        <n v="2669.5499999999997"/>
        <n v="3144.7000000000003"/>
        <n v="2448.5"/>
        <n v="3096.9"/>
        <n v="1132.0800000000002"/>
        <n v="2400.83"/>
        <n v="1055.76"/>
        <n v="3872.3599999999997"/>
        <n v="1395.9"/>
        <n v="18.96"/>
        <n v="2797.19"/>
        <n v="754.8000000000001"/>
        <n v="57.46"/>
        <n v="1917.5"/>
        <n v="4.42"/>
        <n v="1529.6100000000001"/>
        <n v="1475.5"/>
        <n v="1196.29"/>
        <n v="1976.0"/>
        <n v="514.8000000000001"/>
        <n v="2006.68"/>
        <n v="127.8"/>
        <n v="187.44"/>
        <n v="238.68"/>
        <n v="1054.81"/>
        <n v="645.3199999999999"/>
        <n v="4439.5"/>
        <n v="914.9399999999999"/>
        <n v="565.5"/>
        <n v="463.05"/>
        <n v="182.0"/>
        <n v="14.96"/>
        <n v="247.67999999999998"/>
        <n v="15.25"/>
        <n v="270.22"/>
        <n v="3567.2000000000003"/>
        <n v="812.6999999999999"/>
        <n v="267.71999999999997"/>
        <n v="1864.06"/>
        <n v="360.0"/>
        <n v="1724.4"/>
        <n v="1829.28"/>
        <n v="2421.8999999999996"/>
        <n v="1423.8"/>
        <n v="514.1"/>
        <n v="1137.02"/>
        <n v="103.88"/>
        <n v="40.74"/>
        <n v="137.02"/>
        <n v="1103.66"/>
        <n v="1324.35"/>
        <n v="115.08999999999999"/>
        <n v="697.23"/>
        <n v="198.79999999999998"/>
        <n v="1983.32"/>
        <n v="395.08"/>
        <n v="425.68"/>
        <n v="166.05"/>
        <n v="680.9799999999999"/>
        <n v="71.36"/>
        <n v="858.16"/>
        <n v="350.08"/>
        <n v="1299.9599999999998"/>
        <n v="710.2900000000001"/>
        <n v="451.40999999999997"/>
        <n v="686.72"/>
        <n v="563.88"/>
        <n v="260.78"/>
        <n v="2411.25"/>
        <n v="9.39"/>
        <n v="2669.3599999999997"/>
        <n v="439.53000000000003"/>
        <n v="1631.7"/>
        <n v="833.0799999999999"/>
        <n v="1375.4"/>
        <n v="1676.98"/>
        <n v="593.4"/>
        <n v="1006.36"/>
        <n v="5.76"/>
        <n v="574.6"/>
        <n v="299.04"/>
        <n v="836.28"/>
        <n v="751.12"/>
        <n v="413.99999999999994"/>
        <n v="5184.98"/>
        <n v="1826.64"/>
        <n v="3907.2"/>
        <n v="441.32000000000005"/>
        <n v="2331.67"/>
        <n v="2104.2"/>
        <n v="1976.16"/>
        <n v="2370.69"/>
        <n v="1738.0200000000002"/>
        <n v="97.72"/>
        <n v="2328.2400000000002"/>
        <n v="820.4399999999999"/>
        <n v="1551.24"/>
        <n v="3247.1499999999996"/>
        <n v="1499.61"/>
        <n v="1098.8999999999999"/>
        <n v="1192.8"/>
        <n v="2992.5"/>
        <n v="235.34"/>
        <n v="627.9000000000001"/>
        <n v="4213.83"/>
        <n v="832.26"/>
        <n v="216.38000000000002"/>
        <n v="172.95999999999998"/>
        <n v="2425.7"/>
        <n v="2070.18"/>
        <n v="1211.58"/>
        <n v="1441.5"/>
        <n v="740.46"/>
        <n v="300.84"/>
        <n v="221.54"/>
        <n v="607.9399999999999"/>
        <n v="38.64"/>
        <n v="608.9399999999999"/>
        <n v="2770.0"/>
        <n v="169.8"/>
        <n v="446.93"/>
        <n v="1851.2"/>
        <n v="217.29999999999998"/>
        <n v="2.71"/>
        <n v="9.95"/>
        <n v="699.66"/>
        <n v="658.4599999999999"/>
        <n v="1368.8999999999999"/>
        <n v="153.5"/>
        <n v="294.97999999999996"/>
        <n v="476.0"/>
        <n v="429.0"/>
        <n v="129.0"/>
        <n v="1710.2"/>
        <n v="490.56"/>
        <n v="760.66"/>
        <n v="489.3"/>
        <n v="76.80000000000001"/>
        <n v="2027.9699999999998"/>
        <n v="2774.05"/>
        <n v="20.64"/>
        <n v="1444.48"/>
        <n v="823.0799999999999"/>
        <n v="218.38"/>
        <n v="220.59"/>
        <n v="65.01"/>
        <n v="95.0"/>
        <n v="87.10000000000001"/>
        <n v="186.66"/>
        <n v="62.1"/>
        <n v="882.0"/>
        <n v="28.84"/>
        <n v="301.35"/>
        <n v="1.66"/>
        <n v="460.32000000000005"/>
        <n v="868.4"/>
        <n v="914.66"/>
        <n v="141.85999999999999"/>
        <n v="121.41"/>
        <n v="341.32"/>
        <n v="162.67999999999998"/>
        <n v="894.24"/>
        <n v="487.68"/>
        <n v="555.94"/>
        <n v="36.01"/>
        <n v="39.24"/>
        <n v="93.84"/>
        <n v="565.8"/>
        <n v="3.68"/>
        <n v="15.68"/>
        <n v="873.16"/>
        <n v="1092.98"/>
        <n v="71.37"/>
        <n v="29.55"/>
        <n v="17.6"/>
        <n v="520.65"/>
        <n v="171.6"/>
        <n v="978.6"/>
        <n v="426.6"/>
        <n v="68.64"/>
        <n v="60.029999999999994"/>
        <n v="1713.0400000000002"/>
        <n v="256.08"/>
        <n v="221.34"/>
        <n v="175.48000000000002"/>
        <n v="720.1"/>
        <n v="506.89"/>
        <n v="229.87"/>
        <n v="905.1899999999999"/>
        <n v="36.66"/>
        <n v="375.21999999999997"/>
        <n v="67.71000000000001"/>
        <n v="150.1"/>
        <n v="104.31"/>
        <n v="832.6600000000001"/>
        <n v="258.53"/>
        <n v="54.510000000000005"/>
        <n v="686.32"/>
        <n v="291.6"/>
        <n v="1433.3600000000001"/>
        <n v="482.85"/>
        <n v="283.65000000000003"/>
        <n v="103.39999999999999"/>
        <n v="322.34"/>
        <n v="1398.32"/>
        <n v="903.2399999999999"/>
        <n v="441.0"/>
        <n v="296.78"/>
        <n v="89.64"/>
        <n v="238.92000000000002"/>
        <n v="301.07"/>
        <n v="1304.79"/>
        <n v="36.92"/>
        <n v="815.76"/>
        <n v="228.42000000000002"/>
        <n v="1195.1000000000001"/>
        <n v="12.85"/>
        <n v="986.0500000000001"/>
        <n v="1315.66"/>
        <n v="300.8"/>
        <n v="1727.7399999999998"/>
        <n v="956.1600000000001"/>
        <n v="17.28"/>
        <n v="1825.2"/>
        <n v="1320.48"/>
        <n v="561.65"/>
        <n v="205.6"/>
        <n v="72.66"/>
        <n v="948.6"/>
        <n v="488.47999999999996"/>
        <n v="1112.3000000000002"/>
        <n v="616.92"/>
        <n v="272.58"/>
        <n v="320.12"/>
        <n v="494.7"/>
        <n v="145.04"/>
        <n v="162.84"/>
        <n v="790.4"/>
        <n v="344.76"/>
        <n v="1328.7"/>
        <n v="36.1"/>
        <n v="737.4499999999999"/>
        <n v="824.78"/>
        <n v="269.69"/>
        <n v="524.5899999999999"/>
        <n v="50.68"/>
        <n v="1869.1200000000001"/>
        <n v="379.75"/>
        <n v="271.5"/>
        <n v="242.44"/>
        <n v="735.9499999999999"/>
        <n v="318.5"/>
        <n v="519.47"/>
        <n v="124.74"/>
        <n v="461.89"/>
        <n v="1236.46"/>
        <n v="1141.76"/>
        <n v="603.48"/>
        <n v="695.51"/>
        <n v="637.83"/>
        <n v="148.76999999999998"/>
        <n v="223.85000000000002"/>
        <n v="441.64"/>
        <n v="125.04999999999998"/>
        <n v="282.74"/>
        <n v="454.25999999999993"/>
        <n v="155.4"/>
        <n v="595.5"/>
        <n v="375.56"/>
        <n v="530.2"/>
        <n v="140.16"/>
        <n v="1624.98"/>
        <n v="107.12"/>
        <n v="647.7"/>
        <n v="42.230000000000004"/>
        <n v="19.5"/>
        <n v="536.48"/>
        <n v="448.22999999999996"/>
        <n v="381.3"/>
        <n v="3031.86"/>
        <n v="1249.56"/>
        <n v="9.27"/>
        <n v="185.6"/>
        <n v="157.56"/>
        <n v="837.7600000000001"/>
        <n v="34.5"/>
        <n v="91.53"/>
        <n v="132.87"/>
        <n v="541.4499999999999"/>
        <n v="338.52"/>
        <n v="487.5"/>
        <n v="217.71"/>
        <n v="278.16"/>
        <n v="1261.57"/>
        <n v="299.46000000000004"/>
        <n v="1486.74"/>
        <n v="31.159999999999997"/>
        <n v="32.160000000000004"/>
        <n v="698.12"/>
        <n v="6021.44"/>
        <n v="91.52000000000001"/>
        <n v="271.32"/>
        <n v="32.55"/>
        <n v="98.49"/>
        <n v="42.9"/>
        <n v="1015.1700000000001"/>
        <n v="198.69000000000003"/>
        <n v="19.080000000000002"/>
        <n v="945.1999999999999"/>
        <n v="227.05"/>
        <n v="2.92"/>
        <n v="44.769999999999996"/>
        <n v="456.27"/>
        <n v="81.60000000000001"/>
        <n v="1711.44"/>
        <n v="59.4"/>
        <n v="602.79"/>
        <n v="6246.99"/>
        <n v="50.400000000000006"/>
        <n v="71.76"/>
        <n v="552.82"/>
        <n v="200.1"/>
        <n v="593.25"/>
        <n v="951.4"/>
        <n v="213.57999999999998"/>
        <n v="701.04"/>
        <n v="520.0"/>
        <n v="1077.3"/>
        <n v="341.17"/>
        <n v="873.18"/>
        <n v="237.99999999999997"/>
        <n v="1270.0"/>
        <n v="8466.75"/>
        <n v="1015.56"/>
        <n v="548.55"/>
        <n v="337.68"/>
        <n v="450.12"/>
        <n v="758.9399999999999"/>
        <n v="7.5600000000000005"/>
        <n v="138.4"/>
        <n v="177.3"/>
        <n v="507.18"/>
        <n v="342.24"/>
        <n v="369.36"/>
        <n v="5829.299999999999"/>
        <n v="606.3199999999999"/>
        <n v="181.57000000000002"/>
        <n v="216.57999999999998"/>
        <n v="798.5999999999999"/>
        <n v="328.3"/>
        <n v="171.72"/>
        <n v="32.87"/>
        <n v="78.39"/>
        <n v="675.22"/>
        <n v="146.25"/>
        <n v="1150.05"/>
        <n v="184.92000000000002"/>
        <n v="169.54"/>
        <n v="264.69"/>
        <n v="2274.58"/>
        <n v="165.55"/>
        <n v="342.72"/>
        <n v="253.32999999999998"/>
        <n v="1180.8"/>
        <n v="2932.5"/>
        <n v="345.63"/>
        <n v="378.80999999999995"/>
        <n v="363.0"/>
        <n v="812.6"/>
        <n v="8.54"/>
        <n v="70.07"/>
        <n v="838.4000000000001"/>
        <n v="1298.7"/>
        <n v="287.28000000000003"/>
        <n v="481.98"/>
        <n v="733.6"/>
        <n v="955.5"/>
        <n v="1522.56"/>
        <n v="1168.9199999999998"/>
        <n v="772.8000000000001"/>
        <n v="1335.07"/>
        <n v="388.04"/>
        <n v="382.53"/>
        <n v="2324.04"/>
        <n v="72.63"/>
        <n v="346.5"/>
        <n v="47.22"/>
        <n v="698.8800000000001"/>
        <n v="556.1500000000001"/>
        <n v="1744.0800000000002"/>
        <n v="1461.71"/>
        <n v="207.9"/>
        <n v="213.16"/>
        <n v="806.96"/>
        <n v="33.0"/>
        <n v="811.92"/>
        <n v="659.46"/>
        <n v="568.5400000000001"/>
        <n v="102.89999999999999"/>
        <n v="78.26"/>
        <n v="150.48"/>
        <n v="894.1999999999999"/>
        <n v="273.36"/>
        <n v="1004.4"/>
        <n v="13.82"/>
        <n v="468.92999999999995"/>
        <n v="1399.0800000000002"/>
        <n v="1030.0800000000002"/>
        <n v="799.02"/>
        <n v="1116.12"/>
        <n v="140.13"/>
        <n v="4047.89"/>
        <n v="942.48"/>
        <n v="777.4399999999999"/>
        <n v="604.8000000000001"/>
        <n v="1135.2"/>
        <n v="3452.7599999999998"/>
        <n v="298.66"/>
        <n v="2.62"/>
        <n v="102.41"/>
        <n v="511.94"/>
        <n v="108.36"/>
        <n v="782.09"/>
        <n v="78.72"/>
        <n v="272.21"/>
        <n v="1148.0"/>
        <n v="386.1"/>
        <n v="32.3"/>
        <n v="345.65000000000003"/>
        <n v="91.54"/>
        <n v="9.9"/>
        <n v="24.310000000000002"/>
        <n v="524.3199999999999"/>
        <n v="1038.75"/>
        <n v="1410.36"/>
        <n v="2781.68"/>
        <n v="27.58"/>
        <n v="609.18"/>
        <n v="27.86"/>
        <n v="1034.28"/>
        <n v="1210.14"/>
        <n v="141.9"/>
        <n v="537.24"/>
        <n v="7805.280000000001"/>
        <n v="691.12"/>
        <n v="716.04"/>
        <n v="2040.9199999999998"/>
        <n v="5739.200000000001"/>
        <n v="7555.599999999999"/>
        <n v="1047.8600000000001"/>
        <n v="1858.52"/>
        <n v="7521.000000000001"/>
        <n v="34.32"/>
        <n v="2324.7"/>
        <n v="7550.16"/>
        <n v="5139.2"/>
        <n v="3400.02"/>
        <n v="1488.24"/>
        <n v="711.08"/>
        <n v="418.44"/>
        <n v="8865.119999999999"/>
        <n v="2795.8500000000004"/>
        <n v="2296.32"/>
        <n v="5353.82"/>
        <n v="2591.16"/>
        <n v="1101.24"/>
        <n v="9354.88"/>
        <n v="5611.44"/>
        <n v="10200.06"/>
        <n v="153.6"/>
        <n v="4458.12"/>
        <n v="5228.7"/>
        <n v="492.90000000000003"/>
        <n v="1656.7199999999998"/>
        <n v="1337.0"/>
        <n v="5488.0"/>
        <n v="523.38"/>
        <n v="6657.12"/>
        <n v="31.92"/>
        <n v="320.09999999999997"/>
        <n v="264.59999999999997"/>
        <n v="4478.4800000000005"/>
        <n v="1688.17"/>
        <n v="39201.46"/>
        <n v="3675.54"/>
        <n v="1134.1999999999998"/>
        <n v="29355.260000000002"/>
        <n v="9823.88"/>
        <n v="2334.2599999999998"/>
        <n v="118.02"/>
        <n v="5210.73"/>
        <n v="3518.37"/>
        <n v="13889.19"/>
        <n v="70.16"/>
        <n v="7882.16"/>
        <n v="15614.2"/>
        <n v="1049.54"/>
        <n v="3941.82"/>
        <n v="590.24"/>
        <n v="11970.56"/>
        <n v="12128.82"/>
        <n v="1551.36"/>
        <n v="220.79999999999998"/>
        <n v="759.11"/>
        <n v="170.79999999999998"/>
        <n v="1603.68"/>
        <n v="1854.2"/>
        <n v="2336.8"/>
        <n v="3772.32"/>
        <n v="1206.72"/>
        <n v="7152.299999999999"/>
        <n v="81.41000000000001"/>
        <n v="5118.8"/>
        <n v="955.8900000000001"/>
        <n v="12867.75"/>
        <n v="18286.11"/>
        <n v="11056.25"/>
        <n v="2745.84"/>
        <n v="870.96"/>
        <n v="11163.0"/>
        <n v="14334.060000000001"/>
        <n v="3425.28"/>
        <n v="50.73"/>
        <n v="3973.58"/>
        <n v="144.18"/>
        <n v="700.8299999999999"/>
        <n v="12381.33"/>
        <n v="1562.49"/>
        <n v="3005.45"/>
        <n v="1245.6000000000001"/>
        <n v="13.92"/>
        <n v="482.40000000000003"/>
        <n v="2317.44"/>
        <n v="146.16"/>
        <n v="210.99"/>
        <n v="88.89999999999999"/>
        <n v="1347.3"/>
        <n v="2452.72"/>
        <n v="2115.62"/>
        <n v="660.79"/>
        <n v="66.78"/>
        <n v="393.82"/>
        <n v="376.74"/>
        <n v="758.64"/>
        <n v="257.92"/>
        <n v="61.76"/>
        <n v="418.32"/>
        <n v="707.35"/>
        <n v="11821.439999999999"/>
        <n v="288.36"/>
        <n v="1435.7"/>
        <n v="91.25999999999999"/>
        <n v="3255.0000000000005"/>
        <n v="608.4"/>
        <n v="191.88"/>
        <n v="231.08"/>
        <n v="1340.82"/>
        <n v="209.88000000000002"/>
        <n v="336.38"/>
        <n v="482.03999999999996"/>
        <n v="370.59999999999997"/>
        <n v="65.85"/>
        <n v="2535.75"/>
        <n v="4371.12"/>
        <n v="860.0"/>
        <n v="1252.5"/>
        <n v="328.79999999999995"/>
        <n v="832.61"/>
        <n v="2505.92"/>
        <n v="2115.6"/>
        <n v="1128.3799999999999"/>
        <n v="1969.92"/>
        <n v="5524.12"/>
        <n v="3715.8799999999997"/>
        <n v="179.70000000000002"/>
        <n v="2348.2"/>
        <n v="2213.4100000000003"/>
        <n v="3995.1600000000003"/>
        <n v="392.0"/>
        <n v="2940.0"/>
        <n v="3638.25"/>
        <n v="1186.02"/>
        <n v="2862.1600000000003"/>
        <n v="134.75"/>
        <n v="7978.5"/>
        <n v="611.62"/>
        <n v="1739.5"/>
        <n v="3372.3700000000003"/>
        <n v="6460.400000000001"/>
        <n v="1879.38"/>
        <n v="4307.8"/>
        <n v="5209.92"/>
        <n v="563.96"/>
        <n v="2666.16"/>
        <n v="2341.66"/>
        <n v="10732.199999999999"/>
        <n v="8983.2"/>
        <n v="4158.96"/>
        <n v="768.3000000000001"/>
        <n v="759.5"/>
        <n v="1335.25"/>
        <n v="897.76"/>
        <n v="6854.759999999999"/>
        <n v="181.0"/>
        <n v="354.6"/>
        <n v="1218.24"/>
        <n v="680.8599999999999"/>
        <n v="477.75"/>
        <n v="235.08"/>
        <n v="181.29999999999998"/>
        <n v="73.29"/>
        <n v="83.52"/>
        <n v="1216.19"/>
        <n v="1641.98"/>
        <n v="1153.3500000000001"/>
        <n v="2587.7799999999997"/>
        <n v="365.84"/>
        <n v="792.68"/>
        <n v="1949.22"/>
        <n v="362.16"/>
        <n v="2170.75"/>
        <n v="1564.68"/>
        <n v="4716.8"/>
        <n v="539.0"/>
        <n v="493.12"/>
        <n v="537.3"/>
        <n v="931.0"/>
        <n v="2352.96"/>
        <n v="100.10000000000001"/>
        <n v="595.65"/>
        <n v="222.14000000000001"/>
        <n v="3217.83"/>
        <n v="168.6"/>
        <n v="718.5400000000001"/>
        <n v="731.5"/>
        <n v="48.08"/>
        <n v="68.94"/>
        <n v="686.0"/>
        <n v="611.0400000000001"/>
        <n v="689.4"/>
        <n v="1253.7"/>
        <n v="149.4"/>
        <n v="412.55"/>
        <n v="516.6"/>
        <n v="131.1"/>
        <n v="323.40000000000003"/>
        <n v="2949.76"/>
        <n v="64.98"/>
        <n v="1251.2"/>
        <n v="130.9"/>
        <n v="473.44"/>
        <n v="696.5"/>
        <n v="811.76"/>
        <n v="3929.42"/>
        <n v="197.64000000000001"/>
        <n v="170.72"/>
        <n v="666.54"/>
        <n v="92.42999999999999"/>
        <n v="124.80000000000001"/>
        <n v="219.61999999999998"/>
        <n v="746.43"/>
        <n v="23.799999999999997"/>
        <n v="892.5200000000001"/>
        <n v="4.92"/>
        <n v="3828.37"/>
        <n v="19.89"/>
        <n v="189.1"/>
        <n v="747.36"/>
        <n v="152.76"/>
        <n v="518.65"/>
        <n v="244.4"/>
        <n v="26.24"/>
        <n v="346.38"/>
        <n v="302.76"/>
        <n v="175.26"/>
        <n v="1953.12"/>
        <n v="481.14000000000004"/>
        <n v="190.39999999999998"/>
        <n v="152.44"/>
        <n v="1636.11"/>
        <n v="892.5"/>
        <n v="895.8599999999999"/>
        <n v="700.05"/>
        <n v="189.23999999999998"/>
        <n v="449.68"/>
        <n v="19.3"/>
        <n v="397.8"/>
        <n v="264.88"/>
        <n v="554.85"/>
        <n v="744.8000000000001"/>
        <n v="195.51000000000002"/>
        <n v="42.88"/>
        <n v="2495.16"/>
        <n v="41.25"/>
        <n v="292.05"/>
        <n v="58.95"/>
        <n v="1556.52"/>
        <n v="136.61999999999998"/>
        <n v="545.6"/>
        <n v="8.4"/>
        <n v="455.7"/>
        <n v="531.06"/>
        <n v="917.49"/>
        <n v="84.5"/>
        <n v="175.84"/>
        <n v="1356.94"/>
        <n v="208.08"/>
        <n v="1225.1200000000001"/>
        <n v="36.14"/>
        <n v="55.67999999999999"/>
        <n v="347.17"/>
        <n v="135.66"/>
        <n v="114.7"/>
        <n v="579.9399999999999"/>
        <n v="67.8"/>
        <n v="751.68"/>
        <n v="273.84"/>
        <n v="694.2"/>
        <n v="180.31"/>
        <n v="893.33"/>
        <n v="656.1999999999999"/>
        <n v="1935.6399999999999"/>
        <n v="288.61"/>
        <n v="946.1099999999999"/>
        <n v="1007.48"/>
        <n v="187.67999999999998"/>
        <n v="1258.4"/>
        <n v="199.20000000000002"/>
        <n v="70.38"/>
        <n v="80.22999999999999"/>
        <n v="89.17"/>
        <n v="896.04"/>
        <n v="715.3100000000001"/>
        <n v="1716.9"/>
        <n v="110.2"/>
        <n v="630.37"/>
        <n v="674.8199999999999"/>
        <n v="570.6"/>
        <n v="674.61"/>
        <n v="1338.56"/>
        <n v="33.25"/>
        <n v="185.24"/>
        <n v="821.86"/>
        <n v="804.42"/>
        <n v="844.24"/>
        <n v="460.01000000000005"/>
        <n v="775.3199999999999"/>
        <n v="406.40000000000003"/>
        <n v="636.48"/>
        <n v="950.4599999999999"/>
        <n v="17.4"/>
        <n v="201.10999999999999"/>
        <n v="351.54"/>
        <n v="272.25"/>
        <n v="67.61999999999999"/>
        <n v="4620.74"/>
        <n v="1446.12"/>
        <n v="33.839999999999996"/>
        <n v="52.48"/>
        <n v="149.6"/>
        <n v="13.08"/>
        <n v="839.55"/>
        <n v="426.93"/>
        <n v="18.900000000000002"/>
        <n v="192.95"/>
        <n v="1010.0"/>
        <n v="419.07"/>
        <n v="1204.08"/>
        <n v="386.13"/>
        <n v="148.18"/>
        <n v="452.52000000000004"/>
        <n v="529.3000000000001"/>
        <n v="178.2"/>
        <n v="175.45"/>
        <n v="5.8"/>
        <n v="18.849999999999998"/>
        <n v="691.65"/>
        <n v="11.6"/>
        <n v="101.5"/>
        <n v="113.1"/>
        <n v="1138.25"/>
        <n v="421.95"/>
        <n v="636.55"/>
        <n v="146.45"/>
        <n v="452.2"/>
        <n v="976.14"/>
        <n v="1059.44"/>
        <n v="162.86"/>
        <n v="46.129999999999995"/>
        <n v="3130.59"/>
        <n v="9509.0"/>
        <n v="144.20000000000002"/>
        <n v="3294.4"/>
        <n v="8746.84"/>
        <n v="1817.7"/>
        <n v="2806.4100000000003"/>
        <n v="6051.35"/>
        <n v="1627.56"/>
        <n v="2103.4"/>
        <n v="154.31"/>
        <n v="182.7"/>
        <n v="641.7"/>
        <n v="1965.0"/>
        <n v="141.12"/>
        <n v="857.6200000000001"/>
        <n v="353.09999999999997"/>
        <n v="648.42"/>
        <n v="482.22"/>
        <n v="1276.0"/>
        <n v="102.69"/>
        <n v="1377.89"/>
        <n v="301.76"/>
        <n v="681.74"/>
        <n v="245.70000000000002"/>
        <n v="313.3"/>
        <n v="2288.5"/>
        <n v="22.410000000000004"/>
        <n v="356.40000000000003"/>
        <n v="325.28000000000003"/>
        <n v="790.86"/>
        <n v="1345.68"/>
        <n v="1683.3999999999999"/>
        <n v="549.44"/>
        <n v="132.54"/>
        <n v="963.87"/>
        <n v="980.44"/>
        <n v="4294.56"/>
        <n v="77.52"/>
        <n v="173.91"/>
        <n v="255.27"/>
        <n v="639.2"/>
        <n v="80.07"/>
        <n v="3847.68"/>
        <n v="378.25"/>
        <n v="2048.16"/>
        <n v="264.5"/>
        <n v="209.4"/>
        <n v="6.04"/>
        <n v="1822.72"/>
        <n v="353.43"/>
        <n v="3162.2400000000002"/>
        <n v="288.8"/>
        <n v="1416.38"/>
        <n v="1931.54"/>
        <n v="773.55"/>
        <n v="503.43999999999994"/>
        <n v="9290.699999999999"/>
        <n v="1328.4"/>
        <n v="3349.6800000000003"/>
        <n v="202.5"/>
        <n v="2273.6"/>
        <n v="3720.0"/>
        <n v="465.3"/>
        <n v="955.3000000000001"/>
        <n v="444.62"/>
        <n v="2062.98"/>
        <n v="4264.65"/>
        <n v="271.03999999999996"/>
        <n v="4654.6"/>
        <n v="1358.64"/>
        <n v="155.51999999999998"/>
        <n v="791.84"/>
        <n v="3862.06"/>
        <n v="2293.13"/>
        <n v="228.0"/>
        <n v="2239.79"/>
        <n v="659.12"/>
        <n v="24.28"/>
        <n v="3909.7599999999998"/>
        <n v="2572.32"/>
        <n v="6297.26"/>
        <n v="1175.52"/>
        <n v="6029.5199999999995"/>
        <n v="531.36"/>
        <n v="950.16"/>
        <n v="4730.0"/>
        <n v="563.0"/>
        <n v="2910.8"/>
        <n v="601.92"/>
        <n v="5129.14"/>
        <n v="2457.0"/>
        <n v="254.94"/>
        <n v="2986.64"/>
        <n v="152.8"/>
        <n v="6889.379999999999"/>
        <n v="930.35"/>
        <n v="773.18"/>
        <n v="149.1"/>
        <n v="3340.1"/>
        <n v="1109.76"/>
        <n v="5243.92"/>
        <n v="529.0"/>
        <n v="3769.08"/>
        <n v="1669.68"/>
        <n v="5498.88"/>
        <n v="3791.7599999999998"/>
        <n v="649.9799999999999"/>
        <n v="1095.48"/>
        <n v="3192.14"/>
        <n v="1131.62"/>
        <n v="1673.1"/>
        <n v="765.4"/>
        <n v="883.75"/>
        <n v="325.95"/>
        <n v="1410.75"/>
        <n v="350.84000000000003"/>
        <n v="32.5"/>
        <n v="659.7499999999999"/>
        <n v="187.68"/>
        <n v="436.65"/>
        <n v="154.63"/>
        <n v="133.56"/>
        <n v="109.2"/>
        <n v="427.34999999999997"/>
        <n v="1075.98"/>
        <n v="984.17"/>
        <n v="31.2"/>
        <n v="961.62"/>
        <n v="145.35"/>
        <n v="78.48"/>
        <n v="22.080000000000002"/>
        <n v="974.85"/>
        <n v="813.8499999999999"/>
        <n v="35.84"/>
        <n v="856.08"/>
        <n v="1260.46"/>
        <n v="694.98"/>
        <n v="932.4000000000001"/>
        <n v="645.4200000000001"/>
        <n v="800.89"/>
        <n v="1518.66"/>
        <n v="2559.4"/>
        <n v="1619.94"/>
        <n v="960.3"/>
        <n v="215.22"/>
        <n v="2013.74"/>
        <n v="1043.4499999999998"/>
        <n v="534.18"/>
        <n v="629.16"/>
        <n v="844.2"/>
        <n v="1004.4000000000001"/>
        <n v="4.32"/>
        <n v="19.7"/>
        <n v="503.28000000000003"/>
        <n v="99.94"/>
        <n v="218.28"/>
        <n v="472.8"/>
        <n v="170.03"/>
        <n v="1496.3999999999999"/>
        <n v="274.16"/>
        <n v="56.58"/>
        <n v="1773.44"/>
        <n v="161.46"/>
        <n v="767.88"/>
        <n v="446.6"/>
        <n v="318.24"/>
        <n v="8.8"/>
        <n v="68.2"/>
        <n v="892.8000000000001"/>
        <n v="82.28"/>
        <n v="715.0000000000001"/>
        <n v="2470.11"/>
        <n v="100.5"/>
        <n v="53.13"/>
        <n v="212.4"/>
        <n v="85.5"/>
        <n v="152.1"/>
        <n v="2049.78"/>
        <n v="5862.78"/>
        <n v="179.39999999999998"/>
        <n v="1686.7"/>
        <n v="1864.0"/>
        <n v="216.07999999999998"/>
        <n v="470.05"/>
        <n v="1854.68"/>
        <n v="57.720000000000006"/>
        <n v="93.80000000000001"/>
        <n v="146.88"/>
        <n v="2806.02"/>
        <n v="1574.3799999999999"/>
        <n v="1390.82"/>
        <n v="206.8"/>
        <n v="225.04"/>
        <n v="1451.67"/>
        <n v="704.7"/>
        <n v="2200.48"/>
        <n v="406.56"/>
        <n v="125.85999999999999"/>
        <n v="750.7600000000001"/>
        <n v="787.32"/>
        <n v="2079.48"/>
        <n v="1746.3600000000001"/>
        <n v="806.6800000000001"/>
        <n v="388.0"/>
        <n v="1551.55"/>
        <n v="670.32"/>
        <n v="678.4000000000001"/>
        <n v="7.34"/>
        <n v="2227.2000000000003"/>
        <n v="2737.1"/>
        <n v="748.44"/>
        <n v="87.75"/>
        <n v="1506.6000000000001"/>
        <n v="3364.9"/>
        <n v="282.88"/>
        <n v="4874.25"/>
        <n v="627.75"/>
        <n v="1703.07"/>
        <n v="874.24"/>
        <n v="2145.24"/>
        <n v="714.42"/>
        <n v="189.60000000000002"/>
        <n v="2278.35"/>
        <n v="365.04"/>
        <n v="430.98"/>
        <n v="13458.96"/>
        <n v="4452.58"/>
        <n v="1104.74"/>
        <n v="553.66"/>
        <n v="2832.85"/>
        <n v="1235.42"/>
        <n v="2284.64"/>
        <n v="65.78"/>
        <n v="236.4"/>
        <n v="1401.12"/>
        <n v="1417.84"/>
        <n v="1386.0"/>
        <n v="629.76"/>
        <n v="428.12"/>
        <n v="821.5"/>
        <n v="754.35"/>
        <n v="2485.08"/>
        <n v="3500.0"/>
        <n v="1171.26"/>
        <n v="2610.6"/>
        <n v="4797.5"/>
        <n v="1535.73"/>
        <n v="1262.18"/>
        <n v="537.21"/>
        <n v="10.25"/>
        <n v="4089.47"/>
        <n v="295.39"/>
        <n v="4236.88"/>
        <n v="194.68"/>
        <n v="501.32"/>
        <n v="210.25"/>
        <n v="1410.5"/>
        <n v="624.78"/>
        <n v="38.18"/>
        <n v="343.38"/>
        <n v="329.94"/>
        <n v="164.4"/>
        <n v="42.0"/>
        <n v="303.15"/>
        <n v="208.89"/>
        <n v="125.56"/>
        <n v="502.66999999999996"/>
        <n v="983.68"/>
        <n v="434.52"/>
        <n v="60.27"/>
        <n v="328.85999999999996"/>
        <n v="74.21000000000001"/>
        <n v="32.7"/>
        <n v="716.28"/>
        <n v="205.36"/>
        <n v="464.94"/>
        <n v="955.1800000000001"/>
        <n v="4.29"/>
        <n v="506.29999999999995"/>
        <n v="39.099999999999994"/>
        <n v="69.54"/>
        <n v="53.5"/>
        <n v="738.53"/>
        <n v="452.91999999999996"/>
        <n v="238.28"/>
        <n v="199.08"/>
        <n v="270.13"/>
        <n v="44.64"/>
        <n v="476.32"/>
        <n v="1256.5700000000002"/>
        <n v="332.64000000000004"/>
        <n v="120.83999999999999"/>
        <n v="864.88"/>
        <n v="193.79999999999998"/>
        <n v="45.839999999999996"/>
        <n v="664.56"/>
        <n v="862.96"/>
        <n v="1778.58"/>
        <n v="156.6"/>
        <n v="760.5"/>
        <n v="1115.1200000000001"/>
        <n v="273.7"/>
        <n v="979.1999999999999"/>
        <n v="149.24"/>
        <n v="160.89"/>
        <n v="601.6800000000001"/>
        <n v="15.209999999999999"/>
        <n v="627.69"/>
        <n v="49.92"/>
        <n v="1548.12"/>
        <n v="26.67"/>
        <n v="1037.1299999999999"/>
        <n v="69.32"/>
        <n v="356.40999999999997"/>
        <n v="11749.85"/>
        <n v="31.919999999999998"/>
        <n v="432.6"/>
        <n v="1399.4399999999998"/>
        <n v="1593.75"/>
        <n v="676.5"/>
        <n v="2.08"/>
        <n v="8445.6"/>
        <n v="78.0"/>
        <n v="2575.35"/>
        <n v="278.64"/>
        <n v="3507.9700000000003"/>
        <n v="138.2"/>
        <n v="2591.1800000000003"/>
        <n v="113.52000000000001"/>
        <n v="92.3"/>
        <n v="802.5300000000001"/>
        <n v="3210.48"/>
        <n v="498.96000000000004"/>
        <n v="146.12"/>
        <n v="912.25"/>
        <n v="36.96"/>
        <n v="148.19"/>
        <n v="161.84"/>
        <n v="10797.04"/>
        <n v="23.12"/>
        <n v="2558.06"/>
        <n v="15084.599999999999"/>
        <n v="3458.28"/>
        <n v="338.55"/>
        <n v="46.41"/>
        <n v="150.84"/>
        <n v="406.70000000000005"/>
        <n v="105.04"/>
        <n v="3766.7999999999997"/>
        <n v="258.52"/>
        <n v="959.34"/>
        <n v="1825.0500000000002"/>
        <n v="889.1999999999999"/>
        <n v="36.72"/>
        <n v="2131.92"/>
        <n v="743.4"/>
        <n v="433.65"/>
        <n v="41.8"/>
        <n v="242.49"/>
        <n v="614.76"/>
        <n v="407.16"/>
        <n v="897.0"/>
        <n v="316.66"/>
        <n v="773.15"/>
        <n v="20.1"/>
        <n v="217.08"/>
        <n v="643.7199999999999"/>
        <n v="307.58"/>
        <n v="847.62"/>
        <n v="269.7"/>
        <n v="568.8599999999999"/>
        <n v="17.16"/>
        <n v="4840.05"/>
        <n v="31.68"/>
        <n v="2747.58"/>
        <n v="85.47"/>
        <n v="203.04"/>
        <n v="106.86"/>
        <n v="57.5"/>
        <n v="51.12"/>
        <n v="920.0"/>
        <n v="179.22"/>
        <n v="923.78"/>
        <n v="14278.8"/>
        <n v="473.2"/>
        <n v="5127.93"/>
        <n v="770.6999999999999"/>
        <n v="3043.0"/>
        <n v="781.5300000000001"/>
        <n v="68.15"/>
        <n v="333.0"/>
        <n v="3835.69"/>
        <n v="1380.3999999999999"/>
        <n v="915.3"/>
        <n v="1649.73"/>
        <n v="151.68"/>
        <n v="1628.1"/>
        <n v="2432.52"/>
        <n v="2843.1"/>
        <n v="515.62"/>
        <n v="7320.6"/>
        <n v="7338.24"/>
        <n v="107.52"/>
        <n v="1653.0"/>
        <n v="496.57"/>
        <n v="307.83"/>
        <n v="108.77"/>
        <n v="620.62"/>
        <n v="22.0"/>
        <n v="57.8"/>
        <n v="265.95"/>
        <n v="98.7"/>
        <n v="728.64"/>
        <n v="102.57"/>
        <n v="57.72"/>
        <n v="48.75"/>
        <n v="970.3"/>
        <n v="342.2"/>
        <n v="18.69"/>
        <n v="18.0"/>
        <n v="620.1999999999999"/>
        <n v="75.4"/>
        <n v="173.34"/>
        <n v="171.35"/>
        <n v="154.5"/>
        <n v="261.96"/>
        <n v="251.23"/>
        <n v="330.98"/>
        <n v="406.3"/>
        <n v="243.35999999999999"/>
        <n v="109.14"/>
        <n v="47.25"/>
        <n v="739.1700000000001"/>
        <n v="165.48"/>
        <n v="46.98"/>
        <n v="199.0"/>
        <n v="156.0"/>
        <n v="524.87"/>
        <n v="1.74"/>
        <n v="672.0"/>
        <n v="240.23999999999998"/>
        <n v="353.90999999999997"/>
        <n v="21.76"/>
        <n v="82.84"/>
        <n v="85.67999999999999"/>
        <n v="558.0"/>
        <n v="2038.5600000000002"/>
        <n v="1366.76"/>
        <n v="113.99999999999999"/>
        <n v="313.56"/>
        <n v="604.33"/>
        <n v="980.0"/>
        <n v="72.24"/>
        <n v="786.24"/>
        <n v="1791.5800000000002"/>
        <n v="380.90000000000003"/>
        <n v="498.78000000000003"/>
        <n v="893.58"/>
        <n v="172.84"/>
        <n v="45.05"/>
        <n v="889.14"/>
        <n v="175.35"/>
        <n v="104.39999999999999"/>
        <n v="303.0"/>
        <n v="345.8"/>
        <n v="285.83"/>
        <n v="594.0"/>
        <n v="907.3"/>
        <n v="256.9"/>
        <n v="375.15999999999997"/>
        <n v="1056.16"/>
        <n v="93.0"/>
        <n v="1580.26"/>
        <n v="257.4"/>
        <n v="688.04"/>
        <n v="435.6"/>
        <n v="286.34999999999997"/>
        <n v="638.8199999999999"/>
        <n v="675.5"/>
        <n v="433.26"/>
        <n v="803.4399999999999"/>
        <n v="776.9"/>
        <n v="1268.1399999999999"/>
        <n v="114.33"/>
        <n v="603.9"/>
        <n v="728.95"/>
        <n v="537.99"/>
        <n v="77.43"/>
        <n v="449.35999999999996"/>
        <n v="175.0"/>
        <n v="470.84000000000003"/>
        <n v="114.84"/>
        <n v="15.0"/>
        <n v="1311.44"/>
        <n v="76.32000000000001"/>
        <n v="1662.2099999999998"/>
        <n v="255.54999999999998"/>
        <n v="4141.2"/>
        <n v="892.17"/>
        <n v="1288.96"/>
        <n v="700.64"/>
        <n v="305.90000000000003"/>
        <n v="11.76"/>
        <n v="355.20000000000005"/>
        <n v="431.48"/>
        <n v="1292.5"/>
        <n v="584.1"/>
        <n v="226.2"/>
        <n v="600.06"/>
        <n v="46.800000000000004"/>
        <n v="151.70000000000002"/>
        <n v="762.6999999999999"/>
        <n v="162.0"/>
        <n v="494.69"/>
        <n v="66.92"/>
        <n v="146.61"/>
        <n v="1470.6"/>
        <n v="783.68"/>
        <n v="249.48"/>
        <n v="247.0"/>
        <n v="37.2"/>
        <n v="623.39"/>
        <n v="152.25"/>
        <n v="44.28"/>
        <n v="51.48"/>
        <n v="683.4000000000001"/>
        <n v="1163.65"/>
        <n v="514.17"/>
        <n v="544.68"/>
        <n v="278.25"/>
        <n v="1485.8"/>
        <n v="53.9"/>
        <n v="667.89"/>
        <n v="1130.3"/>
        <n v="505.05"/>
        <n v="152.16"/>
        <n v="876.1500000000001"/>
        <n v="596.37"/>
        <n v="2.94"/>
        <n v="74.69"/>
        <n v="693.42"/>
        <n v="4.64"/>
        <n v="82.72"/>
        <n v="61.480000000000004"/>
        <n v="695.64"/>
        <n v="1547.55"/>
        <n v="1673.24"/>
        <n v="177.62"/>
        <n v="1152.48"/>
        <n v="818.79"/>
        <n v="13.51"/>
        <n v="880.7700000000001"/>
        <n v="36.449999999999996"/>
        <n v="113.96"/>
        <n v="145.08"/>
        <n v="1632.07"/>
        <n v="681.29"/>
        <n v="488.61"/>
        <n v="2341.32"/>
        <n v="3.02"/>
        <n v="4249.96"/>
        <n v="712.24"/>
        <n v="1125.69"/>
        <n v="899.84"/>
        <n v="478.72"/>
        <n v="530.75"/>
        <n v="2040.1599999999999"/>
        <n v="6.48"/>
        <n v="622.4399999999999"/>
        <n v="1588.26"/>
        <n v="400.15999999999997"/>
        <n v="10.649999999999999"/>
        <n v="2076.69"/>
        <n v="530.72"/>
        <n v="550.02"/>
        <n v="413.22"/>
        <n v="1640.8000000000002"/>
        <n v="226.92"/>
        <n v="912.4200000000001"/>
        <n v="51.52"/>
        <n v="15.2"/>
        <n v="6.959999999999999"/>
        <n v="432.48"/>
        <n v="749.9399999999999"/>
        <n v="1682.6999999999998"/>
        <n v="1039.3400000000001"/>
        <n v="17.44"/>
        <n v="1003.34"/>
        <n v="1155.27"/>
        <n v="2163.8"/>
        <n v="909.4399999999999"/>
        <n v="1863.3300000000002"/>
        <n v="894.73"/>
        <n v="307.2"/>
        <n v="239.4"/>
        <n v="706.7900000000001"/>
        <n v="14.28"/>
        <n v="382.52000000000004"/>
        <n v="38.6"/>
        <n v="137.51999999999998"/>
        <n v="34.3"/>
        <n v="1787.4"/>
        <n v="263.86"/>
        <n v="117.48"/>
        <n v="675.64"/>
        <n v="859.3499999999999"/>
        <n v="2361.92"/>
        <n v="275.40000000000003"/>
        <n v="337.26"/>
        <n v="367.5"/>
        <n v="675.7"/>
        <n v="112.80000000000001"/>
        <n v="203.05"/>
        <n v="294.84000000000003"/>
        <n v="783.36"/>
        <n v="73.84"/>
        <n v="888.04"/>
        <n v="303.01"/>
        <n v="134.82"/>
        <n v="451.08"/>
        <n v="267.03"/>
        <n v="16.39"/>
        <n v="80.75"/>
        <n v="200.43"/>
        <n v="426.24"/>
        <n v="155.63"/>
        <n v="112.84"/>
        <n v="29.189999999999998"/>
        <n v="16.080000000000002"/>
        <n v="744.69"/>
        <n v="301.32"/>
        <n v="142.5"/>
        <n v="630.48"/>
        <n v="365.25"/>
        <n v="377.4"/>
        <n v="1064.0"/>
        <n v="14.88"/>
        <n v="510.71999999999997"/>
        <n v="23.459999999999997"/>
        <n v="654.04"/>
        <n v="445.23"/>
        <n v="2.48"/>
        <n v="44.62"/>
        <n v="166.0"/>
        <n v="497.8"/>
        <n v="1245.76"/>
        <n v="425.0"/>
        <n v="111.36"/>
        <n v="1586.1"/>
        <n v="1337.3"/>
        <n v="780.12"/>
        <n v="8.0"/>
        <n v="136.0"/>
        <n v="847.3000000000001"/>
        <n v="19.2"/>
        <n v="576.0"/>
        <n v="194.04"/>
        <n v="326.4"/>
        <n v="394.0"/>
        <n v="20.96"/>
        <n v="544.67"/>
        <n v="623.7"/>
        <n v="933.24"/>
        <n v="693.12"/>
        <n v="1496.02"/>
        <n v="183.4"/>
        <n v="650.88"/>
        <n v="802.56"/>
        <n v="189.0"/>
        <n v="1305.6"/>
        <n v="531.3000000000001"/>
        <n v="545.28"/>
        <n v="1015.18"/>
        <n v="867.6899999999999"/>
        <n v="251.67999999999998"/>
        <n v="1315.6"/>
        <n v="2219.5"/>
        <n v="915.4"/>
        <n v="480.0"/>
        <n v="2137.2000000000003"/>
        <n v="598.6"/>
        <n v="2422.14"/>
        <n v="689.92"/>
        <n v="222.64"/>
        <n v="1392.7"/>
        <n v="3859.6299999999997"/>
        <n v="8027.799999999999"/>
        <n v="1799.49"/>
        <n v="5554.120000000001"/>
        <n v="100.81"/>
        <n v="116.28"/>
        <n v="3136.64"/>
        <n v="2232.98"/>
        <n v="3326.4"/>
        <n v="1550.4"/>
        <n v="7051.16"/>
        <n v="2681.9199999999996"/>
        <n v="1714.48"/>
        <n v="404.0"/>
        <n v="173.65"/>
        <n v="1274.95"/>
        <n v="3140.28"/>
        <n v="2243.2200000000003"/>
        <n v="3125.82"/>
        <n v="240.95999999999998"/>
        <n v="78.76"/>
        <n v="1420.35"/>
        <n v="845.88"/>
        <n v="1461.74"/>
        <n v="808.9200000000001"/>
        <n v="155.8"/>
        <n v="1269.57"/>
        <n v="838.6800000000001"/>
        <n v="2440.3500000000004"/>
        <n v="427.84"/>
        <n v="3690.52"/>
        <n v="5722.08"/>
        <n v="2431.96"/>
        <n v="780.0"/>
        <n v="2674.1"/>
        <n v="713.4399999999999"/>
        <n v="4715.400000000001"/>
        <n v="85.44"/>
        <n v="33.599999999999994"/>
        <n v="1106.49"/>
        <n v="2.97"/>
        <n v="3122.31"/>
        <n v="1096.82"/>
        <n v="530.0"/>
        <n v="3662.75"/>
        <n v="36.54"/>
        <n v="35.46"/>
        <n v="363.12"/>
        <n v="359.12"/>
        <n v="2439.04"/>
        <n v="1190.6399999999999"/>
        <n v="1248.05"/>
        <n v="1502.65"/>
        <n v="498.87"/>
        <n v="302.58"/>
        <n v="2000.79"/>
        <n v="180.57"/>
        <n v="156.98"/>
        <n v="2194.8"/>
        <n v="1238.73"/>
        <n v="1478.64"/>
        <n v="5128.56"/>
        <n v="602.2800000000001"/>
        <n v="522.0"/>
        <n v="229.68"/>
        <n v="1630.2"/>
        <n v="2146.0"/>
        <n v="1271.93"/>
        <n v="353.34000000000003"/>
        <n v="498.6"/>
        <n v="525.2800000000001"/>
        <n v="1918.68"/>
        <n v="2339.87"/>
        <n v="953.6800000000001"/>
        <n v="421.04999999999995"/>
        <n v="184.26000000000002"/>
        <n v="111.72"/>
        <n v="1492.92"/>
        <n v="1138.32"/>
        <n v="378.40000000000003"/>
        <n v="309.59999999999997"/>
        <n v="1216.6000000000001"/>
        <n v="361.2"/>
        <n v="171.57000000000002"/>
        <n v="471.38"/>
        <n v="519.36"/>
        <n v="416.35"/>
        <n v="311.75"/>
        <n v="255.36"/>
        <n v="36.63"/>
        <n v="11.299999999999999"/>
        <n v="21.0"/>
        <n v="574.56"/>
        <n v="311.78"/>
        <n v="423.15999999999997"/>
        <n v="671.0"/>
        <n v="791.5200000000001"/>
        <n v="354.64"/>
        <n v="570.0"/>
        <n v="1805.44"/>
        <n v="678.6"/>
        <n v="599.85"/>
        <n v="2423.52"/>
        <n v="251.22"/>
        <n v="919.96"/>
        <n v="604.2"/>
        <n v="717.8"/>
        <n v="168.26999999999998"/>
        <n v="477.24"/>
        <n v="129.75"/>
        <n v="194.36999999999998"/>
        <n v="209.95"/>
        <n v="224.19"/>
        <n v="263.41"/>
        <n v="186.9"/>
        <n v="173.24"/>
        <n v="1749.6000000000001"/>
        <n v="289.6"/>
        <n v="325.52"/>
        <n v="1161.16"/>
        <n v="364.32"/>
        <n v="1632.51"/>
        <n v="786.72"/>
        <n v="17.009999999999998"/>
        <n v="544.0500000000001"/>
        <n v="688.08"/>
        <n v="223.01999999999998"/>
        <n v="1526.53"/>
        <n v="1004.05"/>
        <n v="498.51"/>
        <n v="139.92000000000002"/>
        <n v="705.1999999999999"/>
        <n v="375.92"/>
        <n v="633.08"/>
        <n v="113.12"/>
        <n v="591.25"/>
        <n v="2333.34"/>
        <n v="1540.1399999999999"/>
        <n v="689.9200000000001"/>
        <n v="1918.35"/>
        <n v="310.78000000000003"/>
        <n v="1938.3"/>
        <n v="2127.96"/>
        <n v="334.90999999999997"/>
        <n v="942.42"/>
        <n v="322.32"/>
        <n v="2316.84"/>
        <n v="1129.93"/>
        <n v="1148.08"/>
        <n v="1453.3999999999999"/>
        <n v="3272.16"/>
        <n v="4931.85"/>
        <n v="8368.640000000001"/>
        <n v="8055.679999999999"/>
        <n v="3883.6200000000003"/>
        <n v="126.72"/>
        <n v="286.44"/>
        <n v="1070.6"/>
        <n v="4409.9400000000005"/>
        <n v="120.29"/>
        <n v="958.7200000000001"/>
        <n v="661.98"/>
        <n v="2096.26"/>
        <n v="173.44"/>
        <n v="4121.84"/>
        <n v="8151.84"/>
        <n v="3211.0"/>
        <n v="4025.97"/>
        <n v="3775.2000000000003"/>
        <n v="5482.929999999999"/>
        <n v="292.81"/>
        <n v="1567.72"/>
        <n v="2161.08"/>
        <n v="230.32"/>
        <n v="3540.2400000000002"/>
        <n v="340.34"/>
        <n v="459.90000000000003"/>
        <n v="2310.1400000000003"/>
        <n v="4699.889999999999"/>
        <n v="4306.599999999999"/>
        <n v="1229.31"/>
        <n v="995.48"/>
        <n v="9.32"/>
        <n v="3213.6800000000003"/>
        <n v="4148.63"/>
        <n v="238.36"/>
        <n v="1471.38"/>
        <n v="1263.89"/>
        <n v="285.66999999999996"/>
        <n v="386.75"/>
        <n v="339.98"/>
        <n v="99.75"/>
        <n v="1462.17"/>
        <n v="3159.04"/>
        <n v="604.0"/>
        <n v="967.1700000000001"/>
        <n v="4744.32"/>
        <n v="1829.3700000000001"/>
        <n v="3488.76"/>
        <n v="5654.34"/>
        <n v="550.62"/>
        <n v="326.15"/>
        <n v="1994.0600000000002"/>
        <n v="1255.1399999999999"/>
        <n v="171.12"/>
        <n v="2431.52"/>
        <n v="1959.1"/>
        <n v="1799.22"/>
        <n v="2307.2"/>
        <n v="4437.6"/>
        <n v="2984.17"/>
        <n v="20181.0"/>
        <n v="35231.82"/>
        <n v="1568.6000000000001"/>
        <n v="383.46000000000004"/>
        <n v="2041.52"/>
        <n v="6896.2"/>
        <n v="1404.54"/>
        <n v="1813.08"/>
        <n v="3618.65"/>
        <n v="1464.0500000000002"/>
        <n v="2441.7400000000002"/>
        <n v="4709.2"/>
        <n v="1250.3700000000001"/>
        <n v="2066.62"/>
        <n v="3811.5"/>
        <n v="578.1"/>
        <n v="3455.7599999999998"/>
        <n v="327.45"/>
        <n v="103.67999999999999"/>
        <n v="10385.550000000001"/>
        <n v="2972.38"/>
        <n v="2042.87"/>
        <n v="2065.04"/>
        <n v="1483.63"/>
        <n v="853.7399999999999"/>
        <n v="1258.46"/>
        <n v="5568.08"/>
        <n v="3986.01"/>
        <n v="104.7"/>
        <n v="4940.0"/>
        <n v="285.59999999999997"/>
        <n v="6379.799999999999"/>
        <n v="724.59"/>
        <n v="82.29"/>
        <n v="1045.0"/>
        <n v="1386.6200000000001"/>
        <n v="1597.9499999999998"/>
        <n v="1383.6999999999998"/>
        <n v="657.72"/>
        <n v="4783.62"/>
        <n v="1525.5"/>
        <n v="1233.5400000000002"/>
        <n v="1599.36"/>
        <n v="1018.98"/>
        <n v="27.88"/>
        <n v="1315.1599999999999"/>
        <n v="3456.7999999999997"/>
        <n v="1373.7599999999998"/>
        <n v="3731.84"/>
        <n v="8127.28"/>
        <n v="217.7"/>
        <n v="41.94"/>
        <n v="3203.2000000000003"/>
        <n v="471.41"/>
        <n v="271.33"/>
        <n v="3688.0"/>
        <n v="2610.0"/>
        <n v="1831.98"/>
        <n v="1380.78"/>
        <n v="2134.35"/>
        <n v="2094.96"/>
        <n v="1353.5600000000002"/>
        <n v="988.0"/>
        <n v="295.47"/>
        <n v="1459.71"/>
        <n v="24.32"/>
        <n v="1226.5"/>
        <n v="3570.75"/>
        <n v="827.9999999999999"/>
        <n v="60.39"/>
        <n v="3088.0"/>
        <n v="499.2"/>
        <n v="2266.2599999999998"/>
        <n v="1504.0"/>
        <n v="3554.8799999999997"/>
        <n v="4357.139999999999"/>
        <n v="2887.17"/>
        <n v="739.3199999999999"/>
        <n v="393.36"/>
        <n v="2764.7999999999997"/>
        <n v="15.469999999999999"/>
        <n v="707.42"/>
        <n v="1003.1999999999999"/>
        <n v="10.14"/>
        <n v="2182.72"/>
        <n v="1012.1899999999999"/>
        <n v="1970.64"/>
        <n v="1794.8700000000001"/>
        <n v="2708.64"/>
        <n v="1905.03"/>
        <n v="585.62"/>
        <n v="2235.0"/>
        <n v="1050.4"/>
        <n v="1869.84"/>
        <n v="1999.4699999999998"/>
        <n v="312.22"/>
        <n v="314.88"/>
        <n v="17669.04"/>
        <n v="4296.0"/>
        <n v="968.31"/>
        <n v="55.92"/>
        <n v="3803.8"/>
        <n v="388.68"/>
        <n v="3899.4300000000003"/>
        <n v="1253.07"/>
        <n v="1010.0799999999999"/>
        <n v="374.00000000000006"/>
        <n v="18.56"/>
        <n v="119.04"/>
        <n v="17.92"/>
        <n v="1300.65"/>
        <n v="420.36"/>
        <n v="184.07999999999998"/>
        <n v="39.599999999999994"/>
        <n v="493.44"/>
        <n v="1683.84"/>
        <n v="343.68"/>
        <n v="673.92"/>
        <n v="1253.76"/>
        <n v="201.45000000000002"/>
        <n v="274.13"/>
        <n v="14.98"/>
        <n v="9.48"/>
        <n v="1256.28"/>
        <n v="5.53"/>
        <n v="73.47"/>
        <n v="26.86"/>
        <n v="868.9699999999999"/>
        <n v="106.39999999999999"/>
        <n v="102.08999999999999"/>
        <n v="505.6"/>
        <n v="68.32"/>
        <n v="56.09"/>
        <n v="118.75"/>
        <n v="622.52"/>
        <n v="92.72"/>
        <n v="2797.18"/>
        <n v="793.2800000000001"/>
        <n v="428.95"/>
        <n v="78.85"/>
        <n v="533.39"/>
        <n v="163.53"/>
        <n v="283.8"/>
        <n v="303.96999999999997"/>
        <n v="1758.0800000000002"/>
        <n v="125.61"/>
        <n v="629.52"/>
        <n v="390.4"/>
        <n v="336.6"/>
        <n v="217.25"/>
        <n v="36.120000000000005"/>
        <n v="230.85999999999999"/>
        <n v="56.120000000000005"/>
        <n v="246.98000000000002"/>
        <n v="65.55"/>
        <n v="1924.05"/>
        <n v="133.95"/>
        <n v="237.0"/>
        <n v="340.13"/>
        <n v="134.82999999999998"/>
        <n v="182.49"/>
        <n v="36.86"/>
        <n v="526.0799999999999"/>
        <n v="193.92"/>
        <n v="704.64"/>
        <n v="453.12"/>
        <n v="407.03999999999996"/>
        <n v="167.28"/>
        <n v="244.2"/>
        <n v="43.66"/>
        <n v="658.46"/>
        <n v="1109.52"/>
        <n v="66.44"/>
        <n v="378.0"/>
        <n v="2.81"/>
        <n v="733.0"/>
        <n v="171.20000000000002"/>
        <n v="702.26"/>
        <n v="460.41"/>
        <n v="66.42"/>
        <n v="751.9"/>
        <n v="284.28000000000003"/>
        <n v="195.35999999999999"/>
        <n v="305.14"/>
        <n v="302.40000000000003"/>
        <n v="738.13"/>
        <n v="372.97"/>
        <n v="1012.5"/>
        <n v="532.9"/>
        <n v="16.06"/>
        <n v="37.75"/>
        <n v="463.57"/>
        <n v="291.49"/>
        <n v="769.0"/>
        <n v="1494.92"/>
        <n v="21.060000000000002"/>
        <n v="737.8000000000001"/>
        <n v="548.13"/>
        <n v="145.8"/>
        <n v="7897.84"/>
        <n v="1124.1299999999999"/>
        <n v="115.29"/>
        <n v="1596.68"/>
        <n v="8496.09"/>
        <n v="187.85999999999999"/>
        <n v="356.8"/>
        <n v="1231.36"/>
        <n v="162.87"/>
        <n v="351.36"/>
        <n v="243.07"/>
        <n v="2716.0"/>
        <n v="179.82000000000002"/>
        <n v="1860.03"/>
        <n v="673.04"/>
        <n v="943.8"/>
        <n v="877.1999999999999"/>
        <n v="664.47"/>
        <n v="224.4"/>
        <n v="157.78"/>
        <n v="3469.47"/>
        <n v="3565.31"/>
        <n v="13.0"/>
        <n v="1106.93"/>
        <n v="244.85000000000002"/>
        <n v="1152.9"/>
        <n v="50.830000000000005"/>
        <n v="54.599999999999994"/>
        <n v="265.63"/>
        <n v="85.59"/>
        <n v="471.6"/>
        <n v="47.96"/>
        <n v="295.68"/>
        <n v="2106.63"/>
        <n v="333.90000000000003"/>
        <n v="65.12"/>
        <n v="215.71"/>
        <n v="190.23999999999998"/>
        <n v="106.56"/>
        <n v="462.07000000000005"/>
        <n v="209.61999999999998"/>
        <n v="230.55"/>
        <n v="406.1"/>
        <n v="88.23"/>
        <n v="2509.95"/>
        <n v="1071.18"/>
        <n v="341.82"/>
        <n v="386.88"/>
        <n v="7.14"/>
        <n v="104.32"/>
        <n v="1283.6799999999998"/>
        <n v="43.870000000000005"/>
        <n v="1879.22"/>
        <n v="296.8"/>
        <n v="517.44"/>
        <n v="580.5"/>
        <n v="454.71999999999997"/>
        <n v="159.03"/>
        <n v="40.26"/>
        <n v="45.85"/>
        <n v="196.88000000000002"/>
        <n v="427.68"/>
        <n v="1067.95"/>
        <n v="602.8000000000001"/>
        <n v="374.64"/>
        <n v="173.84"/>
        <n v="45.9"/>
        <n v="1633.25"/>
        <n v="17.380000000000003"/>
        <n v="238.07999999999998"/>
        <n v="645.2800000000001"/>
        <n v="1113.02"/>
        <n v="634.7"/>
        <n v="3.76"/>
        <n v="7.49"/>
        <n v="816.8499999999999"/>
        <n v="471.9"/>
        <n v="89.32"/>
        <n v="316.24"/>
        <n v="337.47999999999996"/>
        <n v="569.9200000000001"/>
        <n v="180.88"/>
        <n v="304.56"/>
        <n v="67.19999999999999"/>
        <n v="497.66"/>
        <n v="2101.05"/>
        <n v="205.04000000000002"/>
        <n v="137.08"/>
        <n v="662.22"/>
        <n v="2139.42"/>
        <n v="1019.56"/>
        <n v="126.55999999999999"/>
        <n v="247.48"/>
        <n v="727.82"/>
        <n v="774.56"/>
        <n v="692.3499999999999"/>
        <n v="1355.16"/>
        <n v="1085.76"/>
        <n v="1539.28"/>
        <n v="6.2"/>
        <n v="1889.01"/>
        <n v="34.7"/>
        <n v="1702.8899999999999"/>
        <n v="2562.5099999999998"/>
        <n v="267.3"/>
        <n v="3363.2999999999997"/>
        <n v="1116.87"/>
        <n v="178.76000000000002"/>
        <n v="1129.49"/>
        <n v="1539.6399999999999"/>
        <n v="1446.47"/>
        <n v="75.69"/>
        <n v="616.0000000000001"/>
        <n v="1328.0"/>
        <n v="120.75"/>
        <n v="380.52"/>
        <n v="215.9"/>
        <n v="58.89"/>
        <n v="356.44"/>
        <n v="30.0"/>
        <n v="119.25"/>
        <n v="583.74"/>
        <n v="260.51"/>
        <n v="334.40000000000003"/>
        <n v="725.18"/>
        <n v="561.15"/>
        <n v="201.60000000000002"/>
        <n v="112.85"/>
        <n v="25.74"/>
        <n v="1664.7800000000002"/>
        <n v="1284.84"/>
        <n v="49.91"/>
        <n v="194.4"/>
        <n v="1832.53"/>
        <n v="673.9"/>
        <n v="1356.5900000000001"/>
        <n v="310.8"/>
        <n v="1204.95"/>
        <n v="639.86"/>
        <n v="2384.6400000000003"/>
        <n v="700.91"/>
        <n v="340.87"/>
        <n v="88.56"/>
        <n v="602.3"/>
        <n v="126.04"/>
        <n v="1427.5400000000002"/>
        <n v="293.18"/>
        <n v="218.4"/>
        <n v="561.1999999999999"/>
        <n v="766.5"/>
        <n v="686.7"/>
        <n v="321.3"/>
        <n v="409.4"/>
        <n v="1023.4999999999999"/>
        <n v="342.7"/>
        <n v="1754.8999999999999"/>
        <n v="264.6"/>
        <n v="244.0"/>
        <n v="292.12"/>
        <n v="997.18"/>
        <n v="2.18"/>
        <n v="2.1"/>
        <n v="201.48"/>
        <n v="494.64000000000004"/>
        <n v="30.82"/>
        <n v="596.25"/>
        <n v="237.60000000000002"/>
        <n v="222.63"/>
        <n v="69.68"/>
        <n v="232.2"/>
        <n v="913.75"/>
        <n v="1375.35"/>
        <n v="93.5"/>
        <n v="111.3"/>
        <n v="480.68"/>
        <n v="255.99"/>
        <n v="1592.96"/>
        <n v="308.7"/>
        <n v="2298.05"/>
        <n v="548.08"/>
        <n v="515.1999999999999"/>
        <n v="1270.5"/>
        <n v="513.3000000000001"/>
        <n v="893.1999999999999"/>
        <n v="715.3"/>
        <n v="298.68"/>
        <n v="1271.8999999999999"/>
        <n v="1375.5"/>
        <n v="402.59999999999997"/>
        <n v="964.6500000000001"/>
        <n v="13.799999999999999"/>
        <n v="62.099999999999994"/>
        <n v="502.67999999999995"/>
        <n v="339.03999999999996"/>
        <n v="1342.5"/>
        <n v="294.64"/>
        <n v="1162.5"/>
        <n v="42.599999999999994"/>
        <n v="32.48"/>
        <n v="892.68"/>
        <n v="167.04"/>
        <n v="1032.24"/>
        <n v="269.12"/>
        <n v="480.24"/>
        <n v="809.71"/>
        <n v="239.12"/>
        <n v="20.150000000000002"/>
        <n v="771.04"/>
        <n v="29.58"/>
        <n v="463.74"/>
        <n v="1588.4"/>
        <n v="1785.6"/>
        <n v="834.9799999999999"/>
        <n v="683.52"/>
        <n v="20.16"/>
        <n v="66.5"/>
        <n v="124.32"/>
        <n v="556.47"/>
        <n v="433.91999999999996"/>
        <n v="538.72"/>
        <n v="403.38000000000005"/>
        <n v="577.5"/>
        <n v="69.3"/>
        <n v="404.25"/>
        <n v="154.77"/>
        <n v="325.71"/>
        <n v="262.48"/>
        <n v="329.84"/>
        <n v="52.67"/>
        <n v="1257.75"/>
        <n v="473.55"/>
        <n v="452.4"/>
        <n v="540.14"/>
        <n v="819.0"/>
        <n v="636.3000000000001"/>
        <n v="1329.3"/>
        <n v="392.7"/>
        <n v="201.14"/>
        <n v="46.2"/>
        <n v="565.16"/>
        <n v="194.59"/>
        <n v="144.64"/>
        <n v="1212.2"/>
        <n v="1320.0"/>
        <n v="767.34"/>
        <n v="357.76"/>
        <n v="817.8"/>
        <n v="108.67999999999999"/>
        <n v="541.97"/>
        <n v="418.27"/>
        <n v="115.02"/>
        <n v="1709.84"/>
        <n v="291.71999999999997"/>
        <n v="59.16"/>
        <n v="1075.32"/>
        <n v="134.20000000000002"/>
        <n v="391.6"/>
        <n v="303.88"/>
        <n v="11.44"/>
        <n v="292.6"/>
        <n v="714.23"/>
        <n v="733.86"/>
        <n v="89.44"/>
        <n v="587.1800000000001"/>
        <n v="204.75"/>
        <n v="1333.28"/>
        <n v="54.06"/>
        <n v="100.44000000000001"/>
        <n v="208.06"/>
        <n v="280.77"/>
        <n v="703.08"/>
        <n v="838.4499999999999"/>
        <n v="53.02"/>
        <n v="1074.48"/>
        <n v="526.3199999999999"/>
        <n v="187.57999999999998"/>
        <n v="413.18"/>
        <n v="18399.36"/>
        <n v="363.59999999999997"/>
        <n v="318.66"/>
        <n v="1234.2"/>
        <n v="1036.0"/>
        <n v="673.3399999999999"/>
        <n v="1456.3500000000001"/>
        <n v="2014.5"/>
        <n v="476.28000000000003"/>
        <n v="1607.0400000000002"/>
        <n v="84.7"/>
        <n v="24.0"/>
        <n v="123.28"/>
        <n v="167.14000000000001"/>
        <n v="402.78000000000003"/>
        <n v="23.92"/>
        <n v="215.27999999999997"/>
        <n v="8.94"/>
        <n v="607.62"/>
        <n v="75.26"/>
        <n v="364.8"/>
        <n v="1242.0"/>
        <n v="1388.64"/>
        <n v="131.72"/>
        <n v="890.4"/>
        <n v="851.6999999999999"/>
        <n v="541.12"/>
        <n v="21.330000000000002"/>
        <n v="1608.82"/>
        <n v="82.25"/>
        <n v="216.95999999999998"/>
        <n v="850.67"/>
        <n v="2866.3799999999997"/>
        <n v="638.4"/>
        <n v="1262.5"/>
        <n v="38.4"/>
        <n v="606.0"/>
        <n v="965.1199999999999"/>
        <n v="428.4"/>
        <n v="150.28"/>
        <n v="6.99"/>
        <n v="4.800000000000001"/>
        <n v="998.64"/>
        <n v="93.39"/>
        <n v="1339.45"/>
        <n v="809.4"/>
        <n v="80.1"/>
        <n v="418.5"/>
        <n v="382.2"/>
        <n v="157.92"/>
        <n v="308.21"/>
        <n v="334.0"/>
        <n v="249.26"/>
        <n v="302.09999999999997"/>
        <n v="81.33999999999999"/>
        <n v="263.78000000000003"/>
        <n v="483.14"/>
        <n v="931.6999999999999"/>
        <n v="210.6"/>
        <n v="324.5"/>
        <n v="3572.4"/>
        <n v="925.7400000000001"/>
        <n v="510.19"/>
        <n v="1158.43"/>
        <n v="3906.2899999999995"/>
        <n v="8.149999999999999"/>
        <n v="263.22"/>
        <n v="30.21"/>
        <n v="230.52"/>
        <n v="114.61"/>
        <n v="37.199999999999996"/>
        <n v="517.12"/>
        <n v="292.11"/>
        <n v="6.209999999999999"/>
        <n v="298.0"/>
        <n v="550.4399999999999"/>
        <n v="1057.04"/>
        <n v="702.78"/>
        <n v="417.35999999999996"/>
        <n v="48.16"/>
        <n v="262.57"/>
        <n v="127.37"/>
        <n v="273.98"/>
        <n v="367.64"/>
        <n v="812.8"/>
        <n v="105.6"/>
        <n v="76.8"/>
        <n v="247.04"/>
        <n v="49.67999999999999"/>
        <n v="18.34"/>
        <n v="668.04"/>
        <n v="1701.6"/>
        <n v="955.1999999999999"/>
        <n v="74.1"/>
        <n v="1498.6799999999998"/>
        <n v="90.42"/>
        <n v="27.0"/>
        <n v="1159.28"/>
        <n v="388.41"/>
        <n v="508.61"/>
        <n v="237.39"/>
        <n v="242.1"/>
        <n v="1836.96"/>
        <n v="1267.46"/>
        <n v="3789.0"/>
        <n v="1378.04"/>
        <n v="239.63000000000002"/>
        <n v="376.09"/>
        <n v="237.11"/>
        <n v="43.26"/>
        <n v="473.82000000000005"/>
        <n v="570.8399999999999"/>
        <n v="1633.32"/>
        <n v="39.96"/>
        <n v="119.07000000000001"/>
        <n v="244.44"/>
        <n v="162.39999999999998"/>
        <n v="146.72"/>
        <n v="316.1"/>
        <n v="199.47000000000003"/>
        <n v="657.09"/>
        <n v="1361.44"/>
        <n v="882.94"/>
        <n v="44.54"/>
        <n v="127.09"/>
        <n v="1759.1399999999999"/>
        <n v="399.3"/>
        <n v="144.75"/>
        <n v="73.2"/>
        <n v="1469.09"/>
        <n v="120.0"/>
        <n v="693.1"/>
        <n v="216.31"/>
        <n v="85.2"/>
        <n v="927.08"/>
        <n v="628.0"/>
        <n v="336.66999999999996"/>
        <n v="594.6999999999999"/>
        <n v="252.0"/>
        <n v="262.3"/>
        <n v="9.5"/>
        <n v="97.17"/>
        <n v="223.38"/>
        <n v="1964.82"/>
        <n v="416.34000000000003"/>
        <n v="221.76"/>
        <n v="255.76000000000002"/>
        <n v="1148.1599999999999"/>
        <n v="256.48"/>
        <n v="27.48"/>
        <n v="1027.84"/>
        <n v="85.56"/>
        <n v="466.79999999999995"/>
        <n v="722.6999999999999"/>
        <n v="496.8"/>
        <n v="35.82"/>
        <n v="245.00000000000003"/>
        <n v="103.04"/>
        <n v="506.62"/>
        <n v="108.03999999999999"/>
        <n v="156.22"/>
        <n v="983.06"/>
        <n v="184.8"/>
        <n v="186.88"/>
        <n v="639.9000000000001"/>
        <n v="20.439999999999998"/>
        <n v="441.87"/>
        <n v="911.42"/>
        <n v="4179.719999999999"/>
        <n v="1666.18"/>
        <n v="1736.0"/>
        <n v="680.2099999999999"/>
        <n v="297.36"/>
        <n v="855.9100000000001"/>
        <n v="428.0"/>
        <n v="168.92000000000002"/>
        <n v="441.03000000000003"/>
        <n v="118.73"/>
        <n v="352.6"/>
        <n v="2205.9"/>
        <n v="217.92"/>
        <n v="312.42"/>
        <n v="1119.4799999999998"/>
        <n v="604.89"/>
        <n v="834.24"/>
        <n v="614.11"/>
        <n v="526.8"/>
        <n v="77.0"/>
        <n v="522.08"/>
        <n v="699.5999999999999"/>
        <n v="701.1"/>
        <n v="654.3"/>
        <n v="3132.3"/>
        <n v="2173.27"/>
        <n v="753.9399999999999"/>
        <n v="991.89"/>
        <n v="749.76"/>
        <n v="379.44"/>
        <n v="843.9"/>
        <n v="285.51"/>
        <n v="842.9399999999999"/>
        <n v="323.0"/>
        <n v="240.79999999999998"/>
        <n v="413.82"/>
        <n v="2596.75"/>
        <n v="3260.4"/>
        <n v="73.0"/>
        <n v="540.54"/>
        <n v="306.21"/>
        <n v="509.76000000000005"/>
        <n v="372.47999999999996"/>
        <n v="714.95"/>
        <n v="1051.98"/>
        <n v="946.0000000000001"/>
        <n v="308.21999999999997"/>
        <n v="454.28000000000003"/>
        <n v="384.0"/>
        <n v="282.15"/>
        <n v="832.0400000000001"/>
        <n v="584.74"/>
        <n v="1422.74"/>
        <n v="322.64"/>
        <n v="15.540000000000001"/>
        <n v="479.25000000000006"/>
        <n v="71.75999999999999"/>
        <n v="1235.52"/>
        <n v="128.48"/>
        <n v="660.0"/>
        <n v="541.75"/>
        <n v="16.560000000000002"/>
        <n v="35.88"/>
        <n v="3333.8"/>
        <n v="1174.9"/>
        <n v="336.96000000000004"/>
        <n v="453.68"/>
        <n v="273.42"/>
        <n v="736.98"/>
        <n v="1401.3999999999999"/>
        <n v="37.06"/>
        <n v="824.8499999999999"/>
        <n v="189.84"/>
        <n v="202.39999999999998"/>
        <n v="321.93"/>
        <n v="1210.3999999999999"/>
        <n v="5674.64"/>
        <n v="339.15"/>
        <n v="1175.04"/>
        <n v="786.68"/>
        <n v="908.04"/>
        <n v="83.22"/>
        <n v="151.29"/>
        <n v="375.36"/>
        <n v="468.46000000000004"/>
        <n v="186.93"/>
        <n v="912.24"/>
        <n v="95.7"/>
        <n v="341.46"/>
        <n v="360.43"/>
        <n v="706.16"/>
        <n v="81.84"/>
        <n v="479.18"/>
        <n v="198.4"/>
        <n v="570.84"/>
        <n v="130.38"/>
        <n v="12.1"/>
        <n v="123.12"/>
        <n v="476.09999999999997"/>
        <n v="192.64"/>
        <n v="127.98"/>
        <n v="256.75"/>
        <n v="50.599999999999994"/>
        <n v="302.71999999999997"/>
        <n v="541.28"/>
        <n v="1500.6"/>
        <n v="740.8499999999999"/>
        <n v="616.93"/>
        <n v="400.51"/>
        <n v="231.82999999999998"/>
        <n v="237.12"/>
        <n v="472.44"/>
        <n v="1101.79"/>
        <n v="120.11999999999999"/>
        <n v="1137.5"/>
        <n v="519.06"/>
        <n v="483.48"/>
        <n v="200.20000000000002"/>
        <n v="1615.64"/>
        <n v="4.52"/>
        <n v="386.40000000000003"/>
        <n v="44.4"/>
        <n v="77.42"/>
        <n v="762.87"/>
        <n v="13.919999999999998"/>
        <n v="151.28"/>
        <n v="87.32"/>
        <n v="203.04000000000002"/>
        <n v="1130.47"/>
        <n v="500.03999999999996"/>
        <n v="19.12"/>
        <n v="339.09000000000003"/>
        <n v="1885.52"/>
        <n v="196.20000000000002"/>
        <n v="774.0"/>
        <n v="543.4000000000001"/>
        <n v="208.78"/>
        <n v="11505.26"/>
        <n v="5275.83"/>
        <n v="165.88"/>
        <n v="27.96"/>
        <n v="1029.0"/>
        <n v="71.4"/>
        <n v="635.06"/>
        <n v="4.74"/>
        <n v="1688.6100000000001"/>
        <n v="364.98"/>
        <n v="393.47"/>
        <n v="410.70000000000005"/>
        <n v="1232.84"/>
        <n v="1603.9499999999998"/>
        <n v="762.3"/>
        <n v="1233.95"/>
        <n v="465.55999999999995"/>
        <n v="107.63999999999999"/>
        <n v="850.78"/>
        <n v="238.08"/>
        <n v="175.72"/>
        <n v="212.48000000000002"/>
        <n v="1593.48"/>
        <n v="336.35"/>
        <n v="914.76"/>
        <n v="906.2599999999999"/>
        <n v="458.95000000000005"/>
        <n v="55.66"/>
        <n v="513.02"/>
        <n v="616.77"/>
        <n v="193.75"/>
        <n v="341.13"/>
        <n v="1033.95"/>
        <n v="582.5400000000001"/>
        <n v="68.03999999999999"/>
        <n v="77.89999999999999"/>
        <n v="408.12"/>
        <n v="6293.0"/>
        <n v="1918.74"/>
        <n v="410.08"/>
        <n v="2240.96"/>
        <n v="4190.16"/>
        <n v="406.08"/>
        <n v="7048.25"/>
        <n v="902.4"/>
        <n v="8678.880000000001"/>
        <n v="3476.74"/>
        <n v="1530.36"/>
        <n v="1130.4199999999998"/>
        <n v="1408.3600000000001"/>
        <n v="163.79999999999998"/>
        <n v="1451.45"/>
        <n v="991.3800000000001"/>
        <n v="166.54000000000002"/>
        <n v="544.0400000000001"/>
        <n v="376.05"/>
        <n v="2580.6000000000004"/>
        <n v="1752.18"/>
        <n v="2037.0"/>
        <n v="2327.83"/>
        <n v="319.59"/>
        <n v="2175.0499999999997"/>
        <n v="171.5"/>
        <n v="2709.7599999999998"/>
        <n v="29.97"/>
        <n v="904.04"/>
        <n v="42.5"/>
        <n v="341.21999999999997"/>
        <n v="767.6"/>
        <n v="243.08"/>
        <n v="345.45"/>
        <n v="1231.9199999999998"/>
        <n v="1592.5"/>
        <n v="513.24"/>
        <n v="2133.0"/>
        <n v="3891.87"/>
        <n v="932.4"/>
        <n v="703.8000000000001"/>
        <n v="7494.200000000001"/>
        <n v="1.8"/>
        <n v="441.09000000000003"/>
        <n v="813.78"/>
        <n v="2101.56"/>
        <n v="736.0"/>
        <n v="226.38"/>
        <n v="369.72"/>
        <n v="2296.71"/>
        <n v="138.38"/>
        <n v="122.76"/>
        <n v="2947.4900000000002"/>
        <n v="3857.45"/>
        <n v="401.25"/>
        <n v="3067.9399999999996"/>
        <n v="288.0"/>
        <n v="639.84"/>
        <n v="34.4"/>
        <n v="2298.2400000000002"/>
        <n v="1414.8"/>
        <n v="5829.3"/>
        <n v="495.01000000000005"/>
        <n v="6602.96"/>
        <n v="1011.4399999999999"/>
        <n v="40.4"/>
        <n v="4039.2"/>
        <n v="841.75"/>
        <n v="1702.8"/>
        <n v="2023.7900000000002"/>
        <n v="2267.2000000000003"/>
        <n v="3197.6"/>
        <n v="149.60000000000002"/>
        <n v="645.0"/>
        <n v="648.8299999999999"/>
        <n v="318.86"/>
        <n v="452.01000000000005"/>
        <n v="1796.26"/>
        <n v="1417.26"/>
        <n v="1101.6599999999999"/>
        <n v="68.1"/>
        <n v="602.16"/>
        <n v="1908.95"/>
        <n v="1347.5700000000002"/>
        <n v="3101.04"/>
        <n v="543.85"/>
        <n v="26.549999999999997"/>
        <n v="307.44"/>
        <n v="212.45000000000002"/>
        <n v="1317.21"/>
        <n v="3021.76"/>
        <n v="342.9"/>
        <n v="255.42000000000002"/>
        <n v="383.08000000000004"/>
        <n v="924.1800000000001"/>
        <n v="2501.7"/>
        <n v="218.0"/>
        <n v="918.0"/>
        <n v="940.8"/>
        <n v="1876.1599999999999"/>
        <n v="1751.0"/>
        <n v="1219.52"/>
        <n v="1669.8"/>
        <n v="2163.75"/>
        <n v="3571.02"/>
        <n v="726.6"/>
        <n v="469.2"/>
        <n v="504.9"/>
        <n v="2026.44"/>
        <n v="967.5"/>
        <n v="1211.28"/>
        <n v="2160.67"/>
        <n v="131.76"/>
        <n v="12.88"/>
        <n v="1302.5"/>
        <n v="914.64"/>
        <n v="2285.37"/>
        <n v="2239.65"/>
        <n v="3124.1600000000003"/>
        <n v="176.89000000000001"/>
        <n v="304.78"/>
        <n v="307.5"/>
        <n v="965.14"/>
        <n v="2420.0"/>
        <n v="1170.08"/>
        <n v="368.1"/>
        <n v="2649.15"/>
        <n v="1554.8999999999999"/>
        <n v="1151.28"/>
        <n v="260.19"/>
        <n v="1402.5"/>
        <n v="1598.7"/>
        <n v="1069.2"/>
        <n v="948.74"/>
        <n v="288.96"/>
        <n v="3380.2999999999997"/>
        <n v="192.23"/>
        <n v="916.76"/>
        <n v="363.58"/>
        <n v="141.35999999999999"/>
        <n v="1210.02"/>
        <n v="213.3"/>
        <n v="421.4"/>
        <n v="14.25"/>
        <n v="1386.8799999999999"/>
        <n v="954.17"/>
        <n v="70.19999999999999"/>
        <n v="3320.2400000000002"/>
        <n v="582.12"/>
        <n v="716.0400000000001"/>
        <n v="903.75"/>
        <n v="225.23"/>
        <n v="871.5600000000001"/>
        <n v="121.91"/>
        <n v="173.0"/>
        <n v="628.86"/>
        <n v="1453.96"/>
        <n v="154.44"/>
        <n v="645.1500000000001"/>
        <n v="119.37"/>
        <n v="1806.3"/>
        <n v="174.6"/>
        <n v="390.25"/>
        <n v="1149.39"/>
        <n v="289.28000000000003"/>
        <n v="259.93"/>
        <n v="150.45"/>
        <n v="4.68"/>
        <n v="192.20000000000002"/>
        <n v="635.62"/>
        <n v="13.4"/>
        <n v="1590.6000000000001"/>
        <n v="120.24"/>
        <n v="91.52"/>
        <n v="513.0"/>
        <n v="1246.5900000000001"/>
        <n v="154.96"/>
        <n v="1100.0"/>
        <n v="463.45"/>
        <n v="226.54999999999998"/>
        <n v="3308.79"/>
        <n v="37.62"/>
        <n v="5102.04"/>
        <n v="1831.28"/>
        <n v="5212.5"/>
        <n v="119.16"/>
        <n v="2222.39"/>
        <n v="2453.44"/>
        <n v="5304.42"/>
        <n v="2955.02"/>
      </sharedItems>
    </cacheField>
    <cacheField name="in_stock" numFmtId="0">
      <sharedItems containsSemiMixedTypes="0" containsString="0" containsNumber="1" containsInteger="1">
        <n v="1.0"/>
        <n v="0.0"/>
      </sharedItems>
    </cacheField>
    <cacheField name="shortage rate" formula="1-AVERAGE(in_stock)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O18:Y1000" sheet="stock_category"/>
  </cacheSource>
  <cacheFields>
    <cacheField name="product_id" numFmtId="0">
      <sharedItems containsString="0" containsBlank="1" containsNumber="1" containsInteger="1">
        <n v="19826.0"/>
        <n v="93039.0"/>
        <n v="128213.0"/>
        <n v="83797.0"/>
        <n v="19831.0"/>
        <n v="93025.0"/>
        <n v="81624.0"/>
        <n v="92913.0"/>
        <n v="126983.0"/>
        <n v="118226.0"/>
        <n v="48618.0"/>
        <n v="93037.0"/>
        <n v="126984.0"/>
        <n v="47393.0"/>
        <n v="128214.0"/>
        <n v="83802.0"/>
        <n v="48625.0"/>
        <n v="83602.0"/>
        <n v="98867.0"/>
        <n v="127042.0"/>
        <n v="127241.0"/>
        <n v="118220.0"/>
        <n v="128216.0"/>
        <n v="93049.0"/>
        <n v="118216.0"/>
        <n v="118221.0"/>
        <n v="92900.0"/>
        <n v="118215.0"/>
        <n v="19832.0"/>
        <n v="93071.0"/>
        <n v="122395.0"/>
        <n v="116946.0"/>
        <n v="97538.0"/>
        <n v="127238.0"/>
        <n v="81646.0"/>
        <n v="81643.0"/>
        <n v="128215.0"/>
        <n v="108022.0"/>
        <n v="81647.0"/>
        <n v="83603.0"/>
        <n v="118219.0"/>
        <n v="120952.0"/>
        <n v="81658.0"/>
        <n v="93047.0"/>
        <n v="83807.0"/>
        <n v="92915.0"/>
        <n v="81653.0"/>
        <n v="81618.0"/>
        <n v="118241.0"/>
        <n v="48634.0"/>
        <n v="48636.0"/>
        <n v="48629.0"/>
        <n v="47400.0"/>
        <n v="111237.0"/>
        <n v="18042.0"/>
        <n v="114978.0"/>
        <n v="82980.0"/>
        <n v="83093.0"/>
        <n v="18134.0"/>
        <n v="107857.0"/>
        <n v="18136.0"/>
        <n v="69138.0"/>
        <n v="74828.0"/>
        <n v="74884.0"/>
        <n v="127232.0"/>
        <n v="82979.0"/>
        <n v="18138.0"/>
        <n v="127003.0"/>
        <m/>
      </sharedItems>
    </cacheField>
    <cacheField name="category_1" numFmtId="0">
      <sharedItems containsBlank="1">
        <s v="Boisson"/>
        <m/>
      </sharedItems>
    </cacheField>
    <cacheField name="category_2" numFmtId="0">
      <sharedItems containsBlank="1">
        <s v="Café"/>
        <m/>
      </sharedItems>
    </cacheField>
    <cacheField name="category_3" numFmtId="0">
      <sharedItems containsBlank="1">
        <s v="Café moulu"/>
        <s v="Café soluble"/>
        <s v="Café en grains"/>
        <s v="Café décaféiné"/>
        <s v="Dosettes compatible Senséo ®"/>
        <s v="Substituts de café, chicorée"/>
        <s v="Capsules compatible Nespresso ®"/>
        <m/>
      </sharedItems>
    </cacheField>
    <cacheField name="Product Name" numFmtId="0">
      <sharedItems containsBlank="1">
        <s v="19826-Café-Café moulu"/>
        <s v="93039-Café-Café moulu"/>
        <s v="128213-Café-Café moulu"/>
        <s v="83797-Café-Café moulu"/>
        <s v="19831-Café-Café moulu"/>
        <s v="93025-Café-Café moulu"/>
        <s v="81624-Café-Café moulu"/>
        <s v="92913-Café-Café moulu"/>
        <s v="126983-Café-Café moulu"/>
        <s v="118226-Café-Café moulu"/>
        <s v="48618-Café-Café moulu"/>
        <s v="93037-Café-Café moulu"/>
        <s v="126984-Café-Café moulu"/>
        <s v="47393-Café-Café moulu"/>
        <s v="128214-Café-Café moulu"/>
        <s v="83802-Café-Café moulu"/>
        <s v="48625-Café-Café moulu"/>
        <s v="83602-Café-Café moulu"/>
        <s v="98867-Café-Café soluble"/>
        <s v="127042-Café-Café soluble"/>
        <s v="127241-Café-Café en grains"/>
        <s v="118220-Café-Café en grains"/>
        <s v="128216-Café-Café en grains"/>
        <s v="93049-Café-Café en grains"/>
        <s v="118216-Café-Café en grains"/>
        <s v="118221-Café-Café en grains"/>
        <s v="92900-Café-Café en grains"/>
        <s v="118215-Café-Café en grains"/>
        <s v="19832-Café-Café en grains"/>
        <s v="93071-Café-Café en grains"/>
        <s v="122395-Café-Café en grains"/>
        <s v="116946-Café-Café en grains"/>
        <s v="97538-Café-Café en grains"/>
        <s v="127238-Café-Café en grains"/>
        <s v="81646-Café-Café en grains"/>
        <s v="81643-Café-Café en grains"/>
        <s v="128215-Café-Café en grains"/>
        <s v="108022-Café-Café en grains"/>
        <s v="81647-Café-Café en grains"/>
        <s v="83603-Café-Café en grains"/>
        <s v="118219-Café-Café en grains"/>
        <s v="120952-Café-Café décaféiné"/>
        <s v="81658-Café-Café décaféiné"/>
        <s v="93047-Café-Café décaféiné"/>
        <s v="83807-Café-Café décaféiné"/>
        <s v="92915-Café-Café décaféiné"/>
        <s v="81653-Café-Café décaféiné"/>
        <s v="81618-Café-Café décaféiné"/>
        <s v="118241-Café-Dosettes compatible Senséo ®"/>
        <s v="48634-Café-Dosettes compatible Senséo ®"/>
        <s v="48636-Café-Dosettes compatible Senséo ®"/>
        <s v="48629-Café-Dosettes compatible Senséo ®"/>
        <s v="47400-Café-Dosettes compatible Senséo ®"/>
        <s v="111237-Café-Dosettes compatible Senséo ®"/>
        <s v="18042-Café-Substituts de café, chicorée"/>
        <s v="114978-Café-Substituts de café, chicorée"/>
        <s v="82980-Café-Substituts de café, chicorée"/>
        <s v="83093-Café-Substituts de café, chicorée"/>
        <s v="18134-Café-Substituts de café, chicorée"/>
        <s v="107857-Café-Substituts de café, chicorée"/>
        <s v="18136-Café-Substituts de café, chicorée"/>
        <s v="69138-Café-Substituts de café, chicorée"/>
        <s v="74828-Café-Substituts de café, chicorée"/>
        <s v="74884-Café-Substituts de café, chicorée"/>
        <s v="127232-Café-Substituts de café, chicorée"/>
        <s v="82979-Café-Substituts de café, chicorée"/>
        <s v="18138-Café-Substituts de café, chicorée"/>
        <s v="127003-Café-Capsules compatible Nespresso ®"/>
        <m/>
      </sharedItems>
    </cacheField>
    <cacheField name="new" numFmtId="0">
      <sharedItems containsString="0" containsBlank="1" containsNumber="1" containsInteger="1">
        <n v="0.0"/>
        <n v="1.0"/>
        <m/>
      </sharedItems>
    </cacheField>
    <cacheField name="forecast_stock" numFmtId="0">
      <sharedItems containsString="0" containsBlank="1" containsNumber="1" containsInteger="1">
        <n v="197.0"/>
        <n v="53.0"/>
        <n v="300.0"/>
        <n v="59.0"/>
        <n v="198.0"/>
        <n v="325.0"/>
        <n v="100.0"/>
        <n v="195.0"/>
        <n v="150.0"/>
        <n v="620.0"/>
        <n v="26.0"/>
        <n v="980.0"/>
        <n v="83.0"/>
        <n v="48.0"/>
        <n v="68.0"/>
        <n v="175.0"/>
        <n v="430.0"/>
        <n v="37.0"/>
        <n v="131.0"/>
        <n v="0.0"/>
        <n v="165.0"/>
        <n v="107.0"/>
        <n v="612.0"/>
        <n v="146.0"/>
        <n v="143.0"/>
        <n v="158.0"/>
        <n v="389.0"/>
        <n v="934.0"/>
        <n v="394.0"/>
        <n v="442.0"/>
        <n v="556.0"/>
        <n v="878.0"/>
        <n v="402.0"/>
        <n v="145.0"/>
        <n v="669.0"/>
        <n v="508.0"/>
        <n v="603.0"/>
        <n v="842.0"/>
        <n v="65.0"/>
        <n v="111.0"/>
        <n v="893.0"/>
        <n v="835.0"/>
        <n v="31.0"/>
        <n v="928.0"/>
        <n v="870.0"/>
        <n v="428.0"/>
        <n v="247.0"/>
        <n v="295.0"/>
        <n v="336.0"/>
        <n v="452.0"/>
        <n v="510.0"/>
        <n v="662.0"/>
        <n v="848.0"/>
        <n v="40.0"/>
        <n v="664.0"/>
        <n v="6.0"/>
        <n v="715.0"/>
        <n v="764.0"/>
        <n v="561.0"/>
        <n v="753.0"/>
        <m/>
      </sharedItems>
    </cacheField>
    <cacheField name="stock" numFmtId="0">
      <sharedItems containsString="0" containsBlank="1" containsNumber="1" containsInteger="1">
        <n v="97.0"/>
        <n v="53.0"/>
        <n v="153.0"/>
        <n v="59.0"/>
        <n v="143.0"/>
        <n v="325.0"/>
        <n v="100.0"/>
        <n v="79.0"/>
        <n v="150.0"/>
        <n v="620.0"/>
        <n v="6.0"/>
        <n v="608.0"/>
        <n v="83.0"/>
        <n v="36.0"/>
        <n v="68.0"/>
        <n v="175.0"/>
        <n v="430.0"/>
        <n v="37.0"/>
        <n v="131.0"/>
        <n v="26.0"/>
        <n v="0.0"/>
        <n v="129.0"/>
        <n v="49.0"/>
        <n v="575.0"/>
        <n v="19.0"/>
        <n v="2.0"/>
        <n v="86.0"/>
        <n v="87.0"/>
        <n v="95.0"/>
        <n v="155.0"/>
        <n v="303.0"/>
        <n v="246.0"/>
        <n v="277.0"/>
        <n v="231.0"/>
        <n v="106.0"/>
        <n v="210.0"/>
        <n v="84.0"/>
        <n v="41.0"/>
        <n v="296.0"/>
        <n v="563.0"/>
        <n v="31.0"/>
        <n v="33.0"/>
        <n v="1.0"/>
        <n v="181.0"/>
        <n v="8.0"/>
        <n v="630.0"/>
        <n v="397.0"/>
        <n v="123.0"/>
        <n v="228.0"/>
        <n v="260.0"/>
        <n v="394.0"/>
        <n v="395.0"/>
        <n v="336.0"/>
        <n v="807.0"/>
        <n v="25.0"/>
        <n v="622.0"/>
        <n v="657.0"/>
        <n v="714.0"/>
        <n v="347.0"/>
        <n v="393.0"/>
        <m/>
      </sharedItems>
    </cacheField>
    <cacheField name="price" numFmtId="0">
      <sharedItems containsString="0" containsBlank="1" containsNumber="1">
        <n v="2.69"/>
        <n v="3.02"/>
        <n v="4.51"/>
        <n v="5.92"/>
        <n v="3.75"/>
        <n v="2.3"/>
        <n v="7.24"/>
        <n v="6.8"/>
        <n v="2.92"/>
        <n v="1.71"/>
        <n v="2.14"/>
        <n v="3.16"/>
        <n v="1.95"/>
        <n v="2.82"/>
        <n v="3.27"/>
        <n v="4.17"/>
        <n v="12.25"/>
        <n v="4.16"/>
        <n v="4.12"/>
        <n v="12.33"/>
        <n v="8.75"/>
        <n v="12.01"/>
        <n v="11.18"/>
        <n v="6.58"/>
        <n v="7.41"/>
        <n v="6.22"/>
        <n v="10.49"/>
        <n v="10.93"/>
        <n v="11.4"/>
        <n v="8.82"/>
        <n v="6.91"/>
        <n v="8.96"/>
        <n v="8.34"/>
        <n v="8.69"/>
        <n v="11.64"/>
        <n v="6.9"/>
        <n v="2.89"/>
        <n v="5.37"/>
        <n v="3.4"/>
        <n v="3.88"/>
        <n v="4.13"/>
        <n v="3.55"/>
        <n v="2.36"/>
        <n v="3.21"/>
        <n v="2.38"/>
        <n v="2.25"/>
        <n v="3.97"/>
        <n v="3.46"/>
        <n v="4.44"/>
        <n v="2.5"/>
        <n v="4.21"/>
        <n v="4.11"/>
        <n v="3.83"/>
        <n v="5.46"/>
        <n v="5.31"/>
        <n v="4.59"/>
        <n v="5.02"/>
        <n v="3.12"/>
        <n v="1.92"/>
        <n v="5.97"/>
        <n v="3.54"/>
        <m/>
      </sharedItems>
    </cacheField>
    <cacheField name="stock_value" numFmtId="0">
      <sharedItems containsString="0" containsBlank="1" containsNumber="1">
        <n v="260.93"/>
        <n v="160.06"/>
        <n v="690.03"/>
        <n v="349.28"/>
        <n v="536.25"/>
        <n v="747.4999999999999"/>
        <n v="724.0"/>
        <n v="680.0"/>
        <n v="230.68"/>
        <n v="256.5"/>
        <n v="214.0"/>
        <n v="1959.2"/>
        <n v="11.7"/>
        <n v="1714.56"/>
        <n v="374.33"/>
        <n v="117.72"/>
        <n v="417.0"/>
        <n v="833.0"/>
        <n v="728.0"/>
        <n v="1771.6000000000001"/>
        <n v="1023.39"/>
        <n v="323.75"/>
        <n v="1573.31"/>
        <n v="290.68"/>
        <n v="0.0"/>
        <n v="741.0"/>
        <n v="802.38"/>
        <n v="514.01"/>
        <n v="4163.0"/>
        <n v="207.67"/>
        <n v="22.8"/>
        <n v="758.52"/>
        <n v="601.17"/>
        <n v="851.2"/>
        <n v="1292.7"/>
        <n v="2633.0699999999997"/>
        <n v="2863.44"/>
        <n v="1911.3000000000002"/>
        <n v="2007.3899999999999"/>
        <n v="1298.5"/>
        <n v="1837.5"/>
        <n v="242.76000000000002"/>
        <n v="220.17000000000002"/>
        <n v="1006.4"/>
        <n v="1261.0"/>
        <n v="3501.8599999999997"/>
        <n v="128.03"/>
        <n v="117.14999999999999"/>
        <n v="2.36"/>
        <n v="571.96"/>
        <n v="25.68"/>
        <n v="1499.3999999999999"/>
        <n v="893.25"/>
        <n v="488.31"/>
        <n v="788.88"/>
        <n v="1154.4"/>
        <n v="387.5"/>
        <n v="1658.74"/>
        <n v="1623.45"/>
        <n v="1286.88"/>
        <n v="4406.22"/>
        <n v="132.75"/>
        <n v="2854.98"/>
        <n v="30.119999999999997"/>
        <n v="2049.84"/>
        <n v="1370.8799999999999"/>
        <n v="2071.5899999999997"/>
        <n v="1391.22"/>
        <m/>
      </sharedItems>
    </cacheField>
    <cacheField name="in_stock" numFmtId="0">
      <sharedItems containsString="0" containsBlank="1" containsNumber="1" containsInteger="1">
        <n v="1.0"/>
        <n v="0.0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tock_analysis" cacheId="0" dataCaption="" compact="0" compactData="0">
  <location ref="A1:C4" firstHeaderRow="0" firstDataRow="2" firstDataCol="0"/>
  <pivotFields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t="default"/>
      </items>
    </pivotField>
    <pivotField name="category_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ategory_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category_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t="default"/>
      </items>
    </pivotField>
    <pivotField name="new" compact="0" outline="0" multipleItemSelectionAllowed="1" showAll="0">
      <items>
        <item x="0"/>
        <item x="1"/>
        <item t="default"/>
      </items>
    </pivotField>
    <pivotField name="forecast_sto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t="default"/>
      </items>
    </pivotField>
    <pivotField name="sto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t="default"/>
      </items>
    </pivotField>
    <pivotField name="stock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t="default"/>
      </items>
    </pivotField>
    <pivotField name="in_stock" axis="axisRow" dataField="1" compact="0" outline="0" multipleItemSelectionAllowed="1" showAll="0" sortType="ascending">
      <items>
        <item x="1"/>
        <item x="0"/>
        <item t="default"/>
      </items>
    </pivotField>
    <pivotField compact="0" outline="0" subtotalTop="0" dragToRow="0" dragToCol="0" dragToPage="0" showAll="0" includeNewItemsInFilter="1" defaultSubtotal="0"/>
  </pivotFields>
  <rowFields>
    <field x="10"/>
  </rowFields>
  <colFields>
    <field x="-2"/>
  </colFields>
  <dataFields>
    <dataField name="COUNT of in_stock" fld="10" subtotal="countNums" baseField="0"/>
    <dataField name="COUNT of in_stock" fld="10" subtotal="countNums" showDataAs="percentOfTotal" baseField="0" numFmtId="10"/>
  </dataFields>
</pivotTableDefinition>
</file>

<file path=xl/pivotTables/pivotTable2.xml><?xml version="1.0" encoding="utf-8"?>
<pivotTableDefinition xmlns="http://schemas.openxmlformats.org/spreadsheetml/2006/main" name="stock_analysis 2" cacheId="0" dataCaption="" compact="0" compactData="0">
  <location ref="A10:F20" firstHeaderRow="0" firstDataRow="3" firstDataCol="0"/>
  <pivotFields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t="default"/>
      </items>
    </pivotField>
    <pivotField name="category_1" axis="axisRow" compact="0" outline="0" multipleItemSelectionAllowed="1" showAll="0" sortType="ascending">
      <items>
        <item sd="0" x="8"/>
        <item sd="0" x="5"/>
        <item sd="0" x="1"/>
        <item sd="0" x="6"/>
        <item sd="0" x="4"/>
        <item sd="0" x="7"/>
        <item sd="0" x="2"/>
        <item sd="0" x="0"/>
        <item sd="0" x="3"/>
        <item t="default"/>
      </items>
    </pivotField>
    <pivotField name="category_2" axis="axisRow" compact="0" outline="0" multipleItemSelectionAllowed="1" showAll="0" sortType="ascending">
      <items>
        <item x="59"/>
        <item x="86"/>
        <item x="4"/>
        <item x="97"/>
        <item x="21"/>
        <item x="33"/>
        <item x="34"/>
        <item x="35"/>
        <item x="42"/>
        <item x="120"/>
        <item x="87"/>
        <item x="5"/>
        <item x="60"/>
        <item x="68"/>
        <item x="61"/>
        <item x="66"/>
        <item x="69"/>
        <item x="2"/>
        <item x="114"/>
        <item x="77"/>
        <item x="102"/>
        <item x="98"/>
        <item x="28"/>
        <item x="99"/>
        <item x="22"/>
        <item x="62"/>
        <item x="76"/>
        <item x="36"/>
        <item x="29"/>
        <item x="88"/>
        <item x="70"/>
        <item x="8"/>
        <item x="23"/>
        <item x="91"/>
        <item x="117"/>
        <item x="100"/>
        <item x="37"/>
        <item x="43"/>
        <item x="24"/>
        <item x="44"/>
        <item x="17"/>
        <item x="18"/>
        <item x="71"/>
        <item x="115"/>
        <item x="25"/>
        <item x="9"/>
        <item x="110"/>
        <item x="72"/>
        <item x="89"/>
        <item x="92"/>
        <item x="118"/>
        <item x="14"/>
        <item x="119"/>
        <item x="93"/>
        <item x="6"/>
        <item x="67"/>
        <item x="31"/>
        <item x="38"/>
        <item x="45"/>
        <item x="107"/>
        <item x="15"/>
        <item x="94"/>
        <item x="63"/>
        <item x="90"/>
        <item x="105"/>
        <item x="46"/>
        <item x="10"/>
        <item x="7"/>
        <item x="52"/>
        <item x="19"/>
        <item x="111"/>
        <item x="64"/>
        <item x="53"/>
        <item x="11"/>
        <item x="78"/>
        <item x="0"/>
        <item x="116"/>
        <item x="79"/>
        <item x="54"/>
        <item x="32"/>
        <item x="55"/>
        <item x="20"/>
        <item x="80"/>
        <item x="103"/>
        <item x="104"/>
        <item x="101"/>
        <item x="106"/>
        <item x="112"/>
        <item x="47"/>
        <item x="95"/>
        <item x="121"/>
        <item x="113"/>
        <item x="73"/>
        <item x="81"/>
        <item x="109"/>
        <item x="30"/>
        <item x="96"/>
        <item x="12"/>
        <item x="39"/>
        <item x="49"/>
        <item x="108"/>
        <item x="3"/>
        <item x="1"/>
        <item x="57"/>
        <item x="56"/>
        <item x="41"/>
        <item x="48"/>
        <item x="26"/>
        <item x="40"/>
        <item x="58"/>
        <item x="65"/>
        <item x="74"/>
        <item x="82"/>
        <item x="16"/>
        <item x="27"/>
        <item x="50"/>
        <item x="83"/>
        <item x="51"/>
        <item x="84"/>
        <item x="85"/>
        <item x="13"/>
        <item x="75"/>
        <item t="default"/>
      </items>
    </pivotField>
    <pivotField name="category_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t="default"/>
      </items>
    </pivotField>
    <pivotField name="new" compact="0" outline="0" multipleItemSelectionAllowed="1" showAll="0">
      <items>
        <item x="0"/>
        <item x="1"/>
        <item t="default"/>
      </items>
    </pivotField>
    <pivotField name="forecast_sto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t="default"/>
      </items>
    </pivotField>
    <pivotField name="stoc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t="default"/>
      </items>
    </pivotField>
    <pivotField name="stock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t="default"/>
      </items>
    </pivotField>
    <pivotField name="in_stock" dataField="1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1"/>
    <field x="2"/>
  </rowFields>
  <colFields>
    <field x="-2"/>
  </colFields>
  <dataFields>
    <dataField name="SUM of shortage rate" fld="11" baseField="0"/>
    <dataField name="products in stock" fld="10" baseField="0"/>
    <dataField name="Average stock" fld="7" subtotal="average" baseField="0"/>
    <dataField name="stock value" fld="9" baseField="0"/>
  </dataFields>
</pivotTableDefinition>
</file>

<file path=xl/pivotTables/pivotTable3.xml><?xml version="1.0" encoding="utf-8"?>
<pivotTableDefinition xmlns="http://schemas.openxmlformats.org/spreadsheetml/2006/main" name="stock_category" cacheId="1" dataCaption="" compact="0" compactData="0">
  <location ref="B22:F28" firstHeaderRow="0" firstDataRow="2" firstDataCol="1" rowPageCount="1" colPageCount="1"/>
  <pivotFields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category_1" compact="0" outline="0" multipleItemSelectionAllowed="1" showAll="0">
      <items>
        <item x="0"/>
        <item x="1"/>
        <item t="default"/>
      </items>
    </pivotField>
    <pivotField name="category_2" axis="axisRow" compact="0" outline="0" multipleItemSelectionAllowed="1" showAll="0" sortType="ascending">
      <items>
        <item x="1"/>
        <item x="0"/>
        <item t="default"/>
      </items>
    </pivotField>
    <pivotField name="category_3" axis="axisRow" compact="0" outline="0" multipleItemSelectionAllowed="1" showAll="0" sortType="ascending">
      <items>
        <item x="7"/>
        <item x="3"/>
        <item x="2"/>
        <item x="0"/>
        <item x="1"/>
        <item x="6"/>
        <item x="4"/>
        <item x="5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new" axis="axisCol" compact="0" outline="0" multipleItemSelectionAllowed="1" showAll="0" sortType="ascending">
      <items>
        <item x="2"/>
        <item x="0"/>
        <item x="1"/>
        <item t="default"/>
      </items>
    </pivotField>
    <pivotField name="forecast_stoc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stock" axis="axisPage" dataField="1" compact="0" outline="0" multipleItemSelectionAllowed="1" showAll="0">
      <items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x="54"/>
        <item x="55"/>
        <item h="1" x="56"/>
        <item h="1" x="57"/>
        <item h="1" x="58"/>
        <item h="1" x="59"/>
        <item h="1" x="60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stock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in_stock" compact="0" outline="0" multipleItemSelectionAllowed="1" showAll="0">
      <items>
        <item x="0"/>
        <item x="1"/>
        <item x="2"/>
        <item t="default"/>
      </items>
    </pivotField>
  </pivotFields>
  <rowFields>
    <field x="2"/>
    <field x="3"/>
  </rowFields>
  <colFields>
    <field x="5"/>
  </colFields>
  <pageFields>
    <pageField fld="7"/>
  </pageFields>
  <dataFields>
    <dataField name="SUM of stock" fld="7" baseField="0"/>
  </dataFields>
</pivotTableDefinition>
</file>

<file path=xl/tables/table1.xml><?xml version="1.0" encoding="utf-8"?>
<table xmlns="http://schemas.openxmlformats.org/spreadsheetml/2006/main" ref="A1:D6401" displayName="Table_1" name="Table_1" id="1">
  <tableColumns count="4">
    <tableColumn name="product_id" id="1"/>
    <tableColumn name="new" id="2"/>
    <tableColumn name="forecast_stock" id="3"/>
    <tableColumn name="stock" id="4"/>
  </tableColumns>
  <tableStyleInfo name="stock-style" showColumnStripes="0" showFirstColumn="1" showLastColumn="1" showRowStripes="1"/>
</table>
</file>

<file path=xl/tables/table2.xml><?xml version="1.0" encoding="utf-8"?>
<table xmlns="http://schemas.openxmlformats.org/spreadsheetml/2006/main" ref="A1:D6401" displayName="Table_2" name="Table_2" id="2">
  <tableColumns count="4">
    <tableColumn name="year" id="1"/>
    <tableColumn name="month" id="2"/>
    <tableColumn name="product_id" id="3"/>
    <tableColumn name="qty" id="4"/>
  </tableColumns>
  <tableStyleInfo name="sales from stock-style" showColumnStripes="0" showFirstColumn="1" showLastColumn="1" showRowStripes="1"/>
</table>
</file>

<file path=xl/tables/table3.xml><?xml version="1.0" encoding="utf-8"?>
<table xmlns="http://schemas.openxmlformats.org/spreadsheetml/2006/main" ref="O18:Y25" displayName="Table_3" name="Table_3" id="3">
  <tableColumns count="11">
    <tableColumn name="product_id" id="1"/>
    <tableColumn name="category_1" id="2"/>
    <tableColumn name="category_2" id="3"/>
    <tableColumn name="category_3" id="4"/>
    <tableColumn name="Product Name" id="5"/>
    <tableColumn name="new" id="6"/>
    <tableColumn name="forecast_stock" id="7"/>
    <tableColumn name="stock" id="8"/>
    <tableColumn name="price" id="9"/>
    <tableColumn name="stock_value" id="10"/>
    <tableColumn name="in_stock" id="11"/>
  </tableColumns>
  <tableStyleInfo name="stock_category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8.xml"/><Relationship Id="rId4" Type="http://schemas.openxmlformats.org/officeDocument/2006/relationships/table" Target="../tables/table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00"/>
    <outlinePr summaryBelow="0" summaryRight="0"/>
  </sheetPr>
  <sheetViews>
    <sheetView workbookViewId="0"/>
  </sheetViews>
  <sheetFormatPr customHeight="1" defaultColWidth="12.63" defaultRowHeight="15.75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  <col customWidth="1" min="2" max="2" width="19.0"/>
    <col customWidth="1" min="3" max="3" width="17.13"/>
    <col customWidth="1" min="4" max="4" width="15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>
        <v>112463.0</v>
      </c>
      <c r="B2" s="4" t="s">
        <v>5</v>
      </c>
      <c r="C2" s="4" t="s">
        <v>6</v>
      </c>
      <c r="D2" s="4" t="s">
        <v>7</v>
      </c>
      <c r="E2" s="4">
        <v>4.22</v>
      </c>
    </row>
    <row r="3">
      <c r="A3" s="5">
        <v>112481.0</v>
      </c>
      <c r="B3" s="6" t="s">
        <v>5</v>
      </c>
      <c r="C3" s="6" t="s">
        <v>6</v>
      </c>
      <c r="D3" s="6" t="s">
        <v>7</v>
      </c>
      <c r="E3" s="6">
        <v>5.99</v>
      </c>
    </row>
    <row r="4">
      <c r="A4" s="3">
        <v>13346.0</v>
      </c>
      <c r="B4" s="4" t="s">
        <v>5</v>
      </c>
      <c r="C4" s="4" t="s">
        <v>6</v>
      </c>
      <c r="D4" s="4" t="s">
        <v>7</v>
      </c>
      <c r="E4" s="4">
        <v>2.39</v>
      </c>
    </row>
    <row r="5">
      <c r="A5" s="5">
        <v>112454.0</v>
      </c>
      <c r="B5" s="6" t="s">
        <v>5</v>
      </c>
      <c r="C5" s="6" t="s">
        <v>6</v>
      </c>
      <c r="D5" s="6" t="s">
        <v>7</v>
      </c>
      <c r="E5" s="6">
        <v>1.11</v>
      </c>
    </row>
    <row r="6">
      <c r="A6" s="3">
        <v>112461.0</v>
      </c>
      <c r="B6" s="4" t="s">
        <v>5</v>
      </c>
      <c r="C6" s="4" t="s">
        <v>6</v>
      </c>
      <c r="D6" s="4" t="s">
        <v>7</v>
      </c>
      <c r="E6" s="4">
        <v>1.17</v>
      </c>
    </row>
    <row r="7">
      <c r="A7" s="5">
        <v>106532.0</v>
      </c>
      <c r="B7" s="6" t="s">
        <v>5</v>
      </c>
      <c r="C7" s="6" t="s">
        <v>6</v>
      </c>
      <c r="D7" s="6" t="s">
        <v>8</v>
      </c>
      <c r="E7" s="6">
        <v>8.75</v>
      </c>
    </row>
    <row r="8">
      <c r="A8" s="3">
        <v>121135.0</v>
      </c>
      <c r="B8" s="4" t="s">
        <v>5</v>
      </c>
      <c r="C8" s="4" t="s">
        <v>6</v>
      </c>
      <c r="D8" s="4" t="s">
        <v>8</v>
      </c>
      <c r="E8" s="4">
        <v>8.75</v>
      </c>
    </row>
    <row r="9">
      <c r="A9" s="5">
        <v>128362.0</v>
      </c>
      <c r="B9" s="6" t="s">
        <v>9</v>
      </c>
      <c r="C9" s="6" t="s">
        <v>10</v>
      </c>
      <c r="D9" s="6" t="s">
        <v>11</v>
      </c>
      <c r="E9" s="6">
        <v>4.74</v>
      </c>
    </row>
    <row r="10">
      <c r="A10" s="3">
        <v>71200.0</v>
      </c>
      <c r="B10" s="4" t="s">
        <v>9</v>
      </c>
      <c r="C10" s="4" t="s">
        <v>10</v>
      </c>
      <c r="D10" s="4" t="s">
        <v>12</v>
      </c>
      <c r="E10" s="4">
        <v>1.92</v>
      </c>
    </row>
    <row r="11">
      <c r="A11" s="5">
        <v>19812.0</v>
      </c>
      <c r="B11" s="6" t="s">
        <v>9</v>
      </c>
      <c r="C11" s="6" t="s">
        <v>10</v>
      </c>
      <c r="D11" s="6" t="s">
        <v>12</v>
      </c>
      <c r="E11" s="6">
        <v>1.92</v>
      </c>
    </row>
    <row r="12">
      <c r="A12" s="3">
        <v>122259.0</v>
      </c>
      <c r="B12" s="4" t="s">
        <v>9</v>
      </c>
      <c r="C12" s="4" t="s">
        <v>10</v>
      </c>
      <c r="D12" s="4" t="s">
        <v>13</v>
      </c>
      <c r="E12" s="4">
        <v>2.79</v>
      </c>
    </row>
    <row r="13">
      <c r="A13" s="5">
        <v>199526.0</v>
      </c>
      <c r="B13" s="6" t="s">
        <v>9</v>
      </c>
      <c r="C13" s="6" t="s">
        <v>10</v>
      </c>
      <c r="D13" s="6" t="s">
        <v>13</v>
      </c>
      <c r="E13" s="6">
        <v>1.59</v>
      </c>
    </row>
    <row r="14">
      <c r="A14" s="3">
        <v>140581.0</v>
      </c>
      <c r="B14" s="4" t="s">
        <v>9</v>
      </c>
      <c r="C14" s="4" t="s">
        <v>10</v>
      </c>
      <c r="D14" s="4" t="s">
        <v>13</v>
      </c>
      <c r="E14" s="4">
        <v>3.91</v>
      </c>
    </row>
    <row r="15">
      <c r="A15" s="5">
        <v>118383.0</v>
      </c>
      <c r="B15" s="6" t="s">
        <v>9</v>
      </c>
      <c r="C15" s="6" t="s">
        <v>10</v>
      </c>
      <c r="D15" s="6" t="s">
        <v>13</v>
      </c>
      <c r="E15" s="6">
        <v>1.27</v>
      </c>
    </row>
    <row r="16">
      <c r="A16" s="3">
        <v>122262.0</v>
      </c>
      <c r="B16" s="4" t="s">
        <v>9</v>
      </c>
      <c r="C16" s="4" t="s">
        <v>10</v>
      </c>
      <c r="D16" s="4" t="s">
        <v>13</v>
      </c>
      <c r="E16" s="4">
        <v>2.79</v>
      </c>
    </row>
    <row r="17">
      <c r="A17" s="5">
        <v>141879.0</v>
      </c>
      <c r="B17" s="6" t="s">
        <v>9</v>
      </c>
      <c r="C17" s="6" t="s">
        <v>10</v>
      </c>
      <c r="D17" s="6" t="s">
        <v>13</v>
      </c>
      <c r="E17" s="6">
        <v>2.18</v>
      </c>
    </row>
    <row r="18">
      <c r="A18" s="3">
        <v>19826.0</v>
      </c>
      <c r="B18" s="4" t="s">
        <v>9</v>
      </c>
      <c r="C18" s="4" t="s">
        <v>14</v>
      </c>
      <c r="D18" s="4" t="s">
        <v>15</v>
      </c>
      <c r="E18" s="4">
        <v>2.69</v>
      </c>
    </row>
    <row r="19">
      <c r="A19" s="5">
        <v>93039.0</v>
      </c>
      <c r="B19" s="6" t="s">
        <v>9</v>
      </c>
      <c r="C19" s="6" t="s">
        <v>14</v>
      </c>
      <c r="D19" s="6" t="s">
        <v>15</v>
      </c>
      <c r="E19" s="6">
        <v>3.02</v>
      </c>
    </row>
    <row r="20">
      <c r="A20" s="3">
        <v>128213.0</v>
      </c>
      <c r="B20" s="4" t="s">
        <v>9</v>
      </c>
      <c r="C20" s="4" t="s">
        <v>14</v>
      </c>
      <c r="D20" s="4" t="s">
        <v>15</v>
      </c>
      <c r="E20" s="4">
        <v>4.51</v>
      </c>
    </row>
    <row r="21">
      <c r="A21" s="5">
        <v>83797.0</v>
      </c>
      <c r="B21" s="6" t="s">
        <v>9</v>
      </c>
      <c r="C21" s="6" t="s">
        <v>14</v>
      </c>
      <c r="D21" s="6" t="s">
        <v>15</v>
      </c>
      <c r="E21" s="6">
        <v>5.92</v>
      </c>
    </row>
    <row r="22">
      <c r="A22" s="3">
        <v>19831.0</v>
      </c>
      <c r="B22" s="4" t="s">
        <v>9</v>
      </c>
      <c r="C22" s="4" t="s">
        <v>14</v>
      </c>
      <c r="D22" s="4" t="s">
        <v>15</v>
      </c>
      <c r="E22" s="4">
        <v>3.75</v>
      </c>
    </row>
    <row r="23">
      <c r="A23" s="5">
        <v>93025.0</v>
      </c>
      <c r="B23" s="6" t="s">
        <v>9</v>
      </c>
      <c r="C23" s="6" t="s">
        <v>14</v>
      </c>
      <c r="D23" s="6" t="s">
        <v>15</v>
      </c>
      <c r="E23" s="6">
        <v>2.3</v>
      </c>
    </row>
    <row r="24">
      <c r="A24" s="3">
        <v>81624.0</v>
      </c>
      <c r="B24" s="4" t="s">
        <v>9</v>
      </c>
      <c r="C24" s="4" t="s">
        <v>14</v>
      </c>
      <c r="D24" s="4" t="s">
        <v>15</v>
      </c>
      <c r="E24" s="4">
        <v>7.24</v>
      </c>
    </row>
    <row r="25">
      <c r="A25" s="5">
        <v>92913.0</v>
      </c>
      <c r="B25" s="6" t="s">
        <v>9</v>
      </c>
      <c r="C25" s="6" t="s">
        <v>14</v>
      </c>
      <c r="D25" s="6" t="s">
        <v>15</v>
      </c>
      <c r="E25" s="6">
        <v>6.8</v>
      </c>
    </row>
    <row r="26">
      <c r="A26" s="3">
        <v>126983.0</v>
      </c>
      <c r="B26" s="4" t="s">
        <v>9</v>
      </c>
      <c r="C26" s="4" t="s">
        <v>14</v>
      </c>
      <c r="D26" s="4" t="s">
        <v>15</v>
      </c>
      <c r="E26" s="4">
        <v>2.92</v>
      </c>
    </row>
    <row r="27">
      <c r="A27" s="5">
        <v>118226.0</v>
      </c>
      <c r="B27" s="6" t="s">
        <v>9</v>
      </c>
      <c r="C27" s="6" t="s">
        <v>14</v>
      </c>
      <c r="D27" s="6" t="s">
        <v>15</v>
      </c>
      <c r="E27" s="6">
        <v>1.71</v>
      </c>
    </row>
    <row r="28">
      <c r="A28" s="3">
        <v>48618.0</v>
      </c>
      <c r="B28" s="4" t="s">
        <v>9</v>
      </c>
      <c r="C28" s="4" t="s">
        <v>14</v>
      </c>
      <c r="D28" s="4" t="s">
        <v>15</v>
      </c>
      <c r="E28" s="4">
        <v>2.14</v>
      </c>
    </row>
    <row r="29">
      <c r="A29" s="5">
        <v>93037.0</v>
      </c>
      <c r="B29" s="6" t="s">
        <v>9</v>
      </c>
      <c r="C29" s="6" t="s">
        <v>14</v>
      </c>
      <c r="D29" s="6" t="s">
        <v>15</v>
      </c>
      <c r="E29" s="6">
        <v>3.16</v>
      </c>
    </row>
    <row r="30">
      <c r="A30" s="3">
        <v>126984.0</v>
      </c>
      <c r="B30" s="4" t="s">
        <v>9</v>
      </c>
      <c r="C30" s="4" t="s">
        <v>14</v>
      </c>
      <c r="D30" s="4" t="s">
        <v>15</v>
      </c>
      <c r="E30" s="4">
        <v>1.95</v>
      </c>
    </row>
    <row r="31">
      <c r="A31" s="5">
        <v>47393.0</v>
      </c>
      <c r="B31" s="6" t="s">
        <v>9</v>
      </c>
      <c r="C31" s="6" t="s">
        <v>14</v>
      </c>
      <c r="D31" s="6" t="s">
        <v>15</v>
      </c>
      <c r="E31" s="6">
        <v>2.82</v>
      </c>
    </row>
    <row r="32">
      <c r="A32" s="3">
        <v>128214.0</v>
      </c>
      <c r="B32" s="4" t="s">
        <v>9</v>
      </c>
      <c r="C32" s="4" t="s">
        <v>14</v>
      </c>
      <c r="D32" s="4" t="s">
        <v>15</v>
      </c>
      <c r="E32" s="4">
        <v>4.51</v>
      </c>
    </row>
    <row r="33">
      <c r="A33" s="5">
        <v>83802.0</v>
      </c>
      <c r="B33" s="6" t="s">
        <v>9</v>
      </c>
      <c r="C33" s="6" t="s">
        <v>14</v>
      </c>
      <c r="D33" s="6" t="s">
        <v>15</v>
      </c>
      <c r="E33" s="6">
        <v>3.27</v>
      </c>
    </row>
    <row r="34">
      <c r="A34" s="3">
        <v>48625.0</v>
      </c>
      <c r="B34" s="4" t="s">
        <v>9</v>
      </c>
      <c r="C34" s="4" t="s">
        <v>14</v>
      </c>
      <c r="D34" s="4" t="s">
        <v>15</v>
      </c>
      <c r="E34" s="4">
        <v>4.17</v>
      </c>
    </row>
    <row r="35">
      <c r="A35" s="5">
        <v>83602.0</v>
      </c>
      <c r="B35" s="6" t="s">
        <v>9</v>
      </c>
      <c r="C35" s="6" t="s">
        <v>14</v>
      </c>
      <c r="D35" s="6" t="s">
        <v>15</v>
      </c>
      <c r="E35" s="6">
        <v>12.25</v>
      </c>
    </row>
    <row r="36">
      <c r="A36" s="3">
        <v>98867.0</v>
      </c>
      <c r="B36" s="4" t="s">
        <v>9</v>
      </c>
      <c r="C36" s="4" t="s">
        <v>14</v>
      </c>
      <c r="D36" s="4" t="s">
        <v>16</v>
      </c>
      <c r="E36" s="4">
        <v>4.16</v>
      </c>
    </row>
    <row r="37">
      <c r="A37" s="5">
        <v>127042.0</v>
      </c>
      <c r="B37" s="6" t="s">
        <v>9</v>
      </c>
      <c r="C37" s="6" t="s">
        <v>14</v>
      </c>
      <c r="D37" s="6" t="s">
        <v>16</v>
      </c>
      <c r="E37" s="6">
        <v>4.12</v>
      </c>
    </row>
    <row r="38">
      <c r="A38" s="3">
        <v>127241.0</v>
      </c>
      <c r="B38" s="4" t="s">
        <v>9</v>
      </c>
      <c r="C38" s="4" t="s">
        <v>14</v>
      </c>
      <c r="D38" s="4" t="s">
        <v>17</v>
      </c>
      <c r="E38" s="4">
        <v>12.33</v>
      </c>
    </row>
    <row r="39">
      <c r="A39" s="5">
        <v>118220.0</v>
      </c>
      <c r="B39" s="6" t="s">
        <v>9</v>
      </c>
      <c r="C39" s="6" t="s">
        <v>14</v>
      </c>
      <c r="D39" s="6" t="s">
        <v>17</v>
      </c>
      <c r="E39" s="6">
        <v>8.75</v>
      </c>
    </row>
    <row r="40">
      <c r="A40" s="3">
        <v>128216.0</v>
      </c>
      <c r="B40" s="4" t="s">
        <v>9</v>
      </c>
      <c r="C40" s="4" t="s">
        <v>14</v>
      </c>
      <c r="D40" s="4" t="s">
        <v>17</v>
      </c>
      <c r="E40" s="4">
        <v>12.01</v>
      </c>
    </row>
    <row r="41">
      <c r="A41" s="5">
        <v>93049.0</v>
      </c>
      <c r="B41" s="6" t="s">
        <v>9</v>
      </c>
      <c r="C41" s="6" t="s">
        <v>14</v>
      </c>
      <c r="D41" s="6" t="s">
        <v>17</v>
      </c>
      <c r="E41" s="6">
        <v>11.18</v>
      </c>
    </row>
    <row r="42">
      <c r="A42" s="3">
        <v>118216.0</v>
      </c>
      <c r="B42" s="4" t="s">
        <v>9</v>
      </c>
      <c r="C42" s="4" t="s">
        <v>14</v>
      </c>
      <c r="D42" s="4" t="s">
        <v>17</v>
      </c>
      <c r="E42" s="4">
        <v>6.58</v>
      </c>
    </row>
    <row r="43">
      <c r="A43" s="5">
        <v>118221.0</v>
      </c>
      <c r="B43" s="6" t="s">
        <v>9</v>
      </c>
      <c r="C43" s="6" t="s">
        <v>14</v>
      </c>
      <c r="D43" s="6" t="s">
        <v>17</v>
      </c>
      <c r="E43" s="6">
        <v>7.41</v>
      </c>
    </row>
    <row r="44">
      <c r="A44" s="3">
        <v>92900.0</v>
      </c>
      <c r="B44" s="4" t="s">
        <v>9</v>
      </c>
      <c r="C44" s="4" t="s">
        <v>14</v>
      </c>
      <c r="D44" s="4" t="s">
        <v>17</v>
      </c>
      <c r="E44" s="4">
        <v>6.22</v>
      </c>
    </row>
    <row r="45">
      <c r="A45" s="5">
        <v>118215.0</v>
      </c>
      <c r="B45" s="6" t="s">
        <v>9</v>
      </c>
      <c r="C45" s="6" t="s">
        <v>14</v>
      </c>
      <c r="D45" s="6" t="s">
        <v>17</v>
      </c>
      <c r="E45" s="6">
        <v>10.49</v>
      </c>
    </row>
    <row r="46">
      <c r="A46" s="3">
        <v>19832.0</v>
      </c>
      <c r="B46" s="4" t="s">
        <v>9</v>
      </c>
      <c r="C46" s="4" t="s">
        <v>14</v>
      </c>
      <c r="D46" s="4" t="s">
        <v>17</v>
      </c>
      <c r="E46" s="4">
        <v>7.24</v>
      </c>
    </row>
    <row r="47">
      <c r="A47" s="5">
        <v>93071.0</v>
      </c>
      <c r="B47" s="6" t="s">
        <v>9</v>
      </c>
      <c r="C47" s="6" t="s">
        <v>14</v>
      </c>
      <c r="D47" s="6" t="s">
        <v>17</v>
      </c>
      <c r="E47" s="6">
        <v>10.93</v>
      </c>
    </row>
    <row r="48">
      <c r="A48" s="3">
        <v>122395.0</v>
      </c>
      <c r="B48" s="4" t="s">
        <v>9</v>
      </c>
      <c r="C48" s="4" t="s">
        <v>14</v>
      </c>
      <c r="D48" s="4" t="s">
        <v>17</v>
      </c>
      <c r="E48" s="4">
        <v>11.4</v>
      </c>
    </row>
    <row r="49">
      <c r="A49" s="5">
        <v>116946.0</v>
      </c>
      <c r="B49" s="6" t="s">
        <v>9</v>
      </c>
      <c r="C49" s="6" t="s">
        <v>14</v>
      </c>
      <c r="D49" s="6" t="s">
        <v>17</v>
      </c>
      <c r="E49" s="6">
        <v>8.82</v>
      </c>
    </row>
    <row r="50">
      <c r="A50" s="3">
        <v>97538.0</v>
      </c>
      <c r="B50" s="4" t="s">
        <v>9</v>
      </c>
      <c r="C50" s="4" t="s">
        <v>14</v>
      </c>
      <c r="D50" s="4" t="s">
        <v>17</v>
      </c>
      <c r="E50" s="4">
        <v>6.91</v>
      </c>
    </row>
    <row r="51">
      <c r="A51" s="5">
        <v>127238.0</v>
      </c>
      <c r="B51" s="6" t="s">
        <v>9</v>
      </c>
      <c r="C51" s="6" t="s">
        <v>14</v>
      </c>
      <c r="D51" s="6" t="s">
        <v>17</v>
      </c>
      <c r="E51" s="6">
        <v>8.96</v>
      </c>
    </row>
    <row r="52">
      <c r="A52" s="3">
        <v>81646.0</v>
      </c>
      <c r="B52" s="4" t="s">
        <v>9</v>
      </c>
      <c r="C52" s="4" t="s">
        <v>14</v>
      </c>
      <c r="D52" s="4" t="s">
        <v>17</v>
      </c>
      <c r="E52" s="4">
        <v>8.34</v>
      </c>
    </row>
    <row r="53">
      <c r="A53" s="5">
        <v>81643.0</v>
      </c>
      <c r="B53" s="6" t="s">
        <v>9</v>
      </c>
      <c r="C53" s="6" t="s">
        <v>14</v>
      </c>
      <c r="D53" s="6" t="s">
        <v>17</v>
      </c>
      <c r="E53" s="6">
        <v>8.69</v>
      </c>
    </row>
    <row r="54">
      <c r="A54" s="3">
        <v>128215.0</v>
      </c>
      <c r="B54" s="4" t="s">
        <v>9</v>
      </c>
      <c r="C54" s="4" t="s">
        <v>14</v>
      </c>
      <c r="D54" s="4" t="s">
        <v>17</v>
      </c>
      <c r="E54" s="4">
        <v>11.64</v>
      </c>
    </row>
    <row r="55">
      <c r="A55" s="5">
        <v>108022.0</v>
      </c>
      <c r="B55" s="6" t="s">
        <v>9</v>
      </c>
      <c r="C55" s="6" t="s">
        <v>14</v>
      </c>
      <c r="D55" s="6" t="s">
        <v>17</v>
      </c>
      <c r="E55" s="6">
        <v>6.9</v>
      </c>
    </row>
    <row r="56">
      <c r="A56" s="3">
        <v>81647.0</v>
      </c>
      <c r="B56" s="4" t="s">
        <v>9</v>
      </c>
      <c r="C56" s="4" t="s">
        <v>14</v>
      </c>
      <c r="D56" s="4" t="s">
        <v>17</v>
      </c>
      <c r="E56" s="4">
        <v>8.69</v>
      </c>
    </row>
    <row r="57">
      <c r="A57" s="5">
        <v>83603.0</v>
      </c>
      <c r="B57" s="6" t="s">
        <v>9</v>
      </c>
      <c r="C57" s="6" t="s">
        <v>14</v>
      </c>
      <c r="D57" s="6" t="s">
        <v>17</v>
      </c>
      <c r="E57" s="6">
        <v>12.25</v>
      </c>
    </row>
    <row r="58">
      <c r="A58" s="3">
        <v>118219.0</v>
      </c>
      <c r="B58" s="4" t="s">
        <v>9</v>
      </c>
      <c r="C58" s="4" t="s">
        <v>14</v>
      </c>
      <c r="D58" s="4" t="s">
        <v>17</v>
      </c>
      <c r="E58" s="4">
        <v>8.75</v>
      </c>
    </row>
    <row r="59">
      <c r="A59" s="5">
        <v>120952.0</v>
      </c>
      <c r="B59" s="6" t="s">
        <v>9</v>
      </c>
      <c r="C59" s="6" t="s">
        <v>14</v>
      </c>
      <c r="D59" s="6" t="s">
        <v>18</v>
      </c>
      <c r="E59" s="6">
        <v>2.89</v>
      </c>
    </row>
    <row r="60">
      <c r="A60" s="3">
        <v>81658.0</v>
      </c>
      <c r="B60" s="4" t="s">
        <v>9</v>
      </c>
      <c r="C60" s="4" t="s">
        <v>14</v>
      </c>
      <c r="D60" s="4" t="s">
        <v>18</v>
      </c>
      <c r="E60" s="4">
        <v>5.37</v>
      </c>
    </row>
    <row r="61">
      <c r="A61" s="5">
        <v>93047.0</v>
      </c>
      <c r="B61" s="6" t="s">
        <v>9</v>
      </c>
      <c r="C61" s="6" t="s">
        <v>14</v>
      </c>
      <c r="D61" s="6" t="s">
        <v>18</v>
      </c>
      <c r="E61" s="6">
        <v>3.4</v>
      </c>
    </row>
    <row r="62">
      <c r="A62" s="3">
        <v>83807.0</v>
      </c>
      <c r="B62" s="4" t="s">
        <v>9</v>
      </c>
      <c r="C62" s="4" t="s">
        <v>14</v>
      </c>
      <c r="D62" s="4" t="s">
        <v>18</v>
      </c>
      <c r="E62" s="4">
        <v>3.88</v>
      </c>
    </row>
    <row r="63">
      <c r="A63" s="5">
        <v>92915.0</v>
      </c>
      <c r="B63" s="6" t="s">
        <v>9</v>
      </c>
      <c r="C63" s="6" t="s">
        <v>14</v>
      </c>
      <c r="D63" s="6" t="s">
        <v>18</v>
      </c>
      <c r="E63" s="6">
        <v>6.22</v>
      </c>
    </row>
    <row r="64">
      <c r="A64" s="3">
        <v>81653.0</v>
      </c>
      <c r="B64" s="4" t="s">
        <v>9</v>
      </c>
      <c r="C64" s="4" t="s">
        <v>14</v>
      </c>
      <c r="D64" s="4" t="s">
        <v>18</v>
      </c>
      <c r="E64" s="4">
        <v>4.13</v>
      </c>
    </row>
    <row r="65">
      <c r="A65" s="5">
        <v>81618.0</v>
      </c>
      <c r="B65" s="6" t="s">
        <v>9</v>
      </c>
      <c r="C65" s="6" t="s">
        <v>14</v>
      </c>
      <c r="D65" s="6" t="s">
        <v>18</v>
      </c>
      <c r="E65" s="6">
        <v>3.55</v>
      </c>
    </row>
    <row r="66">
      <c r="A66" s="3">
        <v>118241.0</v>
      </c>
      <c r="B66" s="4" t="s">
        <v>9</v>
      </c>
      <c r="C66" s="4" t="s">
        <v>14</v>
      </c>
      <c r="D66" s="4" t="s">
        <v>19</v>
      </c>
      <c r="E66" s="4">
        <v>2.36</v>
      </c>
    </row>
    <row r="67">
      <c r="A67" s="5">
        <v>48634.0</v>
      </c>
      <c r="B67" s="6" t="s">
        <v>9</v>
      </c>
      <c r="C67" s="6" t="s">
        <v>14</v>
      </c>
      <c r="D67" s="6" t="s">
        <v>19</v>
      </c>
      <c r="E67" s="6">
        <v>3.16</v>
      </c>
    </row>
    <row r="68">
      <c r="A68" s="3">
        <v>48636.0</v>
      </c>
      <c r="B68" s="4" t="s">
        <v>9</v>
      </c>
      <c r="C68" s="4" t="s">
        <v>14</v>
      </c>
      <c r="D68" s="4" t="s">
        <v>19</v>
      </c>
      <c r="E68" s="4">
        <v>3.21</v>
      </c>
    </row>
    <row r="69">
      <c r="A69" s="5">
        <v>48629.0</v>
      </c>
      <c r="B69" s="6" t="s">
        <v>9</v>
      </c>
      <c r="C69" s="6" t="s">
        <v>14</v>
      </c>
      <c r="D69" s="6" t="s">
        <v>19</v>
      </c>
      <c r="E69" s="6">
        <v>2.38</v>
      </c>
    </row>
    <row r="70">
      <c r="A70" s="3">
        <v>47400.0</v>
      </c>
      <c r="B70" s="4" t="s">
        <v>9</v>
      </c>
      <c r="C70" s="4" t="s">
        <v>14</v>
      </c>
      <c r="D70" s="4" t="s">
        <v>19</v>
      </c>
      <c r="E70" s="4">
        <v>2.25</v>
      </c>
    </row>
    <row r="71">
      <c r="A71" s="5">
        <v>111237.0</v>
      </c>
      <c r="B71" s="6" t="s">
        <v>9</v>
      </c>
      <c r="C71" s="6" t="s">
        <v>14</v>
      </c>
      <c r="D71" s="6" t="s">
        <v>19</v>
      </c>
      <c r="E71" s="6">
        <v>3.97</v>
      </c>
    </row>
    <row r="72">
      <c r="A72" s="3">
        <v>18042.0</v>
      </c>
      <c r="B72" s="4" t="s">
        <v>9</v>
      </c>
      <c r="C72" s="4" t="s">
        <v>14</v>
      </c>
      <c r="D72" s="4" t="s">
        <v>20</v>
      </c>
      <c r="E72" s="4">
        <v>3.46</v>
      </c>
    </row>
    <row r="73">
      <c r="A73" s="5">
        <v>114978.0</v>
      </c>
      <c r="B73" s="6" t="s">
        <v>9</v>
      </c>
      <c r="C73" s="6" t="s">
        <v>14</v>
      </c>
      <c r="D73" s="6" t="s">
        <v>20</v>
      </c>
      <c r="E73" s="6">
        <v>4.44</v>
      </c>
    </row>
    <row r="74">
      <c r="A74" s="3">
        <v>82980.0</v>
      </c>
      <c r="B74" s="4" t="s">
        <v>9</v>
      </c>
      <c r="C74" s="4" t="s">
        <v>14</v>
      </c>
      <c r="D74" s="4" t="s">
        <v>20</v>
      </c>
      <c r="E74" s="4">
        <v>2.5</v>
      </c>
    </row>
    <row r="75">
      <c r="A75" s="5">
        <v>83093.0</v>
      </c>
      <c r="B75" s="6" t="s">
        <v>9</v>
      </c>
      <c r="C75" s="6" t="s">
        <v>14</v>
      </c>
      <c r="D75" s="6" t="s">
        <v>20</v>
      </c>
      <c r="E75" s="6">
        <v>4.21</v>
      </c>
    </row>
    <row r="76">
      <c r="A76" s="3">
        <v>18134.0</v>
      </c>
      <c r="B76" s="4" t="s">
        <v>9</v>
      </c>
      <c r="C76" s="4" t="s">
        <v>14</v>
      </c>
      <c r="D76" s="4" t="s">
        <v>20</v>
      </c>
      <c r="E76" s="4">
        <v>4.11</v>
      </c>
    </row>
    <row r="77">
      <c r="A77" s="5">
        <v>107857.0</v>
      </c>
      <c r="B77" s="6" t="s">
        <v>9</v>
      </c>
      <c r="C77" s="6" t="s">
        <v>14</v>
      </c>
      <c r="D77" s="6" t="s">
        <v>20</v>
      </c>
      <c r="E77" s="6">
        <v>3.83</v>
      </c>
    </row>
    <row r="78">
      <c r="A78" s="3">
        <v>18136.0</v>
      </c>
      <c r="B78" s="4" t="s">
        <v>9</v>
      </c>
      <c r="C78" s="4" t="s">
        <v>14</v>
      </c>
      <c r="D78" s="4" t="s">
        <v>20</v>
      </c>
      <c r="E78" s="4">
        <v>5.46</v>
      </c>
    </row>
    <row r="79">
      <c r="A79" s="5">
        <v>69138.0</v>
      </c>
      <c r="B79" s="6" t="s">
        <v>9</v>
      </c>
      <c r="C79" s="6" t="s">
        <v>14</v>
      </c>
      <c r="D79" s="6" t="s">
        <v>20</v>
      </c>
      <c r="E79" s="6">
        <v>5.31</v>
      </c>
    </row>
    <row r="80">
      <c r="A80" s="3">
        <v>74828.0</v>
      </c>
      <c r="B80" s="4" t="s">
        <v>9</v>
      </c>
      <c r="C80" s="4" t="s">
        <v>14</v>
      </c>
      <c r="D80" s="4" t="s">
        <v>20</v>
      </c>
      <c r="E80" s="4">
        <v>4.59</v>
      </c>
    </row>
    <row r="81">
      <c r="A81" s="5">
        <v>74884.0</v>
      </c>
      <c r="B81" s="6" t="s">
        <v>9</v>
      </c>
      <c r="C81" s="6" t="s">
        <v>14</v>
      </c>
      <c r="D81" s="6" t="s">
        <v>20</v>
      </c>
      <c r="E81" s="6">
        <v>5.02</v>
      </c>
    </row>
    <row r="82">
      <c r="A82" s="3">
        <v>127232.0</v>
      </c>
      <c r="B82" s="4" t="s">
        <v>9</v>
      </c>
      <c r="C82" s="4" t="s">
        <v>14</v>
      </c>
      <c r="D82" s="4" t="s">
        <v>20</v>
      </c>
      <c r="E82" s="4">
        <v>3.12</v>
      </c>
    </row>
    <row r="83">
      <c r="A83" s="5">
        <v>82979.0</v>
      </c>
      <c r="B83" s="6" t="s">
        <v>9</v>
      </c>
      <c r="C83" s="6" t="s">
        <v>14</v>
      </c>
      <c r="D83" s="6" t="s">
        <v>20</v>
      </c>
      <c r="E83" s="6">
        <v>1.92</v>
      </c>
    </row>
    <row r="84">
      <c r="A84" s="3">
        <v>18138.0</v>
      </c>
      <c r="B84" s="4" t="s">
        <v>9</v>
      </c>
      <c r="C84" s="4" t="s">
        <v>14</v>
      </c>
      <c r="D84" s="4" t="s">
        <v>20</v>
      </c>
      <c r="E84" s="4">
        <v>5.97</v>
      </c>
    </row>
    <row r="85">
      <c r="A85" s="5">
        <v>127003.0</v>
      </c>
      <c r="B85" s="6" t="s">
        <v>9</v>
      </c>
      <c r="C85" s="6" t="s">
        <v>14</v>
      </c>
      <c r="D85" s="6" t="s">
        <v>21</v>
      </c>
      <c r="E85" s="6">
        <v>3.54</v>
      </c>
    </row>
    <row r="86">
      <c r="A86" s="3">
        <v>6036.0</v>
      </c>
      <c r="B86" s="4" t="s">
        <v>9</v>
      </c>
      <c r="C86" s="4" t="s">
        <v>22</v>
      </c>
      <c r="D86" s="4"/>
      <c r="E86" s="4">
        <v>3.94</v>
      </c>
    </row>
    <row r="87">
      <c r="A87" s="5">
        <v>6046.0</v>
      </c>
      <c r="B87" s="6" t="s">
        <v>9</v>
      </c>
      <c r="C87" s="6" t="s">
        <v>22</v>
      </c>
      <c r="D87" s="6"/>
      <c r="E87" s="6">
        <v>5.08</v>
      </c>
    </row>
    <row r="88">
      <c r="A88" s="3">
        <v>6037.0</v>
      </c>
      <c r="B88" s="4" t="s">
        <v>9</v>
      </c>
      <c r="C88" s="4" t="s">
        <v>22</v>
      </c>
      <c r="D88" s="4"/>
      <c r="E88" s="4">
        <v>4.39</v>
      </c>
    </row>
    <row r="89">
      <c r="A89" s="5">
        <v>6026.0</v>
      </c>
      <c r="B89" s="6" t="s">
        <v>9</v>
      </c>
      <c r="C89" s="6" t="s">
        <v>22</v>
      </c>
      <c r="D89" s="6"/>
      <c r="E89" s="6">
        <v>3.49</v>
      </c>
    </row>
    <row r="90">
      <c r="A90" s="3">
        <v>47431.0</v>
      </c>
      <c r="B90" s="4" t="s">
        <v>9</v>
      </c>
      <c r="C90" s="4" t="s">
        <v>22</v>
      </c>
      <c r="D90" s="4"/>
      <c r="E90" s="4">
        <v>3.4</v>
      </c>
    </row>
    <row r="91">
      <c r="A91" s="5">
        <v>82914.0</v>
      </c>
      <c r="B91" s="6" t="s">
        <v>9</v>
      </c>
      <c r="C91" s="6" t="s">
        <v>22</v>
      </c>
      <c r="D91" s="6"/>
      <c r="E91" s="6">
        <v>4.39</v>
      </c>
    </row>
    <row r="92">
      <c r="A92" s="3">
        <v>6044.0</v>
      </c>
      <c r="B92" s="4" t="s">
        <v>9</v>
      </c>
      <c r="C92" s="4" t="s">
        <v>22</v>
      </c>
      <c r="D92" s="4"/>
      <c r="E92" s="4">
        <v>5.25</v>
      </c>
    </row>
    <row r="93">
      <c r="A93" s="5">
        <v>82913.0</v>
      </c>
      <c r="B93" s="6" t="s">
        <v>9</v>
      </c>
      <c r="C93" s="6" t="s">
        <v>22</v>
      </c>
      <c r="D93" s="6"/>
      <c r="E93" s="6">
        <v>4.19</v>
      </c>
    </row>
    <row r="94">
      <c r="A94" s="3">
        <v>82922.0</v>
      </c>
      <c r="B94" s="4" t="s">
        <v>9</v>
      </c>
      <c r="C94" s="4" t="s">
        <v>22</v>
      </c>
      <c r="D94" s="4"/>
      <c r="E94" s="4">
        <v>4.6</v>
      </c>
    </row>
    <row r="95">
      <c r="A95" s="5">
        <v>6045.0</v>
      </c>
      <c r="B95" s="6" t="s">
        <v>9</v>
      </c>
      <c r="C95" s="6" t="s">
        <v>22</v>
      </c>
      <c r="D95" s="6"/>
      <c r="E95" s="6">
        <v>5.08</v>
      </c>
    </row>
    <row r="96">
      <c r="A96" s="3">
        <v>6027.0</v>
      </c>
      <c r="B96" s="4" t="s">
        <v>9</v>
      </c>
      <c r="C96" s="4" t="s">
        <v>22</v>
      </c>
      <c r="D96" s="4"/>
      <c r="E96" s="4">
        <v>3.4</v>
      </c>
    </row>
    <row r="97">
      <c r="A97" s="5">
        <v>97088.0</v>
      </c>
      <c r="B97" s="6" t="s">
        <v>9</v>
      </c>
      <c r="C97" s="6" t="s">
        <v>23</v>
      </c>
      <c r="D97" s="6" t="s">
        <v>24</v>
      </c>
      <c r="E97" s="6">
        <v>2.47</v>
      </c>
    </row>
    <row r="98">
      <c r="A98" s="3">
        <v>122235.0</v>
      </c>
      <c r="B98" s="4" t="s">
        <v>9</v>
      </c>
      <c r="C98" s="4" t="s">
        <v>23</v>
      </c>
      <c r="D98" s="4" t="s">
        <v>25</v>
      </c>
      <c r="E98" s="4">
        <v>12.77</v>
      </c>
    </row>
    <row r="99">
      <c r="A99" s="5">
        <v>119887.0</v>
      </c>
      <c r="B99" s="6" t="s">
        <v>9</v>
      </c>
      <c r="C99" s="6" t="s">
        <v>23</v>
      </c>
      <c r="D99" s="6" t="s">
        <v>25</v>
      </c>
      <c r="E99" s="6">
        <v>18.28</v>
      </c>
    </row>
    <row r="100">
      <c r="A100" s="3">
        <v>97980.0</v>
      </c>
      <c r="B100" s="4" t="s">
        <v>9</v>
      </c>
      <c r="C100" s="4" t="s">
        <v>23</v>
      </c>
      <c r="D100" s="4" t="s">
        <v>26</v>
      </c>
      <c r="E100" s="4">
        <v>13.23</v>
      </c>
    </row>
    <row r="101">
      <c r="A101" s="5">
        <v>119876.0</v>
      </c>
      <c r="B101" s="6" t="s">
        <v>9</v>
      </c>
      <c r="C101" s="6" t="s">
        <v>23</v>
      </c>
      <c r="D101" s="6" t="s">
        <v>26</v>
      </c>
      <c r="E101" s="6">
        <v>14.76</v>
      </c>
    </row>
    <row r="102">
      <c r="A102" s="3">
        <v>119881.0</v>
      </c>
      <c r="B102" s="4" t="s">
        <v>9</v>
      </c>
      <c r="C102" s="4" t="s">
        <v>23</v>
      </c>
      <c r="D102" s="4" t="s">
        <v>26</v>
      </c>
      <c r="E102" s="4">
        <v>14.08</v>
      </c>
    </row>
    <row r="103">
      <c r="A103" s="5">
        <v>26127.0</v>
      </c>
      <c r="B103" s="6" t="s">
        <v>9</v>
      </c>
      <c r="C103" s="6" t="s">
        <v>27</v>
      </c>
      <c r="D103" s="6" t="s">
        <v>28</v>
      </c>
      <c r="E103" s="6">
        <v>1.25</v>
      </c>
    </row>
    <row r="104">
      <c r="A104" s="3">
        <v>87365.0</v>
      </c>
      <c r="B104" s="4" t="s">
        <v>9</v>
      </c>
      <c r="C104" s="4" t="s">
        <v>27</v>
      </c>
      <c r="D104" s="4" t="s">
        <v>28</v>
      </c>
      <c r="E104" s="4">
        <v>3.05</v>
      </c>
    </row>
    <row r="105">
      <c r="A105" s="5">
        <v>87381.0</v>
      </c>
      <c r="B105" s="6" t="s">
        <v>9</v>
      </c>
      <c r="C105" s="6" t="s">
        <v>27</v>
      </c>
      <c r="D105" s="6" t="s">
        <v>28</v>
      </c>
      <c r="E105" s="6">
        <v>1.44</v>
      </c>
    </row>
    <row r="106">
      <c r="A106" s="3">
        <v>122828.0</v>
      </c>
      <c r="B106" s="4" t="s">
        <v>9</v>
      </c>
      <c r="C106" s="4" t="s">
        <v>27</v>
      </c>
      <c r="D106" s="4" t="s">
        <v>28</v>
      </c>
      <c r="E106" s="4">
        <v>1.37</v>
      </c>
    </row>
    <row r="107">
      <c r="A107" s="5">
        <v>73841.0</v>
      </c>
      <c r="B107" s="6" t="s">
        <v>9</v>
      </c>
      <c r="C107" s="6" t="s">
        <v>27</v>
      </c>
      <c r="D107" s="6" t="s">
        <v>28</v>
      </c>
      <c r="E107" s="6">
        <v>1.25</v>
      </c>
    </row>
    <row r="108">
      <c r="A108" s="3">
        <v>73838.0</v>
      </c>
      <c r="B108" s="4" t="s">
        <v>9</v>
      </c>
      <c r="C108" s="4" t="s">
        <v>27</v>
      </c>
      <c r="D108" s="4" t="s">
        <v>29</v>
      </c>
      <c r="E108" s="4">
        <v>1.25</v>
      </c>
    </row>
    <row r="109">
      <c r="A109" s="5">
        <v>87372.0</v>
      </c>
      <c r="B109" s="6" t="s">
        <v>9</v>
      </c>
      <c r="C109" s="6" t="s">
        <v>27</v>
      </c>
      <c r="D109" s="6" t="s">
        <v>30</v>
      </c>
      <c r="E109" s="6">
        <v>3.37</v>
      </c>
    </row>
    <row r="110">
      <c r="A110" s="3">
        <v>87383.0</v>
      </c>
      <c r="B110" s="4" t="s">
        <v>9</v>
      </c>
      <c r="C110" s="4" t="s">
        <v>27</v>
      </c>
      <c r="D110" s="4" t="s">
        <v>30</v>
      </c>
      <c r="E110" s="4">
        <v>3.5</v>
      </c>
    </row>
    <row r="111">
      <c r="A111" s="5">
        <v>49068.0</v>
      </c>
      <c r="B111" s="6" t="s">
        <v>9</v>
      </c>
      <c r="C111" s="6" t="s">
        <v>27</v>
      </c>
      <c r="D111" s="6" t="s">
        <v>31</v>
      </c>
      <c r="E111" s="6">
        <v>6.95</v>
      </c>
    </row>
    <row r="112">
      <c r="A112" s="3">
        <v>26130.0</v>
      </c>
      <c r="B112" s="4" t="s">
        <v>9</v>
      </c>
      <c r="C112" s="4" t="s">
        <v>27</v>
      </c>
      <c r="D112" s="4" t="s">
        <v>32</v>
      </c>
      <c r="E112" s="4">
        <v>1.25</v>
      </c>
    </row>
    <row r="113">
      <c r="A113" s="5">
        <v>111493.0</v>
      </c>
      <c r="B113" s="6" t="s">
        <v>9</v>
      </c>
      <c r="C113" s="6" t="s">
        <v>27</v>
      </c>
      <c r="D113" s="6" t="s">
        <v>33</v>
      </c>
      <c r="E113" s="6">
        <v>2.85</v>
      </c>
    </row>
    <row r="114">
      <c r="A114" s="3">
        <v>98395.0</v>
      </c>
      <c r="B114" s="4" t="s">
        <v>9</v>
      </c>
      <c r="C114" s="4" t="s">
        <v>27</v>
      </c>
      <c r="D114" s="4" t="s">
        <v>33</v>
      </c>
      <c r="E114" s="4">
        <v>1.37</v>
      </c>
    </row>
    <row r="115">
      <c r="A115" s="5">
        <v>98396.0</v>
      </c>
      <c r="B115" s="6" t="s">
        <v>9</v>
      </c>
      <c r="C115" s="6" t="s">
        <v>27</v>
      </c>
      <c r="D115" s="6" t="s">
        <v>33</v>
      </c>
      <c r="E115" s="6">
        <v>1.44</v>
      </c>
    </row>
    <row r="116">
      <c r="A116" s="3">
        <v>98394.0</v>
      </c>
      <c r="B116" s="4" t="s">
        <v>9</v>
      </c>
      <c r="C116" s="4" t="s">
        <v>27</v>
      </c>
      <c r="D116" s="4" t="s">
        <v>33</v>
      </c>
      <c r="E116" s="4">
        <v>1.37</v>
      </c>
    </row>
    <row r="117">
      <c r="A117" s="5">
        <v>98397.0</v>
      </c>
      <c r="B117" s="6" t="s">
        <v>9</v>
      </c>
      <c r="C117" s="6" t="s">
        <v>27</v>
      </c>
      <c r="D117" s="6" t="s">
        <v>33</v>
      </c>
      <c r="E117" s="6">
        <v>1.44</v>
      </c>
    </row>
    <row r="118">
      <c r="A118" s="3">
        <v>111489.0</v>
      </c>
      <c r="B118" s="4" t="s">
        <v>9</v>
      </c>
      <c r="C118" s="4" t="s">
        <v>27</v>
      </c>
      <c r="D118" s="4" t="s">
        <v>33</v>
      </c>
      <c r="E118" s="4">
        <v>1.37</v>
      </c>
    </row>
    <row r="119">
      <c r="A119" s="5">
        <v>98393.0</v>
      </c>
      <c r="B119" s="6" t="s">
        <v>9</v>
      </c>
      <c r="C119" s="6" t="s">
        <v>27</v>
      </c>
      <c r="D119" s="6" t="s">
        <v>33</v>
      </c>
      <c r="E119" s="6">
        <v>1.34</v>
      </c>
    </row>
    <row r="120">
      <c r="A120" s="3">
        <v>10933.0</v>
      </c>
      <c r="B120" s="4" t="s">
        <v>34</v>
      </c>
      <c r="C120" s="4" t="s">
        <v>35</v>
      </c>
      <c r="D120" s="4" t="s">
        <v>36</v>
      </c>
      <c r="E120" s="4">
        <v>13.77</v>
      </c>
    </row>
    <row r="121">
      <c r="A121" s="5">
        <v>111994.0</v>
      </c>
      <c r="B121" s="6" t="s">
        <v>34</v>
      </c>
      <c r="C121" s="6" t="s">
        <v>35</v>
      </c>
      <c r="D121" s="6" t="s">
        <v>37</v>
      </c>
      <c r="E121" s="6">
        <v>4.83</v>
      </c>
    </row>
    <row r="122">
      <c r="A122" s="3">
        <v>101637.0</v>
      </c>
      <c r="B122" s="4" t="s">
        <v>34</v>
      </c>
      <c r="C122" s="4" t="s">
        <v>35</v>
      </c>
      <c r="D122" s="4" t="s">
        <v>37</v>
      </c>
      <c r="E122" s="4">
        <v>4.83</v>
      </c>
    </row>
    <row r="123">
      <c r="A123" s="5">
        <v>111996.0</v>
      </c>
      <c r="B123" s="6" t="s">
        <v>34</v>
      </c>
      <c r="C123" s="6" t="s">
        <v>35</v>
      </c>
      <c r="D123" s="6" t="s">
        <v>37</v>
      </c>
      <c r="E123" s="6">
        <v>4.83</v>
      </c>
    </row>
    <row r="124">
      <c r="A124" s="3">
        <v>120886.0</v>
      </c>
      <c r="B124" s="4" t="s">
        <v>5</v>
      </c>
      <c r="C124" s="4" t="s">
        <v>38</v>
      </c>
      <c r="D124" s="4" t="s">
        <v>39</v>
      </c>
      <c r="E124" s="4">
        <v>12.79</v>
      </c>
    </row>
    <row r="125">
      <c r="A125" s="5">
        <v>85058.0</v>
      </c>
      <c r="B125" s="6" t="s">
        <v>5</v>
      </c>
      <c r="C125" s="6" t="s">
        <v>38</v>
      </c>
      <c r="D125" s="6" t="s">
        <v>40</v>
      </c>
      <c r="E125" s="6">
        <v>9.78</v>
      </c>
    </row>
    <row r="126">
      <c r="A126" s="3">
        <v>27380.0</v>
      </c>
      <c r="B126" s="4" t="s">
        <v>5</v>
      </c>
      <c r="C126" s="4" t="s">
        <v>41</v>
      </c>
      <c r="D126" s="4" t="s">
        <v>42</v>
      </c>
      <c r="E126" s="4">
        <v>15.0</v>
      </c>
    </row>
    <row r="127">
      <c r="A127" s="5">
        <v>117204.0</v>
      </c>
      <c r="B127" s="6" t="s">
        <v>5</v>
      </c>
      <c r="C127" s="6" t="s">
        <v>41</v>
      </c>
      <c r="D127" s="6" t="s">
        <v>42</v>
      </c>
      <c r="E127" s="6">
        <v>12.19</v>
      </c>
    </row>
    <row r="128">
      <c r="A128" s="3">
        <v>45484.0</v>
      </c>
      <c r="B128" s="4" t="s">
        <v>5</v>
      </c>
      <c r="C128" s="4" t="s">
        <v>41</v>
      </c>
      <c r="D128" s="4" t="s">
        <v>42</v>
      </c>
      <c r="E128" s="4">
        <v>14.52</v>
      </c>
    </row>
    <row r="129">
      <c r="A129" s="5">
        <v>27382.0</v>
      </c>
      <c r="B129" s="6" t="s">
        <v>5</v>
      </c>
      <c r="C129" s="6" t="s">
        <v>41</v>
      </c>
      <c r="D129" s="6" t="s">
        <v>42</v>
      </c>
      <c r="E129" s="6">
        <v>21.75</v>
      </c>
    </row>
    <row r="130">
      <c r="A130" s="3">
        <v>45491.0</v>
      </c>
      <c r="B130" s="4" t="s">
        <v>5</v>
      </c>
      <c r="C130" s="4" t="s">
        <v>41</v>
      </c>
      <c r="D130" s="4" t="s">
        <v>42</v>
      </c>
      <c r="E130" s="4">
        <v>19.87</v>
      </c>
    </row>
    <row r="131">
      <c r="A131" s="5">
        <v>11631.0</v>
      </c>
      <c r="B131" s="6" t="s">
        <v>5</v>
      </c>
      <c r="C131" s="6" t="s">
        <v>41</v>
      </c>
      <c r="D131" s="6" t="s">
        <v>42</v>
      </c>
      <c r="E131" s="6">
        <v>28.71</v>
      </c>
    </row>
    <row r="132">
      <c r="A132" s="3">
        <v>11630.0</v>
      </c>
      <c r="B132" s="4" t="s">
        <v>5</v>
      </c>
      <c r="C132" s="4" t="s">
        <v>41</v>
      </c>
      <c r="D132" s="4" t="s">
        <v>42</v>
      </c>
      <c r="E132" s="4">
        <v>21.94</v>
      </c>
    </row>
    <row r="133">
      <c r="A133" s="5">
        <v>11634.0</v>
      </c>
      <c r="B133" s="6" t="s">
        <v>5</v>
      </c>
      <c r="C133" s="6" t="s">
        <v>41</v>
      </c>
      <c r="D133" s="6" t="s">
        <v>43</v>
      </c>
      <c r="E133" s="6">
        <v>6.37</v>
      </c>
    </row>
    <row r="134">
      <c r="A134" s="3">
        <v>11635.0</v>
      </c>
      <c r="B134" s="4" t="s">
        <v>5</v>
      </c>
      <c r="C134" s="4" t="s">
        <v>41</v>
      </c>
      <c r="D134" s="4" t="s">
        <v>43</v>
      </c>
      <c r="E134" s="4">
        <v>6.88</v>
      </c>
    </row>
    <row r="135">
      <c r="A135" s="5">
        <v>114776.0</v>
      </c>
      <c r="B135" s="6" t="s">
        <v>5</v>
      </c>
      <c r="C135" s="6" t="s">
        <v>41</v>
      </c>
      <c r="D135" s="6" t="s">
        <v>44</v>
      </c>
      <c r="E135" s="6">
        <v>13.39</v>
      </c>
    </row>
    <row r="136">
      <c r="A136" s="3">
        <v>76762.0</v>
      </c>
      <c r="B136" s="4" t="s">
        <v>5</v>
      </c>
      <c r="C136" s="4" t="s">
        <v>41</v>
      </c>
      <c r="D136" s="4" t="s">
        <v>45</v>
      </c>
      <c r="E136" s="4">
        <v>46.41</v>
      </c>
    </row>
    <row r="137">
      <c r="A137" s="5">
        <v>181194.0</v>
      </c>
      <c r="B137" s="6" t="s">
        <v>34</v>
      </c>
      <c r="C137" s="6" t="s">
        <v>46</v>
      </c>
      <c r="D137" s="6" t="s">
        <v>47</v>
      </c>
      <c r="E137" s="6">
        <v>22.05</v>
      </c>
    </row>
    <row r="138">
      <c r="A138" s="3">
        <v>164637.0</v>
      </c>
      <c r="B138" s="4" t="s">
        <v>34</v>
      </c>
      <c r="C138" s="4" t="s">
        <v>46</v>
      </c>
      <c r="D138" s="4" t="s">
        <v>48</v>
      </c>
      <c r="E138" s="4">
        <v>16.03</v>
      </c>
    </row>
    <row r="139">
      <c r="A139" s="5">
        <v>164636.0</v>
      </c>
      <c r="B139" s="6" t="s">
        <v>34</v>
      </c>
      <c r="C139" s="6" t="s">
        <v>46</v>
      </c>
      <c r="D139" s="6" t="s">
        <v>48</v>
      </c>
      <c r="E139" s="6">
        <v>16.03</v>
      </c>
    </row>
    <row r="140">
      <c r="A140" s="3">
        <v>164639.0</v>
      </c>
      <c r="B140" s="4" t="s">
        <v>34</v>
      </c>
      <c r="C140" s="4" t="s">
        <v>46</v>
      </c>
      <c r="D140" s="4" t="s">
        <v>48</v>
      </c>
      <c r="E140" s="4">
        <v>16.03</v>
      </c>
    </row>
    <row r="141">
      <c r="A141" s="5">
        <v>85251.0</v>
      </c>
      <c r="B141" s="6" t="s">
        <v>34</v>
      </c>
      <c r="C141" s="6" t="s">
        <v>46</v>
      </c>
      <c r="D141" s="6" t="s">
        <v>48</v>
      </c>
      <c r="E141" s="6">
        <v>12.57</v>
      </c>
    </row>
    <row r="142">
      <c r="A142" s="3">
        <v>113532.0</v>
      </c>
      <c r="B142" s="4" t="s">
        <v>34</v>
      </c>
      <c r="C142" s="4" t="s">
        <v>46</v>
      </c>
      <c r="D142" s="4" t="s">
        <v>48</v>
      </c>
      <c r="E142" s="4">
        <v>15.17</v>
      </c>
    </row>
    <row r="143">
      <c r="A143" s="5">
        <v>82501.0</v>
      </c>
      <c r="B143" s="6" t="s">
        <v>34</v>
      </c>
      <c r="C143" s="6" t="s">
        <v>46</v>
      </c>
      <c r="D143" s="6" t="s">
        <v>48</v>
      </c>
      <c r="E143" s="6">
        <v>10.83</v>
      </c>
    </row>
    <row r="144">
      <c r="A144" s="3">
        <v>121287.0</v>
      </c>
      <c r="B144" s="4" t="s">
        <v>34</v>
      </c>
      <c r="C144" s="4" t="s">
        <v>46</v>
      </c>
      <c r="D144" s="4" t="s">
        <v>48</v>
      </c>
      <c r="E144" s="4">
        <v>16.03</v>
      </c>
    </row>
    <row r="145">
      <c r="A145" s="5">
        <v>113559.0</v>
      </c>
      <c r="B145" s="6" t="s">
        <v>34</v>
      </c>
      <c r="C145" s="6" t="s">
        <v>46</v>
      </c>
      <c r="D145" s="6" t="s">
        <v>48</v>
      </c>
      <c r="E145" s="6">
        <v>8.67</v>
      </c>
    </row>
    <row r="146">
      <c r="A146" s="3">
        <v>85252.0</v>
      </c>
      <c r="B146" s="4" t="s">
        <v>34</v>
      </c>
      <c r="C146" s="4" t="s">
        <v>46</v>
      </c>
      <c r="D146" s="4" t="s">
        <v>48</v>
      </c>
      <c r="E146" s="4">
        <v>12.57</v>
      </c>
    </row>
    <row r="147">
      <c r="A147" s="5">
        <v>82507.0</v>
      </c>
      <c r="B147" s="6" t="s">
        <v>34</v>
      </c>
      <c r="C147" s="6" t="s">
        <v>46</v>
      </c>
      <c r="D147" s="6" t="s">
        <v>48</v>
      </c>
      <c r="E147" s="6">
        <v>12.57</v>
      </c>
    </row>
    <row r="148">
      <c r="A148" s="3">
        <v>109625.0</v>
      </c>
      <c r="B148" s="4" t="s">
        <v>34</v>
      </c>
      <c r="C148" s="4" t="s">
        <v>46</v>
      </c>
      <c r="D148" s="4" t="s">
        <v>48</v>
      </c>
      <c r="E148" s="4">
        <v>11.26</v>
      </c>
    </row>
    <row r="149">
      <c r="A149" s="5">
        <v>110864.0</v>
      </c>
      <c r="B149" s="6" t="s">
        <v>34</v>
      </c>
      <c r="C149" s="6" t="s">
        <v>46</v>
      </c>
      <c r="D149" s="6" t="s">
        <v>49</v>
      </c>
      <c r="E149" s="6">
        <v>14.29</v>
      </c>
    </row>
    <row r="150">
      <c r="A150" s="3">
        <v>138916.0</v>
      </c>
      <c r="B150" s="4" t="s">
        <v>34</v>
      </c>
      <c r="C150" s="4" t="s">
        <v>46</v>
      </c>
      <c r="D150" s="4" t="s">
        <v>49</v>
      </c>
      <c r="E150" s="4">
        <v>7.97</v>
      </c>
    </row>
    <row r="151">
      <c r="A151" s="5">
        <v>121076.0</v>
      </c>
      <c r="B151" s="6" t="s">
        <v>34</v>
      </c>
      <c r="C151" s="6" t="s">
        <v>46</v>
      </c>
      <c r="D151" s="6" t="s">
        <v>49</v>
      </c>
      <c r="E151" s="6">
        <v>9.4</v>
      </c>
    </row>
    <row r="152">
      <c r="A152" s="3">
        <v>121077.0</v>
      </c>
      <c r="B152" s="4" t="s">
        <v>34</v>
      </c>
      <c r="C152" s="4" t="s">
        <v>46</v>
      </c>
      <c r="D152" s="4" t="s">
        <v>49</v>
      </c>
      <c r="E152" s="4">
        <v>9.4</v>
      </c>
    </row>
    <row r="153">
      <c r="A153" s="5">
        <v>116631.0</v>
      </c>
      <c r="B153" s="6" t="s">
        <v>34</v>
      </c>
      <c r="C153" s="6" t="s">
        <v>46</v>
      </c>
      <c r="D153" s="6" t="s">
        <v>49</v>
      </c>
      <c r="E153" s="6">
        <v>7.97</v>
      </c>
    </row>
    <row r="154">
      <c r="A154" s="3">
        <v>147263.0</v>
      </c>
      <c r="B154" s="4" t="s">
        <v>34</v>
      </c>
      <c r="C154" s="4" t="s">
        <v>46</v>
      </c>
      <c r="D154" s="4" t="s">
        <v>49</v>
      </c>
      <c r="E154" s="4">
        <v>9.38</v>
      </c>
    </row>
    <row r="155">
      <c r="A155" s="5">
        <v>108763.0</v>
      </c>
      <c r="B155" s="6" t="s">
        <v>34</v>
      </c>
      <c r="C155" s="6" t="s">
        <v>46</v>
      </c>
      <c r="D155" s="6" t="s">
        <v>50</v>
      </c>
      <c r="E155" s="6">
        <v>10.4</v>
      </c>
    </row>
    <row r="156">
      <c r="A156" s="3">
        <v>116593.0</v>
      </c>
      <c r="B156" s="4" t="s">
        <v>34</v>
      </c>
      <c r="C156" s="4" t="s">
        <v>46</v>
      </c>
      <c r="D156" s="4" t="s">
        <v>50</v>
      </c>
      <c r="E156" s="4">
        <v>13.37</v>
      </c>
    </row>
    <row r="157">
      <c r="A157" s="5">
        <v>116613.0</v>
      </c>
      <c r="B157" s="6" t="s">
        <v>34</v>
      </c>
      <c r="C157" s="6" t="s">
        <v>46</v>
      </c>
      <c r="D157" s="6" t="s">
        <v>50</v>
      </c>
      <c r="E157" s="6">
        <v>6.33</v>
      </c>
    </row>
    <row r="158">
      <c r="A158" s="3">
        <v>102476.0</v>
      </c>
      <c r="B158" s="4" t="s">
        <v>34</v>
      </c>
      <c r="C158" s="4" t="s">
        <v>46</v>
      </c>
      <c r="D158" s="4" t="s">
        <v>50</v>
      </c>
      <c r="E158" s="4">
        <v>9.85</v>
      </c>
    </row>
    <row r="159">
      <c r="A159" s="5">
        <v>190030.0</v>
      </c>
      <c r="B159" s="6" t="s">
        <v>34</v>
      </c>
      <c r="C159" s="6" t="s">
        <v>46</v>
      </c>
      <c r="D159" s="6" t="s">
        <v>50</v>
      </c>
      <c r="E159" s="6">
        <v>10.7</v>
      </c>
    </row>
    <row r="160">
      <c r="A160" s="3">
        <v>113845.0</v>
      </c>
      <c r="B160" s="4" t="s">
        <v>34</v>
      </c>
      <c r="C160" s="4" t="s">
        <v>46</v>
      </c>
      <c r="D160" s="4" t="s">
        <v>50</v>
      </c>
      <c r="E160" s="4">
        <v>8.24</v>
      </c>
    </row>
    <row r="161">
      <c r="A161" s="5">
        <v>77824.0</v>
      </c>
      <c r="B161" s="6" t="s">
        <v>5</v>
      </c>
      <c r="C161" s="6" t="s">
        <v>51</v>
      </c>
      <c r="D161" s="6" t="s">
        <v>52</v>
      </c>
      <c r="E161" s="6">
        <v>13.43</v>
      </c>
    </row>
    <row r="162">
      <c r="A162" s="3">
        <v>85888.0</v>
      </c>
      <c r="B162" s="4" t="s">
        <v>5</v>
      </c>
      <c r="C162" s="4" t="s">
        <v>51</v>
      </c>
      <c r="D162" s="4" t="s">
        <v>52</v>
      </c>
      <c r="E162" s="4">
        <v>6.32</v>
      </c>
    </row>
    <row r="163">
      <c r="A163" s="5">
        <v>85890.0</v>
      </c>
      <c r="B163" s="6" t="s">
        <v>5</v>
      </c>
      <c r="C163" s="6" t="s">
        <v>51</v>
      </c>
      <c r="D163" s="6" t="s">
        <v>52</v>
      </c>
      <c r="E163" s="6">
        <v>4.77</v>
      </c>
    </row>
    <row r="164">
      <c r="A164" s="3">
        <v>83727.0</v>
      </c>
      <c r="B164" s="4" t="s">
        <v>5</v>
      </c>
      <c r="C164" s="4" t="s">
        <v>51</v>
      </c>
      <c r="D164" s="4" t="s">
        <v>52</v>
      </c>
      <c r="E164" s="4">
        <v>32.75</v>
      </c>
    </row>
    <row r="165">
      <c r="A165" s="5">
        <v>85887.0</v>
      </c>
      <c r="B165" s="6" t="s">
        <v>5</v>
      </c>
      <c r="C165" s="6" t="s">
        <v>51</v>
      </c>
      <c r="D165" s="6" t="s">
        <v>52</v>
      </c>
      <c r="E165" s="6">
        <v>5.03</v>
      </c>
    </row>
    <row r="166">
      <c r="A166" s="3">
        <v>77823.0</v>
      </c>
      <c r="B166" s="4" t="s">
        <v>5</v>
      </c>
      <c r="C166" s="4" t="s">
        <v>51</v>
      </c>
      <c r="D166" s="4" t="s">
        <v>52</v>
      </c>
      <c r="E166" s="4">
        <v>12.13</v>
      </c>
    </row>
    <row r="167">
      <c r="A167" s="5">
        <v>86753.0</v>
      </c>
      <c r="B167" s="6" t="s">
        <v>5</v>
      </c>
      <c r="C167" s="6" t="s">
        <v>51</v>
      </c>
      <c r="D167" s="6" t="s">
        <v>53</v>
      </c>
      <c r="E167" s="6">
        <v>5.4</v>
      </c>
    </row>
    <row r="168">
      <c r="A168" s="3">
        <v>145102.0</v>
      </c>
      <c r="B168" s="4" t="s">
        <v>5</v>
      </c>
      <c r="C168" s="4" t="s">
        <v>51</v>
      </c>
      <c r="D168" s="4" t="s">
        <v>53</v>
      </c>
      <c r="E168" s="4">
        <v>14.1</v>
      </c>
    </row>
    <row r="169">
      <c r="A169" s="5">
        <v>78717.0</v>
      </c>
      <c r="B169" s="6" t="s">
        <v>54</v>
      </c>
      <c r="C169" s="6" t="s">
        <v>55</v>
      </c>
      <c r="D169" s="6" t="s">
        <v>56</v>
      </c>
      <c r="E169" s="6">
        <v>12.52</v>
      </c>
    </row>
    <row r="170">
      <c r="A170" s="3">
        <v>82777.0</v>
      </c>
      <c r="B170" s="4" t="s">
        <v>54</v>
      </c>
      <c r="C170" s="4" t="s">
        <v>55</v>
      </c>
      <c r="D170" s="4" t="s">
        <v>56</v>
      </c>
      <c r="E170" s="4">
        <v>9.09</v>
      </c>
    </row>
    <row r="171">
      <c r="A171" s="5">
        <v>120341.0</v>
      </c>
      <c r="B171" s="6" t="s">
        <v>54</v>
      </c>
      <c r="C171" s="6" t="s">
        <v>55</v>
      </c>
      <c r="D171" s="6" t="s">
        <v>57</v>
      </c>
      <c r="E171" s="6">
        <v>2.07</v>
      </c>
    </row>
    <row r="172">
      <c r="A172" s="3">
        <v>110344.0</v>
      </c>
      <c r="B172" s="4" t="s">
        <v>54</v>
      </c>
      <c r="C172" s="4" t="s">
        <v>55</v>
      </c>
      <c r="D172" s="4" t="s">
        <v>57</v>
      </c>
      <c r="E172" s="4">
        <v>7.23</v>
      </c>
    </row>
    <row r="173">
      <c r="A173" s="5">
        <v>120233.0</v>
      </c>
      <c r="B173" s="6" t="s">
        <v>54</v>
      </c>
      <c r="C173" s="6" t="s">
        <v>55</v>
      </c>
      <c r="D173" s="6" t="s">
        <v>57</v>
      </c>
      <c r="E173" s="6">
        <v>7.81</v>
      </c>
    </row>
    <row r="174">
      <c r="A174" s="3">
        <v>117579.0</v>
      </c>
      <c r="B174" s="4" t="s">
        <v>54</v>
      </c>
      <c r="C174" s="4" t="s">
        <v>55</v>
      </c>
      <c r="D174" s="4" t="s">
        <v>57</v>
      </c>
      <c r="E174" s="4">
        <v>13.24</v>
      </c>
    </row>
    <row r="175">
      <c r="A175" s="5">
        <v>21066.0</v>
      </c>
      <c r="B175" s="6" t="s">
        <v>54</v>
      </c>
      <c r="C175" s="6" t="s">
        <v>55</v>
      </c>
      <c r="D175" s="6" t="s">
        <v>57</v>
      </c>
      <c r="E175" s="6">
        <v>4.87</v>
      </c>
    </row>
    <row r="176">
      <c r="A176" s="3">
        <v>117583.0</v>
      </c>
      <c r="B176" s="4" t="s">
        <v>54</v>
      </c>
      <c r="C176" s="4" t="s">
        <v>55</v>
      </c>
      <c r="D176" s="4" t="s">
        <v>57</v>
      </c>
      <c r="E176" s="4">
        <v>14.97</v>
      </c>
    </row>
    <row r="177">
      <c r="A177" s="5">
        <v>71107.0</v>
      </c>
      <c r="B177" s="6" t="s">
        <v>54</v>
      </c>
      <c r="C177" s="6" t="s">
        <v>55</v>
      </c>
      <c r="D177" s="6" t="s">
        <v>58</v>
      </c>
      <c r="E177" s="6">
        <v>6.93</v>
      </c>
    </row>
    <row r="178">
      <c r="A178" s="3">
        <v>104168.0</v>
      </c>
      <c r="B178" s="4" t="s">
        <v>54</v>
      </c>
      <c r="C178" s="4" t="s">
        <v>55</v>
      </c>
      <c r="D178" s="4" t="s">
        <v>58</v>
      </c>
      <c r="E178" s="4">
        <v>6.23</v>
      </c>
    </row>
    <row r="179">
      <c r="A179" s="5">
        <v>88913.0</v>
      </c>
      <c r="B179" s="6" t="s">
        <v>54</v>
      </c>
      <c r="C179" s="6" t="s">
        <v>55</v>
      </c>
      <c r="D179" s="6" t="s">
        <v>58</v>
      </c>
      <c r="E179" s="6">
        <v>5.63</v>
      </c>
    </row>
    <row r="180">
      <c r="A180" s="3">
        <v>108160.0</v>
      </c>
      <c r="B180" s="4" t="s">
        <v>54</v>
      </c>
      <c r="C180" s="4" t="s">
        <v>55</v>
      </c>
      <c r="D180" s="4" t="s">
        <v>58</v>
      </c>
      <c r="E180" s="4">
        <v>6.01</v>
      </c>
    </row>
    <row r="181">
      <c r="A181" s="5">
        <v>128377.0</v>
      </c>
      <c r="B181" s="6" t="s">
        <v>54</v>
      </c>
      <c r="C181" s="6" t="s">
        <v>55</v>
      </c>
      <c r="D181" s="6" t="s">
        <v>58</v>
      </c>
      <c r="E181" s="6">
        <v>3.28</v>
      </c>
    </row>
    <row r="182">
      <c r="A182" s="3">
        <v>108533.0</v>
      </c>
      <c r="B182" s="4" t="s">
        <v>54</v>
      </c>
      <c r="C182" s="4" t="s">
        <v>55</v>
      </c>
      <c r="D182" s="4" t="s">
        <v>58</v>
      </c>
      <c r="E182" s="4">
        <v>14.19</v>
      </c>
    </row>
    <row r="183">
      <c r="A183" s="5">
        <v>116392.0</v>
      </c>
      <c r="B183" s="6" t="s">
        <v>54</v>
      </c>
      <c r="C183" s="6" t="s">
        <v>55</v>
      </c>
      <c r="D183" s="6" t="s">
        <v>58</v>
      </c>
      <c r="E183" s="6">
        <v>8.2</v>
      </c>
    </row>
    <row r="184">
      <c r="A184" s="3">
        <v>110328.0</v>
      </c>
      <c r="B184" s="4" t="s">
        <v>54</v>
      </c>
      <c r="C184" s="4" t="s">
        <v>55</v>
      </c>
      <c r="D184" s="4" t="s">
        <v>58</v>
      </c>
      <c r="E184" s="4">
        <v>5.12</v>
      </c>
    </row>
    <row r="185">
      <c r="A185" s="5">
        <v>101445.0</v>
      </c>
      <c r="B185" s="6" t="s">
        <v>54</v>
      </c>
      <c r="C185" s="6" t="s">
        <v>55</v>
      </c>
      <c r="D185" s="6" t="s">
        <v>58</v>
      </c>
      <c r="E185" s="6">
        <v>6.79</v>
      </c>
    </row>
    <row r="186">
      <c r="A186" s="3">
        <v>117599.0</v>
      </c>
      <c r="B186" s="4" t="s">
        <v>54</v>
      </c>
      <c r="C186" s="4" t="s">
        <v>55</v>
      </c>
      <c r="D186" s="4" t="s">
        <v>59</v>
      </c>
      <c r="E186" s="4">
        <v>13.24</v>
      </c>
    </row>
    <row r="187">
      <c r="A187" s="5">
        <v>5508.0</v>
      </c>
      <c r="B187" s="6" t="s">
        <v>60</v>
      </c>
      <c r="C187" s="6" t="s">
        <v>61</v>
      </c>
      <c r="D187" s="6" t="s">
        <v>62</v>
      </c>
      <c r="E187" s="6">
        <v>2.72</v>
      </c>
    </row>
    <row r="188">
      <c r="A188" s="3">
        <v>91241.0</v>
      </c>
      <c r="B188" s="4" t="s">
        <v>60</v>
      </c>
      <c r="C188" s="4" t="s">
        <v>61</v>
      </c>
      <c r="D188" s="4" t="s">
        <v>62</v>
      </c>
      <c r="E188" s="4">
        <v>6.14</v>
      </c>
    </row>
    <row r="189">
      <c r="A189" s="5">
        <v>5507.0</v>
      </c>
      <c r="B189" s="6" t="s">
        <v>60</v>
      </c>
      <c r="C189" s="6" t="s">
        <v>61</v>
      </c>
      <c r="D189" s="6" t="s">
        <v>62</v>
      </c>
      <c r="E189" s="6">
        <v>2.63</v>
      </c>
    </row>
    <row r="190">
      <c r="A190" s="3">
        <v>110575.0</v>
      </c>
      <c r="B190" s="4" t="s">
        <v>60</v>
      </c>
      <c r="C190" s="4" t="s">
        <v>61</v>
      </c>
      <c r="D190" s="4" t="s">
        <v>62</v>
      </c>
      <c r="E190" s="4">
        <v>1.12</v>
      </c>
    </row>
    <row r="191">
      <c r="A191" s="5">
        <v>6156.0</v>
      </c>
      <c r="B191" s="6" t="s">
        <v>60</v>
      </c>
      <c r="C191" s="6" t="s">
        <v>61</v>
      </c>
      <c r="D191" s="6" t="s">
        <v>62</v>
      </c>
      <c r="E191" s="6">
        <v>3.12</v>
      </c>
    </row>
    <row r="192">
      <c r="A192" s="3">
        <v>91239.0</v>
      </c>
      <c r="B192" s="4" t="s">
        <v>60</v>
      </c>
      <c r="C192" s="4" t="s">
        <v>61</v>
      </c>
      <c r="D192" s="4" t="s">
        <v>62</v>
      </c>
      <c r="E192" s="4">
        <v>2.2</v>
      </c>
    </row>
    <row r="193">
      <c r="A193" s="5">
        <v>77361.0</v>
      </c>
      <c r="B193" s="6" t="s">
        <v>60</v>
      </c>
      <c r="C193" s="6" t="s">
        <v>61</v>
      </c>
      <c r="D193" s="6" t="s">
        <v>62</v>
      </c>
      <c r="E193" s="6">
        <v>2.23</v>
      </c>
    </row>
    <row r="194">
      <c r="A194" s="3">
        <v>77363.0</v>
      </c>
      <c r="B194" s="4" t="s">
        <v>60</v>
      </c>
      <c r="C194" s="4" t="s">
        <v>61</v>
      </c>
      <c r="D194" s="4" t="s">
        <v>62</v>
      </c>
      <c r="E194" s="4">
        <v>2.52</v>
      </c>
    </row>
    <row r="195">
      <c r="A195" s="5">
        <v>124679.0</v>
      </c>
      <c r="B195" s="6" t="s">
        <v>60</v>
      </c>
      <c r="C195" s="6" t="s">
        <v>61</v>
      </c>
      <c r="D195" s="6" t="s">
        <v>63</v>
      </c>
      <c r="E195" s="6">
        <v>2.23</v>
      </c>
    </row>
    <row r="196">
      <c r="A196" s="3">
        <v>89558.0</v>
      </c>
      <c r="B196" s="4" t="s">
        <v>60</v>
      </c>
      <c r="C196" s="4" t="s">
        <v>61</v>
      </c>
      <c r="D196" s="4" t="s">
        <v>63</v>
      </c>
      <c r="E196" s="4">
        <v>2.61</v>
      </c>
    </row>
    <row r="197">
      <c r="A197" s="5">
        <v>91235.0</v>
      </c>
      <c r="B197" s="6" t="s">
        <v>60</v>
      </c>
      <c r="C197" s="6" t="s">
        <v>61</v>
      </c>
      <c r="D197" s="6" t="s">
        <v>64</v>
      </c>
      <c r="E197" s="6">
        <v>5.86</v>
      </c>
    </row>
    <row r="198">
      <c r="A198" s="3">
        <v>5519.0</v>
      </c>
      <c r="B198" s="4" t="s">
        <v>60</v>
      </c>
      <c r="C198" s="4" t="s">
        <v>61</v>
      </c>
      <c r="D198" s="4" t="s">
        <v>64</v>
      </c>
      <c r="E198" s="4">
        <v>2.76</v>
      </c>
    </row>
    <row r="199">
      <c r="A199" s="5">
        <v>87278.0</v>
      </c>
      <c r="B199" s="6" t="s">
        <v>60</v>
      </c>
      <c r="C199" s="6" t="s">
        <v>61</v>
      </c>
      <c r="D199" s="6" t="s">
        <v>64</v>
      </c>
      <c r="E199" s="6">
        <v>2.95</v>
      </c>
    </row>
    <row r="200">
      <c r="A200" s="3">
        <v>77326.0</v>
      </c>
      <c r="B200" s="4" t="s">
        <v>60</v>
      </c>
      <c r="C200" s="4" t="s">
        <v>61</v>
      </c>
      <c r="D200" s="4" t="s">
        <v>64</v>
      </c>
      <c r="E200" s="4">
        <v>2.0</v>
      </c>
    </row>
    <row r="201">
      <c r="A201" s="5">
        <v>6158.0</v>
      </c>
      <c r="B201" s="6" t="s">
        <v>60</v>
      </c>
      <c r="C201" s="6" t="s">
        <v>61</v>
      </c>
      <c r="D201" s="6" t="s">
        <v>64</v>
      </c>
      <c r="E201" s="6">
        <v>3.17</v>
      </c>
    </row>
    <row r="202">
      <c r="A202" s="3">
        <v>77338.0</v>
      </c>
      <c r="B202" s="4" t="s">
        <v>60</v>
      </c>
      <c r="C202" s="4" t="s">
        <v>61</v>
      </c>
      <c r="D202" s="4" t="s">
        <v>64</v>
      </c>
      <c r="E202" s="4">
        <v>2.64</v>
      </c>
    </row>
    <row r="203">
      <c r="A203" s="5">
        <v>159220.0</v>
      </c>
      <c r="B203" s="6" t="s">
        <v>60</v>
      </c>
      <c r="C203" s="6" t="s">
        <v>61</v>
      </c>
      <c r="D203" s="6" t="s">
        <v>64</v>
      </c>
      <c r="E203" s="6">
        <v>0.7</v>
      </c>
    </row>
    <row r="204">
      <c r="A204" s="3">
        <v>5521.0</v>
      </c>
      <c r="B204" s="4" t="s">
        <v>60</v>
      </c>
      <c r="C204" s="4" t="s">
        <v>61</v>
      </c>
      <c r="D204" s="4" t="s">
        <v>64</v>
      </c>
      <c r="E204" s="4">
        <v>3.09</v>
      </c>
    </row>
    <row r="205">
      <c r="A205" s="5">
        <v>91225.0</v>
      </c>
      <c r="B205" s="6" t="s">
        <v>60</v>
      </c>
      <c r="C205" s="6" t="s">
        <v>61</v>
      </c>
      <c r="D205" s="6" t="s">
        <v>64</v>
      </c>
      <c r="E205" s="6">
        <v>5.86</v>
      </c>
    </row>
    <row r="206">
      <c r="A206" s="3">
        <v>5520.0</v>
      </c>
      <c r="B206" s="4" t="s">
        <v>60</v>
      </c>
      <c r="C206" s="4" t="s">
        <v>61</v>
      </c>
      <c r="D206" s="4" t="s">
        <v>64</v>
      </c>
      <c r="E206" s="4">
        <v>1.89</v>
      </c>
    </row>
    <row r="207">
      <c r="A207" s="5">
        <v>87285.0</v>
      </c>
      <c r="B207" s="6" t="s">
        <v>60</v>
      </c>
      <c r="C207" s="6" t="s">
        <v>61</v>
      </c>
      <c r="D207" s="6" t="s">
        <v>64</v>
      </c>
      <c r="E207" s="6">
        <v>1.38</v>
      </c>
    </row>
    <row r="208">
      <c r="A208" s="3">
        <v>72862.0</v>
      </c>
      <c r="B208" s="4" t="s">
        <v>60</v>
      </c>
      <c r="C208" s="4" t="s">
        <v>61</v>
      </c>
      <c r="D208" s="4" t="s">
        <v>65</v>
      </c>
      <c r="E208" s="4">
        <v>4.16</v>
      </c>
    </row>
    <row r="209">
      <c r="A209" s="5">
        <v>109474.0</v>
      </c>
      <c r="B209" s="6" t="s">
        <v>60</v>
      </c>
      <c r="C209" s="6" t="s">
        <v>61</v>
      </c>
      <c r="D209" s="6" t="s">
        <v>65</v>
      </c>
      <c r="E209" s="6">
        <v>2.11</v>
      </c>
    </row>
    <row r="210">
      <c r="A210" s="3">
        <v>45834.0</v>
      </c>
      <c r="B210" s="4" t="s">
        <v>60</v>
      </c>
      <c r="C210" s="4" t="s">
        <v>61</v>
      </c>
      <c r="D210" s="4" t="s">
        <v>65</v>
      </c>
      <c r="E210" s="4">
        <v>2.39</v>
      </c>
    </row>
    <row r="211">
      <c r="A211" s="5">
        <v>45885.0</v>
      </c>
      <c r="B211" s="6" t="s">
        <v>60</v>
      </c>
      <c r="C211" s="6" t="s">
        <v>61</v>
      </c>
      <c r="D211" s="6" t="s">
        <v>66</v>
      </c>
      <c r="E211" s="6">
        <v>2.28</v>
      </c>
    </row>
    <row r="212">
      <c r="A212" s="3">
        <v>77360.0</v>
      </c>
      <c r="B212" s="4" t="s">
        <v>60</v>
      </c>
      <c r="C212" s="4" t="s">
        <v>61</v>
      </c>
      <c r="D212" s="4" t="s">
        <v>66</v>
      </c>
      <c r="E212" s="4">
        <v>1.81</v>
      </c>
    </row>
    <row r="213">
      <c r="A213" s="5">
        <v>89787.0</v>
      </c>
      <c r="B213" s="6" t="s">
        <v>60</v>
      </c>
      <c r="C213" s="6" t="s">
        <v>61</v>
      </c>
      <c r="D213" s="6" t="s">
        <v>66</v>
      </c>
      <c r="E213" s="6">
        <v>1.95</v>
      </c>
    </row>
    <row r="214">
      <c r="A214" s="3">
        <v>5531.0</v>
      </c>
      <c r="B214" s="4" t="s">
        <v>60</v>
      </c>
      <c r="C214" s="4" t="s">
        <v>61</v>
      </c>
      <c r="D214" s="4" t="s">
        <v>66</v>
      </c>
      <c r="E214" s="4">
        <v>1.88</v>
      </c>
    </row>
    <row r="215">
      <c r="A215" s="5">
        <v>72826.0</v>
      </c>
      <c r="B215" s="6" t="s">
        <v>60</v>
      </c>
      <c r="C215" s="6" t="s">
        <v>61</v>
      </c>
      <c r="D215" s="6" t="s">
        <v>66</v>
      </c>
      <c r="E215" s="6">
        <v>2.25</v>
      </c>
    </row>
    <row r="216">
      <c r="A216" s="3">
        <v>91180.0</v>
      </c>
      <c r="B216" s="4" t="s">
        <v>60</v>
      </c>
      <c r="C216" s="4" t="s">
        <v>61</v>
      </c>
      <c r="D216" s="4" t="s">
        <v>66</v>
      </c>
      <c r="E216" s="4">
        <v>2.04</v>
      </c>
    </row>
    <row r="217">
      <c r="A217" s="5">
        <v>58757.0</v>
      </c>
      <c r="B217" s="6" t="s">
        <v>60</v>
      </c>
      <c r="C217" s="6" t="s">
        <v>61</v>
      </c>
      <c r="D217" s="6" t="s">
        <v>66</v>
      </c>
      <c r="E217" s="6">
        <v>2.14</v>
      </c>
    </row>
    <row r="218">
      <c r="A218" s="3">
        <v>87287.0</v>
      </c>
      <c r="B218" s="4" t="s">
        <v>60</v>
      </c>
      <c r="C218" s="4" t="s">
        <v>61</v>
      </c>
      <c r="D218" s="4" t="s">
        <v>66</v>
      </c>
      <c r="E218" s="4">
        <v>1.42</v>
      </c>
    </row>
    <row r="219">
      <c r="A219" s="5">
        <v>91147.0</v>
      </c>
      <c r="B219" s="6" t="s">
        <v>60</v>
      </c>
      <c r="C219" s="6" t="s">
        <v>61</v>
      </c>
      <c r="D219" s="6" t="s">
        <v>67</v>
      </c>
      <c r="E219" s="6">
        <v>9.5</v>
      </c>
    </row>
    <row r="220">
      <c r="A220" s="3">
        <v>5526.0</v>
      </c>
      <c r="B220" s="4" t="s">
        <v>60</v>
      </c>
      <c r="C220" s="4" t="s">
        <v>61</v>
      </c>
      <c r="D220" s="4" t="s">
        <v>67</v>
      </c>
      <c r="E220" s="4">
        <v>3.48</v>
      </c>
    </row>
    <row r="221">
      <c r="A221" s="5">
        <v>77310.0</v>
      </c>
      <c r="B221" s="6" t="s">
        <v>60</v>
      </c>
      <c r="C221" s="6" t="s">
        <v>61</v>
      </c>
      <c r="D221" s="6" t="s">
        <v>67</v>
      </c>
      <c r="E221" s="6">
        <v>3.12</v>
      </c>
    </row>
    <row r="222">
      <c r="A222" s="3">
        <v>5525.0</v>
      </c>
      <c r="B222" s="4" t="s">
        <v>60</v>
      </c>
      <c r="C222" s="4" t="s">
        <v>61</v>
      </c>
      <c r="D222" s="4" t="s">
        <v>67</v>
      </c>
      <c r="E222" s="4">
        <v>1.99</v>
      </c>
    </row>
    <row r="223">
      <c r="A223" s="5">
        <v>5524.0</v>
      </c>
      <c r="B223" s="6" t="s">
        <v>60</v>
      </c>
      <c r="C223" s="6" t="s">
        <v>61</v>
      </c>
      <c r="D223" s="6" t="s">
        <v>67</v>
      </c>
      <c r="E223" s="6">
        <v>3.27</v>
      </c>
    </row>
    <row r="224">
      <c r="A224" s="3">
        <v>72849.0</v>
      </c>
      <c r="B224" s="4" t="s">
        <v>60</v>
      </c>
      <c r="C224" s="4" t="s">
        <v>61</v>
      </c>
      <c r="D224" s="4" t="s">
        <v>67</v>
      </c>
      <c r="E224" s="4">
        <v>7.25</v>
      </c>
    </row>
    <row r="225">
      <c r="A225" s="5">
        <v>77385.0</v>
      </c>
      <c r="B225" s="6" t="s">
        <v>60</v>
      </c>
      <c r="C225" s="6" t="s">
        <v>61</v>
      </c>
      <c r="D225" s="6" t="s">
        <v>67</v>
      </c>
      <c r="E225" s="6">
        <v>1.69</v>
      </c>
    </row>
    <row r="226">
      <c r="A226" s="3">
        <v>5529.0</v>
      </c>
      <c r="B226" s="4" t="s">
        <v>60</v>
      </c>
      <c r="C226" s="4" t="s">
        <v>61</v>
      </c>
      <c r="D226" s="4" t="s">
        <v>67</v>
      </c>
      <c r="E226" s="4">
        <v>1.89</v>
      </c>
    </row>
    <row r="227">
      <c r="A227" s="5">
        <v>45879.0</v>
      </c>
      <c r="B227" s="6" t="s">
        <v>60</v>
      </c>
      <c r="C227" s="6" t="s">
        <v>61</v>
      </c>
      <c r="D227" s="6" t="s">
        <v>67</v>
      </c>
      <c r="E227" s="6">
        <v>2.42</v>
      </c>
    </row>
    <row r="228">
      <c r="A228" s="3">
        <v>58753.0</v>
      </c>
      <c r="B228" s="4" t="s">
        <v>60</v>
      </c>
      <c r="C228" s="4" t="s">
        <v>61</v>
      </c>
      <c r="D228" s="4" t="s">
        <v>67</v>
      </c>
      <c r="E228" s="4">
        <v>1.98</v>
      </c>
    </row>
    <row r="229">
      <c r="A229" s="5">
        <v>77318.0</v>
      </c>
      <c r="B229" s="6" t="s">
        <v>60</v>
      </c>
      <c r="C229" s="6" t="s">
        <v>61</v>
      </c>
      <c r="D229" s="6" t="s">
        <v>67</v>
      </c>
      <c r="E229" s="6">
        <v>1.8</v>
      </c>
    </row>
    <row r="230">
      <c r="A230" s="3">
        <v>122091.0</v>
      </c>
      <c r="B230" s="4" t="s">
        <v>60</v>
      </c>
      <c r="C230" s="4" t="s">
        <v>61</v>
      </c>
      <c r="D230" s="4" t="s">
        <v>67</v>
      </c>
      <c r="E230" s="4">
        <v>1.33</v>
      </c>
    </row>
    <row r="231">
      <c r="A231" s="5">
        <v>91144.0</v>
      </c>
      <c r="B231" s="6" t="s">
        <v>60</v>
      </c>
      <c r="C231" s="6" t="s">
        <v>61</v>
      </c>
      <c r="D231" s="6" t="s">
        <v>67</v>
      </c>
      <c r="E231" s="6">
        <v>7.9</v>
      </c>
    </row>
    <row r="232">
      <c r="A232" s="3">
        <v>79000.0</v>
      </c>
      <c r="B232" s="4" t="s">
        <v>60</v>
      </c>
      <c r="C232" s="4" t="s">
        <v>61</v>
      </c>
      <c r="D232" s="4" t="s">
        <v>67</v>
      </c>
      <c r="E232" s="4">
        <v>2.42</v>
      </c>
    </row>
    <row r="233">
      <c r="A233" s="5">
        <v>77389.0</v>
      </c>
      <c r="B233" s="6" t="s">
        <v>60</v>
      </c>
      <c r="C233" s="6" t="s">
        <v>61</v>
      </c>
      <c r="D233" s="6" t="s">
        <v>67</v>
      </c>
      <c r="E233" s="6">
        <v>1.57</v>
      </c>
    </row>
    <row r="234">
      <c r="A234" s="3">
        <v>72857.0</v>
      </c>
      <c r="B234" s="4" t="s">
        <v>60</v>
      </c>
      <c r="C234" s="4" t="s">
        <v>61</v>
      </c>
      <c r="D234" s="4" t="s">
        <v>67</v>
      </c>
      <c r="E234" s="4">
        <v>6.68</v>
      </c>
    </row>
    <row r="235">
      <c r="A235" s="5">
        <v>72859.0</v>
      </c>
      <c r="B235" s="6" t="s">
        <v>60</v>
      </c>
      <c r="C235" s="6" t="s">
        <v>61</v>
      </c>
      <c r="D235" s="6" t="s">
        <v>67</v>
      </c>
      <c r="E235" s="6">
        <v>4.4</v>
      </c>
    </row>
    <row r="236">
      <c r="A236" s="3">
        <v>91264.0</v>
      </c>
      <c r="B236" s="4" t="s">
        <v>60</v>
      </c>
      <c r="C236" s="4" t="s">
        <v>61</v>
      </c>
      <c r="D236" s="4" t="s">
        <v>67</v>
      </c>
      <c r="E236" s="4">
        <v>1.67</v>
      </c>
    </row>
    <row r="237">
      <c r="A237" s="5">
        <v>77316.0</v>
      </c>
      <c r="B237" s="6" t="s">
        <v>60</v>
      </c>
      <c r="C237" s="6" t="s">
        <v>61</v>
      </c>
      <c r="D237" s="6" t="s">
        <v>67</v>
      </c>
      <c r="E237" s="6">
        <v>1.66</v>
      </c>
    </row>
    <row r="238">
      <c r="A238" s="3">
        <v>110573.0</v>
      </c>
      <c r="B238" s="4" t="s">
        <v>60</v>
      </c>
      <c r="C238" s="4" t="s">
        <v>61</v>
      </c>
      <c r="D238" s="4" t="s">
        <v>67</v>
      </c>
      <c r="E238" s="4">
        <v>1.19</v>
      </c>
    </row>
    <row r="239">
      <c r="A239" s="5">
        <v>82236.0</v>
      </c>
      <c r="B239" s="6" t="s">
        <v>60</v>
      </c>
      <c r="C239" s="6" t="s">
        <v>61</v>
      </c>
      <c r="D239" s="6" t="s">
        <v>67</v>
      </c>
      <c r="E239" s="6">
        <v>35.49</v>
      </c>
    </row>
    <row r="240">
      <c r="A240" s="3">
        <v>72855.0</v>
      </c>
      <c r="B240" s="4" t="s">
        <v>60</v>
      </c>
      <c r="C240" s="4" t="s">
        <v>61</v>
      </c>
      <c r="D240" s="4" t="s">
        <v>67</v>
      </c>
      <c r="E240" s="4">
        <v>4.14</v>
      </c>
    </row>
    <row r="241">
      <c r="A241" s="5">
        <v>77392.0</v>
      </c>
      <c r="B241" s="6" t="s">
        <v>60</v>
      </c>
      <c r="C241" s="6" t="s">
        <v>61</v>
      </c>
      <c r="D241" s="6" t="s">
        <v>67</v>
      </c>
      <c r="E241" s="6">
        <v>1.67</v>
      </c>
    </row>
    <row r="242">
      <c r="A242" s="3">
        <v>45867.0</v>
      </c>
      <c r="B242" s="4" t="s">
        <v>60</v>
      </c>
      <c r="C242" s="4" t="s">
        <v>61</v>
      </c>
      <c r="D242" s="4" t="s">
        <v>67</v>
      </c>
      <c r="E242" s="4">
        <v>2.27</v>
      </c>
    </row>
    <row r="243">
      <c r="A243" s="5">
        <v>45846.0</v>
      </c>
      <c r="B243" s="6" t="s">
        <v>60</v>
      </c>
      <c r="C243" s="6" t="s">
        <v>61</v>
      </c>
      <c r="D243" s="6" t="s">
        <v>67</v>
      </c>
      <c r="E243" s="6">
        <v>2.17</v>
      </c>
    </row>
    <row r="244">
      <c r="A244" s="3">
        <v>91265.0</v>
      </c>
      <c r="B244" s="4" t="s">
        <v>60</v>
      </c>
      <c r="C244" s="4" t="s">
        <v>61</v>
      </c>
      <c r="D244" s="4" t="s">
        <v>67</v>
      </c>
      <c r="E244" s="4">
        <v>8.55</v>
      </c>
    </row>
    <row r="245">
      <c r="A245" s="5">
        <v>5527.0</v>
      </c>
      <c r="B245" s="6" t="s">
        <v>60</v>
      </c>
      <c r="C245" s="6" t="s">
        <v>61</v>
      </c>
      <c r="D245" s="6" t="s">
        <v>67</v>
      </c>
      <c r="E245" s="6">
        <v>2.0</v>
      </c>
    </row>
    <row r="246">
      <c r="A246" s="3">
        <v>82249.0</v>
      </c>
      <c r="B246" s="4" t="s">
        <v>60</v>
      </c>
      <c r="C246" s="4" t="s">
        <v>61</v>
      </c>
      <c r="D246" s="4" t="s">
        <v>67</v>
      </c>
      <c r="E246" s="4">
        <v>32.56</v>
      </c>
    </row>
    <row r="247">
      <c r="A247" s="5">
        <v>87273.0</v>
      </c>
      <c r="B247" s="6" t="s">
        <v>60</v>
      </c>
      <c r="C247" s="6" t="s">
        <v>61</v>
      </c>
      <c r="D247" s="6" t="s">
        <v>68</v>
      </c>
      <c r="E247" s="6">
        <v>1.8</v>
      </c>
    </row>
    <row r="248">
      <c r="A248" s="3">
        <v>5537.0</v>
      </c>
      <c r="B248" s="4" t="s">
        <v>60</v>
      </c>
      <c r="C248" s="4" t="s">
        <v>61</v>
      </c>
      <c r="D248" s="4" t="s">
        <v>68</v>
      </c>
      <c r="E248" s="4">
        <v>1.98</v>
      </c>
    </row>
    <row r="249">
      <c r="A249" s="5">
        <v>87281.0</v>
      </c>
      <c r="B249" s="6" t="s">
        <v>60</v>
      </c>
      <c r="C249" s="6" t="s">
        <v>61</v>
      </c>
      <c r="D249" s="6" t="s">
        <v>68</v>
      </c>
      <c r="E249" s="6">
        <v>1.85</v>
      </c>
    </row>
    <row r="250">
      <c r="A250" s="3">
        <v>5522.0</v>
      </c>
      <c r="B250" s="4" t="s">
        <v>60</v>
      </c>
      <c r="C250" s="4" t="s">
        <v>61</v>
      </c>
      <c r="D250" s="4" t="s">
        <v>68</v>
      </c>
      <c r="E250" s="4">
        <v>2.31</v>
      </c>
    </row>
    <row r="251">
      <c r="A251" s="5">
        <v>76595.0</v>
      </c>
      <c r="B251" s="6" t="s">
        <v>60</v>
      </c>
      <c r="C251" s="6" t="s">
        <v>61</v>
      </c>
      <c r="D251" s="6" t="s">
        <v>68</v>
      </c>
      <c r="E251" s="6">
        <v>2.2</v>
      </c>
    </row>
    <row r="252">
      <c r="A252" s="3">
        <v>147305.0</v>
      </c>
      <c r="B252" s="4" t="s">
        <v>60</v>
      </c>
      <c r="C252" s="4" t="s">
        <v>61</v>
      </c>
      <c r="D252" s="4" t="s">
        <v>68</v>
      </c>
      <c r="E252" s="4">
        <v>1.44</v>
      </c>
    </row>
    <row r="253">
      <c r="A253" s="5">
        <v>158660.0</v>
      </c>
      <c r="B253" s="6" t="s">
        <v>60</v>
      </c>
      <c r="C253" s="6" t="s">
        <v>61</v>
      </c>
      <c r="D253" s="6" t="s">
        <v>68</v>
      </c>
      <c r="E253" s="6">
        <v>1.22</v>
      </c>
    </row>
    <row r="254">
      <c r="A254" s="3">
        <v>77371.0</v>
      </c>
      <c r="B254" s="4" t="s">
        <v>60</v>
      </c>
      <c r="C254" s="4" t="s">
        <v>61</v>
      </c>
      <c r="D254" s="4" t="s">
        <v>68</v>
      </c>
      <c r="E254" s="4">
        <v>3.93</v>
      </c>
    </row>
    <row r="255">
      <c r="A255" s="5">
        <v>77366.0</v>
      </c>
      <c r="B255" s="6" t="s">
        <v>60</v>
      </c>
      <c r="C255" s="6" t="s">
        <v>61</v>
      </c>
      <c r="D255" s="6" t="s">
        <v>68</v>
      </c>
      <c r="E255" s="6">
        <v>1.79</v>
      </c>
    </row>
    <row r="256">
      <c r="A256" s="3">
        <v>87282.0</v>
      </c>
      <c r="B256" s="4" t="s">
        <v>60</v>
      </c>
      <c r="C256" s="4" t="s">
        <v>61</v>
      </c>
      <c r="D256" s="4" t="s">
        <v>68</v>
      </c>
      <c r="E256" s="4">
        <v>1.95</v>
      </c>
    </row>
    <row r="257">
      <c r="A257" s="5">
        <v>80402.0</v>
      </c>
      <c r="B257" s="6" t="s">
        <v>60</v>
      </c>
      <c r="C257" s="6" t="s">
        <v>61</v>
      </c>
      <c r="D257" s="6" t="s">
        <v>68</v>
      </c>
      <c r="E257" s="6">
        <v>2.29</v>
      </c>
    </row>
    <row r="258">
      <c r="A258" s="3">
        <v>120504.0</v>
      </c>
      <c r="B258" s="4" t="s">
        <v>9</v>
      </c>
      <c r="C258" s="4" t="s">
        <v>69</v>
      </c>
      <c r="D258" s="4" t="s">
        <v>70</v>
      </c>
      <c r="E258" s="4">
        <v>4.7</v>
      </c>
    </row>
    <row r="259">
      <c r="A259" s="5">
        <v>72833.0</v>
      </c>
      <c r="B259" s="6" t="s">
        <v>9</v>
      </c>
      <c r="C259" s="6" t="s">
        <v>69</v>
      </c>
      <c r="D259" s="6" t="s">
        <v>70</v>
      </c>
      <c r="E259" s="6">
        <v>5.81</v>
      </c>
    </row>
    <row r="260">
      <c r="A260" s="3">
        <v>72831.0</v>
      </c>
      <c r="B260" s="4" t="s">
        <v>9</v>
      </c>
      <c r="C260" s="4" t="s">
        <v>69</v>
      </c>
      <c r="D260" s="4" t="s">
        <v>70</v>
      </c>
      <c r="E260" s="4">
        <v>1.92</v>
      </c>
    </row>
    <row r="261">
      <c r="A261" s="5">
        <v>112547.0</v>
      </c>
      <c r="B261" s="6" t="s">
        <v>9</v>
      </c>
      <c r="C261" s="6" t="s">
        <v>69</v>
      </c>
      <c r="D261" s="6" t="s">
        <v>70</v>
      </c>
      <c r="E261" s="6">
        <v>5.36</v>
      </c>
    </row>
    <row r="262">
      <c r="A262" s="3">
        <v>149598.0</v>
      </c>
      <c r="B262" s="4" t="s">
        <v>9</v>
      </c>
      <c r="C262" s="4" t="s">
        <v>69</v>
      </c>
      <c r="D262" s="4" t="s">
        <v>71</v>
      </c>
      <c r="E262" s="4">
        <v>4.84</v>
      </c>
    </row>
    <row r="263">
      <c r="A263" s="5">
        <v>98129.0</v>
      </c>
      <c r="B263" s="6" t="s">
        <v>9</v>
      </c>
      <c r="C263" s="6" t="s">
        <v>69</v>
      </c>
      <c r="D263" s="6" t="s">
        <v>72</v>
      </c>
      <c r="E263" s="6">
        <v>7.77</v>
      </c>
    </row>
    <row r="264">
      <c r="A264" s="3">
        <v>72825.0</v>
      </c>
      <c r="B264" s="4" t="s">
        <v>9</v>
      </c>
      <c r="C264" s="4" t="s">
        <v>69</v>
      </c>
      <c r="D264" s="4" t="s">
        <v>72</v>
      </c>
      <c r="E264" s="4">
        <v>8.89</v>
      </c>
    </row>
    <row r="265">
      <c r="A265" s="5">
        <v>72820.0</v>
      </c>
      <c r="B265" s="6" t="s">
        <v>9</v>
      </c>
      <c r="C265" s="6" t="s">
        <v>69</v>
      </c>
      <c r="D265" s="6" t="s">
        <v>72</v>
      </c>
      <c r="E265" s="6">
        <v>2.69</v>
      </c>
    </row>
    <row r="266">
      <c r="A266" s="3">
        <v>81939.0</v>
      </c>
      <c r="B266" s="4" t="s">
        <v>9</v>
      </c>
      <c r="C266" s="4" t="s">
        <v>69</v>
      </c>
      <c r="D266" s="4" t="s">
        <v>72</v>
      </c>
      <c r="E266" s="4">
        <v>4.42</v>
      </c>
    </row>
    <row r="267">
      <c r="A267" s="5">
        <v>114382.0</v>
      </c>
      <c r="B267" s="6" t="s">
        <v>9</v>
      </c>
      <c r="C267" s="6" t="s">
        <v>69</v>
      </c>
      <c r="D267" s="6" t="s">
        <v>72</v>
      </c>
      <c r="E267" s="6">
        <v>8.85</v>
      </c>
    </row>
    <row r="268">
      <c r="A268" s="3">
        <v>111427.0</v>
      </c>
      <c r="B268" s="4" t="s">
        <v>9</v>
      </c>
      <c r="C268" s="4" t="s">
        <v>69</v>
      </c>
      <c r="D268" s="4" t="s">
        <v>72</v>
      </c>
      <c r="E268" s="4">
        <v>5.77</v>
      </c>
    </row>
    <row r="269">
      <c r="A269" s="5">
        <v>81937.0</v>
      </c>
      <c r="B269" s="6" t="s">
        <v>9</v>
      </c>
      <c r="C269" s="6" t="s">
        <v>69</v>
      </c>
      <c r="D269" s="6" t="s">
        <v>72</v>
      </c>
      <c r="E269" s="6">
        <v>9.11</v>
      </c>
    </row>
    <row r="270">
      <c r="A270" s="3">
        <v>72824.0</v>
      </c>
      <c r="B270" s="4" t="s">
        <v>9</v>
      </c>
      <c r="C270" s="4" t="s">
        <v>69</v>
      </c>
      <c r="D270" s="4" t="s">
        <v>72</v>
      </c>
      <c r="E270" s="4">
        <v>5.81</v>
      </c>
    </row>
    <row r="271">
      <c r="A271" s="5">
        <v>112188.0</v>
      </c>
      <c r="B271" s="6" t="s">
        <v>9</v>
      </c>
      <c r="C271" s="6" t="s">
        <v>69</v>
      </c>
      <c r="D271" s="6" t="s">
        <v>72</v>
      </c>
      <c r="E271" s="6">
        <v>2.35</v>
      </c>
    </row>
    <row r="272">
      <c r="A272" s="3">
        <v>98186.0</v>
      </c>
      <c r="B272" s="4" t="s">
        <v>9</v>
      </c>
      <c r="C272" s="4" t="s">
        <v>69</v>
      </c>
      <c r="D272" s="4" t="s">
        <v>72</v>
      </c>
      <c r="E272" s="4">
        <v>4.7</v>
      </c>
    </row>
    <row r="273">
      <c r="A273" s="5">
        <v>72822.0</v>
      </c>
      <c r="B273" s="6" t="s">
        <v>9</v>
      </c>
      <c r="C273" s="6" t="s">
        <v>69</v>
      </c>
      <c r="D273" s="6" t="s">
        <v>72</v>
      </c>
      <c r="E273" s="6">
        <v>1.92</v>
      </c>
    </row>
    <row r="274">
      <c r="A274" s="3">
        <v>122601.0</v>
      </c>
      <c r="B274" s="4" t="s">
        <v>73</v>
      </c>
      <c r="C274" s="4" t="s">
        <v>74</v>
      </c>
      <c r="D274" s="4" t="s">
        <v>75</v>
      </c>
      <c r="E274" s="4">
        <v>9.26</v>
      </c>
    </row>
    <row r="275">
      <c r="A275" s="5">
        <v>106779.0</v>
      </c>
      <c r="B275" s="6" t="s">
        <v>73</v>
      </c>
      <c r="C275" s="6" t="s">
        <v>74</v>
      </c>
      <c r="D275" s="6" t="s">
        <v>75</v>
      </c>
      <c r="E275" s="6">
        <v>0.87</v>
      </c>
    </row>
    <row r="276">
      <c r="A276" s="3">
        <v>106785.0</v>
      </c>
      <c r="B276" s="4" t="s">
        <v>73</v>
      </c>
      <c r="C276" s="4" t="s">
        <v>74</v>
      </c>
      <c r="D276" s="4" t="s">
        <v>75</v>
      </c>
      <c r="E276" s="4">
        <v>0.87</v>
      </c>
    </row>
    <row r="277">
      <c r="A277" s="5">
        <v>122602.0</v>
      </c>
      <c r="B277" s="6" t="s">
        <v>73</v>
      </c>
      <c r="C277" s="6" t="s">
        <v>74</v>
      </c>
      <c r="D277" s="6" t="s">
        <v>75</v>
      </c>
      <c r="E277" s="6">
        <v>9.26</v>
      </c>
    </row>
    <row r="278">
      <c r="A278" s="3">
        <v>45574.0</v>
      </c>
      <c r="B278" s="4" t="s">
        <v>73</v>
      </c>
      <c r="C278" s="4" t="s">
        <v>74</v>
      </c>
      <c r="D278" s="4" t="s">
        <v>75</v>
      </c>
      <c r="E278" s="4">
        <v>0.94</v>
      </c>
    </row>
    <row r="279">
      <c r="A279" s="5">
        <v>80808.0</v>
      </c>
      <c r="B279" s="6" t="s">
        <v>73</v>
      </c>
      <c r="C279" s="6" t="s">
        <v>74</v>
      </c>
      <c r="D279" s="6" t="s">
        <v>75</v>
      </c>
      <c r="E279" s="6">
        <v>1.39</v>
      </c>
    </row>
    <row r="280">
      <c r="A280" s="3">
        <v>80802.0</v>
      </c>
      <c r="B280" s="4" t="s">
        <v>73</v>
      </c>
      <c r="C280" s="4" t="s">
        <v>74</v>
      </c>
      <c r="D280" s="4" t="s">
        <v>75</v>
      </c>
      <c r="E280" s="4">
        <v>0.96</v>
      </c>
    </row>
    <row r="281">
      <c r="A281" s="5">
        <v>110385.0</v>
      </c>
      <c r="B281" s="6" t="s">
        <v>73</v>
      </c>
      <c r="C281" s="6" t="s">
        <v>74</v>
      </c>
      <c r="D281" s="6" t="s">
        <v>76</v>
      </c>
      <c r="E281" s="6">
        <v>1.7</v>
      </c>
    </row>
    <row r="282">
      <c r="A282" s="3">
        <v>80633.0</v>
      </c>
      <c r="B282" s="4" t="s">
        <v>73</v>
      </c>
      <c r="C282" s="4" t="s">
        <v>74</v>
      </c>
      <c r="D282" s="4" t="s">
        <v>76</v>
      </c>
      <c r="E282" s="4">
        <v>1.17</v>
      </c>
    </row>
    <row r="283">
      <c r="A283" s="5">
        <v>120700.0</v>
      </c>
      <c r="B283" s="6" t="s">
        <v>73</v>
      </c>
      <c r="C283" s="6" t="s">
        <v>74</v>
      </c>
      <c r="D283" s="6" t="s">
        <v>76</v>
      </c>
      <c r="E283" s="6">
        <v>5.17</v>
      </c>
    </row>
    <row r="284">
      <c r="A284" s="3">
        <v>112853.0</v>
      </c>
      <c r="B284" s="4" t="s">
        <v>73</v>
      </c>
      <c r="C284" s="4" t="s">
        <v>74</v>
      </c>
      <c r="D284" s="4" t="s">
        <v>76</v>
      </c>
      <c r="E284" s="4">
        <v>4.79</v>
      </c>
    </row>
    <row r="285">
      <c r="A285" s="5">
        <v>120699.0</v>
      </c>
      <c r="B285" s="6" t="s">
        <v>73</v>
      </c>
      <c r="C285" s="6" t="s">
        <v>74</v>
      </c>
      <c r="D285" s="6" t="s">
        <v>76</v>
      </c>
      <c r="E285" s="6">
        <v>5.95</v>
      </c>
    </row>
    <row r="286">
      <c r="A286" s="3">
        <v>20195.0</v>
      </c>
      <c r="B286" s="4" t="s">
        <v>73</v>
      </c>
      <c r="C286" s="4" t="s">
        <v>74</v>
      </c>
      <c r="D286" s="4" t="s">
        <v>76</v>
      </c>
      <c r="E286" s="4">
        <v>6.78</v>
      </c>
    </row>
    <row r="287">
      <c r="A287" s="5">
        <v>11422.0</v>
      </c>
      <c r="B287" s="6" t="s">
        <v>73</v>
      </c>
      <c r="C287" s="6" t="s">
        <v>74</v>
      </c>
      <c r="D287" s="6" t="s">
        <v>76</v>
      </c>
      <c r="E287" s="6">
        <v>3.4</v>
      </c>
    </row>
    <row r="288">
      <c r="A288" s="3">
        <v>4492.0</v>
      </c>
      <c r="B288" s="4" t="s">
        <v>73</v>
      </c>
      <c r="C288" s="4" t="s">
        <v>74</v>
      </c>
      <c r="D288" s="4" t="s">
        <v>76</v>
      </c>
      <c r="E288" s="4">
        <v>5.32</v>
      </c>
    </row>
    <row r="289">
      <c r="A289" s="5">
        <v>4560.0</v>
      </c>
      <c r="B289" s="6" t="s">
        <v>73</v>
      </c>
      <c r="C289" s="6" t="s">
        <v>74</v>
      </c>
      <c r="D289" s="6" t="s">
        <v>76</v>
      </c>
      <c r="E289" s="6">
        <v>5.26</v>
      </c>
    </row>
    <row r="290">
      <c r="A290" s="3">
        <v>110383.0</v>
      </c>
      <c r="B290" s="4" t="s">
        <v>73</v>
      </c>
      <c r="C290" s="4" t="s">
        <v>74</v>
      </c>
      <c r="D290" s="4" t="s">
        <v>76</v>
      </c>
      <c r="E290" s="4">
        <v>2.32</v>
      </c>
    </row>
    <row r="291">
      <c r="A291" s="5">
        <v>112850.0</v>
      </c>
      <c r="B291" s="6" t="s">
        <v>73</v>
      </c>
      <c r="C291" s="6" t="s">
        <v>74</v>
      </c>
      <c r="D291" s="6" t="s">
        <v>76</v>
      </c>
      <c r="E291" s="6">
        <v>3.58</v>
      </c>
    </row>
    <row r="292">
      <c r="A292" s="3">
        <v>120702.0</v>
      </c>
      <c r="B292" s="4" t="s">
        <v>73</v>
      </c>
      <c r="C292" s="4" t="s">
        <v>74</v>
      </c>
      <c r="D292" s="4" t="s">
        <v>76</v>
      </c>
      <c r="E292" s="4">
        <v>3.42</v>
      </c>
    </row>
    <row r="293">
      <c r="A293" s="5">
        <v>91860.0</v>
      </c>
      <c r="B293" s="6" t="s">
        <v>73</v>
      </c>
      <c r="C293" s="6" t="s">
        <v>74</v>
      </c>
      <c r="D293" s="6" t="s">
        <v>76</v>
      </c>
      <c r="E293" s="6">
        <v>6.06</v>
      </c>
    </row>
    <row r="294">
      <c r="A294" s="3">
        <v>9716.0</v>
      </c>
      <c r="B294" s="4" t="s">
        <v>73</v>
      </c>
      <c r="C294" s="4" t="s">
        <v>74</v>
      </c>
      <c r="D294" s="4" t="s">
        <v>76</v>
      </c>
      <c r="E294" s="4">
        <v>4.9</v>
      </c>
    </row>
    <row r="295">
      <c r="A295" s="5">
        <v>77135.0</v>
      </c>
      <c r="B295" s="6" t="s">
        <v>73</v>
      </c>
      <c r="C295" s="6" t="s">
        <v>74</v>
      </c>
      <c r="D295" s="6" t="s">
        <v>76</v>
      </c>
      <c r="E295" s="6">
        <v>6.48</v>
      </c>
    </row>
    <row r="296">
      <c r="A296" s="3">
        <v>91857.0</v>
      </c>
      <c r="B296" s="4" t="s">
        <v>73</v>
      </c>
      <c r="C296" s="4" t="s">
        <v>74</v>
      </c>
      <c r="D296" s="4" t="s">
        <v>76</v>
      </c>
      <c r="E296" s="4">
        <v>4.04</v>
      </c>
    </row>
    <row r="297">
      <c r="A297" s="5">
        <v>76429.0</v>
      </c>
      <c r="B297" s="6" t="s">
        <v>73</v>
      </c>
      <c r="C297" s="6" t="s">
        <v>74</v>
      </c>
      <c r="D297" s="6" t="s">
        <v>76</v>
      </c>
      <c r="E297" s="6">
        <v>6.38</v>
      </c>
    </row>
    <row r="298">
      <c r="A298" s="3">
        <v>122507.0</v>
      </c>
      <c r="B298" s="4" t="s">
        <v>73</v>
      </c>
      <c r="C298" s="4" t="s">
        <v>74</v>
      </c>
      <c r="D298" s="4" t="s">
        <v>77</v>
      </c>
      <c r="E298" s="4">
        <v>5.44</v>
      </c>
    </row>
    <row r="299">
      <c r="A299" s="5">
        <v>77844.0</v>
      </c>
      <c r="B299" s="6" t="s">
        <v>73</v>
      </c>
      <c r="C299" s="6" t="s">
        <v>74</v>
      </c>
      <c r="D299" s="6" t="s">
        <v>77</v>
      </c>
      <c r="E299" s="6">
        <v>4.42</v>
      </c>
    </row>
    <row r="300">
      <c r="A300" s="3">
        <v>100041.0</v>
      </c>
      <c r="B300" s="4" t="s">
        <v>73</v>
      </c>
      <c r="C300" s="4" t="s">
        <v>74</v>
      </c>
      <c r="D300" s="4" t="s">
        <v>77</v>
      </c>
      <c r="E300" s="4">
        <v>7.7</v>
      </c>
    </row>
    <row r="301">
      <c r="A301" s="5">
        <v>111591.0</v>
      </c>
      <c r="B301" s="6" t="s">
        <v>73</v>
      </c>
      <c r="C301" s="6" t="s">
        <v>74</v>
      </c>
      <c r="D301" s="6" t="s">
        <v>77</v>
      </c>
      <c r="E301" s="6">
        <v>5.73</v>
      </c>
    </row>
    <row r="302">
      <c r="A302" s="3">
        <v>128329.0</v>
      </c>
      <c r="B302" s="4" t="s">
        <v>73</v>
      </c>
      <c r="C302" s="4" t="s">
        <v>74</v>
      </c>
      <c r="D302" s="4" t="s">
        <v>77</v>
      </c>
      <c r="E302" s="4">
        <v>3.09</v>
      </c>
    </row>
    <row r="303">
      <c r="A303" s="5">
        <v>147268.0</v>
      </c>
      <c r="B303" s="6" t="s">
        <v>73</v>
      </c>
      <c r="C303" s="6" t="s">
        <v>74</v>
      </c>
      <c r="D303" s="6" t="s">
        <v>77</v>
      </c>
      <c r="E303" s="6">
        <v>2.88</v>
      </c>
    </row>
    <row r="304">
      <c r="A304" s="3">
        <v>48511.0</v>
      </c>
      <c r="B304" s="4" t="s">
        <v>73</v>
      </c>
      <c r="C304" s="4" t="s">
        <v>74</v>
      </c>
      <c r="D304" s="4" t="s">
        <v>77</v>
      </c>
      <c r="E304" s="4">
        <v>2.88</v>
      </c>
    </row>
    <row r="305">
      <c r="A305" s="5">
        <v>100040.0</v>
      </c>
      <c r="B305" s="6" t="s">
        <v>73</v>
      </c>
      <c r="C305" s="6" t="s">
        <v>74</v>
      </c>
      <c r="D305" s="6" t="s">
        <v>77</v>
      </c>
      <c r="E305" s="6">
        <v>10.34</v>
      </c>
    </row>
    <row r="306">
      <c r="A306" s="3">
        <v>79366.0</v>
      </c>
      <c r="B306" s="4" t="s">
        <v>73</v>
      </c>
      <c r="C306" s="4" t="s">
        <v>74</v>
      </c>
      <c r="D306" s="4" t="s">
        <v>77</v>
      </c>
      <c r="E306" s="4">
        <v>2.89</v>
      </c>
    </row>
    <row r="307">
      <c r="A307" s="5">
        <v>160754.0</v>
      </c>
      <c r="B307" s="6" t="s">
        <v>73</v>
      </c>
      <c r="C307" s="6" t="s">
        <v>74</v>
      </c>
      <c r="D307" s="6" t="s">
        <v>77</v>
      </c>
      <c r="E307" s="6">
        <v>4.09</v>
      </c>
    </row>
    <row r="308">
      <c r="A308" s="3">
        <v>100038.0</v>
      </c>
      <c r="B308" s="4" t="s">
        <v>73</v>
      </c>
      <c r="C308" s="4" t="s">
        <v>74</v>
      </c>
      <c r="D308" s="4" t="s">
        <v>77</v>
      </c>
      <c r="E308" s="4">
        <v>8.71</v>
      </c>
    </row>
    <row r="309">
      <c r="A309" s="5">
        <v>100035.0</v>
      </c>
      <c r="B309" s="6" t="s">
        <v>73</v>
      </c>
      <c r="C309" s="6" t="s">
        <v>74</v>
      </c>
      <c r="D309" s="6" t="s">
        <v>77</v>
      </c>
      <c r="E309" s="6">
        <v>8.71</v>
      </c>
    </row>
    <row r="310">
      <c r="A310" s="3">
        <v>29654.0</v>
      </c>
      <c r="B310" s="4" t="s">
        <v>73</v>
      </c>
      <c r="C310" s="4" t="s">
        <v>74</v>
      </c>
      <c r="D310" s="4" t="s">
        <v>77</v>
      </c>
      <c r="E310" s="4">
        <v>1.17</v>
      </c>
    </row>
    <row r="311">
      <c r="A311" s="5">
        <v>107804.0</v>
      </c>
      <c r="B311" s="6" t="s">
        <v>73</v>
      </c>
      <c r="C311" s="6" t="s">
        <v>74</v>
      </c>
      <c r="D311" s="6" t="s">
        <v>77</v>
      </c>
      <c r="E311" s="6">
        <v>4.33</v>
      </c>
    </row>
    <row r="312">
      <c r="A312" s="3">
        <v>75809.0</v>
      </c>
      <c r="B312" s="4" t="s">
        <v>73</v>
      </c>
      <c r="C312" s="4" t="s">
        <v>74</v>
      </c>
      <c r="D312" s="4" t="s">
        <v>77</v>
      </c>
      <c r="E312" s="4">
        <v>3.6</v>
      </c>
    </row>
    <row r="313">
      <c r="A313" s="5">
        <v>128325.0</v>
      </c>
      <c r="B313" s="6" t="s">
        <v>73</v>
      </c>
      <c r="C313" s="6" t="s">
        <v>74</v>
      </c>
      <c r="D313" s="6" t="s">
        <v>77</v>
      </c>
      <c r="E313" s="6">
        <v>3.09</v>
      </c>
    </row>
    <row r="314">
      <c r="A314" s="3">
        <v>110072.0</v>
      </c>
      <c r="B314" s="4" t="s">
        <v>73</v>
      </c>
      <c r="C314" s="4" t="s">
        <v>74</v>
      </c>
      <c r="D314" s="4" t="s">
        <v>77</v>
      </c>
      <c r="E314" s="4">
        <v>3.67</v>
      </c>
    </row>
    <row r="315">
      <c r="A315" s="5">
        <v>93814.0</v>
      </c>
      <c r="B315" s="6" t="s">
        <v>73</v>
      </c>
      <c r="C315" s="6" t="s">
        <v>74</v>
      </c>
      <c r="D315" s="6" t="s">
        <v>77</v>
      </c>
      <c r="E315" s="6">
        <v>4.33</v>
      </c>
    </row>
    <row r="316">
      <c r="A316" s="3">
        <v>128326.0</v>
      </c>
      <c r="B316" s="4" t="s">
        <v>73</v>
      </c>
      <c r="C316" s="4" t="s">
        <v>74</v>
      </c>
      <c r="D316" s="4" t="s">
        <v>77</v>
      </c>
      <c r="E316" s="4">
        <v>3.09</v>
      </c>
    </row>
    <row r="317">
      <c r="A317" s="5">
        <v>48510.0</v>
      </c>
      <c r="B317" s="6" t="s">
        <v>73</v>
      </c>
      <c r="C317" s="6" t="s">
        <v>74</v>
      </c>
      <c r="D317" s="6" t="s">
        <v>77</v>
      </c>
      <c r="E317" s="6">
        <v>2.88</v>
      </c>
    </row>
    <row r="318">
      <c r="A318" s="3">
        <v>82463.0</v>
      </c>
      <c r="B318" s="4" t="s">
        <v>73</v>
      </c>
      <c r="C318" s="4" t="s">
        <v>74</v>
      </c>
      <c r="D318" s="4" t="s">
        <v>77</v>
      </c>
      <c r="E318" s="4">
        <v>3.67</v>
      </c>
    </row>
    <row r="319">
      <c r="A319" s="5">
        <v>82462.0</v>
      </c>
      <c r="B319" s="6" t="s">
        <v>73</v>
      </c>
      <c r="C319" s="6" t="s">
        <v>74</v>
      </c>
      <c r="D319" s="6" t="s">
        <v>77</v>
      </c>
      <c r="E319" s="6">
        <v>3.67</v>
      </c>
    </row>
    <row r="320">
      <c r="A320" s="3">
        <v>110635.0</v>
      </c>
      <c r="B320" s="4" t="s">
        <v>73</v>
      </c>
      <c r="C320" s="4" t="s">
        <v>74</v>
      </c>
      <c r="D320" s="4" t="s">
        <v>77</v>
      </c>
      <c r="E320" s="4">
        <v>2.73</v>
      </c>
    </row>
    <row r="321">
      <c r="A321" s="5">
        <v>82464.0</v>
      </c>
      <c r="B321" s="6" t="s">
        <v>73</v>
      </c>
      <c r="C321" s="6" t="s">
        <v>74</v>
      </c>
      <c r="D321" s="6" t="s">
        <v>77</v>
      </c>
      <c r="E321" s="6">
        <v>3.67</v>
      </c>
    </row>
    <row r="322">
      <c r="A322" s="3">
        <v>129133.0</v>
      </c>
      <c r="B322" s="4" t="s">
        <v>73</v>
      </c>
      <c r="C322" s="4" t="s">
        <v>74</v>
      </c>
      <c r="D322" s="4" t="s">
        <v>77</v>
      </c>
      <c r="E322" s="4">
        <v>4.61</v>
      </c>
    </row>
    <row r="323">
      <c r="A323" s="5">
        <v>195081.0</v>
      </c>
      <c r="B323" s="6" t="s">
        <v>73</v>
      </c>
      <c r="C323" s="6" t="s">
        <v>74</v>
      </c>
      <c r="D323" s="6" t="s">
        <v>77</v>
      </c>
      <c r="E323" s="6">
        <v>4.61</v>
      </c>
    </row>
    <row r="324">
      <c r="A324" s="3">
        <v>92669.0</v>
      </c>
      <c r="B324" s="4" t="s">
        <v>73</v>
      </c>
      <c r="C324" s="4" t="s">
        <v>74</v>
      </c>
      <c r="D324" s="4" t="s">
        <v>77</v>
      </c>
      <c r="E324" s="4">
        <v>3.66</v>
      </c>
    </row>
    <row r="325">
      <c r="A325" s="5">
        <v>122089.0</v>
      </c>
      <c r="B325" s="6" t="s">
        <v>73</v>
      </c>
      <c r="C325" s="6" t="s">
        <v>74</v>
      </c>
      <c r="D325" s="6" t="s">
        <v>77</v>
      </c>
      <c r="E325" s="6">
        <v>5.57</v>
      </c>
    </row>
    <row r="326">
      <c r="A326" s="3">
        <v>95927.0</v>
      </c>
      <c r="B326" s="4" t="s">
        <v>73</v>
      </c>
      <c r="C326" s="4" t="s">
        <v>74</v>
      </c>
      <c r="D326" s="4" t="s">
        <v>77</v>
      </c>
      <c r="E326" s="4">
        <v>3.34</v>
      </c>
    </row>
    <row r="327">
      <c r="A327" s="5">
        <v>160756.0</v>
      </c>
      <c r="B327" s="6" t="s">
        <v>73</v>
      </c>
      <c r="C327" s="6" t="s">
        <v>74</v>
      </c>
      <c r="D327" s="6" t="s">
        <v>77</v>
      </c>
      <c r="E327" s="6">
        <v>4.13</v>
      </c>
    </row>
    <row r="328">
      <c r="A328" s="3">
        <v>147267.0</v>
      </c>
      <c r="B328" s="4" t="s">
        <v>73</v>
      </c>
      <c r="C328" s="4" t="s">
        <v>74</v>
      </c>
      <c r="D328" s="4" t="s">
        <v>77</v>
      </c>
      <c r="E328" s="4">
        <v>2.88</v>
      </c>
    </row>
    <row r="329">
      <c r="A329" s="5">
        <v>160747.0</v>
      </c>
      <c r="B329" s="6" t="s">
        <v>73</v>
      </c>
      <c r="C329" s="6" t="s">
        <v>74</v>
      </c>
      <c r="D329" s="6" t="s">
        <v>77</v>
      </c>
      <c r="E329" s="6">
        <v>2.54</v>
      </c>
    </row>
    <row r="330">
      <c r="A330" s="3">
        <v>79365.0</v>
      </c>
      <c r="B330" s="4" t="s">
        <v>73</v>
      </c>
      <c r="C330" s="4" t="s">
        <v>74</v>
      </c>
      <c r="D330" s="4" t="s">
        <v>77</v>
      </c>
      <c r="E330" s="4">
        <v>2.89</v>
      </c>
    </row>
    <row r="331">
      <c r="A331" s="5">
        <v>110633.0</v>
      </c>
      <c r="B331" s="6" t="s">
        <v>73</v>
      </c>
      <c r="C331" s="6" t="s">
        <v>74</v>
      </c>
      <c r="D331" s="6" t="s">
        <v>77</v>
      </c>
      <c r="E331" s="6">
        <v>2.73</v>
      </c>
    </row>
    <row r="332">
      <c r="A332" s="3">
        <v>160750.0</v>
      </c>
      <c r="B332" s="4" t="s">
        <v>73</v>
      </c>
      <c r="C332" s="4" t="s">
        <v>74</v>
      </c>
      <c r="D332" s="4" t="s">
        <v>77</v>
      </c>
      <c r="E332" s="4">
        <v>4.09</v>
      </c>
    </row>
    <row r="333">
      <c r="A333" s="5">
        <v>128332.0</v>
      </c>
      <c r="B333" s="6" t="s">
        <v>73</v>
      </c>
      <c r="C333" s="6" t="s">
        <v>74</v>
      </c>
      <c r="D333" s="6" t="s">
        <v>77</v>
      </c>
      <c r="E333" s="6">
        <v>3.69</v>
      </c>
    </row>
    <row r="334">
      <c r="A334" s="3">
        <v>200354.0</v>
      </c>
      <c r="B334" s="4" t="s">
        <v>73</v>
      </c>
      <c r="C334" s="4" t="s">
        <v>74</v>
      </c>
      <c r="D334" s="4" t="s">
        <v>77</v>
      </c>
      <c r="E334" s="4">
        <v>4.99</v>
      </c>
    </row>
    <row r="335">
      <c r="A335" s="5">
        <v>100042.0</v>
      </c>
      <c r="B335" s="6" t="s">
        <v>73</v>
      </c>
      <c r="C335" s="6" t="s">
        <v>74</v>
      </c>
      <c r="D335" s="6" t="s">
        <v>77</v>
      </c>
      <c r="E335" s="6">
        <v>7.7</v>
      </c>
    </row>
    <row r="336">
      <c r="A336" s="3">
        <v>122446.0</v>
      </c>
      <c r="B336" s="4" t="s">
        <v>73</v>
      </c>
      <c r="C336" s="4" t="s">
        <v>74</v>
      </c>
      <c r="D336" s="4" t="s">
        <v>77</v>
      </c>
      <c r="E336" s="4">
        <v>3.89</v>
      </c>
    </row>
    <row r="337">
      <c r="A337" s="5">
        <v>160761.0</v>
      </c>
      <c r="B337" s="6" t="s">
        <v>73</v>
      </c>
      <c r="C337" s="6" t="s">
        <v>74</v>
      </c>
      <c r="D337" s="6" t="s">
        <v>77</v>
      </c>
      <c r="E337" s="6">
        <v>4.13</v>
      </c>
    </row>
    <row r="338">
      <c r="A338" s="3">
        <v>89503.0</v>
      </c>
      <c r="B338" s="4" t="s">
        <v>73</v>
      </c>
      <c r="C338" s="4" t="s">
        <v>74</v>
      </c>
      <c r="D338" s="4" t="s">
        <v>77</v>
      </c>
      <c r="E338" s="4">
        <v>4.18</v>
      </c>
    </row>
    <row r="339">
      <c r="A339" s="5">
        <v>160744.0</v>
      </c>
      <c r="B339" s="6" t="s">
        <v>73</v>
      </c>
      <c r="C339" s="6" t="s">
        <v>74</v>
      </c>
      <c r="D339" s="6" t="s">
        <v>77</v>
      </c>
      <c r="E339" s="6">
        <v>2.54</v>
      </c>
    </row>
    <row r="340">
      <c r="A340" s="3">
        <v>111590.0</v>
      </c>
      <c r="B340" s="4" t="s">
        <v>73</v>
      </c>
      <c r="C340" s="4" t="s">
        <v>74</v>
      </c>
      <c r="D340" s="4" t="s">
        <v>77</v>
      </c>
      <c r="E340" s="4">
        <v>5.73</v>
      </c>
    </row>
    <row r="341">
      <c r="A341" s="5">
        <v>110070.0</v>
      </c>
      <c r="B341" s="6" t="s">
        <v>73</v>
      </c>
      <c r="C341" s="6" t="s">
        <v>74</v>
      </c>
      <c r="D341" s="6" t="s">
        <v>77</v>
      </c>
      <c r="E341" s="6">
        <v>3.67</v>
      </c>
    </row>
    <row r="342">
      <c r="A342" s="3">
        <v>101005.0</v>
      </c>
      <c r="B342" s="4" t="s">
        <v>73</v>
      </c>
      <c r="C342" s="4" t="s">
        <v>74</v>
      </c>
      <c r="D342" s="4" t="s">
        <v>77</v>
      </c>
      <c r="E342" s="4">
        <v>3.93</v>
      </c>
    </row>
    <row r="343">
      <c r="A343" s="5">
        <v>160745.0</v>
      </c>
      <c r="B343" s="6" t="s">
        <v>73</v>
      </c>
      <c r="C343" s="6" t="s">
        <v>74</v>
      </c>
      <c r="D343" s="6" t="s">
        <v>77</v>
      </c>
      <c r="E343" s="6">
        <v>2.54</v>
      </c>
    </row>
    <row r="344">
      <c r="A344" s="3">
        <v>23073.0</v>
      </c>
      <c r="B344" s="4" t="s">
        <v>73</v>
      </c>
      <c r="C344" s="4" t="s">
        <v>74</v>
      </c>
      <c r="D344" s="4" t="s">
        <v>77</v>
      </c>
      <c r="E344" s="4">
        <v>4.75</v>
      </c>
    </row>
    <row r="345">
      <c r="A345" s="5">
        <v>70064.0</v>
      </c>
      <c r="B345" s="6" t="s">
        <v>73</v>
      </c>
      <c r="C345" s="6" t="s">
        <v>74</v>
      </c>
      <c r="D345" s="6" t="s">
        <v>77</v>
      </c>
      <c r="E345" s="6">
        <v>3.56</v>
      </c>
    </row>
    <row r="346">
      <c r="A346" s="3">
        <v>129135.0</v>
      </c>
      <c r="B346" s="4" t="s">
        <v>73</v>
      </c>
      <c r="C346" s="4" t="s">
        <v>74</v>
      </c>
      <c r="D346" s="4" t="s">
        <v>77</v>
      </c>
      <c r="E346" s="4">
        <v>4.61</v>
      </c>
    </row>
    <row r="347">
      <c r="A347" s="5">
        <v>104440.0</v>
      </c>
      <c r="B347" s="6" t="s">
        <v>73</v>
      </c>
      <c r="C347" s="6" t="s">
        <v>74</v>
      </c>
      <c r="D347" s="6" t="s">
        <v>77</v>
      </c>
      <c r="E347" s="6">
        <v>3.65</v>
      </c>
    </row>
    <row r="348">
      <c r="A348" s="3">
        <v>70063.0</v>
      </c>
      <c r="B348" s="4" t="s">
        <v>73</v>
      </c>
      <c r="C348" s="4" t="s">
        <v>74</v>
      </c>
      <c r="D348" s="4" t="s">
        <v>77</v>
      </c>
      <c r="E348" s="4">
        <v>3.56</v>
      </c>
    </row>
    <row r="349">
      <c r="A349" s="5">
        <v>160748.0</v>
      </c>
      <c r="B349" s="6" t="s">
        <v>73</v>
      </c>
      <c r="C349" s="6" t="s">
        <v>74</v>
      </c>
      <c r="D349" s="6" t="s">
        <v>77</v>
      </c>
      <c r="E349" s="6">
        <v>2.54</v>
      </c>
    </row>
    <row r="350">
      <c r="A350" s="3">
        <v>181242.0</v>
      </c>
      <c r="B350" s="4" t="s">
        <v>73</v>
      </c>
      <c r="C350" s="4" t="s">
        <v>74</v>
      </c>
      <c r="D350" s="4" t="s">
        <v>77</v>
      </c>
      <c r="E350" s="4">
        <v>6.73</v>
      </c>
    </row>
    <row r="351">
      <c r="A351" s="5">
        <v>200323.0</v>
      </c>
      <c r="B351" s="6" t="s">
        <v>73</v>
      </c>
      <c r="C351" s="6" t="s">
        <v>74</v>
      </c>
      <c r="D351" s="6" t="s">
        <v>77</v>
      </c>
      <c r="E351" s="6">
        <v>6.65</v>
      </c>
    </row>
    <row r="352">
      <c r="A352" s="3">
        <v>129132.0</v>
      </c>
      <c r="B352" s="4" t="s">
        <v>73</v>
      </c>
      <c r="C352" s="4" t="s">
        <v>74</v>
      </c>
      <c r="D352" s="4" t="s">
        <v>77</v>
      </c>
      <c r="E352" s="4">
        <v>4.61</v>
      </c>
    </row>
    <row r="353">
      <c r="A353" s="5">
        <v>160743.0</v>
      </c>
      <c r="B353" s="6" t="s">
        <v>73</v>
      </c>
      <c r="C353" s="6" t="s">
        <v>74</v>
      </c>
      <c r="D353" s="6" t="s">
        <v>77</v>
      </c>
      <c r="E353" s="6">
        <v>2.54</v>
      </c>
    </row>
    <row r="354">
      <c r="A354" s="3">
        <v>89610.0</v>
      </c>
      <c r="B354" s="4" t="s">
        <v>73</v>
      </c>
      <c r="C354" s="4" t="s">
        <v>74</v>
      </c>
      <c r="D354" s="4" t="s">
        <v>77</v>
      </c>
      <c r="E354" s="4">
        <v>4.18</v>
      </c>
    </row>
    <row r="355">
      <c r="A355" s="5">
        <v>112113.0</v>
      </c>
      <c r="B355" s="6" t="s">
        <v>73</v>
      </c>
      <c r="C355" s="6" t="s">
        <v>74</v>
      </c>
      <c r="D355" s="6" t="s">
        <v>77</v>
      </c>
      <c r="E355" s="6">
        <v>3.57</v>
      </c>
    </row>
    <row r="356">
      <c r="A356" s="3">
        <v>107801.0</v>
      </c>
      <c r="B356" s="4" t="s">
        <v>73</v>
      </c>
      <c r="C356" s="4" t="s">
        <v>74</v>
      </c>
      <c r="D356" s="4" t="s">
        <v>77</v>
      </c>
      <c r="E356" s="4">
        <v>4.33</v>
      </c>
    </row>
    <row r="357">
      <c r="A357" s="5">
        <v>70065.0</v>
      </c>
      <c r="B357" s="6" t="s">
        <v>73</v>
      </c>
      <c r="C357" s="6" t="s">
        <v>74</v>
      </c>
      <c r="D357" s="6" t="s">
        <v>77</v>
      </c>
      <c r="E357" s="6">
        <v>3.56</v>
      </c>
    </row>
    <row r="358">
      <c r="A358" s="3">
        <v>539.0</v>
      </c>
      <c r="B358" s="4" t="s">
        <v>73</v>
      </c>
      <c r="C358" s="4" t="s">
        <v>74</v>
      </c>
      <c r="D358" s="4" t="s">
        <v>78</v>
      </c>
      <c r="E358" s="4">
        <v>0.95</v>
      </c>
    </row>
    <row r="359">
      <c r="A359" s="5">
        <v>7857.0</v>
      </c>
      <c r="B359" s="6" t="s">
        <v>73</v>
      </c>
      <c r="C359" s="6" t="s">
        <v>74</v>
      </c>
      <c r="D359" s="6" t="s">
        <v>78</v>
      </c>
      <c r="E359" s="6">
        <v>0.79</v>
      </c>
    </row>
    <row r="360">
      <c r="A360" s="3">
        <v>111726.0</v>
      </c>
      <c r="B360" s="4" t="s">
        <v>73</v>
      </c>
      <c r="C360" s="4" t="s">
        <v>74</v>
      </c>
      <c r="D360" s="4" t="s">
        <v>78</v>
      </c>
      <c r="E360" s="4">
        <v>1.61</v>
      </c>
    </row>
    <row r="361">
      <c r="A361" s="5">
        <v>120992.0</v>
      </c>
      <c r="B361" s="6" t="s">
        <v>73</v>
      </c>
      <c r="C361" s="6" t="s">
        <v>74</v>
      </c>
      <c r="D361" s="6" t="s">
        <v>78</v>
      </c>
      <c r="E361" s="6">
        <v>4.43</v>
      </c>
    </row>
    <row r="362">
      <c r="A362" s="3">
        <v>158482.0</v>
      </c>
      <c r="B362" s="4" t="s">
        <v>73</v>
      </c>
      <c r="C362" s="4" t="s">
        <v>74</v>
      </c>
      <c r="D362" s="4" t="s">
        <v>78</v>
      </c>
      <c r="E362" s="4">
        <v>2.18</v>
      </c>
    </row>
    <row r="363">
      <c r="A363" s="5">
        <v>193132.0</v>
      </c>
      <c r="B363" s="6" t="s">
        <v>73</v>
      </c>
      <c r="C363" s="6" t="s">
        <v>74</v>
      </c>
      <c r="D363" s="6" t="s">
        <v>78</v>
      </c>
      <c r="E363" s="6">
        <v>2.61</v>
      </c>
    </row>
    <row r="364">
      <c r="A364" s="3">
        <v>118901.0</v>
      </c>
      <c r="B364" s="4" t="s">
        <v>73</v>
      </c>
      <c r="C364" s="4" t="s">
        <v>74</v>
      </c>
      <c r="D364" s="4" t="s">
        <v>78</v>
      </c>
      <c r="E364" s="4">
        <v>1.64</v>
      </c>
    </row>
    <row r="365">
      <c r="A365" s="5">
        <v>193131.0</v>
      </c>
      <c r="B365" s="6" t="s">
        <v>73</v>
      </c>
      <c r="C365" s="6" t="s">
        <v>74</v>
      </c>
      <c r="D365" s="6" t="s">
        <v>78</v>
      </c>
      <c r="E365" s="6">
        <v>2.61</v>
      </c>
    </row>
    <row r="366">
      <c r="A366" s="3">
        <v>115709.0</v>
      </c>
      <c r="B366" s="4" t="s">
        <v>73</v>
      </c>
      <c r="C366" s="4" t="s">
        <v>74</v>
      </c>
      <c r="D366" s="4" t="s">
        <v>78</v>
      </c>
      <c r="E366" s="4">
        <v>4.43</v>
      </c>
    </row>
    <row r="367">
      <c r="A367" s="5">
        <v>121619.0</v>
      </c>
      <c r="B367" s="6" t="s">
        <v>73</v>
      </c>
      <c r="C367" s="6" t="s">
        <v>74</v>
      </c>
      <c r="D367" s="6" t="s">
        <v>78</v>
      </c>
      <c r="E367" s="6">
        <v>2.48</v>
      </c>
    </row>
    <row r="368">
      <c r="A368" s="3">
        <v>103647.0</v>
      </c>
      <c r="B368" s="4" t="s">
        <v>73</v>
      </c>
      <c r="C368" s="4" t="s">
        <v>74</v>
      </c>
      <c r="D368" s="4" t="s">
        <v>78</v>
      </c>
      <c r="E368" s="4">
        <v>0.81</v>
      </c>
    </row>
    <row r="369">
      <c r="A369" s="5">
        <v>121616.0</v>
      </c>
      <c r="B369" s="6" t="s">
        <v>73</v>
      </c>
      <c r="C369" s="6" t="s">
        <v>74</v>
      </c>
      <c r="D369" s="6" t="s">
        <v>78</v>
      </c>
      <c r="E369" s="6">
        <v>2.48</v>
      </c>
    </row>
    <row r="370">
      <c r="A370" s="3">
        <v>121618.0</v>
      </c>
      <c r="B370" s="4" t="s">
        <v>73</v>
      </c>
      <c r="C370" s="4" t="s">
        <v>74</v>
      </c>
      <c r="D370" s="4" t="s">
        <v>78</v>
      </c>
      <c r="E370" s="4">
        <v>2.48</v>
      </c>
    </row>
    <row r="371">
      <c r="A371" s="5">
        <v>129360.0</v>
      </c>
      <c r="B371" s="6" t="s">
        <v>73</v>
      </c>
      <c r="C371" s="6" t="s">
        <v>74</v>
      </c>
      <c r="D371" s="6" t="s">
        <v>78</v>
      </c>
      <c r="E371" s="6">
        <v>1.64</v>
      </c>
    </row>
    <row r="372">
      <c r="A372" s="3">
        <v>115708.0</v>
      </c>
      <c r="B372" s="4" t="s">
        <v>73</v>
      </c>
      <c r="C372" s="4" t="s">
        <v>74</v>
      </c>
      <c r="D372" s="4" t="s">
        <v>78</v>
      </c>
      <c r="E372" s="4">
        <v>4.43</v>
      </c>
    </row>
    <row r="373">
      <c r="A373" s="5">
        <v>121617.0</v>
      </c>
      <c r="B373" s="6" t="s">
        <v>73</v>
      </c>
      <c r="C373" s="6" t="s">
        <v>74</v>
      </c>
      <c r="D373" s="6" t="s">
        <v>78</v>
      </c>
      <c r="E373" s="6">
        <v>2.48</v>
      </c>
    </row>
    <row r="374">
      <c r="A374" s="3">
        <v>109540.0</v>
      </c>
      <c r="B374" s="4" t="s">
        <v>73</v>
      </c>
      <c r="C374" s="4" t="s">
        <v>74</v>
      </c>
      <c r="D374" s="4" t="s">
        <v>78</v>
      </c>
      <c r="E374" s="4">
        <v>0.87</v>
      </c>
    </row>
    <row r="375">
      <c r="A375" s="5">
        <v>101323.0</v>
      </c>
      <c r="B375" s="6" t="s">
        <v>73</v>
      </c>
      <c r="C375" s="6" t="s">
        <v>74</v>
      </c>
      <c r="D375" s="6" t="s">
        <v>78</v>
      </c>
      <c r="E375" s="6">
        <v>0.71</v>
      </c>
    </row>
    <row r="376">
      <c r="A376" s="3">
        <v>120991.0</v>
      </c>
      <c r="B376" s="4" t="s">
        <v>73</v>
      </c>
      <c r="C376" s="4" t="s">
        <v>74</v>
      </c>
      <c r="D376" s="4" t="s">
        <v>78</v>
      </c>
      <c r="E376" s="4">
        <v>4.43</v>
      </c>
    </row>
    <row r="377">
      <c r="A377" s="5">
        <v>115698.0</v>
      </c>
      <c r="B377" s="6" t="s">
        <v>73</v>
      </c>
      <c r="C377" s="6" t="s">
        <v>74</v>
      </c>
      <c r="D377" s="6" t="s">
        <v>78</v>
      </c>
      <c r="E377" s="6">
        <v>4.43</v>
      </c>
    </row>
    <row r="378">
      <c r="A378" s="3">
        <v>72511.0</v>
      </c>
      <c r="B378" s="4" t="s">
        <v>73</v>
      </c>
      <c r="C378" s="4" t="s">
        <v>74</v>
      </c>
      <c r="D378" s="4" t="s">
        <v>79</v>
      </c>
      <c r="E378" s="4">
        <v>2.33</v>
      </c>
    </row>
    <row r="379">
      <c r="A379" s="5">
        <v>72512.0</v>
      </c>
      <c r="B379" s="6" t="s">
        <v>73</v>
      </c>
      <c r="C379" s="6" t="s">
        <v>74</v>
      </c>
      <c r="D379" s="6" t="s">
        <v>79</v>
      </c>
      <c r="E379" s="6">
        <v>2.88</v>
      </c>
    </row>
    <row r="380">
      <c r="A380" s="3">
        <v>120108.0</v>
      </c>
      <c r="B380" s="4" t="s">
        <v>73</v>
      </c>
      <c r="C380" s="4" t="s">
        <v>74</v>
      </c>
      <c r="D380" s="4" t="s">
        <v>79</v>
      </c>
      <c r="E380" s="4">
        <v>4.21</v>
      </c>
    </row>
    <row r="381">
      <c r="A381" s="5">
        <v>1636.0</v>
      </c>
      <c r="B381" s="6" t="s">
        <v>73</v>
      </c>
      <c r="C381" s="6" t="s">
        <v>74</v>
      </c>
      <c r="D381" s="6" t="s">
        <v>80</v>
      </c>
      <c r="E381" s="6">
        <v>2.02</v>
      </c>
    </row>
    <row r="382">
      <c r="A382" s="3">
        <v>106767.0</v>
      </c>
      <c r="B382" s="4" t="s">
        <v>73</v>
      </c>
      <c r="C382" s="4" t="s">
        <v>74</v>
      </c>
      <c r="D382" s="4" t="s">
        <v>80</v>
      </c>
      <c r="E382" s="4">
        <v>1.9</v>
      </c>
    </row>
    <row r="383">
      <c r="A383" s="5">
        <v>117246.0</v>
      </c>
      <c r="B383" s="6" t="s">
        <v>73</v>
      </c>
      <c r="C383" s="6" t="s">
        <v>74</v>
      </c>
      <c r="D383" s="6" t="s">
        <v>80</v>
      </c>
      <c r="E383" s="6">
        <v>1.59</v>
      </c>
    </row>
    <row r="384">
      <c r="A384" s="3">
        <v>106758.0</v>
      </c>
      <c r="B384" s="4" t="s">
        <v>73</v>
      </c>
      <c r="C384" s="4" t="s">
        <v>74</v>
      </c>
      <c r="D384" s="4" t="s">
        <v>80</v>
      </c>
      <c r="E384" s="4">
        <v>3.5</v>
      </c>
    </row>
    <row r="385">
      <c r="A385" s="5">
        <v>118150.0</v>
      </c>
      <c r="B385" s="6" t="s">
        <v>73</v>
      </c>
      <c r="C385" s="6" t="s">
        <v>74</v>
      </c>
      <c r="D385" s="6" t="s">
        <v>81</v>
      </c>
      <c r="E385" s="6">
        <v>1.43</v>
      </c>
    </row>
    <row r="386">
      <c r="A386" s="3">
        <v>108896.0</v>
      </c>
      <c r="B386" s="4" t="s">
        <v>73</v>
      </c>
      <c r="C386" s="4" t="s">
        <v>74</v>
      </c>
      <c r="D386" s="4" t="s">
        <v>81</v>
      </c>
      <c r="E386" s="4">
        <v>1.99</v>
      </c>
    </row>
    <row r="387">
      <c r="A387" s="5">
        <v>92566.0</v>
      </c>
      <c r="B387" s="6" t="s">
        <v>73</v>
      </c>
      <c r="C387" s="6" t="s">
        <v>74</v>
      </c>
      <c r="D387" s="6" t="s">
        <v>81</v>
      </c>
      <c r="E387" s="6">
        <v>2.33</v>
      </c>
    </row>
    <row r="388">
      <c r="A388" s="3">
        <v>182195.0</v>
      </c>
      <c r="B388" s="4" t="s">
        <v>73</v>
      </c>
      <c r="C388" s="4" t="s">
        <v>74</v>
      </c>
      <c r="D388" s="4" t="s">
        <v>81</v>
      </c>
      <c r="E388" s="4">
        <v>2.69</v>
      </c>
    </row>
    <row r="389">
      <c r="A389" s="5">
        <v>101560.0</v>
      </c>
      <c r="B389" s="6" t="s">
        <v>73</v>
      </c>
      <c r="C389" s="6" t="s">
        <v>74</v>
      </c>
      <c r="D389" s="6" t="s">
        <v>81</v>
      </c>
      <c r="E389" s="6">
        <v>3.31</v>
      </c>
    </row>
    <row r="390">
      <c r="A390" s="3">
        <v>96067.0</v>
      </c>
      <c r="B390" s="4" t="s">
        <v>73</v>
      </c>
      <c r="C390" s="4" t="s">
        <v>74</v>
      </c>
      <c r="D390" s="4" t="s">
        <v>81</v>
      </c>
      <c r="E390" s="4">
        <v>3.71</v>
      </c>
    </row>
    <row r="391">
      <c r="A391" s="5">
        <v>47325.0</v>
      </c>
      <c r="B391" s="6" t="s">
        <v>73</v>
      </c>
      <c r="C391" s="6" t="s">
        <v>74</v>
      </c>
      <c r="D391" s="6" t="s">
        <v>81</v>
      </c>
      <c r="E391" s="6">
        <v>4.24</v>
      </c>
    </row>
    <row r="392">
      <c r="A392" s="3">
        <v>109386.0</v>
      </c>
      <c r="B392" s="4" t="s">
        <v>73</v>
      </c>
      <c r="C392" s="4" t="s">
        <v>74</v>
      </c>
      <c r="D392" s="4" t="s">
        <v>81</v>
      </c>
      <c r="E392" s="4">
        <v>1.76</v>
      </c>
    </row>
    <row r="393">
      <c r="A393" s="5">
        <v>118972.0</v>
      </c>
      <c r="B393" s="6" t="s">
        <v>73</v>
      </c>
      <c r="C393" s="6" t="s">
        <v>74</v>
      </c>
      <c r="D393" s="6" t="s">
        <v>81</v>
      </c>
      <c r="E393" s="6">
        <v>1.28</v>
      </c>
    </row>
    <row r="394">
      <c r="A394" s="3">
        <v>100412.0</v>
      </c>
      <c r="B394" s="4" t="s">
        <v>73</v>
      </c>
      <c r="C394" s="4" t="s">
        <v>74</v>
      </c>
      <c r="D394" s="4" t="s">
        <v>81</v>
      </c>
      <c r="E394" s="4">
        <v>2.29</v>
      </c>
    </row>
    <row r="395">
      <c r="A395" s="5">
        <v>73259.0</v>
      </c>
      <c r="B395" s="6" t="s">
        <v>73</v>
      </c>
      <c r="C395" s="6" t="s">
        <v>74</v>
      </c>
      <c r="D395" s="6" t="s">
        <v>81</v>
      </c>
      <c r="E395" s="6">
        <v>1.26</v>
      </c>
    </row>
    <row r="396">
      <c r="A396" s="3">
        <v>116888.0</v>
      </c>
      <c r="B396" s="4" t="s">
        <v>73</v>
      </c>
      <c r="C396" s="4" t="s">
        <v>74</v>
      </c>
      <c r="D396" s="4" t="s">
        <v>81</v>
      </c>
      <c r="E396" s="4">
        <v>1.31</v>
      </c>
    </row>
    <row r="397">
      <c r="A397" s="5">
        <v>102086.0</v>
      </c>
      <c r="B397" s="6" t="s">
        <v>73</v>
      </c>
      <c r="C397" s="6" t="s">
        <v>74</v>
      </c>
      <c r="D397" s="6" t="s">
        <v>81</v>
      </c>
      <c r="E397" s="6">
        <v>2.4</v>
      </c>
    </row>
    <row r="398">
      <c r="A398" s="3">
        <v>108892.0</v>
      </c>
      <c r="B398" s="4" t="s">
        <v>73</v>
      </c>
      <c r="C398" s="4" t="s">
        <v>74</v>
      </c>
      <c r="D398" s="4" t="s">
        <v>81</v>
      </c>
      <c r="E398" s="4">
        <v>1.94</v>
      </c>
    </row>
    <row r="399">
      <c r="A399" s="5">
        <v>110935.0</v>
      </c>
      <c r="B399" s="6" t="s">
        <v>73</v>
      </c>
      <c r="C399" s="6" t="s">
        <v>74</v>
      </c>
      <c r="D399" s="6" t="s">
        <v>81</v>
      </c>
      <c r="E399" s="6">
        <v>4.96</v>
      </c>
    </row>
    <row r="400">
      <c r="A400" s="3">
        <v>103599.0</v>
      </c>
      <c r="B400" s="4" t="s">
        <v>73</v>
      </c>
      <c r="C400" s="4" t="s">
        <v>74</v>
      </c>
      <c r="D400" s="4" t="s">
        <v>81</v>
      </c>
      <c r="E400" s="4">
        <v>1.3</v>
      </c>
    </row>
    <row r="401">
      <c r="A401" s="5">
        <v>108811.0</v>
      </c>
      <c r="B401" s="6" t="s">
        <v>73</v>
      </c>
      <c r="C401" s="6" t="s">
        <v>74</v>
      </c>
      <c r="D401" s="6" t="s">
        <v>81</v>
      </c>
      <c r="E401" s="6">
        <v>6.34</v>
      </c>
    </row>
    <row r="402">
      <c r="A402" s="3">
        <v>2202.0</v>
      </c>
      <c r="B402" s="4" t="s">
        <v>73</v>
      </c>
      <c r="C402" s="4" t="s">
        <v>74</v>
      </c>
      <c r="D402" s="4" t="s">
        <v>81</v>
      </c>
      <c r="E402" s="4">
        <v>3.12</v>
      </c>
    </row>
    <row r="403">
      <c r="A403" s="5">
        <v>122789.0</v>
      </c>
      <c r="B403" s="6" t="s">
        <v>73</v>
      </c>
      <c r="C403" s="6" t="s">
        <v>74</v>
      </c>
      <c r="D403" s="6" t="s">
        <v>81</v>
      </c>
      <c r="E403" s="6">
        <v>3.91</v>
      </c>
    </row>
    <row r="404">
      <c r="A404" s="3">
        <v>101563.0</v>
      </c>
      <c r="B404" s="4" t="s">
        <v>73</v>
      </c>
      <c r="C404" s="4" t="s">
        <v>74</v>
      </c>
      <c r="D404" s="4" t="s">
        <v>81</v>
      </c>
      <c r="E404" s="4">
        <v>1.52</v>
      </c>
    </row>
    <row r="405">
      <c r="A405" s="5">
        <v>110934.0</v>
      </c>
      <c r="B405" s="6" t="s">
        <v>73</v>
      </c>
      <c r="C405" s="6" t="s">
        <v>74</v>
      </c>
      <c r="D405" s="6" t="s">
        <v>81</v>
      </c>
      <c r="E405" s="6">
        <v>4.18</v>
      </c>
    </row>
    <row r="406">
      <c r="A406" s="3">
        <v>110147.0</v>
      </c>
      <c r="B406" s="4" t="s">
        <v>73</v>
      </c>
      <c r="C406" s="4" t="s">
        <v>74</v>
      </c>
      <c r="D406" s="4" t="s">
        <v>81</v>
      </c>
      <c r="E406" s="4">
        <v>1.97</v>
      </c>
    </row>
    <row r="407">
      <c r="A407" s="5">
        <v>104135.0</v>
      </c>
      <c r="B407" s="6" t="s">
        <v>73</v>
      </c>
      <c r="C407" s="6" t="s">
        <v>74</v>
      </c>
      <c r="D407" s="6" t="s">
        <v>81</v>
      </c>
      <c r="E407" s="6">
        <v>2.18</v>
      </c>
    </row>
    <row r="408">
      <c r="A408" s="3">
        <v>101559.0</v>
      </c>
      <c r="B408" s="4" t="s">
        <v>73</v>
      </c>
      <c r="C408" s="4" t="s">
        <v>74</v>
      </c>
      <c r="D408" s="4" t="s">
        <v>81</v>
      </c>
      <c r="E408" s="4">
        <v>3.31</v>
      </c>
    </row>
    <row r="409">
      <c r="A409" s="5">
        <v>129340.0</v>
      </c>
      <c r="B409" s="6" t="s">
        <v>73</v>
      </c>
      <c r="C409" s="6" t="s">
        <v>74</v>
      </c>
      <c r="D409" s="6" t="s">
        <v>81</v>
      </c>
      <c r="E409" s="6">
        <v>5.17</v>
      </c>
    </row>
    <row r="410">
      <c r="A410" s="3">
        <v>103609.0</v>
      </c>
      <c r="B410" s="4" t="s">
        <v>73</v>
      </c>
      <c r="C410" s="4" t="s">
        <v>74</v>
      </c>
      <c r="D410" s="4" t="s">
        <v>81</v>
      </c>
      <c r="E410" s="4">
        <v>1.45</v>
      </c>
    </row>
    <row r="411">
      <c r="A411" s="5">
        <v>122499.0</v>
      </c>
      <c r="B411" s="6" t="s">
        <v>73</v>
      </c>
      <c r="C411" s="6" t="s">
        <v>74</v>
      </c>
      <c r="D411" s="6" t="s">
        <v>81</v>
      </c>
      <c r="E411" s="6">
        <v>2.56</v>
      </c>
    </row>
    <row r="412">
      <c r="A412" s="3">
        <v>117311.0</v>
      </c>
      <c r="B412" s="4" t="s">
        <v>73</v>
      </c>
      <c r="C412" s="4" t="s">
        <v>74</v>
      </c>
      <c r="D412" s="4" t="s">
        <v>81</v>
      </c>
      <c r="E412" s="4">
        <v>4.42</v>
      </c>
    </row>
    <row r="413">
      <c r="A413" s="5">
        <v>116670.0</v>
      </c>
      <c r="B413" s="6" t="s">
        <v>73</v>
      </c>
      <c r="C413" s="6" t="s">
        <v>74</v>
      </c>
      <c r="D413" s="6" t="s">
        <v>81</v>
      </c>
      <c r="E413" s="6">
        <v>2.77</v>
      </c>
    </row>
    <row r="414">
      <c r="A414" s="3">
        <v>2204.0</v>
      </c>
      <c r="B414" s="4" t="s">
        <v>73</v>
      </c>
      <c r="C414" s="4" t="s">
        <v>74</v>
      </c>
      <c r="D414" s="4" t="s">
        <v>81</v>
      </c>
      <c r="E414" s="4">
        <v>2.67</v>
      </c>
    </row>
    <row r="415">
      <c r="A415" s="5">
        <v>104128.0</v>
      </c>
      <c r="B415" s="6" t="s">
        <v>73</v>
      </c>
      <c r="C415" s="6" t="s">
        <v>74</v>
      </c>
      <c r="D415" s="6" t="s">
        <v>81</v>
      </c>
      <c r="E415" s="6">
        <v>1.92</v>
      </c>
    </row>
    <row r="416">
      <c r="A416" s="3">
        <v>103600.0</v>
      </c>
      <c r="B416" s="4" t="s">
        <v>73</v>
      </c>
      <c r="C416" s="4" t="s">
        <v>74</v>
      </c>
      <c r="D416" s="4" t="s">
        <v>81</v>
      </c>
      <c r="E416" s="4">
        <v>1.3</v>
      </c>
    </row>
    <row r="417">
      <c r="A417" s="5">
        <v>108802.0</v>
      </c>
      <c r="B417" s="6" t="s">
        <v>73</v>
      </c>
      <c r="C417" s="6" t="s">
        <v>74</v>
      </c>
      <c r="D417" s="6" t="s">
        <v>81</v>
      </c>
      <c r="E417" s="6">
        <v>1.47</v>
      </c>
    </row>
    <row r="418">
      <c r="A418" s="3">
        <v>201034.0</v>
      </c>
      <c r="B418" s="4" t="s">
        <v>73</v>
      </c>
      <c r="C418" s="4" t="s">
        <v>74</v>
      </c>
      <c r="D418" s="4" t="s">
        <v>81</v>
      </c>
      <c r="E418" s="4">
        <v>3.46</v>
      </c>
    </row>
    <row r="419">
      <c r="A419" s="5">
        <v>6522.0</v>
      </c>
      <c r="B419" s="6" t="s">
        <v>73</v>
      </c>
      <c r="C419" s="6" t="s">
        <v>74</v>
      </c>
      <c r="D419" s="6" t="s">
        <v>81</v>
      </c>
      <c r="E419" s="6">
        <v>2.53</v>
      </c>
    </row>
    <row r="420">
      <c r="A420" s="3">
        <v>77644.0</v>
      </c>
      <c r="B420" s="4" t="s">
        <v>73</v>
      </c>
      <c r="C420" s="4" t="s">
        <v>74</v>
      </c>
      <c r="D420" s="4" t="s">
        <v>81</v>
      </c>
      <c r="E420" s="4">
        <v>3.46</v>
      </c>
    </row>
    <row r="421">
      <c r="A421" s="5">
        <v>3225.0</v>
      </c>
      <c r="B421" s="6" t="s">
        <v>73</v>
      </c>
      <c r="C421" s="6" t="s">
        <v>74</v>
      </c>
      <c r="D421" s="6" t="s">
        <v>81</v>
      </c>
      <c r="E421" s="6">
        <v>2.88</v>
      </c>
    </row>
    <row r="422">
      <c r="A422" s="3">
        <v>158447.0</v>
      </c>
      <c r="B422" s="4" t="s">
        <v>73</v>
      </c>
      <c r="C422" s="4" t="s">
        <v>74</v>
      </c>
      <c r="D422" s="4" t="s">
        <v>81</v>
      </c>
      <c r="E422" s="4">
        <v>4.65</v>
      </c>
    </row>
    <row r="423">
      <c r="A423" s="5">
        <v>9737.0</v>
      </c>
      <c r="B423" s="6" t="s">
        <v>73</v>
      </c>
      <c r="C423" s="6" t="s">
        <v>74</v>
      </c>
      <c r="D423" s="6" t="s">
        <v>81</v>
      </c>
      <c r="E423" s="6">
        <v>2.67</v>
      </c>
    </row>
    <row r="424">
      <c r="A424" s="3">
        <v>73260.0</v>
      </c>
      <c r="B424" s="4" t="s">
        <v>73</v>
      </c>
      <c r="C424" s="4" t="s">
        <v>74</v>
      </c>
      <c r="D424" s="4" t="s">
        <v>81</v>
      </c>
      <c r="E424" s="4">
        <v>1.26</v>
      </c>
    </row>
    <row r="425">
      <c r="A425" s="5">
        <v>158467.0</v>
      </c>
      <c r="B425" s="6" t="s">
        <v>73</v>
      </c>
      <c r="C425" s="6" t="s">
        <v>74</v>
      </c>
      <c r="D425" s="6" t="s">
        <v>81</v>
      </c>
      <c r="E425" s="6">
        <v>1.2</v>
      </c>
    </row>
    <row r="426">
      <c r="A426" s="3">
        <v>117319.0</v>
      </c>
      <c r="B426" s="4" t="s">
        <v>73</v>
      </c>
      <c r="C426" s="4" t="s">
        <v>74</v>
      </c>
      <c r="D426" s="4" t="s">
        <v>81</v>
      </c>
      <c r="E426" s="4">
        <v>4.42</v>
      </c>
    </row>
    <row r="427">
      <c r="A427" s="5">
        <v>108893.0</v>
      </c>
      <c r="B427" s="6" t="s">
        <v>73</v>
      </c>
      <c r="C427" s="6" t="s">
        <v>74</v>
      </c>
      <c r="D427" s="6" t="s">
        <v>81</v>
      </c>
      <c r="E427" s="6">
        <v>1.94</v>
      </c>
    </row>
    <row r="428">
      <c r="A428" s="3">
        <v>111734.0</v>
      </c>
      <c r="B428" s="4" t="s">
        <v>73</v>
      </c>
      <c r="C428" s="4" t="s">
        <v>74</v>
      </c>
      <c r="D428" s="4" t="s">
        <v>81</v>
      </c>
      <c r="E428" s="4">
        <v>3.93</v>
      </c>
    </row>
    <row r="429">
      <c r="A429" s="5">
        <v>96066.0</v>
      </c>
      <c r="B429" s="6" t="s">
        <v>73</v>
      </c>
      <c r="C429" s="6" t="s">
        <v>74</v>
      </c>
      <c r="D429" s="6" t="s">
        <v>81</v>
      </c>
      <c r="E429" s="6">
        <v>2.77</v>
      </c>
    </row>
    <row r="430">
      <c r="A430" s="3">
        <v>3222.0</v>
      </c>
      <c r="B430" s="4" t="s">
        <v>73</v>
      </c>
      <c r="C430" s="4" t="s">
        <v>74</v>
      </c>
      <c r="D430" s="4" t="s">
        <v>81</v>
      </c>
      <c r="E430" s="4">
        <v>2.49</v>
      </c>
    </row>
    <row r="431">
      <c r="A431" s="5">
        <v>117312.0</v>
      </c>
      <c r="B431" s="6" t="s">
        <v>73</v>
      </c>
      <c r="C431" s="6" t="s">
        <v>74</v>
      </c>
      <c r="D431" s="6" t="s">
        <v>81</v>
      </c>
      <c r="E431" s="6">
        <v>3.57</v>
      </c>
    </row>
    <row r="432">
      <c r="A432" s="3">
        <v>104791.0</v>
      </c>
      <c r="B432" s="4" t="s">
        <v>73</v>
      </c>
      <c r="C432" s="4" t="s">
        <v>74</v>
      </c>
      <c r="D432" s="4" t="s">
        <v>81</v>
      </c>
      <c r="E432" s="4">
        <v>1.98</v>
      </c>
    </row>
    <row r="433">
      <c r="A433" s="5">
        <v>10051.0</v>
      </c>
      <c r="B433" s="6" t="s">
        <v>73</v>
      </c>
      <c r="C433" s="6" t="s">
        <v>74</v>
      </c>
      <c r="D433" s="6" t="s">
        <v>81</v>
      </c>
      <c r="E433" s="6">
        <v>3.25</v>
      </c>
    </row>
    <row r="434">
      <c r="A434" s="3">
        <v>29318.0</v>
      </c>
      <c r="B434" s="4" t="s">
        <v>73</v>
      </c>
      <c r="C434" s="4" t="s">
        <v>74</v>
      </c>
      <c r="D434" s="4" t="s">
        <v>81</v>
      </c>
      <c r="E434" s="4">
        <v>4.9</v>
      </c>
    </row>
    <row r="435">
      <c r="A435" s="5">
        <v>116885.0</v>
      </c>
      <c r="B435" s="6" t="s">
        <v>73</v>
      </c>
      <c r="C435" s="6" t="s">
        <v>74</v>
      </c>
      <c r="D435" s="6" t="s">
        <v>81</v>
      </c>
      <c r="E435" s="6">
        <v>1.55</v>
      </c>
    </row>
    <row r="436">
      <c r="A436" s="3">
        <v>121614.0</v>
      </c>
      <c r="B436" s="4" t="s">
        <v>73</v>
      </c>
      <c r="C436" s="4" t="s">
        <v>74</v>
      </c>
      <c r="D436" s="4" t="s">
        <v>81</v>
      </c>
      <c r="E436" s="4">
        <v>3.49</v>
      </c>
    </row>
    <row r="437">
      <c r="A437" s="5">
        <v>10048.0</v>
      </c>
      <c r="B437" s="6" t="s">
        <v>73</v>
      </c>
      <c r="C437" s="6" t="s">
        <v>74</v>
      </c>
      <c r="D437" s="6" t="s">
        <v>81</v>
      </c>
      <c r="E437" s="6">
        <v>3.25</v>
      </c>
    </row>
    <row r="438">
      <c r="A438" s="3">
        <v>109534.0</v>
      </c>
      <c r="B438" s="4" t="s">
        <v>73</v>
      </c>
      <c r="C438" s="4" t="s">
        <v>74</v>
      </c>
      <c r="D438" s="4" t="s">
        <v>81</v>
      </c>
      <c r="E438" s="4">
        <v>1.53</v>
      </c>
    </row>
    <row r="439">
      <c r="A439" s="5">
        <v>111802.0</v>
      </c>
      <c r="B439" s="6" t="s">
        <v>73</v>
      </c>
      <c r="C439" s="6" t="s">
        <v>74</v>
      </c>
      <c r="D439" s="6" t="s">
        <v>81</v>
      </c>
      <c r="E439" s="6">
        <v>6.13</v>
      </c>
    </row>
    <row r="440">
      <c r="A440" s="3">
        <v>108801.0</v>
      </c>
      <c r="B440" s="4" t="s">
        <v>73</v>
      </c>
      <c r="C440" s="4" t="s">
        <v>74</v>
      </c>
      <c r="D440" s="4" t="s">
        <v>81</v>
      </c>
      <c r="E440" s="4">
        <v>2.8</v>
      </c>
    </row>
    <row r="441">
      <c r="A441" s="5">
        <v>9735.0</v>
      </c>
      <c r="B441" s="6" t="s">
        <v>73</v>
      </c>
      <c r="C441" s="6" t="s">
        <v>74</v>
      </c>
      <c r="D441" s="6" t="s">
        <v>81</v>
      </c>
      <c r="E441" s="6">
        <v>2.67</v>
      </c>
    </row>
    <row r="442">
      <c r="A442" s="3">
        <v>109531.0</v>
      </c>
      <c r="B442" s="4" t="s">
        <v>73</v>
      </c>
      <c r="C442" s="4" t="s">
        <v>74</v>
      </c>
      <c r="D442" s="4" t="s">
        <v>81</v>
      </c>
      <c r="E442" s="4">
        <v>1.53</v>
      </c>
    </row>
    <row r="443">
      <c r="A443" s="5">
        <v>44533.0</v>
      </c>
      <c r="B443" s="6" t="s">
        <v>73</v>
      </c>
      <c r="C443" s="6" t="s">
        <v>74</v>
      </c>
      <c r="D443" s="6" t="s">
        <v>81</v>
      </c>
      <c r="E443" s="6">
        <v>1.86</v>
      </c>
    </row>
    <row r="444">
      <c r="A444" s="3">
        <v>158465.0</v>
      </c>
      <c r="B444" s="4" t="s">
        <v>73</v>
      </c>
      <c r="C444" s="4" t="s">
        <v>74</v>
      </c>
      <c r="D444" s="4" t="s">
        <v>81</v>
      </c>
      <c r="E444" s="4">
        <v>1.92</v>
      </c>
    </row>
    <row r="445">
      <c r="A445" s="5">
        <v>79107.0</v>
      </c>
      <c r="B445" s="6" t="s">
        <v>73</v>
      </c>
      <c r="C445" s="6" t="s">
        <v>74</v>
      </c>
      <c r="D445" s="6" t="s">
        <v>81</v>
      </c>
      <c r="E445" s="6">
        <v>2.32</v>
      </c>
    </row>
    <row r="446">
      <c r="A446" s="3">
        <v>78631.0</v>
      </c>
      <c r="B446" s="4" t="s">
        <v>73</v>
      </c>
      <c r="C446" s="4" t="s">
        <v>74</v>
      </c>
      <c r="D446" s="4" t="s">
        <v>81</v>
      </c>
      <c r="E446" s="4">
        <v>6.98</v>
      </c>
    </row>
    <row r="447">
      <c r="A447" s="5">
        <v>120469.0</v>
      </c>
      <c r="B447" s="6" t="s">
        <v>73</v>
      </c>
      <c r="C447" s="6" t="s">
        <v>74</v>
      </c>
      <c r="D447" s="6" t="s">
        <v>81</v>
      </c>
      <c r="E447" s="6">
        <v>2.67</v>
      </c>
    </row>
    <row r="448">
      <c r="A448" s="3">
        <v>6523.0</v>
      </c>
      <c r="B448" s="4" t="s">
        <v>73</v>
      </c>
      <c r="C448" s="4" t="s">
        <v>74</v>
      </c>
      <c r="D448" s="4" t="s">
        <v>81</v>
      </c>
      <c r="E448" s="4">
        <v>2.8</v>
      </c>
    </row>
    <row r="449">
      <c r="A449" s="5">
        <v>41819.0</v>
      </c>
      <c r="B449" s="6" t="s">
        <v>73</v>
      </c>
      <c r="C449" s="6" t="s">
        <v>74</v>
      </c>
      <c r="D449" s="6" t="s">
        <v>81</v>
      </c>
      <c r="E449" s="6">
        <v>2.25</v>
      </c>
    </row>
    <row r="450">
      <c r="A450" s="3">
        <v>108889.0</v>
      </c>
      <c r="B450" s="4" t="s">
        <v>73</v>
      </c>
      <c r="C450" s="4" t="s">
        <v>74</v>
      </c>
      <c r="D450" s="4" t="s">
        <v>81</v>
      </c>
      <c r="E450" s="4">
        <v>2.24</v>
      </c>
    </row>
    <row r="451">
      <c r="A451" s="5">
        <v>92564.0</v>
      </c>
      <c r="B451" s="6" t="s">
        <v>73</v>
      </c>
      <c r="C451" s="6" t="s">
        <v>74</v>
      </c>
      <c r="D451" s="6" t="s">
        <v>81</v>
      </c>
      <c r="E451" s="6">
        <v>2.33</v>
      </c>
    </row>
    <row r="452">
      <c r="A452" s="3">
        <v>158456.0</v>
      </c>
      <c r="B452" s="4" t="s">
        <v>73</v>
      </c>
      <c r="C452" s="4" t="s">
        <v>74</v>
      </c>
      <c r="D452" s="4" t="s">
        <v>81</v>
      </c>
      <c r="E452" s="4">
        <v>3.52</v>
      </c>
    </row>
    <row r="453">
      <c r="A453" s="5">
        <v>111735.0</v>
      </c>
      <c r="B453" s="6" t="s">
        <v>73</v>
      </c>
      <c r="C453" s="6" t="s">
        <v>74</v>
      </c>
      <c r="D453" s="6" t="s">
        <v>81</v>
      </c>
      <c r="E453" s="6">
        <v>4.54</v>
      </c>
    </row>
    <row r="454">
      <c r="A454" s="3">
        <v>109537.0</v>
      </c>
      <c r="B454" s="4" t="s">
        <v>73</v>
      </c>
      <c r="C454" s="4" t="s">
        <v>74</v>
      </c>
      <c r="D454" s="4" t="s">
        <v>81</v>
      </c>
      <c r="E454" s="4">
        <v>3.05</v>
      </c>
    </row>
    <row r="455">
      <c r="A455" s="5">
        <v>109381.0</v>
      </c>
      <c r="B455" s="6" t="s">
        <v>73</v>
      </c>
      <c r="C455" s="6" t="s">
        <v>74</v>
      </c>
      <c r="D455" s="6" t="s">
        <v>81</v>
      </c>
      <c r="E455" s="6">
        <v>1.39</v>
      </c>
    </row>
    <row r="456">
      <c r="A456" s="3">
        <v>120944.0</v>
      </c>
      <c r="B456" s="4" t="s">
        <v>73</v>
      </c>
      <c r="C456" s="4" t="s">
        <v>74</v>
      </c>
      <c r="D456" s="4" t="s">
        <v>81</v>
      </c>
      <c r="E456" s="4">
        <v>3.61</v>
      </c>
    </row>
    <row r="457">
      <c r="A457" s="5">
        <v>29320.0</v>
      </c>
      <c r="B457" s="6" t="s">
        <v>73</v>
      </c>
      <c r="C457" s="6" t="s">
        <v>74</v>
      </c>
      <c r="D457" s="6" t="s">
        <v>81</v>
      </c>
      <c r="E457" s="6">
        <v>4.9</v>
      </c>
    </row>
    <row r="458">
      <c r="A458" s="3">
        <v>118222.0</v>
      </c>
      <c r="B458" s="4" t="s">
        <v>73</v>
      </c>
      <c r="C458" s="4" t="s">
        <v>74</v>
      </c>
      <c r="D458" s="4" t="s">
        <v>81</v>
      </c>
      <c r="E458" s="4">
        <v>4.3</v>
      </c>
    </row>
    <row r="459">
      <c r="A459" s="5">
        <v>108897.0</v>
      </c>
      <c r="B459" s="6" t="s">
        <v>73</v>
      </c>
      <c r="C459" s="6" t="s">
        <v>74</v>
      </c>
      <c r="D459" s="6" t="s">
        <v>81</v>
      </c>
      <c r="E459" s="6">
        <v>1.5</v>
      </c>
    </row>
    <row r="460">
      <c r="A460" s="3">
        <v>101565.0</v>
      </c>
      <c r="B460" s="4" t="s">
        <v>73</v>
      </c>
      <c r="C460" s="4" t="s">
        <v>74</v>
      </c>
      <c r="D460" s="4" t="s">
        <v>81</v>
      </c>
      <c r="E460" s="4">
        <v>1.52</v>
      </c>
    </row>
    <row r="461">
      <c r="A461" s="5">
        <v>29319.0</v>
      </c>
      <c r="B461" s="6" t="s">
        <v>73</v>
      </c>
      <c r="C461" s="6" t="s">
        <v>74</v>
      </c>
      <c r="D461" s="6" t="s">
        <v>81</v>
      </c>
      <c r="E461" s="6">
        <v>4.9</v>
      </c>
    </row>
    <row r="462">
      <c r="A462" s="3">
        <v>96444.0</v>
      </c>
      <c r="B462" s="4" t="s">
        <v>73</v>
      </c>
      <c r="C462" s="4" t="s">
        <v>74</v>
      </c>
      <c r="D462" s="4" t="s">
        <v>81</v>
      </c>
      <c r="E462" s="4">
        <v>2.77</v>
      </c>
    </row>
    <row r="463">
      <c r="A463" s="5">
        <v>101557.0</v>
      </c>
      <c r="B463" s="6" t="s">
        <v>73</v>
      </c>
      <c r="C463" s="6" t="s">
        <v>74</v>
      </c>
      <c r="D463" s="6" t="s">
        <v>81</v>
      </c>
      <c r="E463" s="6">
        <v>5.3</v>
      </c>
    </row>
    <row r="464">
      <c r="A464" s="3">
        <v>103610.0</v>
      </c>
      <c r="B464" s="4" t="s">
        <v>73</v>
      </c>
      <c r="C464" s="4" t="s">
        <v>74</v>
      </c>
      <c r="D464" s="4" t="s">
        <v>81</v>
      </c>
      <c r="E464" s="4">
        <v>1.45</v>
      </c>
    </row>
    <row r="465">
      <c r="A465" s="5">
        <v>181195.0</v>
      </c>
      <c r="B465" s="6" t="s">
        <v>73</v>
      </c>
      <c r="C465" s="6" t="s">
        <v>74</v>
      </c>
      <c r="D465" s="6" t="s">
        <v>81</v>
      </c>
      <c r="E465" s="6">
        <v>4.35</v>
      </c>
    </row>
    <row r="466">
      <c r="A466" s="3">
        <v>12639.0</v>
      </c>
      <c r="B466" s="4" t="s">
        <v>73</v>
      </c>
      <c r="C466" s="4" t="s">
        <v>74</v>
      </c>
      <c r="D466" s="4" t="s">
        <v>81</v>
      </c>
      <c r="E466" s="4">
        <v>2.62</v>
      </c>
    </row>
    <row r="467">
      <c r="A467" s="5">
        <v>158464.0</v>
      </c>
      <c r="B467" s="6" t="s">
        <v>73</v>
      </c>
      <c r="C467" s="6" t="s">
        <v>74</v>
      </c>
      <c r="D467" s="6" t="s">
        <v>81</v>
      </c>
      <c r="E467" s="6">
        <v>1.92</v>
      </c>
    </row>
    <row r="468">
      <c r="A468" s="3">
        <v>116525.0</v>
      </c>
      <c r="B468" s="4" t="s">
        <v>73</v>
      </c>
      <c r="C468" s="4" t="s">
        <v>74</v>
      </c>
      <c r="D468" s="4" t="s">
        <v>81</v>
      </c>
      <c r="E468" s="4">
        <v>1.18</v>
      </c>
    </row>
    <row r="469">
      <c r="A469" s="5">
        <v>116295.0</v>
      </c>
      <c r="B469" s="6" t="s">
        <v>73</v>
      </c>
      <c r="C469" s="6" t="s">
        <v>74</v>
      </c>
      <c r="D469" s="6" t="s">
        <v>81</v>
      </c>
      <c r="E469" s="6">
        <v>1.69</v>
      </c>
    </row>
    <row r="470">
      <c r="A470" s="3">
        <v>116297.0</v>
      </c>
      <c r="B470" s="4" t="s">
        <v>73</v>
      </c>
      <c r="C470" s="4" t="s">
        <v>74</v>
      </c>
      <c r="D470" s="4" t="s">
        <v>81</v>
      </c>
      <c r="E470" s="4">
        <v>1.69</v>
      </c>
    </row>
    <row r="471">
      <c r="A471" s="5">
        <v>11421.0</v>
      </c>
      <c r="B471" s="6" t="s">
        <v>73</v>
      </c>
      <c r="C471" s="6" t="s">
        <v>74</v>
      </c>
      <c r="D471" s="6" t="s">
        <v>81</v>
      </c>
      <c r="E471" s="6">
        <v>5.53</v>
      </c>
    </row>
    <row r="472">
      <c r="A472" s="3">
        <v>101549.0</v>
      </c>
      <c r="B472" s="4" t="s">
        <v>73</v>
      </c>
      <c r="C472" s="4" t="s">
        <v>74</v>
      </c>
      <c r="D472" s="4" t="s">
        <v>81</v>
      </c>
      <c r="E472" s="4">
        <v>1.93</v>
      </c>
    </row>
    <row r="473">
      <c r="A473" s="5">
        <v>109543.0</v>
      </c>
      <c r="B473" s="6" t="s">
        <v>73</v>
      </c>
      <c r="C473" s="6" t="s">
        <v>74</v>
      </c>
      <c r="D473" s="6" t="s">
        <v>81</v>
      </c>
      <c r="E473" s="6">
        <v>2.18</v>
      </c>
    </row>
    <row r="474">
      <c r="A474" s="3">
        <v>79318.0</v>
      </c>
      <c r="B474" s="4" t="s">
        <v>73</v>
      </c>
      <c r="C474" s="4" t="s">
        <v>74</v>
      </c>
      <c r="D474" s="4" t="s">
        <v>81</v>
      </c>
      <c r="E474" s="4">
        <v>4.26</v>
      </c>
    </row>
    <row r="475">
      <c r="A475" s="5">
        <v>2203.0</v>
      </c>
      <c r="B475" s="6" t="s">
        <v>73</v>
      </c>
      <c r="C475" s="6" t="s">
        <v>74</v>
      </c>
      <c r="D475" s="6" t="s">
        <v>81</v>
      </c>
      <c r="E475" s="6">
        <v>2.67</v>
      </c>
    </row>
    <row r="476">
      <c r="A476" s="3">
        <v>111727.0</v>
      </c>
      <c r="B476" s="4" t="s">
        <v>73</v>
      </c>
      <c r="C476" s="4" t="s">
        <v>74</v>
      </c>
      <c r="D476" s="4" t="s">
        <v>81</v>
      </c>
      <c r="E476" s="4">
        <v>6.47</v>
      </c>
    </row>
    <row r="477">
      <c r="A477" s="5">
        <v>118151.0</v>
      </c>
      <c r="B477" s="6" t="s">
        <v>73</v>
      </c>
      <c r="C477" s="6" t="s">
        <v>74</v>
      </c>
      <c r="D477" s="6" t="s">
        <v>81</v>
      </c>
      <c r="E477" s="6">
        <v>1.58</v>
      </c>
    </row>
    <row r="478">
      <c r="A478" s="3">
        <v>108888.0</v>
      </c>
      <c r="B478" s="4" t="s">
        <v>73</v>
      </c>
      <c r="C478" s="4" t="s">
        <v>74</v>
      </c>
      <c r="D478" s="4" t="s">
        <v>81</v>
      </c>
      <c r="E478" s="4">
        <v>2.94</v>
      </c>
    </row>
    <row r="479">
      <c r="A479" s="5">
        <v>120465.0</v>
      </c>
      <c r="B479" s="6" t="s">
        <v>73</v>
      </c>
      <c r="C479" s="6" t="s">
        <v>74</v>
      </c>
      <c r="D479" s="6" t="s">
        <v>81</v>
      </c>
      <c r="E479" s="6">
        <v>2.49</v>
      </c>
    </row>
    <row r="480">
      <c r="A480" s="3">
        <v>92561.0</v>
      </c>
      <c r="B480" s="4" t="s">
        <v>73</v>
      </c>
      <c r="C480" s="4" t="s">
        <v>74</v>
      </c>
      <c r="D480" s="4" t="s">
        <v>81</v>
      </c>
      <c r="E480" s="4">
        <v>2.33</v>
      </c>
    </row>
    <row r="481">
      <c r="A481" s="5">
        <v>150294.0</v>
      </c>
      <c r="B481" s="6" t="s">
        <v>73</v>
      </c>
      <c r="C481" s="6" t="s">
        <v>74</v>
      </c>
      <c r="D481" s="6" t="s">
        <v>81</v>
      </c>
      <c r="E481" s="6">
        <v>5.17</v>
      </c>
    </row>
    <row r="482">
      <c r="A482" s="3">
        <v>108895.0</v>
      </c>
      <c r="B482" s="4" t="s">
        <v>73</v>
      </c>
      <c r="C482" s="4" t="s">
        <v>74</v>
      </c>
      <c r="D482" s="4" t="s">
        <v>81</v>
      </c>
      <c r="E482" s="4">
        <v>2.03</v>
      </c>
    </row>
    <row r="483">
      <c r="A483" s="5">
        <v>41666.0</v>
      </c>
      <c r="B483" s="6" t="s">
        <v>73</v>
      </c>
      <c r="C483" s="6" t="s">
        <v>74</v>
      </c>
      <c r="D483" s="6" t="s">
        <v>81</v>
      </c>
      <c r="E483" s="6">
        <v>3.42</v>
      </c>
    </row>
    <row r="484">
      <c r="A484" s="3">
        <v>41816.0</v>
      </c>
      <c r="B484" s="4" t="s">
        <v>73</v>
      </c>
      <c r="C484" s="4" t="s">
        <v>74</v>
      </c>
      <c r="D484" s="4" t="s">
        <v>81</v>
      </c>
      <c r="E484" s="4">
        <v>2.25</v>
      </c>
    </row>
    <row r="485">
      <c r="A485" s="5">
        <v>99779.0</v>
      </c>
      <c r="B485" s="6" t="s">
        <v>73</v>
      </c>
      <c r="C485" s="6" t="s">
        <v>74</v>
      </c>
      <c r="D485" s="6" t="s">
        <v>81</v>
      </c>
      <c r="E485" s="6">
        <v>3.46</v>
      </c>
    </row>
    <row r="486">
      <c r="A486" s="3">
        <v>111716.0</v>
      </c>
      <c r="B486" s="4" t="s">
        <v>73</v>
      </c>
      <c r="C486" s="4" t="s">
        <v>74</v>
      </c>
      <c r="D486" s="4" t="s">
        <v>81</v>
      </c>
      <c r="E486" s="4">
        <v>0.87</v>
      </c>
    </row>
    <row r="487">
      <c r="A487" s="5">
        <v>96443.0</v>
      </c>
      <c r="B487" s="6" t="s">
        <v>73</v>
      </c>
      <c r="C487" s="6" t="s">
        <v>74</v>
      </c>
      <c r="D487" s="6" t="s">
        <v>81</v>
      </c>
      <c r="E487" s="6">
        <v>2.77</v>
      </c>
    </row>
    <row r="488">
      <c r="A488" s="3">
        <v>193187.0</v>
      </c>
      <c r="B488" s="4" t="s">
        <v>73</v>
      </c>
      <c r="C488" s="4" t="s">
        <v>74</v>
      </c>
      <c r="D488" s="4" t="s">
        <v>81</v>
      </c>
      <c r="E488" s="4">
        <v>1.97</v>
      </c>
    </row>
    <row r="489">
      <c r="A489" s="5">
        <v>96068.0</v>
      </c>
      <c r="B489" s="6" t="s">
        <v>73</v>
      </c>
      <c r="C489" s="6" t="s">
        <v>74</v>
      </c>
      <c r="D489" s="6" t="s">
        <v>81</v>
      </c>
      <c r="E489" s="6">
        <v>3.71</v>
      </c>
    </row>
    <row r="490">
      <c r="A490" s="3">
        <v>3227.0</v>
      </c>
      <c r="B490" s="4" t="s">
        <v>73</v>
      </c>
      <c r="C490" s="4" t="s">
        <v>74</v>
      </c>
      <c r="D490" s="4" t="s">
        <v>81</v>
      </c>
      <c r="E490" s="4">
        <v>3.9</v>
      </c>
    </row>
    <row r="491">
      <c r="A491" s="5">
        <v>193183.0</v>
      </c>
      <c r="B491" s="6" t="s">
        <v>73</v>
      </c>
      <c r="C491" s="6" t="s">
        <v>74</v>
      </c>
      <c r="D491" s="6" t="s">
        <v>81</v>
      </c>
      <c r="E491" s="6">
        <v>2.57</v>
      </c>
    </row>
    <row r="492">
      <c r="A492" s="3">
        <v>120945.0</v>
      </c>
      <c r="B492" s="4" t="s">
        <v>73</v>
      </c>
      <c r="C492" s="4" t="s">
        <v>74</v>
      </c>
      <c r="D492" s="4" t="s">
        <v>81</v>
      </c>
      <c r="E492" s="4">
        <v>3.46</v>
      </c>
    </row>
    <row r="493">
      <c r="A493" s="5">
        <v>110940.0</v>
      </c>
      <c r="B493" s="6" t="s">
        <v>73</v>
      </c>
      <c r="C493" s="6" t="s">
        <v>74</v>
      </c>
      <c r="D493" s="6" t="s">
        <v>82</v>
      </c>
      <c r="E493" s="6">
        <v>9.31</v>
      </c>
    </row>
    <row r="494">
      <c r="A494" s="3">
        <v>110942.0</v>
      </c>
      <c r="B494" s="4" t="s">
        <v>73</v>
      </c>
      <c r="C494" s="4" t="s">
        <v>74</v>
      </c>
      <c r="D494" s="4" t="s">
        <v>82</v>
      </c>
      <c r="E494" s="4">
        <v>9.31</v>
      </c>
    </row>
    <row r="495">
      <c r="A495" s="5">
        <v>142301.0</v>
      </c>
      <c r="B495" s="6" t="s">
        <v>73</v>
      </c>
      <c r="C495" s="6" t="s">
        <v>74</v>
      </c>
      <c r="D495" s="6" t="s">
        <v>82</v>
      </c>
      <c r="E495" s="6">
        <v>11.75</v>
      </c>
    </row>
    <row r="496">
      <c r="A496" s="3">
        <v>109760.0</v>
      </c>
      <c r="B496" s="4" t="s">
        <v>73</v>
      </c>
      <c r="C496" s="4" t="s">
        <v>74</v>
      </c>
      <c r="D496" s="4" t="s">
        <v>83</v>
      </c>
      <c r="E496" s="4">
        <v>11.68</v>
      </c>
    </row>
    <row r="497">
      <c r="A497" s="5">
        <v>100392.0</v>
      </c>
      <c r="B497" s="6" t="s">
        <v>73</v>
      </c>
      <c r="C497" s="6" t="s">
        <v>74</v>
      </c>
      <c r="D497" s="6" t="s">
        <v>83</v>
      </c>
      <c r="E497" s="6">
        <v>3.9</v>
      </c>
    </row>
    <row r="498">
      <c r="A498" s="3">
        <v>109763.0</v>
      </c>
      <c r="B498" s="4" t="s">
        <v>73</v>
      </c>
      <c r="C498" s="4" t="s">
        <v>74</v>
      </c>
      <c r="D498" s="4" t="s">
        <v>83</v>
      </c>
      <c r="E498" s="4">
        <v>12.15</v>
      </c>
    </row>
    <row r="499">
      <c r="A499" s="5">
        <v>7271.0</v>
      </c>
      <c r="B499" s="6" t="s">
        <v>73</v>
      </c>
      <c r="C499" s="6" t="s">
        <v>74</v>
      </c>
      <c r="D499" s="6" t="s">
        <v>83</v>
      </c>
      <c r="E499" s="6">
        <v>2.39</v>
      </c>
    </row>
    <row r="500">
      <c r="A500" s="3">
        <v>7267.0</v>
      </c>
      <c r="B500" s="4" t="s">
        <v>73</v>
      </c>
      <c r="C500" s="4" t="s">
        <v>74</v>
      </c>
      <c r="D500" s="4" t="s">
        <v>83</v>
      </c>
      <c r="E500" s="4">
        <v>1.88</v>
      </c>
    </row>
    <row r="501">
      <c r="A501" s="5">
        <v>128412.0</v>
      </c>
      <c r="B501" s="6" t="s">
        <v>73</v>
      </c>
      <c r="C501" s="6" t="s">
        <v>74</v>
      </c>
      <c r="D501" s="6" t="s">
        <v>83</v>
      </c>
      <c r="E501" s="6">
        <v>2.37</v>
      </c>
    </row>
    <row r="502">
      <c r="A502" s="3">
        <v>7268.0</v>
      </c>
      <c r="B502" s="4" t="s">
        <v>73</v>
      </c>
      <c r="C502" s="4" t="s">
        <v>74</v>
      </c>
      <c r="D502" s="4" t="s">
        <v>83</v>
      </c>
      <c r="E502" s="4">
        <v>2.19</v>
      </c>
    </row>
    <row r="503">
      <c r="A503" s="5">
        <v>124701.0</v>
      </c>
      <c r="B503" s="6" t="s">
        <v>73</v>
      </c>
      <c r="C503" s="6" t="s">
        <v>74</v>
      </c>
      <c r="D503" s="6" t="s">
        <v>83</v>
      </c>
      <c r="E503" s="6">
        <v>2.08</v>
      </c>
    </row>
    <row r="504">
      <c r="A504" s="3">
        <v>110007.0</v>
      </c>
      <c r="B504" s="4" t="s">
        <v>73</v>
      </c>
      <c r="C504" s="4" t="s">
        <v>74</v>
      </c>
      <c r="D504" s="4" t="s">
        <v>83</v>
      </c>
      <c r="E504" s="4">
        <v>1.96</v>
      </c>
    </row>
    <row r="505">
      <c r="A505" s="5">
        <v>7266.0</v>
      </c>
      <c r="B505" s="6" t="s">
        <v>73</v>
      </c>
      <c r="C505" s="6" t="s">
        <v>74</v>
      </c>
      <c r="D505" s="6" t="s">
        <v>83</v>
      </c>
      <c r="E505" s="6">
        <v>1.27</v>
      </c>
    </row>
    <row r="506">
      <c r="A506" s="3">
        <v>7269.0</v>
      </c>
      <c r="B506" s="4" t="s">
        <v>73</v>
      </c>
      <c r="C506" s="4" t="s">
        <v>74</v>
      </c>
      <c r="D506" s="4" t="s">
        <v>83</v>
      </c>
      <c r="E506" s="4">
        <v>2.26</v>
      </c>
    </row>
    <row r="507">
      <c r="A507" s="5">
        <v>100393.0</v>
      </c>
      <c r="B507" s="6" t="s">
        <v>73</v>
      </c>
      <c r="C507" s="6" t="s">
        <v>74</v>
      </c>
      <c r="D507" s="6" t="s">
        <v>83</v>
      </c>
      <c r="E507" s="6">
        <v>3.99</v>
      </c>
    </row>
    <row r="508">
      <c r="A508" s="3">
        <v>110009.0</v>
      </c>
      <c r="B508" s="4" t="s">
        <v>73</v>
      </c>
      <c r="C508" s="4" t="s">
        <v>74</v>
      </c>
      <c r="D508" s="4" t="s">
        <v>83</v>
      </c>
      <c r="E508" s="4">
        <v>2.37</v>
      </c>
    </row>
    <row r="509">
      <c r="A509" s="5">
        <v>100394.0</v>
      </c>
      <c r="B509" s="6" t="s">
        <v>73</v>
      </c>
      <c r="C509" s="6" t="s">
        <v>74</v>
      </c>
      <c r="D509" s="6" t="s">
        <v>83</v>
      </c>
      <c r="E509" s="6">
        <v>4.19</v>
      </c>
    </row>
    <row r="510">
      <c r="A510" s="3">
        <v>118248.0</v>
      </c>
      <c r="B510" s="4" t="s">
        <v>73</v>
      </c>
      <c r="C510" s="4" t="s">
        <v>74</v>
      </c>
      <c r="D510" s="4" t="s">
        <v>83</v>
      </c>
      <c r="E510" s="4">
        <v>2.97</v>
      </c>
    </row>
    <row r="511">
      <c r="A511" s="5">
        <v>118467.0</v>
      </c>
      <c r="B511" s="6" t="s">
        <v>73</v>
      </c>
      <c r="C511" s="6" t="s">
        <v>74</v>
      </c>
      <c r="D511" s="6" t="s">
        <v>84</v>
      </c>
      <c r="E511" s="6">
        <v>15.83</v>
      </c>
    </row>
    <row r="512">
      <c r="A512" s="3">
        <v>118465.0</v>
      </c>
      <c r="B512" s="4" t="s">
        <v>73</v>
      </c>
      <c r="C512" s="4" t="s">
        <v>74</v>
      </c>
      <c r="D512" s="4" t="s">
        <v>84</v>
      </c>
      <c r="E512" s="4">
        <v>15.83</v>
      </c>
    </row>
    <row r="513">
      <c r="A513" s="5">
        <v>118450.0</v>
      </c>
      <c r="B513" s="6" t="s">
        <v>73</v>
      </c>
      <c r="C513" s="6" t="s">
        <v>74</v>
      </c>
      <c r="D513" s="6" t="s">
        <v>84</v>
      </c>
      <c r="E513" s="6">
        <v>15.83</v>
      </c>
    </row>
    <row r="514">
      <c r="A514" s="3">
        <v>118457.0</v>
      </c>
      <c r="B514" s="4" t="s">
        <v>73</v>
      </c>
      <c r="C514" s="4" t="s">
        <v>74</v>
      </c>
      <c r="D514" s="4" t="s">
        <v>84</v>
      </c>
      <c r="E514" s="4">
        <v>15.83</v>
      </c>
    </row>
    <row r="515">
      <c r="A515" s="5">
        <v>118463.0</v>
      </c>
      <c r="B515" s="6" t="s">
        <v>73</v>
      </c>
      <c r="C515" s="6" t="s">
        <v>74</v>
      </c>
      <c r="D515" s="6" t="s">
        <v>84</v>
      </c>
      <c r="E515" s="6">
        <v>16.82</v>
      </c>
    </row>
    <row r="516">
      <c r="A516" s="3">
        <v>118460.0</v>
      </c>
      <c r="B516" s="4" t="s">
        <v>73</v>
      </c>
      <c r="C516" s="4" t="s">
        <v>74</v>
      </c>
      <c r="D516" s="4" t="s">
        <v>84</v>
      </c>
      <c r="E516" s="4">
        <v>16.82</v>
      </c>
    </row>
    <row r="517">
      <c r="A517" s="5">
        <v>121035.0</v>
      </c>
      <c r="B517" s="6" t="s">
        <v>73</v>
      </c>
      <c r="C517" s="6" t="s">
        <v>74</v>
      </c>
      <c r="D517" s="6" t="s">
        <v>84</v>
      </c>
      <c r="E517" s="6">
        <v>20.58</v>
      </c>
    </row>
    <row r="518">
      <c r="A518" s="3">
        <v>122623.0</v>
      </c>
      <c r="B518" s="4" t="s">
        <v>73</v>
      </c>
      <c r="C518" s="4" t="s">
        <v>74</v>
      </c>
      <c r="D518" s="4" t="s">
        <v>84</v>
      </c>
      <c r="E518" s="4">
        <v>23.03</v>
      </c>
    </row>
    <row r="519">
      <c r="A519" s="5">
        <v>118469.0</v>
      </c>
      <c r="B519" s="6" t="s">
        <v>73</v>
      </c>
      <c r="C519" s="6" t="s">
        <v>74</v>
      </c>
      <c r="D519" s="6" t="s">
        <v>84</v>
      </c>
      <c r="E519" s="6">
        <v>16.82</v>
      </c>
    </row>
    <row r="520">
      <c r="A520" s="3">
        <v>184629.0</v>
      </c>
      <c r="B520" s="4" t="s">
        <v>73</v>
      </c>
      <c r="C520" s="4" t="s">
        <v>74</v>
      </c>
      <c r="D520" s="4" t="s">
        <v>84</v>
      </c>
      <c r="E520" s="4">
        <v>18.52</v>
      </c>
    </row>
    <row r="521">
      <c r="A521" s="5">
        <v>44469.0</v>
      </c>
      <c r="B521" s="6" t="s">
        <v>73</v>
      </c>
      <c r="C521" s="6" t="s">
        <v>74</v>
      </c>
      <c r="D521" s="6" t="s">
        <v>85</v>
      </c>
      <c r="E521" s="6">
        <v>2.42</v>
      </c>
    </row>
    <row r="522">
      <c r="A522" s="3">
        <v>98421.0</v>
      </c>
      <c r="B522" s="4" t="s">
        <v>73</v>
      </c>
      <c r="C522" s="4" t="s">
        <v>74</v>
      </c>
      <c r="D522" s="4" t="s">
        <v>85</v>
      </c>
      <c r="E522" s="4">
        <v>1.34</v>
      </c>
    </row>
    <row r="523">
      <c r="A523" s="5">
        <v>149512.0</v>
      </c>
      <c r="B523" s="6" t="s">
        <v>73</v>
      </c>
      <c r="C523" s="6" t="s">
        <v>74</v>
      </c>
      <c r="D523" s="6" t="s">
        <v>85</v>
      </c>
      <c r="E523" s="6">
        <v>1.68</v>
      </c>
    </row>
    <row r="524">
      <c r="A524" s="3">
        <v>101489.0</v>
      </c>
      <c r="B524" s="4" t="s">
        <v>73</v>
      </c>
      <c r="C524" s="4" t="s">
        <v>74</v>
      </c>
      <c r="D524" s="4" t="s">
        <v>85</v>
      </c>
      <c r="E524" s="4">
        <v>1.69</v>
      </c>
    </row>
    <row r="525">
      <c r="A525" s="5">
        <v>7263.0</v>
      </c>
      <c r="B525" s="6" t="s">
        <v>73</v>
      </c>
      <c r="C525" s="6" t="s">
        <v>74</v>
      </c>
      <c r="D525" s="6" t="s">
        <v>85</v>
      </c>
      <c r="E525" s="6">
        <v>1.79</v>
      </c>
    </row>
    <row r="526">
      <c r="A526" s="3">
        <v>149510.0</v>
      </c>
      <c r="B526" s="4" t="s">
        <v>73</v>
      </c>
      <c r="C526" s="4" t="s">
        <v>74</v>
      </c>
      <c r="D526" s="4" t="s">
        <v>85</v>
      </c>
      <c r="E526" s="4">
        <v>1.68</v>
      </c>
    </row>
    <row r="527">
      <c r="A527" s="5">
        <v>124692.0</v>
      </c>
      <c r="B527" s="6" t="s">
        <v>73</v>
      </c>
      <c r="C527" s="6" t="s">
        <v>74</v>
      </c>
      <c r="D527" s="6" t="s">
        <v>85</v>
      </c>
      <c r="E527" s="6">
        <v>1.32</v>
      </c>
    </row>
    <row r="528">
      <c r="A528" s="3">
        <v>7253.0</v>
      </c>
      <c r="B528" s="4" t="s">
        <v>73</v>
      </c>
      <c r="C528" s="4" t="s">
        <v>74</v>
      </c>
      <c r="D528" s="4" t="s">
        <v>85</v>
      </c>
      <c r="E528" s="4">
        <v>1.55</v>
      </c>
    </row>
    <row r="529">
      <c r="A529" s="5">
        <v>109999.0</v>
      </c>
      <c r="B529" s="6" t="s">
        <v>73</v>
      </c>
      <c r="C529" s="6" t="s">
        <v>74</v>
      </c>
      <c r="D529" s="6" t="s">
        <v>85</v>
      </c>
      <c r="E529" s="6">
        <v>1.65</v>
      </c>
    </row>
    <row r="530">
      <c r="A530" s="3">
        <v>101535.0</v>
      </c>
      <c r="B530" s="4" t="s">
        <v>73</v>
      </c>
      <c r="C530" s="4" t="s">
        <v>74</v>
      </c>
      <c r="D530" s="4" t="s">
        <v>85</v>
      </c>
      <c r="E530" s="4">
        <v>1.69</v>
      </c>
    </row>
    <row r="531">
      <c r="A531" s="5">
        <v>181795.0</v>
      </c>
      <c r="B531" s="6" t="s">
        <v>73</v>
      </c>
      <c r="C531" s="6" t="s">
        <v>74</v>
      </c>
      <c r="D531" s="6" t="s">
        <v>85</v>
      </c>
      <c r="E531" s="6">
        <v>48.17</v>
      </c>
    </row>
    <row r="532">
      <c r="A532" s="3">
        <v>124686.0</v>
      </c>
      <c r="B532" s="4" t="s">
        <v>73</v>
      </c>
      <c r="C532" s="4" t="s">
        <v>74</v>
      </c>
      <c r="D532" s="4" t="s">
        <v>85</v>
      </c>
      <c r="E532" s="4">
        <v>1.32</v>
      </c>
    </row>
    <row r="533">
      <c r="A533" s="5">
        <v>110003.0</v>
      </c>
      <c r="B533" s="6" t="s">
        <v>73</v>
      </c>
      <c r="C533" s="6" t="s">
        <v>74</v>
      </c>
      <c r="D533" s="6" t="s">
        <v>85</v>
      </c>
      <c r="E533" s="6">
        <v>1.65</v>
      </c>
    </row>
    <row r="534">
      <c r="A534" s="3">
        <v>124691.0</v>
      </c>
      <c r="B534" s="4" t="s">
        <v>73</v>
      </c>
      <c r="C534" s="4" t="s">
        <v>74</v>
      </c>
      <c r="D534" s="4" t="s">
        <v>85</v>
      </c>
      <c r="E534" s="4">
        <v>1.32</v>
      </c>
    </row>
    <row r="535">
      <c r="A535" s="5">
        <v>98444.0</v>
      </c>
      <c r="B535" s="6" t="s">
        <v>73</v>
      </c>
      <c r="C535" s="6" t="s">
        <v>74</v>
      </c>
      <c r="D535" s="6" t="s">
        <v>85</v>
      </c>
      <c r="E535" s="6">
        <v>1.7</v>
      </c>
    </row>
    <row r="536">
      <c r="A536" s="3">
        <v>110393.0</v>
      </c>
      <c r="B536" s="4" t="s">
        <v>73</v>
      </c>
      <c r="C536" s="4" t="s">
        <v>74</v>
      </c>
      <c r="D536" s="4" t="s">
        <v>85</v>
      </c>
      <c r="E536" s="4">
        <v>1.69</v>
      </c>
    </row>
    <row r="537">
      <c r="A537" s="5">
        <v>7254.0</v>
      </c>
      <c r="B537" s="6" t="s">
        <v>73</v>
      </c>
      <c r="C537" s="6" t="s">
        <v>74</v>
      </c>
      <c r="D537" s="6" t="s">
        <v>85</v>
      </c>
      <c r="E537" s="6">
        <v>1.34</v>
      </c>
    </row>
    <row r="538">
      <c r="A538" s="3">
        <v>86502.0</v>
      </c>
      <c r="B538" s="4" t="s">
        <v>73</v>
      </c>
      <c r="C538" s="4" t="s">
        <v>74</v>
      </c>
      <c r="D538" s="4" t="s">
        <v>85</v>
      </c>
      <c r="E538" s="4">
        <v>8.13</v>
      </c>
    </row>
    <row r="539">
      <c r="A539" s="5">
        <v>98442.0</v>
      </c>
      <c r="B539" s="6" t="s">
        <v>73</v>
      </c>
      <c r="C539" s="6" t="s">
        <v>74</v>
      </c>
      <c r="D539" s="6" t="s">
        <v>85</v>
      </c>
      <c r="E539" s="6">
        <v>1.79</v>
      </c>
    </row>
    <row r="540">
      <c r="A540" s="3">
        <v>7256.0</v>
      </c>
      <c r="B540" s="4" t="s">
        <v>73</v>
      </c>
      <c r="C540" s="4" t="s">
        <v>74</v>
      </c>
      <c r="D540" s="4" t="s">
        <v>85</v>
      </c>
      <c r="E540" s="4">
        <v>1.2</v>
      </c>
    </row>
    <row r="541">
      <c r="A541" s="5">
        <v>110394.0</v>
      </c>
      <c r="B541" s="6" t="s">
        <v>73</v>
      </c>
      <c r="C541" s="6" t="s">
        <v>74</v>
      </c>
      <c r="D541" s="6" t="s">
        <v>85</v>
      </c>
      <c r="E541" s="6">
        <v>1.69</v>
      </c>
    </row>
    <row r="542">
      <c r="A542" s="3">
        <v>120998.0</v>
      </c>
      <c r="B542" s="4" t="s">
        <v>73</v>
      </c>
      <c r="C542" s="4" t="s">
        <v>74</v>
      </c>
      <c r="D542" s="4" t="s">
        <v>85</v>
      </c>
      <c r="E542" s="4">
        <v>1.69</v>
      </c>
    </row>
    <row r="543">
      <c r="A543" s="5">
        <v>17674.0</v>
      </c>
      <c r="B543" s="6" t="s">
        <v>73</v>
      </c>
      <c r="C543" s="6" t="s">
        <v>74</v>
      </c>
      <c r="D543" s="6" t="s">
        <v>85</v>
      </c>
      <c r="E543" s="6">
        <v>5.94</v>
      </c>
    </row>
    <row r="544">
      <c r="A544" s="3">
        <v>102946.0</v>
      </c>
      <c r="B544" s="4" t="s">
        <v>73</v>
      </c>
      <c r="C544" s="4" t="s">
        <v>74</v>
      </c>
      <c r="D544" s="4" t="s">
        <v>85</v>
      </c>
      <c r="E544" s="4">
        <v>8.4</v>
      </c>
    </row>
    <row r="545">
      <c r="A545" s="5">
        <v>102947.0</v>
      </c>
      <c r="B545" s="6" t="s">
        <v>73</v>
      </c>
      <c r="C545" s="6" t="s">
        <v>74</v>
      </c>
      <c r="D545" s="6" t="s">
        <v>85</v>
      </c>
      <c r="E545" s="6">
        <v>10.27</v>
      </c>
    </row>
    <row r="546">
      <c r="A546" s="3">
        <v>98445.0</v>
      </c>
      <c r="B546" s="4" t="s">
        <v>73</v>
      </c>
      <c r="C546" s="4" t="s">
        <v>74</v>
      </c>
      <c r="D546" s="4" t="s">
        <v>85</v>
      </c>
      <c r="E546" s="4">
        <v>1.53</v>
      </c>
    </row>
    <row r="547">
      <c r="A547" s="5">
        <v>109273.0</v>
      </c>
      <c r="B547" s="6" t="s">
        <v>73</v>
      </c>
      <c r="C547" s="6" t="s">
        <v>74</v>
      </c>
      <c r="D547" s="6" t="s">
        <v>85</v>
      </c>
      <c r="E547" s="6">
        <v>2.2</v>
      </c>
    </row>
    <row r="548">
      <c r="A548" s="3">
        <v>44465.0</v>
      </c>
      <c r="B548" s="4" t="s">
        <v>73</v>
      </c>
      <c r="C548" s="4" t="s">
        <v>74</v>
      </c>
      <c r="D548" s="4" t="s">
        <v>85</v>
      </c>
      <c r="E548" s="4">
        <v>2.25</v>
      </c>
    </row>
    <row r="549">
      <c r="A549" s="5">
        <v>44451.0</v>
      </c>
      <c r="B549" s="6" t="s">
        <v>73</v>
      </c>
      <c r="C549" s="6" t="s">
        <v>74</v>
      </c>
      <c r="D549" s="6" t="s">
        <v>85</v>
      </c>
      <c r="E549" s="6">
        <v>2.54</v>
      </c>
    </row>
    <row r="550">
      <c r="A550" s="3">
        <v>17664.0</v>
      </c>
      <c r="B550" s="4" t="s">
        <v>73</v>
      </c>
      <c r="C550" s="4" t="s">
        <v>74</v>
      </c>
      <c r="D550" s="4" t="s">
        <v>85</v>
      </c>
      <c r="E550" s="4">
        <v>3.94</v>
      </c>
    </row>
    <row r="551">
      <c r="A551" s="5">
        <v>44459.0</v>
      </c>
      <c r="B551" s="6" t="s">
        <v>73</v>
      </c>
      <c r="C551" s="6" t="s">
        <v>74</v>
      </c>
      <c r="D551" s="6" t="s">
        <v>85</v>
      </c>
      <c r="E551" s="6">
        <v>2.62</v>
      </c>
    </row>
    <row r="552">
      <c r="A552" s="3">
        <v>110398.0</v>
      </c>
      <c r="B552" s="4" t="s">
        <v>73</v>
      </c>
      <c r="C552" s="4" t="s">
        <v>74</v>
      </c>
      <c r="D552" s="4" t="s">
        <v>85</v>
      </c>
      <c r="E552" s="4">
        <v>1.69</v>
      </c>
    </row>
    <row r="553">
      <c r="A553" s="5">
        <v>149495.0</v>
      </c>
      <c r="B553" s="6" t="s">
        <v>73</v>
      </c>
      <c r="C553" s="6" t="s">
        <v>74</v>
      </c>
      <c r="D553" s="6" t="s">
        <v>85</v>
      </c>
      <c r="E553" s="6">
        <v>2.17</v>
      </c>
    </row>
    <row r="554">
      <c r="A554" s="3">
        <v>124685.0</v>
      </c>
      <c r="B554" s="4" t="s">
        <v>73</v>
      </c>
      <c r="C554" s="4" t="s">
        <v>74</v>
      </c>
      <c r="D554" s="4" t="s">
        <v>85</v>
      </c>
      <c r="E554" s="4">
        <v>1.32</v>
      </c>
    </row>
    <row r="555">
      <c r="A555" s="5">
        <v>110004.0</v>
      </c>
      <c r="B555" s="6" t="s">
        <v>73</v>
      </c>
      <c r="C555" s="6" t="s">
        <v>74</v>
      </c>
      <c r="D555" s="6" t="s">
        <v>85</v>
      </c>
      <c r="E555" s="6">
        <v>1.65</v>
      </c>
    </row>
    <row r="556">
      <c r="A556" s="3">
        <v>111052.0</v>
      </c>
      <c r="B556" s="4" t="s">
        <v>73</v>
      </c>
      <c r="C556" s="4" t="s">
        <v>74</v>
      </c>
      <c r="D556" s="4" t="s">
        <v>85</v>
      </c>
      <c r="E556" s="4">
        <v>7.8</v>
      </c>
    </row>
    <row r="557">
      <c r="A557" s="5">
        <v>102948.0</v>
      </c>
      <c r="B557" s="6" t="s">
        <v>73</v>
      </c>
      <c r="C557" s="6" t="s">
        <v>74</v>
      </c>
      <c r="D557" s="6" t="s">
        <v>85</v>
      </c>
      <c r="E557" s="6">
        <v>11.68</v>
      </c>
    </row>
    <row r="558">
      <c r="A558" s="3">
        <v>110000.0</v>
      </c>
      <c r="B558" s="4" t="s">
        <v>73</v>
      </c>
      <c r="C558" s="4" t="s">
        <v>74</v>
      </c>
      <c r="D558" s="4" t="s">
        <v>85</v>
      </c>
      <c r="E558" s="4">
        <v>1.65</v>
      </c>
    </row>
    <row r="559">
      <c r="A559" s="5">
        <v>7264.0</v>
      </c>
      <c r="B559" s="6" t="s">
        <v>73</v>
      </c>
      <c r="C559" s="6" t="s">
        <v>74</v>
      </c>
      <c r="D559" s="6" t="s">
        <v>85</v>
      </c>
      <c r="E559" s="6">
        <v>1.79</v>
      </c>
    </row>
    <row r="560">
      <c r="A560" s="3">
        <v>110005.0</v>
      </c>
      <c r="B560" s="4" t="s">
        <v>73</v>
      </c>
      <c r="C560" s="4" t="s">
        <v>74</v>
      </c>
      <c r="D560" s="4" t="s">
        <v>85</v>
      </c>
      <c r="E560" s="4">
        <v>1.65</v>
      </c>
    </row>
    <row r="561">
      <c r="A561" s="5">
        <v>124693.0</v>
      </c>
      <c r="B561" s="6" t="s">
        <v>73</v>
      </c>
      <c r="C561" s="6" t="s">
        <v>74</v>
      </c>
      <c r="D561" s="6" t="s">
        <v>85</v>
      </c>
      <c r="E561" s="6">
        <v>1.32</v>
      </c>
    </row>
    <row r="562">
      <c r="A562" s="3">
        <v>86501.0</v>
      </c>
      <c r="B562" s="4" t="s">
        <v>73</v>
      </c>
      <c r="C562" s="4" t="s">
        <v>74</v>
      </c>
      <c r="D562" s="4" t="s">
        <v>85</v>
      </c>
      <c r="E562" s="4">
        <v>7.8</v>
      </c>
    </row>
    <row r="563">
      <c r="A563" s="5">
        <v>101536.0</v>
      </c>
      <c r="B563" s="6" t="s">
        <v>73</v>
      </c>
      <c r="C563" s="6" t="s">
        <v>74</v>
      </c>
      <c r="D563" s="6" t="s">
        <v>85</v>
      </c>
      <c r="E563" s="6">
        <v>1.69</v>
      </c>
    </row>
    <row r="564">
      <c r="A564" s="3">
        <v>101534.0</v>
      </c>
      <c r="B564" s="4" t="s">
        <v>73</v>
      </c>
      <c r="C564" s="4" t="s">
        <v>74</v>
      </c>
      <c r="D564" s="4" t="s">
        <v>85</v>
      </c>
      <c r="E564" s="4">
        <v>1.69</v>
      </c>
    </row>
    <row r="565">
      <c r="A565" s="5">
        <v>110002.0</v>
      </c>
      <c r="B565" s="6" t="s">
        <v>73</v>
      </c>
      <c r="C565" s="6" t="s">
        <v>74</v>
      </c>
      <c r="D565" s="6" t="s">
        <v>85</v>
      </c>
      <c r="E565" s="6">
        <v>1.65</v>
      </c>
    </row>
    <row r="566">
      <c r="A566" s="3">
        <v>110001.0</v>
      </c>
      <c r="B566" s="4" t="s">
        <v>73</v>
      </c>
      <c r="C566" s="4" t="s">
        <v>74</v>
      </c>
      <c r="D566" s="4" t="s">
        <v>85</v>
      </c>
      <c r="E566" s="4">
        <v>1.65</v>
      </c>
    </row>
    <row r="567">
      <c r="A567" s="5">
        <v>111051.0</v>
      </c>
      <c r="B567" s="6" t="s">
        <v>73</v>
      </c>
      <c r="C567" s="6" t="s">
        <v>74</v>
      </c>
      <c r="D567" s="6" t="s">
        <v>85</v>
      </c>
      <c r="E567" s="6">
        <v>8.13</v>
      </c>
    </row>
    <row r="568">
      <c r="A568" s="3">
        <v>7258.0</v>
      </c>
      <c r="B568" s="4" t="s">
        <v>73</v>
      </c>
      <c r="C568" s="4" t="s">
        <v>74</v>
      </c>
      <c r="D568" s="4" t="s">
        <v>85</v>
      </c>
      <c r="E568" s="4">
        <v>1.9</v>
      </c>
    </row>
    <row r="569">
      <c r="A569" s="5">
        <v>111053.0</v>
      </c>
      <c r="B569" s="6" t="s">
        <v>73</v>
      </c>
      <c r="C569" s="6" t="s">
        <v>74</v>
      </c>
      <c r="D569" s="6" t="s">
        <v>85</v>
      </c>
      <c r="E569" s="6">
        <v>7.8</v>
      </c>
    </row>
    <row r="570">
      <c r="A570" s="3">
        <v>120996.0</v>
      </c>
      <c r="B570" s="4" t="s">
        <v>73</v>
      </c>
      <c r="C570" s="4" t="s">
        <v>74</v>
      </c>
      <c r="D570" s="4" t="s">
        <v>85</v>
      </c>
      <c r="E570" s="4">
        <v>1.69</v>
      </c>
    </row>
    <row r="571">
      <c r="A571" s="5">
        <v>109746.0</v>
      </c>
      <c r="B571" s="6" t="s">
        <v>73</v>
      </c>
      <c r="C571" s="6" t="s">
        <v>74</v>
      </c>
      <c r="D571" s="6" t="s">
        <v>85</v>
      </c>
      <c r="E571" s="6">
        <v>9.34</v>
      </c>
    </row>
    <row r="572">
      <c r="A572" s="3">
        <v>147288.0</v>
      </c>
      <c r="B572" s="4" t="s">
        <v>73</v>
      </c>
      <c r="C572" s="4" t="s">
        <v>74</v>
      </c>
      <c r="D572" s="4" t="s">
        <v>85</v>
      </c>
      <c r="E572" s="4">
        <v>3.45</v>
      </c>
    </row>
    <row r="573">
      <c r="A573" s="5">
        <v>120997.0</v>
      </c>
      <c r="B573" s="6" t="s">
        <v>73</v>
      </c>
      <c r="C573" s="6" t="s">
        <v>74</v>
      </c>
      <c r="D573" s="6" t="s">
        <v>85</v>
      </c>
      <c r="E573" s="6">
        <v>1.69</v>
      </c>
    </row>
    <row r="574">
      <c r="A574" s="3">
        <v>109742.0</v>
      </c>
      <c r="B574" s="4" t="s">
        <v>73</v>
      </c>
      <c r="C574" s="4" t="s">
        <v>74</v>
      </c>
      <c r="D574" s="4" t="s">
        <v>85</v>
      </c>
      <c r="E574" s="4">
        <v>48.17</v>
      </c>
    </row>
    <row r="575">
      <c r="A575" s="5">
        <v>156013.0</v>
      </c>
      <c r="B575" s="6" t="s">
        <v>73</v>
      </c>
      <c r="C575" s="6" t="s">
        <v>74</v>
      </c>
      <c r="D575" s="6" t="s">
        <v>85</v>
      </c>
      <c r="E575" s="6">
        <v>3.81</v>
      </c>
    </row>
    <row r="576">
      <c r="A576" s="3">
        <v>98426.0</v>
      </c>
      <c r="B576" s="4" t="s">
        <v>73</v>
      </c>
      <c r="C576" s="4" t="s">
        <v>74</v>
      </c>
      <c r="D576" s="4" t="s">
        <v>85</v>
      </c>
      <c r="E576" s="4">
        <v>1.79</v>
      </c>
    </row>
    <row r="577">
      <c r="A577" s="5">
        <v>110006.0</v>
      </c>
      <c r="B577" s="6" t="s">
        <v>73</v>
      </c>
      <c r="C577" s="6" t="s">
        <v>74</v>
      </c>
      <c r="D577" s="6" t="s">
        <v>85</v>
      </c>
      <c r="E577" s="6">
        <v>1.65</v>
      </c>
    </row>
    <row r="578">
      <c r="A578" s="3">
        <v>110409.0</v>
      </c>
      <c r="B578" s="4" t="s">
        <v>73</v>
      </c>
      <c r="C578" s="4" t="s">
        <v>74</v>
      </c>
      <c r="D578" s="4" t="s">
        <v>86</v>
      </c>
      <c r="E578" s="4">
        <v>2.32</v>
      </c>
    </row>
    <row r="579">
      <c r="A579" s="5">
        <v>117774.0</v>
      </c>
      <c r="B579" s="6" t="s">
        <v>73</v>
      </c>
      <c r="C579" s="6" t="s">
        <v>74</v>
      </c>
      <c r="D579" s="6" t="s">
        <v>86</v>
      </c>
      <c r="E579" s="6">
        <v>4.23</v>
      </c>
    </row>
    <row r="580">
      <c r="A580" s="3">
        <v>110411.0</v>
      </c>
      <c r="B580" s="4" t="s">
        <v>73</v>
      </c>
      <c r="C580" s="4" t="s">
        <v>74</v>
      </c>
      <c r="D580" s="4" t="s">
        <v>86</v>
      </c>
      <c r="E580" s="4">
        <v>2.32</v>
      </c>
    </row>
    <row r="581">
      <c r="A581" s="5">
        <v>86743.0</v>
      </c>
      <c r="B581" s="6" t="s">
        <v>73</v>
      </c>
      <c r="C581" s="6" t="s">
        <v>74</v>
      </c>
      <c r="D581" s="6" t="s">
        <v>86</v>
      </c>
      <c r="E581" s="6">
        <v>7.17</v>
      </c>
    </row>
    <row r="582">
      <c r="A582" s="3">
        <v>86691.0</v>
      </c>
      <c r="B582" s="4" t="s">
        <v>73</v>
      </c>
      <c r="C582" s="4" t="s">
        <v>74</v>
      </c>
      <c r="D582" s="4" t="s">
        <v>86</v>
      </c>
      <c r="E582" s="4">
        <v>10.29</v>
      </c>
    </row>
    <row r="583">
      <c r="A583" s="5">
        <v>7257.0</v>
      </c>
      <c r="B583" s="6" t="s">
        <v>73</v>
      </c>
      <c r="C583" s="6" t="s">
        <v>74</v>
      </c>
      <c r="D583" s="6" t="s">
        <v>86</v>
      </c>
      <c r="E583" s="6">
        <v>2.69</v>
      </c>
    </row>
    <row r="584">
      <c r="A584" s="3">
        <v>77706.0</v>
      </c>
      <c r="B584" s="4" t="s">
        <v>73</v>
      </c>
      <c r="C584" s="4" t="s">
        <v>74</v>
      </c>
      <c r="D584" s="4" t="s">
        <v>87</v>
      </c>
      <c r="E584" s="4">
        <v>9.78</v>
      </c>
    </row>
    <row r="585">
      <c r="A585" s="5">
        <v>122599.0</v>
      </c>
      <c r="B585" s="6" t="s">
        <v>73</v>
      </c>
      <c r="C585" s="6" t="s">
        <v>74</v>
      </c>
      <c r="D585" s="6" t="s">
        <v>87</v>
      </c>
      <c r="E585" s="6">
        <v>5.25</v>
      </c>
    </row>
    <row r="586">
      <c r="A586" s="3">
        <v>109741.0</v>
      </c>
      <c r="B586" s="4" t="s">
        <v>73</v>
      </c>
      <c r="C586" s="4" t="s">
        <v>74</v>
      </c>
      <c r="D586" s="4" t="s">
        <v>87</v>
      </c>
      <c r="E586" s="4">
        <v>7.46</v>
      </c>
    </row>
    <row r="587">
      <c r="A587" s="5">
        <v>69064.0</v>
      </c>
      <c r="B587" s="6" t="s">
        <v>73</v>
      </c>
      <c r="C587" s="6" t="s">
        <v>74</v>
      </c>
      <c r="D587" s="6" t="s">
        <v>87</v>
      </c>
      <c r="E587" s="6">
        <v>0.87</v>
      </c>
    </row>
    <row r="588">
      <c r="A588" s="3">
        <v>119447.0</v>
      </c>
      <c r="B588" s="4" t="s">
        <v>73</v>
      </c>
      <c r="C588" s="4" t="s">
        <v>74</v>
      </c>
      <c r="D588" s="4" t="s">
        <v>87</v>
      </c>
      <c r="E588" s="4">
        <v>5.74</v>
      </c>
    </row>
    <row r="589">
      <c r="A589" s="5">
        <v>111730.0</v>
      </c>
      <c r="B589" s="6" t="s">
        <v>73</v>
      </c>
      <c r="C589" s="6" t="s">
        <v>74</v>
      </c>
      <c r="D589" s="6" t="s">
        <v>87</v>
      </c>
      <c r="E589" s="6">
        <v>7.4</v>
      </c>
    </row>
    <row r="590">
      <c r="A590" s="3">
        <v>100437.0</v>
      </c>
      <c r="B590" s="4" t="s">
        <v>73</v>
      </c>
      <c r="C590" s="4" t="s">
        <v>74</v>
      </c>
      <c r="D590" s="4" t="s">
        <v>87</v>
      </c>
      <c r="E590" s="4">
        <v>0.99</v>
      </c>
    </row>
    <row r="591">
      <c r="A591" s="5">
        <v>92304.0</v>
      </c>
      <c r="B591" s="6" t="s">
        <v>73</v>
      </c>
      <c r="C591" s="6" t="s">
        <v>74</v>
      </c>
      <c r="D591" s="6" t="s">
        <v>87</v>
      </c>
      <c r="E591" s="6">
        <v>7.92</v>
      </c>
    </row>
    <row r="592">
      <c r="A592" s="3">
        <v>103655.0</v>
      </c>
      <c r="B592" s="4" t="s">
        <v>73</v>
      </c>
      <c r="C592" s="4" t="s">
        <v>74</v>
      </c>
      <c r="D592" s="4" t="s">
        <v>87</v>
      </c>
      <c r="E592" s="4">
        <v>0.73</v>
      </c>
    </row>
    <row r="593">
      <c r="A593" s="5">
        <v>103656.0</v>
      </c>
      <c r="B593" s="6" t="s">
        <v>73</v>
      </c>
      <c r="C593" s="6" t="s">
        <v>74</v>
      </c>
      <c r="D593" s="6" t="s">
        <v>87</v>
      </c>
      <c r="E593" s="6">
        <v>0.7</v>
      </c>
    </row>
    <row r="594">
      <c r="A594" s="3">
        <v>103704.0</v>
      </c>
      <c r="B594" s="4" t="s">
        <v>73</v>
      </c>
      <c r="C594" s="4" t="s">
        <v>74</v>
      </c>
      <c r="D594" s="4" t="s">
        <v>87</v>
      </c>
      <c r="E594" s="4">
        <v>2.47</v>
      </c>
    </row>
    <row r="595">
      <c r="A595" s="5">
        <v>46759.0</v>
      </c>
      <c r="B595" s="6" t="s">
        <v>73</v>
      </c>
      <c r="C595" s="6" t="s">
        <v>74</v>
      </c>
      <c r="D595" s="6" t="s">
        <v>87</v>
      </c>
      <c r="E595" s="6">
        <v>0.99</v>
      </c>
    </row>
    <row r="596">
      <c r="A596" s="3">
        <v>113594.0</v>
      </c>
      <c r="B596" s="4" t="s">
        <v>9</v>
      </c>
      <c r="C596" s="4" t="s">
        <v>88</v>
      </c>
      <c r="D596" s="4"/>
      <c r="E596" s="4">
        <v>6.49</v>
      </c>
    </row>
    <row r="597">
      <c r="A597" s="5">
        <v>111791.0</v>
      </c>
      <c r="B597" s="6" t="s">
        <v>9</v>
      </c>
      <c r="C597" s="6" t="s">
        <v>88</v>
      </c>
      <c r="D597" s="6"/>
      <c r="E597" s="6">
        <v>2.13</v>
      </c>
    </row>
    <row r="598">
      <c r="A598" s="3">
        <v>44674.0</v>
      </c>
      <c r="B598" s="4" t="s">
        <v>9</v>
      </c>
      <c r="C598" s="4" t="s">
        <v>89</v>
      </c>
      <c r="D598" s="4" t="s">
        <v>90</v>
      </c>
      <c r="E598" s="4">
        <v>6.93</v>
      </c>
    </row>
    <row r="599">
      <c r="A599" s="5">
        <v>48639.0</v>
      </c>
      <c r="B599" s="6" t="s">
        <v>9</v>
      </c>
      <c r="C599" s="6" t="s">
        <v>89</v>
      </c>
      <c r="D599" s="6" t="s">
        <v>90</v>
      </c>
      <c r="E599" s="6">
        <v>2.59</v>
      </c>
    </row>
    <row r="600">
      <c r="A600" s="3">
        <v>76559.0</v>
      </c>
      <c r="B600" s="4" t="s">
        <v>9</v>
      </c>
      <c r="C600" s="4" t="s">
        <v>89</v>
      </c>
      <c r="D600" s="4" t="s">
        <v>90</v>
      </c>
      <c r="E600" s="4">
        <v>2.35</v>
      </c>
    </row>
    <row r="601">
      <c r="A601" s="5">
        <v>22112.0</v>
      </c>
      <c r="B601" s="6" t="s">
        <v>9</v>
      </c>
      <c r="C601" s="6" t="s">
        <v>89</v>
      </c>
      <c r="D601" s="6" t="s">
        <v>91</v>
      </c>
      <c r="E601" s="6">
        <v>5.31</v>
      </c>
    </row>
    <row r="602">
      <c r="A602" s="3">
        <v>84390.0</v>
      </c>
      <c r="B602" s="4" t="s">
        <v>9</v>
      </c>
      <c r="C602" s="4" t="s">
        <v>89</v>
      </c>
      <c r="D602" s="4" t="s">
        <v>91</v>
      </c>
      <c r="E602" s="4">
        <v>1.96</v>
      </c>
    </row>
    <row r="603">
      <c r="A603" s="5">
        <v>100327.0</v>
      </c>
      <c r="B603" s="6" t="s">
        <v>9</v>
      </c>
      <c r="C603" s="6" t="s">
        <v>89</v>
      </c>
      <c r="D603" s="6" t="s">
        <v>91</v>
      </c>
      <c r="E603" s="6">
        <v>2.38</v>
      </c>
    </row>
    <row r="604">
      <c r="A604" s="3">
        <v>81427.0</v>
      </c>
      <c r="B604" s="4" t="s">
        <v>9</v>
      </c>
      <c r="C604" s="4" t="s">
        <v>89</v>
      </c>
      <c r="D604" s="4" t="s">
        <v>91</v>
      </c>
      <c r="E604" s="4">
        <v>5.23</v>
      </c>
    </row>
    <row r="605">
      <c r="A605" s="5">
        <v>19847.0</v>
      </c>
      <c r="B605" s="6" t="s">
        <v>9</v>
      </c>
      <c r="C605" s="6" t="s">
        <v>89</v>
      </c>
      <c r="D605" s="6" t="s">
        <v>92</v>
      </c>
      <c r="E605" s="6">
        <v>1.82</v>
      </c>
    </row>
    <row r="606">
      <c r="A606" s="3">
        <v>121989.0</v>
      </c>
      <c r="B606" s="4" t="s">
        <v>9</v>
      </c>
      <c r="C606" s="4" t="s">
        <v>89</v>
      </c>
      <c r="D606" s="4" t="s">
        <v>92</v>
      </c>
      <c r="E606" s="4">
        <v>2.03</v>
      </c>
    </row>
    <row r="607">
      <c r="A607" s="5">
        <v>3431.0</v>
      </c>
      <c r="B607" s="6" t="s">
        <v>9</v>
      </c>
      <c r="C607" s="6" t="s">
        <v>89</v>
      </c>
      <c r="D607" s="6" t="s">
        <v>92</v>
      </c>
      <c r="E607" s="6">
        <v>3.35</v>
      </c>
    </row>
    <row r="608">
      <c r="A608" s="3">
        <v>68858.0</v>
      </c>
      <c r="B608" s="4" t="s">
        <v>9</v>
      </c>
      <c r="C608" s="4" t="s">
        <v>89</v>
      </c>
      <c r="D608" s="4" t="s">
        <v>92</v>
      </c>
      <c r="E608" s="4">
        <v>1.82</v>
      </c>
    </row>
    <row r="609">
      <c r="A609" s="5">
        <v>147279.0</v>
      </c>
      <c r="B609" s="6" t="s">
        <v>9</v>
      </c>
      <c r="C609" s="6" t="s">
        <v>89</v>
      </c>
      <c r="D609" s="6" t="s">
        <v>92</v>
      </c>
      <c r="E609" s="6">
        <v>2.32</v>
      </c>
    </row>
    <row r="610">
      <c r="A610" s="3">
        <v>19853.0</v>
      </c>
      <c r="B610" s="4" t="s">
        <v>9</v>
      </c>
      <c r="C610" s="4" t="s">
        <v>89</v>
      </c>
      <c r="D610" s="4" t="s">
        <v>92</v>
      </c>
      <c r="E610" s="4">
        <v>3.78</v>
      </c>
    </row>
    <row r="611">
      <c r="A611" s="5">
        <v>84315.0</v>
      </c>
      <c r="B611" s="6" t="s">
        <v>9</v>
      </c>
      <c r="C611" s="6" t="s">
        <v>89</v>
      </c>
      <c r="D611" s="6" t="s">
        <v>92</v>
      </c>
      <c r="E611" s="6">
        <v>2.22</v>
      </c>
    </row>
    <row r="612">
      <c r="A612" s="3">
        <v>3433.0</v>
      </c>
      <c r="B612" s="4" t="s">
        <v>9</v>
      </c>
      <c r="C612" s="4" t="s">
        <v>89</v>
      </c>
      <c r="D612" s="4" t="s">
        <v>92</v>
      </c>
      <c r="E612" s="4">
        <v>3.99</v>
      </c>
    </row>
    <row r="613">
      <c r="A613" s="5">
        <v>48640.0</v>
      </c>
      <c r="B613" s="6" t="s">
        <v>9</v>
      </c>
      <c r="C613" s="6" t="s">
        <v>89</v>
      </c>
      <c r="D613" s="6" t="s">
        <v>92</v>
      </c>
      <c r="E613" s="6">
        <v>3.5</v>
      </c>
    </row>
    <row r="614">
      <c r="A614" s="3">
        <v>81678.0</v>
      </c>
      <c r="B614" s="4" t="s">
        <v>9</v>
      </c>
      <c r="C614" s="4" t="s">
        <v>89</v>
      </c>
      <c r="D614" s="4" t="s">
        <v>93</v>
      </c>
      <c r="E614" s="4">
        <v>8.01</v>
      </c>
    </row>
    <row r="615">
      <c r="A615" s="5">
        <v>117528.0</v>
      </c>
      <c r="B615" s="6" t="s">
        <v>9</v>
      </c>
      <c r="C615" s="6" t="s">
        <v>89</v>
      </c>
      <c r="D615" s="6" t="s">
        <v>93</v>
      </c>
      <c r="E615" s="6">
        <v>1.74</v>
      </c>
    </row>
    <row r="616">
      <c r="A616" s="3">
        <v>84324.0</v>
      </c>
      <c r="B616" s="4" t="s">
        <v>9</v>
      </c>
      <c r="C616" s="4" t="s">
        <v>89</v>
      </c>
      <c r="D616" s="4" t="s">
        <v>93</v>
      </c>
      <c r="E616" s="4">
        <v>2.22</v>
      </c>
    </row>
    <row r="617">
      <c r="A617" s="5">
        <v>3420.0</v>
      </c>
      <c r="B617" s="6" t="s">
        <v>9</v>
      </c>
      <c r="C617" s="6" t="s">
        <v>89</v>
      </c>
      <c r="D617" s="6" t="s">
        <v>93</v>
      </c>
      <c r="E617" s="6">
        <v>4.61</v>
      </c>
    </row>
    <row r="618">
      <c r="A618" s="3">
        <v>19837.0</v>
      </c>
      <c r="B618" s="4" t="s">
        <v>9</v>
      </c>
      <c r="C618" s="4" t="s">
        <v>89</v>
      </c>
      <c r="D618" s="4" t="s">
        <v>93</v>
      </c>
      <c r="E618" s="4">
        <v>3.52</v>
      </c>
    </row>
    <row r="619">
      <c r="A619" s="5">
        <v>19835.0</v>
      </c>
      <c r="B619" s="6" t="s">
        <v>9</v>
      </c>
      <c r="C619" s="6" t="s">
        <v>89</v>
      </c>
      <c r="D619" s="6" t="s">
        <v>93</v>
      </c>
      <c r="E619" s="6">
        <v>2.44</v>
      </c>
    </row>
    <row r="620">
      <c r="A620" s="3">
        <v>69109.0</v>
      </c>
      <c r="B620" s="4" t="s">
        <v>9</v>
      </c>
      <c r="C620" s="4" t="s">
        <v>89</v>
      </c>
      <c r="D620" s="4" t="s">
        <v>93</v>
      </c>
      <c r="E620" s="4">
        <v>2.03</v>
      </c>
    </row>
    <row r="621">
      <c r="A621" s="5">
        <v>104387.0</v>
      </c>
      <c r="B621" s="6" t="s">
        <v>9</v>
      </c>
      <c r="C621" s="6" t="s">
        <v>89</v>
      </c>
      <c r="D621" s="6" t="s">
        <v>93</v>
      </c>
      <c r="E621" s="6">
        <v>27.5</v>
      </c>
    </row>
    <row r="622">
      <c r="A622" s="3">
        <v>19843.0</v>
      </c>
      <c r="B622" s="4" t="s">
        <v>9</v>
      </c>
      <c r="C622" s="4" t="s">
        <v>89</v>
      </c>
      <c r="D622" s="4" t="s">
        <v>93</v>
      </c>
      <c r="E622" s="4">
        <v>3.34</v>
      </c>
    </row>
    <row r="623">
      <c r="A623" s="5">
        <v>117523.0</v>
      </c>
      <c r="B623" s="6" t="s">
        <v>9</v>
      </c>
      <c r="C623" s="6" t="s">
        <v>89</v>
      </c>
      <c r="D623" s="6" t="s">
        <v>93</v>
      </c>
      <c r="E623" s="6">
        <v>1.47</v>
      </c>
    </row>
    <row r="624">
      <c r="A624" s="3">
        <v>121981.0</v>
      </c>
      <c r="B624" s="4" t="s">
        <v>9</v>
      </c>
      <c r="C624" s="4" t="s">
        <v>89</v>
      </c>
      <c r="D624" s="4" t="s">
        <v>93</v>
      </c>
      <c r="E624" s="4">
        <v>2.03</v>
      </c>
    </row>
    <row r="625">
      <c r="A625" s="5">
        <v>121993.0</v>
      </c>
      <c r="B625" s="6" t="s">
        <v>9</v>
      </c>
      <c r="C625" s="6" t="s">
        <v>89</v>
      </c>
      <c r="D625" s="6" t="s">
        <v>94</v>
      </c>
      <c r="E625" s="6">
        <v>2.03</v>
      </c>
    </row>
    <row r="626">
      <c r="A626" s="3">
        <v>81389.0</v>
      </c>
      <c r="B626" s="4" t="s">
        <v>9</v>
      </c>
      <c r="C626" s="4" t="s">
        <v>89</v>
      </c>
      <c r="D626" s="4" t="s">
        <v>94</v>
      </c>
      <c r="E626" s="4">
        <v>1.92</v>
      </c>
    </row>
    <row r="627">
      <c r="A627" s="5">
        <v>99473.0</v>
      </c>
      <c r="B627" s="6" t="s">
        <v>9</v>
      </c>
      <c r="C627" s="6" t="s">
        <v>89</v>
      </c>
      <c r="D627" s="6" t="s">
        <v>94</v>
      </c>
      <c r="E627" s="6">
        <v>2.22</v>
      </c>
    </row>
    <row r="628">
      <c r="A628" s="3">
        <v>81393.0</v>
      </c>
      <c r="B628" s="4" t="s">
        <v>9</v>
      </c>
      <c r="C628" s="4" t="s">
        <v>89</v>
      </c>
      <c r="D628" s="4" t="s">
        <v>94</v>
      </c>
      <c r="E628" s="4">
        <v>2.46</v>
      </c>
    </row>
    <row r="629">
      <c r="A629" s="5">
        <v>104364.0</v>
      </c>
      <c r="B629" s="6" t="s">
        <v>9</v>
      </c>
      <c r="C629" s="6" t="s">
        <v>89</v>
      </c>
      <c r="D629" s="6" t="s">
        <v>94</v>
      </c>
      <c r="E629" s="6">
        <v>2.01</v>
      </c>
    </row>
    <row r="630">
      <c r="A630" s="3">
        <v>76602.0</v>
      </c>
      <c r="B630" s="4" t="s">
        <v>9</v>
      </c>
      <c r="C630" s="4" t="s">
        <v>89</v>
      </c>
      <c r="D630" s="4" t="s">
        <v>95</v>
      </c>
      <c r="E630" s="4">
        <v>2.03</v>
      </c>
    </row>
    <row r="631">
      <c r="A631" s="5">
        <v>119824.0</v>
      </c>
      <c r="B631" s="6" t="s">
        <v>9</v>
      </c>
      <c r="C631" s="6" t="s">
        <v>89</v>
      </c>
      <c r="D631" s="6" t="s">
        <v>95</v>
      </c>
      <c r="E631" s="6">
        <v>9.15</v>
      </c>
    </row>
    <row r="632">
      <c r="A632" s="3">
        <v>112618.0</v>
      </c>
      <c r="B632" s="4" t="s">
        <v>9</v>
      </c>
      <c r="C632" s="4" t="s">
        <v>89</v>
      </c>
      <c r="D632" s="4" t="s">
        <v>95</v>
      </c>
      <c r="E632" s="4">
        <v>2.64</v>
      </c>
    </row>
    <row r="633">
      <c r="A633" s="5">
        <v>112617.0</v>
      </c>
      <c r="B633" s="6" t="s">
        <v>9</v>
      </c>
      <c r="C633" s="6" t="s">
        <v>89</v>
      </c>
      <c r="D633" s="6" t="s">
        <v>95</v>
      </c>
      <c r="E633" s="6">
        <v>2.64</v>
      </c>
    </row>
    <row r="634">
      <c r="A634" s="3">
        <v>113963.0</v>
      </c>
      <c r="B634" s="4" t="s">
        <v>9</v>
      </c>
      <c r="C634" s="4" t="s">
        <v>89</v>
      </c>
      <c r="D634" s="4" t="s">
        <v>95</v>
      </c>
      <c r="E634" s="4">
        <v>11.32</v>
      </c>
    </row>
    <row r="635">
      <c r="A635" s="5">
        <v>104359.0</v>
      </c>
      <c r="B635" s="6" t="s">
        <v>9</v>
      </c>
      <c r="C635" s="6" t="s">
        <v>89</v>
      </c>
      <c r="D635" s="6" t="s">
        <v>96</v>
      </c>
      <c r="E635" s="6">
        <v>6.97</v>
      </c>
    </row>
    <row r="636">
      <c r="A636" s="3">
        <v>81675.0</v>
      </c>
      <c r="B636" s="4" t="s">
        <v>9</v>
      </c>
      <c r="C636" s="4" t="s">
        <v>89</v>
      </c>
      <c r="D636" s="4" t="s">
        <v>96</v>
      </c>
      <c r="E636" s="4">
        <v>3.25</v>
      </c>
    </row>
    <row r="637">
      <c r="A637" s="5">
        <v>84835.0</v>
      </c>
      <c r="B637" s="6" t="s">
        <v>9</v>
      </c>
      <c r="C637" s="6" t="s">
        <v>89</v>
      </c>
      <c r="D637" s="6" t="s">
        <v>96</v>
      </c>
      <c r="E637" s="6">
        <v>2.48</v>
      </c>
    </row>
    <row r="638">
      <c r="A638" s="3">
        <v>81680.0</v>
      </c>
      <c r="B638" s="4" t="s">
        <v>9</v>
      </c>
      <c r="C638" s="4" t="s">
        <v>89</v>
      </c>
      <c r="D638" s="4" t="s">
        <v>96</v>
      </c>
      <c r="E638" s="4">
        <v>6.31</v>
      </c>
    </row>
    <row r="639">
      <c r="A639" s="5">
        <v>104361.0</v>
      </c>
      <c r="B639" s="6" t="s">
        <v>9</v>
      </c>
      <c r="C639" s="6" t="s">
        <v>89</v>
      </c>
      <c r="D639" s="6" t="s">
        <v>96</v>
      </c>
      <c r="E639" s="6">
        <v>2.34</v>
      </c>
    </row>
    <row r="640">
      <c r="A640" s="3">
        <v>83080.0</v>
      </c>
      <c r="B640" s="4" t="s">
        <v>9</v>
      </c>
      <c r="C640" s="4" t="s">
        <v>89</v>
      </c>
      <c r="D640" s="4" t="s">
        <v>96</v>
      </c>
      <c r="E640" s="4">
        <v>3.81</v>
      </c>
    </row>
    <row r="641">
      <c r="A641" s="5">
        <v>84930.0</v>
      </c>
      <c r="B641" s="6" t="s">
        <v>9</v>
      </c>
      <c r="C641" s="6" t="s">
        <v>89</v>
      </c>
      <c r="D641" s="6" t="s">
        <v>96</v>
      </c>
      <c r="E641" s="6">
        <v>1.98</v>
      </c>
    </row>
    <row r="642">
      <c r="A642" s="3">
        <v>19848.0</v>
      </c>
      <c r="B642" s="4" t="s">
        <v>9</v>
      </c>
      <c r="C642" s="4" t="s">
        <v>89</v>
      </c>
      <c r="D642" s="4" t="s">
        <v>96</v>
      </c>
      <c r="E642" s="4">
        <v>2.58</v>
      </c>
    </row>
    <row r="643">
      <c r="A643" s="5">
        <v>104362.0</v>
      </c>
      <c r="B643" s="6" t="s">
        <v>9</v>
      </c>
      <c r="C643" s="6" t="s">
        <v>89</v>
      </c>
      <c r="D643" s="6" t="s">
        <v>96</v>
      </c>
      <c r="E643" s="6">
        <v>5.59</v>
      </c>
    </row>
    <row r="644">
      <c r="A644" s="3">
        <v>92122.0</v>
      </c>
      <c r="B644" s="4" t="s">
        <v>9</v>
      </c>
      <c r="C644" s="4" t="s">
        <v>89</v>
      </c>
      <c r="D644" s="4" t="s">
        <v>96</v>
      </c>
      <c r="E644" s="4">
        <v>16.72</v>
      </c>
    </row>
    <row r="645">
      <c r="A645" s="5">
        <v>15854.0</v>
      </c>
      <c r="B645" s="6" t="s">
        <v>9</v>
      </c>
      <c r="C645" s="6" t="s">
        <v>89</v>
      </c>
      <c r="D645" s="6" t="s">
        <v>96</v>
      </c>
      <c r="E645" s="6">
        <v>3.85</v>
      </c>
    </row>
    <row r="646">
      <c r="A646" s="3">
        <v>81383.0</v>
      </c>
      <c r="B646" s="4" t="s">
        <v>9</v>
      </c>
      <c r="C646" s="4" t="s">
        <v>89</v>
      </c>
      <c r="D646" s="4" t="s">
        <v>96</v>
      </c>
      <c r="E646" s="4">
        <v>1.24</v>
      </c>
    </row>
    <row r="647">
      <c r="A647" s="5">
        <v>81430.0</v>
      </c>
      <c r="B647" s="6" t="s">
        <v>9</v>
      </c>
      <c r="C647" s="6" t="s">
        <v>89</v>
      </c>
      <c r="D647" s="6" t="s">
        <v>96</v>
      </c>
      <c r="E647" s="6">
        <v>5.36</v>
      </c>
    </row>
    <row r="648">
      <c r="A648" s="3">
        <v>84325.0</v>
      </c>
      <c r="B648" s="4" t="s">
        <v>9</v>
      </c>
      <c r="C648" s="4" t="s">
        <v>89</v>
      </c>
      <c r="D648" s="4" t="s">
        <v>97</v>
      </c>
      <c r="E648" s="4">
        <v>2.22</v>
      </c>
    </row>
    <row r="649">
      <c r="A649" s="5">
        <v>127244.0</v>
      </c>
      <c r="B649" s="6" t="s">
        <v>9</v>
      </c>
      <c r="C649" s="6" t="s">
        <v>89</v>
      </c>
      <c r="D649" s="6" t="s">
        <v>97</v>
      </c>
      <c r="E649" s="6">
        <v>2.6</v>
      </c>
    </row>
    <row r="650">
      <c r="A650" s="3">
        <v>15865.0</v>
      </c>
      <c r="B650" s="4" t="s">
        <v>9</v>
      </c>
      <c r="C650" s="4" t="s">
        <v>89</v>
      </c>
      <c r="D650" s="4" t="s">
        <v>97</v>
      </c>
      <c r="E650" s="4">
        <v>4.26</v>
      </c>
    </row>
    <row r="651">
      <c r="A651" s="5">
        <v>121996.0</v>
      </c>
      <c r="B651" s="6" t="s">
        <v>9</v>
      </c>
      <c r="C651" s="6" t="s">
        <v>89</v>
      </c>
      <c r="D651" s="6" t="s">
        <v>97</v>
      </c>
      <c r="E651" s="6">
        <v>2.03</v>
      </c>
    </row>
    <row r="652">
      <c r="A652" s="3">
        <v>93083.0</v>
      </c>
      <c r="B652" s="4" t="s">
        <v>9</v>
      </c>
      <c r="C652" s="4" t="s">
        <v>89</v>
      </c>
      <c r="D652" s="4" t="s">
        <v>97</v>
      </c>
      <c r="E652" s="4">
        <v>1.72</v>
      </c>
    </row>
    <row r="653">
      <c r="A653" s="5">
        <v>3426.0</v>
      </c>
      <c r="B653" s="6" t="s">
        <v>9</v>
      </c>
      <c r="C653" s="6" t="s">
        <v>89</v>
      </c>
      <c r="D653" s="6" t="s">
        <v>97</v>
      </c>
      <c r="E653" s="6">
        <v>4.29</v>
      </c>
    </row>
    <row r="654">
      <c r="A654" s="3">
        <v>111349.0</v>
      </c>
      <c r="B654" s="4" t="s">
        <v>9</v>
      </c>
      <c r="C654" s="4" t="s">
        <v>89</v>
      </c>
      <c r="D654" s="4" t="s">
        <v>97</v>
      </c>
      <c r="E654" s="4">
        <v>4.35</v>
      </c>
    </row>
    <row r="655">
      <c r="A655" s="5">
        <v>74917.0</v>
      </c>
      <c r="B655" s="6" t="s">
        <v>9</v>
      </c>
      <c r="C655" s="6" t="s">
        <v>89</v>
      </c>
      <c r="D655" s="6" t="s">
        <v>97</v>
      </c>
      <c r="E655" s="6">
        <v>2.88</v>
      </c>
    </row>
    <row r="656">
      <c r="A656" s="3">
        <v>69127.0</v>
      </c>
      <c r="B656" s="4" t="s">
        <v>9</v>
      </c>
      <c r="C656" s="4" t="s">
        <v>89</v>
      </c>
      <c r="D656" s="4" t="s">
        <v>97</v>
      </c>
      <c r="E656" s="4">
        <v>2.03</v>
      </c>
    </row>
    <row r="657">
      <c r="A657" s="5">
        <v>84819.0</v>
      </c>
      <c r="B657" s="6" t="s">
        <v>9</v>
      </c>
      <c r="C657" s="6" t="s">
        <v>89</v>
      </c>
      <c r="D657" s="6" t="s">
        <v>97</v>
      </c>
      <c r="E657" s="6">
        <v>3.89</v>
      </c>
    </row>
    <row r="658">
      <c r="A658" s="3">
        <v>104367.0</v>
      </c>
      <c r="B658" s="4" t="s">
        <v>9</v>
      </c>
      <c r="C658" s="4" t="s">
        <v>89</v>
      </c>
      <c r="D658" s="4" t="s">
        <v>97</v>
      </c>
      <c r="E658" s="4">
        <v>3.36</v>
      </c>
    </row>
    <row r="659">
      <c r="A659" s="5">
        <v>121997.0</v>
      </c>
      <c r="B659" s="6" t="s">
        <v>9</v>
      </c>
      <c r="C659" s="6" t="s">
        <v>89</v>
      </c>
      <c r="D659" s="6" t="s">
        <v>97</v>
      </c>
      <c r="E659" s="6">
        <v>2.03</v>
      </c>
    </row>
    <row r="660">
      <c r="A660" s="3">
        <v>117499.0</v>
      </c>
      <c r="B660" s="4" t="s">
        <v>9</v>
      </c>
      <c r="C660" s="4" t="s">
        <v>89</v>
      </c>
      <c r="D660" s="4" t="s">
        <v>97</v>
      </c>
      <c r="E660" s="4">
        <v>2.09</v>
      </c>
    </row>
    <row r="661">
      <c r="A661" s="5">
        <v>69125.0</v>
      </c>
      <c r="B661" s="6" t="s">
        <v>9</v>
      </c>
      <c r="C661" s="6" t="s">
        <v>89</v>
      </c>
      <c r="D661" s="6" t="s">
        <v>97</v>
      </c>
      <c r="E661" s="6">
        <v>2.03</v>
      </c>
    </row>
    <row r="662">
      <c r="A662" s="3">
        <v>19850.0</v>
      </c>
      <c r="B662" s="4" t="s">
        <v>9</v>
      </c>
      <c r="C662" s="4" t="s">
        <v>89</v>
      </c>
      <c r="D662" s="4" t="s">
        <v>97</v>
      </c>
      <c r="E662" s="4">
        <v>3.66</v>
      </c>
    </row>
    <row r="663">
      <c r="A663" s="5">
        <v>3425.0</v>
      </c>
      <c r="B663" s="6" t="s">
        <v>9</v>
      </c>
      <c r="C663" s="6" t="s">
        <v>89</v>
      </c>
      <c r="D663" s="6" t="s">
        <v>97</v>
      </c>
      <c r="E663" s="6">
        <v>5.08</v>
      </c>
    </row>
    <row r="664">
      <c r="A664" s="3">
        <v>84913.0</v>
      </c>
      <c r="B664" s="4" t="s">
        <v>9</v>
      </c>
      <c r="C664" s="4" t="s">
        <v>89</v>
      </c>
      <c r="D664" s="4" t="s">
        <v>97</v>
      </c>
      <c r="E664" s="4">
        <v>3.91</v>
      </c>
    </row>
    <row r="665">
      <c r="A665" s="5">
        <v>120378.0</v>
      </c>
      <c r="B665" s="6" t="s">
        <v>5</v>
      </c>
      <c r="C665" s="6" t="s">
        <v>98</v>
      </c>
      <c r="D665" s="6" t="s">
        <v>99</v>
      </c>
      <c r="E665" s="6">
        <v>0.97</v>
      </c>
    </row>
    <row r="666">
      <c r="A666" s="3">
        <v>5905.0</v>
      </c>
      <c r="B666" s="4" t="s">
        <v>5</v>
      </c>
      <c r="C666" s="4" t="s">
        <v>98</v>
      </c>
      <c r="D666" s="4" t="s">
        <v>99</v>
      </c>
      <c r="E666" s="4">
        <v>1.84</v>
      </c>
    </row>
    <row r="667">
      <c r="A667" s="5">
        <v>23213.0</v>
      </c>
      <c r="B667" s="6" t="s">
        <v>5</v>
      </c>
      <c r="C667" s="6" t="s">
        <v>98</v>
      </c>
      <c r="D667" s="6" t="s">
        <v>99</v>
      </c>
      <c r="E667" s="6">
        <v>2.73</v>
      </c>
    </row>
    <row r="668">
      <c r="A668" s="3">
        <v>47168.0</v>
      </c>
      <c r="B668" s="4" t="s">
        <v>5</v>
      </c>
      <c r="C668" s="4" t="s">
        <v>98</v>
      </c>
      <c r="D668" s="4" t="s">
        <v>99</v>
      </c>
      <c r="E668" s="4">
        <v>3.47</v>
      </c>
    </row>
    <row r="669">
      <c r="A669" s="5">
        <v>102990.0</v>
      </c>
      <c r="B669" s="6" t="s">
        <v>5</v>
      </c>
      <c r="C669" s="6" t="s">
        <v>98</v>
      </c>
      <c r="D669" s="6" t="s">
        <v>99</v>
      </c>
      <c r="E669" s="6">
        <v>1.91</v>
      </c>
    </row>
    <row r="670">
      <c r="A670" s="3">
        <v>46441.0</v>
      </c>
      <c r="B670" s="4" t="s">
        <v>5</v>
      </c>
      <c r="C670" s="4" t="s">
        <v>98</v>
      </c>
      <c r="D670" s="4" t="s">
        <v>99</v>
      </c>
      <c r="E670" s="4">
        <v>3.57</v>
      </c>
    </row>
    <row r="671">
      <c r="A671" s="5">
        <v>11085.0</v>
      </c>
      <c r="B671" s="6" t="s">
        <v>5</v>
      </c>
      <c r="C671" s="6" t="s">
        <v>98</v>
      </c>
      <c r="D671" s="6" t="s">
        <v>99</v>
      </c>
      <c r="E671" s="6">
        <v>4.4</v>
      </c>
    </row>
    <row r="672">
      <c r="A672" s="3">
        <v>96441.0</v>
      </c>
      <c r="B672" s="4" t="s">
        <v>5</v>
      </c>
      <c r="C672" s="4" t="s">
        <v>98</v>
      </c>
      <c r="D672" s="4" t="s">
        <v>99</v>
      </c>
      <c r="E672" s="4">
        <v>3.29</v>
      </c>
    </row>
    <row r="673">
      <c r="A673" s="5">
        <v>82131.0</v>
      </c>
      <c r="B673" s="6" t="s">
        <v>5</v>
      </c>
      <c r="C673" s="6" t="s">
        <v>98</v>
      </c>
      <c r="D673" s="6" t="s">
        <v>99</v>
      </c>
      <c r="E673" s="6">
        <v>3.31</v>
      </c>
    </row>
    <row r="674">
      <c r="A674" s="3">
        <v>46440.0</v>
      </c>
      <c r="B674" s="4" t="s">
        <v>5</v>
      </c>
      <c r="C674" s="4" t="s">
        <v>98</v>
      </c>
      <c r="D674" s="4" t="s">
        <v>99</v>
      </c>
      <c r="E674" s="4">
        <v>3.47</v>
      </c>
    </row>
    <row r="675">
      <c r="A675" s="5">
        <v>23214.0</v>
      </c>
      <c r="B675" s="6" t="s">
        <v>5</v>
      </c>
      <c r="C675" s="6" t="s">
        <v>98</v>
      </c>
      <c r="D675" s="6" t="s">
        <v>99</v>
      </c>
      <c r="E675" s="6">
        <v>2.64</v>
      </c>
    </row>
    <row r="676">
      <c r="A676" s="3">
        <v>82134.0</v>
      </c>
      <c r="B676" s="4" t="s">
        <v>5</v>
      </c>
      <c r="C676" s="4" t="s">
        <v>98</v>
      </c>
      <c r="D676" s="4" t="s">
        <v>99</v>
      </c>
      <c r="E676" s="4">
        <v>5.64</v>
      </c>
    </row>
    <row r="677">
      <c r="A677" s="5">
        <v>46439.0</v>
      </c>
      <c r="B677" s="6" t="s">
        <v>5</v>
      </c>
      <c r="C677" s="6" t="s">
        <v>98</v>
      </c>
      <c r="D677" s="6" t="s">
        <v>99</v>
      </c>
      <c r="E677" s="6">
        <v>3.29</v>
      </c>
    </row>
    <row r="678">
      <c r="A678" s="3">
        <v>116451.0</v>
      </c>
      <c r="B678" s="4" t="s">
        <v>5</v>
      </c>
      <c r="C678" s="4" t="s">
        <v>98</v>
      </c>
      <c r="D678" s="4" t="s">
        <v>100</v>
      </c>
      <c r="E678" s="4">
        <v>2.2</v>
      </c>
    </row>
    <row r="679">
      <c r="A679" s="5">
        <v>147340.0</v>
      </c>
      <c r="B679" s="6" t="s">
        <v>5</v>
      </c>
      <c r="C679" s="6" t="s">
        <v>98</v>
      </c>
      <c r="D679" s="6" t="s">
        <v>100</v>
      </c>
      <c r="E679" s="6">
        <v>0.76</v>
      </c>
    </row>
    <row r="680">
      <c r="A680" s="3">
        <v>140602.0</v>
      </c>
      <c r="B680" s="4" t="s">
        <v>5</v>
      </c>
      <c r="C680" s="4" t="s">
        <v>98</v>
      </c>
      <c r="D680" s="4" t="s">
        <v>100</v>
      </c>
      <c r="E680" s="4">
        <v>3.83</v>
      </c>
    </row>
    <row r="681">
      <c r="A681" s="5">
        <v>109174.0</v>
      </c>
      <c r="B681" s="6" t="s">
        <v>5</v>
      </c>
      <c r="C681" s="6" t="s">
        <v>98</v>
      </c>
      <c r="D681" s="6" t="s">
        <v>100</v>
      </c>
      <c r="E681" s="6">
        <v>6.67</v>
      </c>
    </row>
    <row r="682">
      <c r="A682" s="3">
        <v>2795.0</v>
      </c>
      <c r="B682" s="4" t="s">
        <v>5</v>
      </c>
      <c r="C682" s="4" t="s">
        <v>98</v>
      </c>
      <c r="D682" s="4" t="s">
        <v>100</v>
      </c>
      <c r="E682" s="4">
        <v>2.63</v>
      </c>
    </row>
    <row r="683">
      <c r="A683" s="5">
        <v>141867.0</v>
      </c>
      <c r="B683" s="6" t="s">
        <v>5</v>
      </c>
      <c r="C683" s="6" t="s">
        <v>98</v>
      </c>
      <c r="D683" s="6" t="s">
        <v>100</v>
      </c>
      <c r="E683" s="6">
        <v>5.93</v>
      </c>
    </row>
    <row r="684">
      <c r="A684" s="3">
        <v>118152.0</v>
      </c>
      <c r="B684" s="4" t="s">
        <v>5</v>
      </c>
      <c r="C684" s="4" t="s">
        <v>98</v>
      </c>
      <c r="D684" s="4" t="s">
        <v>100</v>
      </c>
      <c r="E684" s="4">
        <v>2.01</v>
      </c>
    </row>
    <row r="685">
      <c r="A685" s="5">
        <v>1607.0</v>
      </c>
      <c r="B685" s="6" t="s">
        <v>5</v>
      </c>
      <c r="C685" s="6" t="s">
        <v>98</v>
      </c>
      <c r="D685" s="6" t="s">
        <v>100</v>
      </c>
      <c r="E685" s="6">
        <v>1.66</v>
      </c>
    </row>
    <row r="686">
      <c r="A686" s="3">
        <v>71322.0</v>
      </c>
      <c r="B686" s="4" t="s">
        <v>5</v>
      </c>
      <c r="C686" s="4" t="s">
        <v>98</v>
      </c>
      <c r="D686" s="4" t="s">
        <v>100</v>
      </c>
      <c r="E686" s="4">
        <v>8.68</v>
      </c>
    </row>
    <row r="687">
      <c r="A687" s="5">
        <v>88773.0</v>
      </c>
      <c r="B687" s="6" t="s">
        <v>5</v>
      </c>
      <c r="C687" s="6" t="s">
        <v>98</v>
      </c>
      <c r="D687" s="6" t="s">
        <v>100</v>
      </c>
      <c r="E687" s="6">
        <v>2.19</v>
      </c>
    </row>
    <row r="688">
      <c r="A688" s="3">
        <v>46964.0</v>
      </c>
      <c r="B688" s="4" t="s">
        <v>5</v>
      </c>
      <c r="C688" s="4" t="s">
        <v>98</v>
      </c>
      <c r="D688" s="4" t="s">
        <v>100</v>
      </c>
      <c r="E688" s="4">
        <v>7.27</v>
      </c>
    </row>
    <row r="689">
      <c r="A689" s="5">
        <v>104454.0</v>
      </c>
      <c r="B689" s="6" t="s">
        <v>5</v>
      </c>
      <c r="C689" s="6" t="s">
        <v>98</v>
      </c>
      <c r="D689" s="6" t="s">
        <v>100</v>
      </c>
      <c r="E689" s="6">
        <v>2.06</v>
      </c>
    </row>
    <row r="690">
      <c r="A690" s="3">
        <v>8003.0</v>
      </c>
      <c r="B690" s="4" t="s">
        <v>5</v>
      </c>
      <c r="C690" s="4" t="s">
        <v>98</v>
      </c>
      <c r="D690" s="4" t="s">
        <v>100</v>
      </c>
      <c r="E690" s="4">
        <v>1.91</v>
      </c>
    </row>
    <row r="691">
      <c r="A691" s="5">
        <v>90183.0</v>
      </c>
      <c r="B691" s="6" t="s">
        <v>5</v>
      </c>
      <c r="C691" s="6" t="s">
        <v>98</v>
      </c>
      <c r="D691" s="6" t="s">
        <v>100</v>
      </c>
      <c r="E691" s="6">
        <v>9.45</v>
      </c>
    </row>
    <row r="692">
      <c r="A692" s="3">
        <v>45489.0</v>
      </c>
      <c r="B692" s="4" t="s">
        <v>5</v>
      </c>
      <c r="C692" s="4" t="s">
        <v>98</v>
      </c>
      <c r="D692" s="4" t="s">
        <v>100</v>
      </c>
      <c r="E692" s="4">
        <v>2.24</v>
      </c>
    </row>
    <row r="693">
      <c r="A693" s="5">
        <v>147337.0</v>
      </c>
      <c r="B693" s="6" t="s">
        <v>5</v>
      </c>
      <c r="C693" s="6" t="s">
        <v>98</v>
      </c>
      <c r="D693" s="6" t="s">
        <v>100</v>
      </c>
      <c r="E693" s="6">
        <v>2.32</v>
      </c>
    </row>
    <row r="694">
      <c r="A694" s="3">
        <v>116446.0</v>
      </c>
      <c r="B694" s="4" t="s">
        <v>5</v>
      </c>
      <c r="C694" s="4" t="s">
        <v>98</v>
      </c>
      <c r="D694" s="4" t="s">
        <v>100</v>
      </c>
      <c r="E694" s="4">
        <v>2.2</v>
      </c>
    </row>
    <row r="695">
      <c r="A695" s="5">
        <v>44760.0</v>
      </c>
      <c r="B695" s="6" t="s">
        <v>5</v>
      </c>
      <c r="C695" s="6" t="s">
        <v>98</v>
      </c>
      <c r="D695" s="6" t="s">
        <v>100</v>
      </c>
      <c r="E695" s="6">
        <v>0.96</v>
      </c>
    </row>
    <row r="696">
      <c r="A696" s="3">
        <v>44764.0</v>
      </c>
      <c r="B696" s="4" t="s">
        <v>5</v>
      </c>
      <c r="C696" s="4" t="s">
        <v>98</v>
      </c>
      <c r="D696" s="4" t="s">
        <v>100</v>
      </c>
      <c r="E696" s="4">
        <v>1.81</v>
      </c>
    </row>
    <row r="697">
      <c r="A697" s="5">
        <v>72801.0</v>
      </c>
      <c r="B697" s="6" t="s">
        <v>5</v>
      </c>
      <c r="C697" s="6" t="s">
        <v>98</v>
      </c>
      <c r="D697" s="6" t="s">
        <v>100</v>
      </c>
      <c r="E697" s="6">
        <v>2.24</v>
      </c>
    </row>
    <row r="698">
      <c r="A698" s="3">
        <v>86573.0</v>
      </c>
      <c r="B698" s="4" t="s">
        <v>5</v>
      </c>
      <c r="C698" s="4" t="s">
        <v>98</v>
      </c>
      <c r="D698" s="4" t="s">
        <v>100</v>
      </c>
      <c r="E698" s="4">
        <v>2.24</v>
      </c>
    </row>
    <row r="699">
      <c r="A699" s="5">
        <v>107784.0</v>
      </c>
      <c r="B699" s="6" t="s">
        <v>5</v>
      </c>
      <c r="C699" s="6" t="s">
        <v>98</v>
      </c>
      <c r="D699" s="6" t="s">
        <v>100</v>
      </c>
      <c r="E699" s="6">
        <v>5.98</v>
      </c>
    </row>
    <row r="700">
      <c r="A700" s="3">
        <v>103388.0</v>
      </c>
      <c r="B700" s="4" t="s">
        <v>5</v>
      </c>
      <c r="C700" s="4" t="s">
        <v>98</v>
      </c>
      <c r="D700" s="4" t="s">
        <v>100</v>
      </c>
      <c r="E700" s="4">
        <v>6.67</v>
      </c>
    </row>
    <row r="701">
      <c r="A701" s="5">
        <v>8004.0</v>
      </c>
      <c r="B701" s="6" t="s">
        <v>5</v>
      </c>
      <c r="C701" s="6" t="s">
        <v>98</v>
      </c>
      <c r="D701" s="6" t="s">
        <v>100</v>
      </c>
      <c r="E701" s="6">
        <v>2.47</v>
      </c>
    </row>
    <row r="702">
      <c r="A702" s="3">
        <v>103387.0</v>
      </c>
      <c r="B702" s="4" t="s">
        <v>5</v>
      </c>
      <c r="C702" s="4" t="s">
        <v>98</v>
      </c>
      <c r="D702" s="4" t="s">
        <v>100</v>
      </c>
      <c r="E702" s="4">
        <v>2.63</v>
      </c>
    </row>
    <row r="703">
      <c r="A703" s="5">
        <v>76731.0</v>
      </c>
      <c r="B703" s="6" t="s">
        <v>5</v>
      </c>
      <c r="C703" s="6" t="s">
        <v>98</v>
      </c>
      <c r="D703" s="6" t="s">
        <v>100</v>
      </c>
      <c r="E703" s="6">
        <v>1.66</v>
      </c>
    </row>
    <row r="704">
      <c r="A704" s="3">
        <v>116449.0</v>
      </c>
      <c r="B704" s="4" t="s">
        <v>5</v>
      </c>
      <c r="C704" s="4" t="s">
        <v>98</v>
      </c>
      <c r="D704" s="4" t="s">
        <v>100</v>
      </c>
      <c r="E704" s="4">
        <v>2.2</v>
      </c>
    </row>
    <row r="705">
      <c r="A705" s="5">
        <v>95211.0</v>
      </c>
      <c r="B705" s="6" t="s">
        <v>5</v>
      </c>
      <c r="C705" s="6" t="s">
        <v>98</v>
      </c>
      <c r="D705" s="6" t="s">
        <v>100</v>
      </c>
      <c r="E705" s="6">
        <v>1.95</v>
      </c>
    </row>
    <row r="706">
      <c r="A706" s="3">
        <v>118255.0</v>
      </c>
      <c r="B706" s="4" t="s">
        <v>5</v>
      </c>
      <c r="C706" s="4" t="s">
        <v>98</v>
      </c>
      <c r="D706" s="4" t="s">
        <v>100</v>
      </c>
      <c r="E706" s="4">
        <v>2.14</v>
      </c>
    </row>
    <row r="707">
      <c r="A707" s="5">
        <v>8010.0</v>
      </c>
      <c r="B707" s="6" t="s">
        <v>5</v>
      </c>
      <c r="C707" s="6" t="s">
        <v>98</v>
      </c>
      <c r="D707" s="6" t="s">
        <v>101</v>
      </c>
      <c r="E707" s="6">
        <v>5.56</v>
      </c>
    </row>
    <row r="708">
      <c r="A708" s="3">
        <v>128351.0</v>
      </c>
      <c r="B708" s="4" t="s">
        <v>5</v>
      </c>
      <c r="C708" s="4" t="s">
        <v>98</v>
      </c>
      <c r="D708" s="4" t="s">
        <v>101</v>
      </c>
      <c r="E708" s="4">
        <v>4.37</v>
      </c>
    </row>
    <row r="709">
      <c r="A709" s="5">
        <v>12452.0</v>
      </c>
      <c r="B709" s="6" t="s">
        <v>5</v>
      </c>
      <c r="C709" s="6" t="s">
        <v>98</v>
      </c>
      <c r="D709" s="6" t="s">
        <v>101</v>
      </c>
      <c r="E709" s="6">
        <v>2.1</v>
      </c>
    </row>
    <row r="710">
      <c r="A710" s="3">
        <v>108996.0</v>
      </c>
      <c r="B710" s="4" t="s">
        <v>5</v>
      </c>
      <c r="C710" s="4" t="s">
        <v>98</v>
      </c>
      <c r="D710" s="4" t="s">
        <v>101</v>
      </c>
      <c r="E710" s="4">
        <v>3.39</v>
      </c>
    </row>
    <row r="711">
      <c r="A711" s="5">
        <v>15638.0</v>
      </c>
      <c r="B711" s="6" t="s">
        <v>5</v>
      </c>
      <c r="C711" s="6" t="s">
        <v>98</v>
      </c>
      <c r="D711" s="6" t="s">
        <v>101</v>
      </c>
      <c r="E711" s="6">
        <v>3.5</v>
      </c>
    </row>
    <row r="712">
      <c r="A712" s="3">
        <v>118109.0</v>
      </c>
      <c r="B712" s="4" t="s">
        <v>5</v>
      </c>
      <c r="C712" s="4" t="s">
        <v>98</v>
      </c>
      <c r="D712" s="4" t="s">
        <v>101</v>
      </c>
      <c r="E712" s="4">
        <v>3.34</v>
      </c>
    </row>
    <row r="713">
      <c r="A713" s="5">
        <v>15634.0</v>
      </c>
      <c r="B713" s="6" t="s">
        <v>5</v>
      </c>
      <c r="C713" s="6" t="s">
        <v>98</v>
      </c>
      <c r="D713" s="6" t="s">
        <v>101</v>
      </c>
      <c r="E713" s="6">
        <v>3.5</v>
      </c>
    </row>
    <row r="714">
      <c r="A714" s="3">
        <v>2802.0</v>
      </c>
      <c r="B714" s="4" t="s">
        <v>5</v>
      </c>
      <c r="C714" s="4" t="s">
        <v>98</v>
      </c>
      <c r="D714" s="4" t="s">
        <v>101</v>
      </c>
      <c r="E714" s="4">
        <v>2.55</v>
      </c>
    </row>
    <row r="715">
      <c r="A715" s="5">
        <v>46962.0</v>
      </c>
      <c r="B715" s="6" t="s">
        <v>5</v>
      </c>
      <c r="C715" s="6" t="s">
        <v>98</v>
      </c>
      <c r="D715" s="6" t="s">
        <v>101</v>
      </c>
      <c r="E715" s="6">
        <v>2.5</v>
      </c>
    </row>
    <row r="716">
      <c r="A716" s="3">
        <v>128348.0</v>
      </c>
      <c r="B716" s="4" t="s">
        <v>5</v>
      </c>
      <c r="C716" s="4" t="s">
        <v>98</v>
      </c>
      <c r="D716" s="4" t="s">
        <v>101</v>
      </c>
      <c r="E716" s="4">
        <v>2.55</v>
      </c>
    </row>
    <row r="717">
      <c r="A717" s="5">
        <v>108963.0</v>
      </c>
      <c r="B717" s="6" t="s">
        <v>5</v>
      </c>
      <c r="C717" s="6" t="s">
        <v>98</v>
      </c>
      <c r="D717" s="6" t="s">
        <v>101</v>
      </c>
      <c r="E717" s="6">
        <v>3.39</v>
      </c>
    </row>
    <row r="718">
      <c r="A718" s="3">
        <v>2800.0</v>
      </c>
      <c r="B718" s="4" t="s">
        <v>5</v>
      </c>
      <c r="C718" s="4" t="s">
        <v>98</v>
      </c>
      <c r="D718" s="4" t="s">
        <v>101</v>
      </c>
      <c r="E718" s="4">
        <v>2.61</v>
      </c>
    </row>
    <row r="719">
      <c r="A719" s="5">
        <v>12451.0</v>
      </c>
      <c r="B719" s="6" t="s">
        <v>5</v>
      </c>
      <c r="C719" s="6" t="s">
        <v>98</v>
      </c>
      <c r="D719" s="6" t="s">
        <v>101</v>
      </c>
      <c r="E719" s="6">
        <v>1.28</v>
      </c>
    </row>
    <row r="720">
      <c r="A720" s="3">
        <v>19024.0</v>
      </c>
      <c r="B720" s="4" t="s">
        <v>5</v>
      </c>
      <c r="C720" s="4" t="s">
        <v>98</v>
      </c>
      <c r="D720" s="4" t="s">
        <v>102</v>
      </c>
      <c r="E720" s="4">
        <v>2.78</v>
      </c>
    </row>
    <row r="721">
      <c r="A721" s="5">
        <v>9472.0</v>
      </c>
      <c r="B721" s="6" t="s">
        <v>5</v>
      </c>
      <c r="C721" s="6" t="s">
        <v>98</v>
      </c>
      <c r="D721" s="6" t="s">
        <v>102</v>
      </c>
      <c r="E721" s="6">
        <v>1.74</v>
      </c>
    </row>
    <row r="722">
      <c r="A722" s="3">
        <v>1587.0</v>
      </c>
      <c r="B722" s="4" t="s">
        <v>5</v>
      </c>
      <c r="C722" s="4" t="s">
        <v>98</v>
      </c>
      <c r="D722" s="4" t="s">
        <v>102</v>
      </c>
      <c r="E722" s="4">
        <v>1.79</v>
      </c>
    </row>
    <row r="723">
      <c r="A723" s="5">
        <v>118262.0</v>
      </c>
      <c r="B723" s="6" t="s">
        <v>5</v>
      </c>
      <c r="C723" s="6" t="s">
        <v>98</v>
      </c>
      <c r="D723" s="6" t="s">
        <v>102</v>
      </c>
      <c r="E723" s="6">
        <v>3.53</v>
      </c>
    </row>
    <row r="724">
      <c r="A724" s="3">
        <v>44739.0</v>
      </c>
      <c r="B724" s="4" t="s">
        <v>5</v>
      </c>
      <c r="C724" s="4" t="s">
        <v>98</v>
      </c>
      <c r="D724" s="4" t="s">
        <v>102</v>
      </c>
      <c r="E724" s="4">
        <v>2.23</v>
      </c>
    </row>
    <row r="725">
      <c r="A725" s="5">
        <v>199855.0</v>
      </c>
      <c r="B725" s="6" t="s">
        <v>5</v>
      </c>
      <c r="C725" s="6" t="s">
        <v>98</v>
      </c>
      <c r="D725" s="6" t="s">
        <v>102</v>
      </c>
      <c r="E725" s="6">
        <v>3.13</v>
      </c>
    </row>
    <row r="726">
      <c r="A726" s="3">
        <v>71674.0</v>
      </c>
      <c r="B726" s="4" t="s">
        <v>5</v>
      </c>
      <c r="C726" s="4" t="s">
        <v>98</v>
      </c>
      <c r="D726" s="4" t="s">
        <v>102</v>
      </c>
      <c r="E726" s="4">
        <v>4.55</v>
      </c>
    </row>
    <row r="727">
      <c r="A727" s="5">
        <v>101357.0</v>
      </c>
      <c r="B727" s="6" t="s">
        <v>5</v>
      </c>
      <c r="C727" s="6" t="s">
        <v>98</v>
      </c>
      <c r="D727" s="6" t="s">
        <v>102</v>
      </c>
      <c r="E727" s="6">
        <v>1.31</v>
      </c>
    </row>
    <row r="728">
      <c r="A728" s="3">
        <v>121066.0</v>
      </c>
      <c r="B728" s="4" t="s">
        <v>5</v>
      </c>
      <c r="C728" s="4" t="s">
        <v>98</v>
      </c>
      <c r="D728" s="4" t="s">
        <v>102</v>
      </c>
      <c r="E728" s="4">
        <v>2.28</v>
      </c>
    </row>
    <row r="729">
      <c r="A729" s="5">
        <v>72818.0</v>
      </c>
      <c r="B729" s="6" t="s">
        <v>5</v>
      </c>
      <c r="C729" s="6" t="s">
        <v>98</v>
      </c>
      <c r="D729" s="6" t="s">
        <v>102</v>
      </c>
      <c r="E729" s="6">
        <v>1.43</v>
      </c>
    </row>
    <row r="730">
      <c r="A730" s="3">
        <v>109178.0</v>
      </c>
      <c r="B730" s="4" t="s">
        <v>5</v>
      </c>
      <c r="C730" s="4" t="s">
        <v>98</v>
      </c>
      <c r="D730" s="4" t="s">
        <v>102</v>
      </c>
      <c r="E730" s="4">
        <v>18.22</v>
      </c>
    </row>
    <row r="731">
      <c r="A731" s="5">
        <v>114876.0</v>
      </c>
      <c r="B731" s="6" t="s">
        <v>5</v>
      </c>
      <c r="C731" s="6" t="s">
        <v>98</v>
      </c>
      <c r="D731" s="6" t="s">
        <v>102</v>
      </c>
      <c r="E731" s="6">
        <v>1.21</v>
      </c>
    </row>
    <row r="732">
      <c r="A732" s="3">
        <v>9471.0</v>
      </c>
      <c r="B732" s="4" t="s">
        <v>5</v>
      </c>
      <c r="C732" s="4" t="s">
        <v>98</v>
      </c>
      <c r="D732" s="4" t="s">
        <v>102</v>
      </c>
      <c r="E732" s="4">
        <v>3.43</v>
      </c>
    </row>
    <row r="733">
      <c r="A733" s="5">
        <v>87840.0</v>
      </c>
      <c r="B733" s="6" t="s">
        <v>5</v>
      </c>
      <c r="C733" s="6" t="s">
        <v>98</v>
      </c>
      <c r="D733" s="6" t="s">
        <v>102</v>
      </c>
      <c r="E733" s="6">
        <v>1.49</v>
      </c>
    </row>
    <row r="734">
      <c r="A734" s="3">
        <v>72816.0</v>
      </c>
      <c r="B734" s="4" t="s">
        <v>5</v>
      </c>
      <c r="C734" s="4" t="s">
        <v>98</v>
      </c>
      <c r="D734" s="4" t="s">
        <v>102</v>
      </c>
      <c r="E734" s="4">
        <v>2.35</v>
      </c>
    </row>
    <row r="735">
      <c r="A735" s="5">
        <v>122354.0</v>
      </c>
      <c r="B735" s="6" t="s">
        <v>5</v>
      </c>
      <c r="C735" s="6" t="s">
        <v>98</v>
      </c>
      <c r="D735" s="6" t="s">
        <v>102</v>
      </c>
      <c r="E735" s="6">
        <v>1.93</v>
      </c>
    </row>
    <row r="736">
      <c r="A736" s="3">
        <v>109188.0</v>
      </c>
      <c r="B736" s="4" t="s">
        <v>5</v>
      </c>
      <c r="C736" s="4" t="s">
        <v>98</v>
      </c>
      <c r="D736" s="4" t="s">
        <v>102</v>
      </c>
      <c r="E736" s="4">
        <v>1.23</v>
      </c>
    </row>
    <row r="737">
      <c r="A737" s="5">
        <v>7999.0</v>
      </c>
      <c r="B737" s="6" t="s">
        <v>5</v>
      </c>
      <c r="C737" s="6" t="s">
        <v>98</v>
      </c>
      <c r="D737" s="6" t="s">
        <v>102</v>
      </c>
      <c r="E737" s="6">
        <v>2.96</v>
      </c>
    </row>
    <row r="738">
      <c r="A738" s="3">
        <v>9469.0</v>
      </c>
      <c r="B738" s="4" t="s">
        <v>5</v>
      </c>
      <c r="C738" s="4" t="s">
        <v>98</v>
      </c>
      <c r="D738" s="4" t="s">
        <v>102</v>
      </c>
      <c r="E738" s="4">
        <v>1.62</v>
      </c>
    </row>
    <row r="739">
      <c r="A739" s="5">
        <v>46955.0</v>
      </c>
      <c r="B739" s="6" t="s">
        <v>5</v>
      </c>
      <c r="C739" s="6" t="s">
        <v>98</v>
      </c>
      <c r="D739" s="6" t="s">
        <v>102</v>
      </c>
      <c r="E739" s="6">
        <v>5.8</v>
      </c>
    </row>
    <row r="740">
      <c r="A740" s="3">
        <v>9464.0</v>
      </c>
      <c r="B740" s="4" t="s">
        <v>5</v>
      </c>
      <c r="C740" s="4" t="s">
        <v>98</v>
      </c>
      <c r="D740" s="4" t="s">
        <v>102</v>
      </c>
      <c r="E740" s="4">
        <v>7.44</v>
      </c>
    </row>
    <row r="741">
      <c r="A741" s="5">
        <v>79485.0</v>
      </c>
      <c r="B741" s="6" t="s">
        <v>5</v>
      </c>
      <c r="C741" s="6" t="s">
        <v>98</v>
      </c>
      <c r="D741" s="6" t="s">
        <v>102</v>
      </c>
      <c r="E741" s="6">
        <v>7.01</v>
      </c>
    </row>
    <row r="742">
      <c r="A742" s="3">
        <v>118224.0</v>
      </c>
      <c r="B742" s="4" t="s">
        <v>5</v>
      </c>
      <c r="C742" s="4" t="s">
        <v>98</v>
      </c>
      <c r="D742" s="4" t="s">
        <v>102</v>
      </c>
      <c r="E742" s="4">
        <v>3.33</v>
      </c>
    </row>
    <row r="743">
      <c r="A743" s="5">
        <v>122353.0</v>
      </c>
      <c r="B743" s="6" t="s">
        <v>5</v>
      </c>
      <c r="C743" s="6" t="s">
        <v>98</v>
      </c>
      <c r="D743" s="6" t="s">
        <v>102</v>
      </c>
      <c r="E743" s="6">
        <v>1.93</v>
      </c>
    </row>
    <row r="744">
      <c r="A744" s="3">
        <v>1584.0</v>
      </c>
      <c r="B744" s="4" t="s">
        <v>5</v>
      </c>
      <c r="C744" s="4" t="s">
        <v>98</v>
      </c>
      <c r="D744" s="4" t="s">
        <v>102</v>
      </c>
      <c r="E744" s="4">
        <v>1.79</v>
      </c>
    </row>
    <row r="745">
      <c r="A745" s="5">
        <v>2792.0</v>
      </c>
      <c r="B745" s="6" t="s">
        <v>5</v>
      </c>
      <c r="C745" s="6" t="s">
        <v>98</v>
      </c>
      <c r="D745" s="6" t="s">
        <v>102</v>
      </c>
      <c r="E745" s="6">
        <v>4.68</v>
      </c>
    </row>
    <row r="746">
      <c r="A746" s="3">
        <v>109187.0</v>
      </c>
      <c r="B746" s="4" t="s">
        <v>5</v>
      </c>
      <c r="C746" s="4" t="s">
        <v>98</v>
      </c>
      <c r="D746" s="4" t="s">
        <v>102</v>
      </c>
      <c r="E746" s="4">
        <v>1.16</v>
      </c>
    </row>
    <row r="747">
      <c r="A747" s="5">
        <v>118257.0</v>
      </c>
      <c r="B747" s="6" t="s">
        <v>5</v>
      </c>
      <c r="C747" s="6" t="s">
        <v>98</v>
      </c>
      <c r="D747" s="6" t="s">
        <v>102</v>
      </c>
      <c r="E747" s="6">
        <v>0.93</v>
      </c>
    </row>
    <row r="748">
      <c r="A748" s="3">
        <v>7995.0</v>
      </c>
      <c r="B748" s="4" t="s">
        <v>5</v>
      </c>
      <c r="C748" s="4" t="s">
        <v>98</v>
      </c>
      <c r="D748" s="4" t="s">
        <v>102</v>
      </c>
      <c r="E748" s="4">
        <v>2.23</v>
      </c>
    </row>
    <row r="749">
      <c r="A749" s="5">
        <v>99360.0</v>
      </c>
      <c r="B749" s="6" t="s">
        <v>5</v>
      </c>
      <c r="C749" s="6" t="s">
        <v>98</v>
      </c>
      <c r="D749" s="6" t="s">
        <v>102</v>
      </c>
      <c r="E749" s="6">
        <v>3.25</v>
      </c>
    </row>
    <row r="750">
      <c r="A750" s="3">
        <v>118156.0</v>
      </c>
      <c r="B750" s="4" t="s">
        <v>5</v>
      </c>
      <c r="C750" s="4" t="s">
        <v>98</v>
      </c>
      <c r="D750" s="4" t="s">
        <v>102</v>
      </c>
      <c r="E750" s="4">
        <v>1.78</v>
      </c>
    </row>
    <row r="751">
      <c r="A751" s="5">
        <v>44943.0</v>
      </c>
      <c r="B751" s="6" t="s">
        <v>5</v>
      </c>
      <c r="C751" s="6" t="s">
        <v>98</v>
      </c>
      <c r="D751" s="6" t="s">
        <v>102</v>
      </c>
      <c r="E751" s="6">
        <v>3.36</v>
      </c>
    </row>
    <row r="752">
      <c r="A752" s="3">
        <v>9462.0</v>
      </c>
      <c r="B752" s="4" t="s">
        <v>5</v>
      </c>
      <c r="C752" s="4" t="s">
        <v>98</v>
      </c>
      <c r="D752" s="4" t="s">
        <v>102</v>
      </c>
      <c r="E752" s="4">
        <v>1.62</v>
      </c>
    </row>
    <row r="753">
      <c r="A753" s="5">
        <v>79501.0</v>
      </c>
      <c r="B753" s="6" t="s">
        <v>5</v>
      </c>
      <c r="C753" s="6" t="s">
        <v>98</v>
      </c>
      <c r="D753" s="6" t="s">
        <v>102</v>
      </c>
      <c r="E753" s="6">
        <v>1.47</v>
      </c>
    </row>
    <row r="754">
      <c r="A754" s="3">
        <v>97161.0</v>
      </c>
      <c r="B754" s="4" t="s">
        <v>5</v>
      </c>
      <c r="C754" s="4" t="s">
        <v>98</v>
      </c>
      <c r="D754" s="4" t="s">
        <v>102</v>
      </c>
      <c r="E754" s="4">
        <v>2.08</v>
      </c>
    </row>
    <row r="755">
      <c r="A755" s="5">
        <v>112842.0</v>
      </c>
      <c r="B755" s="6" t="s">
        <v>5</v>
      </c>
      <c r="C755" s="6" t="s">
        <v>98</v>
      </c>
      <c r="D755" s="6" t="s">
        <v>102</v>
      </c>
      <c r="E755" s="6">
        <v>6.5</v>
      </c>
    </row>
    <row r="756">
      <c r="A756" s="3">
        <v>109180.0</v>
      </c>
      <c r="B756" s="4" t="s">
        <v>5</v>
      </c>
      <c r="C756" s="4" t="s">
        <v>98</v>
      </c>
      <c r="D756" s="4" t="s">
        <v>102</v>
      </c>
      <c r="E756" s="4">
        <v>8.88</v>
      </c>
    </row>
    <row r="757">
      <c r="A757" s="5">
        <v>46954.0</v>
      </c>
      <c r="B757" s="6" t="s">
        <v>5</v>
      </c>
      <c r="C757" s="6" t="s">
        <v>98</v>
      </c>
      <c r="D757" s="6" t="s">
        <v>102</v>
      </c>
      <c r="E757" s="6">
        <v>1.04</v>
      </c>
    </row>
    <row r="758">
      <c r="A758" s="3">
        <v>79500.0</v>
      </c>
      <c r="B758" s="4" t="s">
        <v>5</v>
      </c>
      <c r="C758" s="4" t="s">
        <v>98</v>
      </c>
      <c r="D758" s="4" t="s">
        <v>102</v>
      </c>
      <c r="E758" s="4">
        <v>1.47</v>
      </c>
    </row>
    <row r="759">
      <c r="A759" s="5">
        <v>99302.0</v>
      </c>
      <c r="B759" s="6" t="s">
        <v>5</v>
      </c>
      <c r="C759" s="6" t="s">
        <v>98</v>
      </c>
      <c r="D759" s="6" t="s">
        <v>102</v>
      </c>
      <c r="E759" s="6">
        <v>5.95</v>
      </c>
    </row>
    <row r="760">
      <c r="A760" s="3">
        <v>105026.0</v>
      </c>
      <c r="B760" s="4" t="s">
        <v>5</v>
      </c>
      <c r="C760" s="4" t="s">
        <v>98</v>
      </c>
      <c r="D760" s="4" t="s">
        <v>102</v>
      </c>
      <c r="E760" s="4">
        <v>5.83</v>
      </c>
    </row>
    <row r="761">
      <c r="A761" s="5">
        <v>19972.0</v>
      </c>
      <c r="B761" s="6" t="s">
        <v>5</v>
      </c>
      <c r="C761" s="6" t="s">
        <v>98</v>
      </c>
      <c r="D761" s="6" t="s">
        <v>102</v>
      </c>
      <c r="E761" s="6">
        <v>2.24</v>
      </c>
    </row>
    <row r="762">
      <c r="A762" s="3">
        <v>99233.0</v>
      </c>
      <c r="B762" s="4" t="s">
        <v>5</v>
      </c>
      <c r="C762" s="4" t="s">
        <v>98</v>
      </c>
      <c r="D762" s="4" t="s">
        <v>102</v>
      </c>
      <c r="E762" s="4">
        <v>3.52</v>
      </c>
    </row>
    <row r="763">
      <c r="A763" s="5">
        <v>118260.0</v>
      </c>
      <c r="B763" s="6" t="s">
        <v>5</v>
      </c>
      <c r="C763" s="6" t="s">
        <v>98</v>
      </c>
      <c r="D763" s="6" t="s">
        <v>102</v>
      </c>
      <c r="E763" s="6">
        <v>0.93</v>
      </c>
    </row>
    <row r="764">
      <c r="A764" s="3">
        <v>128398.0</v>
      </c>
      <c r="B764" s="4" t="s">
        <v>5</v>
      </c>
      <c r="C764" s="4" t="s">
        <v>98</v>
      </c>
      <c r="D764" s="4" t="s">
        <v>102</v>
      </c>
      <c r="E764" s="4">
        <v>2.23</v>
      </c>
    </row>
    <row r="765">
      <c r="A765" s="5">
        <v>8001.0</v>
      </c>
      <c r="B765" s="6" t="s">
        <v>5</v>
      </c>
      <c r="C765" s="6" t="s">
        <v>98</v>
      </c>
      <c r="D765" s="6" t="s">
        <v>102</v>
      </c>
      <c r="E765" s="6">
        <v>2.22</v>
      </c>
    </row>
    <row r="766">
      <c r="A766" s="3">
        <v>106782.0</v>
      </c>
      <c r="B766" s="4" t="s">
        <v>5</v>
      </c>
      <c r="C766" s="4" t="s">
        <v>98</v>
      </c>
      <c r="D766" s="4" t="s">
        <v>102</v>
      </c>
      <c r="E766" s="4">
        <v>2.23</v>
      </c>
    </row>
    <row r="767">
      <c r="A767" s="5">
        <v>110793.0</v>
      </c>
      <c r="B767" s="6" t="s">
        <v>5</v>
      </c>
      <c r="C767" s="6" t="s">
        <v>98</v>
      </c>
      <c r="D767" s="6" t="s">
        <v>103</v>
      </c>
      <c r="E767" s="6">
        <v>6.56</v>
      </c>
    </row>
    <row r="768">
      <c r="A768" s="3">
        <v>86808.0</v>
      </c>
      <c r="B768" s="4" t="s">
        <v>5</v>
      </c>
      <c r="C768" s="4" t="s">
        <v>98</v>
      </c>
      <c r="D768" s="4" t="s">
        <v>103</v>
      </c>
      <c r="E768" s="4">
        <v>4.73</v>
      </c>
    </row>
    <row r="769">
      <c r="A769" s="5">
        <v>50367.0</v>
      </c>
      <c r="B769" s="6" t="s">
        <v>5</v>
      </c>
      <c r="C769" s="6" t="s">
        <v>98</v>
      </c>
      <c r="D769" s="6" t="s">
        <v>103</v>
      </c>
      <c r="E769" s="6">
        <v>1.5</v>
      </c>
    </row>
    <row r="770">
      <c r="A770" s="3">
        <v>102750.0</v>
      </c>
      <c r="B770" s="4" t="s">
        <v>5</v>
      </c>
      <c r="C770" s="4" t="s">
        <v>98</v>
      </c>
      <c r="D770" s="4" t="s">
        <v>103</v>
      </c>
      <c r="E770" s="4">
        <v>5.75</v>
      </c>
    </row>
    <row r="771">
      <c r="A771" s="5">
        <v>102758.0</v>
      </c>
      <c r="B771" s="6" t="s">
        <v>5</v>
      </c>
      <c r="C771" s="6" t="s">
        <v>98</v>
      </c>
      <c r="D771" s="6" t="s">
        <v>103</v>
      </c>
      <c r="E771" s="6">
        <v>5.67</v>
      </c>
    </row>
    <row r="772">
      <c r="A772" s="3">
        <v>86787.0</v>
      </c>
      <c r="B772" s="4" t="s">
        <v>5</v>
      </c>
      <c r="C772" s="4" t="s">
        <v>98</v>
      </c>
      <c r="D772" s="4" t="s">
        <v>103</v>
      </c>
      <c r="E772" s="4">
        <v>1.24</v>
      </c>
    </row>
    <row r="773">
      <c r="A773" s="5">
        <v>102740.0</v>
      </c>
      <c r="B773" s="6" t="s">
        <v>5</v>
      </c>
      <c r="C773" s="6" t="s">
        <v>98</v>
      </c>
      <c r="D773" s="6" t="s">
        <v>103</v>
      </c>
      <c r="E773" s="6">
        <v>2.06</v>
      </c>
    </row>
    <row r="774">
      <c r="A774" s="3">
        <v>102734.0</v>
      </c>
      <c r="B774" s="4" t="s">
        <v>5</v>
      </c>
      <c r="C774" s="4" t="s">
        <v>98</v>
      </c>
      <c r="D774" s="4" t="s">
        <v>103</v>
      </c>
      <c r="E774" s="4">
        <v>1.44</v>
      </c>
    </row>
    <row r="775">
      <c r="A775" s="5">
        <v>102751.0</v>
      </c>
      <c r="B775" s="6" t="s">
        <v>5</v>
      </c>
      <c r="C775" s="6" t="s">
        <v>98</v>
      </c>
      <c r="D775" s="6" t="s">
        <v>103</v>
      </c>
      <c r="E775" s="6">
        <v>5.67</v>
      </c>
    </row>
    <row r="776">
      <c r="A776" s="3">
        <v>102752.0</v>
      </c>
      <c r="B776" s="4" t="s">
        <v>5</v>
      </c>
      <c r="C776" s="4" t="s">
        <v>98</v>
      </c>
      <c r="D776" s="4" t="s">
        <v>103</v>
      </c>
      <c r="E776" s="4">
        <v>6.09</v>
      </c>
    </row>
    <row r="777">
      <c r="A777" s="5">
        <v>102735.0</v>
      </c>
      <c r="B777" s="6" t="s">
        <v>5</v>
      </c>
      <c r="C777" s="6" t="s">
        <v>98</v>
      </c>
      <c r="D777" s="6" t="s">
        <v>103</v>
      </c>
      <c r="E777" s="6">
        <v>1.95</v>
      </c>
    </row>
    <row r="778">
      <c r="A778" s="3">
        <v>86793.0</v>
      </c>
      <c r="B778" s="4" t="s">
        <v>5</v>
      </c>
      <c r="C778" s="4" t="s">
        <v>98</v>
      </c>
      <c r="D778" s="4" t="s">
        <v>103</v>
      </c>
      <c r="E778" s="4">
        <v>2.05</v>
      </c>
    </row>
    <row r="779">
      <c r="A779" s="5">
        <v>86792.0</v>
      </c>
      <c r="B779" s="6" t="s">
        <v>5</v>
      </c>
      <c r="C779" s="6" t="s">
        <v>98</v>
      </c>
      <c r="D779" s="6" t="s">
        <v>103</v>
      </c>
      <c r="E779" s="6">
        <v>1.9</v>
      </c>
    </row>
    <row r="780">
      <c r="A780" s="3">
        <v>86785.0</v>
      </c>
      <c r="B780" s="4" t="s">
        <v>5</v>
      </c>
      <c r="C780" s="4" t="s">
        <v>98</v>
      </c>
      <c r="D780" s="4" t="s">
        <v>103</v>
      </c>
      <c r="E780" s="4">
        <v>1.12</v>
      </c>
    </row>
    <row r="781">
      <c r="A781" s="5">
        <v>102773.0</v>
      </c>
      <c r="B781" s="6" t="s">
        <v>5</v>
      </c>
      <c r="C781" s="6" t="s">
        <v>98</v>
      </c>
      <c r="D781" s="6" t="s">
        <v>104</v>
      </c>
      <c r="E781" s="6">
        <v>3.35</v>
      </c>
    </row>
    <row r="782">
      <c r="A782" s="3">
        <v>42807.0</v>
      </c>
      <c r="B782" s="4" t="s">
        <v>5</v>
      </c>
      <c r="C782" s="4" t="s">
        <v>98</v>
      </c>
      <c r="D782" s="4" t="s">
        <v>104</v>
      </c>
      <c r="E782" s="4">
        <v>2.46</v>
      </c>
    </row>
    <row r="783">
      <c r="A783" s="5">
        <v>42809.0</v>
      </c>
      <c r="B783" s="6" t="s">
        <v>5</v>
      </c>
      <c r="C783" s="6" t="s">
        <v>98</v>
      </c>
      <c r="D783" s="6" t="s">
        <v>104</v>
      </c>
      <c r="E783" s="6">
        <v>9.41</v>
      </c>
    </row>
    <row r="784">
      <c r="A784" s="3">
        <v>86821.0</v>
      </c>
      <c r="B784" s="4" t="s">
        <v>5</v>
      </c>
      <c r="C784" s="4" t="s">
        <v>98</v>
      </c>
      <c r="D784" s="4" t="s">
        <v>104</v>
      </c>
      <c r="E784" s="4">
        <v>3.12</v>
      </c>
    </row>
    <row r="785">
      <c r="A785" s="5">
        <v>110719.0</v>
      </c>
      <c r="B785" s="6" t="s">
        <v>5</v>
      </c>
      <c r="C785" s="6" t="s">
        <v>98</v>
      </c>
      <c r="D785" s="6" t="s">
        <v>104</v>
      </c>
      <c r="E785" s="6">
        <v>2.27</v>
      </c>
    </row>
    <row r="786">
      <c r="A786" s="3">
        <v>86818.0</v>
      </c>
      <c r="B786" s="4" t="s">
        <v>5</v>
      </c>
      <c r="C786" s="4" t="s">
        <v>98</v>
      </c>
      <c r="D786" s="4" t="s">
        <v>104</v>
      </c>
      <c r="E786" s="4">
        <v>3.19</v>
      </c>
    </row>
    <row r="787">
      <c r="A787" s="5">
        <v>71318.0</v>
      </c>
      <c r="B787" s="6" t="s">
        <v>5</v>
      </c>
      <c r="C787" s="6" t="s">
        <v>98</v>
      </c>
      <c r="D787" s="6" t="s">
        <v>104</v>
      </c>
      <c r="E787" s="6">
        <v>15.41</v>
      </c>
    </row>
    <row r="788">
      <c r="A788" s="3">
        <v>122303.0</v>
      </c>
      <c r="B788" s="4" t="s">
        <v>5</v>
      </c>
      <c r="C788" s="4" t="s">
        <v>98</v>
      </c>
      <c r="D788" s="4" t="s">
        <v>104</v>
      </c>
      <c r="E788" s="4">
        <v>3.14</v>
      </c>
    </row>
    <row r="789">
      <c r="A789" s="5">
        <v>110716.0</v>
      </c>
      <c r="B789" s="6" t="s">
        <v>5</v>
      </c>
      <c r="C789" s="6" t="s">
        <v>98</v>
      </c>
      <c r="D789" s="6" t="s">
        <v>104</v>
      </c>
      <c r="E789" s="6">
        <v>10.85</v>
      </c>
    </row>
    <row r="790">
      <c r="A790" s="3">
        <v>9480.0</v>
      </c>
      <c r="B790" s="4" t="s">
        <v>5</v>
      </c>
      <c r="C790" s="4" t="s">
        <v>98</v>
      </c>
      <c r="D790" s="4" t="s">
        <v>104</v>
      </c>
      <c r="E790" s="4">
        <v>2.78</v>
      </c>
    </row>
    <row r="791">
      <c r="A791" s="5">
        <v>113920.0</v>
      </c>
      <c r="B791" s="6" t="s">
        <v>5</v>
      </c>
      <c r="C791" s="6" t="s">
        <v>98</v>
      </c>
      <c r="D791" s="6" t="s">
        <v>104</v>
      </c>
      <c r="E791" s="6">
        <v>2.15</v>
      </c>
    </row>
    <row r="792">
      <c r="A792" s="3">
        <v>166088.0</v>
      </c>
      <c r="B792" s="4" t="s">
        <v>5</v>
      </c>
      <c r="C792" s="4" t="s">
        <v>98</v>
      </c>
      <c r="D792" s="4" t="s">
        <v>105</v>
      </c>
      <c r="E792" s="4">
        <v>4.1</v>
      </c>
    </row>
    <row r="793">
      <c r="A793" s="5">
        <v>122712.0</v>
      </c>
      <c r="B793" s="6" t="s">
        <v>5</v>
      </c>
      <c r="C793" s="6" t="s">
        <v>98</v>
      </c>
      <c r="D793" s="6" t="s">
        <v>105</v>
      </c>
      <c r="E793" s="6">
        <v>1.82</v>
      </c>
    </row>
    <row r="794">
      <c r="A794" s="3">
        <v>86523.0</v>
      </c>
      <c r="B794" s="4" t="s">
        <v>5</v>
      </c>
      <c r="C794" s="4" t="s">
        <v>98</v>
      </c>
      <c r="D794" s="4" t="s">
        <v>105</v>
      </c>
      <c r="E794" s="4">
        <v>0.98</v>
      </c>
    </row>
    <row r="795">
      <c r="A795" s="5">
        <v>106773.0</v>
      </c>
      <c r="B795" s="6" t="s">
        <v>5</v>
      </c>
      <c r="C795" s="6" t="s">
        <v>98</v>
      </c>
      <c r="D795" s="6" t="s">
        <v>105</v>
      </c>
      <c r="E795" s="6">
        <v>1.79</v>
      </c>
    </row>
    <row r="796">
      <c r="A796" s="3">
        <v>128356.0</v>
      </c>
      <c r="B796" s="4" t="s">
        <v>5</v>
      </c>
      <c r="C796" s="4" t="s">
        <v>98</v>
      </c>
      <c r="D796" s="4" t="s">
        <v>105</v>
      </c>
      <c r="E796" s="4">
        <v>3.65</v>
      </c>
    </row>
    <row r="797">
      <c r="A797" s="5">
        <v>28897.0</v>
      </c>
      <c r="B797" s="6" t="s">
        <v>5</v>
      </c>
      <c r="C797" s="6" t="s">
        <v>98</v>
      </c>
      <c r="D797" s="6" t="s">
        <v>105</v>
      </c>
      <c r="E797" s="6">
        <v>1.31</v>
      </c>
    </row>
    <row r="798">
      <c r="A798" s="3">
        <v>181502.0</v>
      </c>
      <c r="B798" s="4" t="s">
        <v>5</v>
      </c>
      <c r="C798" s="4" t="s">
        <v>98</v>
      </c>
      <c r="D798" s="4" t="s">
        <v>105</v>
      </c>
      <c r="E798" s="4">
        <v>10.03</v>
      </c>
    </row>
    <row r="799">
      <c r="A799" s="5">
        <v>13368.0</v>
      </c>
      <c r="B799" s="6" t="s">
        <v>5</v>
      </c>
      <c r="C799" s="6" t="s">
        <v>98</v>
      </c>
      <c r="D799" s="6" t="s">
        <v>105</v>
      </c>
      <c r="E799" s="6">
        <v>1.34</v>
      </c>
    </row>
    <row r="800">
      <c r="A800" s="3">
        <v>105178.0</v>
      </c>
      <c r="B800" s="4" t="s">
        <v>5</v>
      </c>
      <c r="C800" s="4" t="s">
        <v>98</v>
      </c>
      <c r="D800" s="4" t="s">
        <v>105</v>
      </c>
      <c r="E800" s="4">
        <v>1.17</v>
      </c>
    </row>
    <row r="801">
      <c r="A801" s="5">
        <v>158445.0</v>
      </c>
      <c r="B801" s="6" t="s">
        <v>5</v>
      </c>
      <c r="C801" s="6" t="s">
        <v>98</v>
      </c>
      <c r="D801" s="6" t="s">
        <v>105</v>
      </c>
      <c r="E801" s="6">
        <v>0.74</v>
      </c>
    </row>
    <row r="802">
      <c r="A802" s="3">
        <v>105861.0</v>
      </c>
      <c r="B802" s="4" t="s">
        <v>5</v>
      </c>
      <c r="C802" s="4" t="s">
        <v>98</v>
      </c>
      <c r="D802" s="4" t="s">
        <v>105</v>
      </c>
      <c r="E802" s="4">
        <v>1.21</v>
      </c>
    </row>
    <row r="803">
      <c r="A803" s="5">
        <v>28668.0</v>
      </c>
      <c r="B803" s="6" t="s">
        <v>5</v>
      </c>
      <c r="C803" s="6" t="s">
        <v>98</v>
      </c>
      <c r="D803" s="6" t="s">
        <v>105</v>
      </c>
      <c r="E803" s="6">
        <v>1.3</v>
      </c>
    </row>
    <row r="804">
      <c r="A804" s="3">
        <v>28661.0</v>
      </c>
      <c r="B804" s="4" t="s">
        <v>5</v>
      </c>
      <c r="C804" s="4" t="s">
        <v>98</v>
      </c>
      <c r="D804" s="4" t="s">
        <v>105</v>
      </c>
      <c r="E804" s="4">
        <v>1.39</v>
      </c>
    </row>
    <row r="805">
      <c r="A805" s="5">
        <v>13349.0</v>
      </c>
      <c r="B805" s="6" t="s">
        <v>5</v>
      </c>
      <c r="C805" s="6" t="s">
        <v>98</v>
      </c>
      <c r="D805" s="6" t="s">
        <v>105</v>
      </c>
      <c r="E805" s="6">
        <v>1.56</v>
      </c>
    </row>
    <row r="806">
      <c r="A806" s="3">
        <v>1634.0</v>
      </c>
      <c r="B806" s="4" t="s">
        <v>5</v>
      </c>
      <c r="C806" s="4" t="s">
        <v>98</v>
      </c>
      <c r="D806" s="4" t="s">
        <v>105</v>
      </c>
      <c r="E806" s="4">
        <v>1.37</v>
      </c>
    </row>
    <row r="807">
      <c r="A807" s="5">
        <v>86524.0</v>
      </c>
      <c r="B807" s="6" t="s">
        <v>5</v>
      </c>
      <c r="C807" s="6" t="s">
        <v>98</v>
      </c>
      <c r="D807" s="6" t="s">
        <v>105</v>
      </c>
      <c r="E807" s="6">
        <v>0.7</v>
      </c>
    </row>
    <row r="808">
      <c r="A808" s="3">
        <v>86531.0</v>
      </c>
      <c r="B808" s="4" t="s">
        <v>5</v>
      </c>
      <c r="C808" s="4" t="s">
        <v>98</v>
      </c>
      <c r="D808" s="4" t="s">
        <v>105</v>
      </c>
      <c r="E808" s="4">
        <v>0.56</v>
      </c>
    </row>
    <row r="809">
      <c r="A809" s="5">
        <v>95210.0</v>
      </c>
      <c r="B809" s="6" t="s">
        <v>5</v>
      </c>
      <c r="C809" s="6" t="s">
        <v>98</v>
      </c>
      <c r="D809" s="6" t="s">
        <v>105</v>
      </c>
      <c r="E809" s="6">
        <v>1.91</v>
      </c>
    </row>
    <row r="810">
      <c r="A810" s="3">
        <v>158450.0</v>
      </c>
      <c r="B810" s="4" t="s">
        <v>5</v>
      </c>
      <c r="C810" s="4" t="s">
        <v>98</v>
      </c>
      <c r="D810" s="4" t="s">
        <v>105</v>
      </c>
      <c r="E810" s="4">
        <v>4.25</v>
      </c>
    </row>
    <row r="811">
      <c r="A811" s="5">
        <v>103080.0</v>
      </c>
      <c r="B811" s="6" t="s">
        <v>5</v>
      </c>
      <c r="C811" s="6" t="s">
        <v>98</v>
      </c>
      <c r="D811" s="6" t="s">
        <v>105</v>
      </c>
      <c r="E811" s="6">
        <v>0.8</v>
      </c>
    </row>
    <row r="812">
      <c r="A812" s="3">
        <v>121067.0</v>
      </c>
      <c r="B812" s="4" t="s">
        <v>5</v>
      </c>
      <c r="C812" s="4" t="s">
        <v>98</v>
      </c>
      <c r="D812" s="4" t="s">
        <v>105</v>
      </c>
      <c r="E812" s="4">
        <v>3.83</v>
      </c>
    </row>
    <row r="813">
      <c r="A813" s="5">
        <v>41513.0</v>
      </c>
      <c r="B813" s="6" t="s">
        <v>5</v>
      </c>
      <c r="C813" s="6" t="s">
        <v>98</v>
      </c>
      <c r="D813" s="6" t="s">
        <v>105</v>
      </c>
      <c r="E813" s="6">
        <v>3.88</v>
      </c>
    </row>
    <row r="814">
      <c r="A814" s="3">
        <v>166089.0</v>
      </c>
      <c r="B814" s="4" t="s">
        <v>5</v>
      </c>
      <c r="C814" s="4" t="s">
        <v>98</v>
      </c>
      <c r="D814" s="4" t="s">
        <v>105</v>
      </c>
      <c r="E814" s="4">
        <v>4.1</v>
      </c>
    </row>
    <row r="815">
      <c r="A815" s="5">
        <v>26446.0</v>
      </c>
      <c r="B815" s="6" t="s">
        <v>5</v>
      </c>
      <c r="C815" s="6" t="s">
        <v>98</v>
      </c>
      <c r="D815" s="6" t="s">
        <v>105</v>
      </c>
      <c r="E815" s="6">
        <v>1.34</v>
      </c>
    </row>
    <row r="816">
      <c r="A816" s="3">
        <v>13350.0</v>
      </c>
      <c r="B816" s="4" t="s">
        <v>5</v>
      </c>
      <c r="C816" s="4" t="s">
        <v>98</v>
      </c>
      <c r="D816" s="4" t="s">
        <v>105</v>
      </c>
      <c r="E816" s="4">
        <v>0.9</v>
      </c>
    </row>
    <row r="817">
      <c r="A817" s="5">
        <v>111728.0</v>
      </c>
      <c r="B817" s="6" t="s">
        <v>5</v>
      </c>
      <c r="C817" s="6" t="s">
        <v>98</v>
      </c>
      <c r="D817" s="6" t="s">
        <v>105</v>
      </c>
      <c r="E817" s="6">
        <v>5.24</v>
      </c>
    </row>
    <row r="818">
      <c r="A818" s="3">
        <v>28883.0</v>
      </c>
      <c r="B818" s="4" t="s">
        <v>5</v>
      </c>
      <c r="C818" s="4" t="s">
        <v>98</v>
      </c>
      <c r="D818" s="4" t="s">
        <v>105</v>
      </c>
      <c r="E818" s="4">
        <v>1.58</v>
      </c>
    </row>
    <row r="819">
      <c r="A819" s="5">
        <v>121068.0</v>
      </c>
      <c r="B819" s="6" t="s">
        <v>5</v>
      </c>
      <c r="C819" s="6" t="s">
        <v>98</v>
      </c>
      <c r="D819" s="6" t="s">
        <v>105</v>
      </c>
      <c r="E819" s="6">
        <v>7.11</v>
      </c>
    </row>
    <row r="820">
      <c r="A820" s="3">
        <v>181499.0</v>
      </c>
      <c r="B820" s="4" t="s">
        <v>5</v>
      </c>
      <c r="C820" s="4" t="s">
        <v>98</v>
      </c>
      <c r="D820" s="4" t="s">
        <v>105</v>
      </c>
      <c r="E820" s="4">
        <v>4.51</v>
      </c>
    </row>
    <row r="821">
      <c r="A821" s="5">
        <v>16097.0</v>
      </c>
      <c r="B821" s="6" t="s">
        <v>5</v>
      </c>
      <c r="C821" s="6" t="s">
        <v>98</v>
      </c>
      <c r="D821" s="6" t="s">
        <v>105</v>
      </c>
      <c r="E821" s="6">
        <v>1.32</v>
      </c>
    </row>
    <row r="822">
      <c r="A822" s="3">
        <v>117247.0</v>
      </c>
      <c r="B822" s="4" t="s">
        <v>5</v>
      </c>
      <c r="C822" s="4" t="s">
        <v>98</v>
      </c>
      <c r="D822" s="4" t="s">
        <v>105</v>
      </c>
      <c r="E822" s="4">
        <v>1.62</v>
      </c>
    </row>
    <row r="823">
      <c r="A823" s="5">
        <v>1732.0</v>
      </c>
      <c r="B823" s="6" t="s">
        <v>5</v>
      </c>
      <c r="C823" s="6" t="s">
        <v>98</v>
      </c>
      <c r="D823" s="6" t="s">
        <v>105</v>
      </c>
      <c r="E823" s="6">
        <v>1.34</v>
      </c>
    </row>
    <row r="824">
      <c r="A824" s="3">
        <v>105174.0</v>
      </c>
      <c r="B824" s="4" t="s">
        <v>5</v>
      </c>
      <c r="C824" s="4" t="s">
        <v>98</v>
      </c>
      <c r="D824" s="4" t="s">
        <v>105</v>
      </c>
      <c r="E824" s="4">
        <v>1.43</v>
      </c>
    </row>
    <row r="825">
      <c r="A825" s="5">
        <v>128357.0</v>
      </c>
      <c r="B825" s="6" t="s">
        <v>5</v>
      </c>
      <c r="C825" s="6" t="s">
        <v>98</v>
      </c>
      <c r="D825" s="6" t="s">
        <v>105</v>
      </c>
      <c r="E825" s="6">
        <v>3.65</v>
      </c>
    </row>
    <row r="826">
      <c r="A826" s="3">
        <v>166090.0</v>
      </c>
      <c r="B826" s="4" t="s">
        <v>5</v>
      </c>
      <c r="C826" s="4" t="s">
        <v>98</v>
      </c>
      <c r="D826" s="4" t="s">
        <v>105</v>
      </c>
      <c r="E826" s="4">
        <v>4.1</v>
      </c>
    </row>
    <row r="827">
      <c r="A827" s="5">
        <v>121070.0</v>
      </c>
      <c r="B827" s="6" t="s">
        <v>5</v>
      </c>
      <c r="C827" s="6" t="s">
        <v>98</v>
      </c>
      <c r="D827" s="6" t="s">
        <v>105</v>
      </c>
      <c r="E827" s="6">
        <v>3.83</v>
      </c>
    </row>
    <row r="828">
      <c r="A828" s="3">
        <v>80818.0</v>
      </c>
      <c r="B828" s="4" t="s">
        <v>5</v>
      </c>
      <c r="C828" s="4" t="s">
        <v>98</v>
      </c>
      <c r="D828" s="4" t="s">
        <v>105</v>
      </c>
      <c r="E828" s="4">
        <v>0.94</v>
      </c>
    </row>
    <row r="829">
      <c r="A829" s="5">
        <v>13367.0</v>
      </c>
      <c r="B829" s="6" t="s">
        <v>5</v>
      </c>
      <c r="C829" s="6" t="s">
        <v>98</v>
      </c>
      <c r="D829" s="6" t="s">
        <v>105</v>
      </c>
      <c r="E829" s="6">
        <v>0.95</v>
      </c>
    </row>
    <row r="830">
      <c r="A830" s="3">
        <v>44329.0</v>
      </c>
      <c r="B830" s="4" t="s">
        <v>5</v>
      </c>
      <c r="C830" s="4" t="s">
        <v>98</v>
      </c>
      <c r="D830" s="4" t="s">
        <v>106</v>
      </c>
      <c r="E830" s="4">
        <v>3.88</v>
      </c>
    </row>
    <row r="831">
      <c r="A831" s="5">
        <v>70879.0</v>
      </c>
      <c r="B831" s="6" t="s">
        <v>5</v>
      </c>
      <c r="C831" s="6" t="s">
        <v>98</v>
      </c>
      <c r="D831" s="6" t="s">
        <v>106</v>
      </c>
      <c r="E831" s="6">
        <v>1.6</v>
      </c>
    </row>
    <row r="832">
      <c r="A832" s="3">
        <v>99266.0</v>
      </c>
      <c r="B832" s="4" t="s">
        <v>5</v>
      </c>
      <c r="C832" s="4" t="s">
        <v>98</v>
      </c>
      <c r="D832" s="4" t="s">
        <v>106</v>
      </c>
      <c r="E832" s="4">
        <v>2.12</v>
      </c>
    </row>
    <row r="833">
      <c r="A833" s="5">
        <v>88216.0</v>
      </c>
      <c r="B833" s="6" t="s">
        <v>5</v>
      </c>
      <c r="C833" s="6" t="s">
        <v>98</v>
      </c>
      <c r="D833" s="6" t="s">
        <v>106</v>
      </c>
      <c r="E833" s="6">
        <v>5.39</v>
      </c>
    </row>
    <row r="834">
      <c r="A834" s="3">
        <v>28590.0</v>
      </c>
      <c r="B834" s="4" t="s">
        <v>5</v>
      </c>
      <c r="C834" s="4" t="s">
        <v>98</v>
      </c>
      <c r="D834" s="4" t="s">
        <v>106</v>
      </c>
      <c r="E834" s="4">
        <v>3.58</v>
      </c>
    </row>
    <row r="835">
      <c r="A835" s="5">
        <v>88215.0</v>
      </c>
      <c r="B835" s="6" t="s">
        <v>5</v>
      </c>
      <c r="C835" s="6" t="s">
        <v>98</v>
      </c>
      <c r="D835" s="6" t="s">
        <v>106</v>
      </c>
      <c r="E835" s="6">
        <v>1.51</v>
      </c>
    </row>
    <row r="836">
      <c r="A836" s="3">
        <v>81771.0</v>
      </c>
      <c r="B836" s="4" t="s">
        <v>5</v>
      </c>
      <c r="C836" s="4" t="s">
        <v>98</v>
      </c>
      <c r="D836" s="4" t="s">
        <v>106</v>
      </c>
      <c r="E836" s="4">
        <v>1.31</v>
      </c>
    </row>
    <row r="837">
      <c r="A837" s="5">
        <v>194520.0</v>
      </c>
      <c r="B837" s="6" t="s">
        <v>5</v>
      </c>
      <c r="C837" s="6" t="s">
        <v>98</v>
      </c>
      <c r="D837" s="6" t="s">
        <v>106</v>
      </c>
      <c r="E837" s="6">
        <v>6.38</v>
      </c>
    </row>
    <row r="838">
      <c r="A838" s="3">
        <v>5901.0</v>
      </c>
      <c r="B838" s="4" t="s">
        <v>5</v>
      </c>
      <c r="C838" s="4" t="s">
        <v>98</v>
      </c>
      <c r="D838" s="4" t="s">
        <v>106</v>
      </c>
      <c r="E838" s="4">
        <v>1.39</v>
      </c>
    </row>
    <row r="839">
      <c r="A839" s="5">
        <v>156054.0</v>
      </c>
      <c r="B839" s="6" t="s">
        <v>5</v>
      </c>
      <c r="C839" s="6" t="s">
        <v>98</v>
      </c>
      <c r="D839" s="6" t="s">
        <v>106</v>
      </c>
      <c r="E839" s="6">
        <v>3.64</v>
      </c>
    </row>
    <row r="840">
      <c r="A840" s="3">
        <v>5869.0</v>
      </c>
      <c r="B840" s="4" t="s">
        <v>5</v>
      </c>
      <c r="C840" s="4" t="s">
        <v>98</v>
      </c>
      <c r="D840" s="4" t="s">
        <v>106</v>
      </c>
      <c r="E840" s="4">
        <v>1.59</v>
      </c>
    </row>
    <row r="841">
      <c r="A841" s="5">
        <v>7343.0</v>
      </c>
      <c r="B841" s="6" t="s">
        <v>5</v>
      </c>
      <c r="C841" s="6" t="s">
        <v>98</v>
      </c>
      <c r="D841" s="6" t="s">
        <v>106</v>
      </c>
      <c r="E841" s="6">
        <v>2.83</v>
      </c>
    </row>
    <row r="842">
      <c r="A842" s="3">
        <v>88218.0</v>
      </c>
      <c r="B842" s="4" t="s">
        <v>5</v>
      </c>
      <c r="C842" s="4" t="s">
        <v>98</v>
      </c>
      <c r="D842" s="4" t="s">
        <v>106</v>
      </c>
      <c r="E842" s="4">
        <v>1.85</v>
      </c>
    </row>
    <row r="843">
      <c r="A843" s="5">
        <v>99263.0</v>
      </c>
      <c r="B843" s="6" t="s">
        <v>5</v>
      </c>
      <c r="C843" s="6" t="s">
        <v>98</v>
      </c>
      <c r="D843" s="6" t="s">
        <v>106</v>
      </c>
      <c r="E843" s="6">
        <v>2.63</v>
      </c>
    </row>
    <row r="844">
      <c r="A844" s="3">
        <v>7357.0</v>
      </c>
      <c r="B844" s="4" t="s">
        <v>5</v>
      </c>
      <c r="C844" s="4" t="s">
        <v>98</v>
      </c>
      <c r="D844" s="4" t="s">
        <v>106</v>
      </c>
      <c r="E844" s="4">
        <v>3.6</v>
      </c>
    </row>
    <row r="845">
      <c r="A845" s="5">
        <v>28591.0</v>
      </c>
      <c r="B845" s="6" t="s">
        <v>5</v>
      </c>
      <c r="C845" s="6" t="s">
        <v>98</v>
      </c>
      <c r="D845" s="6" t="s">
        <v>106</v>
      </c>
      <c r="E845" s="6">
        <v>5.98</v>
      </c>
    </row>
    <row r="846">
      <c r="A846" s="3">
        <v>5871.0</v>
      </c>
      <c r="B846" s="4" t="s">
        <v>5</v>
      </c>
      <c r="C846" s="4" t="s">
        <v>98</v>
      </c>
      <c r="D846" s="4" t="s">
        <v>106</v>
      </c>
      <c r="E846" s="4">
        <v>1.51</v>
      </c>
    </row>
    <row r="847">
      <c r="A847" s="5">
        <v>81772.0</v>
      </c>
      <c r="B847" s="6" t="s">
        <v>5</v>
      </c>
      <c r="C847" s="6" t="s">
        <v>98</v>
      </c>
      <c r="D847" s="6" t="s">
        <v>106</v>
      </c>
      <c r="E847" s="6">
        <v>1.68</v>
      </c>
    </row>
    <row r="848">
      <c r="A848" s="3">
        <v>110587.0</v>
      </c>
      <c r="B848" s="4" t="s">
        <v>5</v>
      </c>
      <c r="C848" s="4" t="s">
        <v>98</v>
      </c>
      <c r="D848" s="4" t="s">
        <v>106</v>
      </c>
      <c r="E848" s="4">
        <v>14.04</v>
      </c>
    </row>
    <row r="849">
      <c r="A849" s="5">
        <v>5870.0</v>
      </c>
      <c r="B849" s="6" t="s">
        <v>5</v>
      </c>
      <c r="C849" s="6" t="s">
        <v>98</v>
      </c>
      <c r="D849" s="6" t="s">
        <v>106</v>
      </c>
      <c r="E849" s="6">
        <v>1.26</v>
      </c>
    </row>
    <row r="850">
      <c r="A850" s="3">
        <v>158444.0</v>
      </c>
      <c r="B850" s="4" t="s">
        <v>5</v>
      </c>
      <c r="C850" s="4" t="s">
        <v>98</v>
      </c>
      <c r="D850" s="4" t="s">
        <v>106</v>
      </c>
      <c r="E850" s="4">
        <v>10.83</v>
      </c>
    </row>
    <row r="851">
      <c r="A851" s="5">
        <v>80785.0</v>
      </c>
      <c r="B851" s="6" t="s">
        <v>5</v>
      </c>
      <c r="C851" s="6" t="s">
        <v>98</v>
      </c>
      <c r="D851" s="6" t="s">
        <v>106</v>
      </c>
      <c r="E851" s="6">
        <v>1.02</v>
      </c>
    </row>
    <row r="852">
      <c r="A852" s="3">
        <v>110586.0</v>
      </c>
      <c r="B852" s="4" t="s">
        <v>5</v>
      </c>
      <c r="C852" s="4" t="s">
        <v>98</v>
      </c>
      <c r="D852" s="4" t="s">
        <v>106</v>
      </c>
      <c r="E852" s="4">
        <v>5.27</v>
      </c>
    </row>
    <row r="853">
      <c r="A853" s="5">
        <v>99264.0</v>
      </c>
      <c r="B853" s="6" t="s">
        <v>5</v>
      </c>
      <c r="C853" s="6" t="s">
        <v>98</v>
      </c>
      <c r="D853" s="6" t="s">
        <v>106</v>
      </c>
      <c r="E853" s="6">
        <v>1.38</v>
      </c>
    </row>
    <row r="854">
      <c r="A854" s="3">
        <v>110977.0</v>
      </c>
      <c r="B854" s="4" t="s">
        <v>5</v>
      </c>
      <c r="C854" s="4" t="s">
        <v>98</v>
      </c>
      <c r="D854" s="4" t="s">
        <v>106</v>
      </c>
      <c r="E854" s="4">
        <v>12.17</v>
      </c>
    </row>
    <row r="855">
      <c r="A855" s="5">
        <v>45529.0</v>
      </c>
      <c r="B855" s="6" t="s">
        <v>5</v>
      </c>
      <c r="C855" s="6" t="s">
        <v>98</v>
      </c>
      <c r="D855" s="6" t="s">
        <v>106</v>
      </c>
      <c r="E855" s="6">
        <v>4.57</v>
      </c>
    </row>
    <row r="856">
      <c r="A856" s="3">
        <v>84030.0</v>
      </c>
      <c r="B856" s="4" t="s">
        <v>5</v>
      </c>
      <c r="C856" s="4" t="s">
        <v>98</v>
      </c>
      <c r="D856" s="4" t="s">
        <v>106</v>
      </c>
      <c r="E856" s="4">
        <v>4.48</v>
      </c>
    </row>
    <row r="857">
      <c r="A857" s="5">
        <v>99262.0</v>
      </c>
      <c r="B857" s="6" t="s">
        <v>5</v>
      </c>
      <c r="C857" s="6" t="s">
        <v>98</v>
      </c>
      <c r="D857" s="6" t="s">
        <v>106</v>
      </c>
      <c r="E857" s="6">
        <v>1.62</v>
      </c>
    </row>
    <row r="858">
      <c r="A858" s="3">
        <v>110722.0</v>
      </c>
      <c r="B858" s="4" t="s">
        <v>5</v>
      </c>
      <c r="C858" s="4" t="s">
        <v>98</v>
      </c>
      <c r="D858" s="4" t="s">
        <v>106</v>
      </c>
      <c r="E858" s="4">
        <v>9.03</v>
      </c>
    </row>
    <row r="859">
      <c r="A859" s="5">
        <v>80781.0</v>
      </c>
      <c r="B859" s="6" t="s">
        <v>5</v>
      </c>
      <c r="C859" s="6" t="s">
        <v>98</v>
      </c>
      <c r="D859" s="6" t="s">
        <v>106</v>
      </c>
      <c r="E859" s="6">
        <v>2.54</v>
      </c>
    </row>
    <row r="860">
      <c r="A860" s="3">
        <v>122700.0</v>
      </c>
      <c r="B860" s="4" t="s">
        <v>5</v>
      </c>
      <c r="C860" s="4" t="s">
        <v>98</v>
      </c>
      <c r="D860" s="4" t="s">
        <v>106</v>
      </c>
      <c r="E860" s="4">
        <v>1.08</v>
      </c>
    </row>
    <row r="861">
      <c r="A861" s="5">
        <v>111783.0</v>
      </c>
      <c r="B861" s="6" t="s">
        <v>5</v>
      </c>
      <c r="C861" s="6" t="s">
        <v>98</v>
      </c>
      <c r="D861" s="6" t="s">
        <v>106</v>
      </c>
      <c r="E861" s="6">
        <v>1.63</v>
      </c>
    </row>
    <row r="862">
      <c r="A862" s="3">
        <v>110724.0</v>
      </c>
      <c r="B862" s="4" t="s">
        <v>5</v>
      </c>
      <c r="C862" s="4" t="s">
        <v>98</v>
      </c>
      <c r="D862" s="4" t="s">
        <v>106</v>
      </c>
      <c r="E862" s="4">
        <v>1.46</v>
      </c>
    </row>
    <row r="863">
      <c r="A863" s="5">
        <v>13348.0</v>
      </c>
      <c r="B863" s="6" t="s">
        <v>5</v>
      </c>
      <c r="C863" s="6" t="s">
        <v>98</v>
      </c>
      <c r="D863" s="6" t="s">
        <v>106</v>
      </c>
      <c r="E863" s="6">
        <v>0.98</v>
      </c>
    </row>
    <row r="864">
      <c r="A864" s="3">
        <v>28595.0</v>
      </c>
      <c r="B864" s="4" t="s">
        <v>5</v>
      </c>
      <c r="C864" s="4" t="s">
        <v>98</v>
      </c>
      <c r="D864" s="4" t="s">
        <v>106</v>
      </c>
      <c r="E864" s="4">
        <v>1.85</v>
      </c>
    </row>
    <row r="865">
      <c r="A865" s="5">
        <v>81770.0</v>
      </c>
      <c r="B865" s="6" t="s">
        <v>5</v>
      </c>
      <c r="C865" s="6" t="s">
        <v>98</v>
      </c>
      <c r="D865" s="6" t="s">
        <v>106</v>
      </c>
      <c r="E865" s="6">
        <v>3.81</v>
      </c>
    </row>
    <row r="866">
      <c r="A866" s="3">
        <v>85059.0</v>
      </c>
      <c r="B866" s="4" t="s">
        <v>5</v>
      </c>
      <c r="C866" s="4" t="s">
        <v>98</v>
      </c>
      <c r="D866" s="4" t="s">
        <v>106</v>
      </c>
      <c r="E866" s="4">
        <v>1.78</v>
      </c>
    </row>
    <row r="867">
      <c r="A867" s="5">
        <v>110597.0</v>
      </c>
      <c r="B867" s="6" t="s">
        <v>5</v>
      </c>
      <c r="C867" s="6" t="s">
        <v>98</v>
      </c>
      <c r="D867" s="6" t="s">
        <v>106</v>
      </c>
      <c r="E867" s="6">
        <v>13.77</v>
      </c>
    </row>
    <row r="868">
      <c r="A868" s="3">
        <v>7358.0</v>
      </c>
      <c r="B868" s="4" t="s">
        <v>5</v>
      </c>
      <c r="C868" s="4" t="s">
        <v>98</v>
      </c>
      <c r="D868" s="4" t="s">
        <v>106</v>
      </c>
      <c r="E868" s="4">
        <v>2.44</v>
      </c>
    </row>
    <row r="869">
      <c r="A869" s="5">
        <v>86583.0</v>
      </c>
      <c r="B869" s="6" t="s">
        <v>5</v>
      </c>
      <c r="C869" s="6" t="s">
        <v>98</v>
      </c>
      <c r="D869" s="6" t="s">
        <v>106</v>
      </c>
      <c r="E869" s="6">
        <v>2.02</v>
      </c>
    </row>
    <row r="870">
      <c r="A870" s="3">
        <v>98100.0</v>
      </c>
      <c r="B870" s="4" t="s">
        <v>5</v>
      </c>
      <c r="C870" s="4" t="s">
        <v>98</v>
      </c>
      <c r="D870" s="4" t="s">
        <v>107</v>
      </c>
      <c r="E870" s="4">
        <v>2.82</v>
      </c>
    </row>
    <row r="871">
      <c r="A871" s="5">
        <v>118154.0</v>
      </c>
      <c r="B871" s="6" t="s">
        <v>5</v>
      </c>
      <c r="C871" s="6" t="s">
        <v>98</v>
      </c>
      <c r="D871" s="6" t="s">
        <v>107</v>
      </c>
      <c r="E871" s="6">
        <v>2.01</v>
      </c>
    </row>
    <row r="872">
      <c r="A872" s="3">
        <v>42840.0</v>
      </c>
      <c r="B872" s="4" t="s">
        <v>5</v>
      </c>
      <c r="C872" s="4" t="s">
        <v>98</v>
      </c>
      <c r="D872" s="4" t="s">
        <v>107</v>
      </c>
      <c r="E872" s="4">
        <v>9.41</v>
      </c>
    </row>
    <row r="873">
      <c r="A873" s="5">
        <v>47175.0</v>
      </c>
      <c r="B873" s="6" t="s">
        <v>5</v>
      </c>
      <c r="C873" s="6" t="s">
        <v>98</v>
      </c>
      <c r="D873" s="6" t="s">
        <v>107</v>
      </c>
      <c r="E873" s="6">
        <v>7.47</v>
      </c>
    </row>
    <row r="874">
      <c r="A874" s="3">
        <v>112013.0</v>
      </c>
      <c r="B874" s="4" t="s">
        <v>5</v>
      </c>
      <c r="C874" s="4" t="s">
        <v>98</v>
      </c>
      <c r="D874" s="4" t="s">
        <v>107</v>
      </c>
      <c r="E874" s="4">
        <v>6.88</v>
      </c>
    </row>
    <row r="875">
      <c r="A875" s="5">
        <v>107953.0</v>
      </c>
      <c r="B875" s="6" t="s">
        <v>5</v>
      </c>
      <c r="C875" s="6" t="s">
        <v>98</v>
      </c>
      <c r="D875" s="6" t="s">
        <v>107</v>
      </c>
      <c r="E875" s="6">
        <v>4.46</v>
      </c>
    </row>
    <row r="876">
      <c r="A876" s="3">
        <v>44738.0</v>
      </c>
      <c r="B876" s="4" t="s">
        <v>5</v>
      </c>
      <c r="C876" s="4" t="s">
        <v>98</v>
      </c>
      <c r="D876" s="4" t="s">
        <v>107</v>
      </c>
      <c r="E876" s="4">
        <v>11.52</v>
      </c>
    </row>
    <row r="877">
      <c r="A877" s="5">
        <v>103386.0</v>
      </c>
      <c r="B877" s="6" t="s">
        <v>5</v>
      </c>
      <c r="C877" s="6" t="s">
        <v>98</v>
      </c>
      <c r="D877" s="6" t="s">
        <v>107</v>
      </c>
      <c r="E877" s="6">
        <v>13.17</v>
      </c>
    </row>
    <row r="878">
      <c r="A878" s="3">
        <v>86815.0</v>
      </c>
      <c r="B878" s="4" t="s">
        <v>5</v>
      </c>
      <c r="C878" s="4" t="s">
        <v>98</v>
      </c>
      <c r="D878" s="4" t="s">
        <v>107</v>
      </c>
      <c r="E878" s="4">
        <v>5.09</v>
      </c>
    </row>
    <row r="879">
      <c r="A879" s="5">
        <v>46953.0</v>
      </c>
      <c r="B879" s="6" t="s">
        <v>5</v>
      </c>
      <c r="C879" s="6" t="s">
        <v>98</v>
      </c>
      <c r="D879" s="6" t="s">
        <v>107</v>
      </c>
      <c r="E879" s="6">
        <v>8.09</v>
      </c>
    </row>
    <row r="880">
      <c r="A880" s="3">
        <v>108732.0</v>
      </c>
      <c r="B880" s="4" t="s">
        <v>5</v>
      </c>
      <c r="C880" s="4" t="s">
        <v>98</v>
      </c>
      <c r="D880" s="4" t="s">
        <v>107</v>
      </c>
      <c r="E880" s="4">
        <v>4.99</v>
      </c>
    </row>
    <row r="881">
      <c r="A881" s="5">
        <v>118227.0</v>
      </c>
      <c r="B881" s="6" t="s">
        <v>5</v>
      </c>
      <c r="C881" s="6" t="s">
        <v>98</v>
      </c>
      <c r="D881" s="6" t="s">
        <v>107</v>
      </c>
      <c r="E881" s="6">
        <v>6.43</v>
      </c>
    </row>
    <row r="882">
      <c r="A882" s="3">
        <v>122484.0</v>
      </c>
      <c r="B882" s="4" t="s">
        <v>5</v>
      </c>
      <c r="C882" s="4" t="s">
        <v>98</v>
      </c>
      <c r="D882" s="4" t="s">
        <v>107</v>
      </c>
      <c r="E882" s="4">
        <v>3.27</v>
      </c>
    </row>
    <row r="883">
      <c r="A883" s="5">
        <v>71326.0</v>
      </c>
      <c r="B883" s="6" t="s">
        <v>5</v>
      </c>
      <c r="C883" s="6" t="s">
        <v>98</v>
      </c>
      <c r="D883" s="6" t="s">
        <v>107</v>
      </c>
      <c r="E883" s="6">
        <v>13.17</v>
      </c>
    </row>
    <row r="884">
      <c r="A884" s="3">
        <v>110794.0</v>
      </c>
      <c r="B884" s="4" t="s">
        <v>5</v>
      </c>
      <c r="C884" s="4" t="s">
        <v>98</v>
      </c>
      <c r="D884" s="4" t="s">
        <v>107</v>
      </c>
      <c r="E884" s="4">
        <v>5.09</v>
      </c>
    </row>
    <row r="885">
      <c r="A885" s="5">
        <v>80066.0</v>
      </c>
      <c r="B885" s="6" t="s">
        <v>5</v>
      </c>
      <c r="C885" s="6" t="s">
        <v>98</v>
      </c>
      <c r="D885" s="6" t="s">
        <v>107</v>
      </c>
      <c r="E885" s="6">
        <v>11.37</v>
      </c>
    </row>
    <row r="886">
      <c r="A886" s="3">
        <v>106776.0</v>
      </c>
      <c r="B886" s="4" t="s">
        <v>5</v>
      </c>
      <c r="C886" s="4" t="s">
        <v>98</v>
      </c>
      <c r="D886" s="4" t="s">
        <v>107</v>
      </c>
      <c r="E886" s="4">
        <v>3.97</v>
      </c>
    </row>
    <row r="887">
      <c r="A887" s="5">
        <v>113608.0</v>
      </c>
      <c r="B887" s="6" t="s">
        <v>5</v>
      </c>
      <c r="C887" s="6" t="s">
        <v>98</v>
      </c>
      <c r="D887" s="6" t="s">
        <v>107</v>
      </c>
      <c r="E887" s="6">
        <v>9.41</v>
      </c>
    </row>
    <row r="888">
      <c r="A888" s="3">
        <v>116454.0</v>
      </c>
      <c r="B888" s="4" t="s">
        <v>5</v>
      </c>
      <c r="C888" s="4" t="s">
        <v>98</v>
      </c>
      <c r="D888" s="4" t="s">
        <v>107</v>
      </c>
      <c r="E888" s="4">
        <v>4.66</v>
      </c>
    </row>
    <row r="889">
      <c r="A889" s="5">
        <v>108724.0</v>
      </c>
      <c r="B889" s="6" t="s">
        <v>5</v>
      </c>
      <c r="C889" s="6" t="s">
        <v>98</v>
      </c>
      <c r="D889" s="6" t="s">
        <v>107</v>
      </c>
      <c r="E889" s="6">
        <v>4.84</v>
      </c>
    </row>
    <row r="890">
      <c r="A890" s="3">
        <v>118253.0</v>
      </c>
      <c r="B890" s="4" t="s">
        <v>5</v>
      </c>
      <c r="C890" s="4" t="s">
        <v>98</v>
      </c>
      <c r="D890" s="4" t="s">
        <v>107</v>
      </c>
      <c r="E890" s="4">
        <v>3.69</v>
      </c>
    </row>
    <row r="891">
      <c r="A891" s="5">
        <v>110567.0</v>
      </c>
      <c r="B891" s="6" t="s">
        <v>5</v>
      </c>
      <c r="C891" s="6" t="s">
        <v>98</v>
      </c>
      <c r="D891" s="6" t="s">
        <v>107</v>
      </c>
      <c r="E891" s="6">
        <v>9.95</v>
      </c>
    </row>
    <row r="892">
      <c r="A892" s="3">
        <v>122697.0</v>
      </c>
      <c r="B892" s="4" t="s">
        <v>5</v>
      </c>
      <c r="C892" s="4" t="s">
        <v>98</v>
      </c>
      <c r="D892" s="4" t="s">
        <v>107</v>
      </c>
      <c r="E892" s="4">
        <v>5.63</v>
      </c>
    </row>
    <row r="893">
      <c r="A893" s="5">
        <v>109190.0</v>
      </c>
      <c r="B893" s="6" t="s">
        <v>5</v>
      </c>
      <c r="C893" s="6" t="s">
        <v>98</v>
      </c>
      <c r="D893" s="6" t="s">
        <v>107</v>
      </c>
      <c r="E893" s="6">
        <v>3.02</v>
      </c>
    </row>
    <row r="894">
      <c r="A894" s="3">
        <v>109191.0</v>
      </c>
      <c r="B894" s="4" t="s">
        <v>5</v>
      </c>
      <c r="C894" s="4" t="s">
        <v>98</v>
      </c>
      <c r="D894" s="4" t="s">
        <v>107</v>
      </c>
      <c r="E894" s="4">
        <v>3.32</v>
      </c>
    </row>
    <row r="895">
      <c r="A895" s="5">
        <v>44759.0</v>
      </c>
      <c r="B895" s="6" t="s">
        <v>5</v>
      </c>
      <c r="C895" s="6" t="s">
        <v>98</v>
      </c>
      <c r="D895" s="6" t="s">
        <v>107</v>
      </c>
      <c r="E895" s="6">
        <v>3.63</v>
      </c>
    </row>
    <row r="896">
      <c r="A896" s="3">
        <v>109192.0</v>
      </c>
      <c r="B896" s="4" t="s">
        <v>5</v>
      </c>
      <c r="C896" s="4" t="s">
        <v>98</v>
      </c>
      <c r="D896" s="4" t="s">
        <v>107</v>
      </c>
      <c r="E896" s="4">
        <v>3.16</v>
      </c>
    </row>
    <row r="897">
      <c r="A897" s="5">
        <v>113605.0</v>
      </c>
      <c r="B897" s="6" t="s">
        <v>5</v>
      </c>
      <c r="C897" s="6" t="s">
        <v>98</v>
      </c>
      <c r="D897" s="6" t="s">
        <v>107</v>
      </c>
      <c r="E897" s="6">
        <v>6.49</v>
      </c>
    </row>
    <row r="898">
      <c r="A898" s="3">
        <v>147339.0</v>
      </c>
      <c r="B898" s="4" t="s">
        <v>5</v>
      </c>
      <c r="C898" s="4" t="s">
        <v>98</v>
      </c>
      <c r="D898" s="4" t="s">
        <v>107</v>
      </c>
      <c r="E898" s="4">
        <v>10.77</v>
      </c>
    </row>
    <row r="899">
      <c r="A899" s="5">
        <v>118068.0</v>
      </c>
      <c r="B899" s="6" t="s">
        <v>5</v>
      </c>
      <c r="C899" s="6" t="s">
        <v>98</v>
      </c>
      <c r="D899" s="6" t="s">
        <v>107</v>
      </c>
      <c r="E899" s="6">
        <v>6.2</v>
      </c>
    </row>
    <row r="900">
      <c r="A900" s="3">
        <v>44758.0</v>
      </c>
      <c r="B900" s="4" t="s">
        <v>5</v>
      </c>
      <c r="C900" s="4" t="s">
        <v>98</v>
      </c>
      <c r="D900" s="4" t="s">
        <v>107</v>
      </c>
      <c r="E900" s="4">
        <v>5.75</v>
      </c>
    </row>
    <row r="901">
      <c r="A901" s="5">
        <v>110579.0</v>
      </c>
      <c r="B901" s="6" t="s">
        <v>5</v>
      </c>
      <c r="C901" s="6" t="s">
        <v>98</v>
      </c>
      <c r="D901" s="6" t="s">
        <v>107</v>
      </c>
      <c r="E901" s="6">
        <v>8.37</v>
      </c>
    </row>
    <row r="902">
      <c r="A902" s="3">
        <v>116437.0</v>
      </c>
      <c r="B902" s="4" t="s">
        <v>5</v>
      </c>
      <c r="C902" s="4" t="s">
        <v>98</v>
      </c>
      <c r="D902" s="4" t="s">
        <v>107</v>
      </c>
      <c r="E902" s="4">
        <v>6.3</v>
      </c>
    </row>
    <row r="903">
      <c r="A903" s="5">
        <v>9519.0</v>
      </c>
      <c r="B903" s="6" t="s">
        <v>5</v>
      </c>
      <c r="C903" s="6" t="s">
        <v>98</v>
      </c>
      <c r="D903" s="6" t="s">
        <v>107</v>
      </c>
      <c r="E903" s="6">
        <v>9.02</v>
      </c>
    </row>
    <row r="904">
      <c r="A904" s="3">
        <v>147338.0</v>
      </c>
      <c r="B904" s="4" t="s">
        <v>5</v>
      </c>
      <c r="C904" s="4" t="s">
        <v>98</v>
      </c>
      <c r="D904" s="4" t="s">
        <v>107</v>
      </c>
      <c r="E904" s="4">
        <v>4.56</v>
      </c>
    </row>
    <row r="905">
      <c r="A905" s="5">
        <v>118250.0</v>
      </c>
      <c r="B905" s="6" t="s">
        <v>5</v>
      </c>
      <c r="C905" s="6" t="s">
        <v>98</v>
      </c>
      <c r="D905" s="6" t="s">
        <v>107</v>
      </c>
      <c r="E905" s="6">
        <v>3.69</v>
      </c>
    </row>
    <row r="906">
      <c r="A906" s="3">
        <v>20053.0</v>
      </c>
      <c r="B906" s="4" t="s">
        <v>5</v>
      </c>
      <c r="C906" s="4" t="s">
        <v>98</v>
      </c>
      <c r="D906" s="4" t="s">
        <v>107</v>
      </c>
      <c r="E906" s="4">
        <v>2.55</v>
      </c>
    </row>
    <row r="907">
      <c r="A907" s="5">
        <v>71321.0</v>
      </c>
      <c r="B907" s="6" t="s">
        <v>5</v>
      </c>
      <c r="C907" s="6" t="s">
        <v>98</v>
      </c>
      <c r="D907" s="6" t="s">
        <v>107</v>
      </c>
      <c r="E907" s="6">
        <v>10.3</v>
      </c>
    </row>
    <row r="908">
      <c r="A908" s="3">
        <v>79503.0</v>
      </c>
      <c r="B908" s="4" t="s">
        <v>5</v>
      </c>
      <c r="C908" s="4" t="s">
        <v>98</v>
      </c>
      <c r="D908" s="4" t="s">
        <v>107</v>
      </c>
      <c r="E908" s="4">
        <v>11.1</v>
      </c>
    </row>
    <row r="909">
      <c r="A909" s="5">
        <v>99270.0</v>
      </c>
      <c r="B909" s="6" t="s">
        <v>5</v>
      </c>
      <c r="C909" s="6" t="s">
        <v>98</v>
      </c>
      <c r="D909" s="6" t="s">
        <v>107</v>
      </c>
      <c r="E909" s="6">
        <v>4.19</v>
      </c>
    </row>
    <row r="910">
      <c r="A910" s="3">
        <v>112848.0</v>
      </c>
      <c r="B910" s="4" t="s">
        <v>5</v>
      </c>
      <c r="C910" s="4" t="s">
        <v>98</v>
      </c>
      <c r="D910" s="4" t="s">
        <v>107</v>
      </c>
      <c r="E910" s="4">
        <v>5.08</v>
      </c>
    </row>
    <row r="911">
      <c r="A911" s="5">
        <v>13369.0</v>
      </c>
      <c r="B911" s="6" t="s">
        <v>5</v>
      </c>
      <c r="C911" s="6" t="s">
        <v>98</v>
      </c>
      <c r="D911" s="6" t="s">
        <v>107</v>
      </c>
      <c r="E911" s="6">
        <v>4.38</v>
      </c>
    </row>
    <row r="912">
      <c r="A912" s="3">
        <v>147336.0</v>
      </c>
      <c r="B912" s="4" t="s">
        <v>5</v>
      </c>
      <c r="C912" s="4" t="s">
        <v>98</v>
      </c>
      <c r="D912" s="4" t="s">
        <v>107</v>
      </c>
      <c r="E912" s="4">
        <v>4.56</v>
      </c>
    </row>
    <row r="913">
      <c r="A913" s="5">
        <v>114899.0</v>
      </c>
      <c r="B913" s="6" t="s">
        <v>5</v>
      </c>
      <c r="C913" s="6" t="s">
        <v>98</v>
      </c>
      <c r="D913" s="6" t="s">
        <v>107</v>
      </c>
      <c r="E913" s="6">
        <v>4.6</v>
      </c>
    </row>
    <row r="914">
      <c r="A914" s="3">
        <v>113607.0</v>
      </c>
      <c r="B914" s="4" t="s">
        <v>5</v>
      </c>
      <c r="C914" s="4" t="s">
        <v>98</v>
      </c>
      <c r="D914" s="4" t="s">
        <v>107</v>
      </c>
      <c r="E914" s="4">
        <v>6.49</v>
      </c>
    </row>
    <row r="915">
      <c r="A915" s="5">
        <v>47183.0</v>
      </c>
      <c r="B915" s="6" t="s">
        <v>5</v>
      </c>
      <c r="C915" s="6" t="s">
        <v>98</v>
      </c>
      <c r="D915" s="6" t="s">
        <v>107</v>
      </c>
      <c r="E915" s="6">
        <v>3.97</v>
      </c>
    </row>
    <row r="916">
      <c r="A916" s="3">
        <v>78338.0</v>
      </c>
      <c r="B916" s="4" t="s">
        <v>5</v>
      </c>
      <c r="C916" s="4" t="s">
        <v>98</v>
      </c>
      <c r="D916" s="4" t="s">
        <v>107</v>
      </c>
      <c r="E916" s="4">
        <v>12.7</v>
      </c>
    </row>
    <row r="917">
      <c r="A917" s="5">
        <v>9526.0</v>
      </c>
      <c r="B917" s="6" t="s">
        <v>5</v>
      </c>
      <c r="C917" s="6" t="s">
        <v>98</v>
      </c>
      <c r="D917" s="6" t="s">
        <v>107</v>
      </c>
      <c r="E917" s="6">
        <v>10.24</v>
      </c>
    </row>
    <row r="918">
      <c r="A918" s="3">
        <v>107910.0</v>
      </c>
      <c r="B918" s="4" t="s">
        <v>5</v>
      </c>
      <c r="C918" s="4" t="s">
        <v>98</v>
      </c>
      <c r="D918" s="4" t="s">
        <v>107</v>
      </c>
      <c r="E918" s="4">
        <v>7.57</v>
      </c>
    </row>
    <row r="919">
      <c r="A919" s="5">
        <v>20056.0</v>
      </c>
      <c r="B919" s="6" t="s">
        <v>5</v>
      </c>
      <c r="C919" s="6" t="s">
        <v>98</v>
      </c>
      <c r="D919" s="6" t="s">
        <v>108</v>
      </c>
      <c r="E919" s="6">
        <v>1.78</v>
      </c>
    </row>
    <row r="920">
      <c r="A920" s="3">
        <v>108951.0</v>
      </c>
      <c r="B920" s="4" t="s">
        <v>5</v>
      </c>
      <c r="C920" s="4" t="s">
        <v>98</v>
      </c>
      <c r="D920" s="4" t="s">
        <v>108</v>
      </c>
      <c r="E920" s="4">
        <v>2.25</v>
      </c>
    </row>
    <row r="921">
      <c r="A921" s="5">
        <v>107783.0</v>
      </c>
      <c r="B921" s="6" t="s">
        <v>5</v>
      </c>
      <c r="C921" s="6" t="s">
        <v>98</v>
      </c>
      <c r="D921" s="6" t="s">
        <v>108</v>
      </c>
      <c r="E921" s="6">
        <v>1.69</v>
      </c>
    </row>
    <row r="922">
      <c r="A922" s="3">
        <v>80798.0</v>
      </c>
      <c r="B922" s="4" t="s">
        <v>5</v>
      </c>
      <c r="C922" s="4" t="s">
        <v>98</v>
      </c>
      <c r="D922" s="4" t="s">
        <v>108</v>
      </c>
      <c r="E922" s="4">
        <v>2.8</v>
      </c>
    </row>
    <row r="923">
      <c r="A923" s="5">
        <v>108950.0</v>
      </c>
      <c r="B923" s="6" t="s">
        <v>5</v>
      </c>
      <c r="C923" s="6" t="s">
        <v>98</v>
      </c>
      <c r="D923" s="6" t="s">
        <v>108</v>
      </c>
      <c r="E923" s="6">
        <v>4.06</v>
      </c>
    </row>
    <row r="924">
      <c r="A924" s="3">
        <v>112847.0</v>
      </c>
      <c r="B924" s="4" t="s">
        <v>5</v>
      </c>
      <c r="C924" s="4" t="s">
        <v>98</v>
      </c>
      <c r="D924" s="4" t="s">
        <v>108</v>
      </c>
      <c r="E924" s="4">
        <v>1.82</v>
      </c>
    </row>
    <row r="925">
      <c r="A925" s="5">
        <v>109202.0</v>
      </c>
      <c r="B925" s="6" t="s">
        <v>5</v>
      </c>
      <c r="C925" s="6" t="s">
        <v>98</v>
      </c>
      <c r="D925" s="6" t="s">
        <v>108</v>
      </c>
      <c r="E925" s="6">
        <v>2.26</v>
      </c>
    </row>
    <row r="926">
      <c r="A926" s="3">
        <v>109198.0</v>
      </c>
      <c r="B926" s="4" t="s">
        <v>5</v>
      </c>
      <c r="C926" s="4" t="s">
        <v>98</v>
      </c>
      <c r="D926" s="4" t="s">
        <v>108</v>
      </c>
      <c r="E926" s="4">
        <v>2.54</v>
      </c>
    </row>
    <row r="927">
      <c r="A927" s="5">
        <v>108990.0</v>
      </c>
      <c r="B927" s="6" t="s">
        <v>5</v>
      </c>
      <c r="C927" s="6" t="s">
        <v>98</v>
      </c>
      <c r="D927" s="6" t="s">
        <v>108</v>
      </c>
      <c r="E927" s="6">
        <v>2.96</v>
      </c>
    </row>
    <row r="928">
      <c r="A928" s="3">
        <v>72815.0</v>
      </c>
      <c r="B928" s="4" t="s">
        <v>5</v>
      </c>
      <c r="C928" s="4" t="s">
        <v>98</v>
      </c>
      <c r="D928" s="4" t="s">
        <v>108</v>
      </c>
      <c r="E928" s="4">
        <v>2.24</v>
      </c>
    </row>
    <row r="929">
      <c r="A929" s="5">
        <v>9479.0</v>
      </c>
      <c r="B929" s="6" t="s">
        <v>5</v>
      </c>
      <c r="C929" s="6" t="s">
        <v>98</v>
      </c>
      <c r="D929" s="6" t="s">
        <v>108</v>
      </c>
      <c r="E929" s="6">
        <v>1.54</v>
      </c>
    </row>
    <row r="930">
      <c r="A930" s="3">
        <v>46961.0</v>
      </c>
      <c r="B930" s="4" t="s">
        <v>5</v>
      </c>
      <c r="C930" s="4" t="s">
        <v>98</v>
      </c>
      <c r="D930" s="4" t="s">
        <v>108</v>
      </c>
      <c r="E930" s="4">
        <v>2.29</v>
      </c>
    </row>
    <row r="931">
      <c r="A931" s="5">
        <v>122352.0</v>
      </c>
      <c r="B931" s="6" t="s">
        <v>5</v>
      </c>
      <c r="C931" s="6" t="s">
        <v>98</v>
      </c>
      <c r="D931" s="6" t="s">
        <v>108</v>
      </c>
      <c r="E931" s="6">
        <v>2.22</v>
      </c>
    </row>
    <row r="932">
      <c r="A932" s="3">
        <v>44750.0</v>
      </c>
      <c r="B932" s="4" t="s">
        <v>5</v>
      </c>
      <c r="C932" s="4" t="s">
        <v>98</v>
      </c>
      <c r="D932" s="4" t="s">
        <v>108</v>
      </c>
      <c r="E932" s="4">
        <v>5.48</v>
      </c>
    </row>
    <row r="933">
      <c r="A933" s="5">
        <v>114405.0</v>
      </c>
      <c r="B933" s="6" t="s">
        <v>5</v>
      </c>
      <c r="C933" s="6" t="s">
        <v>98</v>
      </c>
      <c r="D933" s="6" t="s">
        <v>108</v>
      </c>
      <c r="E933" s="6">
        <v>1.71</v>
      </c>
    </row>
    <row r="934">
      <c r="A934" s="3">
        <v>2797.0</v>
      </c>
      <c r="B934" s="4" t="s">
        <v>5</v>
      </c>
      <c r="C934" s="4" t="s">
        <v>98</v>
      </c>
      <c r="D934" s="4" t="s">
        <v>108</v>
      </c>
      <c r="E934" s="4">
        <v>2.63</v>
      </c>
    </row>
    <row r="935">
      <c r="A935" s="5">
        <v>79499.0</v>
      </c>
      <c r="B935" s="6" t="s">
        <v>5</v>
      </c>
      <c r="C935" s="6" t="s">
        <v>98</v>
      </c>
      <c r="D935" s="6" t="s">
        <v>108</v>
      </c>
      <c r="E935" s="6">
        <v>1.71</v>
      </c>
    </row>
    <row r="936">
      <c r="A936" s="3">
        <v>5902.0</v>
      </c>
      <c r="B936" s="4" t="s">
        <v>5</v>
      </c>
      <c r="C936" s="4" t="s">
        <v>98</v>
      </c>
      <c r="D936" s="4" t="s">
        <v>108</v>
      </c>
      <c r="E936" s="4">
        <v>4.88</v>
      </c>
    </row>
    <row r="937">
      <c r="A937" s="5">
        <v>46956.0</v>
      </c>
      <c r="B937" s="6" t="s">
        <v>5</v>
      </c>
      <c r="C937" s="6" t="s">
        <v>98</v>
      </c>
      <c r="D937" s="6" t="s">
        <v>108</v>
      </c>
      <c r="E937" s="6">
        <v>1.7</v>
      </c>
    </row>
    <row r="938">
      <c r="A938" s="3">
        <v>11490.0</v>
      </c>
      <c r="B938" s="4" t="s">
        <v>5</v>
      </c>
      <c r="C938" s="4" t="s">
        <v>98</v>
      </c>
      <c r="D938" s="4" t="s">
        <v>108</v>
      </c>
      <c r="E938" s="4">
        <v>1.74</v>
      </c>
    </row>
    <row r="939">
      <c r="A939" s="5">
        <v>8027.0</v>
      </c>
      <c r="B939" s="6" t="s">
        <v>5</v>
      </c>
      <c r="C939" s="6" t="s">
        <v>98</v>
      </c>
      <c r="D939" s="6" t="s">
        <v>108</v>
      </c>
      <c r="E939" s="6">
        <v>2.69</v>
      </c>
    </row>
    <row r="940">
      <c r="A940" s="3">
        <v>121588.0</v>
      </c>
      <c r="B940" s="4" t="s">
        <v>5</v>
      </c>
      <c r="C940" s="4" t="s">
        <v>98</v>
      </c>
      <c r="D940" s="4" t="s">
        <v>108</v>
      </c>
      <c r="E940" s="4">
        <v>4.44</v>
      </c>
    </row>
    <row r="941">
      <c r="A941" s="5">
        <v>1279.0</v>
      </c>
      <c r="B941" s="6" t="s">
        <v>5</v>
      </c>
      <c r="C941" s="6" t="s">
        <v>98</v>
      </c>
      <c r="D941" s="6" t="s">
        <v>108</v>
      </c>
      <c r="E941" s="6">
        <v>1.69</v>
      </c>
    </row>
    <row r="942">
      <c r="A942" s="3">
        <v>5978.0</v>
      </c>
      <c r="B942" s="4" t="s">
        <v>5</v>
      </c>
      <c r="C942" s="4" t="s">
        <v>98</v>
      </c>
      <c r="D942" s="4" t="s">
        <v>108</v>
      </c>
      <c r="E942" s="4">
        <v>3.82</v>
      </c>
    </row>
    <row r="943">
      <c r="A943" s="5">
        <v>72813.0</v>
      </c>
      <c r="B943" s="6" t="s">
        <v>5</v>
      </c>
      <c r="C943" s="6" t="s">
        <v>98</v>
      </c>
      <c r="D943" s="6" t="s">
        <v>108</v>
      </c>
      <c r="E943" s="6">
        <v>2.23</v>
      </c>
    </row>
    <row r="944">
      <c r="A944" s="3">
        <v>9486.0</v>
      </c>
      <c r="B944" s="4" t="s">
        <v>5</v>
      </c>
      <c r="C944" s="4" t="s">
        <v>98</v>
      </c>
      <c r="D944" s="4" t="s">
        <v>108</v>
      </c>
      <c r="E944" s="4">
        <v>14.35</v>
      </c>
    </row>
    <row r="945">
      <c r="A945" s="5">
        <v>2791.0</v>
      </c>
      <c r="B945" s="6" t="s">
        <v>5</v>
      </c>
      <c r="C945" s="6" t="s">
        <v>98</v>
      </c>
      <c r="D945" s="6" t="s">
        <v>108</v>
      </c>
      <c r="E945" s="6">
        <v>2.2</v>
      </c>
    </row>
    <row r="946">
      <c r="A946" s="3">
        <v>109206.0</v>
      </c>
      <c r="B946" s="4" t="s">
        <v>5</v>
      </c>
      <c r="C946" s="4" t="s">
        <v>98</v>
      </c>
      <c r="D946" s="4" t="s">
        <v>108</v>
      </c>
      <c r="E946" s="4">
        <v>2.5</v>
      </c>
    </row>
    <row r="947">
      <c r="A947" s="5">
        <v>9478.0</v>
      </c>
      <c r="B947" s="6" t="s">
        <v>5</v>
      </c>
      <c r="C947" s="6" t="s">
        <v>98</v>
      </c>
      <c r="D947" s="6" t="s">
        <v>108</v>
      </c>
      <c r="E947" s="6">
        <v>3.06</v>
      </c>
    </row>
    <row r="948">
      <c r="A948" s="3">
        <v>122699.0</v>
      </c>
      <c r="B948" s="4" t="s">
        <v>5</v>
      </c>
      <c r="C948" s="4" t="s">
        <v>98</v>
      </c>
      <c r="D948" s="4" t="s">
        <v>108</v>
      </c>
      <c r="E948" s="4">
        <v>3.69</v>
      </c>
    </row>
    <row r="949">
      <c r="A949" s="5">
        <v>2794.0</v>
      </c>
      <c r="B949" s="6" t="s">
        <v>5</v>
      </c>
      <c r="C949" s="6" t="s">
        <v>98</v>
      </c>
      <c r="D949" s="6" t="s">
        <v>108</v>
      </c>
      <c r="E949" s="6">
        <v>2.12</v>
      </c>
    </row>
    <row r="950">
      <c r="A950" s="3">
        <v>109200.0</v>
      </c>
      <c r="B950" s="4" t="s">
        <v>5</v>
      </c>
      <c r="C950" s="4" t="s">
        <v>98</v>
      </c>
      <c r="D950" s="4" t="s">
        <v>108</v>
      </c>
      <c r="E950" s="4">
        <v>2.08</v>
      </c>
    </row>
    <row r="951">
      <c r="A951" s="5">
        <v>118263.0</v>
      </c>
      <c r="B951" s="6" t="s">
        <v>5</v>
      </c>
      <c r="C951" s="6" t="s">
        <v>98</v>
      </c>
      <c r="D951" s="6" t="s">
        <v>108</v>
      </c>
      <c r="E951" s="6">
        <v>1.23</v>
      </c>
    </row>
    <row r="952">
      <c r="A952" s="3">
        <v>71320.0</v>
      </c>
      <c r="B952" s="4" t="s">
        <v>5</v>
      </c>
      <c r="C952" s="4" t="s">
        <v>98</v>
      </c>
      <c r="D952" s="4" t="s">
        <v>108</v>
      </c>
      <c r="E952" s="4">
        <v>13.17</v>
      </c>
    </row>
    <row r="953">
      <c r="A953" s="5">
        <v>108944.0</v>
      </c>
      <c r="B953" s="6" t="s">
        <v>5</v>
      </c>
      <c r="C953" s="6" t="s">
        <v>98</v>
      </c>
      <c r="D953" s="6" t="s">
        <v>108</v>
      </c>
      <c r="E953" s="6">
        <v>3.43</v>
      </c>
    </row>
    <row r="954">
      <c r="A954" s="3">
        <v>122693.0</v>
      </c>
      <c r="B954" s="4" t="s">
        <v>5</v>
      </c>
      <c r="C954" s="4" t="s">
        <v>98</v>
      </c>
      <c r="D954" s="4" t="s">
        <v>108</v>
      </c>
      <c r="E954" s="4">
        <v>2.79</v>
      </c>
    </row>
    <row r="955">
      <c r="A955" s="5">
        <v>20049.0</v>
      </c>
      <c r="B955" s="6" t="s">
        <v>5</v>
      </c>
      <c r="C955" s="6" t="s">
        <v>98</v>
      </c>
      <c r="D955" s="6" t="s">
        <v>108</v>
      </c>
      <c r="E955" s="6">
        <v>2.02</v>
      </c>
    </row>
    <row r="956">
      <c r="A956" s="3">
        <v>20055.0</v>
      </c>
      <c r="B956" s="4" t="s">
        <v>5</v>
      </c>
      <c r="C956" s="4" t="s">
        <v>98</v>
      </c>
      <c r="D956" s="4" t="s">
        <v>108</v>
      </c>
      <c r="E956" s="4">
        <v>1.52</v>
      </c>
    </row>
    <row r="957">
      <c r="A957" s="5">
        <v>112845.0</v>
      </c>
      <c r="B957" s="6" t="s">
        <v>5</v>
      </c>
      <c r="C957" s="6" t="s">
        <v>98</v>
      </c>
      <c r="D957" s="6" t="s">
        <v>108</v>
      </c>
      <c r="E957" s="6">
        <v>2.1</v>
      </c>
    </row>
    <row r="958">
      <c r="A958" s="3">
        <v>9490.0</v>
      </c>
      <c r="B958" s="4" t="s">
        <v>5</v>
      </c>
      <c r="C958" s="4" t="s">
        <v>98</v>
      </c>
      <c r="D958" s="4" t="s">
        <v>108</v>
      </c>
      <c r="E958" s="4">
        <v>1.56</v>
      </c>
    </row>
    <row r="959">
      <c r="A959" s="5">
        <v>105034.0</v>
      </c>
      <c r="B959" s="6" t="s">
        <v>5</v>
      </c>
      <c r="C959" s="6" t="s">
        <v>98</v>
      </c>
      <c r="D959" s="6" t="s">
        <v>108</v>
      </c>
      <c r="E959" s="6">
        <v>2.37</v>
      </c>
    </row>
    <row r="960">
      <c r="A960" s="3">
        <v>122680.0</v>
      </c>
      <c r="B960" s="4" t="s">
        <v>5</v>
      </c>
      <c r="C960" s="4" t="s">
        <v>98</v>
      </c>
      <c r="D960" s="4" t="s">
        <v>108</v>
      </c>
      <c r="E960" s="4">
        <v>2.56</v>
      </c>
    </row>
    <row r="961">
      <c r="A961" s="5">
        <v>112846.0</v>
      </c>
      <c r="B961" s="6" t="s">
        <v>5</v>
      </c>
      <c r="C961" s="6" t="s">
        <v>98</v>
      </c>
      <c r="D961" s="6" t="s">
        <v>108</v>
      </c>
      <c r="E961" s="6">
        <v>1.82</v>
      </c>
    </row>
    <row r="962">
      <c r="A962" s="3">
        <v>80816.0</v>
      </c>
      <c r="B962" s="4" t="s">
        <v>5</v>
      </c>
      <c r="C962" s="4" t="s">
        <v>98</v>
      </c>
      <c r="D962" s="4" t="s">
        <v>108</v>
      </c>
      <c r="E962" s="4">
        <v>1.91</v>
      </c>
    </row>
    <row r="963">
      <c r="A963" s="5">
        <v>44749.0</v>
      </c>
      <c r="B963" s="6" t="s">
        <v>5</v>
      </c>
      <c r="C963" s="6" t="s">
        <v>98</v>
      </c>
      <c r="D963" s="6" t="s">
        <v>108</v>
      </c>
      <c r="E963" s="6">
        <v>3.94</v>
      </c>
    </row>
    <row r="964">
      <c r="A964" s="3">
        <v>79498.0</v>
      </c>
      <c r="B964" s="4" t="s">
        <v>5</v>
      </c>
      <c r="C964" s="4" t="s">
        <v>98</v>
      </c>
      <c r="D964" s="4" t="s">
        <v>108</v>
      </c>
      <c r="E964" s="4">
        <v>5.1</v>
      </c>
    </row>
    <row r="965">
      <c r="A965" s="5">
        <v>2799.0</v>
      </c>
      <c r="B965" s="6" t="s">
        <v>5</v>
      </c>
      <c r="C965" s="6" t="s">
        <v>98</v>
      </c>
      <c r="D965" s="6" t="s">
        <v>108</v>
      </c>
      <c r="E965" s="6">
        <v>4.87</v>
      </c>
    </row>
    <row r="966">
      <c r="A966" s="3">
        <v>194401.0</v>
      </c>
      <c r="B966" s="4" t="s">
        <v>5</v>
      </c>
      <c r="C966" s="4" t="s">
        <v>98</v>
      </c>
      <c r="D966" s="4" t="s">
        <v>108</v>
      </c>
      <c r="E966" s="4">
        <v>2.35</v>
      </c>
    </row>
    <row r="967">
      <c r="A967" s="5">
        <v>5291.0</v>
      </c>
      <c r="B967" s="6" t="s">
        <v>5</v>
      </c>
      <c r="C967" s="6" t="s">
        <v>98</v>
      </c>
      <c r="D967" s="6" t="s">
        <v>108</v>
      </c>
      <c r="E967" s="6">
        <v>2.17</v>
      </c>
    </row>
    <row r="968">
      <c r="A968" s="3">
        <v>2796.0</v>
      </c>
      <c r="B968" s="4" t="s">
        <v>5</v>
      </c>
      <c r="C968" s="4" t="s">
        <v>98</v>
      </c>
      <c r="D968" s="4" t="s">
        <v>108</v>
      </c>
      <c r="E968" s="4">
        <v>2.8</v>
      </c>
    </row>
    <row r="969">
      <c r="A969" s="5">
        <v>71325.0</v>
      </c>
      <c r="B969" s="6" t="s">
        <v>5</v>
      </c>
      <c r="C969" s="6" t="s">
        <v>98</v>
      </c>
      <c r="D969" s="6" t="s">
        <v>108</v>
      </c>
      <c r="E969" s="6">
        <v>11.38</v>
      </c>
    </row>
    <row r="970">
      <c r="A970" s="3">
        <v>2793.0</v>
      </c>
      <c r="B970" s="4" t="s">
        <v>5</v>
      </c>
      <c r="C970" s="4" t="s">
        <v>98</v>
      </c>
      <c r="D970" s="4" t="s">
        <v>108</v>
      </c>
      <c r="E970" s="4">
        <v>2.56</v>
      </c>
    </row>
    <row r="971">
      <c r="A971" s="5">
        <v>102781.0</v>
      </c>
      <c r="B971" s="6" t="s">
        <v>5</v>
      </c>
      <c r="C971" s="6" t="s">
        <v>98</v>
      </c>
      <c r="D971" s="6" t="s">
        <v>108</v>
      </c>
      <c r="E971" s="6">
        <v>2.99</v>
      </c>
    </row>
    <row r="972">
      <c r="A972" s="3">
        <v>109201.0</v>
      </c>
      <c r="B972" s="4" t="s">
        <v>5</v>
      </c>
      <c r="C972" s="4" t="s">
        <v>98</v>
      </c>
      <c r="D972" s="4" t="s">
        <v>108</v>
      </c>
      <c r="E972" s="4">
        <v>2.26</v>
      </c>
    </row>
    <row r="973">
      <c r="A973" s="5">
        <v>72814.0</v>
      </c>
      <c r="B973" s="6" t="s">
        <v>5</v>
      </c>
      <c r="C973" s="6" t="s">
        <v>98</v>
      </c>
      <c r="D973" s="6" t="s">
        <v>108</v>
      </c>
      <c r="E973" s="6">
        <v>2.29</v>
      </c>
    </row>
    <row r="974">
      <c r="A974" s="3">
        <v>122351.0</v>
      </c>
      <c r="B974" s="4" t="s">
        <v>5</v>
      </c>
      <c r="C974" s="4" t="s">
        <v>98</v>
      </c>
      <c r="D974" s="4" t="s">
        <v>108</v>
      </c>
      <c r="E974" s="4">
        <v>2.42</v>
      </c>
    </row>
    <row r="975">
      <c r="A975" s="5">
        <v>99298.0</v>
      </c>
      <c r="B975" s="6" t="s">
        <v>5</v>
      </c>
      <c r="C975" s="6" t="s">
        <v>98</v>
      </c>
      <c r="D975" s="6" t="s">
        <v>108</v>
      </c>
      <c r="E975" s="6">
        <v>4.97</v>
      </c>
    </row>
    <row r="976">
      <c r="A976" s="3">
        <v>3731.0</v>
      </c>
      <c r="B976" s="4" t="s">
        <v>5</v>
      </c>
      <c r="C976" s="4" t="s">
        <v>98</v>
      </c>
      <c r="D976" s="4" t="s">
        <v>108</v>
      </c>
      <c r="E976" s="4">
        <v>1.69</v>
      </c>
    </row>
    <row r="977">
      <c r="A977" s="5">
        <v>11489.0</v>
      </c>
      <c r="B977" s="6" t="s">
        <v>5</v>
      </c>
      <c r="C977" s="6" t="s">
        <v>98</v>
      </c>
      <c r="D977" s="6" t="s">
        <v>108</v>
      </c>
      <c r="E977" s="6">
        <v>1.74</v>
      </c>
    </row>
    <row r="978">
      <c r="A978" s="3">
        <v>122302.0</v>
      </c>
      <c r="B978" s="4" t="s">
        <v>5</v>
      </c>
      <c r="C978" s="4" t="s">
        <v>98</v>
      </c>
      <c r="D978" s="4" t="s">
        <v>108</v>
      </c>
      <c r="E978" s="4">
        <v>10.62</v>
      </c>
    </row>
    <row r="979">
      <c r="A979" s="5">
        <v>28838.0</v>
      </c>
      <c r="B979" s="6" t="s">
        <v>5</v>
      </c>
      <c r="C979" s="6" t="s">
        <v>98</v>
      </c>
      <c r="D979" s="6" t="s">
        <v>108</v>
      </c>
      <c r="E979" s="6">
        <v>5.16</v>
      </c>
    </row>
    <row r="980">
      <c r="A980" s="3">
        <v>72843.0</v>
      </c>
      <c r="B980" s="4" t="s">
        <v>5</v>
      </c>
      <c r="C980" s="4" t="s">
        <v>98</v>
      </c>
      <c r="D980" s="4" t="s">
        <v>108</v>
      </c>
      <c r="E980" s="4">
        <v>3.25</v>
      </c>
    </row>
    <row r="981">
      <c r="A981" s="5">
        <v>80809.0</v>
      </c>
      <c r="B981" s="6" t="s">
        <v>5</v>
      </c>
      <c r="C981" s="6" t="s">
        <v>98</v>
      </c>
      <c r="D981" s="6" t="s">
        <v>108</v>
      </c>
      <c r="E981" s="6">
        <v>1.25</v>
      </c>
    </row>
    <row r="982">
      <c r="A982" s="3">
        <v>127006.0</v>
      </c>
      <c r="B982" s="4" t="s">
        <v>73</v>
      </c>
      <c r="C982" s="4" t="s">
        <v>109</v>
      </c>
      <c r="D982" s="4" t="s">
        <v>110</v>
      </c>
      <c r="E982" s="4">
        <v>3.45</v>
      </c>
    </row>
    <row r="983">
      <c r="A983" s="5">
        <v>82448.0</v>
      </c>
      <c r="B983" s="6" t="s">
        <v>73</v>
      </c>
      <c r="C983" s="6" t="s">
        <v>109</v>
      </c>
      <c r="D983" s="6" t="s">
        <v>110</v>
      </c>
      <c r="E983" s="6">
        <v>3.26</v>
      </c>
    </row>
    <row r="984">
      <c r="A984" s="3">
        <v>13028.0</v>
      </c>
      <c r="B984" s="4" t="s">
        <v>73</v>
      </c>
      <c r="C984" s="4" t="s">
        <v>109</v>
      </c>
      <c r="D984" s="4" t="s">
        <v>110</v>
      </c>
      <c r="E984" s="4">
        <v>5.23</v>
      </c>
    </row>
    <row r="985">
      <c r="A985" s="5">
        <v>118577.0</v>
      </c>
      <c r="B985" s="6" t="s">
        <v>73</v>
      </c>
      <c r="C985" s="6" t="s">
        <v>109</v>
      </c>
      <c r="D985" s="6" t="s">
        <v>111</v>
      </c>
      <c r="E985" s="6">
        <v>3.91</v>
      </c>
    </row>
    <row r="986">
      <c r="A986" s="3">
        <v>117890.0</v>
      </c>
      <c r="B986" s="4" t="s">
        <v>73</v>
      </c>
      <c r="C986" s="4" t="s">
        <v>109</v>
      </c>
      <c r="D986" s="4" t="s">
        <v>111</v>
      </c>
      <c r="E986" s="4">
        <v>4.92</v>
      </c>
    </row>
    <row r="987">
      <c r="A987" s="5">
        <v>118617.0</v>
      </c>
      <c r="B987" s="6" t="s">
        <v>73</v>
      </c>
      <c r="C987" s="6" t="s">
        <v>109</v>
      </c>
      <c r="D987" s="6" t="s">
        <v>111</v>
      </c>
      <c r="E987" s="6">
        <v>3.91</v>
      </c>
    </row>
    <row r="988">
      <c r="A988" s="3">
        <v>109995.0</v>
      </c>
      <c r="B988" s="4" t="s">
        <v>73</v>
      </c>
      <c r="C988" s="4" t="s">
        <v>109</v>
      </c>
      <c r="D988" s="4" t="s">
        <v>112</v>
      </c>
      <c r="E988" s="4">
        <v>5.68</v>
      </c>
    </row>
    <row r="989">
      <c r="A989" s="5">
        <v>109996.0</v>
      </c>
      <c r="B989" s="6" t="s">
        <v>73</v>
      </c>
      <c r="C989" s="6" t="s">
        <v>109</v>
      </c>
      <c r="D989" s="6" t="s">
        <v>112</v>
      </c>
      <c r="E989" s="6">
        <v>5.93</v>
      </c>
    </row>
    <row r="990">
      <c r="A990" s="3">
        <v>49107.0</v>
      </c>
      <c r="B990" s="4" t="s">
        <v>73</v>
      </c>
      <c r="C990" s="4" t="s">
        <v>113</v>
      </c>
      <c r="D990" s="4" t="s">
        <v>114</v>
      </c>
      <c r="E990" s="4">
        <v>3.38</v>
      </c>
    </row>
    <row r="991">
      <c r="A991" s="5">
        <v>29585.0</v>
      </c>
      <c r="B991" s="6" t="s">
        <v>73</v>
      </c>
      <c r="C991" s="6" t="s">
        <v>113</v>
      </c>
      <c r="D991" s="6" t="s">
        <v>114</v>
      </c>
      <c r="E991" s="6">
        <v>4.0</v>
      </c>
    </row>
    <row r="992">
      <c r="A992" s="3">
        <v>111677.0</v>
      </c>
      <c r="B992" s="4" t="s">
        <v>73</v>
      </c>
      <c r="C992" s="4" t="s">
        <v>113</v>
      </c>
      <c r="D992" s="4" t="s">
        <v>114</v>
      </c>
      <c r="E992" s="4">
        <v>11.59</v>
      </c>
    </row>
    <row r="993">
      <c r="A993" s="5">
        <v>93102.0</v>
      </c>
      <c r="B993" s="6" t="s">
        <v>73</v>
      </c>
      <c r="C993" s="6" t="s">
        <v>113</v>
      </c>
      <c r="D993" s="6" t="s">
        <v>114</v>
      </c>
      <c r="E993" s="6">
        <v>3.88</v>
      </c>
    </row>
    <row r="994">
      <c r="A994" s="3">
        <v>30712.0</v>
      </c>
      <c r="B994" s="4" t="s">
        <v>73</v>
      </c>
      <c r="C994" s="4" t="s">
        <v>113</v>
      </c>
      <c r="D994" s="4" t="s">
        <v>114</v>
      </c>
      <c r="E994" s="4">
        <v>4.31</v>
      </c>
    </row>
    <row r="995">
      <c r="A995" s="5">
        <v>89128.0</v>
      </c>
      <c r="B995" s="6" t="s">
        <v>73</v>
      </c>
      <c r="C995" s="6" t="s">
        <v>113</v>
      </c>
      <c r="D995" s="6" t="s">
        <v>114</v>
      </c>
      <c r="E995" s="6">
        <v>3.01</v>
      </c>
    </row>
    <row r="996">
      <c r="A996" s="3">
        <v>29587.0</v>
      </c>
      <c r="B996" s="4" t="s">
        <v>73</v>
      </c>
      <c r="C996" s="4" t="s">
        <v>113</v>
      </c>
      <c r="D996" s="4" t="s">
        <v>114</v>
      </c>
      <c r="E996" s="4">
        <v>4.0</v>
      </c>
    </row>
    <row r="997">
      <c r="A997" s="5">
        <v>30711.0</v>
      </c>
      <c r="B997" s="6" t="s">
        <v>73</v>
      </c>
      <c r="C997" s="6" t="s">
        <v>113</v>
      </c>
      <c r="D997" s="6" t="s">
        <v>114</v>
      </c>
      <c r="E997" s="6">
        <v>4.31</v>
      </c>
    </row>
    <row r="998">
      <c r="A998" s="3">
        <v>45306.0</v>
      </c>
      <c r="B998" s="4" t="s">
        <v>73</v>
      </c>
      <c r="C998" s="4" t="s">
        <v>113</v>
      </c>
      <c r="D998" s="4" t="s">
        <v>114</v>
      </c>
      <c r="E998" s="4">
        <v>5.83</v>
      </c>
    </row>
    <row r="999">
      <c r="A999" s="5">
        <v>120803.0</v>
      </c>
      <c r="B999" s="6" t="s">
        <v>73</v>
      </c>
      <c r="C999" s="6" t="s">
        <v>113</v>
      </c>
      <c r="D999" s="6" t="s">
        <v>114</v>
      </c>
      <c r="E999" s="6">
        <v>6.87</v>
      </c>
    </row>
    <row r="1000">
      <c r="A1000" s="3">
        <v>108004.0</v>
      </c>
      <c r="B1000" s="4" t="s">
        <v>73</v>
      </c>
      <c r="C1000" s="4" t="s">
        <v>113</v>
      </c>
      <c r="D1000" s="4" t="s">
        <v>114</v>
      </c>
      <c r="E1000" s="4">
        <v>4.96</v>
      </c>
    </row>
    <row r="1001">
      <c r="A1001" s="5">
        <v>92205.0</v>
      </c>
      <c r="B1001" s="6" t="s">
        <v>73</v>
      </c>
      <c r="C1001" s="6" t="s">
        <v>113</v>
      </c>
      <c r="D1001" s="6" t="s">
        <v>114</v>
      </c>
      <c r="E1001" s="6">
        <v>10.41</v>
      </c>
    </row>
    <row r="1002">
      <c r="A1002" s="3">
        <v>119509.0</v>
      </c>
      <c r="B1002" s="4" t="s">
        <v>73</v>
      </c>
      <c r="C1002" s="4" t="s">
        <v>113</v>
      </c>
      <c r="D1002" s="4" t="s">
        <v>114</v>
      </c>
      <c r="E1002" s="4">
        <v>13.31</v>
      </c>
    </row>
    <row r="1003">
      <c r="A1003" s="5">
        <v>109056.0</v>
      </c>
      <c r="B1003" s="6" t="s">
        <v>73</v>
      </c>
      <c r="C1003" s="6" t="s">
        <v>113</v>
      </c>
      <c r="D1003" s="6" t="s">
        <v>114</v>
      </c>
      <c r="E1003" s="6">
        <v>5.83</v>
      </c>
    </row>
    <row r="1004">
      <c r="A1004" s="3">
        <v>45305.0</v>
      </c>
      <c r="B1004" s="4" t="s">
        <v>73</v>
      </c>
      <c r="C1004" s="4" t="s">
        <v>113</v>
      </c>
      <c r="D1004" s="4" t="s">
        <v>114</v>
      </c>
      <c r="E1004" s="4">
        <v>5.83</v>
      </c>
    </row>
    <row r="1005">
      <c r="A1005" s="5">
        <v>29582.0</v>
      </c>
      <c r="B1005" s="6" t="s">
        <v>73</v>
      </c>
      <c r="C1005" s="6" t="s">
        <v>113</v>
      </c>
      <c r="D1005" s="6" t="s">
        <v>114</v>
      </c>
      <c r="E1005" s="6">
        <v>3.99</v>
      </c>
    </row>
    <row r="1006">
      <c r="A1006" s="3">
        <v>111676.0</v>
      </c>
      <c r="B1006" s="4" t="s">
        <v>73</v>
      </c>
      <c r="C1006" s="4" t="s">
        <v>113</v>
      </c>
      <c r="D1006" s="4" t="s">
        <v>114</v>
      </c>
      <c r="E1006" s="4">
        <v>11.59</v>
      </c>
    </row>
    <row r="1007">
      <c r="A1007" s="5">
        <v>30578.0</v>
      </c>
      <c r="B1007" s="6" t="s">
        <v>73</v>
      </c>
      <c r="C1007" s="6" t="s">
        <v>113</v>
      </c>
      <c r="D1007" s="6" t="s">
        <v>114</v>
      </c>
      <c r="E1007" s="6">
        <v>12.07</v>
      </c>
    </row>
    <row r="1008">
      <c r="A1008" s="3">
        <v>93095.0</v>
      </c>
      <c r="B1008" s="4" t="s">
        <v>73</v>
      </c>
      <c r="C1008" s="4" t="s">
        <v>113</v>
      </c>
      <c r="D1008" s="4" t="s">
        <v>114</v>
      </c>
      <c r="E1008" s="4">
        <v>3.99</v>
      </c>
    </row>
    <row r="1009">
      <c r="A1009" s="5">
        <v>70036.0</v>
      </c>
      <c r="B1009" s="6" t="s">
        <v>73</v>
      </c>
      <c r="C1009" s="6" t="s">
        <v>113</v>
      </c>
      <c r="D1009" s="6" t="s">
        <v>114</v>
      </c>
      <c r="E1009" s="6">
        <v>4.0</v>
      </c>
    </row>
    <row r="1010">
      <c r="A1010" s="3">
        <v>90498.0</v>
      </c>
      <c r="B1010" s="4" t="s">
        <v>73</v>
      </c>
      <c r="C1010" s="4" t="s">
        <v>113</v>
      </c>
      <c r="D1010" s="4" t="s">
        <v>114</v>
      </c>
      <c r="E1010" s="4">
        <v>16.97</v>
      </c>
    </row>
    <row r="1011">
      <c r="A1011" s="5">
        <v>89127.0</v>
      </c>
      <c r="B1011" s="6" t="s">
        <v>73</v>
      </c>
      <c r="C1011" s="6" t="s">
        <v>113</v>
      </c>
      <c r="D1011" s="6" t="s">
        <v>114</v>
      </c>
      <c r="E1011" s="6">
        <v>3.01</v>
      </c>
    </row>
    <row r="1012">
      <c r="A1012" s="3">
        <v>75215.0</v>
      </c>
      <c r="B1012" s="4" t="s">
        <v>73</v>
      </c>
      <c r="C1012" s="4" t="s">
        <v>113</v>
      </c>
      <c r="D1012" s="4" t="s">
        <v>114</v>
      </c>
      <c r="E1012" s="4">
        <v>8.87</v>
      </c>
    </row>
    <row r="1013">
      <c r="A1013" s="5">
        <v>119566.0</v>
      </c>
      <c r="B1013" s="6" t="s">
        <v>73</v>
      </c>
      <c r="C1013" s="6" t="s">
        <v>113</v>
      </c>
      <c r="D1013" s="6" t="s">
        <v>114</v>
      </c>
      <c r="E1013" s="6">
        <v>12.87</v>
      </c>
    </row>
    <row r="1014">
      <c r="A1014" s="3">
        <v>92208.0</v>
      </c>
      <c r="B1014" s="4" t="s">
        <v>73</v>
      </c>
      <c r="C1014" s="4" t="s">
        <v>113</v>
      </c>
      <c r="D1014" s="4" t="s">
        <v>114</v>
      </c>
      <c r="E1014" s="4">
        <v>10.41</v>
      </c>
    </row>
    <row r="1015">
      <c r="A1015" s="5">
        <v>119579.0</v>
      </c>
      <c r="B1015" s="6" t="s">
        <v>73</v>
      </c>
      <c r="C1015" s="6" t="s">
        <v>113</v>
      </c>
      <c r="D1015" s="6" t="s">
        <v>114</v>
      </c>
      <c r="E1015" s="6">
        <v>7.08</v>
      </c>
    </row>
    <row r="1016">
      <c r="A1016" s="3">
        <v>45309.0</v>
      </c>
      <c r="B1016" s="4" t="s">
        <v>73</v>
      </c>
      <c r="C1016" s="4" t="s">
        <v>113</v>
      </c>
      <c r="D1016" s="4" t="s">
        <v>114</v>
      </c>
      <c r="E1016" s="4">
        <v>6.39</v>
      </c>
    </row>
    <row r="1017">
      <c r="A1017" s="5">
        <v>30743.0</v>
      </c>
      <c r="B1017" s="6" t="s">
        <v>73</v>
      </c>
      <c r="C1017" s="6" t="s">
        <v>113</v>
      </c>
      <c r="D1017" s="6" t="s">
        <v>114</v>
      </c>
      <c r="E1017" s="6">
        <v>5.58</v>
      </c>
    </row>
    <row r="1018">
      <c r="A1018" s="3">
        <v>49108.0</v>
      </c>
      <c r="B1018" s="4" t="s">
        <v>73</v>
      </c>
      <c r="C1018" s="4" t="s">
        <v>113</v>
      </c>
      <c r="D1018" s="4" t="s">
        <v>114</v>
      </c>
      <c r="E1018" s="4">
        <v>3.38</v>
      </c>
    </row>
    <row r="1019">
      <c r="A1019" s="5">
        <v>29584.0</v>
      </c>
      <c r="B1019" s="6" t="s">
        <v>73</v>
      </c>
      <c r="C1019" s="6" t="s">
        <v>113</v>
      </c>
      <c r="D1019" s="6" t="s">
        <v>114</v>
      </c>
      <c r="E1019" s="6">
        <v>4.0</v>
      </c>
    </row>
    <row r="1020">
      <c r="A1020" s="3">
        <v>119501.0</v>
      </c>
      <c r="B1020" s="4" t="s">
        <v>73</v>
      </c>
      <c r="C1020" s="4" t="s">
        <v>113</v>
      </c>
      <c r="D1020" s="4" t="s">
        <v>114</v>
      </c>
      <c r="E1020" s="4">
        <v>11.53</v>
      </c>
    </row>
    <row r="1021">
      <c r="A1021" s="5">
        <v>30504.0</v>
      </c>
      <c r="B1021" s="6" t="s">
        <v>73</v>
      </c>
      <c r="C1021" s="6" t="s">
        <v>113</v>
      </c>
      <c r="D1021" s="6" t="s">
        <v>114</v>
      </c>
      <c r="E1021" s="6">
        <v>10.62</v>
      </c>
    </row>
    <row r="1022">
      <c r="A1022" s="3">
        <v>93101.0</v>
      </c>
      <c r="B1022" s="4" t="s">
        <v>73</v>
      </c>
      <c r="C1022" s="4" t="s">
        <v>113</v>
      </c>
      <c r="D1022" s="4" t="s">
        <v>114</v>
      </c>
      <c r="E1022" s="4">
        <v>3.88</v>
      </c>
    </row>
    <row r="1023">
      <c r="A1023" s="5">
        <v>30749.0</v>
      </c>
      <c r="B1023" s="6" t="s">
        <v>73</v>
      </c>
      <c r="C1023" s="6" t="s">
        <v>113</v>
      </c>
      <c r="D1023" s="6" t="s">
        <v>114</v>
      </c>
      <c r="E1023" s="6">
        <v>7.22</v>
      </c>
    </row>
    <row r="1024">
      <c r="A1024" s="3">
        <v>120813.0</v>
      </c>
      <c r="B1024" s="4" t="s">
        <v>73</v>
      </c>
      <c r="C1024" s="4" t="s">
        <v>113</v>
      </c>
      <c r="D1024" s="4" t="s">
        <v>114</v>
      </c>
      <c r="E1024" s="4">
        <v>5.39</v>
      </c>
    </row>
    <row r="1025">
      <c r="A1025" s="5">
        <v>29590.0</v>
      </c>
      <c r="B1025" s="6" t="s">
        <v>73</v>
      </c>
      <c r="C1025" s="6" t="s">
        <v>113</v>
      </c>
      <c r="D1025" s="6" t="s">
        <v>114</v>
      </c>
      <c r="E1025" s="6">
        <v>3.01</v>
      </c>
    </row>
    <row r="1026">
      <c r="A1026" s="3">
        <v>118662.0</v>
      </c>
      <c r="B1026" s="4" t="s">
        <v>73</v>
      </c>
      <c r="C1026" s="4" t="s">
        <v>113</v>
      </c>
      <c r="D1026" s="4" t="s">
        <v>115</v>
      </c>
      <c r="E1026" s="4">
        <v>4.31</v>
      </c>
    </row>
    <row r="1027">
      <c r="A1027" s="5">
        <v>30478.0</v>
      </c>
      <c r="B1027" s="6" t="s">
        <v>73</v>
      </c>
      <c r="C1027" s="6" t="s">
        <v>113</v>
      </c>
      <c r="D1027" s="6" t="s">
        <v>115</v>
      </c>
      <c r="E1027" s="6">
        <v>7.71</v>
      </c>
    </row>
    <row r="1028">
      <c r="A1028" s="3">
        <v>90475.0</v>
      </c>
      <c r="B1028" s="4" t="s">
        <v>73</v>
      </c>
      <c r="C1028" s="4" t="s">
        <v>113</v>
      </c>
      <c r="D1028" s="4" t="s">
        <v>115</v>
      </c>
      <c r="E1028" s="4">
        <v>7.71</v>
      </c>
    </row>
    <row r="1029">
      <c r="A1029" s="5">
        <v>29530.0</v>
      </c>
      <c r="B1029" s="6" t="s">
        <v>73</v>
      </c>
      <c r="C1029" s="6" t="s">
        <v>113</v>
      </c>
      <c r="D1029" s="6" t="s">
        <v>115</v>
      </c>
      <c r="E1029" s="6">
        <v>1.34</v>
      </c>
    </row>
    <row r="1030">
      <c r="A1030" s="3">
        <v>81528.0</v>
      </c>
      <c r="B1030" s="4" t="s">
        <v>73</v>
      </c>
      <c r="C1030" s="4" t="s">
        <v>113</v>
      </c>
      <c r="D1030" s="4" t="s">
        <v>115</v>
      </c>
      <c r="E1030" s="4">
        <v>1.34</v>
      </c>
    </row>
    <row r="1031">
      <c r="A1031" s="5">
        <v>100436.0</v>
      </c>
      <c r="B1031" s="6" t="s">
        <v>73</v>
      </c>
      <c r="C1031" s="6" t="s">
        <v>113</v>
      </c>
      <c r="D1031" s="6" t="s">
        <v>115</v>
      </c>
      <c r="E1031" s="6">
        <v>3.38</v>
      </c>
    </row>
    <row r="1032">
      <c r="A1032" s="3">
        <v>29499.0</v>
      </c>
      <c r="B1032" s="4" t="s">
        <v>73</v>
      </c>
      <c r="C1032" s="4" t="s">
        <v>113</v>
      </c>
      <c r="D1032" s="4" t="s">
        <v>115</v>
      </c>
      <c r="E1032" s="4">
        <v>3.38</v>
      </c>
    </row>
    <row r="1033">
      <c r="A1033" s="5">
        <v>30683.0</v>
      </c>
      <c r="B1033" s="6" t="s">
        <v>73</v>
      </c>
      <c r="C1033" s="6" t="s">
        <v>113</v>
      </c>
      <c r="D1033" s="6" t="s">
        <v>115</v>
      </c>
      <c r="E1033" s="6">
        <v>3.35</v>
      </c>
    </row>
    <row r="1034">
      <c r="A1034" s="3">
        <v>69906.0</v>
      </c>
      <c r="B1034" s="4" t="s">
        <v>73</v>
      </c>
      <c r="C1034" s="4" t="s">
        <v>113</v>
      </c>
      <c r="D1034" s="4" t="s">
        <v>115</v>
      </c>
      <c r="E1034" s="4">
        <v>7.5</v>
      </c>
    </row>
    <row r="1035">
      <c r="A1035" s="5">
        <v>90174.0</v>
      </c>
      <c r="B1035" s="6" t="s">
        <v>73</v>
      </c>
      <c r="C1035" s="6" t="s">
        <v>113</v>
      </c>
      <c r="D1035" s="6" t="s">
        <v>115</v>
      </c>
      <c r="E1035" s="6">
        <v>3.58</v>
      </c>
    </row>
    <row r="1036">
      <c r="A1036" s="3">
        <v>90168.0</v>
      </c>
      <c r="B1036" s="4" t="s">
        <v>73</v>
      </c>
      <c r="C1036" s="4" t="s">
        <v>113</v>
      </c>
      <c r="D1036" s="4" t="s">
        <v>115</v>
      </c>
      <c r="E1036" s="4">
        <v>3.52</v>
      </c>
    </row>
    <row r="1037">
      <c r="A1037" s="5">
        <v>79488.0</v>
      </c>
      <c r="B1037" s="6" t="s">
        <v>73</v>
      </c>
      <c r="C1037" s="6" t="s">
        <v>113</v>
      </c>
      <c r="D1037" s="6" t="s">
        <v>115</v>
      </c>
      <c r="E1037" s="6">
        <v>15.07</v>
      </c>
    </row>
    <row r="1038">
      <c r="A1038" s="3">
        <v>119640.0</v>
      </c>
      <c r="B1038" s="4" t="s">
        <v>73</v>
      </c>
      <c r="C1038" s="4" t="s">
        <v>113</v>
      </c>
      <c r="D1038" s="4" t="s">
        <v>115</v>
      </c>
      <c r="E1038" s="4">
        <v>6.01</v>
      </c>
    </row>
    <row r="1039">
      <c r="A1039" s="5">
        <v>119515.0</v>
      </c>
      <c r="B1039" s="6" t="s">
        <v>73</v>
      </c>
      <c r="C1039" s="6" t="s">
        <v>113</v>
      </c>
      <c r="D1039" s="6" t="s">
        <v>115</v>
      </c>
      <c r="E1039" s="6">
        <v>4.41</v>
      </c>
    </row>
    <row r="1040">
      <c r="A1040" s="3">
        <v>103685.0</v>
      </c>
      <c r="B1040" s="4" t="s">
        <v>73</v>
      </c>
      <c r="C1040" s="4" t="s">
        <v>113</v>
      </c>
      <c r="D1040" s="4" t="s">
        <v>115</v>
      </c>
      <c r="E1040" s="4">
        <v>8.68</v>
      </c>
    </row>
    <row r="1041">
      <c r="A1041" s="5">
        <v>111617.0</v>
      </c>
      <c r="B1041" s="6" t="s">
        <v>73</v>
      </c>
      <c r="C1041" s="6" t="s">
        <v>113</v>
      </c>
      <c r="D1041" s="6" t="s">
        <v>115</v>
      </c>
      <c r="E1041" s="6">
        <v>3.38</v>
      </c>
    </row>
    <row r="1042">
      <c r="A1042" s="3">
        <v>98637.0</v>
      </c>
      <c r="B1042" s="4" t="s">
        <v>73</v>
      </c>
      <c r="C1042" s="4" t="s">
        <v>113</v>
      </c>
      <c r="D1042" s="4" t="s">
        <v>115</v>
      </c>
      <c r="E1042" s="4">
        <v>4.95</v>
      </c>
    </row>
    <row r="1043">
      <c r="A1043" s="5">
        <v>90159.0</v>
      </c>
      <c r="B1043" s="6" t="s">
        <v>73</v>
      </c>
      <c r="C1043" s="6" t="s">
        <v>113</v>
      </c>
      <c r="D1043" s="6" t="s">
        <v>115</v>
      </c>
      <c r="E1043" s="6">
        <v>3.14</v>
      </c>
    </row>
    <row r="1044">
      <c r="A1044" s="3">
        <v>76651.0</v>
      </c>
      <c r="B1044" s="4" t="s">
        <v>73</v>
      </c>
      <c r="C1044" s="4" t="s">
        <v>113</v>
      </c>
      <c r="D1044" s="4" t="s">
        <v>115</v>
      </c>
      <c r="E1044" s="4">
        <v>1.34</v>
      </c>
    </row>
    <row r="1045">
      <c r="A1045" s="5">
        <v>119531.0</v>
      </c>
      <c r="B1045" s="6" t="s">
        <v>73</v>
      </c>
      <c r="C1045" s="6" t="s">
        <v>113</v>
      </c>
      <c r="D1045" s="6" t="s">
        <v>115</v>
      </c>
      <c r="E1045" s="6">
        <v>9.75</v>
      </c>
    </row>
    <row r="1046">
      <c r="A1046" s="3">
        <v>93884.0</v>
      </c>
      <c r="B1046" s="4" t="s">
        <v>73</v>
      </c>
      <c r="C1046" s="4" t="s">
        <v>113</v>
      </c>
      <c r="D1046" s="4" t="s">
        <v>115</v>
      </c>
      <c r="E1046" s="4">
        <v>4.97</v>
      </c>
    </row>
    <row r="1047">
      <c r="A1047" s="5">
        <v>79467.0</v>
      </c>
      <c r="B1047" s="6" t="s">
        <v>73</v>
      </c>
      <c r="C1047" s="6" t="s">
        <v>113</v>
      </c>
      <c r="D1047" s="6" t="s">
        <v>115</v>
      </c>
      <c r="E1047" s="6">
        <v>6.71</v>
      </c>
    </row>
    <row r="1048">
      <c r="A1048" s="3">
        <v>29532.0</v>
      </c>
      <c r="B1048" s="4" t="s">
        <v>73</v>
      </c>
      <c r="C1048" s="4" t="s">
        <v>113</v>
      </c>
      <c r="D1048" s="4" t="s">
        <v>115</v>
      </c>
      <c r="E1048" s="4">
        <v>1.34</v>
      </c>
    </row>
    <row r="1049">
      <c r="A1049" s="5">
        <v>104063.0</v>
      </c>
      <c r="B1049" s="6" t="s">
        <v>73</v>
      </c>
      <c r="C1049" s="6" t="s">
        <v>113</v>
      </c>
      <c r="D1049" s="6" t="s">
        <v>115</v>
      </c>
      <c r="E1049" s="6">
        <v>5.61</v>
      </c>
    </row>
    <row r="1050">
      <c r="A1050" s="3">
        <v>90166.0</v>
      </c>
      <c r="B1050" s="4" t="s">
        <v>73</v>
      </c>
      <c r="C1050" s="4" t="s">
        <v>113</v>
      </c>
      <c r="D1050" s="4" t="s">
        <v>115</v>
      </c>
      <c r="E1050" s="4">
        <v>3.14</v>
      </c>
    </row>
    <row r="1051">
      <c r="A1051" s="5">
        <v>29538.0</v>
      </c>
      <c r="B1051" s="6" t="s">
        <v>73</v>
      </c>
      <c r="C1051" s="6" t="s">
        <v>113</v>
      </c>
      <c r="D1051" s="6" t="s">
        <v>115</v>
      </c>
      <c r="E1051" s="6">
        <v>1.34</v>
      </c>
    </row>
    <row r="1052">
      <c r="A1052" s="3">
        <v>70538.0</v>
      </c>
      <c r="B1052" s="4" t="s">
        <v>73</v>
      </c>
      <c r="C1052" s="4" t="s">
        <v>113</v>
      </c>
      <c r="D1052" s="4" t="s">
        <v>115</v>
      </c>
      <c r="E1052" s="4">
        <v>6.73</v>
      </c>
    </row>
    <row r="1053">
      <c r="A1053" s="5">
        <v>93893.0</v>
      </c>
      <c r="B1053" s="6" t="s">
        <v>73</v>
      </c>
      <c r="C1053" s="6" t="s">
        <v>113</v>
      </c>
      <c r="D1053" s="6" t="s">
        <v>115</v>
      </c>
      <c r="E1053" s="6">
        <v>4.97</v>
      </c>
    </row>
    <row r="1054">
      <c r="A1054" s="3">
        <v>119518.0</v>
      </c>
      <c r="B1054" s="4" t="s">
        <v>73</v>
      </c>
      <c r="C1054" s="4" t="s">
        <v>113</v>
      </c>
      <c r="D1054" s="4" t="s">
        <v>115</v>
      </c>
      <c r="E1054" s="4">
        <v>4.41</v>
      </c>
    </row>
    <row r="1055">
      <c r="A1055" s="5">
        <v>111338.0</v>
      </c>
      <c r="B1055" s="6" t="s">
        <v>73</v>
      </c>
      <c r="C1055" s="6" t="s">
        <v>113</v>
      </c>
      <c r="D1055" s="6" t="s">
        <v>115</v>
      </c>
      <c r="E1055" s="6">
        <v>4.05</v>
      </c>
    </row>
    <row r="1056">
      <c r="A1056" s="3">
        <v>100435.0</v>
      </c>
      <c r="B1056" s="4" t="s">
        <v>73</v>
      </c>
      <c r="C1056" s="4" t="s">
        <v>113</v>
      </c>
      <c r="D1056" s="4" t="s">
        <v>115</v>
      </c>
      <c r="E1056" s="4">
        <v>3.38</v>
      </c>
    </row>
    <row r="1057">
      <c r="A1057" s="5">
        <v>89130.0</v>
      </c>
      <c r="B1057" s="6" t="s">
        <v>73</v>
      </c>
      <c r="C1057" s="6" t="s">
        <v>113</v>
      </c>
      <c r="D1057" s="6" t="s">
        <v>115</v>
      </c>
      <c r="E1057" s="6">
        <v>3.38</v>
      </c>
    </row>
    <row r="1058">
      <c r="A1058" s="3">
        <v>103695.0</v>
      </c>
      <c r="B1058" s="4" t="s">
        <v>73</v>
      </c>
      <c r="C1058" s="4" t="s">
        <v>113</v>
      </c>
      <c r="D1058" s="4" t="s">
        <v>115</v>
      </c>
      <c r="E1058" s="4">
        <v>4.8</v>
      </c>
    </row>
    <row r="1059">
      <c r="A1059" s="5">
        <v>90201.0</v>
      </c>
      <c r="B1059" s="6" t="s">
        <v>73</v>
      </c>
      <c r="C1059" s="6" t="s">
        <v>113</v>
      </c>
      <c r="D1059" s="6" t="s">
        <v>115</v>
      </c>
      <c r="E1059" s="6">
        <v>4.96</v>
      </c>
    </row>
    <row r="1060">
      <c r="A1060" s="3">
        <v>70025.0</v>
      </c>
      <c r="B1060" s="4" t="s">
        <v>73</v>
      </c>
      <c r="C1060" s="4" t="s">
        <v>113</v>
      </c>
      <c r="D1060" s="4" t="s">
        <v>115</v>
      </c>
      <c r="E1060" s="4">
        <v>1.34</v>
      </c>
    </row>
    <row r="1061">
      <c r="A1061" s="5">
        <v>29485.0</v>
      </c>
      <c r="B1061" s="6" t="s">
        <v>73</v>
      </c>
      <c r="C1061" s="6" t="s">
        <v>113</v>
      </c>
      <c r="D1061" s="6" t="s">
        <v>115</v>
      </c>
      <c r="E1061" s="6">
        <v>3.38</v>
      </c>
    </row>
    <row r="1062">
      <c r="A1062" s="3">
        <v>119530.0</v>
      </c>
      <c r="B1062" s="4" t="s">
        <v>73</v>
      </c>
      <c r="C1062" s="4" t="s">
        <v>113</v>
      </c>
      <c r="D1062" s="4" t="s">
        <v>115</v>
      </c>
      <c r="E1062" s="4">
        <v>9.75</v>
      </c>
    </row>
    <row r="1063">
      <c r="A1063" s="5">
        <v>103671.0</v>
      </c>
      <c r="B1063" s="6" t="s">
        <v>73</v>
      </c>
      <c r="C1063" s="6" t="s">
        <v>113</v>
      </c>
      <c r="D1063" s="6" t="s">
        <v>115</v>
      </c>
      <c r="E1063" s="6">
        <v>8.68</v>
      </c>
    </row>
    <row r="1064">
      <c r="A1064" s="3">
        <v>102803.0</v>
      </c>
      <c r="B1064" s="4" t="s">
        <v>73</v>
      </c>
      <c r="C1064" s="4" t="s">
        <v>113</v>
      </c>
      <c r="D1064" s="4" t="s">
        <v>115</v>
      </c>
      <c r="E1064" s="4">
        <v>14.81</v>
      </c>
    </row>
    <row r="1065">
      <c r="A1065" s="5">
        <v>122156.0</v>
      </c>
      <c r="B1065" s="6" t="s">
        <v>73</v>
      </c>
      <c r="C1065" s="6" t="s">
        <v>113</v>
      </c>
      <c r="D1065" s="6" t="s">
        <v>116</v>
      </c>
      <c r="E1065" s="6">
        <v>1.45</v>
      </c>
    </row>
    <row r="1066">
      <c r="A1066" s="3">
        <v>103688.0</v>
      </c>
      <c r="B1066" s="4" t="s">
        <v>73</v>
      </c>
      <c r="C1066" s="4" t="s">
        <v>113</v>
      </c>
      <c r="D1066" s="4" t="s">
        <v>116</v>
      </c>
      <c r="E1066" s="4">
        <v>1.45</v>
      </c>
    </row>
    <row r="1067">
      <c r="A1067" s="5">
        <v>128303.0</v>
      </c>
      <c r="B1067" s="6" t="s">
        <v>73</v>
      </c>
      <c r="C1067" s="6" t="s">
        <v>113</v>
      </c>
      <c r="D1067" s="6" t="s">
        <v>116</v>
      </c>
      <c r="E1067" s="6">
        <v>4.4</v>
      </c>
    </row>
    <row r="1068">
      <c r="A1068" s="3">
        <v>122164.0</v>
      </c>
      <c r="B1068" s="4" t="s">
        <v>73</v>
      </c>
      <c r="C1068" s="4" t="s">
        <v>113</v>
      </c>
      <c r="D1068" s="4" t="s">
        <v>116</v>
      </c>
      <c r="E1068" s="4">
        <v>1.45</v>
      </c>
    </row>
    <row r="1069">
      <c r="A1069" s="5">
        <v>119629.0</v>
      </c>
      <c r="B1069" s="6" t="s">
        <v>73</v>
      </c>
      <c r="C1069" s="6" t="s">
        <v>113</v>
      </c>
      <c r="D1069" s="6" t="s">
        <v>116</v>
      </c>
      <c r="E1069" s="6">
        <v>3.96</v>
      </c>
    </row>
    <row r="1070">
      <c r="A1070" s="3">
        <v>122238.0</v>
      </c>
      <c r="B1070" s="4" t="s">
        <v>73</v>
      </c>
      <c r="C1070" s="4" t="s">
        <v>113</v>
      </c>
      <c r="D1070" s="4" t="s">
        <v>116</v>
      </c>
      <c r="E1070" s="4">
        <v>1.45</v>
      </c>
    </row>
    <row r="1071">
      <c r="A1071" s="5">
        <v>100106.0</v>
      </c>
      <c r="B1071" s="6" t="s">
        <v>73</v>
      </c>
      <c r="C1071" s="6" t="s">
        <v>113</v>
      </c>
      <c r="D1071" s="6" t="s">
        <v>116</v>
      </c>
      <c r="E1071" s="6">
        <v>3.0</v>
      </c>
    </row>
    <row r="1072">
      <c r="A1072" s="3">
        <v>74260.0</v>
      </c>
      <c r="B1072" s="4" t="s">
        <v>73</v>
      </c>
      <c r="C1072" s="4" t="s">
        <v>113</v>
      </c>
      <c r="D1072" s="4" t="s">
        <v>116</v>
      </c>
      <c r="E1072" s="4">
        <v>1.45</v>
      </c>
    </row>
    <row r="1073">
      <c r="A1073" s="5">
        <v>122159.0</v>
      </c>
      <c r="B1073" s="6" t="s">
        <v>73</v>
      </c>
      <c r="C1073" s="6" t="s">
        <v>113</v>
      </c>
      <c r="D1073" s="6" t="s">
        <v>116</v>
      </c>
      <c r="E1073" s="6">
        <v>1.45</v>
      </c>
    </row>
    <row r="1074">
      <c r="A1074" s="3">
        <v>100104.0</v>
      </c>
      <c r="B1074" s="4" t="s">
        <v>73</v>
      </c>
      <c r="C1074" s="4" t="s">
        <v>113</v>
      </c>
      <c r="D1074" s="4" t="s">
        <v>116</v>
      </c>
      <c r="E1074" s="4">
        <v>3.0</v>
      </c>
    </row>
    <row r="1075">
      <c r="A1075" s="5">
        <v>103702.0</v>
      </c>
      <c r="B1075" s="6" t="s">
        <v>73</v>
      </c>
      <c r="C1075" s="6" t="s">
        <v>113</v>
      </c>
      <c r="D1075" s="6" t="s">
        <v>116</v>
      </c>
      <c r="E1075" s="6">
        <v>1.45</v>
      </c>
    </row>
    <row r="1076">
      <c r="A1076" s="3">
        <v>103696.0</v>
      </c>
      <c r="B1076" s="4" t="s">
        <v>73</v>
      </c>
      <c r="C1076" s="4" t="s">
        <v>113</v>
      </c>
      <c r="D1076" s="4" t="s">
        <v>116</v>
      </c>
      <c r="E1076" s="4">
        <v>1.45</v>
      </c>
    </row>
    <row r="1077">
      <c r="A1077" s="5">
        <v>111083.0</v>
      </c>
      <c r="B1077" s="6" t="s">
        <v>73</v>
      </c>
      <c r="C1077" s="6" t="s">
        <v>113</v>
      </c>
      <c r="D1077" s="6" t="s">
        <v>116</v>
      </c>
      <c r="E1077" s="6">
        <v>3.96</v>
      </c>
    </row>
    <row r="1078">
      <c r="A1078" s="3">
        <v>76658.0</v>
      </c>
      <c r="B1078" s="4" t="s">
        <v>73</v>
      </c>
      <c r="C1078" s="4" t="s">
        <v>113</v>
      </c>
      <c r="D1078" s="4" t="s">
        <v>117</v>
      </c>
      <c r="E1078" s="4">
        <v>1.85</v>
      </c>
    </row>
    <row r="1079">
      <c r="A1079" s="5">
        <v>111339.0</v>
      </c>
      <c r="B1079" s="6" t="s">
        <v>73</v>
      </c>
      <c r="C1079" s="6" t="s">
        <v>113</v>
      </c>
      <c r="D1079" s="6" t="s">
        <v>117</v>
      </c>
      <c r="E1079" s="6">
        <v>4.49</v>
      </c>
    </row>
    <row r="1080">
      <c r="A1080" s="3">
        <v>79491.0</v>
      </c>
      <c r="B1080" s="4" t="s">
        <v>73</v>
      </c>
      <c r="C1080" s="4" t="s">
        <v>113</v>
      </c>
      <c r="D1080" s="4" t="s">
        <v>117</v>
      </c>
      <c r="E1080" s="4">
        <v>5.07</v>
      </c>
    </row>
    <row r="1081">
      <c r="A1081" s="5">
        <v>110380.0</v>
      </c>
      <c r="B1081" s="6" t="s">
        <v>73</v>
      </c>
      <c r="C1081" s="6" t="s">
        <v>113</v>
      </c>
      <c r="D1081" s="6" t="s">
        <v>117</v>
      </c>
      <c r="E1081" s="6">
        <v>8.68</v>
      </c>
    </row>
    <row r="1082">
      <c r="A1082" s="3">
        <v>111341.0</v>
      </c>
      <c r="B1082" s="4" t="s">
        <v>73</v>
      </c>
      <c r="C1082" s="4" t="s">
        <v>113</v>
      </c>
      <c r="D1082" s="4" t="s">
        <v>117</v>
      </c>
      <c r="E1082" s="4">
        <v>4.49</v>
      </c>
    </row>
    <row r="1083">
      <c r="A1083" s="5">
        <v>81785.0</v>
      </c>
      <c r="B1083" s="6" t="s">
        <v>73</v>
      </c>
      <c r="C1083" s="6" t="s">
        <v>113</v>
      </c>
      <c r="D1083" s="6" t="s">
        <v>117</v>
      </c>
      <c r="E1083" s="6">
        <v>1.85</v>
      </c>
    </row>
    <row r="1084">
      <c r="A1084" s="3">
        <v>89155.0</v>
      </c>
      <c r="B1084" s="4" t="s">
        <v>73</v>
      </c>
      <c r="C1084" s="4" t="s">
        <v>113</v>
      </c>
      <c r="D1084" s="4" t="s">
        <v>117</v>
      </c>
      <c r="E1084" s="4">
        <v>2.97</v>
      </c>
    </row>
    <row r="1085">
      <c r="A1085" s="5">
        <v>90253.0</v>
      </c>
      <c r="B1085" s="6" t="s">
        <v>73</v>
      </c>
      <c r="C1085" s="6" t="s">
        <v>113</v>
      </c>
      <c r="D1085" s="6" t="s">
        <v>118</v>
      </c>
      <c r="E1085" s="6">
        <v>4.05</v>
      </c>
    </row>
    <row r="1086">
      <c r="A1086" s="3">
        <v>119544.0</v>
      </c>
      <c r="B1086" s="4" t="s">
        <v>73</v>
      </c>
      <c r="C1086" s="4" t="s">
        <v>113</v>
      </c>
      <c r="D1086" s="4" t="s">
        <v>119</v>
      </c>
      <c r="E1086" s="4">
        <v>2.4</v>
      </c>
    </row>
    <row r="1087">
      <c r="A1087" s="5">
        <v>108675.0</v>
      </c>
      <c r="B1087" s="6" t="s">
        <v>73</v>
      </c>
      <c r="C1087" s="6" t="s">
        <v>113</v>
      </c>
      <c r="D1087" s="6" t="s">
        <v>119</v>
      </c>
      <c r="E1087" s="6">
        <v>3.74</v>
      </c>
    </row>
    <row r="1088">
      <c r="A1088" s="3">
        <v>119542.0</v>
      </c>
      <c r="B1088" s="4" t="s">
        <v>73</v>
      </c>
      <c r="C1088" s="4" t="s">
        <v>113</v>
      </c>
      <c r="D1088" s="4" t="s">
        <v>119</v>
      </c>
      <c r="E1088" s="4">
        <v>2.18</v>
      </c>
    </row>
    <row r="1089">
      <c r="A1089" s="5">
        <v>30752.0</v>
      </c>
      <c r="B1089" s="6" t="s">
        <v>73</v>
      </c>
      <c r="C1089" s="6" t="s">
        <v>113</v>
      </c>
      <c r="D1089" s="6" t="s">
        <v>119</v>
      </c>
      <c r="E1089" s="6">
        <v>6.51</v>
      </c>
    </row>
    <row r="1090">
      <c r="A1090" s="3">
        <v>116180.0</v>
      </c>
      <c r="B1090" s="4" t="s">
        <v>60</v>
      </c>
      <c r="C1090" s="4" t="s">
        <v>120</v>
      </c>
      <c r="D1090" s="4" t="s">
        <v>121</v>
      </c>
      <c r="E1090" s="4">
        <v>0.98</v>
      </c>
    </row>
    <row r="1091">
      <c r="A1091" s="5">
        <v>96953.0</v>
      </c>
      <c r="B1091" s="6" t="s">
        <v>60</v>
      </c>
      <c r="C1091" s="6" t="s">
        <v>120</v>
      </c>
      <c r="D1091" s="6" t="s">
        <v>121</v>
      </c>
      <c r="E1091" s="6">
        <v>1.15</v>
      </c>
    </row>
    <row r="1092">
      <c r="A1092" s="3">
        <v>118303.0</v>
      </c>
      <c r="B1092" s="4" t="s">
        <v>60</v>
      </c>
      <c r="C1092" s="4" t="s">
        <v>120</v>
      </c>
      <c r="D1092" s="4" t="s">
        <v>121</v>
      </c>
      <c r="E1092" s="4">
        <v>1.76</v>
      </c>
    </row>
    <row r="1093">
      <c r="A1093" s="5">
        <v>117222.0</v>
      </c>
      <c r="B1093" s="6" t="s">
        <v>60</v>
      </c>
      <c r="C1093" s="6" t="s">
        <v>120</v>
      </c>
      <c r="D1093" s="6" t="s">
        <v>121</v>
      </c>
      <c r="E1093" s="6">
        <v>0.91</v>
      </c>
    </row>
    <row r="1094">
      <c r="A1094" s="3">
        <v>5620.0</v>
      </c>
      <c r="B1094" s="4" t="s">
        <v>60</v>
      </c>
      <c r="C1094" s="4" t="s">
        <v>120</v>
      </c>
      <c r="D1094" s="4" t="s">
        <v>121</v>
      </c>
      <c r="E1094" s="4">
        <v>1.13</v>
      </c>
    </row>
    <row r="1095">
      <c r="A1095" s="5">
        <v>122346.0</v>
      </c>
      <c r="B1095" s="6" t="s">
        <v>60</v>
      </c>
      <c r="C1095" s="6" t="s">
        <v>120</v>
      </c>
      <c r="D1095" s="6" t="s">
        <v>121</v>
      </c>
      <c r="E1095" s="6">
        <v>0.85</v>
      </c>
    </row>
    <row r="1096">
      <c r="A1096" s="3">
        <v>96968.0</v>
      </c>
      <c r="B1096" s="4" t="s">
        <v>60</v>
      </c>
      <c r="C1096" s="4" t="s">
        <v>120</v>
      </c>
      <c r="D1096" s="4" t="s">
        <v>121</v>
      </c>
      <c r="E1096" s="4">
        <v>2.0</v>
      </c>
    </row>
    <row r="1097">
      <c r="A1097" s="5">
        <v>126578.0</v>
      </c>
      <c r="B1097" s="6" t="s">
        <v>60</v>
      </c>
      <c r="C1097" s="6" t="s">
        <v>120</v>
      </c>
      <c r="D1097" s="6" t="s">
        <v>121</v>
      </c>
      <c r="E1097" s="6">
        <v>1.16</v>
      </c>
    </row>
    <row r="1098">
      <c r="A1098" s="3">
        <v>126581.0</v>
      </c>
      <c r="B1098" s="4" t="s">
        <v>60</v>
      </c>
      <c r="C1098" s="4" t="s">
        <v>120</v>
      </c>
      <c r="D1098" s="4" t="s">
        <v>121</v>
      </c>
      <c r="E1098" s="4">
        <v>1.16</v>
      </c>
    </row>
    <row r="1099">
      <c r="A1099" s="5">
        <v>96956.0</v>
      </c>
      <c r="B1099" s="6" t="s">
        <v>60</v>
      </c>
      <c r="C1099" s="6" t="s">
        <v>120</v>
      </c>
      <c r="D1099" s="6" t="s">
        <v>121</v>
      </c>
      <c r="E1099" s="6">
        <v>1.15</v>
      </c>
    </row>
    <row r="1100">
      <c r="A1100" s="3">
        <v>116774.0</v>
      </c>
      <c r="B1100" s="4" t="s">
        <v>60</v>
      </c>
      <c r="C1100" s="4" t="s">
        <v>120</v>
      </c>
      <c r="D1100" s="4" t="s">
        <v>121</v>
      </c>
      <c r="E1100" s="4">
        <v>0.89</v>
      </c>
    </row>
    <row r="1101">
      <c r="A1101" s="5">
        <v>147293.0</v>
      </c>
      <c r="B1101" s="6" t="s">
        <v>60</v>
      </c>
      <c r="C1101" s="6" t="s">
        <v>120</v>
      </c>
      <c r="D1101" s="6" t="s">
        <v>121</v>
      </c>
      <c r="E1101" s="6">
        <v>1.13</v>
      </c>
    </row>
    <row r="1102">
      <c r="A1102" s="3">
        <v>119228.0</v>
      </c>
      <c r="B1102" s="4" t="s">
        <v>60</v>
      </c>
      <c r="C1102" s="4" t="s">
        <v>120</v>
      </c>
      <c r="D1102" s="4" t="s">
        <v>121</v>
      </c>
      <c r="E1102" s="4">
        <v>0.95</v>
      </c>
    </row>
    <row r="1103">
      <c r="A1103" s="5">
        <v>5618.0</v>
      </c>
      <c r="B1103" s="6" t="s">
        <v>60</v>
      </c>
      <c r="C1103" s="6" t="s">
        <v>120</v>
      </c>
      <c r="D1103" s="6" t="s">
        <v>121</v>
      </c>
      <c r="E1103" s="6">
        <v>1.13</v>
      </c>
    </row>
    <row r="1104">
      <c r="A1104" s="3">
        <v>126579.0</v>
      </c>
      <c r="B1104" s="4" t="s">
        <v>60</v>
      </c>
      <c r="C1104" s="4" t="s">
        <v>120</v>
      </c>
      <c r="D1104" s="4" t="s">
        <v>121</v>
      </c>
      <c r="E1104" s="4">
        <v>1.16</v>
      </c>
    </row>
    <row r="1105">
      <c r="A1105" s="5">
        <v>117219.0</v>
      </c>
      <c r="B1105" s="6" t="s">
        <v>60</v>
      </c>
      <c r="C1105" s="6" t="s">
        <v>120</v>
      </c>
      <c r="D1105" s="6" t="s">
        <v>121</v>
      </c>
      <c r="E1105" s="6">
        <v>0.91</v>
      </c>
    </row>
    <row r="1106">
      <c r="A1106" s="3">
        <v>44110.0</v>
      </c>
      <c r="B1106" s="4" t="s">
        <v>60</v>
      </c>
      <c r="C1106" s="4" t="s">
        <v>120</v>
      </c>
      <c r="D1106" s="4" t="s">
        <v>121</v>
      </c>
      <c r="E1106" s="4">
        <v>1.23</v>
      </c>
    </row>
    <row r="1107">
      <c r="A1107" s="5">
        <v>76223.0</v>
      </c>
      <c r="B1107" s="6" t="s">
        <v>60</v>
      </c>
      <c r="C1107" s="6" t="s">
        <v>120</v>
      </c>
      <c r="D1107" s="6" t="s">
        <v>121</v>
      </c>
      <c r="E1107" s="6">
        <v>0.82</v>
      </c>
    </row>
    <row r="1108">
      <c r="A1108" s="3">
        <v>48406.0</v>
      </c>
      <c r="B1108" s="4" t="s">
        <v>60</v>
      </c>
      <c r="C1108" s="4" t="s">
        <v>120</v>
      </c>
      <c r="D1108" s="4" t="s">
        <v>121</v>
      </c>
      <c r="E1108" s="4">
        <v>2.24</v>
      </c>
    </row>
    <row r="1109">
      <c r="A1109" s="5">
        <v>77514.0</v>
      </c>
      <c r="B1109" s="6" t="s">
        <v>60</v>
      </c>
      <c r="C1109" s="6" t="s">
        <v>120</v>
      </c>
      <c r="D1109" s="6" t="s">
        <v>121</v>
      </c>
      <c r="E1109" s="6">
        <v>0.82</v>
      </c>
    </row>
    <row r="1110">
      <c r="A1110" s="3">
        <v>117221.0</v>
      </c>
      <c r="B1110" s="4" t="s">
        <v>60</v>
      </c>
      <c r="C1110" s="4" t="s">
        <v>120</v>
      </c>
      <c r="D1110" s="4" t="s">
        <v>121</v>
      </c>
      <c r="E1110" s="4">
        <v>0.91</v>
      </c>
    </row>
    <row r="1111">
      <c r="A1111" s="5">
        <v>115602.0</v>
      </c>
      <c r="B1111" s="6" t="s">
        <v>60</v>
      </c>
      <c r="C1111" s="6" t="s">
        <v>120</v>
      </c>
      <c r="D1111" s="6" t="s">
        <v>121</v>
      </c>
      <c r="E1111" s="6">
        <v>2.33</v>
      </c>
    </row>
    <row r="1112">
      <c r="A1112" s="3">
        <v>44107.0</v>
      </c>
      <c r="B1112" s="4" t="s">
        <v>60</v>
      </c>
      <c r="C1112" s="4" t="s">
        <v>120</v>
      </c>
      <c r="D1112" s="4" t="s">
        <v>121</v>
      </c>
      <c r="E1112" s="4">
        <v>1.0</v>
      </c>
    </row>
    <row r="1113">
      <c r="A1113" s="5">
        <v>115604.0</v>
      </c>
      <c r="B1113" s="6" t="s">
        <v>60</v>
      </c>
      <c r="C1113" s="6" t="s">
        <v>120</v>
      </c>
      <c r="D1113" s="6" t="s">
        <v>121</v>
      </c>
      <c r="E1113" s="6">
        <v>1.44</v>
      </c>
    </row>
    <row r="1114">
      <c r="A1114" s="3">
        <v>118926.0</v>
      </c>
      <c r="B1114" s="4" t="s">
        <v>60</v>
      </c>
      <c r="C1114" s="4" t="s">
        <v>120</v>
      </c>
      <c r="D1114" s="4" t="s">
        <v>121</v>
      </c>
      <c r="E1114" s="4">
        <v>0.93</v>
      </c>
    </row>
    <row r="1115">
      <c r="A1115" s="5">
        <v>118304.0</v>
      </c>
      <c r="B1115" s="6" t="s">
        <v>60</v>
      </c>
      <c r="C1115" s="6" t="s">
        <v>120</v>
      </c>
      <c r="D1115" s="6" t="s">
        <v>121</v>
      </c>
      <c r="E1115" s="6">
        <v>1.61</v>
      </c>
    </row>
    <row r="1116">
      <c r="A1116" s="3">
        <v>5621.0</v>
      </c>
      <c r="B1116" s="4" t="s">
        <v>60</v>
      </c>
      <c r="C1116" s="4" t="s">
        <v>120</v>
      </c>
      <c r="D1116" s="4" t="s">
        <v>121</v>
      </c>
      <c r="E1116" s="4">
        <v>0.96</v>
      </c>
    </row>
    <row r="1117">
      <c r="A1117" s="5">
        <v>44105.0</v>
      </c>
      <c r="B1117" s="6" t="s">
        <v>60</v>
      </c>
      <c r="C1117" s="6" t="s">
        <v>120</v>
      </c>
      <c r="D1117" s="6" t="s">
        <v>121</v>
      </c>
      <c r="E1117" s="6">
        <v>1.0</v>
      </c>
    </row>
    <row r="1118">
      <c r="A1118" s="3">
        <v>126580.0</v>
      </c>
      <c r="B1118" s="4" t="s">
        <v>60</v>
      </c>
      <c r="C1118" s="4" t="s">
        <v>120</v>
      </c>
      <c r="D1118" s="4" t="s">
        <v>121</v>
      </c>
      <c r="E1118" s="4">
        <v>1.16</v>
      </c>
    </row>
    <row r="1119">
      <c r="A1119" s="5">
        <v>5624.0</v>
      </c>
      <c r="B1119" s="6" t="s">
        <v>60</v>
      </c>
      <c r="C1119" s="6" t="s">
        <v>120</v>
      </c>
      <c r="D1119" s="6" t="s">
        <v>121</v>
      </c>
      <c r="E1119" s="6">
        <v>0.95</v>
      </c>
    </row>
    <row r="1120">
      <c r="A1120" s="3">
        <v>88679.0</v>
      </c>
      <c r="B1120" s="4" t="s">
        <v>60</v>
      </c>
      <c r="C1120" s="4" t="s">
        <v>120</v>
      </c>
      <c r="D1120" s="4" t="s">
        <v>121</v>
      </c>
      <c r="E1120" s="4">
        <v>2.42</v>
      </c>
    </row>
    <row r="1121">
      <c r="A1121" s="5">
        <v>118305.0</v>
      </c>
      <c r="B1121" s="6" t="s">
        <v>60</v>
      </c>
      <c r="C1121" s="6" t="s">
        <v>120</v>
      </c>
      <c r="D1121" s="6" t="s">
        <v>121</v>
      </c>
      <c r="E1121" s="6">
        <v>1.76</v>
      </c>
    </row>
    <row r="1122">
      <c r="A1122" s="3">
        <v>60380.0</v>
      </c>
      <c r="B1122" s="4" t="s">
        <v>60</v>
      </c>
      <c r="C1122" s="4" t="s">
        <v>120</v>
      </c>
      <c r="D1122" s="4" t="s">
        <v>121</v>
      </c>
      <c r="E1122" s="4">
        <v>1.28</v>
      </c>
    </row>
    <row r="1123">
      <c r="A1123" s="5">
        <v>77475.0</v>
      </c>
      <c r="B1123" s="6" t="s">
        <v>60</v>
      </c>
      <c r="C1123" s="6" t="s">
        <v>120</v>
      </c>
      <c r="D1123" s="6" t="s">
        <v>122</v>
      </c>
      <c r="E1123" s="6">
        <v>0.82</v>
      </c>
    </row>
    <row r="1124">
      <c r="A1124" s="3">
        <v>110577.0</v>
      </c>
      <c r="B1124" s="4" t="s">
        <v>60</v>
      </c>
      <c r="C1124" s="4" t="s">
        <v>120</v>
      </c>
      <c r="D1124" s="4" t="s">
        <v>122</v>
      </c>
      <c r="E1124" s="4">
        <v>0.91</v>
      </c>
    </row>
    <row r="1125">
      <c r="A1125" s="5">
        <v>110571.0</v>
      </c>
      <c r="B1125" s="6" t="s">
        <v>60</v>
      </c>
      <c r="C1125" s="6" t="s">
        <v>120</v>
      </c>
      <c r="D1125" s="6" t="s">
        <v>122</v>
      </c>
      <c r="E1125" s="6">
        <v>0.91</v>
      </c>
    </row>
    <row r="1126">
      <c r="A1126" s="3">
        <v>103835.0</v>
      </c>
      <c r="B1126" s="4" t="s">
        <v>60</v>
      </c>
      <c r="C1126" s="4" t="s">
        <v>120</v>
      </c>
      <c r="D1126" s="4" t="s">
        <v>122</v>
      </c>
      <c r="E1126" s="4">
        <v>1.21</v>
      </c>
    </row>
    <row r="1127">
      <c r="A1127" s="5">
        <v>5646.0</v>
      </c>
      <c r="B1127" s="6" t="s">
        <v>60</v>
      </c>
      <c r="C1127" s="6" t="s">
        <v>120</v>
      </c>
      <c r="D1127" s="6" t="s">
        <v>122</v>
      </c>
      <c r="E1127" s="6">
        <v>0.91</v>
      </c>
    </row>
    <row r="1128">
      <c r="A1128" s="3">
        <v>5649.0</v>
      </c>
      <c r="B1128" s="4" t="s">
        <v>60</v>
      </c>
      <c r="C1128" s="4" t="s">
        <v>120</v>
      </c>
      <c r="D1128" s="4" t="s">
        <v>122</v>
      </c>
      <c r="E1128" s="4">
        <v>0.98</v>
      </c>
    </row>
    <row r="1129">
      <c r="A1129" s="5">
        <v>5647.0</v>
      </c>
      <c r="B1129" s="6" t="s">
        <v>60</v>
      </c>
      <c r="C1129" s="6" t="s">
        <v>120</v>
      </c>
      <c r="D1129" s="6" t="s">
        <v>122</v>
      </c>
      <c r="E1129" s="6">
        <v>0.91</v>
      </c>
    </row>
    <row r="1130">
      <c r="A1130" s="3">
        <v>5648.0</v>
      </c>
      <c r="B1130" s="4" t="s">
        <v>60</v>
      </c>
      <c r="C1130" s="4" t="s">
        <v>120</v>
      </c>
      <c r="D1130" s="4" t="s">
        <v>122</v>
      </c>
      <c r="E1130" s="4">
        <v>0.96</v>
      </c>
    </row>
    <row r="1131">
      <c r="A1131" s="5">
        <v>108292.0</v>
      </c>
      <c r="B1131" s="6" t="s">
        <v>60</v>
      </c>
      <c r="C1131" s="6" t="s">
        <v>120</v>
      </c>
      <c r="D1131" s="6" t="s">
        <v>122</v>
      </c>
      <c r="E1131" s="6">
        <v>8.48</v>
      </c>
    </row>
    <row r="1132">
      <c r="A1132" s="3">
        <v>110572.0</v>
      </c>
      <c r="B1132" s="4" t="s">
        <v>60</v>
      </c>
      <c r="C1132" s="4" t="s">
        <v>120</v>
      </c>
      <c r="D1132" s="4" t="s">
        <v>122</v>
      </c>
      <c r="E1132" s="4">
        <v>0.91</v>
      </c>
    </row>
    <row r="1133">
      <c r="A1133" s="5">
        <v>77456.0</v>
      </c>
      <c r="B1133" s="6" t="s">
        <v>60</v>
      </c>
      <c r="C1133" s="6" t="s">
        <v>120</v>
      </c>
      <c r="D1133" s="6" t="s">
        <v>122</v>
      </c>
      <c r="E1133" s="6">
        <v>0.82</v>
      </c>
    </row>
    <row r="1134">
      <c r="A1134" s="3">
        <v>77454.0</v>
      </c>
      <c r="B1134" s="4" t="s">
        <v>60</v>
      </c>
      <c r="C1134" s="4" t="s">
        <v>120</v>
      </c>
      <c r="D1134" s="4" t="s">
        <v>123</v>
      </c>
      <c r="E1134" s="4">
        <v>1.32</v>
      </c>
    </row>
    <row r="1135">
      <c r="A1135" s="5">
        <v>44095.0</v>
      </c>
      <c r="B1135" s="6" t="s">
        <v>60</v>
      </c>
      <c r="C1135" s="6" t="s">
        <v>120</v>
      </c>
      <c r="D1135" s="6" t="s">
        <v>123</v>
      </c>
      <c r="E1135" s="6">
        <v>1.72</v>
      </c>
    </row>
    <row r="1136">
      <c r="A1136" s="3">
        <v>87419.0</v>
      </c>
      <c r="B1136" s="4" t="s">
        <v>60</v>
      </c>
      <c r="C1136" s="4" t="s">
        <v>120</v>
      </c>
      <c r="D1136" s="4" t="s">
        <v>123</v>
      </c>
      <c r="E1136" s="4">
        <v>1.92</v>
      </c>
    </row>
    <row r="1137">
      <c r="A1137" s="5">
        <v>44087.0</v>
      </c>
      <c r="B1137" s="6" t="s">
        <v>60</v>
      </c>
      <c r="C1137" s="6" t="s">
        <v>120</v>
      </c>
      <c r="D1137" s="6" t="s">
        <v>123</v>
      </c>
      <c r="E1137" s="6">
        <v>1.72</v>
      </c>
    </row>
    <row r="1138">
      <c r="A1138" s="3">
        <v>44129.0</v>
      </c>
      <c r="B1138" s="4" t="s">
        <v>60</v>
      </c>
      <c r="C1138" s="4" t="s">
        <v>120</v>
      </c>
      <c r="D1138" s="4" t="s">
        <v>123</v>
      </c>
      <c r="E1138" s="4">
        <v>1.72</v>
      </c>
    </row>
    <row r="1139">
      <c r="A1139" s="5">
        <v>103832.0</v>
      </c>
      <c r="B1139" s="6" t="s">
        <v>60</v>
      </c>
      <c r="C1139" s="6" t="s">
        <v>120</v>
      </c>
      <c r="D1139" s="6" t="s">
        <v>123</v>
      </c>
      <c r="E1139" s="6">
        <v>1.68</v>
      </c>
    </row>
    <row r="1140">
      <c r="A1140" s="3">
        <v>103819.0</v>
      </c>
      <c r="B1140" s="4" t="s">
        <v>60</v>
      </c>
      <c r="C1140" s="4" t="s">
        <v>120</v>
      </c>
      <c r="D1140" s="4" t="s">
        <v>123</v>
      </c>
      <c r="E1140" s="4">
        <v>1.72</v>
      </c>
    </row>
    <row r="1141">
      <c r="A1141" s="5">
        <v>88683.0</v>
      </c>
      <c r="B1141" s="6" t="s">
        <v>60</v>
      </c>
      <c r="C1141" s="6" t="s">
        <v>120</v>
      </c>
      <c r="D1141" s="6" t="s">
        <v>123</v>
      </c>
      <c r="E1141" s="6">
        <v>1.66</v>
      </c>
    </row>
    <row r="1142">
      <c r="A1142" s="3">
        <v>5676.0</v>
      </c>
      <c r="B1142" s="4" t="s">
        <v>60</v>
      </c>
      <c r="C1142" s="4" t="s">
        <v>120</v>
      </c>
      <c r="D1142" s="4" t="s">
        <v>123</v>
      </c>
      <c r="E1142" s="4">
        <v>1.89</v>
      </c>
    </row>
    <row r="1143">
      <c r="A1143" s="5">
        <v>116776.0</v>
      </c>
      <c r="B1143" s="6" t="s">
        <v>60</v>
      </c>
      <c r="C1143" s="6" t="s">
        <v>120</v>
      </c>
      <c r="D1143" s="6" t="s">
        <v>123</v>
      </c>
      <c r="E1143" s="6">
        <v>1.13</v>
      </c>
    </row>
    <row r="1144">
      <c r="A1144" s="3">
        <v>5668.0</v>
      </c>
      <c r="B1144" s="4" t="s">
        <v>60</v>
      </c>
      <c r="C1144" s="4" t="s">
        <v>120</v>
      </c>
      <c r="D1144" s="4" t="s">
        <v>123</v>
      </c>
      <c r="E1144" s="4">
        <v>2.45</v>
      </c>
    </row>
    <row r="1145">
      <c r="A1145" s="5">
        <v>119052.0</v>
      </c>
      <c r="B1145" s="6" t="s">
        <v>60</v>
      </c>
      <c r="C1145" s="6" t="s">
        <v>120</v>
      </c>
      <c r="D1145" s="6" t="s">
        <v>123</v>
      </c>
      <c r="E1145" s="6">
        <v>2.05</v>
      </c>
    </row>
    <row r="1146">
      <c r="A1146" s="3">
        <v>118920.0</v>
      </c>
      <c r="B1146" s="4" t="s">
        <v>60</v>
      </c>
      <c r="C1146" s="4" t="s">
        <v>120</v>
      </c>
      <c r="D1146" s="4" t="s">
        <v>123</v>
      </c>
      <c r="E1146" s="4">
        <v>0.93</v>
      </c>
    </row>
    <row r="1147">
      <c r="A1147" s="5">
        <v>96003.0</v>
      </c>
      <c r="B1147" s="6" t="s">
        <v>60</v>
      </c>
      <c r="C1147" s="6" t="s">
        <v>120</v>
      </c>
      <c r="D1147" s="6" t="s">
        <v>124</v>
      </c>
      <c r="E1147" s="6">
        <v>2.0</v>
      </c>
    </row>
    <row r="1148">
      <c r="A1148" s="3">
        <v>116380.0</v>
      </c>
      <c r="B1148" s="4" t="s">
        <v>60</v>
      </c>
      <c r="C1148" s="4" t="s">
        <v>120</v>
      </c>
      <c r="D1148" s="4" t="s">
        <v>124</v>
      </c>
      <c r="E1148" s="4">
        <v>3.06</v>
      </c>
    </row>
    <row r="1149">
      <c r="A1149" s="5">
        <v>46291.0</v>
      </c>
      <c r="B1149" s="6" t="s">
        <v>60</v>
      </c>
      <c r="C1149" s="6" t="s">
        <v>120</v>
      </c>
      <c r="D1149" s="6" t="s">
        <v>124</v>
      </c>
      <c r="E1149" s="6">
        <v>1.85</v>
      </c>
    </row>
    <row r="1150">
      <c r="A1150" s="3">
        <v>148742.0</v>
      </c>
      <c r="B1150" s="4" t="s">
        <v>60</v>
      </c>
      <c r="C1150" s="4" t="s">
        <v>120</v>
      </c>
      <c r="D1150" s="4" t="s">
        <v>124</v>
      </c>
      <c r="E1150" s="4">
        <v>1.68</v>
      </c>
    </row>
    <row r="1151">
      <c r="A1151" s="5">
        <v>83634.0</v>
      </c>
      <c r="B1151" s="6" t="s">
        <v>60</v>
      </c>
      <c r="C1151" s="6" t="s">
        <v>120</v>
      </c>
      <c r="D1151" s="6" t="s">
        <v>124</v>
      </c>
      <c r="E1151" s="6">
        <v>3.24</v>
      </c>
    </row>
    <row r="1152">
      <c r="A1152" s="3">
        <v>5657.0</v>
      </c>
      <c r="B1152" s="4" t="s">
        <v>60</v>
      </c>
      <c r="C1152" s="4" t="s">
        <v>120</v>
      </c>
      <c r="D1152" s="4" t="s">
        <v>124</v>
      </c>
      <c r="E1152" s="4">
        <v>1.87</v>
      </c>
    </row>
    <row r="1153">
      <c r="A1153" s="5">
        <v>78856.0</v>
      </c>
      <c r="B1153" s="6" t="s">
        <v>60</v>
      </c>
      <c r="C1153" s="6" t="s">
        <v>120</v>
      </c>
      <c r="D1153" s="6" t="s">
        <v>124</v>
      </c>
      <c r="E1153" s="6">
        <v>1.93</v>
      </c>
    </row>
    <row r="1154">
      <c r="A1154" s="3">
        <v>44123.0</v>
      </c>
      <c r="B1154" s="4" t="s">
        <v>60</v>
      </c>
      <c r="C1154" s="4" t="s">
        <v>120</v>
      </c>
      <c r="D1154" s="4" t="s">
        <v>124</v>
      </c>
      <c r="E1154" s="4">
        <v>3.03</v>
      </c>
    </row>
    <row r="1155">
      <c r="A1155" s="5">
        <v>78855.0</v>
      </c>
      <c r="B1155" s="6" t="s">
        <v>60</v>
      </c>
      <c r="C1155" s="6" t="s">
        <v>120</v>
      </c>
      <c r="D1155" s="6" t="s">
        <v>124</v>
      </c>
      <c r="E1155" s="6">
        <v>2.06</v>
      </c>
    </row>
    <row r="1156">
      <c r="A1156" s="3">
        <v>48408.0</v>
      </c>
      <c r="B1156" s="4" t="s">
        <v>60</v>
      </c>
      <c r="C1156" s="4" t="s">
        <v>120</v>
      </c>
      <c r="D1156" s="4" t="s">
        <v>124</v>
      </c>
      <c r="E1156" s="4">
        <v>2.26</v>
      </c>
    </row>
    <row r="1157">
      <c r="A1157" s="5">
        <v>46303.0</v>
      </c>
      <c r="B1157" s="6" t="s">
        <v>60</v>
      </c>
      <c r="C1157" s="6" t="s">
        <v>120</v>
      </c>
      <c r="D1157" s="6" t="s">
        <v>124</v>
      </c>
      <c r="E1157" s="6">
        <v>1.85</v>
      </c>
    </row>
    <row r="1158">
      <c r="A1158" s="3">
        <v>147274.0</v>
      </c>
      <c r="B1158" s="4" t="s">
        <v>60</v>
      </c>
      <c r="C1158" s="4" t="s">
        <v>120</v>
      </c>
      <c r="D1158" s="4" t="s">
        <v>124</v>
      </c>
      <c r="E1158" s="4">
        <v>1.86</v>
      </c>
    </row>
    <row r="1159">
      <c r="A1159" s="5">
        <v>44144.0</v>
      </c>
      <c r="B1159" s="6" t="s">
        <v>60</v>
      </c>
      <c r="C1159" s="6" t="s">
        <v>120</v>
      </c>
      <c r="D1159" s="6" t="s">
        <v>124</v>
      </c>
      <c r="E1159" s="6">
        <v>2.25</v>
      </c>
    </row>
    <row r="1160">
      <c r="A1160" s="3">
        <v>96972.0</v>
      </c>
      <c r="B1160" s="4" t="s">
        <v>60</v>
      </c>
      <c r="C1160" s="4" t="s">
        <v>120</v>
      </c>
      <c r="D1160" s="4" t="s">
        <v>124</v>
      </c>
      <c r="E1160" s="4">
        <v>1.9</v>
      </c>
    </row>
    <row r="1161">
      <c r="A1161" s="5">
        <v>5665.0</v>
      </c>
      <c r="B1161" s="6" t="s">
        <v>60</v>
      </c>
      <c r="C1161" s="6" t="s">
        <v>120</v>
      </c>
      <c r="D1161" s="6" t="s">
        <v>124</v>
      </c>
      <c r="E1161" s="6">
        <v>2.67</v>
      </c>
    </row>
    <row r="1162">
      <c r="A1162" s="3">
        <v>26072.0</v>
      </c>
      <c r="B1162" s="4" t="s">
        <v>60</v>
      </c>
      <c r="C1162" s="4" t="s">
        <v>120</v>
      </c>
      <c r="D1162" s="4" t="s">
        <v>124</v>
      </c>
      <c r="E1162" s="4">
        <v>1.83</v>
      </c>
    </row>
    <row r="1163">
      <c r="A1163" s="5">
        <v>5631.0</v>
      </c>
      <c r="B1163" s="6" t="s">
        <v>60</v>
      </c>
      <c r="C1163" s="6" t="s">
        <v>120</v>
      </c>
      <c r="D1163" s="6" t="s">
        <v>124</v>
      </c>
      <c r="E1163" s="6">
        <v>2.36</v>
      </c>
    </row>
    <row r="1164">
      <c r="A1164" s="3">
        <v>104316.0</v>
      </c>
      <c r="B1164" s="4" t="s">
        <v>60</v>
      </c>
      <c r="C1164" s="4" t="s">
        <v>120</v>
      </c>
      <c r="D1164" s="4" t="s">
        <v>124</v>
      </c>
      <c r="E1164" s="4">
        <v>1.93</v>
      </c>
    </row>
    <row r="1165">
      <c r="A1165" s="5">
        <v>83612.0</v>
      </c>
      <c r="B1165" s="6" t="s">
        <v>60</v>
      </c>
      <c r="C1165" s="6" t="s">
        <v>120</v>
      </c>
      <c r="D1165" s="6" t="s">
        <v>124</v>
      </c>
      <c r="E1165" s="6">
        <v>2.68</v>
      </c>
    </row>
    <row r="1166">
      <c r="A1166" s="3">
        <v>87425.0</v>
      </c>
      <c r="B1166" s="4" t="s">
        <v>60</v>
      </c>
      <c r="C1166" s="4" t="s">
        <v>120</v>
      </c>
      <c r="D1166" s="4" t="s">
        <v>124</v>
      </c>
      <c r="E1166" s="4">
        <v>2.49</v>
      </c>
    </row>
    <row r="1167">
      <c r="A1167" s="5">
        <v>115611.0</v>
      </c>
      <c r="B1167" s="6" t="s">
        <v>60</v>
      </c>
      <c r="C1167" s="6" t="s">
        <v>120</v>
      </c>
      <c r="D1167" s="6" t="s">
        <v>124</v>
      </c>
      <c r="E1167" s="6">
        <v>2.1</v>
      </c>
    </row>
    <row r="1168">
      <c r="A1168" s="3">
        <v>88688.0</v>
      </c>
      <c r="B1168" s="4" t="s">
        <v>60</v>
      </c>
      <c r="C1168" s="4" t="s">
        <v>120</v>
      </c>
      <c r="D1168" s="4" t="s">
        <v>124</v>
      </c>
      <c r="E1168" s="4">
        <v>2.92</v>
      </c>
    </row>
    <row r="1169">
      <c r="A1169" s="5">
        <v>83605.0</v>
      </c>
      <c r="B1169" s="6" t="s">
        <v>60</v>
      </c>
      <c r="C1169" s="6" t="s">
        <v>120</v>
      </c>
      <c r="D1169" s="6" t="s">
        <v>124</v>
      </c>
      <c r="E1169" s="6">
        <v>3.24</v>
      </c>
    </row>
    <row r="1170">
      <c r="A1170" s="3">
        <v>44125.0</v>
      </c>
      <c r="B1170" s="4" t="s">
        <v>60</v>
      </c>
      <c r="C1170" s="4" t="s">
        <v>120</v>
      </c>
      <c r="D1170" s="4" t="s">
        <v>124</v>
      </c>
      <c r="E1170" s="4">
        <v>1.68</v>
      </c>
    </row>
    <row r="1171">
      <c r="A1171" s="5">
        <v>83639.0</v>
      </c>
      <c r="B1171" s="6" t="s">
        <v>60</v>
      </c>
      <c r="C1171" s="6" t="s">
        <v>120</v>
      </c>
      <c r="D1171" s="6" t="s">
        <v>124</v>
      </c>
      <c r="E1171" s="6">
        <v>3.31</v>
      </c>
    </row>
    <row r="1172">
      <c r="A1172" s="3">
        <v>5656.0</v>
      </c>
      <c r="B1172" s="4" t="s">
        <v>60</v>
      </c>
      <c r="C1172" s="4" t="s">
        <v>120</v>
      </c>
      <c r="D1172" s="4" t="s">
        <v>124</v>
      </c>
      <c r="E1172" s="4">
        <v>1.87</v>
      </c>
    </row>
    <row r="1173">
      <c r="A1173" s="5">
        <v>88686.0</v>
      </c>
      <c r="B1173" s="6" t="s">
        <v>60</v>
      </c>
      <c r="C1173" s="6" t="s">
        <v>120</v>
      </c>
      <c r="D1173" s="6" t="s">
        <v>124</v>
      </c>
      <c r="E1173" s="6">
        <v>2.94</v>
      </c>
    </row>
    <row r="1174">
      <c r="A1174" s="3">
        <v>83601.0</v>
      </c>
      <c r="B1174" s="4" t="s">
        <v>60</v>
      </c>
      <c r="C1174" s="4" t="s">
        <v>120</v>
      </c>
      <c r="D1174" s="4" t="s">
        <v>124</v>
      </c>
      <c r="E1174" s="4">
        <v>3.77</v>
      </c>
    </row>
    <row r="1175">
      <c r="A1175" s="5">
        <v>48407.0</v>
      </c>
      <c r="B1175" s="6" t="s">
        <v>60</v>
      </c>
      <c r="C1175" s="6" t="s">
        <v>120</v>
      </c>
      <c r="D1175" s="6" t="s">
        <v>124</v>
      </c>
      <c r="E1175" s="6">
        <v>3.03</v>
      </c>
    </row>
    <row r="1176">
      <c r="A1176" s="3">
        <v>5692.0</v>
      </c>
      <c r="B1176" s="4" t="s">
        <v>60</v>
      </c>
      <c r="C1176" s="4" t="s">
        <v>120</v>
      </c>
      <c r="D1176" s="4" t="s">
        <v>124</v>
      </c>
      <c r="E1176" s="4">
        <v>2.82</v>
      </c>
    </row>
    <row r="1177">
      <c r="A1177" s="5">
        <v>112803.0</v>
      </c>
      <c r="B1177" s="6" t="s">
        <v>60</v>
      </c>
      <c r="C1177" s="6" t="s">
        <v>120</v>
      </c>
      <c r="D1177" s="6" t="s">
        <v>124</v>
      </c>
      <c r="E1177" s="6">
        <v>2.12</v>
      </c>
    </row>
    <row r="1178">
      <c r="A1178" s="3">
        <v>83600.0</v>
      </c>
      <c r="B1178" s="4" t="s">
        <v>60</v>
      </c>
      <c r="C1178" s="4" t="s">
        <v>120</v>
      </c>
      <c r="D1178" s="4" t="s">
        <v>124</v>
      </c>
      <c r="E1178" s="4">
        <v>3.43</v>
      </c>
    </row>
    <row r="1179">
      <c r="A1179" s="5">
        <v>83621.0</v>
      </c>
      <c r="B1179" s="6" t="s">
        <v>60</v>
      </c>
      <c r="C1179" s="6" t="s">
        <v>120</v>
      </c>
      <c r="D1179" s="6" t="s">
        <v>124</v>
      </c>
      <c r="E1179" s="6">
        <v>2.37</v>
      </c>
    </row>
    <row r="1180">
      <c r="A1180" s="3">
        <v>115599.0</v>
      </c>
      <c r="B1180" s="4" t="s">
        <v>60</v>
      </c>
      <c r="C1180" s="4" t="s">
        <v>120</v>
      </c>
      <c r="D1180" s="4" t="s">
        <v>124</v>
      </c>
      <c r="E1180" s="4">
        <v>2.1</v>
      </c>
    </row>
    <row r="1181">
      <c r="A1181" s="5">
        <v>83598.0</v>
      </c>
      <c r="B1181" s="6" t="s">
        <v>60</v>
      </c>
      <c r="C1181" s="6" t="s">
        <v>120</v>
      </c>
      <c r="D1181" s="6" t="s">
        <v>124</v>
      </c>
      <c r="E1181" s="6">
        <v>3.63</v>
      </c>
    </row>
    <row r="1182">
      <c r="A1182" s="3">
        <v>5652.0</v>
      </c>
      <c r="B1182" s="4" t="s">
        <v>60</v>
      </c>
      <c r="C1182" s="4" t="s">
        <v>120</v>
      </c>
      <c r="D1182" s="4" t="s">
        <v>124</v>
      </c>
      <c r="E1182" s="4">
        <v>2.0</v>
      </c>
    </row>
    <row r="1183">
      <c r="A1183" s="5">
        <v>122661.0</v>
      </c>
      <c r="B1183" s="6" t="s">
        <v>60</v>
      </c>
      <c r="C1183" s="6" t="s">
        <v>120</v>
      </c>
      <c r="D1183" s="6" t="s">
        <v>124</v>
      </c>
      <c r="E1183" s="6">
        <v>2.65</v>
      </c>
    </row>
    <row r="1184">
      <c r="A1184" s="3">
        <v>116384.0</v>
      </c>
      <c r="B1184" s="4" t="s">
        <v>60</v>
      </c>
      <c r="C1184" s="4" t="s">
        <v>120</v>
      </c>
      <c r="D1184" s="4" t="s">
        <v>124</v>
      </c>
      <c r="E1184" s="4">
        <v>2.74</v>
      </c>
    </row>
    <row r="1185">
      <c r="A1185" s="5">
        <v>78859.0</v>
      </c>
      <c r="B1185" s="6" t="s">
        <v>60</v>
      </c>
      <c r="C1185" s="6" t="s">
        <v>120</v>
      </c>
      <c r="D1185" s="6" t="s">
        <v>124</v>
      </c>
      <c r="E1185" s="6">
        <v>1.93</v>
      </c>
    </row>
    <row r="1186">
      <c r="A1186" s="3">
        <v>87096.0</v>
      </c>
      <c r="B1186" s="4" t="s">
        <v>60</v>
      </c>
      <c r="C1186" s="4" t="s">
        <v>120</v>
      </c>
      <c r="D1186" s="4" t="s">
        <v>124</v>
      </c>
      <c r="E1186" s="4">
        <v>2.29</v>
      </c>
    </row>
    <row r="1187">
      <c r="A1187" s="5">
        <v>87428.0</v>
      </c>
      <c r="B1187" s="6" t="s">
        <v>60</v>
      </c>
      <c r="C1187" s="6" t="s">
        <v>120</v>
      </c>
      <c r="D1187" s="6" t="s">
        <v>124</v>
      </c>
      <c r="E1187" s="6">
        <v>1.92</v>
      </c>
    </row>
    <row r="1188">
      <c r="A1188" s="3">
        <v>5690.0</v>
      </c>
      <c r="B1188" s="4" t="s">
        <v>60</v>
      </c>
      <c r="C1188" s="4" t="s">
        <v>120</v>
      </c>
      <c r="D1188" s="4" t="s">
        <v>124</v>
      </c>
      <c r="E1188" s="4">
        <v>2.36</v>
      </c>
    </row>
    <row r="1189">
      <c r="A1189" s="5">
        <v>5663.0</v>
      </c>
      <c r="B1189" s="6" t="s">
        <v>60</v>
      </c>
      <c r="C1189" s="6" t="s">
        <v>120</v>
      </c>
      <c r="D1189" s="6" t="s">
        <v>124</v>
      </c>
      <c r="E1189" s="6">
        <v>1.88</v>
      </c>
    </row>
    <row r="1190">
      <c r="A1190" s="3">
        <v>5654.0</v>
      </c>
      <c r="B1190" s="4" t="s">
        <v>60</v>
      </c>
      <c r="C1190" s="4" t="s">
        <v>120</v>
      </c>
      <c r="D1190" s="4" t="s">
        <v>124</v>
      </c>
      <c r="E1190" s="4">
        <v>1.87</v>
      </c>
    </row>
    <row r="1191">
      <c r="A1191" s="5">
        <v>44607.0</v>
      </c>
      <c r="B1191" s="6" t="s">
        <v>60</v>
      </c>
      <c r="C1191" s="6" t="s">
        <v>120</v>
      </c>
      <c r="D1191" s="6" t="s">
        <v>124</v>
      </c>
      <c r="E1191" s="6">
        <v>1.96</v>
      </c>
    </row>
    <row r="1192">
      <c r="A1192" s="3">
        <v>5662.0</v>
      </c>
      <c r="B1192" s="4" t="s">
        <v>60</v>
      </c>
      <c r="C1192" s="4" t="s">
        <v>120</v>
      </c>
      <c r="D1192" s="4" t="s">
        <v>124</v>
      </c>
      <c r="E1192" s="4">
        <v>1.94</v>
      </c>
    </row>
    <row r="1193">
      <c r="A1193" s="5">
        <v>87426.0</v>
      </c>
      <c r="B1193" s="6" t="s">
        <v>60</v>
      </c>
      <c r="C1193" s="6" t="s">
        <v>120</v>
      </c>
      <c r="D1193" s="6" t="s">
        <v>124</v>
      </c>
      <c r="E1193" s="6">
        <v>2.49</v>
      </c>
    </row>
    <row r="1194">
      <c r="A1194" s="3">
        <v>5680.0</v>
      </c>
      <c r="B1194" s="4" t="s">
        <v>60</v>
      </c>
      <c r="C1194" s="4" t="s">
        <v>120</v>
      </c>
      <c r="D1194" s="4" t="s">
        <v>124</v>
      </c>
      <c r="E1194" s="4">
        <v>1.56</v>
      </c>
    </row>
    <row r="1195">
      <c r="A1195" s="5">
        <v>5661.0</v>
      </c>
      <c r="B1195" s="6" t="s">
        <v>60</v>
      </c>
      <c r="C1195" s="6" t="s">
        <v>120</v>
      </c>
      <c r="D1195" s="6" t="s">
        <v>124</v>
      </c>
      <c r="E1195" s="6">
        <v>2.44</v>
      </c>
    </row>
    <row r="1196">
      <c r="A1196" s="3">
        <v>83629.0</v>
      </c>
      <c r="B1196" s="4" t="s">
        <v>60</v>
      </c>
      <c r="C1196" s="4" t="s">
        <v>120</v>
      </c>
      <c r="D1196" s="4" t="s">
        <v>124</v>
      </c>
      <c r="E1196" s="4">
        <v>3.63</v>
      </c>
    </row>
    <row r="1197">
      <c r="A1197" s="5">
        <v>83599.0</v>
      </c>
      <c r="B1197" s="6" t="s">
        <v>60</v>
      </c>
      <c r="C1197" s="6" t="s">
        <v>120</v>
      </c>
      <c r="D1197" s="6" t="s">
        <v>124</v>
      </c>
      <c r="E1197" s="6">
        <v>3.63</v>
      </c>
    </row>
    <row r="1198">
      <c r="A1198" s="3">
        <v>83625.0</v>
      </c>
      <c r="B1198" s="4" t="s">
        <v>60</v>
      </c>
      <c r="C1198" s="4" t="s">
        <v>120</v>
      </c>
      <c r="D1198" s="4" t="s">
        <v>124</v>
      </c>
      <c r="E1198" s="4">
        <v>2.5</v>
      </c>
    </row>
    <row r="1199">
      <c r="A1199" s="5">
        <v>87887.0</v>
      </c>
      <c r="B1199" s="6" t="s">
        <v>60</v>
      </c>
      <c r="C1199" s="6" t="s">
        <v>120</v>
      </c>
      <c r="D1199" s="6" t="s">
        <v>125</v>
      </c>
      <c r="E1199" s="6">
        <v>1.96</v>
      </c>
    </row>
    <row r="1200">
      <c r="A1200" s="3">
        <v>118923.0</v>
      </c>
      <c r="B1200" s="4" t="s">
        <v>60</v>
      </c>
      <c r="C1200" s="4" t="s">
        <v>120</v>
      </c>
      <c r="D1200" s="4" t="s">
        <v>125</v>
      </c>
      <c r="E1200" s="4">
        <v>1.63</v>
      </c>
    </row>
    <row r="1201">
      <c r="A1201" s="5">
        <v>87421.0</v>
      </c>
      <c r="B1201" s="6" t="s">
        <v>60</v>
      </c>
      <c r="C1201" s="6" t="s">
        <v>120</v>
      </c>
      <c r="D1201" s="6" t="s">
        <v>125</v>
      </c>
      <c r="E1201" s="6">
        <v>2.04</v>
      </c>
    </row>
    <row r="1202">
      <c r="A1202" s="3">
        <v>117531.0</v>
      </c>
      <c r="B1202" s="4" t="s">
        <v>60</v>
      </c>
      <c r="C1202" s="4" t="s">
        <v>120</v>
      </c>
      <c r="D1202" s="4" t="s">
        <v>125</v>
      </c>
      <c r="E1202" s="4">
        <v>1.78</v>
      </c>
    </row>
    <row r="1203">
      <c r="A1203" s="5">
        <v>122267.0</v>
      </c>
      <c r="B1203" s="6" t="s">
        <v>60</v>
      </c>
      <c r="C1203" s="6" t="s">
        <v>120</v>
      </c>
      <c r="D1203" s="6" t="s">
        <v>125</v>
      </c>
      <c r="E1203" s="6">
        <v>2.12</v>
      </c>
    </row>
    <row r="1204">
      <c r="A1204" s="3">
        <v>117527.0</v>
      </c>
      <c r="B1204" s="4" t="s">
        <v>60</v>
      </c>
      <c r="C1204" s="4" t="s">
        <v>120</v>
      </c>
      <c r="D1204" s="4" t="s">
        <v>125</v>
      </c>
      <c r="E1204" s="4">
        <v>1.78</v>
      </c>
    </row>
    <row r="1205">
      <c r="A1205" s="5">
        <v>44138.0</v>
      </c>
      <c r="B1205" s="6" t="s">
        <v>60</v>
      </c>
      <c r="C1205" s="6" t="s">
        <v>120</v>
      </c>
      <c r="D1205" s="6" t="s">
        <v>125</v>
      </c>
      <c r="E1205" s="6">
        <v>2.04</v>
      </c>
    </row>
    <row r="1206">
      <c r="A1206" s="3">
        <v>117529.0</v>
      </c>
      <c r="B1206" s="4" t="s">
        <v>60</v>
      </c>
      <c r="C1206" s="4" t="s">
        <v>120</v>
      </c>
      <c r="D1206" s="4" t="s">
        <v>125</v>
      </c>
      <c r="E1206" s="4">
        <v>1.78</v>
      </c>
    </row>
    <row r="1207">
      <c r="A1207" s="5">
        <v>122269.0</v>
      </c>
      <c r="B1207" s="6" t="s">
        <v>60</v>
      </c>
      <c r="C1207" s="6" t="s">
        <v>120</v>
      </c>
      <c r="D1207" s="6" t="s">
        <v>125</v>
      </c>
      <c r="E1207" s="6">
        <v>1.99</v>
      </c>
    </row>
    <row r="1208">
      <c r="A1208" s="3">
        <v>87886.0</v>
      </c>
      <c r="B1208" s="4" t="s">
        <v>60</v>
      </c>
      <c r="C1208" s="4" t="s">
        <v>120</v>
      </c>
      <c r="D1208" s="4" t="s">
        <v>125</v>
      </c>
      <c r="E1208" s="4">
        <v>1.96</v>
      </c>
    </row>
    <row r="1209">
      <c r="A1209" s="5">
        <v>104317.0</v>
      </c>
      <c r="B1209" s="6" t="s">
        <v>60</v>
      </c>
      <c r="C1209" s="6" t="s">
        <v>120</v>
      </c>
      <c r="D1209" s="6" t="s">
        <v>125</v>
      </c>
      <c r="E1209" s="6">
        <v>2.36</v>
      </c>
    </row>
    <row r="1210">
      <c r="A1210" s="3">
        <v>114943.0</v>
      </c>
      <c r="B1210" s="4" t="s">
        <v>60</v>
      </c>
      <c r="C1210" s="4" t="s">
        <v>120</v>
      </c>
      <c r="D1210" s="4" t="s">
        <v>125</v>
      </c>
      <c r="E1210" s="4">
        <v>2.58</v>
      </c>
    </row>
    <row r="1211">
      <c r="A1211" s="5">
        <v>44134.0</v>
      </c>
      <c r="B1211" s="6" t="s">
        <v>60</v>
      </c>
      <c r="C1211" s="6" t="s">
        <v>120</v>
      </c>
      <c r="D1211" s="6" t="s">
        <v>125</v>
      </c>
      <c r="E1211" s="6">
        <v>2.04</v>
      </c>
    </row>
    <row r="1212">
      <c r="A1212" s="3">
        <v>5637.0</v>
      </c>
      <c r="B1212" s="4" t="s">
        <v>60</v>
      </c>
      <c r="C1212" s="4" t="s">
        <v>120</v>
      </c>
      <c r="D1212" s="4" t="s">
        <v>126</v>
      </c>
      <c r="E1212" s="4">
        <v>1.13</v>
      </c>
    </row>
    <row r="1213">
      <c r="A1213" s="5">
        <v>5641.0</v>
      </c>
      <c r="B1213" s="6" t="s">
        <v>60</v>
      </c>
      <c r="C1213" s="6" t="s">
        <v>120</v>
      </c>
      <c r="D1213" s="6" t="s">
        <v>126</v>
      </c>
      <c r="E1213" s="6">
        <v>1.09</v>
      </c>
    </row>
    <row r="1214">
      <c r="A1214" s="3">
        <v>147323.0</v>
      </c>
      <c r="B1214" s="4" t="s">
        <v>60</v>
      </c>
      <c r="C1214" s="4" t="s">
        <v>120</v>
      </c>
      <c r="D1214" s="4" t="s">
        <v>126</v>
      </c>
      <c r="E1214" s="4">
        <v>1.73</v>
      </c>
    </row>
    <row r="1215">
      <c r="A1215" s="5">
        <v>44118.0</v>
      </c>
      <c r="B1215" s="6" t="s">
        <v>60</v>
      </c>
      <c r="C1215" s="6" t="s">
        <v>120</v>
      </c>
      <c r="D1215" s="6" t="s">
        <v>126</v>
      </c>
      <c r="E1215" s="6">
        <v>1.0</v>
      </c>
    </row>
    <row r="1216">
      <c r="A1216" s="3">
        <v>115608.0</v>
      </c>
      <c r="B1216" s="4" t="s">
        <v>60</v>
      </c>
      <c r="C1216" s="4" t="s">
        <v>120</v>
      </c>
      <c r="D1216" s="4" t="s">
        <v>126</v>
      </c>
      <c r="E1216" s="4">
        <v>1.49</v>
      </c>
    </row>
    <row r="1217">
      <c r="A1217" s="5">
        <v>44127.0</v>
      </c>
      <c r="B1217" s="6" t="s">
        <v>60</v>
      </c>
      <c r="C1217" s="6" t="s">
        <v>120</v>
      </c>
      <c r="D1217" s="6" t="s">
        <v>126</v>
      </c>
      <c r="E1217" s="6">
        <v>1.27</v>
      </c>
    </row>
    <row r="1218">
      <c r="A1218" s="3">
        <v>122348.0</v>
      </c>
      <c r="B1218" s="4" t="s">
        <v>60</v>
      </c>
      <c r="C1218" s="4" t="s">
        <v>120</v>
      </c>
      <c r="D1218" s="4" t="s">
        <v>126</v>
      </c>
      <c r="E1218" s="4">
        <v>0.85</v>
      </c>
    </row>
    <row r="1219">
      <c r="A1219" s="5">
        <v>147304.0</v>
      </c>
      <c r="B1219" s="6" t="s">
        <v>60</v>
      </c>
      <c r="C1219" s="6" t="s">
        <v>120</v>
      </c>
      <c r="D1219" s="6" t="s">
        <v>126</v>
      </c>
      <c r="E1219" s="6">
        <v>0.94</v>
      </c>
    </row>
    <row r="1220">
      <c r="A1220" s="3">
        <v>118310.0</v>
      </c>
      <c r="B1220" s="4" t="s">
        <v>60</v>
      </c>
      <c r="C1220" s="4" t="s">
        <v>120</v>
      </c>
      <c r="D1220" s="4" t="s">
        <v>126</v>
      </c>
      <c r="E1220" s="4">
        <v>0.95</v>
      </c>
    </row>
    <row r="1221">
      <c r="A1221" s="5">
        <v>77175.0</v>
      </c>
      <c r="B1221" s="6" t="s">
        <v>60</v>
      </c>
      <c r="C1221" s="6" t="s">
        <v>120</v>
      </c>
      <c r="D1221" s="6" t="s">
        <v>126</v>
      </c>
      <c r="E1221" s="6">
        <v>0.82</v>
      </c>
    </row>
    <row r="1222">
      <c r="A1222" s="3">
        <v>5645.0</v>
      </c>
      <c r="B1222" s="4" t="s">
        <v>60</v>
      </c>
      <c r="C1222" s="4" t="s">
        <v>120</v>
      </c>
      <c r="D1222" s="4" t="s">
        <v>126</v>
      </c>
      <c r="E1222" s="4">
        <v>1.13</v>
      </c>
    </row>
    <row r="1223">
      <c r="A1223" s="5">
        <v>76679.0</v>
      </c>
      <c r="B1223" s="6" t="s">
        <v>60</v>
      </c>
      <c r="C1223" s="6" t="s">
        <v>120</v>
      </c>
      <c r="D1223" s="6" t="s">
        <v>126</v>
      </c>
      <c r="E1223" s="6">
        <v>1.01</v>
      </c>
    </row>
    <row r="1224">
      <c r="A1224" s="3">
        <v>5635.0</v>
      </c>
      <c r="B1224" s="4" t="s">
        <v>60</v>
      </c>
      <c r="C1224" s="4" t="s">
        <v>120</v>
      </c>
      <c r="D1224" s="4" t="s">
        <v>126</v>
      </c>
      <c r="E1224" s="4">
        <v>1.13</v>
      </c>
    </row>
    <row r="1225">
      <c r="A1225" s="5">
        <v>110960.0</v>
      </c>
      <c r="B1225" s="6" t="s">
        <v>60</v>
      </c>
      <c r="C1225" s="6" t="s">
        <v>120</v>
      </c>
      <c r="D1225" s="6" t="s">
        <v>126</v>
      </c>
      <c r="E1225" s="6">
        <v>0.98</v>
      </c>
    </row>
    <row r="1226">
      <c r="A1226" s="3">
        <v>108290.0</v>
      </c>
      <c r="B1226" s="4" t="s">
        <v>60</v>
      </c>
      <c r="C1226" s="4" t="s">
        <v>120</v>
      </c>
      <c r="D1226" s="4" t="s">
        <v>126</v>
      </c>
      <c r="E1226" s="4">
        <v>9.94</v>
      </c>
    </row>
    <row r="1227">
      <c r="A1227" s="5">
        <v>117680.0</v>
      </c>
      <c r="B1227" s="6" t="s">
        <v>60</v>
      </c>
      <c r="C1227" s="6" t="s">
        <v>120</v>
      </c>
      <c r="D1227" s="6" t="s">
        <v>126</v>
      </c>
      <c r="E1227" s="6">
        <v>9.62</v>
      </c>
    </row>
    <row r="1228">
      <c r="A1228" s="3">
        <v>77183.0</v>
      </c>
      <c r="B1228" s="4" t="s">
        <v>60</v>
      </c>
      <c r="C1228" s="4" t="s">
        <v>120</v>
      </c>
      <c r="D1228" s="4" t="s">
        <v>126</v>
      </c>
      <c r="E1228" s="4">
        <v>0.8</v>
      </c>
    </row>
    <row r="1229">
      <c r="A1229" s="5">
        <v>147322.0</v>
      </c>
      <c r="B1229" s="6" t="s">
        <v>60</v>
      </c>
      <c r="C1229" s="6" t="s">
        <v>120</v>
      </c>
      <c r="D1229" s="6" t="s">
        <v>126</v>
      </c>
      <c r="E1229" s="6">
        <v>1.57</v>
      </c>
    </row>
    <row r="1230">
      <c r="A1230" s="3">
        <v>44120.0</v>
      </c>
      <c r="B1230" s="4" t="s">
        <v>60</v>
      </c>
      <c r="C1230" s="4" t="s">
        <v>120</v>
      </c>
      <c r="D1230" s="4" t="s">
        <v>126</v>
      </c>
      <c r="E1230" s="4">
        <v>1.02</v>
      </c>
    </row>
    <row r="1231">
      <c r="A1231" s="5">
        <v>44115.0</v>
      </c>
      <c r="B1231" s="6" t="s">
        <v>60</v>
      </c>
      <c r="C1231" s="6" t="s">
        <v>120</v>
      </c>
      <c r="D1231" s="6" t="s">
        <v>126</v>
      </c>
      <c r="E1231" s="6">
        <v>1.0</v>
      </c>
    </row>
    <row r="1232">
      <c r="A1232" s="3">
        <v>44117.0</v>
      </c>
      <c r="B1232" s="4" t="s">
        <v>60</v>
      </c>
      <c r="C1232" s="4" t="s">
        <v>120</v>
      </c>
      <c r="D1232" s="4" t="s">
        <v>126</v>
      </c>
      <c r="E1232" s="4">
        <v>1.0</v>
      </c>
    </row>
    <row r="1233">
      <c r="A1233" s="5">
        <v>76670.0</v>
      </c>
      <c r="B1233" s="6" t="s">
        <v>60</v>
      </c>
      <c r="C1233" s="6" t="s">
        <v>120</v>
      </c>
      <c r="D1233" s="6" t="s">
        <v>126</v>
      </c>
      <c r="E1233" s="6">
        <v>0.82</v>
      </c>
    </row>
    <row r="1234">
      <c r="A1234" s="3">
        <v>122347.0</v>
      </c>
      <c r="B1234" s="4" t="s">
        <v>60</v>
      </c>
      <c r="C1234" s="4" t="s">
        <v>120</v>
      </c>
      <c r="D1234" s="4" t="s">
        <v>126</v>
      </c>
      <c r="E1234" s="4">
        <v>0.85</v>
      </c>
    </row>
    <row r="1235">
      <c r="A1235" s="5">
        <v>112462.0</v>
      </c>
      <c r="B1235" s="6" t="s">
        <v>60</v>
      </c>
      <c r="C1235" s="6" t="s">
        <v>120</v>
      </c>
      <c r="D1235" s="6" t="s">
        <v>126</v>
      </c>
      <c r="E1235" s="6">
        <v>0.98</v>
      </c>
    </row>
    <row r="1236">
      <c r="A1236" s="3">
        <v>5636.0</v>
      </c>
      <c r="B1236" s="4" t="s">
        <v>60</v>
      </c>
      <c r="C1236" s="4" t="s">
        <v>120</v>
      </c>
      <c r="D1236" s="4" t="s">
        <v>126</v>
      </c>
      <c r="E1236" s="4">
        <v>1.13</v>
      </c>
    </row>
    <row r="1237">
      <c r="A1237" s="5">
        <v>112464.0</v>
      </c>
      <c r="B1237" s="6" t="s">
        <v>60</v>
      </c>
      <c r="C1237" s="6" t="s">
        <v>120</v>
      </c>
      <c r="D1237" s="6" t="s">
        <v>126</v>
      </c>
      <c r="E1237" s="6">
        <v>0.98</v>
      </c>
    </row>
    <row r="1238">
      <c r="A1238" s="3">
        <v>5639.0</v>
      </c>
      <c r="B1238" s="4" t="s">
        <v>60</v>
      </c>
      <c r="C1238" s="4" t="s">
        <v>120</v>
      </c>
      <c r="D1238" s="4" t="s">
        <v>126</v>
      </c>
      <c r="E1238" s="4">
        <v>0.92</v>
      </c>
    </row>
    <row r="1239">
      <c r="A1239" s="5">
        <v>44147.0</v>
      </c>
      <c r="B1239" s="6" t="s">
        <v>60</v>
      </c>
      <c r="C1239" s="6" t="s">
        <v>120</v>
      </c>
      <c r="D1239" s="6" t="s">
        <v>126</v>
      </c>
      <c r="E1239" s="6">
        <v>1.23</v>
      </c>
    </row>
    <row r="1240">
      <c r="A1240" s="3">
        <v>5638.0</v>
      </c>
      <c r="B1240" s="4" t="s">
        <v>60</v>
      </c>
      <c r="C1240" s="4" t="s">
        <v>120</v>
      </c>
      <c r="D1240" s="4" t="s">
        <v>126</v>
      </c>
      <c r="E1240" s="4">
        <v>0.95</v>
      </c>
    </row>
    <row r="1241">
      <c r="A1241" s="5">
        <v>103074.0</v>
      </c>
      <c r="B1241" s="6" t="s">
        <v>60</v>
      </c>
      <c r="C1241" s="6" t="s">
        <v>120</v>
      </c>
      <c r="D1241" s="6" t="s">
        <v>126</v>
      </c>
      <c r="E1241" s="6">
        <v>1.23</v>
      </c>
    </row>
    <row r="1242">
      <c r="A1242" s="3">
        <v>45913.0</v>
      </c>
      <c r="B1242" s="4" t="s">
        <v>60</v>
      </c>
      <c r="C1242" s="4" t="s">
        <v>120</v>
      </c>
      <c r="D1242" s="4" t="s">
        <v>127</v>
      </c>
      <c r="E1242" s="4">
        <v>3.32</v>
      </c>
    </row>
    <row r="1243">
      <c r="A1243" s="5">
        <v>120044.0</v>
      </c>
      <c r="B1243" s="6" t="s">
        <v>60</v>
      </c>
      <c r="C1243" s="6" t="s">
        <v>120</v>
      </c>
      <c r="D1243" s="6" t="s">
        <v>127</v>
      </c>
      <c r="E1243" s="6">
        <v>1.97</v>
      </c>
    </row>
    <row r="1244">
      <c r="A1244" s="3">
        <v>90973.0</v>
      </c>
      <c r="B1244" s="4" t="s">
        <v>60</v>
      </c>
      <c r="C1244" s="4" t="s">
        <v>120</v>
      </c>
      <c r="D1244" s="4" t="s">
        <v>127</v>
      </c>
      <c r="E1244" s="4">
        <v>1.96</v>
      </c>
    </row>
    <row r="1245">
      <c r="A1245" s="5">
        <v>103830.0</v>
      </c>
      <c r="B1245" s="6" t="s">
        <v>60</v>
      </c>
      <c r="C1245" s="6" t="s">
        <v>120</v>
      </c>
      <c r="D1245" s="6" t="s">
        <v>127</v>
      </c>
      <c r="E1245" s="6">
        <v>2.25</v>
      </c>
    </row>
    <row r="1246">
      <c r="A1246" s="3">
        <v>111765.0</v>
      </c>
      <c r="B1246" s="4" t="s">
        <v>60</v>
      </c>
      <c r="C1246" s="4" t="s">
        <v>120</v>
      </c>
      <c r="D1246" s="4" t="s">
        <v>127</v>
      </c>
      <c r="E1246" s="4">
        <v>1.18</v>
      </c>
    </row>
    <row r="1247">
      <c r="A1247" s="5">
        <v>45952.0</v>
      </c>
      <c r="B1247" s="6" t="s">
        <v>60</v>
      </c>
      <c r="C1247" s="6" t="s">
        <v>120</v>
      </c>
      <c r="D1247" s="6" t="s">
        <v>127</v>
      </c>
      <c r="E1247" s="6">
        <v>3.3</v>
      </c>
    </row>
    <row r="1248">
      <c r="A1248" s="3">
        <v>91749.0</v>
      </c>
      <c r="B1248" s="4" t="s">
        <v>60</v>
      </c>
      <c r="C1248" s="4" t="s">
        <v>120</v>
      </c>
      <c r="D1248" s="4" t="s">
        <v>127</v>
      </c>
      <c r="E1248" s="4">
        <v>3.31</v>
      </c>
    </row>
    <row r="1249">
      <c r="A1249" s="5">
        <v>120040.0</v>
      </c>
      <c r="B1249" s="6" t="s">
        <v>60</v>
      </c>
      <c r="C1249" s="6" t="s">
        <v>120</v>
      </c>
      <c r="D1249" s="6" t="s">
        <v>127</v>
      </c>
      <c r="E1249" s="6">
        <v>2.85</v>
      </c>
    </row>
    <row r="1250">
      <c r="A1250" s="3">
        <v>17143.0</v>
      </c>
      <c r="B1250" s="4" t="s">
        <v>60</v>
      </c>
      <c r="C1250" s="4" t="s">
        <v>120</v>
      </c>
      <c r="D1250" s="4" t="s">
        <v>127</v>
      </c>
      <c r="E1250" s="4">
        <v>1.11</v>
      </c>
    </row>
    <row r="1251">
      <c r="A1251" s="5">
        <v>120515.0</v>
      </c>
      <c r="B1251" s="6" t="s">
        <v>60</v>
      </c>
      <c r="C1251" s="6" t="s">
        <v>120</v>
      </c>
      <c r="D1251" s="6" t="s">
        <v>127</v>
      </c>
      <c r="E1251" s="6">
        <v>1.91</v>
      </c>
    </row>
    <row r="1252">
      <c r="A1252" s="3">
        <v>120045.0</v>
      </c>
      <c r="B1252" s="4" t="s">
        <v>60</v>
      </c>
      <c r="C1252" s="4" t="s">
        <v>120</v>
      </c>
      <c r="D1252" s="4" t="s">
        <v>127</v>
      </c>
      <c r="E1252" s="4">
        <v>2.04</v>
      </c>
    </row>
    <row r="1253">
      <c r="A1253" s="5">
        <v>122268.0</v>
      </c>
      <c r="B1253" s="6" t="s">
        <v>60</v>
      </c>
      <c r="C1253" s="6" t="s">
        <v>120</v>
      </c>
      <c r="D1253" s="6" t="s">
        <v>127</v>
      </c>
      <c r="E1253" s="6">
        <v>1.99</v>
      </c>
    </row>
    <row r="1254">
      <c r="A1254" s="3">
        <v>195737.0</v>
      </c>
      <c r="B1254" s="4" t="s">
        <v>60</v>
      </c>
      <c r="C1254" s="4" t="s">
        <v>120</v>
      </c>
      <c r="D1254" s="4" t="s">
        <v>127</v>
      </c>
      <c r="E1254" s="4">
        <v>3.01</v>
      </c>
    </row>
    <row r="1255">
      <c r="A1255" s="5">
        <v>78759.0</v>
      </c>
      <c r="B1255" s="6" t="s">
        <v>60</v>
      </c>
      <c r="C1255" s="6" t="s">
        <v>120</v>
      </c>
      <c r="D1255" s="6" t="s">
        <v>127</v>
      </c>
      <c r="E1255" s="6">
        <v>2.91</v>
      </c>
    </row>
    <row r="1256">
      <c r="A1256" s="3">
        <v>8857.0</v>
      </c>
      <c r="B1256" s="4" t="s">
        <v>60</v>
      </c>
      <c r="C1256" s="4" t="s">
        <v>120</v>
      </c>
      <c r="D1256" s="4" t="s">
        <v>127</v>
      </c>
      <c r="E1256" s="4">
        <v>2.45</v>
      </c>
    </row>
    <row r="1257">
      <c r="A1257" s="5">
        <v>8860.0</v>
      </c>
      <c r="B1257" s="6" t="s">
        <v>60</v>
      </c>
      <c r="C1257" s="6" t="s">
        <v>120</v>
      </c>
      <c r="D1257" s="6" t="s">
        <v>127</v>
      </c>
      <c r="E1257" s="6">
        <v>4.08</v>
      </c>
    </row>
    <row r="1258">
      <c r="A1258" s="3">
        <v>182790.0</v>
      </c>
      <c r="B1258" s="4" t="s">
        <v>60</v>
      </c>
      <c r="C1258" s="4" t="s">
        <v>120</v>
      </c>
      <c r="D1258" s="4" t="s">
        <v>127</v>
      </c>
      <c r="E1258" s="4">
        <v>2.12</v>
      </c>
    </row>
    <row r="1259">
      <c r="A1259" s="5">
        <v>120042.0</v>
      </c>
      <c r="B1259" s="6" t="s">
        <v>60</v>
      </c>
      <c r="C1259" s="6" t="s">
        <v>120</v>
      </c>
      <c r="D1259" s="6" t="s">
        <v>127</v>
      </c>
      <c r="E1259" s="6">
        <v>2.85</v>
      </c>
    </row>
    <row r="1260">
      <c r="A1260" s="3">
        <v>114941.0</v>
      </c>
      <c r="B1260" s="4" t="s">
        <v>60</v>
      </c>
      <c r="C1260" s="4" t="s">
        <v>120</v>
      </c>
      <c r="D1260" s="4" t="s">
        <v>127</v>
      </c>
      <c r="E1260" s="4">
        <v>2.91</v>
      </c>
    </row>
    <row r="1261">
      <c r="A1261" s="5">
        <v>108473.0</v>
      </c>
      <c r="B1261" s="6" t="s">
        <v>60</v>
      </c>
      <c r="C1261" s="6" t="s">
        <v>120</v>
      </c>
      <c r="D1261" s="6" t="s">
        <v>127</v>
      </c>
      <c r="E1261" s="6">
        <v>3.28</v>
      </c>
    </row>
    <row r="1262">
      <c r="A1262" s="3">
        <v>90968.0</v>
      </c>
      <c r="B1262" s="4" t="s">
        <v>60</v>
      </c>
      <c r="C1262" s="4" t="s">
        <v>120</v>
      </c>
      <c r="D1262" s="4" t="s">
        <v>127</v>
      </c>
      <c r="E1262" s="4">
        <v>3.58</v>
      </c>
    </row>
    <row r="1263">
      <c r="A1263" s="5">
        <v>114929.0</v>
      </c>
      <c r="B1263" s="6" t="s">
        <v>60</v>
      </c>
      <c r="C1263" s="6" t="s">
        <v>120</v>
      </c>
      <c r="D1263" s="6" t="s">
        <v>127</v>
      </c>
      <c r="E1263" s="6">
        <v>2.58</v>
      </c>
    </row>
    <row r="1264">
      <c r="A1264" s="3">
        <v>68868.0</v>
      </c>
      <c r="B1264" s="4" t="s">
        <v>60</v>
      </c>
      <c r="C1264" s="4" t="s">
        <v>120</v>
      </c>
      <c r="D1264" s="4" t="s">
        <v>127</v>
      </c>
      <c r="E1264" s="4">
        <v>3.3</v>
      </c>
    </row>
    <row r="1265">
      <c r="A1265" s="5">
        <v>103831.0</v>
      </c>
      <c r="B1265" s="6" t="s">
        <v>60</v>
      </c>
      <c r="C1265" s="6" t="s">
        <v>120</v>
      </c>
      <c r="D1265" s="6" t="s">
        <v>127</v>
      </c>
      <c r="E1265" s="6">
        <v>2.45</v>
      </c>
    </row>
    <row r="1266">
      <c r="A1266" s="3">
        <v>83272.0</v>
      </c>
      <c r="B1266" s="4" t="s">
        <v>60</v>
      </c>
      <c r="C1266" s="4" t="s">
        <v>120</v>
      </c>
      <c r="D1266" s="4" t="s">
        <v>127</v>
      </c>
      <c r="E1266" s="4">
        <v>3.29</v>
      </c>
    </row>
    <row r="1267">
      <c r="A1267" s="5">
        <v>120046.0</v>
      </c>
      <c r="B1267" s="6" t="s">
        <v>60</v>
      </c>
      <c r="C1267" s="6" t="s">
        <v>120</v>
      </c>
      <c r="D1267" s="6" t="s">
        <v>127</v>
      </c>
      <c r="E1267" s="6">
        <v>1.97</v>
      </c>
    </row>
    <row r="1268">
      <c r="A1268" s="3">
        <v>181989.0</v>
      </c>
      <c r="B1268" s="4" t="s">
        <v>128</v>
      </c>
      <c r="C1268" s="4" t="s">
        <v>129</v>
      </c>
      <c r="D1268" s="4" t="s">
        <v>130</v>
      </c>
      <c r="E1268" s="4">
        <v>7.65</v>
      </c>
    </row>
    <row r="1269">
      <c r="A1269" s="5">
        <v>84359.0</v>
      </c>
      <c r="B1269" s="6" t="s">
        <v>128</v>
      </c>
      <c r="C1269" s="6" t="s">
        <v>129</v>
      </c>
      <c r="D1269" s="6" t="s">
        <v>131</v>
      </c>
      <c r="E1269" s="6">
        <v>5.33</v>
      </c>
    </row>
    <row r="1270">
      <c r="A1270" s="3">
        <v>102939.0</v>
      </c>
      <c r="B1270" s="4" t="s">
        <v>128</v>
      </c>
      <c r="C1270" s="4" t="s">
        <v>129</v>
      </c>
      <c r="D1270" s="4" t="s">
        <v>131</v>
      </c>
      <c r="E1270" s="4">
        <v>8.67</v>
      </c>
    </row>
    <row r="1271">
      <c r="A1271" s="5">
        <v>111504.0</v>
      </c>
      <c r="B1271" s="6" t="s">
        <v>128</v>
      </c>
      <c r="C1271" s="6" t="s">
        <v>129</v>
      </c>
      <c r="D1271" s="6" t="s">
        <v>131</v>
      </c>
      <c r="E1271" s="6">
        <v>4.45</v>
      </c>
    </row>
    <row r="1272">
      <c r="A1272" s="3">
        <v>75678.0</v>
      </c>
      <c r="B1272" s="4" t="s">
        <v>128</v>
      </c>
      <c r="C1272" s="4" t="s">
        <v>129</v>
      </c>
      <c r="D1272" s="4" t="s">
        <v>131</v>
      </c>
      <c r="E1272" s="4">
        <v>6.43</v>
      </c>
    </row>
    <row r="1273">
      <c r="A1273" s="5">
        <v>79005.0</v>
      </c>
      <c r="B1273" s="6" t="s">
        <v>128</v>
      </c>
      <c r="C1273" s="6" t="s">
        <v>129</v>
      </c>
      <c r="D1273" s="6" t="s">
        <v>131</v>
      </c>
      <c r="E1273" s="6">
        <v>2.11</v>
      </c>
    </row>
    <row r="1274">
      <c r="A1274" s="3">
        <v>188360.0</v>
      </c>
      <c r="B1274" s="4" t="s">
        <v>128</v>
      </c>
      <c r="C1274" s="4" t="s">
        <v>129</v>
      </c>
      <c r="D1274" s="4" t="s">
        <v>131</v>
      </c>
      <c r="E1274" s="4">
        <v>5.08</v>
      </c>
    </row>
    <row r="1275">
      <c r="A1275" s="5">
        <v>79695.0</v>
      </c>
      <c r="B1275" s="6" t="s">
        <v>34</v>
      </c>
      <c r="C1275" s="6" t="s">
        <v>132</v>
      </c>
      <c r="D1275" s="6" t="s">
        <v>133</v>
      </c>
      <c r="E1275" s="6">
        <v>11.32</v>
      </c>
    </row>
    <row r="1276">
      <c r="A1276" s="3">
        <v>73768.0</v>
      </c>
      <c r="B1276" s="4" t="s">
        <v>34</v>
      </c>
      <c r="C1276" s="4" t="s">
        <v>132</v>
      </c>
      <c r="D1276" s="4" t="s">
        <v>133</v>
      </c>
      <c r="E1276" s="4">
        <v>19.2</v>
      </c>
    </row>
    <row r="1277">
      <c r="A1277" s="5">
        <v>44663.0</v>
      </c>
      <c r="B1277" s="6" t="s">
        <v>34</v>
      </c>
      <c r="C1277" s="6" t="s">
        <v>132</v>
      </c>
      <c r="D1277" s="6" t="s">
        <v>133</v>
      </c>
      <c r="E1277" s="6">
        <v>18.25</v>
      </c>
    </row>
    <row r="1278">
      <c r="A1278" s="3">
        <v>766.0</v>
      </c>
      <c r="B1278" s="4" t="s">
        <v>34</v>
      </c>
      <c r="C1278" s="4" t="s">
        <v>132</v>
      </c>
      <c r="D1278" s="4" t="s">
        <v>133</v>
      </c>
      <c r="E1278" s="4">
        <v>5.82</v>
      </c>
    </row>
    <row r="1279">
      <c r="A1279" s="5">
        <v>109961.0</v>
      </c>
      <c r="B1279" s="6" t="s">
        <v>5</v>
      </c>
      <c r="C1279" s="6" t="s">
        <v>134</v>
      </c>
      <c r="D1279" s="6" t="s">
        <v>135</v>
      </c>
      <c r="E1279" s="6">
        <v>4.33</v>
      </c>
    </row>
    <row r="1280">
      <c r="A1280" s="3">
        <v>109932.0</v>
      </c>
      <c r="B1280" s="4" t="s">
        <v>5</v>
      </c>
      <c r="C1280" s="4" t="s">
        <v>134</v>
      </c>
      <c r="D1280" s="4" t="s">
        <v>135</v>
      </c>
      <c r="E1280" s="4">
        <v>6.79</v>
      </c>
    </row>
    <row r="1281">
      <c r="A1281" s="5">
        <v>109956.0</v>
      </c>
      <c r="B1281" s="6" t="s">
        <v>5</v>
      </c>
      <c r="C1281" s="6" t="s">
        <v>134</v>
      </c>
      <c r="D1281" s="6" t="s">
        <v>135</v>
      </c>
      <c r="E1281" s="6">
        <v>4.33</v>
      </c>
    </row>
    <row r="1282">
      <c r="A1282" s="3">
        <v>109962.0</v>
      </c>
      <c r="B1282" s="4" t="s">
        <v>5</v>
      </c>
      <c r="C1282" s="4" t="s">
        <v>134</v>
      </c>
      <c r="D1282" s="4" t="s">
        <v>135</v>
      </c>
      <c r="E1282" s="4">
        <v>4.33</v>
      </c>
    </row>
    <row r="1283">
      <c r="A1283" s="5">
        <v>101622.0</v>
      </c>
      <c r="B1283" s="6" t="s">
        <v>5</v>
      </c>
      <c r="C1283" s="6" t="s">
        <v>134</v>
      </c>
      <c r="D1283" s="6" t="s">
        <v>135</v>
      </c>
      <c r="E1283" s="6">
        <v>2.57</v>
      </c>
    </row>
    <row r="1284">
      <c r="A1284" s="3">
        <v>101623.0</v>
      </c>
      <c r="B1284" s="4" t="s">
        <v>5</v>
      </c>
      <c r="C1284" s="4" t="s">
        <v>134</v>
      </c>
      <c r="D1284" s="4" t="s">
        <v>135</v>
      </c>
      <c r="E1284" s="4">
        <v>3.43</v>
      </c>
    </row>
    <row r="1285">
      <c r="A1285" s="5">
        <v>4513.0</v>
      </c>
      <c r="B1285" s="6" t="s">
        <v>5</v>
      </c>
      <c r="C1285" s="6" t="s">
        <v>134</v>
      </c>
      <c r="D1285" s="6" t="s">
        <v>135</v>
      </c>
      <c r="E1285" s="6">
        <v>3.47</v>
      </c>
    </row>
    <row r="1286">
      <c r="A1286" s="3">
        <v>24648.0</v>
      </c>
      <c r="B1286" s="4" t="s">
        <v>5</v>
      </c>
      <c r="C1286" s="4" t="s">
        <v>134</v>
      </c>
      <c r="D1286" s="4" t="s">
        <v>135</v>
      </c>
      <c r="E1286" s="4">
        <v>5.57</v>
      </c>
    </row>
    <row r="1287">
      <c r="A1287" s="5">
        <v>16386.0</v>
      </c>
      <c r="B1287" s="6" t="s">
        <v>5</v>
      </c>
      <c r="C1287" s="6" t="s">
        <v>134</v>
      </c>
      <c r="D1287" s="6" t="s">
        <v>136</v>
      </c>
      <c r="E1287" s="6">
        <v>7.52</v>
      </c>
    </row>
    <row r="1288">
      <c r="A1288" s="3">
        <v>16383.0</v>
      </c>
      <c r="B1288" s="4" t="s">
        <v>5</v>
      </c>
      <c r="C1288" s="4" t="s">
        <v>134</v>
      </c>
      <c r="D1288" s="4" t="s">
        <v>136</v>
      </c>
      <c r="E1288" s="4">
        <v>5.75</v>
      </c>
    </row>
    <row r="1289">
      <c r="A1289" s="5">
        <v>113588.0</v>
      </c>
      <c r="B1289" s="6" t="s">
        <v>5</v>
      </c>
      <c r="C1289" s="6" t="s">
        <v>134</v>
      </c>
      <c r="D1289" s="6" t="s">
        <v>137</v>
      </c>
      <c r="E1289" s="6">
        <v>12.59</v>
      </c>
    </row>
    <row r="1290">
      <c r="A1290" s="3">
        <v>99392.0</v>
      </c>
      <c r="B1290" s="4" t="s">
        <v>5</v>
      </c>
      <c r="C1290" s="4" t="s">
        <v>134</v>
      </c>
      <c r="D1290" s="4" t="s">
        <v>138</v>
      </c>
      <c r="E1290" s="4">
        <v>1.08</v>
      </c>
    </row>
    <row r="1291">
      <c r="A1291" s="5">
        <v>99412.0</v>
      </c>
      <c r="B1291" s="6" t="s">
        <v>5</v>
      </c>
      <c r="C1291" s="6" t="s">
        <v>134</v>
      </c>
      <c r="D1291" s="6" t="s">
        <v>138</v>
      </c>
      <c r="E1291" s="6">
        <v>1.42</v>
      </c>
    </row>
    <row r="1292">
      <c r="A1292" s="3">
        <v>25306.0</v>
      </c>
      <c r="B1292" s="4" t="s">
        <v>5</v>
      </c>
      <c r="C1292" s="4" t="s">
        <v>134</v>
      </c>
      <c r="D1292" s="4" t="s">
        <v>138</v>
      </c>
      <c r="E1292" s="4">
        <v>1.75</v>
      </c>
    </row>
    <row r="1293">
      <c r="A1293" s="5">
        <v>99399.0</v>
      </c>
      <c r="B1293" s="6" t="s">
        <v>5</v>
      </c>
      <c r="C1293" s="6" t="s">
        <v>134</v>
      </c>
      <c r="D1293" s="6" t="s">
        <v>138</v>
      </c>
      <c r="E1293" s="6">
        <v>1.08</v>
      </c>
    </row>
    <row r="1294">
      <c r="A1294" s="3">
        <v>25304.0</v>
      </c>
      <c r="B1294" s="4" t="s">
        <v>5</v>
      </c>
      <c r="C1294" s="4" t="s">
        <v>134</v>
      </c>
      <c r="D1294" s="4" t="s">
        <v>138</v>
      </c>
      <c r="E1294" s="4">
        <v>1.75</v>
      </c>
    </row>
    <row r="1295">
      <c r="A1295" s="5">
        <v>99400.0</v>
      </c>
      <c r="B1295" s="6" t="s">
        <v>5</v>
      </c>
      <c r="C1295" s="6" t="s">
        <v>134</v>
      </c>
      <c r="D1295" s="6" t="s">
        <v>138</v>
      </c>
      <c r="E1295" s="6">
        <v>1.08</v>
      </c>
    </row>
    <row r="1296">
      <c r="A1296" s="3">
        <v>80484.0</v>
      </c>
      <c r="B1296" s="4" t="s">
        <v>5</v>
      </c>
      <c r="C1296" s="4" t="s">
        <v>134</v>
      </c>
      <c r="D1296" s="4" t="s">
        <v>138</v>
      </c>
      <c r="E1296" s="4">
        <v>1.42</v>
      </c>
    </row>
    <row r="1297">
      <c r="A1297" s="5">
        <v>14477.0</v>
      </c>
      <c r="B1297" s="6" t="s">
        <v>5</v>
      </c>
      <c r="C1297" s="6" t="s">
        <v>134</v>
      </c>
      <c r="D1297" s="6" t="s">
        <v>138</v>
      </c>
      <c r="E1297" s="6">
        <v>1.64</v>
      </c>
    </row>
    <row r="1298">
      <c r="A1298" s="3">
        <v>95056.0</v>
      </c>
      <c r="B1298" s="4" t="s">
        <v>9</v>
      </c>
      <c r="C1298" s="4" t="s">
        <v>139</v>
      </c>
      <c r="D1298" s="4"/>
      <c r="E1298" s="4">
        <v>2.36</v>
      </c>
    </row>
    <row r="1299">
      <c r="A1299" s="5">
        <v>78519.0</v>
      </c>
      <c r="B1299" s="6" t="s">
        <v>9</v>
      </c>
      <c r="C1299" s="6" t="s">
        <v>139</v>
      </c>
      <c r="D1299" s="6"/>
      <c r="E1299" s="6">
        <v>1.15</v>
      </c>
    </row>
    <row r="1300">
      <c r="A1300" s="3">
        <v>90377.0</v>
      </c>
      <c r="B1300" s="4" t="s">
        <v>9</v>
      </c>
      <c r="C1300" s="4" t="s">
        <v>139</v>
      </c>
      <c r="D1300" s="4"/>
      <c r="E1300" s="4">
        <v>3.02</v>
      </c>
    </row>
    <row r="1301">
      <c r="A1301" s="5">
        <v>90375.0</v>
      </c>
      <c r="B1301" s="6" t="s">
        <v>9</v>
      </c>
      <c r="C1301" s="6" t="s">
        <v>139</v>
      </c>
      <c r="D1301" s="6"/>
      <c r="E1301" s="6">
        <v>1.78</v>
      </c>
    </row>
    <row r="1302">
      <c r="A1302" s="3">
        <v>112073.0</v>
      </c>
      <c r="B1302" s="4" t="s">
        <v>140</v>
      </c>
      <c r="C1302" s="4" t="s">
        <v>141</v>
      </c>
      <c r="D1302" s="4" t="s">
        <v>142</v>
      </c>
      <c r="E1302" s="4">
        <v>2.57</v>
      </c>
    </row>
    <row r="1303">
      <c r="A1303" s="5">
        <v>101339.0</v>
      </c>
      <c r="B1303" s="6" t="s">
        <v>140</v>
      </c>
      <c r="C1303" s="6" t="s">
        <v>141</v>
      </c>
      <c r="D1303" s="6" t="s">
        <v>142</v>
      </c>
      <c r="E1303" s="6">
        <v>5.24</v>
      </c>
    </row>
    <row r="1304">
      <c r="A1304" s="3">
        <v>92421.0</v>
      </c>
      <c r="B1304" s="4" t="s">
        <v>140</v>
      </c>
      <c r="C1304" s="4" t="s">
        <v>141</v>
      </c>
      <c r="D1304" s="4" t="s">
        <v>142</v>
      </c>
      <c r="E1304" s="4">
        <v>1.22</v>
      </c>
    </row>
    <row r="1305">
      <c r="A1305" s="5">
        <v>112079.0</v>
      </c>
      <c r="B1305" s="6" t="s">
        <v>140</v>
      </c>
      <c r="C1305" s="6" t="s">
        <v>141</v>
      </c>
      <c r="D1305" s="6" t="s">
        <v>142</v>
      </c>
      <c r="E1305" s="6">
        <v>1.95</v>
      </c>
    </row>
    <row r="1306">
      <c r="A1306" s="3">
        <v>44716.0</v>
      </c>
      <c r="B1306" s="4" t="s">
        <v>140</v>
      </c>
      <c r="C1306" s="4" t="s">
        <v>141</v>
      </c>
      <c r="D1306" s="4" t="s">
        <v>142</v>
      </c>
      <c r="E1306" s="4">
        <v>1.27</v>
      </c>
    </row>
    <row r="1307">
      <c r="A1307" s="5">
        <v>89640.0</v>
      </c>
      <c r="B1307" s="6" t="s">
        <v>140</v>
      </c>
      <c r="C1307" s="6" t="s">
        <v>141</v>
      </c>
      <c r="D1307" s="6" t="s">
        <v>142</v>
      </c>
      <c r="E1307" s="6">
        <v>1.27</v>
      </c>
    </row>
    <row r="1308">
      <c r="A1308" s="3">
        <v>112072.0</v>
      </c>
      <c r="B1308" s="4" t="s">
        <v>140</v>
      </c>
      <c r="C1308" s="4" t="s">
        <v>141</v>
      </c>
      <c r="D1308" s="4" t="s">
        <v>142</v>
      </c>
      <c r="E1308" s="4">
        <v>3.0</v>
      </c>
    </row>
    <row r="1309">
      <c r="A1309" s="5">
        <v>112991.0</v>
      </c>
      <c r="B1309" s="6" t="s">
        <v>140</v>
      </c>
      <c r="C1309" s="6" t="s">
        <v>141</v>
      </c>
      <c r="D1309" s="6" t="s">
        <v>142</v>
      </c>
      <c r="E1309" s="6">
        <v>3.96</v>
      </c>
    </row>
    <row r="1310">
      <c r="A1310" s="3">
        <v>101587.0</v>
      </c>
      <c r="B1310" s="4" t="s">
        <v>140</v>
      </c>
      <c r="C1310" s="4" t="s">
        <v>141</v>
      </c>
      <c r="D1310" s="4" t="s">
        <v>143</v>
      </c>
      <c r="E1310" s="4">
        <v>2.81</v>
      </c>
    </row>
    <row r="1311">
      <c r="A1311" s="5">
        <v>10525.0</v>
      </c>
      <c r="B1311" s="6" t="s">
        <v>140</v>
      </c>
      <c r="C1311" s="6" t="s">
        <v>141</v>
      </c>
      <c r="D1311" s="6" t="s">
        <v>143</v>
      </c>
      <c r="E1311" s="6">
        <v>2.44</v>
      </c>
    </row>
    <row r="1312">
      <c r="A1312" s="3">
        <v>121349.0</v>
      </c>
      <c r="B1312" s="4" t="s">
        <v>140</v>
      </c>
      <c r="C1312" s="4" t="s">
        <v>141</v>
      </c>
      <c r="D1312" s="4" t="s">
        <v>143</v>
      </c>
      <c r="E1312" s="4">
        <v>1.33</v>
      </c>
    </row>
    <row r="1313">
      <c r="A1313" s="5">
        <v>127811.0</v>
      </c>
      <c r="B1313" s="6" t="s">
        <v>140</v>
      </c>
      <c r="C1313" s="6" t="s">
        <v>141</v>
      </c>
      <c r="D1313" s="6" t="s">
        <v>143</v>
      </c>
      <c r="E1313" s="6">
        <v>3.16</v>
      </c>
    </row>
    <row r="1314">
      <c r="A1314" s="3">
        <v>81507.0</v>
      </c>
      <c r="B1314" s="4" t="s">
        <v>140</v>
      </c>
      <c r="C1314" s="4" t="s">
        <v>141</v>
      </c>
      <c r="D1314" s="4" t="s">
        <v>143</v>
      </c>
      <c r="E1314" s="4">
        <v>8.37</v>
      </c>
    </row>
    <row r="1315">
      <c r="A1315" s="5">
        <v>78412.0</v>
      </c>
      <c r="B1315" s="6" t="s">
        <v>140</v>
      </c>
      <c r="C1315" s="6" t="s">
        <v>141</v>
      </c>
      <c r="D1315" s="6" t="s">
        <v>143</v>
      </c>
      <c r="E1315" s="6">
        <v>2.02</v>
      </c>
    </row>
    <row r="1316">
      <c r="A1316" s="3">
        <v>109312.0</v>
      </c>
      <c r="B1316" s="4" t="s">
        <v>140</v>
      </c>
      <c r="C1316" s="4" t="s">
        <v>141</v>
      </c>
      <c r="D1316" s="4" t="s">
        <v>143</v>
      </c>
      <c r="E1316" s="4">
        <v>1.7</v>
      </c>
    </row>
    <row r="1317">
      <c r="A1317" s="5">
        <v>78502.0</v>
      </c>
      <c r="B1317" s="6" t="s">
        <v>140</v>
      </c>
      <c r="C1317" s="6" t="s">
        <v>141</v>
      </c>
      <c r="D1317" s="6" t="s">
        <v>143</v>
      </c>
      <c r="E1317" s="6">
        <v>4.75</v>
      </c>
    </row>
    <row r="1318">
      <c r="A1318" s="3">
        <v>111498.0</v>
      </c>
      <c r="B1318" s="4" t="s">
        <v>140</v>
      </c>
      <c r="C1318" s="4" t="s">
        <v>141</v>
      </c>
      <c r="D1318" s="4" t="s">
        <v>143</v>
      </c>
      <c r="E1318" s="4">
        <v>1.69</v>
      </c>
    </row>
    <row r="1319">
      <c r="A1319" s="5">
        <v>87242.0</v>
      </c>
      <c r="B1319" s="6" t="s">
        <v>140</v>
      </c>
      <c r="C1319" s="6" t="s">
        <v>141</v>
      </c>
      <c r="D1319" s="6" t="s">
        <v>143</v>
      </c>
      <c r="E1319" s="6">
        <v>3.66</v>
      </c>
    </row>
    <row r="1320">
      <c r="A1320" s="3">
        <v>139286.0</v>
      </c>
      <c r="B1320" s="4" t="s">
        <v>140</v>
      </c>
      <c r="C1320" s="4" t="s">
        <v>141</v>
      </c>
      <c r="D1320" s="4" t="s">
        <v>143</v>
      </c>
      <c r="E1320" s="4">
        <v>2.77</v>
      </c>
    </row>
    <row r="1321">
      <c r="A1321" s="5">
        <v>10524.0</v>
      </c>
      <c r="B1321" s="6" t="s">
        <v>140</v>
      </c>
      <c r="C1321" s="6" t="s">
        <v>141</v>
      </c>
      <c r="D1321" s="6" t="s">
        <v>143</v>
      </c>
      <c r="E1321" s="6">
        <v>4.71</v>
      </c>
    </row>
    <row r="1322">
      <c r="A1322" s="3">
        <v>78397.0</v>
      </c>
      <c r="B1322" s="4" t="s">
        <v>140</v>
      </c>
      <c r="C1322" s="4" t="s">
        <v>141</v>
      </c>
      <c r="D1322" s="4" t="s">
        <v>143</v>
      </c>
      <c r="E1322" s="4">
        <v>2.33</v>
      </c>
    </row>
    <row r="1323">
      <c r="A1323" s="5">
        <v>78421.0</v>
      </c>
      <c r="B1323" s="6" t="s">
        <v>140</v>
      </c>
      <c r="C1323" s="6" t="s">
        <v>141</v>
      </c>
      <c r="D1323" s="6" t="s">
        <v>143</v>
      </c>
      <c r="E1323" s="6">
        <v>1.7</v>
      </c>
    </row>
    <row r="1324">
      <c r="A1324" s="3">
        <v>23420.0</v>
      </c>
      <c r="B1324" s="4" t="s">
        <v>140</v>
      </c>
      <c r="C1324" s="4" t="s">
        <v>141</v>
      </c>
      <c r="D1324" s="4" t="s">
        <v>143</v>
      </c>
      <c r="E1324" s="4">
        <v>11.09</v>
      </c>
    </row>
    <row r="1325">
      <c r="A1325" s="5">
        <v>78498.0</v>
      </c>
      <c r="B1325" s="6" t="s">
        <v>140</v>
      </c>
      <c r="C1325" s="6" t="s">
        <v>141</v>
      </c>
      <c r="D1325" s="6" t="s">
        <v>143</v>
      </c>
      <c r="E1325" s="6">
        <v>9.0</v>
      </c>
    </row>
    <row r="1326">
      <c r="A1326" s="3">
        <v>78427.0</v>
      </c>
      <c r="B1326" s="4" t="s">
        <v>140</v>
      </c>
      <c r="C1326" s="4" t="s">
        <v>141</v>
      </c>
      <c r="D1326" s="4" t="s">
        <v>143</v>
      </c>
      <c r="E1326" s="4">
        <v>4.91</v>
      </c>
    </row>
    <row r="1327">
      <c r="A1327" s="5">
        <v>119256.0</v>
      </c>
      <c r="B1327" s="6" t="s">
        <v>140</v>
      </c>
      <c r="C1327" s="6" t="s">
        <v>141</v>
      </c>
      <c r="D1327" s="6" t="s">
        <v>143</v>
      </c>
      <c r="E1327" s="6">
        <v>1.54</v>
      </c>
    </row>
    <row r="1328">
      <c r="A1328" s="3">
        <v>44731.0</v>
      </c>
      <c r="B1328" s="4" t="s">
        <v>140</v>
      </c>
      <c r="C1328" s="4" t="s">
        <v>141</v>
      </c>
      <c r="D1328" s="4" t="s">
        <v>143</v>
      </c>
      <c r="E1328" s="4">
        <v>7.61</v>
      </c>
    </row>
    <row r="1329">
      <c r="A1329" s="5">
        <v>86852.0</v>
      </c>
      <c r="B1329" s="6" t="s">
        <v>140</v>
      </c>
      <c r="C1329" s="6" t="s">
        <v>141</v>
      </c>
      <c r="D1329" s="6" t="s">
        <v>143</v>
      </c>
      <c r="E1329" s="6">
        <v>1.89</v>
      </c>
    </row>
    <row r="1330">
      <c r="A1330" s="3">
        <v>103137.0</v>
      </c>
      <c r="B1330" s="4" t="s">
        <v>140</v>
      </c>
      <c r="C1330" s="4" t="s">
        <v>141</v>
      </c>
      <c r="D1330" s="4" t="s">
        <v>143</v>
      </c>
      <c r="E1330" s="4">
        <v>1.36</v>
      </c>
    </row>
    <row r="1331">
      <c r="A1331" s="5">
        <v>95079.0</v>
      </c>
      <c r="B1331" s="6" t="s">
        <v>140</v>
      </c>
      <c r="C1331" s="6" t="s">
        <v>141</v>
      </c>
      <c r="D1331" s="6" t="s">
        <v>143</v>
      </c>
      <c r="E1331" s="6">
        <v>4.35</v>
      </c>
    </row>
    <row r="1332">
      <c r="A1332" s="3">
        <v>121568.0</v>
      </c>
      <c r="B1332" s="4" t="s">
        <v>140</v>
      </c>
      <c r="C1332" s="4" t="s">
        <v>141</v>
      </c>
      <c r="D1332" s="4" t="s">
        <v>143</v>
      </c>
      <c r="E1332" s="4">
        <v>8.48</v>
      </c>
    </row>
    <row r="1333">
      <c r="A1333" s="5">
        <v>89645.0</v>
      </c>
      <c r="B1333" s="6" t="s">
        <v>140</v>
      </c>
      <c r="C1333" s="6" t="s">
        <v>141</v>
      </c>
      <c r="D1333" s="6" t="s">
        <v>143</v>
      </c>
      <c r="E1333" s="6">
        <v>2.55</v>
      </c>
    </row>
    <row r="1334">
      <c r="A1334" s="3">
        <v>44691.0</v>
      </c>
      <c r="B1334" s="4" t="s">
        <v>140</v>
      </c>
      <c r="C1334" s="4" t="s">
        <v>141</v>
      </c>
      <c r="D1334" s="4" t="s">
        <v>143</v>
      </c>
      <c r="E1334" s="4">
        <v>1.39</v>
      </c>
    </row>
    <row r="1335">
      <c r="A1335" s="5">
        <v>94055.0</v>
      </c>
      <c r="B1335" s="6" t="s">
        <v>140</v>
      </c>
      <c r="C1335" s="6" t="s">
        <v>141</v>
      </c>
      <c r="D1335" s="6" t="s">
        <v>143</v>
      </c>
      <c r="E1335" s="6">
        <v>3.98</v>
      </c>
    </row>
    <row r="1336">
      <c r="A1336" s="3">
        <v>101586.0</v>
      </c>
      <c r="B1336" s="4" t="s">
        <v>140</v>
      </c>
      <c r="C1336" s="4" t="s">
        <v>141</v>
      </c>
      <c r="D1336" s="4" t="s">
        <v>143</v>
      </c>
      <c r="E1336" s="4">
        <v>3.73</v>
      </c>
    </row>
    <row r="1337">
      <c r="A1337" s="5">
        <v>106731.0</v>
      </c>
      <c r="B1337" s="6" t="s">
        <v>140</v>
      </c>
      <c r="C1337" s="6" t="s">
        <v>141</v>
      </c>
      <c r="D1337" s="6" t="s">
        <v>143</v>
      </c>
      <c r="E1337" s="6">
        <v>1.94</v>
      </c>
    </row>
    <row r="1338">
      <c r="A1338" s="3">
        <v>87072.0</v>
      </c>
      <c r="B1338" s="4" t="s">
        <v>140</v>
      </c>
      <c r="C1338" s="4" t="s">
        <v>141</v>
      </c>
      <c r="D1338" s="4" t="s">
        <v>143</v>
      </c>
      <c r="E1338" s="4">
        <v>4.45</v>
      </c>
    </row>
    <row r="1339">
      <c r="A1339" s="5">
        <v>44711.0</v>
      </c>
      <c r="B1339" s="6" t="s">
        <v>140</v>
      </c>
      <c r="C1339" s="6" t="s">
        <v>141</v>
      </c>
      <c r="D1339" s="6" t="s">
        <v>143</v>
      </c>
      <c r="E1339" s="6">
        <v>2.16</v>
      </c>
    </row>
    <row r="1340">
      <c r="A1340" s="3">
        <v>78428.0</v>
      </c>
      <c r="B1340" s="4" t="s">
        <v>140</v>
      </c>
      <c r="C1340" s="4" t="s">
        <v>141</v>
      </c>
      <c r="D1340" s="4" t="s">
        <v>143</v>
      </c>
      <c r="E1340" s="4">
        <v>2.19</v>
      </c>
    </row>
    <row r="1341">
      <c r="A1341" s="5">
        <v>10531.0</v>
      </c>
      <c r="B1341" s="6" t="s">
        <v>140</v>
      </c>
      <c r="C1341" s="6" t="s">
        <v>141</v>
      </c>
      <c r="D1341" s="6" t="s">
        <v>143</v>
      </c>
      <c r="E1341" s="6">
        <v>1.8</v>
      </c>
    </row>
    <row r="1342">
      <c r="A1342" s="3">
        <v>158475.0</v>
      </c>
      <c r="B1342" s="4" t="s">
        <v>140</v>
      </c>
      <c r="C1342" s="4" t="s">
        <v>141</v>
      </c>
      <c r="D1342" s="4" t="s">
        <v>143</v>
      </c>
      <c r="E1342" s="4">
        <v>3.06</v>
      </c>
    </row>
    <row r="1343">
      <c r="A1343" s="5">
        <v>89633.0</v>
      </c>
      <c r="B1343" s="6" t="s">
        <v>140</v>
      </c>
      <c r="C1343" s="6" t="s">
        <v>141</v>
      </c>
      <c r="D1343" s="6" t="s">
        <v>143</v>
      </c>
      <c r="E1343" s="6">
        <v>1.35</v>
      </c>
    </row>
    <row r="1344">
      <c r="A1344" s="3">
        <v>86836.0</v>
      </c>
      <c r="B1344" s="4" t="s">
        <v>140</v>
      </c>
      <c r="C1344" s="4" t="s">
        <v>141</v>
      </c>
      <c r="D1344" s="4" t="s">
        <v>143</v>
      </c>
      <c r="E1344" s="4">
        <v>1.93</v>
      </c>
    </row>
    <row r="1345">
      <c r="A1345" s="5">
        <v>44698.0</v>
      </c>
      <c r="B1345" s="6" t="s">
        <v>140</v>
      </c>
      <c r="C1345" s="6" t="s">
        <v>141</v>
      </c>
      <c r="D1345" s="6" t="s">
        <v>143</v>
      </c>
      <c r="E1345" s="6">
        <v>4.59</v>
      </c>
    </row>
    <row r="1346">
      <c r="A1346" s="3">
        <v>127870.0</v>
      </c>
      <c r="B1346" s="4" t="s">
        <v>140</v>
      </c>
      <c r="C1346" s="4" t="s">
        <v>141</v>
      </c>
      <c r="D1346" s="4" t="s">
        <v>143</v>
      </c>
      <c r="E1346" s="4">
        <v>2.2</v>
      </c>
    </row>
    <row r="1347">
      <c r="A1347" s="5">
        <v>141891.0</v>
      </c>
      <c r="B1347" s="6" t="s">
        <v>140</v>
      </c>
      <c r="C1347" s="6" t="s">
        <v>141</v>
      </c>
      <c r="D1347" s="6" t="s">
        <v>143</v>
      </c>
      <c r="E1347" s="6">
        <v>5.19</v>
      </c>
    </row>
    <row r="1348">
      <c r="A1348" s="3">
        <v>78426.0</v>
      </c>
      <c r="B1348" s="4" t="s">
        <v>140</v>
      </c>
      <c r="C1348" s="4" t="s">
        <v>141</v>
      </c>
      <c r="D1348" s="4" t="s">
        <v>143</v>
      </c>
      <c r="E1348" s="4">
        <v>6.51</v>
      </c>
    </row>
    <row r="1349">
      <c r="A1349" s="5">
        <v>77792.0</v>
      </c>
      <c r="B1349" s="6" t="s">
        <v>140</v>
      </c>
      <c r="C1349" s="6" t="s">
        <v>141</v>
      </c>
      <c r="D1349" s="6" t="s">
        <v>143</v>
      </c>
      <c r="E1349" s="6">
        <v>9.15</v>
      </c>
    </row>
    <row r="1350">
      <c r="A1350" s="3">
        <v>21027.0</v>
      </c>
      <c r="B1350" s="4" t="s">
        <v>140</v>
      </c>
      <c r="C1350" s="4" t="s">
        <v>141</v>
      </c>
      <c r="D1350" s="4" t="s">
        <v>143</v>
      </c>
      <c r="E1350" s="4">
        <v>3.6</v>
      </c>
    </row>
    <row r="1351">
      <c r="A1351" s="5">
        <v>95063.0</v>
      </c>
      <c r="B1351" s="6" t="s">
        <v>140</v>
      </c>
      <c r="C1351" s="6" t="s">
        <v>141</v>
      </c>
      <c r="D1351" s="6" t="s">
        <v>143</v>
      </c>
      <c r="E1351" s="6">
        <v>3.03</v>
      </c>
    </row>
    <row r="1352">
      <c r="A1352" s="3">
        <v>30314.0</v>
      </c>
      <c r="B1352" s="4" t="s">
        <v>140</v>
      </c>
      <c r="C1352" s="4" t="s">
        <v>141</v>
      </c>
      <c r="D1352" s="4" t="s">
        <v>143</v>
      </c>
      <c r="E1352" s="4">
        <v>4.83</v>
      </c>
    </row>
    <row r="1353">
      <c r="A1353" s="5">
        <v>19838.0</v>
      </c>
      <c r="B1353" s="6" t="s">
        <v>140</v>
      </c>
      <c r="C1353" s="6" t="s">
        <v>141</v>
      </c>
      <c r="D1353" s="6" t="s">
        <v>143</v>
      </c>
      <c r="E1353" s="6">
        <v>4.83</v>
      </c>
    </row>
    <row r="1354">
      <c r="A1354" s="3">
        <v>111283.0</v>
      </c>
      <c r="B1354" s="4" t="s">
        <v>140</v>
      </c>
      <c r="C1354" s="4" t="s">
        <v>141</v>
      </c>
      <c r="D1354" s="4" t="s">
        <v>143</v>
      </c>
      <c r="E1354" s="4">
        <v>4.53</v>
      </c>
    </row>
    <row r="1355">
      <c r="A1355" s="5">
        <v>87568.0</v>
      </c>
      <c r="B1355" s="6" t="s">
        <v>140</v>
      </c>
      <c r="C1355" s="6" t="s">
        <v>141</v>
      </c>
      <c r="D1355" s="6" t="s">
        <v>143</v>
      </c>
      <c r="E1355" s="6">
        <v>5.78</v>
      </c>
    </row>
    <row r="1356">
      <c r="A1356" s="3">
        <v>78419.0</v>
      </c>
      <c r="B1356" s="4" t="s">
        <v>140</v>
      </c>
      <c r="C1356" s="4" t="s">
        <v>141</v>
      </c>
      <c r="D1356" s="4" t="s">
        <v>143</v>
      </c>
      <c r="E1356" s="4">
        <v>1.31</v>
      </c>
    </row>
    <row r="1357">
      <c r="A1357" s="5">
        <v>106806.0</v>
      </c>
      <c r="B1357" s="6" t="s">
        <v>140</v>
      </c>
      <c r="C1357" s="6" t="s">
        <v>141</v>
      </c>
      <c r="D1357" s="6" t="s">
        <v>143</v>
      </c>
      <c r="E1357" s="6">
        <v>4.6</v>
      </c>
    </row>
    <row r="1358">
      <c r="A1358" s="3">
        <v>78420.0</v>
      </c>
      <c r="B1358" s="4" t="s">
        <v>140</v>
      </c>
      <c r="C1358" s="4" t="s">
        <v>141</v>
      </c>
      <c r="D1358" s="4" t="s">
        <v>143</v>
      </c>
      <c r="E1358" s="4">
        <v>2.76</v>
      </c>
    </row>
    <row r="1359">
      <c r="A1359" s="5">
        <v>78442.0</v>
      </c>
      <c r="B1359" s="6" t="s">
        <v>140</v>
      </c>
      <c r="C1359" s="6" t="s">
        <v>141</v>
      </c>
      <c r="D1359" s="6" t="s">
        <v>143</v>
      </c>
      <c r="E1359" s="6">
        <v>2.0</v>
      </c>
    </row>
    <row r="1360">
      <c r="A1360" s="3">
        <v>78492.0</v>
      </c>
      <c r="B1360" s="4" t="s">
        <v>140</v>
      </c>
      <c r="C1360" s="4" t="s">
        <v>141</v>
      </c>
      <c r="D1360" s="4" t="s">
        <v>143</v>
      </c>
      <c r="E1360" s="4">
        <v>1.26</v>
      </c>
    </row>
    <row r="1361">
      <c r="A1361" s="5">
        <v>80297.0</v>
      </c>
      <c r="B1361" s="6" t="s">
        <v>140</v>
      </c>
      <c r="C1361" s="6" t="s">
        <v>141</v>
      </c>
      <c r="D1361" s="6" t="s">
        <v>143</v>
      </c>
      <c r="E1361" s="6">
        <v>2.55</v>
      </c>
    </row>
    <row r="1362">
      <c r="A1362" s="3">
        <v>44712.0</v>
      </c>
      <c r="B1362" s="4" t="s">
        <v>140</v>
      </c>
      <c r="C1362" s="4" t="s">
        <v>141</v>
      </c>
      <c r="D1362" s="4" t="s">
        <v>143</v>
      </c>
      <c r="E1362" s="4">
        <v>1.31</v>
      </c>
    </row>
    <row r="1363">
      <c r="A1363" s="5">
        <v>89736.0</v>
      </c>
      <c r="B1363" s="6" t="s">
        <v>140</v>
      </c>
      <c r="C1363" s="6" t="s">
        <v>141</v>
      </c>
      <c r="D1363" s="6" t="s">
        <v>143</v>
      </c>
      <c r="E1363" s="6">
        <v>23.39</v>
      </c>
    </row>
    <row r="1364">
      <c r="A1364" s="3">
        <v>83270.0</v>
      </c>
      <c r="B1364" s="4" t="s">
        <v>140</v>
      </c>
      <c r="C1364" s="4" t="s">
        <v>141</v>
      </c>
      <c r="D1364" s="4" t="s">
        <v>143</v>
      </c>
      <c r="E1364" s="4">
        <v>1.69</v>
      </c>
    </row>
    <row r="1365">
      <c r="A1365" s="5">
        <v>101588.0</v>
      </c>
      <c r="B1365" s="6" t="s">
        <v>140</v>
      </c>
      <c r="C1365" s="6" t="s">
        <v>141</v>
      </c>
      <c r="D1365" s="6" t="s">
        <v>143</v>
      </c>
      <c r="E1365" s="6">
        <v>1.46</v>
      </c>
    </row>
    <row r="1366">
      <c r="A1366" s="3">
        <v>104171.0</v>
      </c>
      <c r="B1366" s="4" t="s">
        <v>140</v>
      </c>
      <c r="C1366" s="4" t="s">
        <v>141</v>
      </c>
      <c r="D1366" s="4" t="s">
        <v>143</v>
      </c>
      <c r="E1366" s="4">
        <v>2.04</v>
      </c>
    </row>
    <row r="1367">
      <c r="A1367" s="5">
        <v>101042.0</v>
      </c>
      <c r="B1367" s="6" t="s">
        <v>140</v>
      </c>
      <c r="C1367" s="6" t="s">
        <v>141</v>
      </c>
      <c r="D1367" s="6" t="s">
        <v>143</v>
      </c>
      <c r="E1367" s="6">
        <v>1.3</v>
      </c>
    </row>
    <row r="1368">
      <c r="A1368" s="3">
        <v>108881.0</v>
      </c>
      <c r="B1368" s="4" t="s">
        <v>140</v>
      </c>
      <c r="C1368" s="4" t="s">
        <v>141</v>
      </c>
      <c r="D1368" s="4" t="s">
        <v>143</v>
      </c>
      <c r="E1368" s="4">
        <v>3.47</v>
      </c>
    </row>
    <row r="1369">
      <c r="A1369" s="5">
        <v>87571.0</v>
      </c>
      <c r="B1369" s="6" t="s">
        <v>140</v>
      </c>
      <c r="C1369" s="6" t="s">
        <v>141</v>
      </c>
      <c r="D1369" s="6" t="s">
        <v>143</v>
      </c>
      <c r="E1369" s="6">
        <v>5.26</v>
      </c>
    </row>
    <row r="1370">
      <c r="A1370" s="3">
        <v>44718.0</v>
      </c>
      <c r="B1370" s="4" t="s">
        <v>140</v>
      </c>
      <c r="C1370" s="4" t="s">
        <v>141</v>
      </c>
      <c r="D1370" s="4" t="s">
        <v>143</v>
      </c>
      <c r="E1370" s="4">
        <v>1.58</v>
      </c>
    </row>
    <row r="1371">
      <c r="A1371" s="5">
        <v>44735.0</v>
      </c>
      <c r="B1371" s="6" t="s">
        <v>140</v>
      </c>
      <c r="C1371" s="6" t="s">
        <v>141</v>
      </c>
      <c r="D1371" s="6" t="s">
        <v>143</v>
      </c>
      <c r="E1371" s="6">
        <v>0.89</v>
      </c>
    </row>
    <row r="1372">
      <c r="A1372" s="3">
        <v>21035.0</v>
      </c>
      <c r="B1372" s="4" t="s">
        <v>140</v>
      </c>
      <c r="C1372" s="4" t="s">
        <v>141</v>
      </c>
      <c r="D1372" s="4" t="s">
        <v>143</v>
      </c>
      <c r="E1372" s="4">
        <v>4.24</v>
      </c>
    </row>
    <row r="1373">
      <c r="A1373" s="5">
        <v>30308.0</v>
      </c>
      <c r="B1373" s="6" t="s">
        <v>140</v>
      </c>
      <c r="C1373" s="6" t="s">
        <v>141</v>
      </c>
      <c r="D1373" s="6" t="s">
        <v>143</v>
      </c>
      <c r="E1373" s="6">
        <v>5.87</v>
      </c>
    </row>
    <row r="1374">
      <c r="A1374" s="3">
        <v>44694.0</v>
      </c>
      <c r="B1374" s="4" t="s">
        <v>140</v>
      </c>
      <c r="C1374" s="4" t="s">
        <v>141</v>
      </c>
      <c r="D1374" s="4" t="s">
        <v>143</v>
      </c>
      <c r="E1374" s="4">
        <v>2.28</v>
      </c>
    </row>
    <row r="1375">
      <c r="A1375" s="5">
        <v>78493.0</v>
      </c>
      <c r="B1375" s="6" t="s">
        <v>140</v>
      </c>
      <c r="C1375" s="6" t="s">
        <v>141</v>
      </c>
      <c r="D1375" s="6" t="s">
        <v>143</v>
      </c>
      <c r="E1375" s="6">
        <v>1.4</v>
      </c>
    </row>
    <row r="1376">
      <c r="A1376" s="3">
        <v>78409.0</v>
      </c>
      <c r="B1376" s="4" t="s">
        <v>140</v>
      </c>
      <c r="C1376" s="4" t="s">
        <v>141</v>
      </c>
      <c r="D1376" s="4" t="s">
        <v>143</v>
      </c>
      <c r="E1376" s="4">
        <v>2.11</v>
      </c>
    </row>
    <row r="1377">
      <c r="A1377" s="5">
        <v>86844.0</v>
      </c>
      <c r="B1377" s="6" t="s">
        <v>140</v>
      </c>
      <c r="C1377" s="6" t="s">
        <v>141</v>
      </c>
      <c r="D1377" s="6" t="s">
        <v>143</v>
      </c>
      <c r="E1377" s="6">
        <v>2.19</v>
      </c>
    </row>
    <row r="1378">
      <c r="A1378" s="3">
        <v>86771.0</v>
      </c>
      <c r="B1378" s="4" t="s">
        <v>140</v>
      </c>
      <c r="C1378" s="4" t="s">
        <v>141</v>
      </c>
      <c r="D1378" s="4" t="s">
        <v>143</v>
      </c>
      <c r="E1378" s="4">
        <v>19.31</v>
      </c>
    </row>
    <row r="1379">
      <c r="A1379" s="5">
        <v>78511.0</v>
      </c>
      <c r="B1379" s="6" t="s">
        <v>140</v>
      </c>
      <c r="C1379" s="6" t="s">
        <v>141</v>
      </c>
      <c r="D1379" s="6" t="s">
        <v>143</v>
      </c>
      <c r="E1379" s="6">
        <v>2.8</v>
      </c>
    </row>
    <row r="1380">
      <c r="A1380" s="3">
        <v>83267.0</v>
      </c>
      <c r="B1380" s="4" t="s">
        <v>140</v>
      </c>
      <c r="C1380" s="4" t="s">
        <v>141</v>
      </c>
      <c r="D1380" s="4" t="s">
        <v>143</v>
      </c>
      <c r="E1380" s="4">
        <v>1.69</v>
      </c>
    </row>
    <row r="1381">
      <c r="A1381" s="5">
        <v>78490.0</v>
      </c>
      <c r="B1381" s="6" t="s">
        <v>140</v>
      </c>
      <c r="C1381" s="6" t="s">
        <v>141</v>
      </c>
      <c r="D1381" s="6" t="s">
        <v>143</v>
      </c>
      <c r="E1381" s="6">
        <v>2.94</v>
      </c>
    </row>
    <row r="1382">
      <c r="A1382" s="3">
        <v>73175.0</v>
      </c>
      <c r="B1382" s="4" t="s">
        <v>140</v>
      </c>
      <c r="C1382" s="4" t="s">
        <v>141</v>
      </c>
      <c r="D1382" s="4" t="s">
        <v>143</v>
      </c>
      <c r="E1382" s="4">
        <v>10.7</v>
      </c>
    </row>
    <row r="1383">
      <c r="A1383" s="5">
        <v>44730.0</v>
      </c>
      <c r="B1383" s="6" t="s">
        <v>140</v>
      </c>
      <c r="C1383" s="6" t="s">
        <v>141</v>
      </c>
      <c r="D1383" s="6" t="s">
        <v>143</v>
      </c>
      <c r="E1383" s="6">
        <v>3.94</v>
      </c>
    </row>
    <row r="1384">
      <c r="A1384" s="3">
        <v>10535.0</v>
      </c>
      <c r="B1384" s="4" t="s">
        <v>140</v>
      </c>
      <c r="C1384" s="4" t="s">
        <v>141</v>
      </c>
      <c r="D1384" s="4" t="s">
        <v>143</v>
      </c>
      <c r="E1384" s="4">
        <v>2.44</v>
      </c>
    </row>
    <row r="1385">
      <c r="A1385" s="5">
        <v>80299.0</v>
      </c>
      <c r="B1385" s="6" t="s">
        <v>140</v>
      </c>
      <c r="C1385" s="6" t="s">
        <v>141</v>
      </c>
      <c r="D1385" s="6" t="s">
        <v>143</v>
      </c>
      <c r="E1385" s="6">
        <v>4.58</v>
      </c>
    </row>
    <row r="1386">
      <c r="A1386" s="3">
        <v>121350.0</v>
      </c>
      <c r="B1386" s="4" t="s">
        <v>140</v>
      </c>
      <c r="C1386" s="4" t="s">
        <v>141</v>
      </c>
      <c r="D1386" s="4" t="s">
        <v>143</v>
      </c>
      <c r="E1386" s="4">
        <v>2.62</v>
      </c>
    </row>
    <row r="1387">
      <c r="A1387" s="5">
        <v>79958.0</v>
      </c>
      <c r="B1387" s="6" t="s">
        <v>140</v>
      </c>
      <c r="C1387" s="6" t="s">
        <v>141</v>
      </c>
      <c r="D1387" s="6" t="s">
        <v>143</v>
      </c>
      <c r="E1387" s="6">
        <v>2.79</v>
      </c>
    </row>
    <row r="1388">
      <c r="A1388" s="3">
        <v>95074.0</v>
      </c>
      <c r="B1388" s="4" t="s">
        <v>140</v>
      </c>
      <c r="C1388" s="4" t="s">
        <v>141</v>
      </c>
      <c r="D1388" s="4" t="s">
        <v>143</v>
      </c>
      <c r="E1388" s="4">
        <v>2.77</v>
      </c>
    </row>
    <row r="1389">
      <c r="A1389" s="5">
        <v>87574.0</v>
      </c>
      <c r="B1389" s="6" t="s">
        <v>140</v>
      </c>
      <c r="C1389" s="6" t="s">
        <v>141</v>
      </c>
      <c r="D1389" s="6" t="s">
        <v>143</v>
      </c>
      <c r="E1389" s="6">
        <v>2.37</v>
      </c>
    </row>
    <row r="1390">
      <c r="A1390" s="3">
        <v>77769.0</v>
      </c>
      <c r="B1390" s="4" t="s">
        <v>140</v>
      </c>
      <c r="C1390" s="4" t="s">
        <v>141</v>
      </c>
      <c r="D1390" s="4" t="s">
        <v>143</v>
      </c>
      <c r="E1390" s="4">
        <v>3.73</v>
      </c>
    </row>
    <row r="1391">
      <c r="A1391" s="5">
        <v>141889.0</v>
      </c>
      <c r="B1391" s="6" t="s">
        <v>140</v>
      </c>
      <c r="C1391" s="6" t="s">
        <v>141</v>
      </c>
      <c r="D1391" s="6" t="s">
        <v>143</v>
      </c>
      <c r="E1391" s="6">
        <v>5.19</v>
      </c>
    </row>
    <row r="1392">
      <c r="A1392" s="3">
        <v>83269.0</v>
      </c>
      <c r="B1392" s="4" t="s">
        <v>140</v>
      </c>
      <c r="C1392" s="4" t="s">
        <v>141</v>
      </c>
      <c r="D1392" s="4" t="s">
        <v>143</v>
      </c>
      <c r="E1392" s="4">
        <v>1.69</v>
      </c>
    </row>
    <row r="1393">
      <c r="A1393" s="5">
        <v>89647.0</v>
      </c>
      <c r="B1393" s="6" t="s">
        <v>140</v>
      </c>
      <c r="C1393" s="6" t="s">
        <v>141</v>
      </c>
      <c r="D1393" s="6" t="s">
        <v>143</v>
      </c>
      <c r="E1393" s="6">
        <v>1.16</v>
      </c>
    </row>
    <row r="1394">
      <c r="A1394" s="3">
        <v>77256.0</v>
      </c>
      <c r="B1394" s="4" t="s">
        <v>140</v>
      </c>
      <c r="C1394" s="4" t="s">
        <v>141</v>
      </c>
      <c r="D1394" s="4" t="s">
        <v>143</v>
      </c>
      <c r="E1394" s="4">
        <v>2.9</v>
      </c>
    </row>
    <row r="1395">
      <c r="A1395" s="5">
        <v>86840.0</v>
      </c>
      <c r="B1395" s="6" t="s">
        <v>140</v>
      </c>
      <c r="C1395" s="6" t="s">
        <v>141</v>
      </c>
      <c r="D1395" s="6" t="s">
        <v>143</v>
      </c>
      <c r="E1395" s="6">
        <v>1.89</v>
      </c>
    </row>
    <row r="1396">
      <c r="A1396" s="3">
        <v>30306.0</v>
      </c>
      <c r="B1396" s="4" t="s">
        <v>140</v>
      </c>
      <c r="C1396" s="4" t="s">
        <v>141</v>
      </c>
      <c r="D1396" s="4" t="s">
        <v>143</v>
      </c>
      <c r="E1396" s="4">
        <v>3.5</v>
      </c>
    </row>
    <row r="1397">
      <c r="A1397" s="5">
        <v>76427.0</v>
      </c>
      <c r="B1397" s="6" t="s">
        <v>140</v>
      </c>
      <c r="C1397" s="6" t="s">
        <v>141</v>
      </c>
      <c r="D1397" s="6" t="s">
        <v>144</v>
      </c>
      <c r="E1397" s="6">
        <v>2.38</v>
      </c>
    </row>
    <row r="1398">
      <c r="A1398" s="3">
        <v>44706.0</v>
      </c>
      <c r="B1398" s="4" t="s">
        <v>140</v>
      </c>
      <c r="C1398" s="4" t="s">
        <v>141</v>
      </c>
      <c r="D1398" s="4" t="s">
        <v>144</v>
      </c>
      <c r="E1398" s="4">
        <v>1.93</v>
      </c>
    </row>
    <row r="1399">
      <c r="A1399" s="5">
        <v>44701.0</v>
      </c>
      <c r="B1399" s="6" t="s">
        <v>140</v>
      </c>
      <c r="C1399" s="6" t="s">
        <v>141</v>
      </c>
      <c r="D1399" s="6" t="s">
        <v>144</v>
      </c>
      <c r="E1399" s="6">
        <v>1.85</v>
      </c>
    </row>
    <row r="1400">
      <c r="A1400" s="3">
        <v>10537.0</v>
      </c>
      <c r="B1400" s="4" t="s">
        <v>140</v>
      </c>
      <c r="C1400" s="4" t="s">
        <v>141</v>
      </c>
      <c r="D1400" s="4" t="s">
        <v>144</v>
      </c>
      <c r="E1400" s="4">
        <v>3.58</v>
      </c>
    </row>
    <row r="1401">
      <c r="A1401" s="5">
        <v>10523.0</v>
      </c>
      <c r="B1401" s="6" t="s">
        <v>140</v>
      </c>
      <c r="C1401" s="6" t="s">
        <v>141</v>
      </c>
      <c r="D1401" s="6" t="s">
        <v>144</v>
      </c>
      <c r="E1401" s="6">
        <v>4.62</v>
      </c>
    </row>
    <row r="1402">
      <c r="A1402" s="3">
        <v>76664.0</v>
      </c>
      <c r="B1402" s="4" t="s">
        <v>140</v>
      </c>
      <c r="C1402" s="4" t="s">
        <v>141</v>
      </c>
      <c r="D1402" s="4" t="s">
        <v>144</v>
      </c>
      <c r="E1402" s="4">
        <v>2.52</v>
      </c>
    </row>
    <row r="1403">
      <c r="A1403" s="5">
        <v>78472.0</v>
      </c>
      <c r="B1403" s="6" t="s">
        <v>140</v>
      </c>
      <c r="C1403" s="6" t="s">
        <v>141</v>
      </c>
      <c r="D1403" s="6" t="s">
        <v>144</v>
      </c>
      <c r="E1403" s="6">
        <v>3.66</v>
      </c>
    </row>
    <row r="1404">
      <c r="A1404" s="3">
        <v>44721.0</v>
      </c>
      <c r="B1404" s="4" t="s">
        <v>140</v>
      </c>
      <c r="C1404" s="4" t="s">
        <v>141</v>
      </c>
      <c r="D1404" s="4" t="s">
        <v>144</v>
      </c>
      <c r="E1404" s="4">
        <v>2.51</v>
      </c>
    </row>
    <row r="1405">
      <c r="A1405" s="5">
        <v>121576.0</v>
      </c>
      <c r="B1405" s="6" t="s">
        <v>140</v>
      </c>
      <c r="C1405" s="6" t="s">
        <v>141</v>
      </c>
      <c r="D1405" s="6" t="s">
        <v>144</v>
      </c>
      <c r="E1405" s="6">
        <v>4.35</v>
      </c>
    </row>
    <row r="1406">
      <c r="A1406" s="3">
        <v>117208.0</v>
      </c>
      <c r="B1406" s="4" t="s">
        <v>140</v>
      </c>
      <c r="C1406" s="4" t="s">
        <v>141</v>
      </c>
      <c r="D1406" s="4" t="s">
        <v>144</v>
      </c>
      <c r="E1406" s="4">
        <v>1.06</v>
      </c>
    </row>
    <row r="1407">
      <c r="A1407" s="5">
        <v>78497.0</v>
      </c>
      <c r="B1407" s="6" t="s">
        <v>140</v>
      </c>
      <c r="C1407" s="6" t="s">
        <v>141</v>
      </c>
      <c r="D1407" s="6" t="s">
        <v>144</v>
      </c>
      <c r="E1407" s="6">
        <v>8.21</v>
      </c>
    </row>
    <row r="1408">
      <c r="A1408" s="3">
        <v>44726.0</v>
      </c>
      <c r="B1408" s="4" t="s">
        <v>140</v>
      </c>
      <c r="C1408" s="4" t="s">
        <v>141</v>
      </c>
      <c r="D1408" s="4" t="s">
        <v>144</v>
      </c>
      <c r="E1408" s="4">
        <v>3.47</v>
      </c>
    </row>
    <row r="1409">
      <c r="A1409" s="5">
        <v>117210.0</v>
      </c>
      <c r="B1409" s="6" t="s">
        <v>140</v>
      </c>
      <c r="C1409" s="6" t="s">
        <v>141</v>
      </c>
      <c r="D1409" s="6" t="s">
        <v>144</v>
      </c>
      <c r="E1409" s="6">
        <v>1.19</v>
      </c>
    </row>
    <row r="1410">
      <c r="A1410" s="3">
        <v>87082.0</v>
      </c>
      <c r="B1410" s="4" t="s">
        <v>140</v>
      </c>
      <c r="C1410" s="4" t="s">
        <v>141</v>
      </c>
      <c r="D1410" s="4" t="s">
        <v>144</v>
      </c>
      <c r="E1410" s="4">
        <v>3.57</v>
      </c>
    </row>
    <row r="1411">
      <c r="A1411" s="5">
        <v>10529.0</v>
      </c>
      <c r="B1411" s="6" t="s">
        <v>140</v>
      </c>
      <c r="C1411" s="6" t="s">
        <v>141</v>
      </c>
      <c r="D1411" s="6" t="s">
        <v>144</v>
      </c>
      <c r="E1411" s="6">
        <v>1.35</v>
      </c>
    </row>
    <row r="1412">
      <c r="A1412" s="3">
        <v>44705.0</v>
      </c>
      <c r="B1412" s="4" t="s">
        <v>140</v>
      </c>
      <c r="C1412" s="4" t="s">
        <v>141</v>
      </c>
      <c r="D1412" s="4" t="s">
        <v>144</v>
      </c>
      <c r="E1412" s="4">
        <v>2.01</v>
      </c>
    </row>
    <row r="1413">
      <c r="A1413" s="5">
        <v>100564.0</v>
      </c>
      <c r="B1413" s="6" t="s">
        <v>140</v>
      </c>
      <c r="C1413" s="6" t="s">
        <v>141</v>
      </c>
      <c r="D1413" s="6" t="s">
        <v>144</v>
      </c>
      <c r="E1413" s="6">
        <v>2.63</v>
      </c>
    </row>
    <row r="1414">
      <c r="A1414" s="3">
        <v>87193.0</v>
      </c>
      <c r="B1414" s="4" t="s">
        <v>140</v>
      </c>
      <c r="C1414" s="4" t="s">
        <v>141</v>
      </c>
      <c r="D1414" s="4" t="s">
        <v>144</v>
      </c>
      <c r="E1414" s="4">
        <v>4.62</v>
      </c>
    </row>
    <row r="1415">
      <c r="A1415" s="5">
        <v>76044.0</v>
      </c>
      <c r="B1415" s="6" t="s">
        <v>140</v>
      </c>
      <c r="C1415" s="6" t="s">
        <v>141</v>
      </c>
      <c r="D1415" s="6" t="s">
        <v>144</v>
      </c>
      <c r="E1415" s="6">
        <v>2.88</v>
      </c>
    </row>
    <row r="1416">
      <c r="A1416" s="3">
        <v>121578.0</v>
      </c>
      <c r="B1416" s="4" t="s">
        <v>140</v>
      </c>
      <c r="C1416" s="4" t="s">
        <v>141</v>
      </c>
      <c r="D1416" s="4" t="s">
        <v>144</v>
      </c>
      <c r="E1416" s="4">
        <v>4.05</v>
      </c>
    </row>
    <row r="1417">
      <c r="A1417" s="5">
        <v>117206.0</v>
      </c>
      <c r="B1417" s="6" t="s">
        <v>140</v>
      </c>
      <c r="C1417" s="6" t="s">
        <v>141</v>
      </c>
      <c r="D1417" s="6" t="s">
        <v>144</v>
      </c>
      <c r="E1417" s="6">
        <v>2.18</v>
      </c>
    </row>
    <row r="1418">
      <c r="A1418" s="3">
        <v>81519.0</v>
      </c>
      <c r="B1418" s="4" t="s">
        <v>140</v>
      </c>
      <c r="C1418" s="4" t="s">
        <v>141</v>
      </c>
      <c r="D1418" s="4" t="s">
        <v>144</v>
      </c>
      <c r="E1418" s="4">
        <v>5.97</v>
      </c>
    </row>
    <row r="1419">
      <c r="A1419" s="5">
        <v>44724.0</v>
      </c>
      <c r="B1419" s="6" t="s">
        <v>140</v>
      </c>
      <c r="C1419" s="6" t="s">
        <v>141</v>
      </c>
      <c r="D1419" s="6" t="s">
        <v>144</v>
      </c>
      <c r="E1419" s="6">
        <v>1.7</v>
      </c>
    </row>
    <row r="1420">
      <c r="A1420" s="3">
        <v>82114.0</v>
      </c>
      <c r="B1420" s="4" t="s">
        <v>140</v>
      </c>
      <c r="C1420" s="4" t="s">
        <v>141</v>
      </c>
      <c r="D1420" s="4" t="s">
        <v>144</v>
      </c>
      <c r="E1420" s="4">
        <v>17.18</v>
      </c>
    </row>
    <row r="1421">
      <c r="A1421" s="5">
        <v>82115.0</v>
      </c>
      <c r="B1421" s="6" t="s">
        <v>140</v>
      </c>
      <c r="C1421" s="6" t="s">
        <v>141</v>
      </c>
      <c r="D1421" s="6" t="s">
        <v>144</v>
      </c>
      <c r="E1421" s="6">
        <v>14.03</v>
      </c>
    </row>
    <row r="1422">
      <c r="A1422" s="3">
        <v>109307.0</v>
      </c>
      <c r="B1422" s="4" t="s">
        <v>140</v>
      </c>
      <c r="C1422" s="4" t="s">
        <v>141</v>
      </c>
      <c r="D1422" s="4" t="s">
        <v>144</v>
      </c>
      <c r="E1422" s="4">
        <v>6.56</v>
      </c>
    </row>
    <row r="1423">
      <c r="A1423" s="5">
        <v>76046.0</v>
      </c>
      <c r="B1423" s="6" t="s">
        <v>140</v>
      </c>
      <c r="C1423" s="6" t="s">
        <v>141</v>
      </c>
      <c r="D1423" s="6" t="s">
        <v>144</v>
      </c>
      <c r="E1423" s="6">
        <v>5.31</v>
      </c>
    </row>
    <row r="1424">
      <c r="A1424" s="3">
        <v>117187.0</v>
      </c>
      <c r="B1424" s="4" t="s">
        <v>140</v>
      </c>
      <c r="C1424" s="4" t="s">
        <v>141</v>
      </c>
      <c r="D1424" s="4" t="s">
        <v>144</v>
      </c>
      <c r="E1424" s="4">
        <v>2.23</v>
      </c>
    </row>
    <row r="1425">
      <c r="A1425" s="5">
        <v>10538.0</v>
      </c>
      <c r="B1425" s="6" t="s">
        <v>140</v>
      </c>
      <c r="C1425" s="6" t="s">
        <v>141</v>
      </c>
      <c r="D1425" s="6" t="s">
        <v>144</v>
      </c>
      <c r="E1425" s="6">
        <v>2.36</v>
      </c>
    </row>
    <row r="1426">
      <c r="A1426" s="3">
        <v>78508.0</v>
      </c>
      <c r="B1426" s="4" t="s">
        <v>140</v>
      </c>
      <c r="C1426" s="4" t="s">
        <v>141</v>
      </c>
      <c r="D1426" s="4" t="s">
        <v>144</v>
      </c>
      <c r="E1426" s="4">
        <v>7.01</v>
      </c>
    </row>
    <row r="1427">
      <c r="A1427" s="5">
        <v>44723.0</v>
      </c>
      <c r="B1427" s="6" t="s">
        <v>140</v>
      </c>
      <c r="C1427" s="6" t="s">
        <v>141</v>
      </c>
      <c r="D1427" s="6" t="s">
        <v>144</v>
      </c>
      <c r="E1427" s="6">
        <v>1.54</v>
      </c>
    </row>
    <row r="1428">
      <c r="A1428" s="3">
        <v>109309.0</v>
      </c>
      <c r="B1428" s="4" t="s">
        <v>140</v>
      </c>
      <c r="C1428" s="4" t="s">
        <v>141</v>
      </c>
      <c r="D1428" s="4" t="s">
        <v>144</v>
      </c>
      <c r="E1428" s="4">
        <v>5.53</v>
      </c>
    </row>
    <row r="1429">
      <c r="A1429" s="5">
        <v>76656.0</v>
      </c>
      <c r="B1429" s="6" t="s">
        <v>140</v>
      </c>
      <c r="C1429" s="6" t="s">
        <v>141</v>
      </c>
      <c r="D1429" s="6" t="s">
        <v>144</v>
      </c>
      <c r="E1429" s="6">
        <v>3.27</v>
      </c>
    </row>
    <row r="1430">
      <c r="A1430" s="3">
        <v>80305.0</v>
      </c>
      <c r="B1430" s="4" t="s">
        <v>140</v>
      </c>
      <c r="C1430" s="4" t="s">
        <v>141</v>
      </c>
      <c r="D1430" s="4" t="s">
        <v>144</v>
      </c>
      <c r="E1430" s="4">
        <v>3.65</v>
      </c>
    </row>
    <row r="1431">
      <c r="A1431" s="5">
        <v>78506.0</v>
      </c>
      <c r="B1431" s="6" t="s">
        <v>140</v>
      </c>
      <c r="C1431" s="6" t="s">
        <v>141</v>
      </c>
      <c r="D1431" s="6" t="s">
        <v>144</v>
      </c>
      <c r="E1431" s="6">
        <v>6.01</v>
      </c>
    </row>
    <row r="1432">
      <c r="A1432" s="3">
        <v>82133.0</v>
      </c>
      <c r="B1432" s="4" t="s">
        <v>140</v>
      </c>
      <c r="C1432" s="4" t="s">
        <v>141</v>
      </c>
      <c r="D1432" s="4" t="s">
        <v>144</v>
      </c>
      <c r="E1432" s="4">
        <v>17.07</v>
      </c>
    </row>
    <row r="1433">
      <c r="A1433" s="5">
        <v>188805.0</v>
      </c>
      <c r="B1433" s="6" t="s">
        <v>140</v>
      </c>
      <c r="C1433" s="6" t="s">
        <v>141</v>
      </c>
      <c r="D1433" s="6" t="s">
        <v>144</v>
      </c>
      <c r="E1433" s="6">
        <v>3.7</v>
      </c>
    </row>
    <row r="1434">
      <c r="A1434" s="3">
        <v>78481.0</v>
      </c>
      <c r="B1434" s="4" t="s">
        <v>140</v>
      </c>
      <c r="C1434" s="4" t="s">
        <v>141</v>
      </c>
      <c r="D1434" s="4" t="s">
        <v>144</v>
      </c>
      <c r="E1434" s="4">
        <v>4.58</v>
      </c>
    </row>
    <row r="1435">
      <c r="A1435" s="5">
        <v>109310.0</v>
      </c>
      <c r="B1435" s="6" t="s">
        <v>140</v>
      </c>
      <c r="C1435" s="6" t="s">
        <v>141</v>
      </c>
      <c r="D1435" s="6" t="s">
        <v>144</v>
      </c>
      <c r="E1435" s="6">
        <v>4.35</v>
      </c>
    </row>
    <row r="1436">
      <c r="A1436" s="3">
        <v>120689.0</v>
      </c>
      <c r="B1436" s="4" t="s">
        <v>140</v>
      </c>
      <c r="C1436" s="4" t="s">
        <v>141</v>
      </c>
      <c r="D1436" s="4" t="s">
        <v>144</v>
      </c>
      <c r="E1436" s="4">
        <v>22.89</v>
      </c>
    </row>
    <row r="1437">
      <c r="A1437" s="5">
        <v>10540.0</v>
      </c>
      <c r="B1437" s="6" t="s">
        <v>140</v>
      </c>
      <c r="C1437" s="6" t="s">
        <v>141</v>
      </c>
      <c r="D1437" s="6" t="s">
        <v>144</v>
      </c>
      <c r="E1437" s="6">
        <v>4.12</v>
      </c>
    </row>
    <row r="1438">
      <c r="A1438" s="3">
        <v>44727.0</v>
      </c>
      <c r="B1438" s="4" t="s">
        <v>140</v>
      </c>
      <c r="C1438" s="4" t="s">
        <v>141</v>
      </c>
      <c r="D1438" s="4" t="s">
        <v>144</v>
      </c>
      <c r="E1438" s="4">
        <v>4.56</v>
      </c>
    </row>
    <row r="1439">
      <c r="A1439" s="5">
        <v>73190.0</v>
      </c>
      <c r="B1439" s="6" t="s">
        <v>140</v>
      </c>
      <c r="C1439" s="6" t="s">
        <v>141</v>
      </c>
      <c r="D1439" s="6" t="s">
        <v>144</v>
      </c>
      <c r="E1439" s="6">
        <v>29.98</v>
      </c>
    </row>
    <row r="1440">
      <c r="A1440" s="3">
        <v>112169.0</v>
      </c>
      <c r="B1440" s="4" t="s">
        <v>140</v>
      </c>
      <c r="C1440" s="4" t="s">
        <v>141</v>
      </c>
      <c r="D1440" s="4" t="s">
        <v>144</v>
      </c>
      <c r="E1440" s="4">
        <v>1.14</v>
      </c>
    </row>
    <row r="1441">
      <c r="A1441" s="5">
        <v>120695.0</v>
      </c>
      <c r="B1441" s="6" t="s">
        <v>140</v>
      </c>
      <c r="C1441" s="6" t="s">
        <v>141</v>
      </c>
      <c r="D1441" s="6" t="s">
        <v>144</v>
      </c>
      <c r="E1441" s="6">
        <v>15.23</v>
      </c>
    </row>
    <row r="1442">
      <c r="A1442" s="3">
        <v>80270.0</v>
      </c>
      <c r="B1442" s="4" t="s">
        <v>140</v>
      </c>
      <c r="C1442" s="4" t="s">
        <v>141</v>
      </c>
      <c r="D1442" s="4" t="s">
        <v>144</v>
      </c>
      <c r="E1442" s="4">
        <v>6.1</v>
      </c>
    </row>
    <row r="1443">
      <c r="A1443" s="5">
        <v>5795.0</v>
      </c>
      <c r="B1443" s="6" t="s">
        <v>140</v>
      </c>
      <c r="C1443" s="6" t="s">
        <v>141</v>
      </c>
      <c r="D1443" s="6" t="s">
        <v>144</v>
      </c>
      <c r="E1443" s="6">
        <v>4.69</v>
      </c>
    </row>
    <row r="1444">
      <c r="A1444" s="3">
        <v>107316.0</v>
      </c>
      <c r="B1444" s="4" t="s">
        <v>140</v>
      </c>
      <c r="C1444" s="4" t="s">
        <v>141</v>
      </c>
      <c r="D1444" s="4" t="s">
        <v>144</v>
      </c>
      <c r="E1444" s="4">
        <v>4.67</v>
      </c>
    </row>
    <row r="1445">
      <c r="A1445" s="5">
        <v>78482.0</v>
      </c>
      <c r="B1445" s="6" t="s">
        <v>140</v>
      </c>
      <c r="C1445" s="6" t="s">
        <v>141</v>
      </c>
      <c r="D1445" s="6" t="s">
        <v>144</v>
      </c>
      <c r="E1445" s="6">
        <v>10.37</v>
      </c>
    </row>
    <row r="1446">
      <c r="A1446" s="3">
        <v>158473.0</v>
      </c>
      <c r="B1446" s="4" t="s">
        <v>140</v>
      </c>
      <c r="C1446" s="4" t="s">
        <v>141</v>
      </c>
      <c r="D1446" s="4" t="s">
        <v>144</v>
      </c>
      <c r="E1446" s="4">
        <v>3.37</v>
      </c>
    </row>
    <row r="1447">
      <c r="A1447" s="5">
        <v>109308.0</v>
      </c>
      <c r="B1447" s="6" t="s">
        <v>140</v>
      </c>
      <c r="C1447" s="6" t="s">
        <v>141</v>
      </c>
      <c r="D1447" s="6" t="s">
        <v>144</v>
      </c>
      <c r="E1447" s="6">
        <v>5.71</v>
      </c>
    </row>
    <row r="1448">
      <c r="A1448" s="3">
        <v>78507.0</v>
      </c>
      <c r="B1448" s="4" t="s">
        <v>140</v>
      </c>
      <c r="C1448" s="4" t="s">
        <v>141</v>
      </c>
      <c r="D1448" s="4" t="s">
        <v>144</v>
      </c>
      <c r="E1448" s="4">
        <v>8.31</v>
      </c>
    </row>
    <row r="1449">
      <c r="A1449" s="5">
        <v>100827.0</v>
      </c>
      <c r="B1449" s="6" t="s">
        <v>140</v>
      </c>
      <c r="C1449" s="6" t="s">
        <v>141</v>
      </c>
      <c r="D1449" s="6" t="s">
        <v>144</v>
      </c>
      <c r="E1449" s="6">
        <v>6.84</v>
      </c>
    </row>
    <row r="1450">
      <c r="A1450" s="3">
        <v>102189.0</v>
      </c>
      <c r="B1450" s="4" t="s">
        <v>140</v>
      </c>
      <c r="C1450" s="4" t="s">
        <v>141</v>
      </c>
      <c r="D1450" s="4" t="s">
        <v>144</v>
      </c>
      <c r="E1450" s="4">
        <v>2.43</v>
      </c>
    </row>
    <row r="1451">
      <c r="A1451" s="5">
        <v>10522.0</v>
      </c>
      <c r="B1451" s="6" t="s">
        <v>140</v>
      </c>
      <c r="C1451" s="6" t="s">
        <v>141</v>
      </c>
      <c r="D1451" s="6" t="s">
        <v>144</v>
      </c>
      <c r="E1451" s="6">
        <v>4.04</v>
      </c>
    </row>
    <row r="1452">
      <c r="A1452" s="3">
        <v>78467.0</v>
      </c>
      <c r="B1452" s="4" t="s">
        <v>140</v>
      </c>
      <c r="C1452" s="4" t="s">
        <v>141</v>
      </c>
      <c r="D1452" s="4" t="s">
        <v>144</v>
      </c>
      <c r="E1452" s="4">
        <v>2.21</v>
      </c>
    </row>
    <row r="1453">
      <c r="A1453" s="5">
        <v>84367.0</v>
      </c>
      <c r="B1453" s="6" t="s">
        <v>140</v>
      </c>
      <c r="C1453" s="6" t="s">
        <v>141</v>
      </c>
      <c r="D1453" s="6" t="s">
        <v>144</v>
      </c>
      <c r="E1453" s="6">
        <v>3.02</v>
      </c>
    </row>
    <row r="1454">
      <c r="A1454" s="3">
        <v>87402.0</v>
      </c>
      <c r="B1454" s="4" t="s">
        <v>140</v>
      </c>
      <c r="C1454" s="4" t="s">
        <v>141</v>
      </c>
      <c r="D1454" s="4" t="s">
        <v>145</v>
      </c>
      <c r="E1454" s="4">
        <v>1.05</v>
      </c>
    </row>
    <row r="1455">
      <c r="A1455" s="5">
        <v>44707.0</v>
      </c>
      <c r="B1455" s="6" t="s">
        <v>140</v>
      </c>
      <c r="C1455" s="6" t="s">
        <v>141</v>
      </c>
      <c r="D1455" s="6" t="s">
        <v>145</v>
      </c>
      <c r="E1455" s="6">
        <v>1.93</v>
      </c>
    </row>
    <row r="1456">
      <c r="A1456" s="3">
        <v>78400.0</v>
      </c>
      <c r="B1456" s="4" t="s">
        <v>140</v>
      </c>
      <c r="C1456" s="4" t="s">
        <v>141</v>
      </c>
      <c r="D1456" s="4" t="s">
        <v>145</v>
      </c>
      <c r="E1456" s="4">
        <v>2.07</v>
      </c>
    </row>
    <row r="1457">
      <c r="A1457" s="5">
        <v>102188.0</v>
      </c>
      <c r="B1457" s="6" t="s">
        <v>140</v>
      </c>
      <c r="C1457" s="6" t="s">
        <v>141</v>
      </c>
      <c r="D1457" s="6" t="s">
        <v>145</v>
      </c>
      <c r="E1457" s="6">
        <v>1.98</v>
      </c>
    </row>
    <row r="1458">
      <c r="A1458" s="3">
        <v>73173.0</v>
      </c>
      <c r="B1458" s="4" t="s">
        <v>140</v>
      </c>
      <c r="C1458" s="4" t="s">
        <v>141</v>
      </c>
      <c r="D1458" s="4" t="s">
        <v>145</v>
      </c>
      <c r="E1458" s="4">
        <v>3.46</v>
      </c>
    </row>
    <row r="1459">
      <c r="A1459" s="5">
        <v>76661.0</v>
      </c>
      <c r="B1459" s="6" t="s">
        <v>140</v>
      </c>
      <c r="C1459" s="6" t="s">
        <v>141</v>
      </c>
      <c r="D1459" s="6" t="s">
        <v>145</v>
      </c>
      <c r="E1459" s="6">
        <v>1.45</v>
      </c>
    </row>
    <row r="1460">
      <c r="A1460" s="3">
        <v>78479.0</v>
      </c>
      <c r="B1460" s="4" t="s">
        <v>140</v>
      </c>
      <c r="C1460" s="4" t="s">
        <v>141</v>
      </c>
      <c r="D1460" s="4" t="s">
        <v>145</v>
      </c>
      <c r="E1460" s="4">
        <v>0.94</v>
      </c>
    </row>
    <row r="1461">
      <c r="A1461" s="5">
        <v>103401.0</v>
      </c>
      <c r="B1461" s="6" t="s">
        <v>140</v>
      </c>
      <c r="C1461" s="6" t="s">
        <v>141</v>
      </c>
      <c r="D1461" s="6" t="s">
        <v>145</v>
      </c>
      <c r="E1461" s="6">
        <v>5.35</v>
      </c>
    </row>
    <row r="1462">
      <c r="A1462" s="3">
        <v>83340.0</v>
      </c>
      <c r="B1462" s="4" t="s">
        <v>140</v>
      </c>
      <c r="C1462" s="4" t="s">
        <v>141</v>
      </c>
      <c r="D1462" s="4" t="s">
        <v>145</v>
      </c>
      <c r="E1462" s="4">
        <v>3.41</v>
      </c>
    </row>
    <row r="1463">
      <c r="A1463" s="5">
        <v>44725.0</v>
      </c>
      <c r="B1463" s="6" t="s">
        <v>140</v>
      </c>
      <c r="C1463" s="6" t="s">
        <v>141</v>
      </c>
      <c r="D1463" s="6" t="s">
        <v>145</v>
      </c>
      <c r="E1463" s="6">
        <v>0.69</v>
      </c>
    </row>
    <row r="1464">
      <c r="A1464" s="3">
        <v>109311.0</v>
      </c>
      <c r="B1464" s="4" t="s">
        <v>140</v>
      </c>
      <c r="C1464" s="4" t="s">
        <v>141</v>
      </c>
      <c r="D1464" s="4" t="s">
        <v>145</v>
      </c>
      <c r="E1464" s="4">
        <v>6.49</v>
      </c>
    </row>
    <row r="1465">
      <c r="A1465" s="5">
        <v>133901.0</v>
      </c>
      <c r="B1465" s="6" t="s">
        <v>73</v>
      </c>
      <c r="C1465" s="6" t="s">
        <v>146</v>
      </c>
      <c r="D1465" s="6" t="s">
        <v>147</v>
      </c>
      <c r="E1465" s="6">
        <v>4.0</v>
      </c>
    </row>
    <row r="1466">
      <c r="A1466" s="3">
        <v>92678.0</v>
      </c>
      <c r="B1466" s="4" t="s">
        <v>73</v>
      </c>
      <c r="C1466" s="4" t="s">
        <v>146</v>
      </c>
      <c r="D1466" s="4" t="s">
        <v>147</v>
      </c>
      <c r="E1466" s="4">
        <v>2.67</v>
      </c>
    </row>
    <row r="1467">
      <c r="A1467" s="5">
        <v>82447.0</v>
      </c>
      <c r="B1467" s="6" t="s">
        <v>73</v>
      </c>
      <c r="C1467" s="6" t="s">
        <v>146</v>
      </c>
      <c r="D1467" s="6" t="s">
        <v>148</v>
      </c>
      <c r="E1467" s="6">
        <v>3.26</v>
      </c>
    </row>
    <row r="1468">
      <c r="A1468" s="3">
        <v>110126.0</v>
      </c>
      <c r="B1468" s="4" t="s">
        <v>73</v>
      </c>
      <c r="C1468" s="4" t="s">
        <v>146</v>
      </c>
      <c r="D1468" s="4" t="s">
        <v>148</v>
      </c>
      <c r="E1468" s="4">
        <v>4.36</v>
      </c>
    </row>
    <row r="1469">
      <c r="A1469" s="5">
        <v>3219.0</v>
      </c>
      <c r="B1469" s="6" t="s">
        <v>73</v>
      </c>
      <c r="C1469" s="6" t="s">
        <v>146</v>
      </c>
      <c r="D1469" s="6" t="s">
        <v>148</v>
      </c>
      <c r="E1469" s="6">
        <v>6.95</v>
      </c>
    </row>
    <row r="1470">
      <c r="A1470" s="3">
        <v>127007.0</v>
      </c>
      <c r="B1470" s="4" t="s">
        <v>73</v>
      </c>
      <c r="C1470" s="4" t="s">
        <v>146</v>
      </c>
      <c r="D1470" s="4" t="s">
        <v>148</v>
      </c>
      <c r="E1470" s="4">
        <v>3.45</v>
      </c>
    </row>
    <row r="1471">
      <c r="A1471" s="5">
        <v>102277.0</v>
      </c>
      <c r="B1471" s="6" t="s">
        <v>73</v>
      </c>
      <c r="C1471" s="6" t="s">
        <v>146</v>
      </c>
      <c r="D1471" s="6" t="s">
        <v>149</v>
      </c>
      <c r="E1471" s="6">
        <v>8.33</v>
      </c>
    </row>
    <row r="1472">
      <c r="A1472" s="3">
        <v>122544.0</v>
      </c>
      <c r="B1472" s="4" t="s">
        <v>73</v>
      </c>
      <c r="C1472" s="4" t="s">
        <v>146</v>
      </c>
      <c r="D1472" s="4" t="s">
        <v>149</v>
      </c>
      <c r="E1472" s="4">
        <v>7.9</v>
      </c>
    </row>
    <row r="1473">
      <c r="A1473" s="5">
        <v>91486.0</v>
      </c>
      <c r="B1473" s="6" t="s">
        <v>73</v>
      </c>
      <c r="C1473" s="6" t="s">
        <v>146</v>
      </c>
      <c r="D1473" s="6" t="s">
        <v>149</v>
      </c>
      <c r="E1473" s="6">
        <v>6.49</v>
      </c>
    </row>
    <row r="1474">
      <c r="A1474" s="3">
        <v>28009.0</v>
      </c>
      <c r="B1474" s="4" t="s">
        <v>73</v>
      </c>
      <c r="C1474" s="4" t="s">
        <v>146</v>
      </c>
      <c r="D1474" s="4" t="s">
        <v>149</v>
      </c>
      <c r="E1474" s="4">
        <v>8.2</v>
      </c>
    </row>
    <row r="1475">
      <c r="A1475" s="5">
        <v>110814.0</v>
      </c>
      <c r="B1475" s="6" t="s">
        <v>73</v>
      </c>
      <c r="C1475" s="6" t="s">
        <v>146</v>
      </c>
      <c r="D1475" s="6" t="s">
        <v>150</v>
      </c>
      <c r="E1475" s="6">
        <v>4.5</v>
      </c>
    </row>
    <row r="1476">
      <c r="A1476" s="3">
        <v>117437.0</v>
      </c>
      <c r="B1476" s="4" t="s">
        <v>73</v>
      </c>
      <c r="C1476" s="4" t="s">
        <v>146</v>
      </c>
      <c r="D1476" s="4" t="s">
        <v>150</v>
      </c>
      <c r="E1476" s="4">
        <v>4.64</v>
      </c>
    </row>
    <row r="1477">
      <c r="A1477" s="5">
        <v>23074.0</v>
      </c>
      <c r="B1477" s="6" t="s">
        <v>73</v>
      </c>
      <c r="C1477" s="6" t="s">
        <v>146</v>
      </c>
      <c r="D1477" s="6" t="s">
        <v>150</v>
      </c>
      <c r="E1477" s="6">
        <v>4.94</v>
      </c>
    </row>
    <row r="1478">
      <c r="A1478" s="3">
        <v>8900.0</v>
      </c>
      <c r="B1478" s="4" t="s">
        <v>73</v>
      </c>
      <c r="C1478" s="4" t="s">
        <v>146</v>
      </c>
      <c r="D1478" s="4" t="s">
        <v>150</v>
      </c>
      <c r="E1478" s="4">
        <v>7.17</v>
      </c>
    </row>
    <row r="1479">
      <c r="A1479" s="5">
        <v>92676.0</v>
      </c>
      <c r="B1479" s="6" t="s">
        <v>73</v>
      </c>
      <c r="C1479" s="6" t="s">
        <v>146</v>
      </c>
      <c r="D1479" s="6" t="s">
        <v>150</v>
      </c>
      <c r="E1479" s="6">
        <v>2.74</v>
      </c>
    </row>
    <row r="1480">
      <c r="A1480" s="3">
        <v>117266.0</v>
      </c>
      <c r="B1480" s="4" t="s">
        <v>73</v>
      </c>
      <c r="C1480" s="4" t="s">
        <v>146</v>
      </c>
      <c r="D1480" s="4" t="s">
        <v>150</v>
      </c>
      <c r="E1480" s="4">
        <v>2.6</v>
      </c>
    </row>
    <row r="1481">
      <c r="A1481" s="5">
        <v>14527.0</v>
      </c>
      <c r="B1481" s="6" t="s">
        <v>73</v>
      </c>
      <c r="C1481" s="6" t="s">
        <v>146</v>
      </c>
      <c r="D1481" s="6" t="s">
        <v>150</v>
      </c>
      <c r="E1481" s="6">
        <v>11.35</v>
      </c>
    </row>
    <row r="1482">
      <c r="A1482" s="3">
        <v>27534.0</v>
      </c>
      <c r="B1482" s="4" t="s">
        <v>73</v>
      </c>
      <c r="C1482" s="4" t="s">
        <v>146</v>
      </c>
      <c r="D1482" s="4" t="s">
        <v>150</v>
      </c>
      <c r="E1482" s="4">
        <v>2.68</v>
      </c>
    </row>
    <row r="1483">
      <c r="A1483" s="5">
        <v>91636.0</v>
      </c>
      <c r="B1483" s="6" t="s">
        <v>73</v>
      </c>
      <c r="C1483" s="6" t="s">
        <v>146</v>
      </c>
      <c r="D1483" s="6" t="s">
        <v>150</v>
      </c>
      <c r="E1483" s="6">
        <v>4.81</v>
      </c>
    </row>
    <row r="1484">
      <c r="A1484" s="3">
        <v>120941.0</v>
      </c>
      <c r="B1484" s="4" t="s">
        <v>73</v>
      </c>
      <c r="C1484" s="4" t="s">
        <v>146</v>
      </c>
      <c r="D1484" s="4" t="s">
        <v>151</v>
      </c>
      <c r="E1484" s="4">
        <v>11.57</v>
      </c>
    </row>
    <row r="1485">
      <c r="A1485" s="5">
        <v>111897.0</v>
      </c>
      <c r="B1485" s="6" t="s">
        <v>73</v>
      </c>
      <c r="C1485" s="6" t="s">
        <v>146</v>
      </c>
      <c r="D1485" s="6" t="s">
        <v>151</v>
      </c>
      <c r="E1485" s="6">
        <v>3.71</v>
      </c>
    </row>
    <row r="1486">
      <c r="A1486" s="3">
        <v>158485.0</v>
      </c>
      <c r="B1486" s="4" t="s">
        <v>73</v>
      </c>
      <c r="C1486" s="4" t="s">
        <v>146</v>
      </c>
      <c r="D1486" s="4" t="s">
        <v>151</v>
      </c>
      <c r="E1486" s="4">
        <v>9.25</v>
      </c>
    </row>
    <row r="1487">
      <c r="A1487" s="5">
        <v>199530.0</v>
      </c>
      <c r="B1487" s="6" t="s">
        <v>9</v>
      </c>
      <c r="C1487" s="6" t="s">
        <v>152</v>
      </c>
      <c r="D1487" s="6"/>
      <c r="E1487" s="6">
        <v>1.59</v>
      </c>
    </row>
    <row r="1488">
      <c r="A1488" s="3">
        <v>120946.0</v>
      </c>
      <c r="B1488" s="4" t="s">
        <v>9</v>
      </c>
      <c r="C1488" s="4" t="s">
        <v>152</v>
      </c>
      <c r="D1488" s="4"/>
      <c r="E1488" s="4">
        <v>0.96</v>
      </c>
    </row>
    <row r="1489">
      <c r="A1489" s="5">
        <v>82957.0</v>
      </c>
      <c r="B1489" s="6" t="s">
        <v>9</v>
      </c>
      <c r="C1489" s="6" t="s">
        <v>152</v>
      </c>
      <c r="D1489" s="6"/>
      <c r="E1489" s="6">
        <v>1.71</v>
      </c>
    </row>
    <row r="1490">
      <c r="A1490" s="3">
        <v>109830.0</v>
      </c>
      <c r="B1490" s="4" t="s">
        <v>9</v>
      </c>
      <c r="C1490" s="4" t="s">
        <v>152</v>
      </c>
      <c r="D1490" s="4"/>
      <c r="E1490" s="4">
        <v>1.07</v>
      </c>
    </row>
    <row r="1491">
      <c r="A1491" s="5">
        <v>109831.0</v>
      </c>
      <c r="B1491" s="6" t="s">
        <v>9</v>
      </c>
      <c r="C1491" s="6" t="s">
        <v>152</v>
      </c>
      <c r="D1491" s="6"/>
      <c r="E1491" s="6">
        <v>1.07</v>
      </c>
    </row>
    <row r="1492">
      <c r="A1492" s="3">
        <v>107899.0</v>
      </c>
      <c r="B1492" s="4" t="s">
        <v>140</v>
      </c>
      <c r="C1492" s="4" t="s">
        <v>153</v>
      </c>
      <c r="D1492" s="4" t="s">
        <v>154</v>
      </c>
      <c r="E1492" s="4">
        <v>2.48</v>
      </c>
    </row>
    <row r="1493">
      <c r="A1493" s="5">
        <v>139289.0</v>
      </c>
      <c r="B1493" s="6" t="s">
        <v>140</v>
      </c>
      <c r="C1493" s="6" t="s">
        <v>153</v>
      </c>
      <c r="D1493" s="6" t="s">
        <v>154</v>
      </c>
      <c r="E1493" s="6">
        <v>1.55</v>
      </c>
    </row>
    <row r="1494">
      <c r="A1494" s="3">
        <v>72129.0</v>
      </c>
      <c r="B1494" s="4" t="s">
        <v>140</v>
      </c>
      <c r="C1494" s="4" t="s">
        <v>153</v>
      </c>
      <c r="D1494" s="4" t="s">
        <v>154</v>
      </c>
      <c r="E1494" s="4">
        <v>5.6</v>
      </c>
    </row>
    <row r="1495">
      <c r="A1495" s="5">
        <v>106541.0</v>
      </c>
      <c r="B1495" s="6" t="s">
        <v>140</v>
      </c>
      <c r="C1495" s="6" t="s">
        <v>153</v>
      </c>
      <c r="D1495" s="6" t="s">
        <v>154</v>
      </c>
      <c r="E1495" s="6">
        <v>2.34</v>
      </c>
    </row>
    <row r="1496">
      <c r="A1496" s="3">
        <v>43810.0</v>
      </c>
      <c r="B1496" s="4" t="s">
        <v>140</v>
      </c>
      <c r="C1496" s="4" t="s">
        <v>153</v>
      </c>
      <c r="D1496" s="4" t="s">
        <v>154</v>
      </c>
      <c r="E1496" s="4">
        <v>3.79</v>
      </c>
    </row>
    <row r="1497">
      <c r="A1497" s="5">
        <v>83117.0</v>
      </c>
      <c r="B1497" s="6" t="s">
        <v>140</v>
      </c>
      <c r="C1497" s="6" t="s">
        <v>153</v>
      </c>
      <c r="D1497" s="6" t="s">
        <v>154</v>
      </c>
      <c r="E1497" s="6">
        <v>9.09</v>
      </c>
    </row>
    <row r="1498">
      <c r="A1498" s="3">
        <v>78863.0</v>
      </c>
      <c r="B1498" s="4" t="s">
        <v>140</v>
      </c>
      <c r="C1498" s="4" t="s">
        <v>153</v>
      </c>
      <c r="D1498" s="4" t="s">
        <v>154</v>
      </c>
      <c r="E1498" s="4">
        <v>3.29</v>
      </c>
    </row>
    <row r="1499">
      <c r="A1499" s="5">
        <v>107898.0</v>
      </c>
      <c r="B1499" s="6" t="s">
        <v>140</v>
      </c>
      <c r="C1499" s="6" t="s">
        <v>153</v>
      </c>
      <c r="D1499" s="6" t="s">
        <v>154</v>
      </c>
      <c r="E1499" s="6">
        <v>2.48</v>
      </c>
    </row>
    <row r="1500">
      <c r="A1500" s="3">
        <v>80181.0</v>
      </c>
      <c r="B1500" s="4" t="s">
        <v>140</v>
      </c>
      <c r="C1500" s="4" t="s">
        <v>153</v>
      </c>
      <c r="D1500" s="4" t="s">
        <v>155</v>
      </c>
      <c r="E1500" s="4">
        <v>2.41</v>
      </c>
    </row>
    <row r="1501">
      <c r="A1501" s="5">
        <v>150280.0</v>
      </c>
      <c r="B1501" s="6" t="s">
        <v>140</v>
      </c>
      <c r="C1501" s="6" t="s">
        <v>153</v>
      </c>
      <c r="D1501" s="6" t="s">
        <v>155</v>
      </c>
      <c r="E1501" s="6">
        <v>3.41</v>
      </c>
    </row>
    <row r="1502">
      <c r="A1502" s="3">
        <v>80173.0</v>
      </c>
      <c r="B1502" s="4" t="s">
        <v>140</v>
      </c>
      <c r="C1502" s="4" t="s">
        <v>153</v>
      </c>
      <c r="D1502" s="4" t="s">
        <v>155</v>
      </c>
      <c r="E1502" s="4">
        <v>2.3</v>
      </c>
    </row>
    <row r="1503">
      <c r="A1503" s="5">
        <v>100647.0</v>
      </c>
      <c r="B1503" s="6" t="s">
        <v>140</v>
      </c>
      <c r="C1503" s="6" t="s">
        <v>153</v>
      </c>
      <c r="D1503" s="6" t="s">
        <v>155</v>
      </c>
      <c r="E1503" s="6">
        <v>2.97</v>
      </c>
    </row>
    <row r="1504">
      <c r="A1504" s="3">
        <v>147273.0</v>
      </c>
      <c r="B1504" s="4" t="s">
        <v>140</v>
      </c>
      <c r="C1504" s="4" t="s">
        <v>153</v>
      </c>
      <c r="D1504" s="4" t="s">
        <v>155</v>
      </c>
      <c r="E1504" s="4">
        <v>1.46</v>
      </c>
    </row>
    <row r="1505">
      <c r="A1505" s="5">
        <v>83770.0</v>
      </c>
      <c r="B1505" s="6" t="s">
        <v>140</v>
      </c>
      <c r="C1505" s="6" t="s">
        <v>153</v>
      </c>
      <c r="D1505" s="6" t="s">
        <v>155</v>
      </c>
      <c r="E1505" s="6">
        <v>2.05</v>
      </c>
    </row>
    <row r="1506">
      <c r="A1506" s="3">
        <v>180773.0</v>
      </c>
      <c r="B1506" s="4" t="s">
        <v>140</v>
      </c>
      <c r="C1506" s="4" t="s">
        <v>153</v>
      </c>
      <c r="D1506" s="4" t="s">
        <v>155</v>
      </c>
      <c r="E1506" s="4">
        <v>2.31</v>
      </c>
    </row>
    <row r="1507">
      <c r="A1507" s="5">
        <v>80125.0</v>
      </c>
      <c r="B1507" s="6" t="s">
        <v>140</v>
      </c>
      <c r="C1507" s="6" t="s">
        <v>153</v>
      </c>
      <c r="D1507" s="6" t="s">
        <v>155</v>
      </c>
      <c r="E1507" s="6">
        <v>2.43</v>
      </c>
    </row>
    <row r="1508">
      <c r="A1508" s="3">
        <v>89909.0</v>
      </c>
      <c r="B1508" s="4" t="s">
        <v>140</v>
      </c>
      <c r="C1508" s="4" t="s">
        <v>153</v>
      </c>
      <c r="D1508" s="4" t="s">
        <v>155</v>
      </c>
      <c r="E1508" s="4">
        <v>2.97</v>
      </c>
    </row>
    <row r="1509">
      <c r="A1509" s="5">
        <v>80114.0</v>
      </c>
      <c r="B1509" s="6" t="s">
        <v>140</v>
      </c>
      <c r="C1509" s="6" t="s">
        <v>153</v>
      </c>
      <c r="D1509" s="6" t="s">
        <v>155</v>
      </c>
      <c r="E1509" s="6">
        <v>1.91</v>
      </c>
    </row>
    <row r="1510">
      <c r="A1510" s="3">
        <v>73916.0</v>
      </c>
      <c r="B1510" s="4" t="s">
        <v>140</v>
      </c>
      <c r="C1510" s="4" t="s">
        <v>153</v>
      </c>
      <c r="D1510" s="4" t="s">
        <v>155</v>
      </c>
      <c r="E1510" s="4">
        <v>1.7</v>
      </c>
    </row>
    <row r="1511">
      <c r="A1511" s="5">
        <v>80117.0</v>
      </c>
      <c r="B1511" s="6" t="s">
        <v>140</v>
      </c>
      <c r="C1511" s="6" t="s">
        <v>153</v>
      </c>
      <c r="D1511" s="6" t="s">
        <v>155</v>
      </c>
      <c r="E1511" s="6">
        <v>2.1</v>
      </c>
    </row>
    <row r="1512">
      <c r="A1512" s="3">
        <v>22008.0</v>
      </c>
      <c r="B1512" s="4" t="s">
        <v>140</v>
      </c>
      <c r="C1512" s="4" t="s">
        <v>153</v>
      </c>
      <c r="D1512" s="4" t="s">
        <v>155</v>
      </c>
      <c r="E1512" s="4">
        <v>1.42</v>
      </c>
    </row>
    <row r="1513">
      <c r="A1513" s="5">
        <v>76608.0</v>
      </c>
      <c r="B1513" s="6" t="s">
        <v>140</v>
      </c>
      <c r="C1513" s="6" t="s">
        <v>153</v>
      </c>
      <c r="D1513" s="6" t="s">
        <v>155</v>
      </c>
      <c r="E1513" s="6">
        <v>0.98</v>
      </c>
    </row>
    <row r="1514">
      <c r="A1514" s="3">
        <v>80793.0</v>
      </c>
      <c r="B1514" s="4" t="s">
        <v>140</v>
      </c>
      <c r="C1514" s="4" t="s">
        <v>153</v>
      </c>
      <c r="D1514" s="4" t="s">
        <v>155</v>
      </c>
      <c r="E1514" s="4">
        <v>2.87</v>
      </c>
    </row>
    <row r="1515">
      <c r="A1515" s="5">
        <v>102588.0</v>
      </c>
      <c r="B1515" s="6" t="s">
        <v>140</v>
      </c>
      <c r="C1515" s="6" t="s">
        <v>153</v>
      </c>
      <c r="D1515" s="6" t="s">
        <v>155</v>
      </c>
      <c r="E1515" s="6">
        <v>2.05</v>
      </c>
    </row>
    <row r="1516">
      <c r="A1516" s="3">
        <v>80794.0</v>
      </c>
      <c r="B1516" s="4" t="s">
        <v>140</v>
      </c>
      <c r="C1516" s="4" t="s">
        <v>153</v>
      </c>
      <c r="D1516" s="4" t="s">
        <v>155</v>
      </c>
      <c r="E1516" s="4">
        <v>1.54</v>
      </c>
    </row>
    <row r="1517">
      <c r="A1517" s="5">
        <v>80174.0</v>
      </c>
      <c r="B1517" s="6" t="s">
        <v>140</v>
      </c>
      <c r="C1517" s="6" t="s">
        <v>153</v>
      </c>
      <c r="D1517" s="6" t="s">
        <v>155</v>
      </c>
      <c r="E1517" s="6">
        <v>2.66</v>
      </c>
    </row>
    <row r="1518">
      <c r="A1518" s="3">
        <v>114722.0</v>
      </c>
      <c r="B1518" s="4" t="s">
        <v>140</v>
      </c>
      <c r="C1518" s="4" t="s">
        <v>153</v>
      </c>
      <c r="D1518" s="4" t="s">
        <v>155</v>
      </c>
      <c r="E1518" s="4">
        <v>2.99</v>
      </c>
    </row>
    <row r="1519">
      <c r="A1519" s="5">
        <v>180843.0</v>
      </c>
      <c r="B1519" s="6" t="s">
        <v>140</v>
      </c>
      <c r="C1519" s="6" t="s">
        <v>153</v>
      </c>
      <c r="D1519" s="6" t="s">
        <v>155</v>
      </c>
      <c r="E1519" s="6">
        <v>2.34</v>
      </c>
    </row>
    <row r="1520">
      <c r="A1520" s="3">
        <v>22020.0</v>
      </c>
      <c r="B1520" s="4" t="s">
        <v>140</v>
      </c>
      <c r="C1520" s="4" t="s">
        <v>153</v>
      </c>
      <c r="D1520" s="4" t="s">
        <v>155</v>
      </c>
      <c r="E1520" s="4">
        <v>1.54</v>
      </c>
    </row>
    <row r="1521">
      <c r="A1521" s="5">
        <v>111259.0</v>
      </c>
      <c r="B1521" s="6" t="s">
        <v>140</v>
      </c>
      <c r="C1521" s="6" t="s">
        <v>153</v>
      </c>
      <c r="D1521" s="6" t="s">
        <v>155</v>
      </c>
      <c r="E1521" s="6">
        <v>2.48</v>
      </c>
    </row>
    <row r="1522">
      <c r="A1522" s="3">
        <v>89895.0</v>
      </c>
      <c r="B1522" s="4" t="s">
        <v>140</v>
      </c>
      <c r="C1522" s="4" t="s">
        <v>153</v>
      </c>
      <c r="D1522" s="4" t="s">
        <v>155</v>
      </c>
      <c r="E1522" s="4">
        <v>2.97</v>
      </c>
    </row>
    <row r="1523">
      <c r="A1523" s="5">
        <v>22014.0</v>
      </c>
      <c r="B1523" s="6" t="s">
        <v>140</v>
      </c>
      <c r="C1523" s="6" t="s">
        <v>153</v>
      </c>
      <c r="D1523" s="6" t="s">
        <v>155</v>
      </c>
      <c r="E1523" s="6">
        <v>1.46</v>
      </c>
    </row>
    <row r="1524">
      <c r="A1524" s="3">
        <v>44254.0</v>
      </c>
      <c r="B1524" s="4" t="s">
        <v>140</v>
      </c>
      <c r="C1524" s="4" t="s">
        <v>153</v>
      </c>
      <c r="D1524" s="4" t="s">
        <v>155</v>
      </c>
      <c r="E1524" s="4">
        <v>2.24</v>
      </c>
    </row>
    <row r="1525">
      <c r="A1525" s="5">
        <v>22025.0</v>
      </c>
      <c r="B1525" s="6" t="s">
        <v>140</v>
      </c>
      <c r="C1525" s="6" t="s">
        <v>153</v>
      </c>
      <c r="D1525" s="6" t="s">
        <v>155</v>
      </c>
      <c r="E1525" s="6">
        <v>1.54</v>
      </c>
    </row>
    <row r="1526">
      <c r="A1526" s="3">
        <v>83765.0</v>
      </c>
      <c r="B1526" s="4" t="s">
        <v>140</v>
      </c>
      <c r="C1526" s="4" t="s">
        <v>153</v>
      </c>
      <c r="D1526" s="4" t="s">
        <v>155</v>
      </c>
      <c r="E1526" s="4">
        <v>1.87</v>
      </c>
    </row>
    <row r="1527">
      <c r="A1527" s="5">
        <v>89930.0</v>
      </c>
      <c r="B1527" s="6" t="s">
        <v>140</v>
      </c>
      <c r="C1527" s="6" t="s">
        <v>153</v>
      </c>
      <c r="D1527" s="6" t="s">
        <v>155</v>
      </c>
      <c r="E1527" s="6">
        <v>2.93</v>
      </c>
    </row>
    <row r="1528">
      <c r="A1528" s="3">
        <v>83767.0</v>
      </c>
      <c r="B1528" s="4" t="s">
        <v>140</v>
      </c>
      <c r="C1528" s="4" t="s">
        <v>153</v>
      </c>
      <c r="D1528" s="4" t="s">
        <v>155</v>
      </c>
      <c r="E1528" s="4">
        <v>1.87</v>
      </c>
    </row>
    <row r="1529">
      <c r="A1529" s="5">
        <v>83745.0</v>
      </c>
      <c r="B1529" s="6" t="s">
        <v>140</v>
      </c>
      <c r="C1529" s="6" t="s">
        <v>153</v>
      </c>
      <c r="D1529" s="6" t="s">
        <v>155</v>
      </c>
      <c r="E1529" s="6">
        <v>1.81</v>
      </c>
    </row>
    <row r="1530">
      <c r="A1530" s="3">
        <v>78827.0</v>
      </c>
      <c r="B1530" s="4" t="s">
        <v>140</v>
      </c>
      <c r="C1530" s="4" t="s">
        <v>153</v>
      </c>
      <c r="D1530" s="4" t="s">
        <v>155</v>
      </c>
      <c r="E1530" s="4">
        <v>1.43</v>
      </c>
    </row>
    <row r="1531">
      <c r="A1531" s="5">
        <v>122266.0</v>
      </c>
      <c r="B1531" s="6" t="s">
        <v>140</v>
      </c>
      <c r="C1531" s="6" t="s">
        <v>153</v>
      </c>
      <c r="D1531" s="6" t="s">
        <v>155</v>
      </c>
      <c r="E1531" s="6">
        <v>1.71</v>
      </c>
    </row>
    <row r="1532">
      <c r="A1532" s="3">
        <v>949.0</v>
      </c>
      <c r="B1532" s="4" t="s">
        <v>140</v>
      </c>
      <c r="C1532" s="4" t="s">
        <v>153</v>
      </c>
      <c r="D1532" s="4" t="s">
        <v>155</v>
      </c>
      <c r="E1532" s="4">
        <v>1.4</v>
      </c>
    </row>
    <row r="1533">
      <c r="A1533" s="5">
        <v>102595.0</v>
      </c>
      <c r="B1533" s="6" t="s">
        <v>140</v>
      </c>
      <c r="C1533" s="6" t="s">
        <v>153</v>
      </c>
      <c r="D1533" s="6" t="s">
        <v>155</v>
      </c>
      <c r="E1533" s="6">
        <v>1.77</v>
      </c>
    </row>
    <row r="1534">
      <c r="A1534" s="3">
        <v>80790.0</v>
      </c>
      <c r="B1534" s="4" t="s">
        <v>140</v>
      </c>
      <c r="C1534" s="4" t="s">
        <v>153</v>
      </c>
      <c r="D1534" s="4" t="s">
        <v>155</v>
      </c>
      <c r="E1534" s="4">
        <v>1.49</v>
      </c>
    </row>
    <row r="1535">
      <c r="A1535" s="5">
        <v>114257.0</v>
      </c>
      <c r="B1535" s="6" t="s">
        <v>140</v>
      </c>
      <c r="C1535" s="6" t="s">
        <v>153</v>
      </c>
      <c r="D1535" s="6" t="s">
        <v>155</v>
      </c>
      <c r="E1535" s="6">
        <v>1.86</v>
      </c>
    </row>
    <row r="1536">
      <c r="A1536" s="3">
        <v>80121.0</v>
      </c>
      <c r="B1536" s="4" t="s">
        <v>140</v>
      </c>
      <c r="C1536" s="4" t="s">
        <v>153</v>
      </c>
      <c r="D1536" s="4" t="s">
        <v>155</v>
      </c>
      <c r="E1536" s="4">
        <v>2.4</v>
      </c>
    </row>
    <row r="1537">
      <c r="A1537" s="5">
        <v>164929.0</v>
      </c>
      <c r="B1537" s="6" t="s">
        <v>140</v>
      </c>
      <c r="C1537" s="6" t="s">
        <v>153</v>
      </c>
      <c r="D1537" s="6" t="s">
        <v>155</v>
      </c>
      <c r="E1537" s="6">
        <v>1.2</v>
      </c>
    </row>
    <row r="1538">
      <c r="A1538" s="3">
        <v>80180.0</v>
      </c>
      <c r="B1538" s="4" t="s">
        <v>140</v>
      </c>
      <c r="C1538" s="4" t="s">
        <v>153</v>
      </c>
      <c r="D1538" s="4" t="s">
        <v>155</v>
      </c>
      <c r="E1538" s="4">
        <v>3.85</v>
      </c>
    </row>
    <row r="1539">
      <c r="A1539" s="5">
        <v>92930.0</v>
      </c>
      <c r="B1539" s="6" t="s">
        <v>140</v>
      </c>
      <c r="C1539" s="6" t="s">
        <v>153</v>
      </c>
      <c r="D1539" s="6" t="s">
        <v>155</v>
      </c>
      <c r="E1539" s="6">
        <v>2.3</v>
      </c>
    </row>
    <row r="1540">
      <c r="A1540" s="3">
        <v>147271.0</v>
      </c>
      <c r="B1540" s="4" t="s">
        <v>140</v>
      </c>
      <c r="C1540" s="4" t="s">
        <v>153</v>
      </c>
      <c r="D1540" s="4" t="s">
        <v>155</v>
      </c>
      <c r="E1540" s="4">
        <v>1.74</v>
      </c>
    </row>
    <row r="1541">
      <c r="A1541" s="5">
        <v>83748.0</v>
      </c>
      <c r="B1541" s="6" t="s">
        <v>140</v>
      </c>
      <c r="C1541" s="6" t="s">
        <v>153</v>
      </c>
      <c r="D1541" s="6" t="s">
        <v>155</v>
      </c>
      <c r="E1541" s="6">
        <v>1.81</v>
      </c>
    </row>
    <row r="1542">
      <c r="A1542" s="3">
        <v>80120.0</v>
      </c>
      <c r="B1542" s="4" t="s">
        <v>140</v>
      </c>
      <c r="C1542" s="4" t="s">
        <v>153</v>
      </c>
      <c r="D1542" s="4" t="s">
        <v>155</v>
      </c>
      <c r="E1542" s="4">
        <v>1.97</v>
      </c>
    </row>
    <row r="1543">
      <c r="A1543" s="5">
        <v>164931.0</v>
      </c>
      <c r="B1543" s="6" t="s">
        <v>140</v>
      </c>
      <c r="C1543" s="6" t="s">
        <v>153</v>
      </c>
      <c r="D1543" s="6" t="s">
        <v>155</v>
      </c>
      <c r="E1543" s="6">
        <v>1.33</v>
      </c>
    </row>
    <row r="1544">
      <c r="A1544" s="3">
        <v>78804.0</v>
      </c>
      <c r="B1544" s="4" t="s">
        <v>140</v>
      </c>
      <c r="C1544" s="4" t="s">
        <v>153</v>
      </c>
      <c r="D1544" s="4" t="s">
        <v>155</v>
      </c>
      <c r="E1544" s="4">
        <v>1.43</v>
      </c>
    </row>
    <row r="1545">
      <c r="A1545" s="5">
        <v>103096.0</v>
      </c>
      <c r="B1545" s="6" t="s">
        <v>140</v>
      </c>
      <c r="C1545" s="6" t="s">
        <v>153</v>
      </c>
      <c r="D1545" s="6" t="s">
        <v>155</v>
      </c>
      <c r="E1545" s="6">
        <v>1.56</v>
      </c>
    </row>
    <row r="1546">
      <c r="A1546" s="3">
        <v>180770.0</v>
      </c>
      <c r="B1546" s="4" t="s">
        <v>140</v>
      </c>
      <c r="C1546" s="4" t="s">
        <v>153</v>
      </c>
      <c r="D1546" s="4" t="s">
        <v>155</v>
      </c>
      <c r="E1546" s="4">
        <v>1.86</v>
      </c>
    </row>
    <row r="1547">
      <c r="A1547" s="5">
        <v>80115.0</v>
      </c>
      <c r="B1547" s="6" t="s">
        <v>140</v>
      </c>
      <c r="C1547" s="6" t="s">
        <v>153</v>
      </c>
      <c r="D1547" s="6" t="s">
        <v>155</v>
      </c>
      <c r="E1547" s="6">
        <v>1.91</v>
      </c>
    </row>
    <row r="1548">
      <c r="A1548" s="3">
        <v>83771.0</v>
      </c>
      <c r="B1548" s="4" t="s">
        <v>140</v>
      </c>
      <c r="C1548" s="4" t="s">
        <v>153</v>
      </c>
      <c r="D1548" s="4" t="s">
        <v>155</v>
      </c>
      <c r="E1548" s="4">
        <v>2.05</v>
      </c>
    </row>
    <row r="1549">
      <c r="A1549" s="5">
        <v>80124.0</v>
      </c>
      <c r="B1549" s="6" t="s">
        <v>140</v>
      </c>
      <c r="C1549" s="6" t="s">
        <v>153</v>
      </c>
      <c r="D1549" s="6" t="s">
        <v>155</v>
      </c>
      <c r="E1549" s="6">
        <v>2.24</v>
      </c>
    </row>
    <row r="1550">
      <c r="A1550" s="3">
        <v>80111.0</v>
      </c>
      <c r="B1550" s="4" t="s">
        <v>140</v>
      </c>
      <c r="C1550" s="4" t="s">
        <v>153</v>
      </c>
      <c r="D1550" s="4" t="s">
        <v>155</v>
      </c>
      <c r="E1550" s="4">
        <v>2.09</v>
      </c>
    </row>
    <row r="1551">
      <c r="A1551" s="5">
        <v>63864.0</v>
      </c>
      <c r="B1551" s="6" t="s">
        <v>140</v>
      </c>
      <c r="C1551" s="6" t="s">
        <v>153</v>
      </c>
      <c r="D1551" s="6" t="s">
        <v>155</v>
      </c>
      <c r="E1551" s="6">
        <v>3.46</v>
      </c>
    </row>
    <row r="1552">
      <c r="A1552" s="3">
        <v>76824.0</v>
      </c>
      <c r="B1552" s="4" t="s">
        <v>140</v>
      </c>
      <c r="C1552" s="4" t="s">
        <v>153</v>
      </c>
      <c r="D1552" s="4" t="s">
        <v>155</v>
      </c>
      <c r="E1552" s="4">
        <v>1.42</v>
      </c>
    </row>
    <row r="1553">
      <c r="A1553" s="5">
        <v>102599.0</v>
      </c>
      <c r="B1553" s="6" t="s">
        <v>140</v>
      </c>
      <c r="C1553" s="6" t="s">
        <v>153</v>
      </c>
      <c r="D1553" s="6" t="s">
        <v>155</v>
      </c>
      <c r="E1553" s="6">
        <v>2.81</v>
      </c>
    </row>
    <row r="1554">
      <c r="A1554" s="3">
        <v>103001.0</v>
      </c>
      <c r="B1554" s="4" t="s">
        <v>140</v>
      </c>
      <c r="C1554" s="4" t="s">
        <v>153</v>
      </c>
      <c r="D1554" s="4" t="s">
        <v>155</v>
      </c>
      <c r="E1554" s="4">
        <v>1.91</v>
      </c>
    </row>
    <row r="1555">
      <c r="A1555" s="5">
        <v>164928.0</v>
      </c>
      <c r="B1555" s="6" t="s">
        <v>140</v>
      </c>
      <c r="C1555" s="6" t="s">
        <v>153</v>
      </c>
      <c r="D1555" s="6" t="s">
        <v>155</v>
      </c>
      <c r="E1555" s="6">
        <v>1.15</v>
      </c>
    </row>
    <row r="1556">
      <c r="A1556" s="3">
        <v>80791.0</v>
      </c>
      <c r="B1556" s="4" t="s">
        <v>140</v>
      </c>
      <c r="C1556" s="4" t="s">
        <v>153</v>
      </c>
      <c r="D1556" s="4" t="s">
        <v>155</v>
      </c>
      <c r="E1556" s="4">
        <v>1.76</v>
      </c>
    </row>
    <row r="1557">
      <c r="A1557" s="5">
        <v>83223.0</v>
      </c>
      <c r="B1557" s="6" t="s">
        <v>140</v>
      </c>
      <c r="C1557" s="6" t="s">
        <v>153</v>
      </c>
      <c r="D1557" s="6" t="s">
        <v>155</v>
      </c>
      <c r="E1557" s="6">
        <v>1.46</v>
      </c>
    </row>
    <row r="1558">
      <c r="A1558" s="3">
        <v>951.0</v>
      </c>
      <c r="B1558" s="4" t="s">
        <v>140</v>
      </c>
      <c r="C1558" s="4" t="s">
        <v>153</v>
      </c>
      <c r="D1558" s="4" t="s">
        <v>155</v>
      </c>
      <c r="E1558" s="4">
        <v>1.19</v>
      </c>
    </row>
    <row r="1559">
      <c r="A1559" s="5">
        <v>149928.0</v>
      </c>
      <c r="B1559" s="6" t="s">
        <v>140</v>
      </c>
      <c r="C1559" s="6" t="s">
        <v>153</v>
      </c>
      <c r="D1559" s="6" t="s">
        <v>155</v>
      </c>
      <c r="E1559" s="6">
        <v>1.91</v>
      </c>
    </row>
    <row r="1560">
      <c r="A1560" s="3">
        <v>60375.0</v>
      </c>
      <c r="B1560" s="4" t="s">
        <v>140</v>
      </c>
      <c r="C1560" s="4" t="s">
        <v>153</v>
      </c>
      <c r="D1560" s="4" t="s">
        <v>156</v>
      </c>
      <c r="E1560" s="4">
        <v>2.0</v>
      </c>
    </row>
    <row r="1561">
      <c r="A1561" s="5">
        <v>102594.0</v>
      </c>
      <c r="B1561" s="6" t="s">
        <v>140</v>
      </c>
      <c r="C1561" s="6" t="s">
        <v>153</v>
      </c>
      <c r="D1561" s="6" t="s">
        <v>157</v>
      </c>
      <c r="E1561" s="6">
        <v>1.87</v>
      </c>
    </row>
    <row r="1562">
      <c r="A1562" s="3">
        <v>128218.0</v>
      </c>
      <c r="B1562" s="4" t="s">
        <v>140</v>
      </c>
      <c r="C1562" s="4" t="s">
        <v>153</v>
      </c>
      <c r="D1562" s="4" t="s">
        <v>157</v>
      </c>
      <c r="E1562" s="4">
        <v>1.94</v>
      </c>
    </row>
    <row r="1563">
      <c r="A1563" s="5">
        <v>80178.0</v>
      </c>
      <c r="B1563" s="6" t="s">
        <v>140</v>
      </c>
      <c r="C1563" s="6" t="s">
        <v>153</v>
      </c>
      <c r="D1563" s="6" t="s">
        <v>157</v>
      </c>
      <c r="E1563" s="6">
        <v>2.41</v>
      </c>
    </row>
    <row r="1564">
      <c r="A1564" s="3">
        <v>164932.0</v>
      </c>
      <c r="B1564" s="4" t="s">
        <v>140</v>
      </c>
      <c r="C1564" s="4" t="s">
        <v>153</v>
      </c>
      <c r="D1564" s="4" t="s">
        <v>157</v>
      </c>
      <c r="E1564" s="4">
        <v>1.23</v>
      </c>
    </row>
    <row r="1565">
      <c r="A1565" s="5">
        <v>22036.0</v>
      </c>
      <c r="B1565" s="6" t="s">
        <v>140</v>
      </c>
      <c r="C1565" s="6" t="s">
        <v>153</v>
      </c>
      <c r="D1565" s="6" t="s">
        <v>157</v>
      </c>
      <c r="E1565" s="6">
        <v>1.4</v>
      </c>
    </row>
    <row r="1566">
      <c r="A1566" s="3">
        <v>102585.0</v>
      </c>
      <c r="B1566" s="4" t="s">
        <v>140</v>
      </c>
      <c r="C1566" s="4" t="s">
        <v>153</v>
      </c>
      <c r="D1566" s="4" t="s">
        <v>157</v>
      </c>
      <c r="E1566" s="4">
        <v>2.05</v>
      </c>
    </row>
    <row r="1567">
      <c r="A1567" s="5">
        <v>78816.0</v>
      </c>
      <c r="B1567" s="6" t="s">
        <v>140</v>
      </c>
      <c r="C1567" s="6" t="s">
        <v>153</v>
      </c>
      <c r="D1567" s="6" t="s">
        <v>157</v>
      </c>
      <c r="E1567" s="6">
        <v>1.43</v>
      </c>
    </row>
    <row r="1568">
      <c r="A1568" s="3">
        <v>78822.0</v>
      </c>
      <c r="B1568" s="4" t="s">
        <v>140</v>
      </c>
      <c r="C1568" s="4" t="s">
        <v>153</v>
      </c>
      <c r="D1568" s="4" t="s">
        <v>157</v>
      </c>
      <c r="E1568" s="4">
        <v>1.49</v>
      </c>
    </row>
    <row r="1569">
      <c r="A1569" s="5">
        <v>83773.0</v>
      </c>
      <c r="B1569" s="6" t="s">
        <v>140</v>
      </c>
      <c r="C1569" s="6" t="s">
        <v>153</v>
      </c>
      <c r="D1569" s="6" t="s">
        <v>157</v>
      </c>
      <c r="E1569" s="6">
        <v>1.41</v>
      </c>
    </row>
    <row r="1570">
      <c r="A1570" s="3">
        <v>114720.0</v>
      </c>
      <c r="B1570" s="4" t="s">
        <v>140</v>
      </c>
      <c r="C1570" s="4" t="s">
        <v>153</v>
      </c>
      <c r="D1570" s="4" t="s">
        <v>157</v>
      </c>
      <c r="E1570" s="4">
        <v>2.74</v>
      </c>
    </row>
    <row r="1571">
      <c r="A1571" s="5">
        <v>83777.0</v>
      </c>
      <c r="B1571" s="6" t="s">
        <v>140</v>
      </c>
      <c r="C1571" s="6" t="s">
        <v>153</v>
      </c>
      <c r="D1571" s="6" t="s">
        <v>157</v>
      </c>
      <c r="E1571" s="6">
        <v>1.69</v>
      </c>
    </row>
    <row r="1572">
      <c r="A1572" s="3">
        <v>102593.0</v>
      </c>
      <c r="B1572" s="4" t="s">
        <v>140</v>
      </c>
      <c r="C1572" s="4" t="s">
        <v>153</v>
      </c>
      <c r="D1572" s="4" t="s">
        <v>157</v>
      </c>
      <c r="E1572" s="4">
        <v>1.68</v>
      </c>
    </row>
    <row r="1573">
      <c r="A1573" s="5">
        <v>164930.0</v>
      </c>
      <c r="B1573" s="6" t="s">
        <v>140</v>
      </c>
      <c r="C1573" s="6" t="s">
        <v>153</v>
      </c>
      <c r="D1573" s="6" t="s">
        <v>157</v>
      </c>
      <c r="E1573" s="6">
        <v>1.19</v>
      </c>
    </row>
    <row r="1574">
      <c r="A1574" s="3">
        <v>102584.0</v>
      </c>
      <c r="B1574" s="4" t="s">
        <v>140</v>
      </c>
      <c r="C1574" s="4" t="s">
        <v>153</v>
      </c>
      <c r="D1574" s="4" t="s">
        <v>157</v>
      </c>
      <c r="E1574" s="4">
        <v>2.05</v>
      </c>
    </row>
    <row r="1575">
      <c r="A1575" s="5">
        <v>102586.0</v>
      </c>
      <c r="B1575" s="6" t="s">
        <v>140</v>
      </c>
      <c r="C1575" s="6" t="s">
        <v>153</v>
      </c>
      <c r="D1575" s="6" t="s">
        <v>157</v>
      </c>
      <c r="E1575" s="6">
        <v>2.05</v>
      </c>
    </row>
    <row r="1576">
      <c r="A1576" s="3">
        <v>83758.0</v>
      </c>
      <c r="B1576" s="4" t="s">
        <v>140</v>
      </c>
      <c r="C1576" s="4" t="s">
        <v>153</v>
      </c>
      <c r="D1576" s="4" t="s">
        <v>158</v>
      </c>
      <c r="E1576" s="4">
        <v>2.4</v>
      </c>
    </row>
    <row r="1577">
      <c r="A1577" s="5">
        <v>80189.0</v>
      </c>
      <c r="B1577" s="6" t="s">
        <v>140</v>
      </c>
      <c r="C1577" s="6" t="s">
        <v>153</v>
      </c>
      <c r="D1577" s="6" t="s">
        <v>158</v>
      </c>
      <c r="E1577" s="6">
        <v>2.87</v>
      </c>
    </row>
    <row r="1578">
      <c r="A1578" s="3">
        <v>26148.0</v>
      </c>
      <c r="B1578" s="4" t="s">
        <v>140</v>
      </c>
      <c r="C1578" s="4" t="s">
        <v>153</v>
      </c>
      <c r="D1578" s="4" t="s">
        <v>158</v>
      </c>
      <c r="E1578" s="4">
        <v>2.78</v>
      </c>
    </row>
    <row r="1579">
      <c r="A1579" s="5">
        <v>121902.0</v>
      </c>
      <c r="B1579" s="6" t="s">
        <v>140</v>
      </c>
      <c r="C1579" s="6" t="s">
        <v>153</v>
      </c>
      <c r="D1579" s="6" t="s">
        <v>158</v>
      </c>
      <c r="E1579" s="6">
        <v>6.48</v>
      </c>
    </row>
    <row r="1580">
      <c r="A1580" s="3">
        <v>21032.0</v>
      </c>
      <c r="B1580" s="4" t="s">
        <v>140</v>
      </c>
      <c r="C1580" s="4" t="s">
        <v>153</v>
      </c>
      <c r="D1580" s="4" t="s">
        <v>158</v>
      </c>
      <c r="E1580" s="4">
        <v>4.97</v>
      </c>
    </row>
    <row r="1581">
      <c r="A1581" s="5">
        <v>22071.0</v>
      </c>
      <c r="B1581" s="6" t="s">
        <v>140</v>
      </c>
      <c r="C1581" s="6" t="s">
        <v>153</v>
      </c>
      <c r="D1581" s="6" t="s">
        <v>158</v>
      </c>
      <c r="E1581" s="6">
        <v>10.29</v>
      </c>
    </row>
    <row r="1582">
      <c r="A1582" s="3">
        <v>87404.0</v>
      </c>
      <c r="B1582" s="4" t="s">
        <v>140</v>
      </c>
      <c r="C1582" s="4" t="s">
        <v>153</v>
      </c>
      <c r="D1582" s="4" t="s">
        <v>158</v>
      </c>
      <c r="E1582" s="4">
        <v>2.48</v>
      </c>
    </row>
    <row r="1583">
      <c r="A1583" s="5">
        <v>42712.0</v>
      </c>
      <c r="B1583" s="6" t="s">
        <v>140</v>
      </c>
      <c r="C1583" s="6" t="s">
        <v>153</v>
      </c>
      <c r="D1583" s="6" t="s">
        <v>158</v>
      </c>
      <c r="E1583" s="6">
        <v>2.53</v>
      </c>
    </row>
    <row r="1584">
      <c r="A1584" s="3">
        <v>76609.0</v>
      </c>
      <c r="B1584" s="4" t="s">
        <v>140</v>
      </c>
      <c r="C1584" s="4" t="s">
        <v>153</v>
      </c>
      <c r="D1584" s="4" t="s">
        <v>158</v>
      </c>
      <c r="E1584" s="4">
        <v>2.38</v>
      </c>
    </row>
    <row r="1585">
      <c r="A1585" s="5">
        <v>952.0</v>
      </c>
      <c r="B1585" s="6" t="s">
        <v>140</v>
      </c>
      <c r="C1585" s="6" t="s">
        <v>153</v>
      </c>
      <c r="D1585" s="6" t="s">
        <v>158</v>
      </c>
      <c r="E1585" s="6">
        <v>1.99</v>
      </c>
    </row>
    <row r="1586">
      <c r="A1586" s="3">
        <v>26136.0</v>
      </c>
      <c r="B1586" s="4" t="s">
        <v>140</v>
      </c>
      <c r="C1586" s="4" t="s">
        <v>153</v>
      </c>
      <c r="D1586" s="4" t="s">
        <v>158</v>
      </c>
      <c r="E1586" s="4">
        <v>2.02</v>
      </c>
    </row>
    <row r="1587">
      <c r="A1587" s="5">
        <v>87502.0</v>
      </c>
      <c r="B1587" s="6" t="s">
        <v>140</v>
      </c>
      <c r="C1587" s="6" t="s">
        <v>153</v>
      </c>
      <c r="D1587" s="6" t="s">
        <v>158</v>
      </c>
      <c r="E1587" s="6">
        <v>2.11</v>
      </c>
    </row>
    <row r="1588">
      <c r="A1588" s="3">
        <v>73923.0</v>
      </c>
      <c r="B1588" s="4" t="s">
        <v>140</v>
      </c>
      <c r="C1588" s="4" t="s">
        <v>153</v>
      </c>
      <c r="D1588" s="4" t="s">
        <v>158</v>
      </c>
      <c r="E1588" s="4">
        <v>2.26</v>
      </c>
    </row>
    <row r="1589">
      <c r="A1589" s="5">
        <v>164927.0</v>
      </c>
      <c r="B1589" s="6" t="s">
        <v>140</v>
      </c>
      <c r="C1589" s="6" t="s">
        <v>153</v>
      </c>
      <c r="D1589" s="6" t="s">
        <v>158</v>
      </c>
      <c r="E1589" s="6">
        <v>1.91</v>
      </c>
    </row>
    <row r="1590">
      <c r="A1590" s="3">
        <v>108749.0</v>
      </c>
      <c r="B1590" s="4" t="s">
        <v>140</v>
      </c>
      <c r="C1590" s="4" t="s">
        <v>153</v>
      </c>
      <c r="D1590" s="4" t="s">
        <v>159</v>
      </c>
      <c r="E1590" s="4">
        <v>2.65</v>
      </c>
    </row>
    <row r="1591">
      <c r="A1591" s="5">
        <v>89919.0</v>
      </c>
      <c r="B1591" s="6" t="s">
        <v>140</v>
      </c>
      <c r="C1591" s="6" t="s">
        <v>153</v>
      </c>
      <c r="D1591" s="6" t="s">
        <v>159</v>
      </c>
      <c r="E1591" s="6">
        <v>1.57</v>
      </c>
    </row>
    <row r="1592">
      <c r="A1592" s="3">
        <v>112897.0</v>
      </c>
      <c r="B1592" s="4" t="s">
        <v>140</v>
      </c>
      <c r="C1592" s="4" t="s">
        <v>153</v>
      </c>
      <c r="D1592" s="4" t="s">
        <v>159</v>
      </c>
      <c r="E1592" s="4">
        <v>4.85</v>
      </c>
    </row>
    <row r="1593">
      <c r="A1593" s="5">
        <v>122013.0</v>
      </c>
      <c r="B1593" s="6" t="s">
        <v>140</v>
      </c>
      <c r="C1593" s="6" t="s">
        <v>153</v>
      </c>
      <c r="D1593" s="6" t="s">
        <v>159</v>
      </c>
      <c r="E1593" s="6">
        <v>1.57</v>
      </c>
    </row>
    <row r="1594">
      <c r="A1594" s="3">
        <v>89902.0</v>
      </c>
      <c r="B1594" s="4" t="s">
        <v>140</v>
      </c>
      <c r="C1594" s="4" t="s">
        <v>153</v>
      </c>
      <c r="D1594" s="4" t="s">
        <v>159</v>
      </c>
      <c r="E1594" s="4">
        <v>1.57</v>
      </c>
    </row>
    <row r="1595">
      <c r="A1595" s="5">
        <v>89900.0</v>
      </c>
      <c r="B1595" s="6" t="s">
        <v>140</v>
      </c>
      <c r="C1595" s="6" t="s">
        <v>153</v>
      </c>
      <c r="D1595" s="6" t="s">
        <v>159</v>
      </c>
      <c r="E1595" s="6">
        <v>1.57</v>
      </c>
    </row>
    <row r="1596">
      <c r="A1596" s="3">
        <v>92461.0</v>
      </c>
      <c r="B1596" s="4" t="s">
        <v>140</v>
      </c>
      <c r="C1596" s="4" t="s">
        <v>153</v>
      </c>
      <c r="D1596" s="4" t="s">
        <v>159</v>
      </c>
      <c r="E1596" s="4">
        <v>0.81</v>
      </c>
    </row>
    <row r="1597">
      <c r="A1597" s="5">
        <v>128834.0</v>
      </c>
      <c r="B1597" s="6" t="s">
        <v>5</v>
      </c>
      <c r="C1597" s="6" t="s">
        <v>160</v>
      </c>
      <c r="D1597" s="6" t="s">
        <v>161</v>
      </c>
      <c r="E1597" s="6">
        <v>12.56</v>
      </c>
    </row>
    <row r="1598">
      <c r="A1598" s="3">
        <v>135180.0</v>
      </c>
      <c r="B1598" s="4" t="s">
        <v>5</v>
      </c>
      <c r="C1598" s="4" t="s">
        <v>160</v>
      </c>
      <c r="D1598" s="4" t="s">
        <v>161</v>
      </c>
      <c r="E1598" s="4">
        <v>12.56</v>
      </c>
    </row>
    <row r="1599">
      <c r="A1599" s="5">
        <v>120582.0</v>
      </c>
      <c r="B1599" s="6" t="s">
        <v>5</v>
      </c>
      <c r="C1599" s="6" t="s">
        <v>160</v>
      </c>
      <c r="D1599" s="6" t="s">
        <v>161</v>
      </c>
      <c r="E1599" s="6">
        <v>9.15</v>
      </c>
    </row>
    <row r="1600">
      <c r="A1600" s="3">
        <v>105794.0</v>
      </c>
      <c r="B1600" s="4" t="s">
        <v>5</v>
      </c>
      <c r="C1600" s="4" t="s">
        <v>160</v>
      </c>
      <c r="D1600" s="4" t="s">
        <v>162</v>
      </c>
      <c r="E1600" s="4">
        <v>5.47</v>
      </c>
    </row>
    <row r="1601">
      <c r="A1601" s="5">
        <v>81049.0</v>
      </c>
      <c r="B1601" s="6" t="s">
        <v>5</v>
      </c>
      <c r="C1601" s="6" t="s">
        <v>160</v>
      </c>
      <c r="D1601" s="6" t="s">
        <v>162</v>
      </c>
      <c r="E1601" s="6">
        <v>11.05</v>
      </c>
    </row>
    <row r="1602">
      <c r="A1602" s="3">
        <v>13364.0</v>
      </c>
      <c r="B1602" s="4" t="s">
        <v>5</v>
      </c>
      <c r="C1602" s="4" t="s">
        <v>160</v>
      </c>
      <c r="D1602" s="4" t="s">
        <v>163</v>
      </c>
      <c r="E1602" s="4">
        <v>1.99</v>
      </c>
    </row>
    <row r="1603">
      <c r="A1603" s="5">
        <v>13361.0</v>
      </c>
      <c r="B1603" s="6" t="s">
        <v>5</v>
      </c>
      <c r="C1603" s="6" t="s">
        <v>160</v>
      </c>
      <c r="D1603" s="6" t="s">
        <v>163</v>
      </c>
      <c r="E1603" s="6">
        <v>1.39</v>
      </c>
    </row>
    <row r="1604">
      <c r="A1604" s="3">
        <v>75659.0</v>
      </c>
      <c r="B1604" s="4" t="s">
        <v>5</v>
      </c>
      <c r="C1604" s="4" t="s">
        <v>160</v>
      </c>
      <c r="D1604" s="4" t="s">
        <v>163</v>
      </c>
      <c r="E1604" s="4">
        <v>1.88</v>
      </c>
    </row>
    <row r="1605">
      <c r="A1605" s="5">
        <v>75655.0</v>
      </c>
      <c r="B1605" s="6" t="s">
        <v>5</v>
      </c>
      <c r="C1605" s="6" t="s">
        <v>160</v>
      </c>
      <c r="D1605" s="6" t="s">
        <v>163</v>
      </c>
      <c r="E1605" s="6">
        <v>1.5</v>
      </c>
    </row>
    <row r="1606">
      <c r="A1606" s="3">
        <v>117866.0</v>
      </c>
      <c r="B1606" s="4" t="s">
        <v>5</v>
      </c>
      <c r="C1606" s="4" t="s">
        <v>160</v>
      </c>
      <c r="D1606" s="4" t="s">
        <v>163</v>
      </c>
      <c r="E1606" s="4">
        <v>14.99</v>
      </c>
    </row>
    <row r="1607">
      <c r="A1607" s="5">
        <v>90556.0</v>
      </c>
      <c r="B1607" s="6" t="s">
        <v>5</v>
      </c>
      <c r="C1607" s="6" t="s">
        <v>160</v>
      </c>
      <c r="D1607" s="6" t="s">
        <v>163</v>
      </c>
      <c r="E1607" s="6">
        <v>4.29</v>
      </c>
    </row>
    <row r="1608">
      <c r="A1608" s="3">
        <v>68605.0</v>
      </c>
      <c r="B1608" s="4" t="s">
        <v>5</v>
      </c>
      <c r="C1608" s="4" t="s">
        <v>160</v>
      </c>
      <c r="D1608" s="4" t="s">
        <v>163</v>
      </c>
      <c r="E1608" s="4">
        <v>2.93</v>
      </c>
    </row>
    <row r="1609">
      <c r="A1609" s="5">
        <v>103829.0</v>
      </c>
      <c r="B1609" s="6" t="s">
        <v>5</v>
      </c>
      <c r="C1609" s="6" t="s">
        <v>160</v>
      </c>
      <c r="D1609" s="6" t="s">
        <v>163</v>
      </c>
      <c r="E1609" s="6">
        <v>9.98</v>
      </c>
    </row>
    <row r="1610">
      <c r="A1610" s="3">
        <v>90558.0</v>
      </c>
      <c r="B1610" s="4" t="s">
        <v>5</v>
      </c>
      <c r="C1610" s="4" t="s">
        <v>160</v>
      </c>
      <c r="D1610" s="4" t="s">
        <v>163</v>
      </c>
      <c r="E1610" s="4">
        <v>5.57</v>
      </c>
    </row>
    <row r="1611">
      <c r="A1611" s="5">
        <v>120490.0</v>
      </c>
      <c r="B1611" s="6" t="s">
        <v>5</v>
      </c>
      <c r="C1611" s="6" t="s">
        <v>160</v>
      </c>
      <c r="D1611" s="6" t="s">
        <v>163</v>
      </c>
      <c r="E1611" s="6">
        <v>2.72</v>
      </c>
    </row>
    <row r="1612">
      <c r="A1612" s="3">
        <v>75662.0</v>
      </c>
      <c r="B1612" s="4" t="s">
        <v>5</v>
      </c>
      <c r="C1612" s="4" t="s">
        <v>160</v>
      </c>
      <c r="D1612" s="4" t="s">
        <v>163</v>
      </c>
      <c r="E1612" s="4">
        <v>3.6</v>
      </c>
    </row>
    <row r="1613">
      <c r="A1613" s="5">
        <v>121298.0</v>
      </c>
      <c r="B1613" s="6" t="s">
        <v>5</v>
      </c>
      <c r="C1613" s="6" t="s">
        <v>160</v>
      </c>
      <c r="D1613" s="6" t="s">
        <v>163</v>
      </c>
      <c r="E1613" s="6">
        <v>14.99</v>
      </c>
    </row>
    <row r="1614">
      <c r="A1614" s="3">
        <v>13363.0</v>
      </c>
      <c r="B1614" s="4" t="s">
        <v>5</v>
      </c>
      <c r="C1614" s="4" t="s">
        <v>160</v>
      </c>
      <c r="D1614" s="4" t="s">
        <v>163</v>
      </c>
      <c r="E1614" s="4">
        <v>1.7</v>
      </c>
    </row>
    <row r="1615">
      <c r="A1615" s="5">
        <v>117863.0</v>
      </c>
      <c r="B1615" s="6" t="s">
        <v>5</v>
      </c>
      <c r="C1615" s="6" t="s">
        <v>160</v>
      </c>
      <c r="D1615" s="6" t="s">
        <v>163</v>
      </c>
      <c r="E1615" s="6">
        <v>6.86</v>
      </c>
    </row>
    <row r="1616">
      <c r="A1616" s="3">
        <v>68607.0</v>
      </c>
      <c r="B1616" s="4" t="s">
        <v>5</v>
      </c>
      <c r="C1616" s="4" t="s">
        <v>160</v>
      </c>
      <c r="D1616" s="4" t="s">
        <v>163</v>
      </c>
      <c r="E1616" s="4">
        <v>2.46</v>
      </c>
    </row>
    <row r="1617">
      <c r="A1617" s="5">
        <v>122705.0</v>
      </c>
      <c r="B1617" s="6" t="s">
        <v>5</v>
      </c>
      <c r="C1617" s="6" t="s">
        <v>160</v>
      </c>
      <c r="D1617" s="6" t="s">
        <v>164</v>
      </c>
      <c r="E1617" s="6">
        <v>9.93</v>
      </c>
    </row>
    <row r="1618">
      <c r="A1618" s="3">
        <v>88195.0</v>
      </c>
      <c r="B1618" s="4" t="s">
        <v>5</v>
      </c>
      <c r="C1618" s="4" t="s">
        <v>160</v>
      </c>
      <c r="D1618" s="4" t="s">
        <v>165</v>
      </c>
      <c r="E1618" s="4">
        <v>1.78</v>
      </c>
    </row>
    <row r="1619">
      <c r="A1619" s="5">
        <v>45523.0</v>
      </c>
      <c r="B1619" s="6" t="s">
        <v>5</v>
      </c>
      <c r="C1619" s="6" t="s">
        <v>160</v>
      </c>
      <c r="D1619" s="6" t="s">
        <v>165</v>
      </c>
      <c r="E1619" s="6">
        <v>0.92</v>
      </c>
    </row>
    <row r="1620">
      <c r="A1620" s="3">
        <v>158449.0</v>
      </c>
      <c r="B1620" s="4" t="s">
        <v>5</v>
      </c>
      <c r="C1620" s="4" t="s">
        <v>160</v>
      </c>
      <c r="D1620" s="4" t="s">
        <v>165</v>
      </c>
      <c r="E1620" s="4">
        <v>1.59</v>
      </c>
    </row>
    <row r="1621">
      <c r="A1621" s="5">
        <v>45518.0</v>
      </c>
      <c r="B1621" s="6" t="s">
        <v>5</v>
      </c>
      <c r="C1621" s="6" t="s">
        <v>160</v>
      </c>
      <c r="D1621" s="6" t="s">
        <v>165</v>
      </c>
      <c r="E1621" s="6">
        <v>0.62</v>
      </c>
    </row>
    <row r="1622">
      <c r="A1622" s="3">
        <v>96288.0</v>
      </c>
      <c r="B1622" s="4" t="s">
        <v>5</v>
      </c>
      <c r="C1622" s="4" t="s">
        <v>160</v>
      </c>
      <c r="D1622" s="4" t="s">
        <v>165</v>
      </c>
      <c r="E1622" s="4">
        <v>5.81</v>
      </c>
    </row>
    <row r="1623">
      <c r="A1623" s="5">
        <v>76981.0</v>
      </c>
      <c r="B1623" s="6" t="s">
        <v>5</v>
      </c>
      <c r="C1623" s="6" t="s">
        <v>160</v>
      </c>
      <c r="D1623" s="6" t="s">
        <v>165</v>
      </c>
      <c r="E1623" s="6">
        <v>1.77</v>
      </c>
    </row>
    <row r="1624">
      <c r="A1624" s="3">
        <v>113827.0</v>
      </c>
      <c r="B1624" s="4" t="s">
        <v>5</v>
      </c>
      <c r="C1624" s="4" t="s">
        <v>160</v>
      </c>
      <c r="D1624" s="4" t="s">
        <v>165</v>
      </c>
      <c r="E1624" s="4">
        <v>1.92</v>
      </c>
    </row>
    <row r="1625">
      <c r="A1625" s="5">
        <v>76987.0</v>
      </c>
      <c r="B1625" s="6" t="s">
        <v>5</v>
      </c>
      <c r="C1625" s="6" t="s">
        <v>160</v>
      </c>
      <c r="D1625" s="6" t="s">
        <v>165</v>
      </c>
      <c r="E1625" s="6">
        <v>1.76</v>
      </c>
    </row>
    <row r="1626">
      <c r="A1626" s="3">
        <v>113824.0</v>
      </c>
      <c r="B1626" s="4" t="s">
        <v>5</v>
      </c>
      <c r="C1626" s="4" t="s">
        <v>160</v>
      </c>
      <c r="D1626" s="4" t="s">
        <v>165</v>
      </c>
      <c r="E1626" s="4">
        <v>4.1</v>
      </c>
    </row>
    <row r="1627">
      <c r="A1627" s="5">
        <v>113823.0</v>
      </c>
      <c r="B1627" s="6" t="s">
        <v>5</v>
      </c>
      <c r="C1627" s="6" t="s">
        <v>160</v>
      </c>
      <c r="D1627" s="6" t="s">
        <v>165</v>
      </c>
      <c r="E1627" s="6">
        <v>6.29</v>
      </c>
    </row>
    <row r="1628">
      <c r="A1628" s="3">
        <v>156053.0</v>
      </c>
      <c r="B1628" s="4" t="s">
        <v>5</v>
      </c>
      <c r="C1628" s="4" t="s">
        <v>160</v>
      </c>
      <c r="D1628" s="4" t="s">
        <v>165</v>
      </c>
      <c r="E1628" s="4">
        <v>3.12</v>
      </c>
    </row>
    <row r="1629">
      <c r="A1629" s="5">
        <v>45522.0</v>
      </c>
      <c r="B1629" s="6" t="s">
        <v>5</v>
      </c>
      <c r="C1629" s="6" t="s">
        <v>160</v>
      </c>
      <c r="D1629" s="6" t="s">
        <v>165</v>
      </c>
      <c r="E1629" s="6">
        <v>0.96</v>
      </c>
    </row>
    <row r="1630">
      <c r="A1630" s="3">
        <v>99176.0</v>
      </c>
      <c r="B1630" s="4" t="s">
        <v>5</v>
      </c>
      <c r="C1630" s="4" t="s">
        <v>160</v>
      </c>
      <c r="D1630" s="4" t="s">
        <v>166</v>
      </c>
      <c r="E1630" s="4">
        <v>1.65</v>
      </c>
    </row>
    <row r="1631">
      <c r="A1631" s="5">
        <v>49219.0</v>
      </c>
      <c r="B1631" s="6" t="s">
        <v>5</v>
      </c>
      <c r="C1631" s="6" t="s">
        <v>160</v>
      </c>
      <c r="D1631" s="6" t="s">
        <v>166</v>
      </c>
      <c r="E1631" s="6">
        <v>8.88</v>
      </c>
    </row>
    <row r="1632">
      <c r="A1632" s="3">
        <v>102370.0</v>
      </c>
      <c r="B1632" s="4" t="s">
        <v>5</v>
      </c>
      <c r="C1632" s="4" t="s">
        <v>160</v>
      </c>
      <c r="D1632" s="4" t="s">
        <v>166</v>
      </c>
      <c r="E1632" s="4">
        <v>4.75</v>
      </c>
    </row>
    <row r="1633">
      <c r="A1633" s="5">
        <v>49222.0</v>
      </c>
      <c r="B1633" s="6" t="s">
        <v>5</v>
      </c>
      <c r="C1633" s="6" t="s">
        <v>160</v>
      </c>
      <c r="D1633" s="6" t="s">
        <v>166</v>
      </c>
      <c r="E1633" s="6">
        <v>11.29</v>
      </c>
    </row>
    <row r="1634">
      <c r="A1634" s="3">
        <v>102352.0</v>
      </c>
      <c r="B1634" s="4" t="s">
        <v>5</v>
      </c>
      <c r="C1634" s="4" t="s">
        <v>160</v>
      </c>
      <c r="D1634" s="4" t="s">
        <v>166</v>
      </c>
      <c r="E1634" s="4">
        <v>2.15</v>
      </c>
    </row>
    <row r="1635">
      <c r="A1635" s="5">
        <v>49233.0</v>
      </c>
      <c r="B1635" s="6" t="s">
        <v>5</v>
      </c>
      <c r="C1635" s="6" t="s">
        <v>160</v>
      </c>
      <c r="D1635" s="6" t="s">
        <v>166</v>
      </c>
      <c r="E1635" s="6">
        <v>12.38</v>
      </c>
    </row>
    <row r="1636">
      <c r="A1636" s="3">
        <v>99163.0</v>
      </c>
      <c r="B1636" s="4" t="s">
        <v>5</v>
      </c>
      <c r="C1636" s="4" t="s">
        <v>160</v>
      </c>
      <c r="D1636" s="4" t="s">
        <v>166</v>
      </c>
      <c r="E1636" s="4">
        <v>4.87</v>
      </c>
    </row>
    <row r="1637">
      <c r="A1637" s="5">
        <v>142785.0</v>
      </c>
      <c r="B1637" s="6" t="s">
        <v>5</v>
      </c>
      <c r="C1637" s="6" t="s">
        <v>160</v>
      </c>
      <c r="D1637" s="6" t="s">
        <v>166</v>
      </c>
      <c r="E1637" s="6">
        <v>0.94</v>
      </c>
    </row>
    <row r="1638">
      <c r="A1638" s="3">
        <v>113054.0</v>
      </c>
      <c r="B1638" s="4" t="s">
        <v>5</v>
      </c>
      <c r="C1638" s="4" t="s">
        <v>160</v>
      </c>
      <c r="D1638" s="4" t="s">
        <v>166</v>
      </c>
      <c r="E1638" s="4">
        <v>2.91</v>
      </c>
    </row>
    <row r="1639">
      <c r="A1639" s="5">
        <v>88105.0</v>
      </c>
      <c r="B1639" s="6" t="s">
        <v>5</v>
      </c>
      <c r="C1639" s="6" t="s">
        <v>160</v>
      </c>
      <c r="D1639" s="6" t="s">
        <v>167</v>
      </c>
      <c r="E1639" s="6">
        <v>13.54</v>
      </c>
    </row>
    <row r="1640">
      <c r="A1640" s="3">
        <v>97036.0</v>
      </c>
      <c r="B1640" s="4" t="s">
        <v>5</v>
      </c>
      <c r="C1640" s="4" t="s">
        <v>160</v>
      </c>
      <c r="D1640" s="4" t="s">
        <v>167</v>
      </c>
      <c r="E1640" s="4">
        <v>18.06</v>
      </c>
    </row>
    <row r="1641">
      <c r="A1641" s="5">
        <v>81229.0</v>
      </c>
      <c r="B1641" s="6" t="s">
        <v>5</v>
      </c>
      <c r="C1641" s="6" t="s">
        <v>160</v>
      </c>
      <c r="D1641" s="6" t="s">
        <v>168</v>
      </c>
      <c r="E1641" s="6">
        <v>5.66</v>
      </c>
    </row>
    <row r="1642">
      <c r="A1642" s="3">
        <v>120563.0</v>
      </c>
      <c r="B1642" s="4" t="s">
        <v>5</v>
      </c>
      <c r="C1642" s="4" t="s">
        <v>160</v>
      </c>
      <c r="D1642" s="4" t="s">
        <v>168</v>
      </c>
      <c r="E1642" s="4">
        <v>8.13</v>
      </c>
    </row>
    <row r="1643">
      <c r="A1643" s="5">
        <v>122290.0</v>
      </c>
      <c r="B1643" s="6" t="s">
        <v>5</v>
      </c>
      <c r="C1643" s="6" t="s">
        <v>160</v>
      </c>
      <c r="D1643" s="6" t="s">
        <v>169</v>
      </c>
      <c r="E1643" s="6">
        <v>7.3</v>
      </c>
    </row>
    <row r="1644">
      <c r="A1644" s="3">
        <v>122373.0</v>
      </c>
      <c r="B1644" s="4" t="s">
        <v>5</v>
      </c>
      <c r="C1644" s="4" t="s">
        <v>160</v>
      </c>
      <c r="D1644" s="4" t="s">
        <v>169</v>
      </c>
      <c r="E1644" s="4">
        <v>2.05</v>
      </c>
    </row>
    <row r="1645">
      <c r="A1645" s="5">
        <v>117830.0</v>
      </c>
      <c r="B1645" s="6" t="s">
        <v>5</v>
      </c>
      <c r="C1645" s="6" t="s">
        <v>160</v>
      </c>
      <c r="D1645" s="6" t="s">
        <v>169</v>
      </c>
      <c r="E1645" s="6">
        <v>7.71</v>
      </c>
    </row>
    <row r="1646">
      <c r="A1646" s="3">
        <v>109008.0</v>
      </c>
      <c r="B1646" s="4" t="s">
        <v>5</v>
      </c>
      <c r="C1646" s="4" t="s">
        <v>160</v>
      </c>
      <c r="D1646" s="4" t="s">
        <v>169</v>
      </c>
      <c r="E1646" s="4">
        <v>6.07</v>
      </c>
    </row>
    <row r="1647">
      <c r="A1647" s="5">
        <v>122371.0</v>
      </c>
      <c r="B1647" s="6" t="s">
        <v>5</v>
      </c>
      <c r="C1647" s="6" t="s">
        <v>160</v>
      </c>
      <c r="D1647" s="6" t="s">
        <v>169</v>
      </c>
      <c r="E1647" s="6">
        <v>7.22</v>
      </c>
    </row>
    <row r="1648">
      <c r="A1648" s="3">
        <v>109012.0</v>
      </c>
      <c r="B1648" s="4" t="s">
        <v>5</v>
      </c>
      <c r="C1648" s="4" t="s">
        <v>160</v>
      </c>
      <c r="D1648" s="4" t="s">
        <v>169</v>
      </c>
      <c r="E1648" s="4">
        <v>3.24</v>
      </c>
    </row>
    <row r="1649">
      <c r="A1649" s="5">
        <v>156047.0</v>
      </c>
      <c r="B1649" s="6" t="s">
        <v>5</v>
      </c>
      <c r="C1649" s="6" t="s">
        <v>160</v>
      </c>
      <c r="D1649" s="6" t="s">
        <v>169</v>
      </c>
      <c r="E1649" s="6">
        <v>3.42</v>
      </c>
    </row>
    <row r="1650">
      <c r="A1650" s="3">
        <v>117839.0</v>
      </c>
      <c r="B1650" s="4" t="s">
        <v>5</v>
      </c>
      <c r="C1650" s="4" t="s">
        <v>160</v>
      </c>
      <c r="D1650" s="4" t="s">
        <v>169</v>
      </c>
      <c r="E1650" s="4">
        <v>6.42</v>
      </c>
    </row>
    <row r="1651">
      <c r="A1651" s="5">
        <v>156051.0</v>
      </c>
      <c r="B1651" s="6" t="s">
        <v>5</v>
      </c>
      <c r="C1651" s="6" t="s">
        <v>160</v>
      </c>
      <c r="D1651" s="6" t="s">
        <v>169</v>
      </c>
      <c r="E1651" s="6">
        <v>6.5</v>
      </c>
    </row>
    <row r="1652">
      <c r="A1652" s="3">
        <v>156048.0</v>
      </c>
      <c r="B1652" s="4" t="s">
        <v>5</v>
      </c>
      <c r="C1652" s="4" t="s">
        <v>160</v>
      </c>
      <c r="D1652" s="4" t="s">
        <v>169</v>
      </c>
      <c r="E1652" s="4">
        <v>2.51</v>
      </c>
    </row>
    <row r="1653">
      <c r="A1653" s="5">
        <v>117832.0</v>
      </c>
      <c r="B1653" s="6" t="s">
        <v>5</v>
      </c>
      <c r="C1653" s="6" t="s">
        <v>160</v>
      </c>
      <c r="D1653" s="6" t="s">
        <v>169</v>
      </c>
      <c r="E1653" s="6">
        <v>2.99</v>
      </c>
    </row>
    <row r="1654">
      <c r="A1654" s="3">
        <v>117877.0</v>
      </c>
      <c r="B1654" s="4" t="s">
        <v>5</v>
      </c>
      <c r="C1654" s="4" t="s">
        <v>160</v>
      </c>
      <c r="D1654" s="4" t="s">
        <v>170</v>
      </c>
      <c r="E1654" s="4">
        <v>3.77</v>
      </c>
    </row>
    <row r="1655">
      <c r="A1655" s="5">
        <v>117876.0</v>
      </c>
      <c r="B1655" s="6" t="s">
        <v>5</v>
      </c>
      <c r="C1655" s="6" t="s">
        <v>160</v>
      </c>
      <c r="D1655" s="6" t="s">
        <v>170</v>
      </c>
      <c r="E1655" s="6">
        <v>3.77</v>
      </c>
    </row>
    <row r="1656">
      <c r="A1656" s="3">
        <v>83507.0</v>
      </c>
      <c r="B1656" s="4" t="s">
        <v>5</v>
      </c>
      <c r="C1656" s="4" t="s">
        <v>160</v>
      </c>
      <c r="D1656" s="4" t="s">
        <v>170</v>
      </c>
      <c r="E1656" s="4">
        <v>3.91</v>
      </c>
    </row>
    <row r="1657">
      <c r="A1657" s="5">
        <v>121285.0</v>
      </c>
      <c r="B1657" s="6" t="s">
        <v>5</v>
      </c>
      <c r="C1657" s="6" t="s">
        <v>160</v>
      </c>
      <c r="D1657" s="6" t="s">
        <v>171</v>
      </c>
      <c r="E1657" s="6">
        <v>13.57</v>
      </c>
    </row>
    <row r="1658">
      <c r="A1658" s="3">
        <v>122684.0</v>
      </c>
      <c r="B1658" s="4" t="s">
        <v>5</v>
      </c>
      <c r="C1658" s="4" t="s">
        <v>160</v>
      </c>
      <c r="D1658" s="4" t="s">
        <v>171</v>
      </c>
      <c r="E1658" s="4">
        <v>16.33</v>
      </c>
    </row>
    <row r="1659">
      <c r="A1659" s="5">
        <v>116615.0</v>
      </c>
      <c r="B1659" s="6" t="s">
        <v>5</v>
      </c>
      <c r="C1659" s="6" t="s">
        <v>160</v>
      </c>
      <c r="D1659" s="6" t="s">
        <v>171</v>
      </c>
      <c r="E1659" s="6">
        <v>2.46</v>
      </c>
    </row>
    <row r="1660">
      <c r="A1660" s="3">
        <v>121083.0</v>
      </c>
      <c r="B1660" s="4" t="s">
        <v>5</v>
      </c>
      <c r="C1660" s="4" t="s">
        <v>160</v>
      </c>
      <c r="D1660" s="4" t="s">
        <v>171</v>
      </c>
      <c r="E1660" s="4">
        <v>12.56</v>
      </c>
    </row>
    <row r="1661">
      <c r="A1661" s="5">
        <v>108936.0</v>
      </c>
      <c r="B1661" s="6" t="s">
        <v>5</v>
      </c>
      <c r="C1661" s="6" t="s">
        <v>160</v>
      </c>
      <c r="D1661" s="6" t="s">
        <v>171</v>
      </c>
      <c r="E1661" s="6">
        <v>15.51</v>
      </c>
    </row>
    <row r="1662">
      <c r="A1662" s="3">
        <v>128388.0</v>
      </c>
      <c r="B1662" s="4" t="s">
        <v>5</v>
      </c>
      <c r="C1662" s="4" t="s">
        <v>160</v>
      </c>
      <c r="D1662" s="4" t="s">
        <v>171</v>
      </c>
      <c r="E1662" s="4">
        <v>7.37</v>
      </c>
    </row>
    <row r="1663">
      <c r="A1663" s="5">
        <v>120559.0</v>
      </c>
      <c r="B1663" s="6" t="s">
        <v>5</v>
      </c>
      <c r="C1663" s="6" t="s">
        <v>160</v>
      </c>
      <c r="D1663" s="6" t="s">
        <v>171</v>
      </c>
      <c r="E1663" s="6">
        <v>2.79</v>
      </c>
    </row>
    <row r="1664">
      <c r="A1664" s="3">
        <v>122685.0</v>
      </c>
      <c r="B1664" s="4" t="s">
        <v>5</v>
      </c>
      <c r="C1664" s="4" t="s">
        <v>160</v>
      </c>
      <c r="D1664" s="4" t="s">
        <v>171</v>
      </c>
      <c r="E1664" s="4">
        <v>16.33</v>
      </c>
    </row>
    <row r="1665">
      <c r="A1665" s="5">
        <v>122686.0</v>
      </c>
      <c r="B1665" s="6" t="s">
        <v>5</v>
      </c>
      <c r="C1665" s="6" t="s">
        <v>160</v>
      </c>
      <c r="D1665" s="6" t="s">
        <v>171</v>
      </c>
      <c r="E1665" s="6">
        <v>17.07</v>
      </c>
    </row>
    <row r="1666">
      <c r="A1666" s="3">
        <v>181263.0</v>
      </c>
      <c r="B1666" s="4" t="s">
        <v>5</v>
      </c>
      <c r="C1666" s="4" t="s">
        <v>160</v>
      </c>
      <c r="D1666" s="4" t="s">
        <v>171</v>
      </c>
      <c r="E1666" s="4">
        <v>17.48</v>
      </c>
    </row>
    <row r="1667">
      <c r="A1667" s="5">
        <v>122723.0</v>
      </c>
      <c r="B1667" s="6" t="s">
        <v>5</v>
      </c>
      <c r="C1667" s="6" t="s">
        <v>160</v>
      </c>
      <c r="D1667" s="6" t="s">
        <v>171</v>
      </c>
      <c r="E1667" s="6">
        <v>15.51</v>
      </c>
    </row>
    <row r="1668">
      <c r="A1668" s="3">
        <v>26533.0</v>
      </c>
      <c r="B1668" s="4" t="s">
        <v>5</v>
      </c>
      <c r="C1668" s="4" t="s">
        <v>160</v>
      </c>
      <c r="D1668" s="4" t="s">
        <v>172</v>
      </c>
      <c r="E1668" s="4">
        <v>2.13</v>
      </c>
    </row>
    <row r="1669">
      <c r="A1669" s="5">
        <v>16048.0</v>
      </c>
      <c r="B1669" s="6" t="s">
        <v>5</v>
      </c>
      <c r="C1669" s="6" t="s">
        <v>160</v>
      </c>
      <c r="D1669" s="6" t="s">
        <v>172</v>
      </c>
      <c r="E1669" s="6">
        <v>1.6</v>
      </c>
    </row>
    <row r="1670">
      <c r="A1670" s="3">
        <v>16049.0</v>
      </c>
      <c r="B1670" s="4" t="s">
        <v>5</v>
      </c>
      <c r="C1670" s="4" t="s">
        <v>160</v>
      </c>
      <c r="D1670" s="4" t="s">
        <v>172</v>
      </c>
      <c r="E1670" s="4">
        <v>2.65</v>
      </c>
    </row>
    <row r="1671">
      <c r="A1671" s="5">
        <v>122421.0</v>
      </c>
      <c r="B1671" s="6" t="s">
        <v>128</v>
      </c>
      <c r="C1671" s="6" t="s">
        <v>173</v>
      </c>
      <c r="D1671" s="6" t="s">
        <v>174</v>
      </c>
      <c r="E1671" s="6">
        <v>7.03</v>
      </c>
    </row>
    <row r="1672">
      <c r="A1672" s="3">
        <v>121718.0</v>
      </c>
      <c r="B1672" s="4" t="s">
        <v>128</v>
      </c>
      <c r="C1672" s="4" t="s">
        <v>173</v>
      </c>
      <c r="D1672" s="4" t="s">
        <v>174</v>
      </c>
      <c r="E1672" s="4">
        <v>3.49</v>
      </c>
    </row>
    <row r="1673">
      <c r="A1673" s="5">
        <v>117892.0</v>
      </c>
      <c r="B1673" s="6" t="s">
        <v>128</v>
      </c>
      <c r="C1673" s="6" t="s">
        <v>173</v>
      </c>
      <c r="D1673" s="6" t="s">
        <v>175</v>
      </c>
      <c r="E1673" s="6">
        <v>10.02</v>
      </c>
    </row>
    <row r="1674">
      <c r="A1674" s="3">
        <v>117893.0</v>
      </c>
      <c r="B1674" s="4" t="s">
        <v>128</v>
      </c>
      <c r="C1674" s="4" t="s">
        <v>173</v>
      </c>
      <c r="D1674" s="4" t="s">
        <v>175</v>
      </c>
      <c r="E1674" s="4">
        <v>12.82</v>
      </c>
    </row>
    <row r="1675">
      <c r="A1675" s="5">
        <v>78448.0</v>
      </c>
      <c r="B1675" s="6" t="s">
        <v>128</v>
      </c>
      <c r="C1675" s="6" t="s">
        <v>173</v>
      </c>
      <c r="D1675" s="6" t="s">
        <v>176</v>
      </c>
      <c r="E1675" s="6">
        <v>1.87</v>
      </c>
    </row>
    <row r="1676">
      <c r="A1676" s="3">
        <v>89463.0</v>
      </c>
      <c r="B1676" s="4" t="s">
        <v>128</v>
      </c>
      <c r="C1676" s="4" t="s">
        <v>173</v>
      </c>
      <c r="D1676" s="4" t="s">
        <v>177</v>
      </c>
      <c r="E1676" s="4">
        <v>14.38</v>
      </c>
    </row>
    <row r="1677">
      <c r="A1677" s="5">
        <v>108096.0</v>
      </c>
      <c r="B1677" s="6" t="s">
        <v>128</v>
      </c>
      <c r="C1677" s="6" t="s">
        <v>173</v>
      </c>
      <c r="D1677" s="6" t="s">
        <v>177</v>
      </c>
      <c r="E1677" s="6">
        <v>9.57</v>
      </c>
    </row>
    <row r="1678">
      <c r="A1678" s="3">
        <v>70495.0</v>
      </c>
      <c r="B1678" s="4" t="s">
        <v>128</v>
      </c>
      <c r="C1678" s="4" t="s">
        <v>173</v>
      </c>
      <c r="D1678" s="4" t="s">
        <v>177</v>
      </c>
      <c r="E1678" s="4">
        <v>9.57</v>
      </c>
    </row>
    <row r="1679">
      <c r="A1679" s="5">
        <v>115733.0</v>
      </c>
      <c r="B1679" s="6" t="s">
        <v>9</v>
      </c>
      <c r="C1679" s="6" t="s">
        <v>178</v>
      </c>
      <c r="D1679" s="6" t="s">
        <v>179</v>
      </c>
      <c r="E1679" s="6">
        <v>1.06</v>
      </c>
    </row>
    <row r="1680">
      <c r="A1680" s="3">
        <v>26349.0</v>
      </c>
      <c r="B1680" s="4" t="s">
        <v>9</v>
      </c>
      <c r="C1680" s="4" t="s">
        <v>178</v>
      </c>
      <c r="D1680" s="4" t="s">
        <v>179</v>
      </c>
      <c r="E1680" s="4">
        <v>1.18</v>
      </c>
    </row>
    <row r="1681">
      <c r="A1681" s="5">
        <v>26350.0</v>
      </c>
      <c r="B1681" s="6" t="s">
        <v>9</v>
      </c>
      <c r="C1681" s="6" t="s">
        <v>178</v>
      </c>
      <c r="D1681" s="6" t="s">
        <v>179</v>
      </c>
      <c r="E1681" s="6">
        <v>2.01</v>
      </c>
    </row>
    <row r="1682">
      <c r="A1682" s="3">
        <v>115724.0</v>
      </c>
      <c r="B1682" s="4" t="s">
        <v>9</v>
      </c>
      <c r="C1682" s="4" t="s">
        <v>178</v>
      </c>
      <c r="D1682" s="4" t="s">
        <v>179</v>
      </c>
      <c r="E1682" s="4">
        <v>1.07</v>
      </c>
    </row>
    <row r="1683">
      <c r="A1683" s="5">
        <v>115726.0</v>
      </c>
      <c r="B1683" s="6" t="s">
        <v>9</v>
      </c>
      <c r="C1683" s="6" t="s">
        <v>178</v>
      </c>
      <c r="D1683" s="6" t="s">
        <v>179</v>
      </c>
      <c r="E1683" s="6">
        <v>2.52</v>
      </c>
    </row>
    <row r="1684">
      <c r="A1684" s="3">
        <v>26352.0</v>
      </c>
      <c r="B1684" s="4" t="s">
        <v>9</v>
      </c>
      <c r="C1684" s="4" t="s">
        <v>178</v>
      </c>
      <c r="D1684" s="4" t="s">
        <v>179</v>
      </c>
      <c r="E1684" s="4">
        <v>1.57</v>
      </c>
    </row>
    <row r="1685">
      <c r="A1685" s="5">
        <v>19782.0</v>
      </c>
      <c r="B1685" s="6" t="s">
        <v>9</v>
      </c>
      <c r="C1685" s="6" t="s">
        <v>178</v>
      </c>
      <c r="D1685" s="6" t="s">
        <v>180</v>
      </c>
      <c r="E1685" s="6">
        <v>2.97</v>
      </c>
    </row>
    <row r="1686">
      <c r="A1686" s="3">
        <v>19793.0</v>
      </c>
      <c r="B1686" s="4" t="s">
        <v>9</v>
      </c>
      <c r="C1686" s="4" t="s">
        <v>178</v>
      </c>
      <c r="D1686" s="4" t="s">
        <v>181</v>
      </c>
      <c r="E1686" s="4">
        <v>0.62</v>
      </c>
    </row>
    <row r="1687">
      <c r="A1687" s="5">
        <v>87604.0</v>
      </c>
      <c r="B1687" s="6" t="s">
        <v>9</v>
      </c>
      <c r="C1687" s="6" t="s">
        <v>178</v>
      </c>
      <c r="D1687" s="6" t="s">
        <v>181</v>
      </c>
      <c r="E1687" s="6">
        <v>2.14</v>
      </c>
    </row>
    <row r="1688">
      <c r="A1688" s="3">
        <v>29931.0</v>
      </c>
      <c r="B1688" s="4" t="s">
        <v>9</v>
      </c>
      <c r="C1688" s="4" t="s">
        <v>178</v>
      </c>
      <c r="D1688" s="4" t="s">
        <v>182</v>
      </c>
      <c r="E1688" s="4">
        <v>3.41</v>
      </c>
    </row>
    <row r="1689">
      <c r="A1689" s="5">
        <v>9335.0</v>
      </c>
      <c r="B1689" s="6" t="s">
        <v>9</v>
      </c>
      <c r="C1689" s="6" t="s">
        <v>178</v>
      </c>
      <c r="D1689" s="6" t="s">
        <v>182</v>
      </c>
      <c r="E1689" s="6">
        <v>8.85</v>
      </c>
    </row>
    <row r="1690">
      <c r="A1690" s="3">
        <v>88722.0</v>
      </c>
      <c r="B1690" s="4" t="s">
        <v>9</v>
      </c>
      <c r="C1690" s="4" t="s">
        <v>178</v>
      </c>
      <c r="D1690" s="4" t="s">
        <v>183</v>
      </c>
      <c r="E1690" s="4">
        <v>0.96</v>
      </c>
    </row>
    <row r="1691">
      <c r="A1691" s="5">
        <v>121865.0</v>
      </c>
      <c r="B1691" s="6" t="s">
        <v>9</v>
      </c>
      <c r="C1691" s="6" t="s">
        <v>178</v>
      </c>
      <c r="D1691" s="6" t="s">
        <v>183</v>
      </c>
      <c r="E1691" s="6">
        <v>2.01</v>
      </c>
    </row>
    <row r="1692">
      <c r="A1692" s="3">
        <v>100934.0</v>
      </c>
      <c r="B1692" s="4" t="s">
        <v>9</v>
      </c>
      <c r="C1692" s="4" t="s">
        <v>178</v>
      </c>
      <c r="D1692" s="4" t="s">
        <v>183</v>
      </c>
      <c r="E1692" s="4">
        <v>6.82</v>
      </c>
    </row>
    <row r="1693">
      <c r="A1693" s="5">
        <v>117116.0</v>
      </c>
      <c r="B1693" s="6" t="s">
        <v>9</v>
      </c>
      <c r="C1693" s="6" t="s">
        <v>178</v>
      </c>
      <c r="D1693" s="6" t="s">
        <v>183</v>
      </c>
      <c r="E1693" s="6">
        <v>1.87</v>
      </c>
    </row>
    <row r="1694">
      <c r="A1694" s="3">
        <v>19802.0</v>
      </c>
      <c r="B1694" s="4" t="s">
        <v>9</v>
      </c>
      <c r="C1694" s="4" t="s">
        <v>178</v>
      </c>
      <c r="D1694" s="4" t="s">
        <v>183</v>
      </c>
      <c r="E1694" s="4">
        <v>2.32</v>
      </c>
    </row>
    <row r="1695">
      <c r="A1695" s="5">
        <v>81780.0</v>
      </c>
      <c r="B1695" s="6" t="s">
        <v>9</v>
      </c>
      <c r="C1695" s="6" t="s">
        <v>178</v>
      </c>
      <c r="D1695" s="6" t="s">
        <v>183</v>
      </c>
      <c r="E1695" s="6">
        <v>1.92</v>
      </c>
    </row>
    <row r="1696">
      <c r="A1696" s="3">
        <v>117094.0</v>
      </c>
      <c r="B1696" s="4" t="s">
        <v>9</v>
      </c>
      <c r="C1696" s="4" t="s">
        <v>178</v>
      </c>
      <c r="D1696" s="4" t="s">
        <v>183</v>
      </c>
      <c r="E1696" s="4">
        <v>6.27</v>
      </c>
    </row>
    <row r="1697">
      <c r="A1697" s="5">
        <v>19797.0</v>
      </c>
      <c r="B1697" s="6" t="s">
        <v>9</v>
      </c>
      <c r="C1697" s="6" t="s">
        <v>178</v>
      </c>
      <c r="D1697" s="6" t="s">
        <v>183</v>
      </c>
      <c r="E1697" s="6">
        <v>0.64</v>
      </c>
    </row>
    <row r="1698">
      <c r="A1698" s="3">
        <v>86131.0</v>
      </c>
      <c r="B1698" s="4" t="s">
        <v>9</v>
      </c>
      <c r="C1698" s="4" t="s">
        <v>178</v>
      </c>
      <c r="D1698" s="4" t="s">
        <v>183</v>
      </c>
      <c r="E1698" s="4">
        <v>4.05</v>
      </c>
    </row>
    <row r="1699">
      <c r="A1699" s="5">
        <v>121864.0</v>
      </c>
      <c r="B1699" s="6" t="s">
        <v>9</v>
      </c>
      <c r="C1699" s="6" t="s">
        <v>178</v>
      </c>
      <c r="D1699" s="6" t="s">
        <v>183</v>
      </c>
      <c r="E1699" s="6">
        <v>2.41</v>
      </c>
    </row>
    <row r="1700">
      <c r="A1700" s="3">
        <v>15061.0</v>
      </c>
      <c r="B1700" s="4" t="s">
        <v>9</v>
      </c>
      <c r="C1700" s="4" t="s">
        <v>178</v>
      </c>
      <c r="D1700" s="4" t="s">
        <v>184</v>
      </c>
      <c r="E1700" s="4">
        <v>5.18</v>
      </c>
    </row>
    <row r="1701">
      <c r="A1701" s="5">
        <v>79929.0</v>
      </c>
      <c r="B1701" s="6" t="s">
        <v>9</v>
      </c>
      <c r="C1701" s="6" t="s">
        <v>178</v>
      </c>
      <c r="D1701" s="6" t="s">
        <v>185</v>
      </c>
      <c r="E1701" s="6">
        <v>3.14</v>
      </c>
    </row>
    <row r="1702">
      <c r="A1702" s="3">
        <v>19792.0</v>
      </c>
      <c r="B1702" s="4" t="s">
        <v>9</v>
      </c>
      <c r="C1702" s="4" t="s">
        <v>178</v>
      </c>
      <c r="D1702" s="4" t="s">
        <v>186</v>
      </c>
      <c r="E1702" s="4">
        <v>0.67</v>
      </c>
    </row>
    <row r="1703">
      <c r="A1703" s="5">
        <v>108805.0</v>
      </c>
      <c r="B1703" s="6" t="s">
        <v>9</v>
      </c>
      <c r="C1703" s="6" t="s">
        <v>178</v>
      </c>
      <c r="D1703" s="6" t="s">
        <v>186</v>
      </c>
      <c r="E1703" s="6">
        <v>5.38</v>
      </c>
    </row>
    <row r="1704">
      <c r="A1704" s="3">
        <v>71689.0</v>
      </c>
      <c r="B1704" s="4" t="s">
        <v>9</v>
      </c>
      <c r="C1704" s="4" t="s">
        <v>178</v>
      </c>
      <c r="D1704" s="4" t="s">
        <v>186</v>
      </c>
      <c r="E1704" s="4">
        <v>2.45</v>
      </c>
    </row>
    <row r="1705">
      <c r="A1705" s="5">
        <v>71718.0</v>
      </c>
      <c r="B1705" s="6" t="s">
        <v>9</v>
      </c>
      <c r="C1705" s="6" t="s">
        <v>178</v>
      </c>
      <c r="D1705" s="6" t="s">
        <v>186</v>
      </c>
      <c r="E1705" s="6">
        <v>4.87</v>
      </c>
    </row>
    <row r="1706">
      <c r="A1706" s="3">
        <v>19752.0</v>
      </c>
      <c r="B1706" s="4" t="s">
        <v>9</v>
      </c>
      <c r="C1706" s="4" t="s">
        <v>178</v>
      </c>
      <c r="D1706" s="4" t="s">
        <v>186</v>
      </c>
      <c r="E1706" s="4">
        <v>1.75</v>
      </c>
    </row>
    <row r="1707">
      <c r="A1707" s="5">
        <v>116205.0</v>
      </c>
      <c r="B1707" s="6" t="s">
        <v>9</v>
      </c>
      <c r="C1707" s="6" t="s">
        <v>178</v>
      </c>
      <c r="D1707" s="6" t="s">
        <v>186</v>
      </c>
      <c r="E1707" s="6">
        <v>2.22</v>
      </c>
    </row>
    <row r="1708">
      <c r="A1708" s="3">
        <v>117113.0</v>
      </c>
      <c r="B1708" s="4" t="s">
        <v>9</v>
      </c>
      <c r="C1708" s="4" t="s">
        <v>178</v>
      </c>
      <c r="D1708" s="4" t="s">
        <v>186</v>
      </c>
      <c r="E1708" s="4">
        <v>1.74</v>
      </c>
    </row>
    <row r="1709">
      <c r="A1709" s="5">
        <v>71716.0</v>
      </c>
      <c r="B1709" s="6" t="s">
        <v>9</v>
      </c>
      <c r="C1709" s="6" t="s">
        <v>178</v>
      </c>
      <c r="D1709" s="6" t="s">
        <v>186</v>
      </c>
      <c r="E1709" s="6">
        <v>5.39</v>
      </c>
    </row>
    <row r="1710">
      <c r="A1710" s="3">
        <v>44398.0</v>
      </c>
      <c r="B1710" s="4" t="s">
        <v>9</v>
      </c>
      <c r="C1710" s="4" t="s">
        <v>178</v>
      </c>
      <c r="D1710" s="4" t="s">
        <v>187</v>
      </c>
      <c r="E1710" s="4">
        <v>2.32</v>
      </c>
    </row>
    <row r="1711">
      <c r="A1711" s="5">
        <v>100932.0</v>
      </c>
      <c r="B1711" s="6" t="s">
        <v>9</v>
      </c>
      <c r="C1711" s="6" t="s">
        <v>178</v>
      </c>
      <c r="D1711" s="6" t="s">
        <v>187</v>
      </c>
      <c r="E1711" s="6">
        <v>6.68</v>
      </c>
    </row>
    <row r="1712">
      <c r="A1712" s="3">
        <v>117125.0</v>
      </c>
      <c r="B1712" s="4" t="s">
        <v>9</v>
      </c>
      <c r="C1712" s="4" t="s">
        <v>178</v>
      </c>
      <c r="D1712" s="4" t="s">
        <v>187</v>
      </c>
      <c r="E1712" s="4">
        <v>1.87</v>
      </c>
    </row>
    <row r="1713">
      <c r="A1713" s="5">
        <v>19746.0</v>
      </c>
      <c r="B1713" s="6" t="s">
        <v>9</v>
      </c>
      <c r="C1713" s="6" t="s">
        <v>178</v>
      </c>
      <c r="D1713" s="6" t="s">
        <v>187</v>
      </c>
      <c r="E1713" s="6">
        <v>2.05</v>
      </c>
    </row>
    <row r="1714">
      <c r="A1714" s="3">
        <v>80729.0</v>
      </c>
      <c r="B1714" s="4" t="s">
        <v>9</v>
      </c>
      <c r="C1714" s="4" t="s">
        <v>178</v>
      </c>
      <c r="D1714" s="4" t="s">
        <v>187</v>
      </c>
      <c r="E1714" s="4">
        <v>1.96</v>
      </c>
    </row>
    <row r="1715">
      <c r="A1715" s="5">
        <v>19800.0</v>
      </c>
      <c r="B1715" s="6" t="s">
        <v>9</v>
      </c>
      <c r="C1715" s="6" t="s">
        <v>178</v>
      </c>
      <c r="D1715" s="6" t="s">
        <v>187</v>
      </c>
      <c r="E1715" s="6">
        <v>2.27</v>
      </c>
    </row>
    <row r="1716">
      <c r="A1716" s="3">
        <v>19790.0</v>
      </c>
      <c r="B1716" s="4" t="s">
        <v>9</v>
      </c>
      <c r="C1716" s="4" t="s">
        <v>178</v>
      </c>
      <c r="D1716" s="4" t="s">
        <v>187</v>
      </c>
      <c r="E1716" s="4">
        <v>0.62</v>
      </c>
    </row>
    <row r="1717">
      <c r="A1717" s="5">
        <v>19747.0</v>
      </c>
      <c r="B1717" s="6" t="s">
        <v>9</v>
      </c>
      <c r="C1717" s="6" t="s">
        <v>178</v>
      </c>
      <c r="D1717" s="6" t="s">
        <v>187</v>
      </c>
      <c r="E1717" s="6">
        <v>3.32</v>
      </c>
    </row>
    <row r="1718">
      <c r="A1718" s="3">
        <v>44524.0</v>
      </c>
      <c r="B1718" s="4" t="s">
        <v>54</v>
      </c>
      <c r="C1718" s="4" t="s">
        <v>188</v>
      </c>
      <c r="D1718" s="4" t="s">
        <v>189</v>
      </c>
      <c r="E1718" s="4">
        <v>5.04</v>
      </c>
    </row>
    <row r="1719">
      <c r="A1719" s="5">
        <v>103839.0</v>
      </c>
      <c r="B1719" s="6" t="s">
        <v>54</v>
      </c>
      <c r="C1719" s="6" t="s">
        <v>188</v>
      </c>
      <c r="D1719" s="6" t="s">
        <v>189</v>
      </c>
      <c r="E1719" s="6">
        <v>4.02</v>
      </c>
    </row>
    <row r="1720">
      <c r="A1720" s="3">
        <v>195240.0</v>
      </c>
      <c r="B1720" s="4" t="s">
        <v>54</v>
      </c>
      <c r="C1720" s="4" t="s">
        <v>188</v>
      </c>
      <c r="D1720" s="4" t="s">
        <v>189</v>
      </c>
      <c r="E1720" s="4">
        <v>5.77</v>
      </c>
    </row>
    <row r="1721">
      <c r="A1721" s="5">
        <v>195244.0</v>
      </c>
      <c r="B1721" s="6" t="s">
        <v>54</v>
      </c>
      <c r="C1721" s="6" t="s">
        <v>188</v>
      </c>
      <c r="D1721" s="6" t="s">
        <v>189</v>
      </c>
      <c r="E1721" s="6">
        <v>5.77</v>
      </c>
    </row>
    <row r="1722">
      <c r="A1722" s="3">
        <v>119465.0</v>
      </c>
      <c r="B1722" s="4" t="s">
        <v>54</v>
      </c>
      <c r="C1722" s="4" t="s">
        <v>188</v>
      </c>
      <c r="D1722" s="4" t="s">
        <v>189</v>
      </c>
      <c r="E1722" s="4">
        <v>3.8</v>
      </c>
    </row>
    <row r="1723">
      <c r="A1723" s="5">
        <v>47081.0</v>
      </c>
      <c r="B1723" s="6" t="s">
        <v>54</v>
      </c>
      <c r="C1723" s="6" t="s">
        <v>188</v>
      </c>
      <c r="D1723" s="6" t="s">
        <v>190</v>
      </c>
      <c r="E1723" s="6">
        <v>12.48</v>
      </c>
    </row>
    <row r="1724">
      <c r="A1724" s="3">
        <v>91635.0</v>
      </c>
      <c r="B1724" s="4" t="s">
        <v>54</v>
      </c>
      <c r="C1724" s="4" t="s">
        <v>188</v>
      </c>
      <c r="D1724" s="4" t="s">
        <v>191</v>
      </c>
      <c r="E1724" s="4">
        <v>3.85</v>
      </c>
    </row>
    <row r="1725">
      <c r="A1725" s="5">
        <v>188359.0</v>
      </c>
      <c r="B1725" s="6" t="s">
        <v>54</v>
      </c>
      <c r="C1725" s="6" t="s">
        <v>188</v>
      </c>
      <c r="D1725" s="6" t="s">
        <v>191</v>
      </c>
      <c r="E1725" s="6">
        <v>4.46</v>
      </c>
    </row>
    <row r="1726">
      <c r="A1726" s="3">
        <v>29655.0</v>
      </c>
      <c r="B1726" s="4" t="s">
        <v>54</v>
      </c>
      <c r="C1726" s="4" t="s">
        <v>188</v>
      </c>
      <c r="D1726" s="4" t="s">
        <v>191</v>
      </c>
      <c r="E1726" s="4">
        <v>3.29</v>
      </c>
    </row>
    <row r="1727">
      <c r="A1727" s="5">
        <v>193188.0</v>
      </c>
      <c r="B1727" s="6" t="s">
        <v>54</v>
      </c>
      <c r="C1727" s="6" t="s">
        <v>188</v>
      </c>
      <c r="D1727" s="6" t="s">
        <v>192</v>
      </c>
      <c r="E1727" s="6">
        <v>3.52</v>
      </c>
    </row>
    <row r="1728">
      <c r="A1728" s="3">
        <v>188367.0</v>
      </c>
      <c r="B1728" s="4" t="s">
        <v>54</v>
      </c>
      <c r="C1728" s="4" t="s">
        <v>188</v>
      </c>
      <c r="D1728" s="4" t="s">
        <v>192</v>
      </c>
      <c r="E1728" s="4">
        <v>4.46</v>
      </c>
    </row>
    <row r="1729">
      <c r="A1729" s="5">
        <v>188853.0</v>
      </c>
      <c r="B1729" s="6" t="s">
        <v>54</v>
      </c>
      <c r="C1729" s="6" t="s">
        <v>188</v>
      </c>
      <c r="D1729" s="6" t="s">
        <v>192</v>
      </c>
      <c r="E1729" s="6">
        <v>7.58</v>
      </c>
    </row>
    <row r="1730">
      <c r="A1730" s="3">
        <v>116214.0</v>
      </c>
      <c r="B1730" s="4" t="s">
        <v>54</v>
      </c>
      <c r="C1730" s="4" t="s">
        <v>188</v>
      </c>
      <c r="D1730" s="4" t="s">
        <v>193</v>
      </c>
      <c r="E1730" s="4">
        <v>9.44</v>
      </c>
    </row>
    <row r="1731">
      <c r="A1731" s="5">
        <v>82296.0</v>
      </c>
      <c r="B1731" s="6" t="s">
        <v>54</v>
      </c>
      <c r="C1731" s="6" t="s">
        <v>188</v>
      </c>
      <c r="D1731" s="6" t="s">
        <v>193</v>
      </c>
      <c r="E1731" s="6">
        <v>20.22</v>
      </c>
    </row>
    <row r="1732">
      <c r="A1732" s="3">
        <v>10269.0</v>
      </c>
      <c r="B1732" s="4" t="s">
        <v>34</v>
      </c>
      <c r="C1732" s="4" t="s">
        <v>194</v>
      </c>
      <c r="D1732" s="4" t="s">
        <v>195</v>
      </c>
      <c r="E1732" s="4">
        <v>1.45</v>
      </c>
    </row>
    <row r="1733">
      <c r="A1733" s="5">
        <v>121860.0</v>
      </c>
      <c r="B1733" s="6" t="s">
        <v>34</v>
      </c>
      <c r="C1733" s="6" t="s">
        <v>194</v>
      </c>
      <c r="D1733" s="6" t="s">
        <v>195</v>
      </c>
      <c r="E1733" s="6">
        <v>28.78</v>
      </c>
    </row>
    <row r="1734">
      <c r="A1734" s="3">
        <v>100464.0</v>
      </c>
      <c r="B1734" s="4" t="s">
        <v>34</v>
      </c>
      <c r="C1734" s="4" t="s">
        <v>194</v>
      </c>
      <c r="D1734" s="4" t="s">
        <v>195</v>
      </c>
      <c r="E1734" s="4">
        <v>12.22</v>
      </c>
    </row>
    <row r="1735">
      <c r="A1735" s="5">
        <v>10270.0</v>
      </c>
      <c r="B1735" s="6" t="s">
        <v>34</v>
      </c>
      <c r="C1735" s="6" t="s">
        <v>194</v>
      </c>
      <c r="D1735" s="6" t="s">
        <v>195</v>
      </c>
      <c r="E1735" s="6">
        <v>1.45</v>
      </c>
    </row>
    <row r="1736">
      <c r="A1736" s="3">
        <v>10283.0</v>
      </c>
      <c r="B1736" s="4" t="s">
        <v>34</v>
      </c>
      <c r="C1736" s="4" t="s">
        <v>194</v>
      </c>
      <c r="D1736" s="4" t="s">
        <v>195</v>
      </c>
      <c r="E1736" s="4">
        <v>0.61</v>
      </c>
    </row>
    <row r="1737">
      <c r="A1737" s="5">
        <v>10278.0</v>
      </c>
      <c r="B1737" s="6" t="s">
        <v>34</v>
      </c>
      <c r="C1737" s="6" t="s">
        <v>194</v>
      </c>
      <c r="D1737" s="6" t="s">
        <v>195</v>
      </c>
      <c r="E1737" s="6">
        <v>0.61</v>
      </c>
    </row>
    <row r="1738">
      <c r="A1738" s="3">
        <v>10259.0</v>
      </c>
      <c r="B1738" s="4" t="s">
        <v>34</v>
      </c>
      <c r="C1738" s="4" t="s">
        <v>194</v>
      </c>
      <c r="D1738" s="4" t="s">
        <v>196</v>
      </c>
      <c r="E1738" s="4">
        <v>1.13</v>
      </c>
    </row>
    <row r="1739">
      <c r="A1739" s="5">
        <v>200359.0</v>
      </c>
      <c r="B1739" s="6" t="s">
        <v>34</v>
      </c>
      <c r="C1739" s="6" t="s">
        <v>194</v>
      </c>
      <c r="D1739" s="6" t="s">
        <v>196</v>
      </c>
      <c r="E1739" s="6">
        <v>1.83</v>
      </c>
    </row>
    <row r="1740">
      <c r="A1740" s="3">
        <v>10243.0</v>
      </c>
      <c r="B1740" s="4" t="s">
        <v>34</v>
      </c>
      <c r="C1740" s="4" t="s">
        <v>194</v>
      </c>
      <c r="D1740" s="4" t="s">
        <v>196</v>
      </c>
      <c r="E1740" s="4">
        <v>1.44</v>
      </c>
    </row>
    <row r="1741">
      <c r="A1741" s="5">
        <v>200360.0</v>
      </c>
      <c r="B1741" s="6" t="s">
        <v>34</v>
      </c>
      <c r="C1741" s="6" t="s">
        <v>194</v>
      </c>
      <c r="D1741" s="6" t="s">
        <v>196</v>
      </c>
      <c r="E1741" s="6">
        <v>1.83</v>
      </c>
    </row>
    <row r="1742">
      <c r="A1742" s="3">
        <v>196501.0</v>
      </c>
      <c r="B1742" s="4" t="s">
        <v>34</v>
      </c>
      <c r="C1742" s="4" t="s">
        <v>194</v>
      </c>
      <c r="D1742" s="4" t="s">
        <v>196</v>
      </c>
      <c r="E1742" s="4">
        <v>9.36</v>
      </c>
    </row>
    <row r="1743">
      <c r="A1743" s="5">
        <v>100460.0</v>
      </c>
      <c r="B1743" s="6" t="s">
        <v>34</v>
      </c>
      <c r="C1743" s="6" t="s">
        <v>194</v>
      </c>
      <c r="D1743" s="6" t="s">
        <v>196</v>
      </c>
      <c r="E1743" s="6">
        <v>10.96</v>
      </c>
    </row>
    <row r="1744">
      <c r="A1744" s="3">
        <v>5880.0</v>
      </c>
      <c r="B1744" s="4" t="s">
        <v>34</v>
      </c>
      <c r="C1744" s="4" t="s">
        <v>194</v>
      </c>
      <c r="D1744" s="4" t="s">
        <v>197</v>
      </c>
      <c r="E1744" s="4">
        <v>7.42</v>
      </c>
    </row>
    <row r="1745">
      <c r="A1745" s="5">
        <v>5872.0</v>
      </c>
      <c r="B1745" s="6" t="s">
        <v>34</v>
      </c>
      <c r="C1745" s="6" t="s">
        <v>194</v>
      </c>
      <c r="D1745" s="6" t="s">
        <v>197</v>
      </c>
      <c r="E1745" s="6">
        <v>15.81</v>
      </c>
    </row>
    <row r="1746">
      <c r="A1746" s="3">
        <v>114258.0</v>
      </c>
      <c r="B1746" s="4" t="s">
        <v>34</v>
      </c>
      <c r="C1746" s="4" t="s">
        <v>194</v>
      </c>
      <c r="D1746" s="4" t="s">
        <v>197</v>
      </c>
      <c r="E1746" s="4">
        <v>7.41</v>
      </c>
    </row>
    <row r="1747">
      <c r="A1747" s="5">
        <v>11122.0</v>
      </c>
      <c r="B1747" s="6" t="s">
        <v>34</v>
      </c>
      <c r="C1747" s="6" t="s">
        <v>194</v>
      </c>
      <c r="D1747" s="6" t="s">
        <v>197</v>
      </c>
      <c r="E1747" s="6">
        <v>9.48</v>
      </c>
    </row>
    <row r="1748">
      <c r="A1748" s="3">
        <v>116894.0</v>
      </c>
      <c r="B1748" s="4" t="s">
        <v>34</v>
      </c>
      <c r="C1748" s="4" t="s">
        <v>194</v>
      </c>
      <c r="D1748" s="4" t="s">
        <v>197</v>
      </c>
      <c r="E1748" s="4">
        <v>5.25</v>
      </c>
    </row>
    <row r="1749">
      <c r="A1749" s="5">
        <v>72994.0</v>
      </c>
      <c r="B1749" s="6" t="s">
        <v>34</v>
      </c>
      <c r="C1749" s="6" t="s">
        <v>194</v>
      </c>
      <c r="D1749" s="6" t="s">
        <v>197</v>
      </c>
      <c r="E1749" s="6">
        <v>11.62</v>
      </c>
    </row>
    <row r="1750">
      <c r="A1750" s="3">
        <v>120863.0</v>
      </c>
      <c r="B1750" s="4" t="s">
        <v>60</v>
      </c>
      <c r="C1750" s="4" t="s">
        <v>198</v>
      </c>
      <c r="D1750" s="4" t="s">
        <v>199</v>
      </c>
      <c r="E1750" s="4">
        <v>2.42</v>
      </c>
    </row>
    <row r="1751">
      <c r="A1751" s="5">
        <v>120870.0</v>
      </c>
      <c r="B1751" s="6" t="s">
        <v>60</v>
      </c>
      <c r="C1751" s="6" t="s">
        <v>198</v>
      </c>
      <c r="D1751" s="6" t="s">
        <v>199</v>
      </c>
      <c r="E1751" s="6">
        <v>2.3</v>
      </c>
    </row>
    <row r="1752">
      <c r="A1752" s="3">
        <v>120868.0</v>
      </c>
      <c r="B1752" s="4" t="s">
        <v>60</v>
      </c>
      <c r="C1752" s="4" t="s">
        <v>198</v>
      </c>
      <c r="D1752" s="4" t="s">
        <v>199</v>
      </c>
      <c r="E1752" s="4">
        <v>2.87</v>
      </c>
    </row>
    <row r="1753">
      <c r="A1753" s="5">
        <v>102063.0</v>
      </c>
      <c r="B1753" s="6" t="s">
        <v>60</v>
      </c>
      <c r="C1753" s="6" t="s">
        <v>198</v>
      </c>
      <c r="D1753" s="6" t="s">
        <v>199</v>
      </c>
      <c r="E1753" s="6">
        <v>2.87</v>
      </c>
    </row>
    <row r="1754">
      <c r="A1754" s="3">
        <v>120869.0</v>
      </c>
      <c r="B1754" s="4" t="s">
        <v>60</v>
      </c>
      <c r="C1754" s="4" t="s">
        <v>198</v>
      </c>
      <c r="D1754" s="4" t="s">
        <v>199</v>
      </c>
      <c r="E1754" s="4">
        <v>3.86</v>
      </c>
    </row>
    <row r="1755">
      <c r="A1755" s="5">
        <v>120871.0</v>
      </c>
      <c r="B1755" s="6" t="s">
        <v>60</v>
      </c>
      <c r="C1755" s="6" t="s">
        <v>198</v>
      </c>
      <c r="D1755" s="6" t="s">
        <v>200</v>
      </c>
      <c r="E1755" s="6">
        <v>2.21</v>
      </c>
    </row>
    <row r="1756">
      <c r="A1756" s="3">
        <v>24195.0</v>
      </c>
      <c r="B1756" s="4" t="s">
        <v>60</v>
      </c>
      <c r="C1756" s="4" t="s">
        <v>198</v>
      </c>
      <c r="D1756" s="4" t="s">
        <v>200</v>
      </c>
      <c r="E1756" s="4">
        <v>2.79</v>
      </c>
    </row>
    <row r="1757">
      <c r="A1757" s="5">
        <v>120422.0</v>
      </c>
      <c r="B1757" s="6" t="s">
        <v>60</v>
      </c>
      <c r="C1757" s="6" t="s">
        <v>198</v>
      </c>
      <c r="D1757" s="6" t="s">
        <v>200</v>
      </c>
      <c r="E1757" s="6">
        <v>2.56</v>
      </c>
    </row>
    <row r="1758">
      <c r="A1758" s="3">
        <v>120874.0</v>
      </c>
      <c r="B1758" s="4" t="s">
        <v>60</v>
      </c>
      <c r="C1758" s="4" t="s">
        <v>198</v>
      </c>
      <c r="D1758" s="4" t="s">
        <v>200</v>
      </c>
      <c r="E1758" s="4">
        <v>1.67</v>
      </c>
    </row>
    <row r="1759">
      <c r="A1759" s="5">
        <v>120416.0</v>
      </c>
      <c r="B1759" s="6" t="s">
        <v>60</v>
      </c>
      <c r="C1759" s="6" t="s">
        <v>198</v>
      </c>
      <c r="D1759" s="6" t="s">
        <v>200</v>
      </c>
      <c r="E1759" s="6">
        <v>1.89</v>
      </c>
    </row>
    <row r="1760">
      <c r="A1760" s="3">
        <v>80944.0</v>
      </c>
      <c r="B1760" s="4" t="s">
        <v>60</v>
      </c>
      <c r="C1760" s="4" t="s">
        <v>198</v>
      </c>
      <c r="D1760" s="4" t="s">
        <v>200</v>
      </c>
      <c r="E1760" s="4">
        <v>1.53</v>
      </c>
    </row>
    <row r="1761">
      <c r="A1761" s="5">
        <v>120873.0</v>
      </c>
      <c r="B1761" s="6" t="s">
        <v>60</v>
      </c>
      <c r="C1761" s="6" t="s">
        <v>198</v>
      </c>
      <c r="D1761" s="6" t="s">
        <v>200</v>
      </c>
      <c r="E1761" s="6">
        <v>2.66</v>
      </c>
    </row>
    <row r="1762">
      <c r="A1762" s="3">
        <v>120875.0</v>
      </c>
      <c r="B1762" s="4" t="s">
        <v>60</v>
      </c>
      <c r="C1762" s="4" t="s">
        <v>198</v>
      </c>
      <c r="D1762" s="4" t="s">
        <v>200</v>
      </c>
      <c r="E1762" s="4">
        <v>1.96</v>
      </c>
    </row>
    <row r="1763">
      <c r="A1763" s="5">
        <v>147285.0</v>
      </c>
      <c r="B1763" s="6" t="s">
        <v>60</v>
      </c>
      <c r="C1763" s="6" t="s">
        <v>198</v>
      </c>
      <c r="D1763" s="6" t="s">
        <v>200</v>
      </c>
      <c r="E1763" s="6">
        <v>5.01</v>
      </c>
    </row>
    <row r="1764">
      <c r="A1764" s="3">
        <v>88604.0</v>
      </c>
      <c r="B1764" s="4" t="s">
        <v>60</v>
      </c>
      <c r="C1764" s="4" t="s">
        <v>198</v>
      </c>
      <c r="D1764" s="4" t="s">
        <v>200</v>
      </c>
      <c r="E1764" s="4">
        <v>2.54</v>
      </c>
    </row>
    <row r="1765">
      <c r="A1765" s="5">
        <v>120417.0</v>
      </c>
      <c r="B1765" s="6" t="s">
        <v>60</v>
      </c>
      <c r="C1765" s="6" t="s">
        <v>198</v>
      </c>
      <c r="D1765" s="6" t="s">
        <v>200</v>
      </c>
      <c r="E1765" s="6">
        <v>2.47</v>
      </c>
    </row>
    <row r="1766">
      <c r="A1766" s="3">
        <v>113914.0</v>
      </c>
      <c r="B1766" s="4" t="s">
        <v>60</v>
      </c>
      <c r="C1766" s="4" t="s">
        <v>198</v>
      </c>
      <c r="D1766" s="4" t="s">
        <v>200</v>
      </c>
      <c r="E1766" s="4">
        <v>2.51</v>
      </c>
    </row>
    <row r="1767">
      <c r="A1767" s="5">
        <v>68793.0</v>
      </c>
      <c r="B1767" s="6" t="s">
        <v>60</v>
      </c>
      <c r="C1767" s="6" t="s">
        <v>198</v>
      </c>
      <c r="D1767" s="6" t="s">
        <v>201</v>
      </c>
      <c r="E1767" s="6">
        <v>1.9</v>
      </c>
    </row>
    <row r="1768">
      <c r="A1768" s="3">
        <v>106707.0</v>
      </c>
      <c r="B1768" s="4" t="s">
        <v>60</v>
      </c>
      <c r="C1768" s="4" t="s">
        <v>198</v>
      </c>
      <c r="D1768" s="4" t="s">
        <v>201</v>
      </c>
      <c r="E1768" s="4">
        <v>1.75</v>
      </c>
    </row>
    <row r="1769">
      <c r="A1769" s="5">
        <v>24210.0</v>
      </c>
      <c r="B1769" s="6" t="s">
        <v>60</v>
      </c>
      <c r="C1769" s="6" t="s">
        <v>198</v>
      </c>
      <c r="D1769" s="6" t="s">
        <v>201</v>
      </c>
      <c r="E1769" s="6">
        <v>1.84</v>
      </c>
    </row>
    <row r="1770">
      <c r="A1770" s="3">
        <v>44012.0</v>
      </c>
      <c r="B1770" s="4" t="s">
        <v>60</v>
      </c>
      <c r="C1770" s="4" t="s">
        <v>198</v>
      </c>
      <c r="D1770" s="4" t="s">
        <v>201</v>
      </c>
      <c r="E1770" s="4">
        <v>2.38</v>
      </c>
    </row>
    <row r="1771">
      <c r="A1771" s="5">
        <v>106710.0</v>
      </c>
      <c r="B1771" s="6" t="s">
        <v>60</v>
      </c>
      <c r="C1771" s="6" t="s">
        <v>198</v>
      </c>
      <c r="D1771" s="6" t="s">
        <v>201</v>
      </c>
      <c r="E1771" s="6">
        <v>1.75</v>
      </c>
    </row>
    <row r="1772">
      <c r="A1772" s="3">
        <v>117239.0</v>
      </c>
      <c r="B1772" s="4" t="s">
        <v>60</v>
      </c>
      <c r="C1772" s="4" t="s">
        <v>198</v>
      </c>
      <c r="D1772" s="4" t="s">
        <v>201</v>
      </c>
      <c r="E1772" s="4">
        <v>1.84</v>
      </c>
    </row>
    <row r="1773">
      <c r="A1773" s="5">
        <v>80186.0</v>
      </c>
      <c r="B1773" s="6" t="s">
        <v>60</v>
      </c>
      <c r="C1773" s="6" t="s">
        <v>198</v>
      </c>
      <c r="D1773" s="6" t="s">
        <v>201</v>
      </c>
      <c r="E1773" s="6">
        <v>1.75</v>
      </c>
    </row>
    <row r="1774">
      <c r="A1774" s="3">
        <v>80185.0</v>
      </c>
      <c r="B1774" s="4" t="s">
        <v>60</v>
      </c>
      <c r="C1774" s="4" t="s">
        <v>198</v>
      </c>
      <c r="D1774" s="4" t="s">
        <v>201</v>
      </c>
      <c r="E1774" s="4">
        <v>1.75</v>
      </c>
    </row>
    <row r="1775">
      <c r="A1775" s="5">
        <v>107151.0</v>
      </c>
      <c r="B1775" s="6" t="s">
        <v>60</v>
      </c>
      <c r="C1775" s="6" t="s">
        <v>198</v>
      </c>
      <c r="D1775" s="6" t="s">
        <v>201</v>
      </c>
      <c r="E1775" s="6">
        <v>1.69</v>
      </c>
    </row>
    <row r="1776">
      <c r="A1776" s="3">
        <v>120420.0</v>
      </c>
      <c r="B1776" s="4" t="s">
        <v>60</v>
      </c>
      <c r="C1776" s="4" t="s">
        <v>198</v>
      </c>
      <c r="D1776" s="4" t="s">
        <v>201</v>
      </c>
      <c r="E1776" s="4">
        <v>1.82</v>
      </c>
    </row>
    <row r="1777">
      <c r="A1777" s="5">
        <v>80184.0</v>
      </c>
      <c r="B1777" s="6" t="s">
        <v>60</v>
      </c>
      <c r="C1777" s="6" t="s">
        <v>198</v>
      </c>
      <c r="D1777" s="6" t="s">
        <v>201</v>
      </c>
      <c r="E1777" s="6">
        <v>1.75</v>
      </c>
    </row>
    <row r="1778">
      <c r="A1778" s="3">
        <v>107157.0</v>
      </c>
      <c r="B1778" s="4" t="s">
        <v>60</v>
      </c>
      <c r="C1778" s="4" t="s">
        <v>198</v>
      </c>
      <c r="D1778" s="4" t="s">
        <v>201</v>
      </c>
      <c r="E1778" s="4">
        <v>1.7</v>
      </c>
    </row>
    <row r="1779">
      <c r="A1779" s="5">
        <v>118432.0</v>
      </c>
      <c r="B1779" s="6" t="s">
        <v>60</v>
      </c>
      <c r="C1779" s="6" t="s">
        <v>198</v>
      </c>
      <c r="D1779" s="6" t="s">
        <v>201</v>
      </c>
      <c r="E1779" s="6">
        <v>2.47</v>
      </c>
    </row>
    <row r="1780">
      <c r="A1780" s="3">
        <v>86512.0</v>
      </c>
      <c r="B1780" s="4" t="s">
        <v>60</v>
      </c>
      <c r="C1780" s="4" t="s">
        <v>198</v>
      </c>
      <c r="D1780" s="4" t="s">
        <v>201</v>
      </c>
      <c r="E1780" s="4">
        <v>3.15</v>
      </c>
    </row>
    <row r="1781">
      <c r="A1781" s="5">
        <v>118431.0</v>
      </c>
      <c r="B1781" s="6" t="s">
        <v>60</v>
      </c>
      <c r="C1781" s="6" t="s">
        <v>198</v>
      </c>
      <c r="D1781" s="6" t="s">
        <v>201</v>
      </c>
      <c r="E1781" s="6">
        <v>2.47</v>
      </c>
    </row>
    <row r="1782">
      <c r="A1782" s="3">
        <v>80187.0</v>
      </c>
      <c r="B1782" s="4" t="s">
        <v>60</v>
      </c>
      <c r="C1782" s="4" t="s">
        <v>198</v>
      </c>
      <c r="D1782" s="4" t="s">
        <v>201</v>
      </c>
      <c r="E1782" s="4">
        <v>1.75</v>
      </c>
    </row>
    <row r="1783">
      <c r="A1783" s="5">
        <v>107163.0</v>
      </c>
      <c r="B1783" s="6" t="s">
        <v>60</v>
      </c>
      <c r="C1783" s="6" t="s">
        <v>198</v>
      </c>
      <c r="D1783" s="6" t="s">
        <v>201</v>
      </c>
      <c r="E1783" s="6">
        <v>1.46</v>
      </c>
    </row>
    <row r="1784">
      <c r="A1784" s="3">
        <v>108342.0</v>
      </c>
      <c r="B1784" s="4" t="s">
        <v>60</v>
      </c>
      <c r="C1784" s="4" t="s">
        <v>198</v>
      </c>
      <c r="D1784" s="4" t="s">
        <v>201</v>
      </c>
      <c r="E1784" s="4">
        <v>1.34</v>
      </c>
    </row>
    <row r="1785">
      <c r="A1785" s="5">
        <v>20949.0</v>
      </c>
      <c r="B1785" s="6" t="s">
        <v>60</v>
      </c>
      <c r="C1785" s="6" t="s">
        <v>198</v>
      </c>
      <c r="D1785" s="6" t="s">
        <v>201</v>
      </c>
      <c r="E1785" s="6">
        <v>1.34</v>
      </c>
    </row>
    <row r="1786">
      <c r="A1786" s="3">
        <v>118436.0</v>
      </c>
      <c r="B1786" s="4" t="s">
        <v>60</v>
      </c>
      <c r="C1786" s="4" t="s">
        <v>198</v>
      </c>
      <c r="D1786" s="4" t="s">
        <v>201</v>
      </c>
      <c r="E1786" s="4">
        <v>2.47</v>
      </c>
    </row>
    <row r="1787">
      <c r="A1787" s="5">
        <v>113566.0</v>
      </c>
      <c r="B1787" s="6" t="s">
        <v>60</v>
      </c>
      <c r="C1787" s="6" t="s">
        <v>198</v>
      </c>
      <c r="D1787" s="6" t="s">
        <v>201</v>
      </c>
      <c r="E1787" s="6">
        <v>2.98</v>
      </c>
    </row>
    <row r="1788">
      <c r="A1788" s="3">
        <v>113571.0</v>
      </c>
      <c r="B1788" s="4" t="s">
        <v>60</v>
      </c>
      <c r="C1788" s="4" t="s">
        <v>198</v>
      </c>
      <c r="D1788" s="4" t="s">
        <v>201</v>
      </c>
      <c r="E1788" s="4">
        <v>2.89</v>
      </c>
    </row>
    <row r="1789">
      <c r="A1789" s="5">
        <v>107160.0</v>
      </c>
      <c r="B1789" s="6" t="s">
        <v>60</v>
      </c>
      <c r="C1789" s="6" t="s">
        <v>198</v>
      </c>
      <c r="D1789" s="6" t="s">
        <v>201</v>
      </c>
      <c r="E1789" s="6">
        <v>1.12</v>
      </c>
    </row>
    <row r="1790">
      <c r="A1790" s="3">
        <v>44007.0</v>
      </c>
      <c r="B1790" s="4" t="s">
        <v>60</v>
      </c>
      <c r="C1790" s="4" t="s">
        <v>198</v>
      </c>
      <c r="D1790" s="4" t="s">
        <v>201</v>
      </c>
      <c r="E1790" s="4">
        <v>2.55</v>
      </c>
    </row>
    <row r="1791">
      <c r="A1791" s="5">
        <v>69453.0</v>
      </c>
      <c r="B1791" s="6" t="s">
        <v>60</v>
      </c>
      <c r="C1791" s="6" t="s">
        <v>198</v>
      </c>
      <c r="D1791" s="6" t="s">
        <v>201</v>
      </c>
      <c r="E1791" s="6">
        <v>2.03</v>
      </c>
    </row>
    <row r="1792">
      <c r="A1792" s="3">
        <v>122690.0</v>
      </c>
      <c r="B1792" s="4" t="s">
        <v>60</v>
      </c>
      <c r="C1792" s="4" t="s">
        <v>198</v>
      </c>
      <c r="D1792" s="4" t="s">
        <v>201</v>
      </c>
      <c r="E1792" s="4">
        <v>4.64</v>
      </c>
    </row>
    <row r="1793">
      <c r="A1793" s="5">
        <v>117243.0</v>
      </c>
      <c r="B1793" s="6" t="s">
        <v>60</v>
      </c>
      <c r="C1793" s="6" t="s">
        <v>198</v>
      </c>
      <c r="D1793" s="6" t="s">
        <v>201</v>
      </c>
      <c r="E1793" s="6">
        <v>1.84</v>
      </c>
    </row>
    <row r="1794">
      <c r="A1794" s="3">
        <v>71988.0</v>
      </c>
      <c r="B1794" s="4" t="s">
        <v>60</v>
      </c>
      <c r="C1794" s="4" t="s">
        <v>198</v>
      </c>
      <c r="D1794" s="4" t="s">
        <v>202</v>
      </c>
      <c r="E1794" s="4">
        <v>1.38</v>
      </c>
    </row>
    <row r="1795">
      <c r="A1795" s="5">
        <v>111582.0</v>
      </c>
      <c r="B1795" s="6" t="s">
        <v>60</v>
      </c>
      <c r="C1795" s="6" t="s">
        <v>198</v>
      </c>
      <c r="D1795" s="6" t="s">
        <v>202</v>
      </c>
      <c r="E1795" s="6">
        <v>1.97</v>
      </c>
    </row>
    <row r="1796">
      <c r="A1796" s="3">
        <v>77235.0</v>
      </c>
      <c r="B1796" s="4" t="s">
        <v>60</v>
      </c>
      <c r="C1796" s="4" t="s">
        <v>198</v>
      </c>
      <c r="D1796" s="4" t="s">
        <v>203</v>
      </c>
      <c r="E1796" s="4">
        <v>2.36</v>
      </c>
    </row>
    <row r="1797">
      <c r="A1797" s="5">
        <v>105272.0</v>
      </c>
      <c r="B1797" s="6" t="s">
        <v>60</v>
      </c>
      <c r="C1797" s="6" t="s">
        <v>198</v>
      </c>
      <c r="D1797" s="6" t="s">
        <v>203</v>
      </c>
      <c r="E1797" s="6">
        <v>2.03</v>
      </c>
    </row>
    <row r="1798">
      <c r="A1798" s="3">
        <v>120809.0</v>
      </c>
      <c r="B1798" s="4" t="s">
        <v>60</v>
      </c>
      <c r="C1798" s="4" t="s">
        <v>198</v>
      </c>
      <c r="D1798" s="4" t="s">
        <v>203</v>
      </c>
      <c r="E1798" s="4">
        <v>2.76</v>
      </c>
    </row>
    <row r="1799">
      <c r="A1799" s="5">
        <v>10651.0</v>
      </c>
      <c r="B1799" s="6" t="s">
        <v>60</v>
      </c>
      <c r="C1799" s="6" t="s">
        <v>198</v>
      </c>
      <c r="D1799" s="6" t="s">
        <v>204</v>
      </c>
      <c r="E1799" s="6">
        <v>1.1</v>
      </c>
    </row>
    <row r="1800">
      <c r="A1800" s="3">
        <v>10657.0</v>
      </c>
      <c r="B1800" s="4" t="s">
        <v>60</v>
      </c>
      <c r="C1800" s="4" t="s">
        <v>198</v>
      </c>
      <c r="D1800" s="4" t="s">
        <v>204</v>
      </c>
      <c r="E1800" s="4">
        <v>2.14</v>
      </c>
    </row>
    <row r="1801">
      <c r="A1801" s="5">
        <v>9132.0</v>
      </c>
      <c r="B1801" s="6" t="s">
        <v>60</v>
      </c>
      <c r="C1801" s="6" t="s">
        <v>198</v>
      </c>
      <c r="D1801" s="6" t="s">
        <v>204</v>
      </c>
      <c r="E1801" s="6">
        <v>2.05</v>
      </c>
    </row>
    <row r="1802">
      <c r="A1802" s="3">
        <v>197151.0</v>
      </c>
      <c r="B1802" s="4" t="s">
        <v>60</v>
      </c>
      <c r="C1802" s="4" t="s">
        <v>198</v>
      </c>
      <c r="D1802" s="4" t="s">
        <v>204</v>
      </c>
      <c r="E1802" s="4">
        <v>1.3</v>
      </c>
    </row>
    <row r="1803">
      <c r="A1803" s="5">
        <v>73386.0</v>
      </c>
      <c r="B1803" s="6" t="s">
        <v>60</v>
      </c>
      <c r="C1803" s="6" t="s">
        <v>198</v>
      </c>
      <c r="D1803" s="6" t="s">
        <v>204</v>
      </c>
      <c r="E1803" s="6">
        <v>1.41</v>
      </c>
    </row>
    <row r="1804">
      <c r="A1804" s="3">
        <v>121604.0</v>
      </c>
      <c r="B1804" s="4" t="s">
        <v>60</v>
      </c>
      <c r="C1804" s="4" t="s">
        <v>198</v>
      </c>
      <c r="D1804" s="4" t="s">
        <v>204</v>
      </c>
      <c r="E1804" s="4">
        <v>1.96</v>
      </c>
    </row>
    <row r="1805">
      <c r="A1805" s="5">
        <v>89533.0</v>
      </c>
      <c r="B1805" s="6" t="s">
        <v>60</v>
      </c>
      <c r="C1805" s="6" t="s">
        <v>198</v>
      </c>
      <c r="D1805" s="6" t="s">
        <v>204</v>
      </c>
      <c r="E1805" s="6">
        <v>1.68</v>
      </c>
    </row>
    <row r="1806">
      <c r="A1806" s="3">
        <v>73381.0</v>
      </c>
      <c r="B1806" s="4" t="s">
        <v>60</v>
      </c>
      <c r="C1806" s="4" t="s">
        <v>198</v>
      </c>
      <c r="D1806" s="4" t="s">
        <v>204</v>
      </c>
      <c r="E1806" s="4">
        <v>2.01</v>
      </c>
    </row>
    <row r="1807">
      <c r="A1807" s="5">
        <v>26096.0</v>
      </c>
      <c r="B1807" s="6" t="s">
        <v>60</v>
      </c>
      <c r="C1807" s="6" t="s">
        <v>198</v>
      </c>
      <c r="D1807" s="6" t="s">
        <v>204</v>
      </c>
      <c r="E1807" s="6">
        <v>1.29</v>
      </c>
    </row>
    <row r="1808">
      <c r="A1808" s="3">
        <v>119050.0</v>
      </c>
      <c r="B1808" s="4" t="s">
        <v>60</v>
      </c>
      <c r="C1808" s="4" t="s">
        <v>198</v>
      </c>
      <c r="D1808" s="4" t="s">
        <v>204</v>
      </c>
      <c r="E1808" s="4">
        <v>1.33</v>
      </c>
    </row>
    <row r="1809">
      <c r="A1809" s="5">
        <v>44028.0</v>
      </c>
      <c r="B1809" s="6" t="s">
        <v>60</v>
      </c>
      <c r="C1809" s="6" t="s">
        <v>198</v>
      </c>
      <c r="D1809" s="6" t="s">
        <v>204</v>
      </c>
      <c r="E1809" s="6">
        <v>0.73</v>
      </c>
    </row>
    <row r="1810">
      <c r="A1810" s="3">
        <v>73572.0</v>
      </c>
      <c r="B1810" s="4" t="s">
        <v>60</v>
      </c>
      <c r="C1810" s="4" t="s">
        <v>198</v>
      </c>
      <c r="D1810" s="4" t="s">
        <v>204</v>
      </c>
      <c r="E1810" s="4">
        <v>1.23</v>
      </c>
    </row>
    <row r="1811">
      <c r="A1811" s="5">
        <v>83083.0</v>
      </c>
      <c r="B1811" s="6" t="s">
        <v>60</v>
      </c>
      <c r="C1811" s="6" t="s">
        <v>198</v>
      </c>
      <c r="D1811" s="6" t="s">
        <v>204</v>
      </c>
      <c r="E1811" s="6">
        <v>0.94</v>
      </c>
    </row>
    <row r="1812">
      <c r="A1812" s="3">
        <v>13338.0</v>
      </c>
      <c r="B1812" s="4" t="s">
        <v>60</v>
      </c>
      <c r="C1812" s="4" t="s">
        <v>198</v>
      </c>
      <c r="D1812" s="4" t="s">
        <v>204</v>
      </c>
      <c r="E1812" s="4">
        <v>2.09</v>
      </c>
    </row>
    <row r="1813">
      <c r="A1813" s="5">
        <v>83418.0</v>
      </c>
      <c r="B1813" s="6" t="s">
        <v>60</v>
      </c>
      <c r="C1813" s="6" t="s">
        <v>198</v>
      </c>
      <c r="D1813" s="6" t="s">
        <v>204</v>
      </c>
      <c r="E1813" s="6">
        <v>2.11</v>
      </c>
    </row>
    <row r="1814">
      <c r="A1814" s="3">
        <v>68640.0</v>
      </c>
      <c r="B1814" s="4" t="s">
        <v>60</v>
      </c>
      <c r="C1814" s="4" t="s">
        <v>198</v>
      </c>
      <c r="D1814" s="4" t="s">
        <v>204</v>
      </c>
      <c r="E1814" s="4">
        <v>1.33</v>
      </c>
    </row>
    <row r="1815">
      <c r="A1815" s="5">
        <v>10647.0</v>
      </c>
      <c r="B1815" s="6" t="s">
        <v>60</v>
      </c>
      <c r="C1815" s="6" t="s">
        <v>198</v>
      </c>
      <c r="D1815" s="6" t="s">
        <v>204</v>
      </c>
      <c r="E1815" s="6">
        <v>1.1</v>
      </c>
    </row>
    <row r="1816">
      <c r="A1816" s="3">
        <v>85884.0</v>
      </c>
      <c r="B1816" s="4" t="s">
        <v>60</v>
      </c>
      <c r="C1816" s="4" t="s">
        <v>198</v>
      </c>
      <c r="D1816" s="4" t="s">
        <v>204</v>
      </c>
      <c r="E1816" s="4">
        <v>1.27</v>
      </c>
    </row>
    <row r="1817">
      <c r="A1817" s="5">
        <v>113933.0</v>
      </c>
      <c r="B1817" s="6" t="s">
        <v>60</v>
      </c>
      <c r="C1817" s="6" t="s">
        <v>198</v>
      </c>
      <c r="D1817" s="6" t="s">
        <v>204</v>
      </c>
      <c r="E1817" s="6">
        <v>1.77</v>
      </c>
    </row>
    <row r="1818">
      <c r="A1818" s="3">
        <v>188843.0</v>
      </c>
      <c r="B1818" s="4" t="s">
        <v>60</v>
      </c>
      <c r="C1818" s="4" t="s">
        <v>198</v>
      </c>
      <c r="D1818" s="4" t="s">
        <v>204</v>
      </c>
      <c r="E1818" s="4">
        <v>1.26</v>
      </c>
    </row>
    <row r="1819">
      <c r="A1819" s="5">
        <v>13342.0</v>
      </c>
      <c r="B1819" s="6" t="s">
        <v>60</v>
      </c>
      <c r="C1819" s="6" t="s">
        <v>198</v>
      </c>
      <c r="D1819" s="6" t="s">
        <v>204</v>
      </c>
      <c r="E1819" s="6">
        <v>2.09</v>
      </c>
    </row>
    <row r="1820">
      <c r="A1820" s="3">
        <v>83002.0</v>
      </c>
      <c r="B1820" s="4" t="s">
        <v>60</v>
      </c>
      <c r="C1820" s="4" t="s">
        <v>198</v>
      </c>
      <c r="D1820" s="4" t="s">
        <v>204</v>
      </c>
      <c r="E1820" s="4">
        <v>1.05</v>
      </c>
    </row>
    <row r="1821">
      <c r="A1821" s="5">
        <v>112860.0</v>
      </c>
      <c r="B1821" s="6" t="s">
        <v>60</v>
      </c>
      <c r="C1821" s="6" t="s">
        <v>198</v>
      </c>
      <c r="D1821" s="6" t="s">
        <v>204</v>
      </c>
      <c r="E1821" s="6">
        <v>1.59</v>
      </c>
    </row>
    <row r="1822">
      <c r="A1822" s="3">
        <v>118374.0</v>
      </c>
      <c r="B1822" s="4" t="s">
        <v>60</v>
      </c>
      <c r="C1822" s="4" t="s">
        <v>198</v>
      </c>
      <c r="D1822" s="4" t="s">
        <v>204</v>
      </c>
      <c r="E1822" s="4">
        <v>1.67</v>
      </c>
    </row>
    <row r="1823">
      <c r="A1823" s="5">
        <v>119049.0</v>
      </c>
      <c r="B1823" s="6" t="s">
        <v>60</v>
      </c>
      <c r="C1823" s="6" t="s">
        <v>198</v>
      </c>
      <c r="D1823" s="6" t="s">
        <v>204</v>
      </c>
      <c r="E1823" s="6">
        <v>1.33</v>
      </c>
    </row>
    <row r="1824">
      <c r="A1824" s="3">
        <v>120964.0</v>
      </c>
      <c r="B1824" s="4" t="s">
        <v>60</v>
      </c>
      <c r="C1824" s="4" t="s">
        <v>198</v>
      </c>
      <c r="D1824" s="4" t="s">
        <v>204</v>
      </c>
      <c r="E1824" s="4">
        <v>1.96</v>
      </c>
    </row>
    <row r="1825">
      <c r="A1825" s="5">
        <v>26093.0</v>
      </c>
      <c r="B1825" s="6" t="s">
        <v>60</v>
      </c>
      <c r="C1825" s="6" t="s">
        <v>198</v>
      </c>
      <c r="D1825" s="6" t="s">
        <v>204</v>
      </c>
      <c r="E1825" s="6">
        <v>1.15</v>
      </c>
    </row>
    <row r="1826">
      <c r="A1826" s="3">
        <v>99311.0</v>
      </c>
      <c r="B1826" s="4" t="s">
        <v>60</v>
      </c>
      <c r="C1826" s="4" t="s">
        <v>198</v>
      </c>
      <c r="D1826" s="4" t="s">
        <v>204</v>
      </c>
      <c r="E1826" s="4">
        <v>0.82</v>
      </c>
    </row>
    <row r="1827">
      <c r="A1827" s="5">
        <v>9131.0</v>
      </c>
      <c r="B1827" s="6" t="s">
        <v>60</v>
      </c>
      <c r="C1827" s="6" t="s">
        <v>198</v>
      </c>
      <c r="D1827" s="6" t="s">
        <v>204</v>
      </c>
      <c r="E1827" s="6">
        <v>1.93</v>
      </c>
    </row>
    <row r="1828">
      <c r="A1828" s="3">
        <v>122167.0</v>
      </c>
      <c r="B1828" s="4" t="s">
        <v>60</v>
      </c>
      <c r="C1828" s="4" t="s">
        <v>198</v>
      </c>
      <c r="D1828" s="4" t="s">
        <v>204</v>
      </c>
      <c r="E1828" s="4">
        <v>1.23</v>
      </c>
    </row>
    <row r="1829">
      <c r="A1829" s="5">
        <v>10649.0</v>
      </c>
      <c r="B1829" s="6" t="s">
        <v>60</v>
      </c>
      <c r="C1829" s="6" t="s">
        <v>198</v>
      </c>
      <c r="D1829" s="6" t="s">
        <v>204</v>
      </c>
      <c r="E1829" s="6">
        <v>1.07</v>
      </c>
    </row>
    <row r="1830">
      <c r="A1830" s="3">
        <v>85875.0</v>
      </c>
      <c r="B1830" s="4" t="s">
        <v>60</v>
      </c>
      <c r="C1830" s="4" t="s">
        <v>198</v>
      </c>
      <c r="D1830" s="4" t="s">
        <v>204</v>
      </c>
      <c r="E1830" s="4">
        <v>1.93</v>
      </c>
    </row>
    <row r="1831">
      <c r="A1831" s="5">
        <v>9136.0</v>
      </c>
      <c r="B1831" s="6" t="s">
        <v>60</v>
      </c>
      <c r="C1831" s="6" t="s">
        <v>198</v>
      </c>
      <c r="D1831" s="6" t="s">
        <v>204</v>
      </c>
      <c r="E1831" s="6">
        <v>2.05</v>
      </c>
    </row>
    <row r="1832">
      <c r="A1832" s="3">
        <v>121835.0</v>
      </c>
      <c r="B1832" s="4" t="s">
        <v>60</v>
      </c>
      <c r="C1832" s="4" t="s">
        <v>198</v>
      </c>
      <c r="D1832" s="4" t="s">
        <v>204</v>
      </c>
      <c r="E1832" s="4">
        <v>1.4</v>
      </c>
    </row>
    <row r="1833">
      <c r="A1833" s="5">
        <v>113934.0</v>
      </c>
      <c r="B1833" s="6" t="s">
        <v>60</v>
      </c>
      <c r="C1833" s="6" t="s">
        <v>198</v>
      </c>
      <c r="D1833" s="6" t="s">
        <v>204</v>
      </c>
      <c r="E1833" s="6">
        <v>3.34</v>
      </c>
    </row>
    <row r="1834">
      <c r="A1834" s="3">
        <v>5750.0</v>
      </c>
      <c r="B1834" s="4" t="s">
        <v>60</v>
      </c>
      <c r="C1834" s="4" t="s">
        <v>198</v>
      </c>
      <c r="D1834" s="4" t="s">
        <v>204</v>
      </c>
      <c r="E1834" s="4">
        <v>1.48</v>
      </c>
    </row>
    <row r="1835">
      <c r="A1835" s="5">
        <v>73390.0</v>
      </c>
      <c r="B1835" s="6" t="s">
        <v>60</v>
      </c>
      <c r="C1835" s="6" t="s">
        <v>198</v>
      </c>
      <c r="D1835" s="6" t="s">
        <v>204</v>
      </c>
      <c r="E1835" s="6">
        <v>1.36</v>
      </c>
    </row>
    <row r="1836">
      <c r="A1836" s="3">
        <v>114251.0</v>
      </c>
      <c r="B1836" s="4" t="s">
        <v>60</v>
      </c>
      <c r="C1836" s="4" t="s">
        <v>198</v>
      </c>
      <c r="D1836" s="4" t="s">
        <v>204</v>
      </c>
      <c r="E1836" s="4">
        <v>1.73</v>
      </c>
    </row>
    <row r="1837">
      <c r="A1837" s="5">
        <v>73392.0</v>
      </c>
      <c r="B1837" s="6" t="s">
        <v>60</v>
      </c>
      <c r="C1837" s="6" t="s">
        <v>198</v>
      </c>
      <c r="D1837" s="6" t="s">
        <v>204</v>
      </c>
      <c r="E1837" s="6">
        <v>1.36</v>
      </c>
    </row>
    <row r="1838">
      <c r="A1838" s="3">
        <v>9128.0</v>
      </c>
      <c r="B1838" s="4" t="s">
        <v>60</v>
      </c>
      <c r="C1838" s="4" t="s">
        <v>198</v>
      </c>
      <c r="D1838" s="4" t="s">
        <v>204</v>
      </c>
      <c r="E1838" s="4">
        <v>1.76</v>
      </c>
    </row>
    <row r="1839">
      <c r="A1839" s="5">
        <v>122672.0</v>
      </c>
      <c r="B1839" s="6" t="s">
        <v>60</v>
      </c>
      <c r="C1839" s="6" t="s">
        <v>198</v>
      </c>
      <c r="D1839" s="6" t="s">
        <v>204</v>
      </c>
      <c r="E1839" s="6">
        <v>1.88</v>
      </c>
    </row>
    <row r="1840">
      <c r="A1840" s="3">
        <v>85857.0</v>
      </c>
      <c r="B1840" s="4" t="s">
        <v>60</v>
      </c>
      <c r="C1840" s="4" t="s">
        <v>198</v>
      </c>
      <c r="D1840" s="4" t="s">
        <v>204</v>
      </c>
      <c r="E1840" s="4">
        <v>2.05</v>
      </c>
    </row>
    <row r="1841">
      <c r="A1841" s="5">
        <v>9129.0</v>
      </c>
      <c r="B1841" s="6" t="s">
        <v>60</v>
      </c>
      <c r="C1841" s="6" t="s">
        <v>198</v>
      </c>
      <c r="D1841" s="6" t="s">
        <v>204</v>
      </c>
      <c r="E1841" s="6">
        <v>1.93</v>
      </c>
    </row>
    <row r="1842">
      <c r="A1842" s="3">
        <v>162438.0</v>
      </c>
      <c r="B1842" s="4" t="s">
        <v>60</v>
      </c>
      <c r="C1842" s="4" t="s">
        <v>198</v>
      </c>
      <c r="D1842" s="4" t="s">
        <v>204</v>
      </c>
      <c r="E1842" s="4">
        <v>1.53</v>
      </c>
    </row>
    <row r="1843">
      <c r="A1843" s="5">
        <v>73391.0</v>
      </c>
      <c r="B1843" s="6" t="s">
        <v>60</v>
      </c>
      <c r="C1843" s="6" t="s">
        <v>198</v>
      </c>
      <c r="D1843" s="6" t="s">
        <v>204</v>
      </c>
      <c r="E1843" s="6">
        <v>1.36</v>
      </c>
    </row>
    <row r="1844">
      <c r="A1844" s="3">
        <v>46428.0</v>
      </c>
      <c r="B1844" s="4" t="s">
        <v>60</v>
      </c>
      <c r="C1844" s="4" t="s">
        <v>198</v>
      </c>
      <c r="D1844" s="4" t="s">
        <v>204</v>
      </c>
      <c r="E1844" s="4">
        <v>1.4</v>
      </c>
    </row>
    <row r="1845">
      <c r="A1845" s="5">
        <v>85861.0</v>
      </c>
      <c r="B1845" s="6" t="s">
        <v>60</v>
      </c>
      <c r="C1845" s="6" t="s">
        <v>198</v>
      </c>
      <c r="D1845" s="6" t="s">
        <v>204</v>
      </c>
      <c r="E1845" s="6">
        <v>1.93</v>
      </c>
    </row>
    <row r="1846">
      <c r="A1846" s="3">
        <v>69324.0</v>
      </c>
      <c r="B1846" s="4" t="s">
        <v>60</v>
      </c>
      <c r="C1846" s="4" t="s">
        <v>198</v>
      </c>
      <c r="D1846" s="4" t="s">
        <v>204</v>
      </c>
      <c r="E1846" s="4">
        <v>1.67</v>
      </c>
    </row>
    <row r="1847">
      <c r="A1847" s="5">
        <v>122618.0</v>
      </c>
      <c r="B1847" s="6" t="s">
        <v>60</v>
      </c>
      <c r="C1847" s="6" t="s">
        <v>198</v>
      </c>
      <c r="D1847" s="6" t="s">
        <v>204</v>
      </c>
      <c r="E1847" s="6">
        <v>1.28</v>
      </c>
    </row>
    <row r="1848">
      <c r="A1848" s="3">
        <v>99312.0</v>
      </c>
      <c r="B1848" s="4" t="s">
        <v>60</v>
      </c>
      <c r="C1848" s="4" t="s">
        <v>198</v>
      </c>
      <c r="D1848" s="4" t="s">
        <v>204</v>
      </c>
      <c r="E1848" s="4">
        <v>0.94</v>
      </c>
    </row>
    <row r="1849">
      <c r="A1849" s="5">
        <v>113932.0</v>
      </c>
      <c r="B1849" s="6" t="s">
        <v>60</v>
      </c>
      <c r="C1849" s="6" t="s">
        <v>198</v>
      </c>
      <c r="D1849" s="6" t="s">
        <v>204</v>
      </c>
      <c r="E1849" s="6">
        <v>1.77</v>
      </c>
    </row>
    <row r="1850">
      <c r="A1850" s="3">
        <v>5751.0</v>
      </c>
      <c r="B1850" s="4" t="s">
        <v>60</v>
      </c>
      <c r="C1850" s="4" t="s">
        <v>198</v>
      </c>
      <c r="D1850" s="4" t="s">
        <v>204</v>
      </c>
      <c r="E1850" s="4">
        <v>1.13</v>
      </c>
    </row>
    <row r="1851">
      <c r="A1851" s="5">
        <v>85885.0</v>
      </c>
      <c r="B1851" s="6" t="s">
        <v>60</v>
      </c>
      <c r="C1851" s="6" t="s">
        <v>198</v>
      </c>
      <c r="D1851" s="6" t="s">
        <v>204</v>
      </c>
      <c r="E1851" s="6">
        <v>1.1</v>
      </c>
    </row>
    <row r="1852">
      <c r="A1852" s="3">
        <v>87877.0</v>
      </c>
      <c r="B1852" s="4" t="s">
        <v>60</v>
      </c>
      <c r="C1852" s="4" t="s">
        <v>198</v>
      </c>
      <c r="D1852" s="4" t="s">
        <v>204</v>
      </c>
      <c r="E1852" s="4">
        <v>0.64</v>
      </c>
    </row>
    <row r="1853">
      <c r="A1853" s="5">
        <v>197150.0</v>
      </c>
      <c r="B1853" s="6" t="s">
        <v>60</v>
      </c>
      <c r="C1853" s="6" t="s">
        <v>198</v>
      </c>
      <c r="D1853" s="6" t="s">
        <v>204</v>
      </c>
      <c r="E1853" s="6">
        <v>0.94</v>
      </c>
    </row>
    <row r="1854">
      <c r="A1854" s="3">
        <v>87878.0</v>
      </c>
      <c r="B1854" s="4" t="s">
        <v>60</v>
      </c>
      <c r="C1854" s="4" t="s">
        <v>198</v>
      </c>
      <c r="D1854" s="4" t="s">
        <v>204</v>
      </c>
      <c r="E1854" s="4">
        <v>0.64</v>
      </c>
    </row>
    <row r="1855">
      <c r="A1855" s="5">
        <v>122166.0</v>
      </c>
      <c r="B1855" s="6" t="s">
        <v>60</v>
      </c>
      <c r="C1855" s="6" t="s">
        <v>198</v>
      </c>
      <c r="D1855" s="6" t="s">
        <v>204</v>
      </c>
      <c r="E1855" s="6">
        <v>1.23</v>
      </c>
    </row>
    <row r="1856">
      <c r="A1856" s="3">
        <v>122617.0</v>
      </c>
      <c r="B1856" s="4" t="s">
        <v>60</v>
      </c>
      <c r="C1856" s="4" t="s">
        <v>198</v>
      </c>
      <c r="D1856" s="4" t="s">
        <v>204</v>
      </c>
      <c r="E1856" s="4">
        <v>1.15</v>
      </c>
    </row>
    <row r="1857">
      <c r="A1857" s="5">
        <v>118590.0</v>
      </c>
      <c r="B1857" s="6" t="s">
        <v>60</v>
      </c>
      <c r="C1857" s="6" t="s">
        <v>198</v>
      </c>
      <c r="D1857" s="6" t="s">
        <v>204</v>
      </c>
      <c r="E1857" s="6">
        <v>1.4</v>
      </c>
    </row>
    <row r="1858">
      <c r="A1858" s="3">
        <v>122366.0</v>
      </c>
      <c r="B1858" s="4" t="s">
        <v>60</v>
      </c>
      <c r="C1858" s="4" t="s">
        <v>198</v>
      </c>
      <c r="D1858" s="4" t="s">
        <v>204</v>
      </c>
      <c r="E1858" s="4">
        <v>1.65</v>
      </c>
    </row>
    <row r="1859">
      <c r="A1859" s="5">
        <v>83001.0</v>
      </c>
      <c r="B1859" s="6" t="s">
        <v>60</v>
      </c>
      <c r="C1859" s="6" t="s">
        <v>198</v>
      </c>
      <c r="D1859" s="6" t="s">
        <v>204</v>
      </c>
      <c r="E1859" s="6">
        <v>1.05</v>
      </c>
    </row>
    <row r="1860">
      <c r="A1860" s="3">
        <v>118594.0</v>
      </c>
      <c r="B1860" s="4" t="s">
        <v>60</v>
      </c>
      <c r="C1860" s="4" t="s">
        <v>198</v>
      </c>
      <c r="D1860" s="4" t="s">
        <v>204</v>
      </c>
      <c r="E1860" s="4">
        <v>1.4</v>
      </c>
    </row>
    <row r="1861">
      <c r="A1861" s="5">
        <v>85881.0</v>
      </c>
      <c r="B1861" s="6" t="s">
        <v>60</v>
      </c>
      <c r="C1861" s="6" t="s">
        <v>198</v>
      </c>
      <c r="D1861" s="6" t="s">
        <v>204</v>
      </c>
      <c r="E1861" s="6">
        <v>1.27</v>
      </c>
    </row>
    <row r="1862">
      <c r="A1862" s="3">
        <v>10655.0</v>
      </c>
      <c r="B1862" s="4" t="s">
        <v>60</v>
      </c>
      <c r="C1862" s="4" t="s">
        <v>198</v>
      </c>
      <c r="D1862" s="4" t="s">
        <v>204</v>
      </c>
      <c r="E1862" s="4">
        <v>2.06</v>
      </c>
    </row>
    <row r="1863">
      <c r="A1863" s="5">
        <v>121606.0</v>
      </c>
      <c r="B1863" s="6" t="s">
        <v>60</v>
      </c>
      <c r="C1863" s="6" t="s">
        <v>198</v>
      </c>
      <c r="D1863" s="6" t="s">
        <v>204</v>
      </c>
      <c r="E1863" s="6">
        <v>1.96</v>
      </c>
    </row>
    <row r="1864">
      <c r="A1864" s="3">
        <v>13341.0</v>
      </c>
      <c r="B1864" s="4" t="s">
        <v>60</v>
      </c>
      <c r="C1864" s="4" t="s">
        <v>198</v>
      </c>
      <c r="D1864" s="4" t="s">
        <v>204</v>
      </c>
      <c r="E1864" s="4">
        <v>2.09</v>
      </c>
    </row>
    <row r="1865">
      <c r="A1865" s="5">
        <v>122631.0</v>
      </c>
      <c r="B1865" s="6" t="s">
        <v>60</v>
      </c>
      <c r="C1865" s="6" t="s">
        <v>198</v>
      </c>
      <c r="D1865" s="6" t="s">
        <v>204</v>
      </c>
      <c r="E1865" s="6">
        <v>1.66</v>
      </c>
    </row>
    <row r="1866">
      <c r="A1866" s="3">
        <v>189132.0</v>
      </c>
      <c r="B1866" s="4" t="s">
        <v>60</v>
      </c>
      <c r="C1866" s="4" t="s">
        <v>198</v>
      </c>
      <c r="D1866" s="4" t="s">
        <v>204</v>
      </c>
      <c r="E1866" s="4">
        <v>1.28</v>
      </c>
    </row>
    <row r="1867">
      <c r="A1867" s="5">
        <v>87876.0</v>
      </c>
      <c r="B1867" s="6" t="s">
        <v>60</v>
      </c>
      <c r="C1867" s="6" t="s">
        <v>198</v>
      </c>
      <c r="D1867" s="6" t="s">
        <v>204</v>
      </c>
      <c r="E1867" s="6">
        <v>0.64</v>
      </c>
    </row>
    <row r="1868">
      <c r="A1868" s="3">
        <v>26094.0</v>
      </c>
      <c r="B1868" s="4" t="s">
        <v>60</v>
      </c>
      <c r="C1868" s="4" t="s">
        <v>198</v>
      </c>
      <c r="D1868" s="4" t="s">
        <v>204</v>
      </c>
      <c r="E1868" s="4">
        <v>1.29</v>
      </c>
    </row>
    <row r="1869">
      <c r="A1869" s="5">
        <v>189129.0</v>
      </c>
      <c r="B1869" s="6" t="s">
        <v>60</v>
      </c>
      <c r="C1869" s="6" t="s">
        <v>198</v>
      </c>
      <c r="D1869" s="6" t="s">
        <v>204</v>
      </c>
      <c r="E1869" s="6">
        <v>1.28</v>
      </c>
    </row>
    <row r="1870">
      <c r="A1870" s="3">
        <v>10654.0</v>
      </c>
      <c r="B1870" s="4" t="s">
        <v>60</v>
      </c>
      <c r="C1870" s="4" t="s">
        <v>198</v>
      </c>
      <c r="D1870" s="4" t="s">
        <v>204</v>
      </c>
      <c r="E1870" s="4">
        <v>1.13</v>
      </c>
    </row>
    <row r="1871">
      <c r="A1871" s="5">
        <v>5754.0</v>
      </c>
      <c r="B1871" s="6" t="s">
        <v>60</v>
      </c>
      <c r="C1871" s="6" t="s">
        <v>198</v>
      </c>
      <c r="D1871" s="6" t="s">
        <v>204</v>
      </c>
      <c r="E1871" s="6">
        <v>1.91</v>
      </c>
    </row>
    <row r="1872">
      <c r="A1872" s="3">
        <v>10648.0</v>
      </c>
      <c r="B1872" s="4" t="s">
        <v>60</v>
      </c>
      <c r="C1872" s="4" t="s">
        <v>198</v>
      </c>
      <c r="D1872" s="4" t="s">
        <v>204</v>
      </c>
      <c r="E1872" s="4">
        <v>1.1</v>
      </c>
    </row>
    <row r="1873">
      <c r="A1873" s="5">
        <v>114947.0</v>
      </c>
      <c r="B1873" s="6" t="s">
        <v>60</v>
      </c>
      <c r="C1873" s="6" t="s">
        <v>198</v>
      </c>
      <c r="D1873" s="6" t="s">
        <v>205</v>
      </c>
      <c r="E1873" s="6">
        <v>2.05</v>
      </c>
    </row>
    <row r="1874">
      <c r="A1874" s="3">
        <v>44728.0</v>
      </c>
      <c r="B1874" s="4" t="s">
        <v>60</v>
      </c>
      <c r="C1874" s="4" t="s">
        <v>198</v>
      </c>
      <c r="D1874" s="4" t="s">
        <v>205</v>
      </c>
      <c r="E1874" s="4">
        <v>2.28</v>
      </c>
    </row>
    <row r="1875">
      <c r="A1875" s="5">
        <v>120709.0</v>
      </c>
      <c r="B1875" s="6" t="s">
        <v>60</v>
      </c>
      <c r="C1875" s="6" t="s">
        <v>198</v>
      </c>
      <c r="D1875" s="6" t="s">
        <v>205</v>
      </c>
      <c r="E1875" s="6">
        <v>24.99</v>
      </c>
    </row>
    <row r="1876">
      <c r="A1876" s="3">
        <v>114949.0</v>
      </c>
      <c r="B1876" s="4" t="s">
        <v>60</v>
      </c>
      <c r="C1876" s="4" t="s">
        <v>198</v>
      </c>
      <c r="D1876" s="4" t="s">
        <v>205</v>
      </c>
      <c r="E1876" s="4">
        <v>2.05</v>
      </c>
    </row>
    <row r="1877">
      <c r="A1877" s="5">
        <v>48706.0</v>
      </c>
      <c r="B1877" s="6" t="s">
        <v>60</v>
      </c>
      <c r="C1877" s="6" t="s">
        <v>198</v>
      </c>
      <c r="D1877" s="6" t="s">
        <v>205</v>
      </c>
      <c r="E1877" s="6">
        <v>3.58</v>
      </c>
    </row>
    <row r="1878">
      <c r="A1878" s="3">
        <v>78411.0</v>
      </c>
      <c r="B1878" s="4" t="s">
        <v>60</v>
      </c>
      <c r="C1878" s="4" t="s">
        <v>198</v>
      </c>
      <c r="D1878" s="4" t="s">
        <v>205</v>
      </c>
      <c r="E1878" s="4">
        <v>1.92</v>
      </c>
    </row>
    <row r="1879">
      <c r="A1879" s="5">
        <v>120016.0</v>
      </c>
      <c r="B1879" s="6" t="s">
        <v>60</v>
      </c>
      <c r="C1879" s="6" t="s">
        <v>198</v>
      </c>
      <c r="D1879" s="6" t="s">
        <v>205</v>
      </c>
      <c r="E1879" s="6">
        <v>2.27</v>
      </c>
    </row>
    <row r="1880">
      <c r="A1880" s="3">
        <v>120710.0</v>
      </c>
      <c r="B1880" s="4" t="s">
        <v>60</v>
      </c>
      <c r="C1880" s="4" t="s">
        <v>198</v>
      </c>
      <c r="D1880" s="4" t="s">
        <v>205</v>
      </c>
      <c r="E1880" s="4">
        <v>10.48</v>
      </c>
    </row>
    <row r="1881">
      <c r="A1881" s="5">
        <v>48705.0</v>
      </c>
      <c r="B1881" s="6" t="s">
        <v>60</v>
      </c>
      <c r="C1881" s="6" t="s">
        <v>198</v>
      </c>
      <c r="D1881" s="6" t="s">
        <v>205</v>
      </c>
      <c r="E1881" s="6">
        <v>1.88</v>
      </c>
    </row>
    <row r="1882">
      <c r="A1882" s="3">
        <v>114948.0</v>
      </c>
      <c r="B1882" s="4" t="s">
        <v>60</v>
      </c>
      <c r="C1882" s="4" t="s">
        <v>198</v>
      </c>
      <c r="D1882" s="4" t="s">
        <v>205</v>
      </c>
      <c r="E1882" s="4">
        <v>2.32</v>
      </c>
    </row>
    <row r="1883">
      <c r="A1883" s="5">
        <v>117330.0</v>
      </c>
      <c r="B1883" s="6" t="s">
        <v>60</v>
      </c>
      <c r="C1883" s="6" t="s">
        <v>198</v>
      </c>
      <c r="D1883" s="6" t="s">
        <v>205</v>
      </c>
      <c r="E1883" s="6">
        <v>2.58</v>
      </c>
    </row>
    <row r="1884">
      <c r="A1884" s="3">
        <v>89665.0</v>
      </c>
      <c r="B1884" s="4" t="s">
        <v>60</v>
      </c>
      <c r="C1884" s="4" t="s">
        <v>198</v>
      </c>
      <c r="D1884" s="4" t="s">
        <v>205</v>
      </c>
      <c r="E1884" s="4">
        <v>2.32</v>
      </c>
    </row>
    <row r="1885">
      <c r="A1885" s="5">
        <v>89450.0</v>
      </c>
      <c r="B1885" s="6" t="s">
        <v>54</v>
      </c>
      <c r="C1885" s="6" t="s">
        <v>206</v>
      </c>
      <c r="D1885" s="6" t="s">
        <v>207</v>
      </c>
      <c r="E1885" s="6">
        <v>3.87</v>
      </c>
    </row>
    <row r="1886">
      <c r="A1886" s="3">
        <v>72080.0</v>
      </c>
      <c r="B1886" s="4" t="s">
        <v>54</v>
      </c>
      <c r="C1886" s="4" t="s">
        <v>206</v>
      </c>
      <c r="D1886" s="4" t="s">
        <v>207</v>
      </c>
      <c r="E1886" s="4">
        <v>4.09</v>
      </c>
    </row>
    <row r="1887">
      <c r="A1887" s="5">
        <v>72086.0</v>
      </c>
      <c r="B1887" s="6" t="s">
        <v>54</v>
      </c>
      <c r="C1887" s="6" t="s">
        <v>206</v>
      </c>
      <c r="D1887" s="6" t="s">
        <v>207</v>
      </c>
      <c r="E1887" s="6">
        <v>4.09</v>
      </c>
    </row>
    <row r="1888">
      <c r="A1888" s="3">
        <v>117076.0</v>
      </c>
      <c r="B1888" s="4" t="s">
        <v>54</v>
      </c>
      <c r="C1888" s="4" t="s">
        <v>206</v>
      </c>
      <c r="D1888" s="4" t="s">
        <v>207</v>
      </c>
      <c r="E1888" s="4">
        <v>4.75</v>
      </c>
    </row>
    <row r="1889">
      <c r="A1889" s="5">
        <v>72081.0</v>
      </c>
      <c r="B1889" s="6" t="s">
        <v>54</v>
      </c>
      <c r="C1889" s="6" t="s">
        <v>206</v>
      </c>
      <c r="D1889" s="6" t="s">
        <v>207</v>
      </c>
      <c r="E1889" s="6">
        <v>3.77</v>
      </c>
    </row>
    <row r="1890">
      <c r="A1890" s="3">
        <v>72088.0</v>
      </c>
      <c r="B1890" s="4" t="s">
        <v>54</v>
      </c>
      <c r="C1890" s="4" t="s">
        <v>206</v>
      </c>
      <c r="D1890" s="4" t="s">
        <v>207</v>
      </c>
      <c r="E1890" s="4">
        <v>3.97</v>
      </c>
    </row>
    <row r="1891">
      <c r="A1891" s="5">
        <v>72078.0</v>
      </c>
      <c r="B1891" s="6" t="s">
        <v>54</v>
      </c>
      <c r="C1891" s="6" t="s">
        <v>206</v>
      </c>
      <c r="D1891" s="6" t="s">
        <v>207</v>
      </c>
      <c r="E1891" s="6">
        <v>3.69</v>
      </c>
    </row>
    <row r="1892">
      <c r="A1892" s="3">
        <v>72085.0</v>
      </c>
      <c r="B1892" s="4" t="s">
        <v>54</v>
      </c>
      <c r="C1892" s="4" t="s">
        <v>206</v>
      </c>
      <c r="D1892" s="4" t="s">
        <v>207</v>
      </c>
      <c r="E1892" s="4">
        <v>4.45</v>
      </c>
    </row>
    <row r="1893">
      <c r="A1893" s="5">
        <v>112204.0</v>
      </c>
      <c r="B1893" s="6" t="s">
        <v>54</v>
      </c>
      <c r="C1893" s="6" t="s">
        <v>206</v>
      </c>
      <c r="D1893" s="6" t="s">
        <v>207</v>
      </c>
      <c r="E1893" s="6">
        <v>4.85</v>
      </c>
    </row>
    <row r="1894">
      <c r="A1894" s="3">
        <v>59138.0</v>
      </c>
      <c r="B1894" s="4" t="s">
        <v>54</v>
      </c>
      <c r="C1894" s="4" t="s">
        <v>206</v>
      </c>
      <c r="D1894" s="4" t="s">
        <v>207</v>
      </c>
      <c r="E1894" s="4">
        <v>3.83</v>
      </c>
    </row>
    <row r="1895">
      <c r="A1895" s="5">
        <v>72074.0</v>
      </c>
      <c r="B1895" s="6" t="s">
        <v>54</v>
      </c>
      <c r="C1895" s="6" t="s">
        <v>206</v>
      </c>
      <c r="D1895" s="6" t="s">
        <v>207</v>
      </c>
      <c r="E1895" s="6">
        <v>3.59</v>
      </c>
    </row>
    <row r="1896">
      <c r="A1896" s="3">
        <v>72096.0</v>
      </c>
      <c r="B1896" s="4" t="s">
        <v>54</v>
      </c>
      <c r="C1896" s="4" t="s">
        <v>206</v>
      </c>
      <c r="D1896" s="4" t="s">
        <v>207</v>
      </c>
      <c r="E1896" s="4">
        <v>7.57</v>
      </c>
    </row>
    <row r="1897">
      <c r="A1897" s="5">
        <v>72099.0</v>
      </c>
      <c r="B1897" s="6" t="s">
        <v>54</v>
      </c>
      <c r="C1897" s="6" t="s">
        <v>206</v>
      </c>
      <c r="D1897" s="6" t="s">
        <v>207</v>
      </c>
      <c r="E1897" s="6">
        <v>6.66</v>
      </c>
    </row>
    <row r="1898">
      <c r="A1898" s="3">
        <v>89451.0</v>
      </c>
      <c r="B1898" s="4" t="s">
        <v>54</v>
      </c>
      <c r="C1898" s="4" t="s">
        <v>206</v>
      </c>
      <c r="D1898" s="4" t="s">
        <v>207</v>
      </c>
      <c r="E1898" s="4">
        <v>2.78</v>
      </c>
    </row>
    <row r="1899">
      <c r="A1899" s="5">
        <v>29606.0</v>
      </c>
      <c r="B1899" s="6" t="s">
        <v>54</v>
      </c>
      <c r="C1899" s="6" t="s">
        <v>206</v>
      </c>
      <c r="D1899" s="6" t="s">
        <v>207</v>
      </c>
      <c r="E1899" s="6">
        <v>5.56</v>
      </c>
    </row>
    <row r="1900">
      <c r="A1900" s="3">
        <v>72089.0</v>
      </c>
      <c r="B1900" s="4" t="s">
        <v>54</v>
      </c>
      <c r="C1900" s="4" t="s">
        <v>206</v>
      </c>
      <c r="D1900" s="4" t="s">
        <v>207</v>
      </c>
      <c r="E1900" s="4">
        <v>4.65</v>
      </c>
    </row>
    <row r="1901">
      <c r="A1901" s="5">
        <v>29601.0</v>
      </c>
      <c r="B1901" s="6" t="s">
        <v>54</v>
      </c>
      <c r="C1901" s="6" t="s">
        <v>206</v>
      </c>
      <c r="D1901" s="6" t="s">
        <v>207</v>
      </c>
      <c r="E1901" s="6">
        <v>4.99</v>
      </c>
    </row>
    <row r="1902">
      <c r="A1902" s="3">
        <v>50372.0</v>
      </c>
      <c r="B1902" s="4" t="s">
        <v>54</v>
      </c>
      <c r="C1902" s="4" t="s">
        <v>206</v>
      </c>
      <c r="D1902" s="4" t="s">
        <v>207</v>
      </c>
      <c r="E1902" s="4">
        <v>4.9</v>
      </c>
    </row>
    <row r="1903">
      <c r="A1903" s="5">
        <v>89452.0</v>
      </c>
      <c r="B1903" s="6" t="s">
        <v>54</v>
      </c>
      <c r="C1903" s="6" t="s">
        <v>206</v>
      </c>
      <c r="D1903" s="6" t="s">
        <v>207</v>
      </c>
      <c r="E1903" s="6">
        <v>2.78</v>
      </c>
    </row>
    <row r="1904">
      <c r="A1904" s="3">
        <v>156019.0</v>
      </c>
      <c r="B1904" s="4" t="s">
        <v>54</v>
      </c>
      <c r="C1904" s="4" t="s">
        <v>206</v>
      </c>
      <c r="D1904" s="4" t="s">
        <v>208</v>
      </c>
      <c r="E1904" s="4">
        <v>5.82</v>
      </c>
    </row>
    <row r="1905">
      <c r="A1905" s="5">
        <v>117705.0</v>
      </c>
      <c r="B1905" s="6" t="s">
        <v>54</v>
      </c>
      <c r="C1905" s="6" t="s">
        <v>206</v>
      </c>
      <c r="D1905" s="6" t="s">
        <v>209</v>
      </c>
      <c r="E1905" s="6">
        <v>6.17</v>
      </c>
    </row>
    <row r="1906">
      <c r="A1906" s="3">
        <v>121184.0</v>
      </c>
      <c r="B1906" s="4" t="s">
        <v>54</v>
      </c>
      <c r="C1906" s="4" t="s">
        <v>206</v>
      </c>
      <c r="D1906" s="4" t="s">
        <v>209</v>
      </c>
      <c r="E1906" s="4">
        <v>6.49</v>
      </c>
    </row>
    <row r="1907">
      <c r="A1907" s="5">
        <v>89446.0</v>
      </c>
      <c r="B1907" s="6" t="s">
        <v>54</v>
      </c>
      <c r="C1907" s="6" t="s">
        <v>206</v>
      </c>
      <c r="D1907" s="6" t="s">
        <v>209</v>
      </c>
      <c r="E1907" s="6">
        <v>6.74</v>
      </c>
    </row>
    <row r="1908">
      <c r="A1908" s="3">
        <v>102339.0</v>
      </c>
      <c r="B1908" s="4" t="s">
        <v>54</v>
      </c>
      <c r="C1908" s="4" t="s">
        <v>206</v>
      </c>
      <c r="D1908" s="4" t="s">
        <v>209</v>
      </c>
      <c r="E1908" s="4">
        <v>3.39</v>
      </c>
    </row>
    <row r="1909">
      <c r="A1909" s="5">
        <v>121193.0</v>
      </c>
      <c r="B1909" s="6" t="s">
        <v>54</v>
      </c>
      <c r="C1909" s="6" t="s">
        <v>206</v>
      </c>
      <c r="D1909" s="6" t="s">
        <v>209</v>
      </c>
      <c r="E1909" s="6">
        <v>3.13</v>
      </c>
    </row>
    <row r="1910">
      <c r="A1910" s="3">
        <v>102332.0</v>
      </c>
      <c r="B1910" s="4" t="s">
        <v>54</v>
      </c>
      <c r="C1910" s="4" t="s">
        <v>206</v>
      </c>
      <c r="D1910" s="4" t="s">
        <v>209</v>
      </c>
      <c r="E1910" s="4">
        <v>5.19</v>
      </c>
    </row>
    <row r="1911">
      <c r="A1911" s="5">
        <v>121775.0</v>
      </c>
      <c r="B1911" s="6" t="s">
        <v>54</v>
      </c>
      <c r="C1911" s="6" t="s">
        <v>206</v>
      </c>
      <c r="D1911" s="6" t="s">
        <v>209</v>
      </c>
      <c r="E1911" s="6">
        <v>4.63</v>
      </c>
    </row>
    <row r="1912">
      <c r="A1912" s="3">
        <v>100903.0</v>
      </c>
      <c r="B1912" s="4" t="s">
        <v>54</v>
      </c>
      <c r="C1912" s="4" t="s">
        <v>206</v>
      </c>
      <c r="D1912" s="4" t="s">
        <v>209</v>
      </c>
      <c r="E1912" s="4">
        <v>11.77</v>
      </c>
    </row>
    <row r="1913">
      <c r="A1913" s="5">
        <v>81463.0</v>
      </c>
      <c r="B1913" s="6" t="s">
        <v>54</v>
      </c>
      <c r="C1913" s="6" t="s">
        <v>206</v>
      </c>
      <c r="D1913" s="6" t="s">
        <v>209</v>
      </c>
      <c r="E1913" s="6">
        <v>6.19</v>
      </c>
    </row>
    <row r="1914">
      <c r="A1914" s="3">
        <v>75788.0</v>
      </c>
      <c r="B1914" s="4" t="s">
        <v>54</v>
      </c>
      <c r="C1914" s="4" t="s">
        <v>206</v>
      </c>
      <c r="D1914" s="4" t="s">
        <v>209</v>
      </c>
      <c r="E1914" s="4">
        <v>4.22</v>
      </c>
    </row>
    <row r="1915">
      <c r="A1915" s="5">
        <v>121185.0</v>
      </c>
      <c r="B1915" s="6" t="s">
        <v>54</v>
      </c>
      <c r="C1915" s="6" t="s">
        <v>206</v>
      </c>
      <c r="D1915" s="6" t="s">
        <v>209</v>
      </c>
      <c r="E1915" s="6">
        <v>6.05</v>
      </c>
    </row>
    <row r="1916">
      <c r="A1916" s="3">
        <v>89440.0</v>
      </c>
      <c r="B1916" s="4" t="s">
        <v>54</v>
      </c>
      <c r="C1916" s="4" t="s">
        <v>206</v>
      </c>
      <c r="D1916" s="4" t="s">
        <v>209</v>
      </c>
      <c r="E1916" s="4">
        <v>3.95</v>
      </c>
    </row>
    <row r="1917">
      <c r="A1917" s="5">
        <v>103058.0</v>
      </c>
      <c r="B1917" s="6" t="s">
        <v>54</v>
      </c>
      <c r="C1917" s="6" t="s">
        <v>206</v>
      </c>
      <c r="D1917" s="6" t="s">
        <v>209</v>
      </c>
      <c r="E1917" s="6">
        <v>3.87</v>
      </c>
    </row>
    <row r="1918">
      <c r="A1918" s="3">
        <v>117716.0</v>
      </c>
      <c r="B1918" s="4" t="s">
        <v>54</v>
      </c>
      <c r="C1918" s="4" t="s">
        <v>206</v>
      </c>
      <c r="D1918" s="4" t="s">
        <v>209</v>
      </c>
      <c r="E1918" s="4">
        <v>6.24</v>
      </c>
    </row>
    <row r="1919">
      <c r="A1919" s="5">
        <v>71287.0</v>
      </c>
      <c r="B1919" s="6" t="s">
        <v>54</v>
      </c>
      <c r="C1919" s="6" t="s">
        <v>206</v>
      </c>
      <c r="D1919" s="6" t="s">
        <v>209</v>
      </c>
      <c r="E1919" s="6">
        <v>5.45</v>
      </c>
    </row>
    <row r="1920">
      <c r="A1920" s="3">
        <v>110685.0</v>
      </c>
      <c r="B1920" s="4" t="s">
        <v>54</v>
      </c>
      <c r="C1920" s="4" t="s">
        <v>206</v>
      </c>
      <c r="D1920" s="4" t="s">
        <v>209</v>
      </c>
      <c r="E1920" s="4">
        <v>11.87</v>
      </c>
    </row>
    <row r="1921">
      <c r="A1921" s="5">
        <v>79335.0</v>
      </c>
      <c r="B1921" s="6" t="s">
        <v>54</v>
      </c>
      <c r="C1921" s="6" t="s">
        <v>206</v>
      </c>
      <c r="D1921" s="6" t="s">
        <v>209</v>
      </c>
      <c r="E1921" s="6">
        <v>7.63</v>
      </c>
    </row>
    <row r="1922">
      <c r="A1922" s="3">
        <v>45538.0</v>
      </c>
      <c r="B1922" s="4" t="s">
        <v>54</v>
      </c>
      <c r="C1922" s="4" t="s">
        <v>206</v>
      </c>
      <c r="D1922" s="4" t="s">
        <v>209</v>
      </c>
      <c r="E1922" s="4">
        <v>4.96</v>
      </c>
    </row>
    <row r="1923">
      <c r="A1923" s="5">
        <v>76691.0</v>
      </c>
      <c r="B1923" s="6" t="s">
        <v>54</v>
      </c>
      <c r="C1923" s="6" t="s">
        <v>206</v>
      </c>
      <c r="D1923" s="6" t="s">
        <v>209</v>
      </c>
      <c r="E1923" s="6">
        <v>6.73</v>
      </c>
    </row>
    <row r="1924">
      <c r="A1924" s="3">
        <v>2336.0</v>
      </c>
      <c r="B1924" s="4" t="s">
        <v>54</v>
      </c>
      <c r="C1924" s="4" t="s">
        <v>206</v>
      </c>
      <c r="D1924" s="4" t="s">
        <v>209</v>
      </c>
      <c r="E1924" s="4">
        <v>5.06</v>
      </c>
    </row>
    <row r="1925">
      <c r="A1925" s="5">
        <v>91912.0</v>
      </c>
      <c r="B1925" s="6" t="s">
        <v>54</v>
      </c>
      <c r="C1925" s="6" t="s">
        <v>206</v>
      </c>
      <c r="D1925" s="6" t="s">
        <v>209</v>
      </c>
      <c r="E1925" s="6">
        <v>4.54</v>
      </c>
    </row>
    <row r="1926">
      <c r="A1926" s="3">
        <v>110826.0</v>
      </c>
      <c r="B1926" s="4" t="s">
        <v>54</v>
      </c>
      <c r="C1926" s="4" t="s">
        <v>206</v>
      </c>
      <c r="D1926" s="4" t="s">
        <v>209</v>
      </c>
      <c r="E1926" s="4">
        <v>7.36</v>
      </c>
    </row>
    <row r="1927">
      <c r="A1927" s="5">
        <v>117710.0</v>
      </c>
      <c r="B1927" s="6" t="s">
        <v>54</v>
      </c>
      <c r="C1927" s="6" t="s">
        <v>206</v>
      </c>
      <c r="D1927" s="6" t="s">
        <v>209</v>
      </c>
      <c r="E1927" s="6">
        <v>4.14</v>
      </c>
    </row>
    <row r="1928">
      <c r="A1928" s="3">
        <v>3621.0</v>
      </c>
      <c r="B1928" s="4" t="s">
        <v>54</v>
      </c>
      <c r="C1928" s="4" t="s">
        <v>206</v>
      </c>
      <c r="D1928" s="4" t="s">
        <v>209</v>
      </c>
      <c r="E1928" s="4">
        <v>3.95</v>
      </c>
    </row>
    <row r="1929">
      <c r="A1929" s="5">
        <v>4179.0</v>
      </c>
      <c r="B1929" s="6" t="s">
        <v>54</v>
      </c>
      <c r="C1929" s="6" t="s">
        <v>206</v>
      </c>
      <c r="D1929" s="6" t="s">
        <v>209</v>
      </c>
      <c r="E1929" s="6">
        <v>6.85</v>
      </c>
    </row>
    <row r="1930">
      <c r="A1930" s="3">
        <v>89407.0</v>
      </c>
      <c r="B1930" s="4" t="s">
        <v>54</v>
      </c>
      <c r="C1930" s="4" t="s">
        <v>206</v>
      </c>
      <c r="D1930" s="4" t="s">
        <v>209</v>
      </c>
      <c r="E1930" s="4">
        <v>3.7</v>
      </c>
    </row>
    <row r="1931">
      <c r="A1931" s="5">
        <v>121190.0</v>
      </c>
      <c r="B1931" s="6" t="s">
        <v>54</v>
      </c>
      <c r="C1931" s="6" t="s">
        <v>206</v>
      </c>
      <c r="D1931" s="6" t="s">
        <v>209</v>
      </c>
      <c r="E1931" s="6">
        <v>6.53</v>
      </c>
    </row>
    <row r="1932">
      <c r="A1932" s="3">
        <v>45524.0</v>
      </c>
      <c r="B1932" s="4" t="s">
        <v>54</v>
      </c>
      <c r="C1932" s="4" t="s">
        <v>206</v>
      </c>
      <c r="D1932" s="4" t="s">
        <v>209</v>
      </c>
      <c r="E1932" s="4">
        <v>5.53</v>
      </c>
    </row>
    <row r="1933">
      <c r="A1933" s="5">
        <v>3634.0</v>
      </c>
      <c r="B1933" s="6" t="s">
        <v>54</v>
      </c>
      <c r="C1933" s="6" t="s">
        <v>206</v>
      </c>
      <c r="D1933" s="6" t="s">
        <v>209</v>
      </c>
      <c r="E1933" s="6">
        <v>3.87</v>
      </c>
    </row>
    <row r="1934">
      <c r="A1934" s="3">
        <v>104327.0</v>
      </c>
      <c r="B1934" s="4" t="s">
        <v>54</v>
      </c>
      <c r="C1934" s="4" t="s">
        <v>206</v>
      </c>
      <c r="D1934" s="4" t="s">
        <v>209</v>
      </c>
      <c r="E1934" s="4">
        <v>5.13</v>
      </c>
    </row>
    <row r="1935">
      <c r="A1935" s="5">
        <v>71282.0</v>
      </c>
      <c r="B1935" s="6" t="s">
        <v>54</v>
      </c>
      <c r="C1935" s="6" t="s">
        <v>206</v>
      </c>
      <c r="D1935" s="6" t="s">
        <v>209</v>
      </c>
      <c r="E1935" s="6">
        <v>4.1</v>
      </c>
    </row>
    <row r="1936">
      <c r="A1936" s="3">
        <v>89411.0</v>
      </c>
      <c r="B1936" s="4" t="s">
        <v>54</v>
      </c>
      <c r="C1936" s="4" t="s">
        <v>206</v>
      </c>
      <c r="D1936" s="4" t="s">
        <v>209</v>
      </c>
      <c r="E1936" s="4">
        <v>3.74</v>
      </c>
    </row>
    <row r="1937">
      <c r="A1937" s="5">
        <v>105361.0</v>
      </c>
      <c r="B1937" s="6" t="s">
        <v>54</v>
      </c>
      <c r="C1937" s="6" t="s">
        <v>206</v>
      </c>
      <c r="D1937" s="6" t="s">
        <v>210</v>
      </c>
      <c r="E1937" s="6">
        <v>7.19</v>
      </c>
    </row>
    <row r="1938">
      <c r="A1938" s="3">
        <v>105359.0</v>
      </c>
      <c r="B1938" s="4" t="s">
        <v>54</v>
      </c>
      <c r="C1938" s="4" t="s">
        <v>206</v>
      </c>
      <c r="D1938" s="4" t="s">
        <v>210</v>
      </c>
      <c r="E1938" s="4">
        <v>7.19</v>
      </c>
    </row>
    <row r="1939">
      <c r="A1939" s="5">
        <v>75174.0</v>
      </c>
      <c r="B1939" s="6" t="s">
        <v>54</v>
      </c>
      <c r="C1939" s="6" t="s">
        <v>206</v>
      </c>
      <c r="D1939" s="6" t="s">
        <v>210</v>
      </c>
      <c r="E1939" s="6">
        <v>3.65</v>
      </c>
    </row>
    <row r="1940">
      <c r="A1940" s="3">
        <v>11895.0</v>
      </c>
      <c r="B1940" s="4" t="s">
        <v>54</v>
      </c>
      <c r="C1940" s="4" t="s">
        <v>206</v>
      </c>
      <c r="D1940" s="4" t="s">
        <v>210</v>
      </c>
      <c r="E1940" s="4">
        <v>8.24</v>
      </c>
    </row>
    <row r="1941">
      <c r="A1941" s="5">
        <v>11812.0</v>
      </c>
      <c r="B1941" s="6" t="s">
        <v>54</v>
      </c>
      <c r="C1941" s="6" t="s">
        <v>206</v>
      </c>
      <c r="D1941" s="6" t="s">
        <v>210</v>
      </c>
      <c r="E1941" s="6">
        <v>4.84</v>
      </c>
    </row>
    <row r="1942">
      <c r="A1942" s="3">
        <v>11815.0</v>
      </c>
      <c r="B1942" s="4" t="s">
        <v>54</v>
      </c>
      <c r="C1942" s="4" t="s">
        <v>206</v>
      </c>
      <c r="D1942" s="4" t="s">
        <v>211</v>
      </c>
      <c r="E1942" s="4">
        <v>4.77</v>
      </c>
    </row>
    <row r="1943">
      <c r="A1943" s="5">
        <v>11784.0</v>
      </c>
      <c r="B1943" s="6" t="s">
        <v>54</v>
      </c>
      <c r="C1943" s="6" t="s">
        <v>206</v>
      </c>
      <c r="D1943" s="6" t="s">
        <v>211</v>
      </c>
      <c r="E1943" s="6">
        <v>4.5</v>
      </c>
    </row>
    <row r="1944">
      <c r="A1944" s="3">
        <v>89241.0</v>
      </c>
      <c r="B1944" s="4" t="s">
        <v>54</v>
      </c>
      <c r="C1944" s="4" t="s">
        <v>206</v>
      </c>
      <c r="D1944" s="4" t="s">
        <v>211</v>
      </c>
      <c r="E1944" s="4">
        <v>4.48</v>
      </c>
    </row>
    <row r="1945">
      <c r="A1945" s="5">
        <v>117688.0</v>
      </c>
      <c r="B1945" s="6" t="s">
        <v>54</v>
      </c>
      <c r="C1945" s="6" t="s">
        <v>206</v>
      </c>
      <c r="D1945" s="6" t="s">
        <v>211</v>
      </c>
      <c r="E1945" s="6">
        <v>6.0</v>
      </c>
    </row>
    <row r="1946">
      <c r="A1946" s="3">
        <v>77688.0</v>
      </c>
      <c r="B1946" s="4" t="s">
        <v>54</v>
      </c>
      <c r="C1946" s="4" t="s">
        <v>206</v>
      </c>
      <c r="D1946" s="4" t="s">
        <v>211</v>
      </c>
      <c r="E1946" s="4">
        <v>9.75</v>
      </c>
    </row>
    <row r="1947">
      <c r="A1947" s="5">
        <v>89282.0</v>
      </c>
      <c r="B1947" s="6" t="s">
        <v>54</v>
      </c>
      <c r="C1947" s="6" t="s">
        <v>206</v>
      </c>
      <c r="D1947" s="6" t="s">
        <v>211</v>
      </c>
      <c r="E1947" s="6">
        <v>9.7</v>
      </c>
    </row>
    <row r="1948">
      <c r="A1948" s="3">
        <v>11769.0</v>
      </c>
      <c r="B1948" s="4" t="s">
        <v>54</v>
      </c>
      <c r="C1948" s="4" t="s">
        <v>206</v>
      </c>
      <c r="D1948" s="4" t="s">
        <v>211</v>
      </c>
      <c r="E1948" s="4">
        <v>6.92</v>
      </c>
    </row>
    <row r="1949">
      <c r="A1949" s="5">
        <v>117544.0</v>
      </c>
      <c r="B1949" s="6" t="s">
        <v>54</v>
      </c>
      <c r="C1949" s="6" t="s">
        <v>206</v>
      </c>
      <c r="D1949" s="6" t="s">
        <v>211</v>
      </c>
      <c r="E1949" s="6">
        <v>5.32</v>
      </c>
    </row>
    <row r="1950">
      <c r="A1950" s="3">
        <v>94860.0</v>
      </c>
      <c r="B1950" s="4" t="s">
        <v>54</v>
      </c>
      <c r="C1950" s="4" t="s">
        <v>206</v>
      </c>
      <c r="D1950" s="4" t="s">
        <v>211</v>
      </c>
      <c r="E1950" s="4">
        <v>3.77</v>
      </c>
    </row>
    <row r="1951">
      <c r="A1951" s="5">
        <v>79041.0</v>
      </c>
      <c r="B1951" s="6" t="s">
        <v>54</v>
      </c>
      <c r="C1951" s="6" t="s">
        <v>206</v>
      </c>
      <c r="D1951" s="6" t="s">
        <v>211</v>
      </c>
      <c r="E1951" s="6">
        <v>4.97</v>
      </c>
    </row>
    <row r="1952">
      <c r="A1952" s="3">
        <v>117686.0</v>
      </c>
      <c r="B1952" s="4" t="s">
        <v>54</v>
      </c>
      <c r="C1952" s="4" t="s">
        <v>206</v>
      </c>
      <c r="D1952" s="4" t="s">
        <v>211</v>
      </c>
      <c r="E1952" s="4">
        <v>4.37</v>
      </c>
    </row>
    <row r="1953">
      <c r="A1953" s="5">
        <v>89299.0</v>
      </c>
      <c r="B1953" s="6" t="s">
        <v>54</v>
      </c>
      <c r="C1953" s="6" t="s">
        <v>206</v>
      </c>
      <c r="D1953" s="6" t="s">
        <v>211</v>
      </c>
      <c r="E1953" s="6">
        <v>3.11</v>
      </c>
    </row>
    <row r="1954">
      <c r="A1954" s="3">
        <v>11823.0</v>
      </c>
      <c r="B1954" s="4" t="s">
        <v>54</v>
      </c>
      <c r="C1954" s="4" t="s">
        <v>206</v>
      </c>
      <c r="D1954" s="4" t="s">
        <v>211</v>
      </c>
      <c r="E1954" s="4">
        <v>6.91</v>
      </c>
    </row>
    <row r="1955">
      <c r="A1955" s="5">
        <v>117543.0</v>
      </c>
      <c r="B1955" s="6" t="s">
        <v>54</v>
      </c>
      <c r="C1955" s="6" t="s">
        <v>206</v>
      </c>
      <c r="D1955" s="6" t="s">
        <v>211</v>
      </c>
      <c r="E1955" s="6">
        <v>5.24</v>
      </c>
    </row>
    <row r="1956">
      <c r="A1956" s="3">
        <v>11765.0</v>
      </c>
      <c r="B1956" s="4" t="s">
        <v>54</v>
      </c>
      <c r="C1956" s="4" t="s">
        <v>206</v>
      </c>
      <c r="D1956" s="4" t="s">
        <v>211</v>
      </c>
      <c r="E1956" s="4">
        <v>4.14</v>
      </c>
    </row>
    <row r="1957">
      <c r="A1957" s="5">
        <v>121519.0</v>
      </c>
      <c r="B1957" s="6" t="s">
        <v>54</v>
      </c>
      <c r="C1957" s="6" t="s">
        <v>206</v>
      </c>
      <c r="D1957" s="6" t="s">
        <v>211</v>
      </c>
      <c r="E1957" s="6">
        <v>3.94</v>
      </c>
    </row>
    <row r="1958">
      <c r="A1958" s="3">
        <v>71276.0</v>
      </c>
      <c r="B1958" s="4" t="s">
        <v>54</v>
      </c>
      <c r="C1958" s="4" t="s">
        <v>206</v>
      </c>
      <c r="D1958" s="4" t="s">
        <v>211</v>
      </c>
      <c r="E1958" s="4">
        <v>3.0</v>
      </c>
    </row>
    <row r="1959">
      <c r="A1959" s="5">
        <v>120135.0</v>
      </c>
      <c r="B1959" s="6" t="s">
        <v>54</v>
      </c>
      <c r="C1959" s="6" t="s">
        <v>206</v>
      </c>
      <c r="D1959" s="6" t="s">
        <v>211</v>
      </c>
      <c r="E1959" s="6">
        <v>3.67</v>
      </c>
    </row>
    <row r="1960">
      <c r="A1960" s="3">
        <v>116793.0</v>
      </c>
      <c r="B1960" s="4" t="s">
        <v>54</v>
      </c>
      <c r="C1960" s="4" t="s">
        <v>206</v>
      </c>
      <c r="D1960" s="4" t="s">
        <v>211</v>
      </c>
      <c r="E1960" s="4">
        <v>4.26</v>
      </c>
    </row>
    <row r="1961">
      <c r="A1961" s="5">
        <v>11774.0</v>
      </c>
      <c r="B1961" s="6" t="s">
        <v>54</v>
      </c>
      <c r="C1961" s="6" t="s">
        <v>206</v>
      </c>
      <c r="D1961" s="6" t="s">
        <v>211</v>
      </c>
      <c r="E1961" s="6">
        <v>2.48</v>
      </c>
    </row>
    <row r="1962">
      <c r="A1962" s="3">
        <v>11900.0</v>
      </c>
      <c r="B1962" s="4" t="s">
        <v>54</v>
      </c>
      <c r="C1962" s="4" t="s">
        <v>206</v>
      </c>
      <c r="D1962" s="4" t="s">
        <v>211</v>
      </c>
      <c r="E1962" s="4">
        <v>3.45</v>
      </c>
    </row>
    <row r="1963">
      <c r="A1963" s="5">
        <v>11809.0</v>
      </c>
      <c r="B1963" s="6" t="s">
        <v>54</v>
      </c>
      <c r="C1963" s="6" t="s">
        <v>206</v>
      </c>
      <c r="D1963" s="6" t="s">
        <v>211</v>
      </c>
      <c r="E1963" s="6">
        <v>3.46</v>
      </c>
    </row>
    <row r="1964">
      <c r="A1964" s="3">
        <v>117642.0</v>
      </c>
      <c r="B1964" s="4" t="s">
        <v>54</v>
      </c>
      <c r="C1964" s="4" t="s">
        <v>206</v>
      </c>
      <c r="D1964" s="4" t="s">
        <v>211</v>
      </c>
      <c r="E1964" s="4">
        <v>6.0</v>
      </c>
    </row>
    <row r="1965">
      <c r="A1965" s="5">
        <v>71259.0</v>
      </c>
      <c r="B1965" s="6" t="s">
        <v>54</v>
      </c>
      <c r="C1965" s="6" t="s">
        <v>206</v>
      </c>
      <c r="D1965" s="6" t="s">
        <v>211</v>
      </c>
      <c r="E1965" s="6">
        <v>4.62</v>
      </c>
    </row>
    <row r="1966">
      <c r="A1966" s="3">
        <v>79047.0</v>
      </c>
      <c r="B1966" s="4" t="s">
        <v>54</v>
      </c>
      <c r="C1966" s="4" t="s">
        <v>206</v>
      </c>
      <c r="D1966" s="4" t="s">
        <v>211</v>
      </c>
      <c r="E1966" s="4">
        <v>7.52</v>
      </c>
    </row>
    <row r="1967">
      <c r="A1967" s="5">
        <v>11796.0</v>
      </c>
      <c r="B1967" s="6" t="s">
        <v>54</v>
      </c>
      <c r="C1967" s="6" t="s">
        <v>206</v>
      </c>
      <c r="D1967" s="6" t="s">
        <v>211</v>
      </c>
      <c r="E1967" s="6">
        <v>2.75</v>
      </c>
    </row>
    <row r="1968">
      <c r="A1968" s="3">
        <v>79043.0</v>
      </c>
      <c r="B1968" s="4" t="s">
        <v>54</v>
      </c>
      <c r="C1968" s="4" t="s">
        <v>206</v>
      </c>
      <c r="D1968" s="4" t="s">
        <v>211</v>
      </c>
      <c r="E1968" s="4">
        <v>7.19</v>
      </c>
    </row>
    <row r="1969">
      <c r="A1969" s="5">
        <v>89246.0</v>
      </c>
      <c r="B1969" s="6" t="s">
        <v>54</v>
      </c>
      <c r="C1969" s="6" t="s">
        <v>206</v>
      </c>
      <c r="D1969" s="6" t="s">
        <v>211</v>
      </c>
      <c r="E1969" s="6">
        <v>3.8</v>
      </c>
    </row>
    <row r="1970">
      <c r="A1970" s="3">
        <v>71275.0</v>
      </c>
      <c r="B1970" s="4" t="s">
        <v>54</v>
      </c>
      <c r="C1970" s="4" t="s">
        <v>206</v>
      </c>
      <c r="D1970" s="4" t="s">
        <v>211</v>
      </c>
      <c r="E1970" s="4">
        <v>4.12</v>
      </c>
    </row>
    <row r="1971">
      <c r="A1971" s="5">
        <v>11800.0</v>
      </c>
      <c r="B1971" s="6" t="s">
        <v>54</v>
      </c>
      <c r="C1971" s="6" t="s">
        <v>206</v>
      </c>
      <c r="D1971" s="6" t="s">
        <v>211</v>
      </c>
      <c r="E1971" s="6">
        <v>4.61</v>
      </c>
    </row>
    <row r="1972">
      <c r="A1972" s="3">
        <v>11818.0</v>
      </c>
      <c r="B1972" s="4" t="s">
        <v>54</v>
      </c>
      <c r="C1972" s="4" t="s">
        <v>206</v>
      </c>
      <c r="D1972" s="4" t="s">
        <v>211</v>
      </c>
      <c r="E1972" s="4">
        <v>4.14</v>
      </c>
    </row>
    <row r="1973">
      <c r="A1973" s="5">
        <v>11795.0</v>
      </c>
      <c r="B1973" s="6" t="s">
        <v>54</v>
      </c>
      <c r="C1973" s="6" t="s">
        <v>206</v>
      </c>
      <c r="D1973" s="6" t="s">
        <v>211</v>
      </c>
      <c r="E1973" s="6">
        <v>4.15</v>
      </c>
    </row>
    <row r="1974">
      <c r="A1974" s="3">
        <v>117641.0</v>
      </c>
      <c r="B1974" s="4" t="s">
        <v>54</v>
      </c>
      <c r="C1974" s="4" t="s">
        <v>206</v>
      </c>
      <c r="D1974" s="4" t="s">
        <v>211</v>
      </c>
      <c r="E1974" s="4">
        <v>4.37</v>
      </c>
    </row>
    <row r="1975">
      <c r="A1975" s="5">
        <v>82579.0</v>
      </c>
      <c r="B1975" s="6" t="s">
        <v>54</v>
      </c>
      <c r="C1975" s="6" t="s">
        <v>206</v>
      </c>
      <c r="D1975" s="6" t="s">
        <v>211</v>
      </c>
      <c r="E1975" s="6">
        <v>5.96</v>
      </c>
    </row>
    <row r="1976">
      <c r="A1976" s="3">
        <v>120153.0</v>
      </c>
      <c r="B1976" s="4" t="s">
        <v>54</v>
      </c>
      <c r="C1976" s="4" t="s">
        <v>206</v>
      </c>
      <c r="D1976" s="4" t="s">
        <v>211</v>
      </c>
      <c r="E1976" s="4">
        <v>2.07</v>
      </c>
    </row>
    <row r="1977">
      <c r="A1977" s="5">
        <v>81320.0</v>
      </c>
      <c r="B1977" s="6" t="s">
        <v>54</v>
      </c>
      <c r="C1977" s="6" t="s">
        <v>206</v>
      </c>
      <c r="D1977" s="6" t="s">
        <v>211</v>
      </c>
      <c r="E1977" s="6">
        <v>3.76</v>
      </c>
    </row>
    <row r="1978">
      <c r="A1978" s="3">
        <v>121517.0</v>
      </c>
      <c r="B1978" s="4" t="s">
        <v>54</v>
      </c>
      <c r="C1978" s="4" t="s">
        <v>206</v>
      </c>
      <c r="D1978" s="4" t="s">
        <v>211</v>
      </c>
      <c r="E1978" s="4">
        <v>5.75</v>
      </c>
    </row>
    <row r="1979">
      <c r="A1979" s="5">
        <v>89276.0</v>
      </c>
      <c r="B1979" s="6" t="s">
        <v>54</v>
      </c>
      <c r="C1979" s="6" t="s">
        <v>206</v>
      </c>
      <c r="D1979" s="6" t="s">
        <v>211</v>
      </c>
      <c r="E1979" s="6">
        <v>3.35</v>
      </c>
    </row>
    <row r="1980">
      <c r="A1980" s="3">
        <v>11822.0</v>
      </c>
      <c r="B1980" s="4" t="s">
        <v>54</v>
      </c>
      <c r="C1980" s="4" t="s">
        <v>206</v>
      </c>
      <c r="D1980" s="4" t="s">
        <v>211</v>
      </c>
      <c r="E1980" s="4">
        <v>8.99</v>
      </c>
    </row>
    <row r="1981">
      <c r="A1981" s="5">
        <v>11771.0</v>
      </c>
      <c r="B1981" s="6" t="s">
        <v>54</v>
      </c>
      <c r="C1981" s="6" t="s">
        <v>206</v>
      </c>
      <c r="D1981" s="6" t="s">
        <v>211</v>
      </c>
      <c r="E1981" s="6">
        <v>2.76</v>
      </c>
    </row>
    <row r="1982">
      <c r="A1982" s="3">
        <v>89295.0</v>
      </c>
      <c r="B1982" s="4" t="s">
        <v>54</v>
      </c>
      <c r="C1982" s="4" t="s">
        <v>206</v>
      </c>
      <c r="D1982" s="4" t="s">
        <v>211</v>
      </c>
      <c r="E1982" s="4">
        <v>4.04</v>
      </c>
    </row>
    <row r="1983">
      <c r="A1983" s="5">
        <v>117684.0</v>
      </c>
      <c r="B1983" s="6" t="s">
        <v>54</v>
      </c>
      <c r="C1983" s="6" t="s">
        <v>206</v>
      </c>
      <c r="D1983" s="6" t="s">
        <v>211</v>
      </c>
      <c r="E1983" s="6">
        <v>5.45</v>
      </c>
    </row>
    <row r="1984">
      <c r="A1984" s="3">
        <v>11817.0</v>
      </c>
      <c r="B1984" s="4" t="s">
        <v>54</v>
      </c>
      <c r="C1984" s="4" t="s">
        <v>206</v>
      </c>
      <c r="D1984" s="4" t="s">
        <v>211</v>
      </c>
      <c r="E1984" s="4">
        <v>5.52</v>
      </c>
    </row>
    <row r="1985">
      <c r="A1985" s="5">
        <v>120697.0</v>
      </c>
      <c r="B1985" s="6" t="s">
        <v>54</v>
      </c>
      <c r="C1985" s="6" t="s">
        <v>206</v>
      </c>
      <c r="D1985" s="6" t="s">
        <v>211</v>
      </c>
      <c r="E1985" s="6">
        <v>9.4</v>
      </c>
    </row>
    <row r="1986">
      <c r="A1986" s="3">
        <v>11783.0</v>
      </c>
      <c r="B1986" s="4" t="s">
        <v>54</v>
      </c>
      <c r="C1986" s="4" t="s">
        <v>206</v>
      </c>
      <c r="D1986" s="4" t="s">
        <v>211</v>
      </c>
      <c r="E1986" s="4">
        <v>3.59</v>
      </c>
    </row>
    <row r="1987">
      <c r="A1987" s="5">
        <v>11821.0</v>
      </c>
      <c r="B1987" s="6" t="s">
        <v>54</v>
      </c>
      <c r="C1987" s="6" t="s">
        <v>206</v>
      </c>
      <c r="D1987" s="6" t="s">
        <v>211</v>
      </c>
      <c r="E1987" s="6">
        <v>6.12</v>
      </c>
    </row>
    <row r="1988">
      <c r="A1988" s="3">
        <v>11814.0</v>
      </c>
      <c r="B1988" s="4" t="s">
        <v>54</v>
      </c>
      <c r="C1988" s="4" t="s">
        <v>206</v>
      </c>
      <c r="D1988" s="4" t="s">
        <v>212</v>
      </c>
      <c r="E1988" s="4">
        <v>5.52</v>
      </c>
    </row>
    <row r="1989">
      <c r="A1989" s="5">
        <v>71242.0</v>
      </c>
      <c r="B1989" s="6" t="s">
        <v>54</v>
      </c>
      <c r="C1989" s="6" t="s">
        <v>206</v>
      </c>
      <c r="D1989" s="6" t="s">
        <v>212</v>
      </c>
      <c r="E1989" s="6">
        <v>2.78</v>
      </c>
    </row>
    <row r="1990">
      <c r="A1990" s="3">
        <v>120449.0</v>
      </c>
      <c r="B1990" s="4" t="s">
        <v>140</v>
      </c>
      <c r="C1990" s="4" t="s">
        <v>213</v>
      </c>
      <c r="D1990" s="4" t="s">
        <v>214</v>
      </c>
      <c r="E1990" s="4">
        <v>1.41</v>
      </c>
    </row>
    <row r="1991">
      <c r="A1991" s="5">
        <v>23682.0</v>
      </c>
      <c r="B1991" s="6" t="s">
        <v>140</v>
      </c>
      <c r="C1991" s="6" t="s">
        <v>213</v>
      </c>
      <c r="D1991" s="6" t="s">
        <v>214</v>
      </c>
      <c r="E1991" s="6">
        <v>1.69</v>
      </c>
    </row>
    <row r="1992">
      <c r="A1992" s="3">
        <v>119076.0</v>
      </c>
      <c r="B1992" s="4" t="s">
        <v>140</v>
      </c>
      <c r="C1992" s="4" t="s">
        <v>213</v>
      </c>
      <c r="D1992" s="4" t="s">
        <v>214</v>
      </c>
      <c r="E1992" s="4">
        <v>1.14</v>
      </c>
    </row>
    <row r="1993">
      <c r="A1993" s="5">
        <v>9139.0</v>
      </c>
      <c r="B1993" s="6" t="s">
        <v>140</v>
      </c>
      <c r="C1993" s="6" t="s">
        <v>213</v>
      </c>
      <c r="D1993" s="6" t="s">
        <v>214</v>
      </c>
      <c r="E1993" s="6">
        <v>1.16</v>
      </c>
    </row>
    <row r="1994">
      <c r="A1994" s="3">
        <v>9138.0</v>
      </c>
      <c r="B1994" s="4" t="s">
        <v>140</v>
      </c>
      <c r="C1994" s="4" t="s">
        <v>213</v>
      </c>
      <c r="D1994" s="4" t="s">
        <v>214</v>
      </c>
      <c r="E1994" s="4">
        <v>1.16</v>
      </c>
    </row>
    <row r="1995">
      <c r="A1995" s="5">
        <v>109483.0</v>
      </c>
      <c r="B1995" s="6" t="s">
        <v>140</v>
      </c>
      <c r="C1995" s="6" t="s">
        <v>213</v>
      </c>
      <c r="D1995" s="6" t="s">
        <v>214</v>
      </c>
      <c r="E1995" s="6">
        <v>2.14</v>
      </c>
    </row>
    <row r="1996">
      <c r="A1996" s="3">
        <v>120438.0</v>
      </c>
      <c r="B1996" s="4" t="s">
        <v>140</v>
      </c>
      <c r="C1996" s="4" t="s">
        <v>213</v>
      </c>
      <c r="D1996" s="4" t="s">
        <v>214</v>
      </c>
      <c r="E1996" s="4">
        <v>1.41</v>
      </c>
    </row>
    <row r="1997">
      <c r="A1997" s="5">
        <v>120439.0</v>
      </c>
      <c r="B1997" s="6" t="s">
        <v>140</v>
      </c>
      <c r="C1997" s="6" t="s">
        <v>213</v>
      </c>
      <c r="D1997" s="6" t="s">
        <v>214</v>
      </c>
      <c r="E1997" s="6">
        <v>1.41</v>
      </c>
    </row>
    <row r="1998">
      <c r="A1998" s="3">
        <v>23681.0</v>
      </c>
      <c r="B1998" s="4" t="s">
        <v>140</v>
      </c>
      <c r="C1998" s="4" t="s">
        <v>213</v>
      </c>
      <c r="D1998" s="4" t="s">
        <v>214</v>
      </c>
      <c r="E1998" s="4">
        <v>1.69</v>
      </c>
    </row>
    <row r="1999">
      <c r="A1999" s="5">
        <v>89564.0</v>
      </c>
      <c r="B1999" s="6" t="s">
        <v>140</v>
      </c>
      <c r="C1999" s="6" t="s">
        <v>213</v>
      </c>
      <c r="D1999" s="6" t="s">
        <v>214</v>
      </c>
      <c r="E1999" s="6">
        <v>1.39</v>
      </c>
    </row>
    <row r="2000">
      <c r="A2000" s="3">
        <v>111962.0</v>
      </c>
      <c r="B2000" s="4" t="s">
        <v>140</v>
      </c>
      <c r="C2000" s="4" t="s">
        <v>213</v>
      </c>
      <c r="D2000" s="4" t="s">
        <v>214</v>
      </c>
      <c r="E2000" s="4">
        <v>1.84</v>
      </c>
    </row>
    <row r="2001">
      <c r="A2001" s="5">
        <v>124771.0</v>
      </c>
      <c r="B2001" s="6" t="s">
        <v>140</v>
      </c>
      <c r="C2001" s="6" t="s">
        <v>213</v>
      </c>
      <c r="D2001" s="6" t="s">
        <v>214</v>
      </c>
      <c r="E2001" s="6">
        <v>3.14</v>
      </c>
    </row>
    <row r="2002">
      <c r="A2002" s="3">
        <v>120446.0</v>
      </c>
      <c r="B2002" s="4" t="s">
        <v>140</v>
      </c>
      <c r="C2002" s="4" t="s">
        <v>213</v>
      </c>
      <c r="D2002" s="4" t="s">
        <v>214</v>
      </c>
      <c r="E2002" s="4">
        <v>1.41</v>
      </c>
    </row>
    <row r="2003">
      <c r="A2003" s="5">
        <v>111973.0</v>
      </c>
      <c r="B2003" s="6" t="s">
        <v>140</v>
      </c>
      <c r="C2003" s="6" t="s">
        <v>213</v>
      </c>
      <c r="D2003" s="6" t="s">
        <v>214</v>
      </c>
      <c r="E2003" s="6">
        <v>0.89</v>
      </c>
    </row>
    <row r="2004">
      <c r="A2004" s="3">
        <v>120437.0</v>
      </c>
      <c r="B2004" s="4" t="s">
        <v>140</v>
      </c>
      <c r="C2004" s="4" t="s">
        <v>213</v>
      </c>
      <c r="D2004" s="4" t="s">
        <v>214</v>
      </c>
      <c r="E2004" s="4">
        <v>1.41</v>
      </c>
    </row>
    <row r="2005">
      <c r="A2005" s="5">
        <v>124769.0</v>
      </c>
      <c r="B2005" s="6" t="s">
        <v>140</v>
      </c>
      <c r="C2005" s="6" t="s">
        <v>213</v>
      </c>
      <c r="D2005" s="6" t="s">
        <v>214</v>
      </c>
      <c r="E2005" s="6">
        <v>1.91</v>
      </c>
    </row>
    <row r="2006">
      <c r="A2006" s="3">
        <v>111972.0</v>
      </c>
      <c r="B2006" s="4" t="s">
        <v>140</v>
      </c>
      <c r="C2006" s="4" t="s">
        <v>213</v>
      </c>
      <c r="D2006" s="4" t="s">
        <v>214</v>
      </c>
      <c r="E2006" s="4">
        <v>0.89</v>
      </c>
    </row>
    <row r="2007">
      <c r="A2007" s="5">
        <v>47390.0</v>
      </c>
      <c r="B2007" s="6" t="s">
        <v>140</v>
      </c>
      <c r="C2007" s="6" t="s">
        <v>213</v>
      </c>
      <c r="D2007" s="6" t="s">
        <v>215</v>
      </c>
      <c r="E2007" s="6">
        <v>1.11</v>
      </c>
    </row>
    <row r="2008">
      <c r="A2008" s="3">
        <v>27047.0</v>
      </c>
      <c r="B2008" s="4" t="s">
        <v>140</v>
      </c>
      <c r="C2008" s="4" t="s">
        <v>213</v>
      </c>
      <c r="D2008" s="4" t="s">
        <v>216</v>
      </c>
      <c r="E2008" s="4">
        <v>2.69</v>
      </c>
    </row>
    <row r="2009">
      <c r="A2009" s="5">
        <v>68713.0</v>
      </c>
      <c r="B2009" s="6" t="s">
        <v>140</v>
      </c>
      <c r="C2009" s="6" t="s">
        <v>213</v>
      </c>
      <c r="D2009" s="6" t="s">
        <v>216</v>
      </c>
      <c r="E2009" s="6">
        <v>3.55</v>
      </c>
    </row>
    <row r="2010">
      <c r="A2010" s="3">
        <v>120568.0</v>
      </c>
      <c r="B2010" s="4" t="s">
        <v>140</v>
      </c>
      <c r="C2010" s="4" t="s">
        <v>213</v>
      </c>
      <c r="D2010" s="4" t="s">
        <v>217</v>
      </c>
      <c r="E2010" s="4">
        <v>1.68</v>
      </c>
    </row>
    <row r="2011">
      <c r="A2011" s="5">
        <v>120567.0</v>
      </c>
      <c r="B2011" s="6" t="s">
        <v>140</v>
      </c>
      <c r="C2011" s="6" t="s">
        <v>213</v>
      </c>
      <c r="D2011" s="6" t="s">
        <v>217</v>
      </c>
      <c r="E2011" s="6">
        <v>1.68</v>
      </c>
    </row>
    <row r="2012">
      <c r="A2012" s="3">
        <v>77038.0</v>
      </c>
      <c r="B2012" s="4" t="s">
        <v>140</v>
      </c>
      <c r="C2012" s="4" t="s">
        <v>213</v>
      </c>
      <c r="D2012" s="4" t="s">
        <v>217</v>
      </c>
      <c r="E2012" s="4">
        <v>1.35</v>
      </c>
    </row>
    <row r="2013">
      <c r="A2013" s="5">
        <v>87760.0</v>
      </c>
      <c r="B2013" s="6" t="s">
        <v>73</v>
      </c>
      <c r="C2013" s="6" t="s">
        <v>218</v>
      </c>
      <c r="D2013" s="6" t="s">
        <v>219</v>
      </c>
      <c r="E2013" s="6">
        <v>2.23</v>
      </c>
    </row>
    <row r="2014">
      <c r="A2014" s="3">
        <v>122612.0</v>
      </c>
      <c r="B2014" s="4" t="s">
        <v>73</v>
      </c>
      <c r="C2014" s="4" t="s">
        <v>218</v>
      </c>
      <c r="D2014" s="4" t="s">
        <v>219</v>
      </c>
      <c r="E2014" s="4">
        <v>1.44</v>
      </c>
    </row>
    <row r="2015">
      <c r="A2015" s="5">
        <v>110655.0</v>
      </c>
      <c r="B2015" s="6" t="s">
        <v>73</v>
      </c>
      <c r="C2015" s="6" t="s">
        <v>218</v>
      </c>
      <c r="D2015" s="6" t="s">
        <v>219</v>
      </c>
      <c r="E2015" s="6">
        <v>3.12</v>
      </c>
    </row>
    <row r="2016">
      <c r="A2016" s="3">
        <v>87785.0</v>
      </c>
      <c r="B2016" s="4" t="s">
        <v>73</v>
      </c>
      <c r="C2016" s="4" t="s">
        <v>218</v>
      </c>
      <c r="D2016" s="4" t="s">
        <v>219</v>
      </c>
      <c r="E2016" s="4">
        <v>2.16</v>
      </c>
    </row>
    <row r="2017">
      <c r="A2017" s="5">
        <v>122629.0</v>
      </c>
      <c r="B2017" s="6" t="s">
        <v>73</v>
      </c>
      <c r="C2017" s="6" t="s">
        <v>218</v>
      </c>
      <c r="D2017" s="6" t="s">
        <v>219</v>
      </c>
      <c r="E2017" s="6">
        <v>2.82</v>
      </c>
    </row>
    <row r="2018">
      <c r="A2018" s="3">
        <v>122614.0</v>
      </c>
      <c r="B2018" s="4" t="s">
        <v>73</v>
      </c>
      <c r="C2018" s="4" t="s">
        <v>218</v>
      </c>
      <c r="D2018" s="4" t="s">
        <v>219</v>
      </c>
      <c r="E2018" s="4">
        <v>1.44</v>
      </c>
    </row>
    <row r="2019">
      <c r="A2019" s="5">
        <v>122788.0</v>
      </c>
      <c r="B2019" s="6" t="s">
        <v>73</v>
      </c>
      <c r="C2019" s="6" t="s">
        <v>218</v>
      </c>
      <c r="D2019" s="6" t="s">
        <v>219</v>
      </c>
      <c r="E2019" s="6">
        <v>2.42</v>
      </c>
    </row>
    <row r="2020">
      <c r="A2020" s="3">
        <v>20226.0</v>
      </c>
      <c r="B2020" s="4" t="s">
        <v>73</v>
      </c>
      <c r="C2020" s="4" t="s">
        <v>218</v>
      </c>
      <c r="D2020" s="4" t="s">
        <v>219</v>
      </c>
      <c r="E2020" s="4">
        <v>3.76</v>
      </c>
    </row>
    <row r="2021">
      <c r="A2021" s="5">
        <v>120894.0</v>
      </c>
      <c r="B2021" s="6" t="s">
        <v>73</v>
      </c>
      <c r="C2021" s="6" t="s">
        <v>218</v>
      </c>
      <c r="D2021" s="6" t="s">
        <v>219</v>
      </c>
      <c r="E2021" s="6">
        <v>3.49</v>
      </c>
    </row>
    <row r="2022">
      <c r="A2022" s="3">
        <v>46762.0</v>
      </c>
      <c r="B2022" s="4" t="s">
        <v>73</v>
      </c>
      <c r="C2022" s="4" t="s">
        <v>218</v>
      </c>
      <c r="D2022" s="4" t="s">
        <v>219</v>
      </c>
      <c r="E2022" s="4">
        <v>1.91</v>
      </c>
    </row>
    <row r="2023">
      <c r="A2023" s="5">
        <v>118212.0</v>
      </c>
      <c r="B2023" s="6" t="s">
        <v>73</v>
      </c>
      <c r="C2023" s="6" t="s">
        <v>218</v>
      </c>
      <c r="D2023" s="6" t="s">
        <v>219</v>
      </c>
      <c r="E2023" s="6">
        <v>2.88</v>
      </c>
    </row>
    <row r="2024">
      <c r="A2024" s="3">
        <v>150950.0</v>
      </c>
      <c r="B2024" s="4" t="s">
        <v>73</v>
      </c>
      <c r="C2024" s="4" t="s">
        <v>218</v>
      </c>
      <c r="D2024" s="4" t="s">
        <v>219</v>
      </c>
      <c r="E2024" s="4">
        <v>2.2</v>
      </c>
    </row>
    <row r="2025">
      <c r="A2025" s="5">
        <v>190106.0</v>
      </c>
      <c r="B2025" s="6" t="s">
        <v>73</v>
      </c>
      <c r="C2025" s="6" t="s">
        <v>218</v>
      </c>
      <c r="D2025" s="6" t="s">
        <v>219</v>
      </c>
      <c r="E2025" s="6">
        <v>2.0</v>
      </c>
    </row>
    <row r="2026">
      <c r="A2026" s="3">
        <v>79810.0</v>
      </c>
      <c r="B2026" s="4" t="s">
        <v>73</v>
      </c>
      <c r="C2026" s="4" t="s">
        <v>218</v>
      </c>
      <c r="D2026" s="4" t="s">
        <v>219</v>
      </c>
      <c r="E2026" s="4">
        <v>2.1</v>
      </c>
    </row>
    <row r="2027">
      <c r="A2027" s="5">
        <v>82459.0</v>
      </c>
      <c r="B2027" s="6" t="s">
        <v>73</v>
      </c>
      <c r="C2027" s="6" t="s">
        <v>218</v>
      </c>
      <c r="D2027" s="6" t="s">
        <v>219</v>
      </c>
      <c r="E2027" s="6">
        <v>1.97</v>
      </c>
    </row>
    <row r="2028">
      <c r="A2028" s="3">
        <v>49360.0</v>
      </c>
      <c r="B2028" s="4" t="s">
        <v>73</v>
      </c>
      <c r="C2028" s="4" t="s">
        <v>218</v>
      </c>
      <c r="D2028" s="4" t="s">
        <v>219</v>
      </c>
      <c r="E2028" s="4">
        <v>2.91</v>
      </c>
    </row>
    <row r="2029">
      <c r="A2029" s="5">
        <v>194507.0</v>
      </c>
      <c r="B2029" s="6" t="s">
        <v>73</v>
      </c>
      <c r="C2029" s="6" t="s">
        <v>218</v>
      </c>
      <c r="D2029" s="6" t="s">
        <v>219</v>
      </c>
      <c r="E2029" s="6">
        <v>2.64</v>
      </c>
    </row>
    <row r="2030">
      <c r="A2030" s="3">
        <v>82453.0</v>
      </c>
      <c r="B2030" s="4" t="s">
        <v>73</v>
      </c>
      <c r="C2030" s="4" t="s">
        <v>218</v>
      </c>
      <c r="D2030" s="4" t="s">
        <v>219</v>
      </c>
      <c r="E2030" s="4">
        <v>1.97</v>
      </c>
    </row>
    <row r="2031">
      <c r="A2031" s="5">
        <v>79669.0</v>
      </c>
      <c r="B2031" s="6" t="s">
        <v>73</v>
      </c>
      <c r="C2031" s="6" t="s">
        <v>218</v>
      </c>
      <c r="D2031" s="6" t="s">
        <v>219</v>
      </c>
      <c r="E2031" s="6">
        <v>2.1</v>
      </c>
    </row>
    <row r="2032">
      <c r="A2032" s="3">
        <v>122294.0</v>
      </c>
      <c r="B2032" s="4" t="s">
        <v>73</v>
      </c>
      <c r="C2032" s="4" t="s">
        <v>218</v>
      </c>
      <c r="D2032" s="4" t="s">
        <v>219</v>
      </c>
      <c r="E2032" s="4">
        <v>0.82</v>
      </c>
    </row>
    <row r="2033">
      <c r="A2033" s="5">
        <v>73245.0</v>
      </c>
      <c r="B2033" s="6" t="s">
        <v>73</v>
      </c>
      <c r="C2033" s="6" t="s">
        <v>218</v>
      </c>
      <c r="D2033" s="6" t="s">
        <v>219</v>
      </c>
      <c r="E2033" s="6">
        <v>0.9</v>
      </c>
    </row>
    <row r="2034">
      <c r="A2034" s="3">
        <v>122082.0</v>
      </c>
      <c r="B2034" s="4" t="s">
        <v>73</v>
      </c>
      <c r="C2034" s="4" t="s">
        <v>218</v>
      </c>
      <c r="D2034" s="4" t="s">
        <v>219</v>
      </c>
      <c r="E2034" s="4">
        <v>2.0</v>
      </c>
    </row>
    <row r="2035">
      <c r="A2035" s="5">
        <v>194501.0</v>
      </c>
      <c r="B2035" s="6" t="s">
        <v>73</v>
      </c>
      <c r="C2035" s="6" t="s">
        <v>218</v>
      </c>
      <c r="D2035" s="6" t="s">
        <v>219</v>
      </c>
      <c r="E2035" s="6">
        <v>2.64</v>
      </c>
    </row>
    <row r="2036">
      <c r="A2036" s="3">
        <v>79105.0</v>
      </c>
      <c r="B2036" s="4" t="s">
        <v>73</v>
      </c>
      <c r="C2036" s="4" t="s">
        <v>218</v>
      </c>
      <c r="D2036" s="4" t="s">
        <v>219</v>
      </c>
      <c r="E2036" s="4">
        <v>2.07</v>
      </c>
    </row>
    <row r="2037">
      <c r="A2037" s="5">
        <v>87769.0</v>
      </c>
      <c r="B2037" s="6" t="s">
        <v>73</v>
      </c>
      <c r="C2037" s="6" t="s">
        <v>218</v>
      </c>
      <c r="D2037" s="6" t="s">
        <v>219</v>
      </c>
      <c r="E2037" s="6">
        <v>2.23</v>
      </c>
    </row>
    <row r="2038">
      <c r="A2038" s="3">
        <v>9734.0</v>
      </c>
      <c r="B2038" s="4" t="s">
        <v>73</v>
      </c>
      <c r="C2038" s="4" t="s">
        <v>218</v>
      </c>
      <c r="D2038" s="4" t="s">
        <v>219</v>
      </c>
      <c r="E2038" s="4">
        <v>2.0</v>
      </c>
    </row>
    <row r="2039">
      <c r="A2039" s="5">
        <v>149615.0</v>
      </c>
      <c r="B2039" s="6" t="s">
        <v>73</v>
      </c>
      <c r="C2039" s="6" t="s">
        <v>218</v>
      </c>
      <c r="D2039" s="6" t="s">
        <v>219</v>
      </c>
      <c r="E2039" s="6">
        <v>2.37</v>
      </c>
    </row>
    <row r="2040">
      <c r="A2040" s="3">
        <v>108966.0</v>
      </c>
      <c r="B2040" s="4" t="s">
        <v>73</v>
      </c>
      <c r="C2040" s="4" t="s">
        <v>218</v>
      </c>
      <c r="D2040" s="4" t="s">
        <v>219</v>
      </c>
      <c r="E2040" s="4">
        <v>2.23</v>
      </c>
    </row>
    <row r="2041">
      <c r="A2041" s="5">
        <v>116943.0</v>
      </c>
      <c r="B2041" s="6" t="s">
        <v>73</v>
      </c>
      <c r="C2041" s="6" t="s">
        <v>218</v>
      </c>
      <c r="D2041" s="6" t="s">
        <v>219</v>
      </c>
      <c r="E2041" s="6">
        <v>2.23</v>
      </c>
    </row>
    <row r="2042">
      <c r="A2042" s="3">
        <v>46769.0</v>
      </c>
      <c r="B2042" s="4" t="s">
        <v>73</v>
      </c>
      <c r="C2042" s="4" t="s">
        <v>218</v>
      </c>
      <c r="D2042" s="4" t="s">
        <v>219</v>
      </c>
      <c r="E2042" s="4">
        <v>1.91</v>
      </c>
    </row>
    <row r="2043">
      <c r="A2043" s="5">
        <v>87766.0</v>
      </c>
      <c r="B2043" s="6" t="s">
        <v>73</v>
      </c>
      <c r="C2043" s="6" t="s">
        <v>218</v>
      </c>
      <c r="D2043" s="6" t="s">
        <v>219</v>
      </c>
      <c r="E2043" s="6">
        <v>2.23</v>
      </c>
    </row>
    <row r="2044">
      <c r="A2044" s="3">
        <v>110701.0</v>
      </c>
      <c r="B2044" s="4" t="s">
        <v>73</v>
      </c>
      <c r="C2044" s="4" t="s">
        <v>218</v>
      </c>
      <c r="D2044" s="4" t="s">
        <v>219</v>
      </c>
      <c r="E2044" s="4">
        <v>1.69</v>
      </c>
    </row>
    <row r="2045">
      <c r="A2045" s="5">
        <v>4205.0</v>
      </c>
      <c r="B2045" s="6" t="s">
        <v>73</v>
      </c>
      <c r="C2045" s="6" t="s">
        <v>218</v>
      </c>
      <c r="D2045" s="6" t="s">
        <v>219</v>
      </c>
      <c r="E2045" s="6">
        <v>2.53</v>
      </c>
    </row>
    <row r="2046">
      <c r="A2046" s="3">
        <v>122615.0</v>
      </c>
      <c r="B2046" s="4" t="s">
        <v>73</v>
      </c>
      <c r="C2046" s="4" t="s">
        <v>218</v>
      </c>
      <c r="D2046" s="4" t="s">
        <v>219</v>
      </c>
      <c r="E2046" s="4">
        <v>1.44</v>
      </c>
    </row>
    <row r="2047">
      <c r="A2047" s="5">
        <v>87800.0</v>
      </c>
      <c r="B2047" s="6" t="s">
        <v>73</v>
      </c>
      <c r="C2047" s="6" t="s">
        <v>218</v>
      </c>
      <c r="D2047" s="6" t="s">
        <v>219</v>
      </c>
      <c r="E2047" s="6">
        <v>2.34</v>
      </c>
    </row>
    <row r="2048">
      <c r="A2048" s="3">
        <v>87801.0</v>
      </c>
      <c r="B2048" s="4" t="s">
        <v>73</v>
      </c>
      <c r="C2048" s="4" t="s">
        <v>218</v>
      </c>
      <c r="D2048" s="4" t="s">
        <v>219</v>
      </c>
      <c r="E2048" s="4">
        <v>2.23</v>
      </c>
    </row>
    <row r="2049">
      <c r="A2049" s="5">
        <v>87767.0</v>
      </c>
      <c r="B2049" s="6" t="s">
        <v>73</v>
      </c>
      <c r="C2049" s="6" t="s">
        <v>218</v>
      </c>
      <c r="D2049" s="6" t="s">
        <v>219</v>
      </c>
      <c r="E2049" s="6">
        <v>2.23</v>
      </c>
    </row>
    <row r="2050">
      <c r="A2050" s="3">
        <v>82454.0</v>
      </c>
      <c r="B2050" s="4" t="s">
        <v>73</v>
      </c>
      <c r="C2050" s="4" t="s">
        <v>218</v>
      </c>
      <c r="D2050" s="4" t="s">
        <v>219</v>
      </c>
      <c r="E2050" s="4">
        <v>1.97</v>
      </c>
    </row>
    <row r="2051">
      <c r="A2051" s="5">
        <v>194506.0</v>
      </c>
      <c r="B2051" s="6" t="s">
        <v>73</v>
      </c>
      <c r="C2051" s="6" t="s">
        <v>218</v>
      </c>
      <c r="D2051" s="6" t="s">
        <v>219</v>
      </c>
      <c r="E2051" s="6">
        <v>2.88</v>
      </c>
    </row>
    <row r="2052">
      <c r="A2052" s="3">
        <v>16240.0</v>
      </c>
      <c r="B2052" s="4" t="s">
        <v>73</v>
      </c>
      <c r="C2052" s="4" t="s">
        <v>218</v>
      </c>
      <c r="D2052" s="4" t="s">
        <v>219</v>
      </c>
      <c r="E2052" s="4">
        <v>2.64</v>
      </c>
    </row>
    <row r="2053">
      <c r="A2053" s="5">
        <v>16237.0</v>
      </c>
      <c r="B2053" s="6" t="s">
        <v>73</v>
      </c>
      <c r="C2053" s="6" t="s">
        <v>218</v>
      </c>
      <c r="D2053" s="6" t="s">
        <v>219</v>
      </c>
      <c r="E2053" s="6">
        <v>2.64</v>
      </c>
    </row>
    <row r="2054">
      <c r="A2054" s="3">
        <v>122760.0</v>
      </c>
      <c r="B2054" s="4" t="s">
        <v>73</v>
      </c>
      <c r="C2054" s="4" t="s">
        <v>218</v>
      </c>
      <c r="D2054" s="4" t="s">
        <v>219</v>
      </c>
      <c r="E2054" s="4">
        <v>2.92</v>
      </c>
    </row>
    <row r="2055">
      <c r="A2055" s="5">
        <v>82446.0</v>
      </c>
      <c r="B2055" s="6" t="s">
        <v>73</v>
      </c>
      <c r="C2055" s="6" t="s">
        <v>218</v>
      </c>
      <c r="D2055" s="6" t="s">
        <v>219</v>
      </c>
      <c r="E2055" s="6">
        <v>2.88</v>
      </c>
    </row>
    <row r="2056">
      <c r="A2056" s="3">
        <v>118333.0</v>
      </c>
      <c r="B2056" s="4" t="s">
        <v>73</v>
      </c>
      <c r="C2056" s="4" t="s">
        <v>218</v>
      </c>
      <c r="D2056" s="4" t="s">
        <v>219</v>
      </c>
      <c r="E2056" s="4">
        <v>1.44</v>
      </c>
    </row>
    <row r="2057">
      <c r="A2057" s="5">
        <v>122774.0</v>
      </c>
      <c r="B2057" s="6" t="s">
        <v>73</v>
      </c>
      <c r="C2057" s="6" t="s">
        <v>218</v>
      </c>
      <c r="D2057" s="6" t="s">
        <v>219</v>
      </c>
      <c r="E2057" s="6">
        <v>2.92</v>
      </c>
    </row>
    <row r="2058">
      <c r="A2058" s="3">
        <v>87789.0</v>
      </c>
      <c r="B2058" s="4" t="s">
        <v>73</v>
      </c>
      <c r="C2058" s="4" t="s">
        <v>218</v>
      </c>
      <c r="D2058" s="4" t="s">
        <v>219</v>
      </c>
      <c r="E2058" s="4">
        <v>2.23</v>
      </c>
    </row>
    <row r="2059">
      <c r="A2059" s="5">
        <v>111159.0</v>
      </c>
      <c r="B2059" s="6" t="s">
        <v>73</v>
      </c>
      <c r="C2059" s="6" t="s">
        <v>218</v>
      </c>
      <c r="D2059" s="6" t="s">
        <v>219</v>
      </c>
      <c r="E2059" s="6">
        <v>3.01</v>
      </c>
    </row>
    <row r="2060">
      <c r="A2060" s="3">
        <v>194500.0</v>
      </c>
      <c r="B2060" s="4" t="s">
        <v>73</v>
      </c>
      <c r="C2060" s="4" t="s">
        <v>218</v>
      </c>
      <c r="D2060" s="4" t="s">
        <v>219</v>
      </c>
      <c r="E2060" s="4">
        <v>2.4</v>
      </c>
    </row>
    <row r="2061">
      <c r="A2061" s="5">
        <v>80432.0</v>
      </c>
      <c r="B2061" s="6" t="s">
        <v>73</v>
      </c>
      <c r="C2061" s="6" t="s">
        <v>218</v>
      </c>
      <c r="D2061" s="6" t="s">
        <v>219</v>
      </c>
      <c r="E2061" s="6">
        <v>3.4</v>
      </c>
    </row>
    <row r="2062">
      <c r="A2062" s="3">
        <v>122636.0</v>
      </c>
      <c r="B2062" s="4" t="s">
        <v>73</v>
      </c>
      <c r="C2062" s="4" t="s">
        <v>218</v>
      </c>
      <c r="D2062" s="4" t="s">
        <v>219</v>
      </c>
      <c r="E2062" s="4">
        <v>3.43</v>
      </c>
    </row>
    <row r="2063">
      <c r="A2063" s="5">
        <v>110697.0</v>
      </c>
      <c r="B2063" s="6" t="s">
        <v>73</v>
      </c>
      <c r="C2063" s="6" t="s">
        <v>218</v>
      </c>
      <c r="D2063" s="6" t="s">
        <v>219</v>
      </c>
      <c r="E2063" s="6">
        <v>1.43</v>
      </c>
    </row>
    <row r="2064">
      <c r="A2064" s="3">
        <v>117966.0</v>
      </c>
      <c r="B2064" s="4" t="s">
        <v>73</v>
      </c>
      <c r="C2064" s="4" t="s">
        <v>218</v>
      </c>
      <c r="D2064" s="4" t="s">
        <v>219</v>
      </c>
      <c r="E2064" s="4">
        <v>4.32</v>
      </c>
    </row>
    <row r="2065">
      <c r="A2065" s="5">
        <v>122782.0</v>
      </c>
      <c r="B2065" s="6" t="s">
        <v>73</v>
      </c>
      <c r="C2065" s="6" t="s">
        <v>218</v>
      </c>
      <c r="D2065" s="6" t="s">
        <v>219</v>
      </c>
      <c r="E2065" s="6">
        <v>3.41</v>
      </c>
    </row>
    <row r="2066">
      <c r="A2066" s="3">
        <v>49358.0</v>
      </c>
      <c r="B2066" s="4" t="s">
        <v>73</v>
      </c>
      <c r="C2066" s="4" t="s">
        <v>218</v>
      </c>
      <c r="D2066" s="4" t="s">
        <v>219</v>
      </c>
      <c r="E2066" s="4">
        <v>2.91</v>
      </c>
    </row>
    <row r="2067">
      <c r="A2067" s="5">
        <v>190250.0</v>
      </c>
      <c r="B2067" s="6" t="s">
        <v>73</v>
      </c>
      <c r="C2067" s="6" t="s">
        <v>218</v>
      </c>
      <c r="D2067" s="6" t="s">
        <v>219</v>
      </c>
      <c r="E2067" s="6">
        <v>1.37</v>
      </c>
    </row>
    <row r="2068">
      <c r="A2068" s="3">
        <v>100243.0</v>
      </c>
      <c r="B2068" s="4" t="s">
        <v>73</v>
      </c>
      <c r="C2068" s="4" t="s">
        <v>218</v>
      </c>
      <c r="D2068" s="4" t="s">
        <v>219</v>
      </c>
      <c r="E2068" s="4">
        <v>0.81</v>
      </c>
    </row>
    <row r="2069">
      <c r="A2069" s="5">
        <v>87773.0</v>
      </c>
      <c r="B2069" s="6" t="s">
        <v>73</v>
      </c>
      <c r="C2069" s="6" t="s">
        <v>218</v>
      </c>
      <c r="D2069" s="6" t="s">
        <v>219</v>
      </c>
      <c r="E2069" s="6">
        <v>2.23</v>
      </c>
    </row>
    <row r="2070">
      <c r="A2070" s="3">
        <v>79103.0</v>
      </c>
      <c r="B2070" s="4" t="s">
        <v>73</v>
      </c>
      <c r="C2070" s="4" t="s">
        <v>218</v>
      </c>
      <c r="D2070" s="4" t="s">
        <v>219</v>
      </c>
      <c r="E2070" s="4">
        <v>2.07</v>
      </c>
    </row>
    <row r="2071">
      <c r="A2071" s="5">
        <v>87759.0</v>
      </c>
      <c r="B2071" s="6" t="s">
        <v>73</v>
      </c>
      <c r="C2071" s="6" t="s">
        <v>218</v>
      </c>
      <c r="D2071" s="6" t="s">
        <v>219</v>
      </c>
      <c r="E2071" s="6">
        <v>2.23</v>
      </c>
    </row>
    <row r="2072">
      <c r="A2072" s="3">
        <v>82461.0</v>
      </c>
      <c r="B2072" s="4" t="s">
        <v>73</v>
      </c>
      <c r="C2072" s="4" t="s">
        <v>218</v>
      </c>
      <c r="D2072" s="4" t="s">
        <v>219</v>
      </c>
      <c r="E2072" s="4">
        <v>1.97</v>
      </c>
    </row>
    <row r="2073">
      <c r="A2073" s="5">
        <v>122613.0</v>
      </c>
      <c r="B2073" s="6" t="s">
        <v>73</v>
      </c>
      <c r="C2073" s="6" t="s">
        <v>218</v>
      </c>
      <c r="D2073" s="6" t="s">
        <v>219</v>
      </c>
      <c r="E2073" s="6">
        <v>1.44</v>
      </c>
    </row>
    <row r="2074">
      <c r="A2074" s="3">
        <v>79746.0</v>
      </c>
      <c r="B2074" s="4" t="s">
        <v>73</v>
      </c>
      <c r="C2074" s="4" t="s">
        <v>218</v>
      </c>
      <c r="D2074" s="4" t="s">
        <v>219</v>
      </c>
      <c r="E2074" s="4">
        <v>2.61</v>
      </c>
    </row>
    <row r="2075">
      <c r="A2075" s="5">
        <v>110860.0</v>
      </c>
      <c r="B2075" s="6" t="s">
        <v>73</v>
      </c>
      <c r="C2075" s="6" t="s">
        <v>218</v>
      </c>
      <c r="D2075" s="6" t="s">
        <v>219</v>
      </c>
      <c r="E2075" s="6">
        <v>2.09</v>
      </c>
    </row>
    <row r="2076">
      <c r="A2076" s="3">
        <v>49355.0</v>
      </c>
      <c r="B2076" s="4" t="s">
        <v>73</v>
      </c>
      <c r="C2076" s="4" t="s">
        <v>218</v>
      </c>
      <c r="D2076" s="4" t="s">
        <v>219</v>
      </c>
      <c r="E2076" s="4">
        <v>2.91</v>
      </c>
    </row>
    <row r="2077">
      <c r="A2077" s="5">
        <v>93520.0</v>
      </c>
      <c r="B2077" s="6" t="s">
        <v>73</v>
      </c>
      <c r="C2077" s="6" t="s">
        <v>218</v>
      </c>
      <c r="D2077" s="6" t="s">
        <v>219</v>
      </c>
      <c r="E2077" s="6">
        <v>2.86</v>
      </c>
    </row>
    <row r="2078">
      <c r="A2078" s="3">
        <v>87765.0</v>
      </c>
      <c r="B2078" s="4" t="s">
        <v>73</v>
      </c>
      <c r="C2078" s="4" t="s">
        <v>218</v>
      </c>
      <c r="D2078" s="4" t="s">
        <v>219</v>
      </c>
      <c r="E2078" s="4">
        <v>2.23</v>
      </c>
    </row>
    <row r="2079">
      <c r="A2079" s="5">
        <v>110863.0</v>
      </c>
      <c r="B2079" s="6" t="s">
        <v>73</v>
      </c>
      <c r="C2079" s="6" t="s">
        <v>218</v>
      </c>
      <c r="D2079" s="6" t="s">
        <v>219</v>
      </c>
      <c r="E2079" s="6">
        <v>2.09</v>
      </c>
    </row>
    <row r="2080">
      <c r="A2080" s="3">
        <v>16238.0</v>
      </c>
      <c r="B2080" s="4" t="s">
        <v>73</v>
      </c>
      <c r="C2080" s="4" t="s">
        <v>218</v>
      </c>
      <c r="D2080" s="4" t="s">
        <v>219</v>
      </c>
      <c r="E2080" s="4">
        <v>2.64</v>
      </c>
    </row>
    <row r="2081">
      <c r="A2081" s="5">
        <v>122643.0</v>
      </c>
      <c r="B2081" s="6" t="s">
        <v>73</v>
      </c>
      <c r="C2081" s="6" t="s">
        <v>218</v>
      </c>
      <c r="D2081" s="6" t="s">
        <v>219</v>
      </c>
      <c r="E2081" s="6">
        <v>3.43</v>
      </c>
    </row>
    <row r="2082">
      <c r="A2082" s="3">
        <v>82452.0</v>
      </c>
      <c r="B2082" s="4" t="s">
        <v>73</v>
      </c>
      <c r="C2082" s="4" t="s">
        <v>218</v>
      </c>
      <c r="D2082" s="4" t="s">
        <v>219</v>
      </c>
      <c r="E2082" s="4">
        <v>1.97</v>
      </c>
    </row>
    <row r="2083">
      <c r="A2083" s="5">
        <v>122775.0</v>
      </c>
      <c r="B2083" s="6" t="s">
        <v>73</v>
      </c>
      <c r="C2083" s="6" t="s">
        <v>218</v>
      </c>
      <c r="D2083" s="6" t="s">
        <v>219</v>
      </c>
      <c r="E2083" s="6">
        <v>2.92</v>
      </c>
    </row>
    <row r="2084">
      <c r="A2084" s="3">
        <v>100240.0</v>
      </c>
      <c r="B2084" s="4" t="s">
        <v>73</v>
      </c>
      <c r="C2084" s="4" t="s">
        <v>218</v>
      </c>
      <c r="D2084" s="4" t="s">
        <v>219</v>
      </c>
      <c r="E2084" s="4">
        <v>0.88</v>
      </c>
    </row>
    <row r="2085">
      <c r="A2085" s="5">
        <v>87758.0</v>
      </c>
      <c r="B2085" s="6" t="s">
        <v>73</v>
      </c>
      <c r="C2085" s="6" t="s">
        <v>218</v>
      </c>
      <c r="D2085" s="6" t="s">
        <v>219</v>
      </c>
      <c r="E2085" s="6">
        <v>2.16</v>
      </c>
    </row>
    <row r="2086">
      <c r="A2086" s="3">
        <v>110689.0</v>
      </c>
      <c r="B2086" s="4" t="s">
        <v>73</v>
      </c>
      <c r="C2086" s="4" t="s">
        <v>218</v>
      </c>
      <c r="D2086" s="4" t="s">
        <v>219</v>
      </c>
      <c r="E2086" s="4">
        <v>1.29</v>
      </c>
    </row>
    <row r="2087">
      <c r="A2087" s="5">
        <v>110704.0</v>
      </c>
      <c r="B2087" s="6" t="s">
        <v>73</v>
      </c>
      <c r="C2087" s="6" t="s">
        <v>218</v>
      </c>
      <c r="D2087" s="6" t="s">
        <v>219</v>
      </c>
      <c r="E2087" s="6">
        <v>2.57</v>
      </c>
    </row>
    <row r="2088">
      <c r="A2088" s="3">
        <v>82455.0</v>
      </c>
      <c r="B2088" s="4" t="s">
        <v>73</v>
      </c>
      <c r="C2088" s="4" t="s">
        <v>218</v>
      </c>
      <c r="D2088" s="4" t="s">
        <v>219</v>
      </c>
      <c r="E2088" s="4">
        <v>1.97</v>
      </c>
    </row>
    <row r="2089">
      <c r="A2089" s="5">
        <v>127013.0</v>
      </c>
      <c r="B2089" s="6" t="s">
        <v>73</v>
      </c>
      <c r="C2089" s="6" t="s">
        <v>218</v>
      </c>
      <c r="D2089" s="6" t="s">
        <v>219</v>
      </c>
      <c r="E2089" s="6">
        <v>2.75</v>
      </c>
    </row>
    <row r="2090">
      <c r="A2090" s="3">
        <v>113063.0</v>
      </c>
      <c r="B2090" s="4" t="s">
        <v>73</v>
      </c>
      <c r="C2090" s="4" t="s">
        <v>218</v>
      </c>
      <c r="D2090" s="4" t="s">
        <v>219</v>
      </c>
      <c r="E2090" s="4">
        <v>3.05</v>
      </c>
    </row>
    <row r="2091">
      <c r="A2091" s="5">
        <v>11296.0</v>
      </c>
      <c r="B2091" s="6" t="s">
        <v>73</v>
      </c>
      <c r="C2091" s="6" t="s">
        <v>218</v>
      </c>
      <c r="D2091" s="6" t="s">
        <v>219</v>
      </c>
      <c r="E2091" s="6">
        <v>4.06</v>
      </c>
    </row>
    <row r="2092">
      <c r="A2092" s="3">
        <v>105305.0</v>
      </c>
      <c r="B2092" s="4" t="s">
        <v>73</v>
      </c>
      <c r="C2092" s="4" t="s">
        <v>218</v>
      </c>
      <c r="D2092" s="4" t="s">
        <v>219</v>
      </c>
      <c r="E2092" s="4">
        <v>3.78</v>
      </c>
    </row>
    <row r="2093">
      <c r="A2093" s="5">
        <v>73244.0</v>
      </c>
      <c r="B2093" s="6" t="s">
        <v>73</v>
      </c>
      <c r="C2093" s="6" t="s">
        <v>218</v>
      </c>
      <c r="D2093" s="6" t="s">
        <v>219</v>
      </c>
      <c r="E2093" s="6">
        <v>0.91</v>
      </c>
    </row>
    <row r="2094">
      <c r="A2094" s="3">
        <v>82458.0</v>
      </c>
      <c r="B2094" s="4" t="s">
        <v>73</v>
      </c>
      <c r="C2094" s="4" t="s">
        <v>218</v>
      </c>
      <c r="D2094" s="4" t="s">
        <v>219</v>
      </c>
      <c r="E2094" s="4">
        <v>1.97</v>
      </c>
    </row>
    <row r="2095">
      <c r="A2095" s="5">
        <v>105302.0</v>
      </c>
      <c r="B2095" s="6" t="s">
        <v>73</v>
      </c>
      <c r="C2095" s="6" t="s">
        <v>218</v>
      </c>
      <c r="D2095" s="6" t="s">
        <v>219</v>
      </c>
      <c r="E2095" s="6">
        <v>2.55</v>
      </c>
    </row>
    <row r="2096">
      <c r="A2096" s="3">
        <v>150951.0</v>
      </c>
      <c r="B2096" s="4" t="s">
        <v>73</v>
      </c>
      <c r="C2096" s="4" t="s">
        <v>218</v>
      </c>
      <c r="D2096" s="4" t="s">
        <v>219</v>
      </c>
      <c r="E2096" s="4">
        <v>1.46</v>
      </c>
    </row>
    <row r="2097">
      <c r="A2097" s="5">
        <v>122492.0</v>
      </c>
      <c r="B2097" s="6" t="s">
        <v>73</v>
      </c>
      <c r="C2097" s="6" t="s">
        <v>218</v>
      </c>
      <c r="D2097" s="6" t="s">
        <v>220</v>
      </c>
      <c r="E2097" s="6">
        <v>4.21</v>
      </c>
    </row>
    <row r="2098">
      <c r="A2098" s="3">
        <v>110436.0</v>
      </c>
      <c r="B2098" s="4" t="s">
        <v>73</v>
      </c>
      <c r="C2098" s="4" t="s">
        <v>218</v>
      </c>
      <c r="D2098" s="4" t="s">
        <v>220</v>
      </c>
      <c r="E2098" s="4">
        <v>3.97</v>
      </c>
    </row>
    <row r="2099">
      <c r="A2099" s="5">
        <v>10674.0</v>
      </c>
      <c r="B2099" s="6" t="s">
        <v>73</v>
      </c>
      <c r="C2099" s="6" t="s">
        <v>218</v>
      </c>
      <c r="D2099" s="6" t="s">
        <v>220</v>
      </c>
      <c r="E2099" s="6">
        <v>6.36</v>
      </c>
    </row>
    <row r="2100">
      <c r="A2100" s="3">
        <v>117166.0</v>
      </c>
      <c r="B2100" s="4" t="s">
        <v>73</v>
      </c>
      <c r="C2100" s="4" t="s">
        <v>218</v>
      </c>
      <c r="D2100" s="4" t="s">
        <v>220</v>
      </c>
      <c r="E2100" s="4">
        <v>6.12</v>
      </c>
    </row>
    <row r="2101">
      <c r="A2101" s="5">
        <v>111776.0</v>
      </c>
      <c r="B2101" s="6" t="s">
        <v>73</v>
      </c>
      <c r="C2101" s="6" t="s">
        <v>218</v>
      </c>
      <c r="D2101" s="6" t="s">
        <v>220</v>
      </c>
      <c r="E2101" s="6">
        <v>2.94</v>
      </c>
    </row>
    <row r="2102">
      <c r="A2102" s="3">
        <v>122388.0</v>
      </c>
      <c r="B2102" s="4" t="s">
        <v>73</v>
      </c>
      <c r="C2102" s="4" t="s">
        <v>218</v>
      </c>
      <c r="D2102" s="4" t="s">
        <v>220</v>
      </c>
      <c r="E2102" s="4">
        <v>23.58</v>
      </c>
    </row>
    <row r="2103">
      <c r="A2103" s="5">
        <v>117160.0</v>
      </c>
      <c r="B2103" s="6" t="s">
        <v>73</v>
      </c>
      <c r="C2103" s="6" t="s">
        <v>218</v>
      </c>
      <c r="D2103" s="6" t="s">
        <v>220</v>
      </c>
      <c r="E2103" s="6">
        <v>6.56</v>
      </c>
    </row>
    <row r="2104">
      <c r="A2104" s="3">
        <v>98795.0</v>
      </c>
      <c r="B2104" s="4" t="s">
        <v>73</v>
      </c>
      <c r="C2104" s="4" t="s">
        <v>218</v>
      </c>
      <c r="D2104" s="4" t="s">
        <v>220</v>
      </c>
      <c r="E2104" s="4">
        <v>5.84</v>
      </c>
    </row>
    <row r="2105">
      <c r="A2105" s="5">
        <v>117150.0</v>
      </c>
      <c r="B2105" s="6" t="s">
        <v>73</v>
      </c>
      <c r="C2105" s="6" t="s">
        <v>218</v>
      </c>
      <c r="D2105" s="6" t="s">
        <v>220</v>
      </c>
      <c r="E2105" s="6">
        <v>6.56</v>
      </c>
    </row>
    <row r="2106">
      <c r="A2106" s="3">
        <v>109416.0</v>
      </c>
      <c r="B2106" s="4" t="s">
        <v>73</v>
      </c>
      <c r="C2106" s="4" t="s">
        <v>218</v>
      </c>
      <c r="D2106" s="4" t="s">
        <v>220</v>
      </c>
      <c r="E2106" s="4">
        <v>2.2</v>
      </c>
    </row>
    <row r="2107">
      <c r="A2107" s="5">
        <v>122291.0</v>
      </c>
      <c r="B2107" s="6" t="s">
        <v>73</v>
      </c>
      <c r="C2107" s="6" t="s">
        <v>218</v>
      </c>
      <c r="D2107" s="6" t="s">
        <v>220</v>
      </c>
      <c r="E2107" s="6">
        <v>11.29</v>
      </c>
    </row>
    <row r="2108">
      <c r="A2108" s="3">
        <v>21820.0</v>
      </c>
      <c r="B2108" s="4" t="s">
        <v>73</v>
      </c>
      <c r="C2108" s="4" t="s">
        <v>218</v>
      </c>
      <c r="D2108" s="4" t="s">
        <v>220</v>
      </c>
      <c r="E2108" s="4">
        <v>5.35</v>
      </c>
    </row>
    <row r="2109">
      <c r="A2109" s="5">
        <v>150105.0</v>
      </c>
      <c r="B2109" s="6" t="s">
        <v>73</v>
      </c>
      <c r="C2109" s="6" t="s">
        <v>218</v>
      </c>
      <c r="D2109" s="6" t="s">
        <v>220</v>
      </c>
      <c r="E2109" s="6">
        <v>6.27</v>
      </c>
    </row>
    <row r="2110">
      <c r="A2110" s="3">
        <v>46474.0</v>
      </c>
      <c r="B2110" s="4" t="s">
        <v>73</v>
      </c>
      <c r="C2110" s="4" t="s">
        <v>218</v>
      </c>
      <c r="D2110" s="4" t="s">
        <v>220</v>
      </c>
      <c r="E2110" s="4">
        <v>5.53</v>
      </c>
    </row>
    <row r="2111">
      <c r="A2111" s="5">
        <v>118207.0</v>
      </c>
      <c r="B2111" s="6" t="s">
        <v>73</v>
      </c>
      <c r="C2111" s="6" t="s">
        <v>218</v>
      </c>
      <c r="D2111" s="6" t="s">
        <v>220</v>
      </c>
      <c r="E2111" s="6">
        <v>4.48</v>
      </c>
    </row>
    <row r="2112">
      <c r="A2112" s="3">
        <v>111007.0</v>
      </c>
      <c r="B2112" s="4" t="s">
        <v>73</v>
      </c>
      <c r="C2112" s="4" t="s">
        <v>218</v>
      </c>
      <c r="D2112" s="4" t="s">
        <v>220</v>
      </c>
      <c r="E2112" s="4">
        <v>4.93</v>
      </c>
    </row>
    <row r="2113">
      <c r="A2113" s="5">
        <v>9727.0</v>
      </c>
      <c r="B2113" s="6" t="s">
        <v>73</v>
      </c>
      <c r="C2113" s="6" t="s">
        <v>218</v>
      </c>
      <c r="D2113" s="6" t="s">
        <v>220</v>
      </c>
      <c r="E2113" s="6">
        <v>4.49</v>
      </c>
    </row>
    <row r="2114">
      <c r="A2114" s="3">
        <v>72321.0</v>
      </c>
      <c r="B2114" s="4" t="s">
        <v>73</v>
      </c>
      <c r="C2114" s="4" t="s">
        <v>218</v>
      </c>
      <c r="D2114" s="4" t="s">
        <v>220</v>
      </c>
      <c r="E2114" s="4">
        <v>3.99</v>
      </c>
    </row>
    <row r="2115">
      <c r="A2115" s="5">
        <v>100063.0</v>
      </c>
      <c r="B2115" s="6" t="s">
        <v>73</v>
      </c>
      <c r="C2115" s="6" t="s">
        <v>218</v>
      </c>
      <c r="D2115" s="6" t="s">
        <v>220</v>
      </c>
      <c r="E2115" s="6">
        <v>6.41</v>
      </c>
    </row>
    <row r="2116">
      <c r="A2116" s="3">
        <v>79818.0</v>
      </c>
      <c r="B2116" s="4" t="s">
        <v>73</v>
      </c>
      <c r="C2116" s="4" t="s">
        <v>218</v>
      </c>
      <c r="D2116" s="4" t="s">
        <v>220</v>
      </c>
      <c r="E2116" s="4">
        <v>3.97</v>
      </c>
    </row>
    <row r="2117">
      <c r="A2117" s="5">
        <v>121731.0</v>
      </c>
      <c r="B2117" s="6" t="s">
        <v>73</v>
      </c>
      <c r="C2117" s="6" t="s">
        <v>218</v>
      </c>
      <c r="D2117" s="6" t="s">
        <v>220</v>
      </c>
      <c r="E2117" s="6">
        <v>6.09</v>
      </c>
    </row>
    <row r="2118">
      <c r="A2118" s="3">
        <v>200584.0</v>
      </c>
      <c r="B2118" s="4" t="s">
        <v>73</v>
      </c>
      <c r="C2118" s="4" t="s">
        <v>218</v>
      </c>
      <c r="D2118" s="4" t="s">
        <v>220</v>
      </c>
      <c r="E2118" s="4">
        <v>5.4</v>
      </c>
    </row>
    <row r="2119">
      <c r="A2119" s="5">
        <v>68600.0</v>
      </c>
      <c r="B2119" s="6" t="s">
        <v>73</v>
      </c>
      <c r="C2119" s="6" t="s">
        <v>218</v>
      </c>
      <c r="D2119" s="6" t="s">
        <v>220</v>
      </c>
      <c r="E2119" s="6">
        <v>4.17</v>
      </c>
    </row>
    <row r="2120">
      <c r="A2120" s="3">
        <v>98788.0</v>
      </c>
      <c r="B2120" s="4" t="s">
        <v>73</v>
      </c>
      <c r="C2120" s="4" t="s">
        <v>218</v>
      </c>
      <c r="D2120" s="4" t="s">
        <v>220</v>
      </c>
      <c r="E2120" s="4">
        <v>5.84</v>
      </c>
    </row>
    <row r="2121">
      <c r="A2121" s="5">
        <v>122390.0</v>
      </c>
      <c r="B2121" s="6" t="s">
        <v>73</v>
      </c>
      <c r="C2121" s="6" t="s">
        <v>218</v>
      </c>
      <c r="D2121" s="6" t="s">
        <v>220</v>
      </c>
      <c r="E2121" s="6">
        <v>23.58</v>
      </c>
    </row>
    <row r="2122">
      <c r="A2122" s="3">
        <v>109930.0</v>
      </c>
      <c r="B2122" s="4" t="s">
        <v>73</v>
      </c>
      <c r="C2122" s="4" t="s">
        <v>218</v>
      </c>
      <c r="D2122" s="4" t="s">
        <v>220</v>
      </c>
      <c r="E2122" s="4">
        <v>5.77</v>
      </c>
    </row>
    <row r="2123">
      <c r="A2123" s="5">
        <v>118299.0</v>
      </c>
      <c r="B2123" s="6" t="s">
        <v>73</v>
      </c>
      <c r="C2123" s="6" t="s">
        <v>218</v>
      </c>
      <c r="D2123" s="6" t="s">
        <v>220</v>
      </c>
      <c r="E2123" s="6">
        <v>6.5</v>
      </c>
    </row>
    <row r="2124">
      <c r="A2124" s="3">
        <v>72320.0</v>
      </c>
      <c r="B2124" s="4" t="s">
        <v>73</v>
      </c>
      <c r="C2124" s="4" t="s">
        <v>218</v>
      </c>
      <c r="D2124" s="4" t="s">
        <v>220</v>
      </c>
      <c r="E2124" s="4">
        <v>3.99</v>
      </c>
    </row>
    <row r="2125">
      <c r="A2125" s="5">
        <v>87839.0</v>
      </c>
      <c r="B2125" s="6" t="s">
        <v>73</v>
      </c>
      <c r="C2125" s="6" t="s">
        <v>218</v>
      </c>
      <c r="D2125" s="6" t="s">
        <v>220</v>
      </c>
      <c r="E2125" s="6">
        <v>6.3</v>
      </c>
    </row>
    <row r="2126">
      <c r="A2126" s="3">
        <v>79819.0</v>
      </c>
      <c r="B2126" s="4" t="s">
        <v>73</v>
      </c>
      <c r="C2126" s="4" t="s">
        <v>218</v>
      </c>
      <c r="D2126" s="4" t="s">
        <v>220</v>
      </c>
      <c r="E2126" s="4">
        <v>4.34</v>
      </c>
    </row>
    <row r="2127">
      <c r="A2127" s="5">
        <v>117169.0</v>
      </c>
      <c r="B2127" s="6" t="s">
        <v>73</v>
      </c>
      <c r="C2127" s="6" t="s">
        <v>218</v>
      </c>
      <c r="D2127" s="6" t="s">
        <v>220</v>
      </c>
      <c r="E2127" s="6">
        <v>6.12</v>
      </c>
    </row>
    <row r="2128">
      <c r="A2128" s="3">
        <v>200585.0</v>
      </c>
      <c r="B2128" s="4" t="s">
        <v>73</v>
      </c>
      <c r="C2128" s="4" t="s">
        <v>218</v>
      </c>
      <c r="D2128" s="4" t="s">
        <v>220</v>
      </c>
      <c r="E2128" s="4">
        <v>5.4</v>
      </c>
    </row>
    <row r="2129">
      <c r="A2129" s="5">
        <v>70339.0</v>
      </c>
      <c r="B2129" s="6" t="s">
        <v>73</v>
      </c>
      <c r="C2129" s="6" t="s">
        <v>218</v>
      </c>
      <c r="D2129" s="6" t="s">
        <v>220</v>
      </c>
      <c r="E2129" s="6">
        <v>21.42</v>
      </c>
    </row>
    <row r="2130">
      <c r="A2130" s="3">
        <v>45597.0</v>
      </c>
      <c r="B2130" s="4" t="s">
        <v>73</v>
      </c>
      <c r="C2130" s="4" t="s">
        <v>218</v>
      </c>
      <c r="D2130" s="4" t="s">
        <v>220</v>
      </c>
      <c r="E2130" s="4">
        <v>6.49</v>
      </c>
    </row>
    <row r="2131">
      <c r="A2131" s="5">
        <v>117147.0</v>
      </c>
      <c r="B2131" s="6" t="s">
        <v>73</v>
      </c>
      <c r="C2131" s="6" t="s">
        <v>218</v>
      </c>
      <c r="D2131" s="6" t="s">
        <v>220</v>
      </c>
      <c r="E2131" s="6">
        <v>6.56</v>
      </c>
    </row>
    <row r="2132">
      <c r="A2132" s="3">
        <v>46309.0</v>
      </c>
      <c r="B2132" s="4" t="s">
        <v>73</v>
      </c>
      <c r="C2132" s="4" t="s">
        <v>218</v>
      </c>
      <c r="D2132" s="4" t="s">
        <v>220</v>
      </c>
      <c r="E2132" s="4">
        <v>7.96</v>
      </c>
    </row>
    <row r="2133">
      <c r="A2133" s="5">
        <v>45595.0</v>
      </c>
      <c r="B2133" s="6" t="s">
        <v>73</v>
      </c>
      <c r="C2133" s="6" t="s">
        <v>218</v>
      </c>
      <c r="D2133" s="6" t="s">
        <v>220</v>
      </c>
      <c r="E2133" s="6">
        <v>6.49</v>
      </c>
    </row>
    <row r="2134">
      <c r="A2134" s="3">
        <v>100311.0</v>
      </c>
      <c r="B2134" s="4" t="s">
        <v>73</v>
      </c>
      <c r="C2134" s="4" t="s">
        <v>218</v>
      </c>
      <c r="D2134" s="4" t="s">
        <v>220</v>
      </c>
      <c r="E2134" s="4">
        <v>5.19</v>
      </c>
    </row>
    <row r="2135">
      <c r="A2135" s="5">
        <v>122491.0</v>
      </c>
      <c r="B2135" s="6" t="s">
        <v>73</v>
      </c>
      <c r="C2135" s="6" t="s">
        <v>218</v>
      </c>
      <c r="D2135" s="6" t="s">
        <v>220</v>
      </c>
      <c r="E2135" s="6">
        <v>4.21</v>
      </c>
    </row>
    <row r="2136">
      <c r="A2136" s="3">
        <v>117466.0</v>
      </c>
      <c r="B2136" s="4" t="s">
        <v>73</v>
      </c>
      <c r="C2136" s="4" t="s">
        <v>218</v>
      </c>
      <c r="D2136" s="4" t="s">
        <v>220</v>
      </c>
      <c r="E2136" s="4">
        <v>3.99</v>
      </c>
    </row>
    <row r="2137">
      <c r="A2137" s="5">
        <v>85107.0</v>
      </c>
      <c r="B2137" s="6" t="s">
        <v>73</v>
      </c>
      <c r="C2137" s="6" t="s">
        <v>218</v>
      </c>
      <c r="D2137" s="6" t="s">
        <v>220</v>
      </c>
      <c r="E2137" s="6">
        <v>24.12</v>
      </c>
    </row>
    <row r="2138">
      <c r="A2138" s="3">
        <v>45594.0</v>
      </c>
      <c r="B2138" s="4" t="s">
        <v>73</v>
      </c>
      <c r="C2138" s="4" t="s">
        <v>218</v>
      </c>
      <c r="D2138" s="4" t="s">
        <v>220</v>
      </c>
      <c r="E2138" s="4">
        <v>6.49</v>
      </c>
    </row>
    <row r="2139">
      <c r="A2139" s="5">
        <v>118298.0</v>
      </c>
      <c r="B2139" s="6" t="s">
        <v>73</v>
      </c>
      <c r="C2139" s="6" t="s">
        <v>218</v>
      </c>
      <c r="D2139" s="6" t="s">
        <v>220</v>
      </c>
      <c r="E2139" s="6">
        <v>6.5</v>
      </c>
    </row>
    <row r="2140">
      <c r="A2140" s="3">
        <v>98802.0</v>
      </c>
      <c r="B2140" s="4" t="s">
        <v>73</v>
      </c>
      <c r="C2140" s="4" t="s">
        <v>218</v>
      </c>
      <c r="D2140" s="4" t="s">
        <v>220</v>
      </c>
      <c r="E2140" s="4">
        <v>4.04</v>
      </c>
    </row>
    <row r="2141">
      <c r="A2141" s="5">
        <v>46985.0</v>
      </c>
      <c r="B2141" s="6" t="s">
        <v>73</v>
      </c>
      <c r="C2141" s="6" t="s">
        <v>218</v>
      </c>
      <c r="D2141" s="6" t="s">
        <v>220</v>
      </c>
      <c r="E2141" s="6">
        <v>3.49</v>
      </c>
    </row>
    <row r="2142">
      <c r="A2142" s="3">
        <v>46476.0</v>
      </c>
      <c r="B2142" s="4" t="s">
        <v>73</v>
      </c>
      <c r="C2142" s="4" t="s">
        <v>218</v>
      </c>
      <c r="D2142" s="4" t="s">
        <v>220</v>
      </c>
      <c r="E2142" s="4">
        <v>5.82</v>
      </c>
    </row>
    <row r="2143">
      <c r="A2143" s="5">
        <v>110187.0</v>
      </c>
      <c r="B2143" s="6" t="s">
        <v>73</v>
      </c>
      <c r="C2143" s="6" t="s">
        <v>218</v>
      </c>
      <c r="D2143" s="6" t="s">
        <v>220</v>
      </c>
      <c r="E2143" s="6">
        <v>4.75</v>
      </c>
    </row>
    <row r="2144">
      <c r="A2144" s="3">
        <v>79988.0</v>
      </c>
      <c r="B2144" s="4" t="s">
        <v>73</v>
      </c>
      <c r="C2144" s="4" t="s">
        <v>218</v>
      </c>
      <c r="D2144" s="4" t="s">
        <v>220</v>
      </c>
      <c r="E2144" s="4">
        <v>5.05</v>
      </c>
    </row>
    <row r="2145">
      <c r="A2145" s="5">
        <v>46970.0</v>
      </c>
      <c r="B2145" s="6" t="s">
        <v>73</v>
      </c>
      <c r="C2145" s="6" t="s">
        <v>218</v>
      </c>
      <c r="D2145" s="6" t="s">
        <v>220</v>
      </c>
      <c r="E2145" s="6">
        <v>7.29</v>
      </c>
    </row>
    <row r="2146">
      <c r="A2146" s="3">
        <v>6519.0</v>
      </c>
      <c r="B2146" s="4" t="s">
        <v>73</v>
      </c>
      <c r="C2146" s="4" t="s">
        <v>218</v>
      </c>
      <c r="D2146" s="4" t="s">
        <v>220</v>
      </c>
      <c r="E2146" s="4">
        <v>7.32</v>
      </c>
    </row>
    <row r="2147">
      <c r="A2147" s="5">
        <v>118205.0</v>
      </c>
      <c r="B2147" s="6" t="s">
        <v>73</v>
      </c>
      <c r="C2147" s="6" t="s">
        <v>218</v>
      </c>
      <c r="D2147" s="6" t="s">
        <v>220</v>
      </c>
      <c r="E2147" s="6">
        <v>4.48</v>
      </c>
    </row>
    <row r="2148">
      <c r="A2148" s="3">
        <v>109412.0</v>
      </c>
      <c r="B2148" s="4" t="s">
        <v>73</v>
      </c>
      <c r="C2148" s="4" t="s">
        <v>218</v>
      </c>
      <c r="D2148" s="4" t="s">
        <v>220</v>
      </c>
      <c r="E2148" s="4">
        <v>2.2</v>
      </c>
    </row>
    <row r="2149">
      <c r="A2149" s="5">
        <v>117931.0</v>
      </c>
      <c r="B2149" s="6" t="s">
        <v>73</v>
      </c>
      <c r="C2149" s="6" t="s">
        <v>218</v>
      </c>
      <c r="D2149" s="6" t="s">
        <v>220</v>
      </c>
      <c r="E2149" s="6">
        <v>3.07</v>
      </c>
    </row>
    <row r="2150">
      <c r="A2150" s="3">
        <v>70042.0</v>
      </c>
      <c r="B2150" s="4" t="s">
        <v>73</v>
      </c>
      <c r="C2150" s="4" t="s">
        <v>218</v>
      </c>
      <c r="D2150" s="4" t="s">
        <v>220</v>
      </c>
      <c r="E2150" s="4">
        <v>2.97</v>
      </c>
    </row>
    <row r="2151">
      <c r="A2151" s="5">
        <v>150104.0</v>
      </c>
      <c r="B2151" s="6" t="s">
        <v>73</v>
      </c>
      <c r="C2151" s="6" t="s">
        <v>218</v>
      </c>
      <c r="D2151" s="6" t="s">
        <v>220</v>
      </c>
      <c r="E2151" s="6">
        <v>2.09</v>
      </c>
    </row>
    <row r="2152">
      <c r="A2152" s="3">
        <v>72319.0</v>
      </c>
      <c r="B2152" s="4" t="s">
        <v>73</v>
      </c>
      <c r="C2152" s="4" t="s">
        <v>218</v>
      </c>
      <c r="D2152" s="4" t="s">
        <v>220</v>
      </c>
      <c r="E2152" s="4">
        <v>6.49</v>
      </c>
    </row>
    <row r="2153">
      <c r="A2153" s="5">
        <v>100060.0</v>
      </c>
      <c r="B2153" s="6" t="s">
        <v>73</v>
      </c>
      <c r="C2153" s="6" t="s">
        <v>218</v>
      </c>
      <c r="D2153" s="6" t="s">
        <v>220</v>
      </c>
      <c r="E2153" s="6">
        <v>6.41</v>
      </c>
    </row>
    <row r="2154">
      <c r="A2154" s="3">
        <v>6521.0</v>
      </c>
      <c r="B2154" s="4" t="s">
        <v>73</v>
      </c>
      <c r="C2154" s="4" t="s">
        <v>218</v>
      </c>
      <c r="D2154" s="4" t="s">
        <v>220</v>
      </c>
      <c r="E2154" s="4">
        <v>6.8</v>
      </c>
    </row>
    <row r="2155">
      <c r="A2155" s="5">
        <v>45058.0</v>
      </c>
      <c r="B2155" s="6" t="s">
        <v>73</v>
      </c>
      <c r="C2155" s="6" t="s">
        <v>218</v>
      </c>
      <c r="D2155" s="6" t="s">
        <v>220</v>
      </c>
      <c r="E2155" s="6">
        <v>6.5</v>
      </c>
    </row>
    <row r="2156">
      <c r="A2156" s="3">
        <v>117139.0</v>
      </c>
      <c r="B2156" s="4" t="s">
        <v>73</v>
      </c>
      <c r="C2156" s="4" t="s">
        <v>218</v>
      </c>
      <c r="D2156" s="4" t="s">
        <v>220</v>
      </c>
      <c r="E2156" s="4">
        <v>6.56</v>
      </c>
    </row>
    <row r="2157">
      <c r="A2157" s="5">
        <v>117464.0</v>
      </c>
      <c r="B2157" s="6" t="s">
        <v>73</v>
      </c>
      <c r="C2157" s="6" t="s">
        <v>218</v>
      </c>
      <c r="D2157" s="6" t="s">
        <v>220</v>
      </c>
      <c r="E2157" s="6">
        <v>6.49</v>
      </c>
    </row>
    <row r="2158">
      <c r="A2158" s="3">
        <v>111777.0</v>
      </c>
      <c r="B2158" s="4" t="s">
        <v>73</v>
      </c>
      <c r="C2158" s="4" t="s">
        <v>218</v>
      </c>
      <c r="D2158" s="4" t="s">
        <v>220</v>
      </c>
      <c r="E2158" s="4">
        <v>2.94</v>
      </c>
    </row>
    <row r="2159">
      <c r="A2159" s="5">
        <v>122375.0</v>
      </c>
      <c r="B2159" s="6" t="s">
        <v>73</v>
      </c>
      <c r="C2159" s="6" t="s">
        <v>218</v>
      </c>
      <c r="D2159" s="6" t="s">
        <v>221</v>
      </c>
      <c r="E2159" s="6">
        <v>15.29</v>
      </c>
    </row>
    <row r="2160">
      <c r="A2160" s="3">
        <v>122282.0</v>
      </c>
      <c r="B2160" s="4" t="s">
        <v>73</v>
      </c>
      <c r="C2160" s="4" t="s">
        <v>218</v>
      </c>
      <c r="D2160" s="4" t="s">
        <v>221</v>
      </c>
      <c r="E2160" s="4">
        <v>18.29</v>
      </c>
    </row>
    <row r="2161">
      <c r="A2161" s="5">
        <v>47161.0</v>
      </c>
      <c r="B2161" s="6" t="s">
        <v>73</v>
      </c>
      <c r="C2161" s="6" t="s">
        <v>218</v>
      </c>
      <c r="D2161" s="6" t="s">
        <v>221</v>
      </c>
      <c r="E2161" s="6">
        <v>5.35</v>
      </c>
    </row>
    <row r="2162">
      <c r="A2162" s="3">
        <v>47159.0</v>
      </c>
      <c r="B2162" s="4" t="s">
        <v>73</v>
      </c>
      <c r="C2162" s="4" t="s">
        <v>218</v>
      </c>
      <c r="D2162" s="4" t="s">
        <v>221</v>
      </c>
      <c r="E2162" s="4">
        <v>2.62</v>
      </c>
    </row>
    <row r="2163">
      <c r="A2163" s="5">
        <v>71327.0</v>
      </c>
      <c r="B2163" s="6" t="s">
        <v>73</v>
      </c>
      <c r="C2163" s="6" t="s">
        <v>218</v>
      </c>
      <c r="D2163" s="6" t="s">
        <v>221</v>
      </c>
      <c r="E2163" s="6">
        <v>21.9</v>
      </c>
    </row>
    <row r="2164">
      <c r="A2164" s="3">
        <v>122276.0</v>
      </c>
      <c r="B2164" s="4" t="s">
        <v>73</v>
      </c>
      <c r="C2164" s="4" t="s">
        <v>218</v>
      </c>
      <c r="D2164" s="4" t="s">
        <v>221</v>
      </c>
      <c r="E2164" s="4">
        <v>2.11</v>
      </c>
    </row>
    <row r="2165">
      <c r="A2165" s="5">
        <v>72806.0</v>
      </c>
      <c r="B2165" s="6" t="s">
        <v>73</v>
      </c>
      <c r="C2165" s="6" t="s">
        <v>218</v>
      </c>
      <c r="D2165" s="6" t="s">
        <v>221</v>
      </c>
      <c r="E2165" s="6">
        <v>3.15</v>
      </c>
    </row>
    <row r="2166">
      <c r="A2166" s="3">
        <v>100248.0</v>
      </c>
      <c r="B2166" s="4" t="s">
        <v>73</v>
      </c>
      <c r="C2166" s="4" t="s">
        <v>218</v>
      </c>
      <c r="D2166" s="4" t="s">
        <v>221</v>
      </c>
      <c r="E2166" s="4">
        <v>5.41</v>
      </c>
    </row>
    <row r="2167">
      <c r="A2167" s="5">
        <v>122378.0</v>
      </c>
      <c r="B2167" s="6" t="s">
        <v>73</v>
      </c>
      <c r="C2167" s="6" t="s">
        <v>218</v>
      </c>
      <c r="D2167" s="6" t="s">
        <v>221</v>
      </c>
      <c r="E2167" s="6">
        <v>3.87</v>
      </c>
    </row>
    <row r="2168">
      <c r="A2168" s="3">
        <v>44762.0</v>
      </c>
      <c r="B2168" s="4" t="s">
        <v>73</v>
      </c>
      <c r="C2168" s="4" t="s">
        <v>218</v>
      </c>
      <c r="D2168" s="4" t="s">
        <v>221</v>
      </c>
      <c r="E2168" s="4">
        <v>6.71</v>
      </c>
    </row>
    <row r="2169">
      <c r="A2169" s="5">
        <v>100247.0</v>
      </c>
      <c r="B2169" s="6" t="s">
        <v>73</v>
      </c>
      <c r="C2169" s="6" t="s">
        <v>218</v>
      </c>
      <c r="D2169" s="6" t="s">
        <v>221</v>
      </c>
      <c r="E2169" s="6">
        <v>2.53</v>
      </c>
    </row>
    <row r="2170">
      <c r="A2170" s="3">
        <v>182272.0</v>
      </c>
      <c r="B2170" s="4" t="s">
        <v>73</v>
      </c>
      <c r="C2170" s="4" t="s">
        <v>218</v>
      </c>
      <c r="D2170" s="4" t="s">
        <v>221</v>
      </c>
      <c r="E2170" s="4">
        <v>4.77</v>
      </c>
    </row>
    <row r="2171">
      <c r="A2171" s="5">
        <v>128297.0</v>
      </c>
      <c r="B2171" s="6" t="s">
        <v>73</v>
      </c>
      <c r="C2171" s="6" t="s">
        <v>218</v>
      </c>
      <c r="D2171" s="6" t="s">
        <v>221</v>
      </c>
      <c r="E2171" s="6">
        <v>7.3</v>
      </c>
    </row>
    <row r="2172">
      <c r="A2172" s="3">
        <v>10673.0</v>
      </c>
      <c r="B2172" s="4" t="s">
        <v>73</v>
      </c>
      <c r="C2172" s="4" t="s">
        <v>218</v>
      </c>
      <c r="D2172" s="4" t="s">
        <v>221</v>
      </c>
      <c r="E2172" s="4">
        <v>5.35</v>
      </c>
    </row>
    <row r="2173">
      <c r="A2173" s="5">
        <v>69332.0</v>
      </c>
      <c r="B2173" s="6" t="s">
        <v>73</v>
      </c>
      <c r="C2173" s="6" t="s">
        <v>218</v>
      </c>
      <c r="D2173" s="6" t="s">
        <v>221</v>
      </c>
      <c r="E2173" s="6">
        <v>6.53</v>
      </c>
    </row>
    <row r="2174">
      <c r="A2174" s="3">
        <v>151239.0</v>
      </c>
      <c r="B2174" s="4" t="s">
        <v>73</v>
      </c>
      <c r="C2174" s="4" t="s">
        <v>218</v>
      </c>
      <c r="D2174" s="4" t="s">
        <v>221</v>
      </c>
      <c r="E2174" s="4">
        <v>2.73</v>
      </c>
    </row>
    <row r="2175">
      <c r="A2175" s="5">
        <v>116667.0</v>
      </c>
      <c r="B2175" s="6" t="s">
        <v>73</v>
      </c>
      <c r="C2175" s="6" t="s">
        <v>218</v>
      </c>
      <c r="D2175" s="6" t="s">
        <v>221</v>
      </c>
      <c r="E2175" s="6">
        <v>4.8</v>
      </c>
    </row>
    <row r="2176">
      <c r="A2176" s="3">
        <v>72809.0</v>
      </c>
      <c r="B2176" s="4" t="s">
        <v>73</v>
      </c>
      <c r="C2176" s="4" t="s">
        <v>218</v>
      </c>
      <c r="D2176" s="4" t="s">
        <v>221</v>
      </c>
      <c r="E2176" s="4">
        <v>5.95</v>
      </c>
    </row>
    <row r="2177">
      <c r="A2177" s="5">
        <v>165917.0</v>
      </c>
      <c r="B2177" s="6" t="s">
        <v>73</v>
      </c>
      <c r="C2177" s="6" t="s">
        <v>218</v>
      </c>
      <c r="D2177" s="6" t="s">
        <v>221</v>
      </c>
      <c r="E2177" s="6">
        <v>4.7</v>
      </c>
    </row>
    <row r="2178">
      <c r="A2178" s="3">
        <v>8746.0</v>
      </c>
      <c r="B2178" s="4" t="s">
        <v>73</v>
      </c>
      <c r="C2178" s="4" t="s">
        <v>218</v>
      </c>
      <c r="D2178" s="4" t="s">
        <v>221</v>
      </c>
      <c r="E2178" s="4">
        <v>4.14</v>
      </c>
    </row>
    <row r="2179">
      <c r="A2179" s="5">
        <v>122374.0</v>
      </c>
      <c r="B2179" s="6" t="s">
        <v>73</v>
      </c>
      <c r="C2179" s="6" t="s">
        <v>218</v>
      </c>
      <c r="D2179" s="6" t="s">
        <v>221</v>
      </c>
      <c r="E2179" s="6">
        <v>4.21</v>
      </c>
    </row>
    <row r="2180">
      <c r="A2180" s="3">
        <v>118166.0</v>
      </c>
      <c r="B2180" s="4" t="s">
        <v>73</v>
      </c>
      <c r="C2180" s="4" t="s">
        <v>218</v>
      </c>
      <c r="D2180" s="4" t="s">
        <v>221</v>
      </c>
      <c r="E2180" s="4">
        <v>2.36</v>
      </c>
    </row>
    <row r="2181">
      <c r="A2181" s="5">
        <v>42729.0</v>
      </c>
      <c r="B2181" s="6" t="s">
        <v>73</v>
      </c>
      <c r="C2181" s="6" t="s">
        <v>218</v>
      </c>
      <c r="D2181" s="6" t="s">
        <v>221</v>
      </c>
      <c r="E2181" s="6">
        <v>5.4</v>
      </c>
    </row>
    <row r="2182">
      <c r="A2182" s="3">
        <v>182271.0</v>
      </c>
      <c r="B2182" s="4" t="s">
        <v>73</v>
      </c>
      <c r="C2182" s="4" t="s">
        <v>218</v>
      </c>
      <c r="D2182" s="4" t="s">
        <v>221</v>
      </c>
      <c r="E2182" s="4">
        <v>4.77</v>
      </c>
    </row>
    <row r="2183">
      <c r="A2183" s="5">
        <v>109211.0</v>
      </c>
      <c r="B2183" s="6" t="s">
        <v>73</v>
      </c>
      <c r="C2183" s="6" t="s">
        <v>218</v>
      </c>
      <c r="D2183" s="6" t="s">
        <v>221</v>
      </c>
      <c r="E2183" s="6">
        <v>2.71</v>
      </c>
    </row>
    <row r="2184">
      <c r="A2184" s="3">
        <v>192901.0</v>
      </c>
      <c r="B2184" s="4" t="s">
        <v>73</v>
      </c>
      <c r="C2184" s="4" t="s">
        <v>218</v>
      </c>
      <c r="D2184" s="4" t="s">
        <v>221</v>
      </c>
      <c r="E2184" s="4">
        <v>10.69</v>
      </c>
    </row>
    <row r="2185">
      <c r="A2185" s="5">
        <v>122379.0</v>
      </c>
      <c r="B2185" s="6" t="s">
        <v>73</v>
      </c>
      <c r="C2185" s="6" t="s">
        <v>218</v>
      </c>
      <c r="D2185" s="6" t="s">
        <v>221</v>
      </c>
      <c r="E2185" s="6">
        <v>15.29</v>
      </c>
    </row>
    <row r="2186">
      <c r="A2186" s="3">
        <v>109891.0</v>
      </c>
      <c r="B2186" s="4" t="s">
        <v>73</v>
      </c>
      <c r="C2186" s="4" t="s">
        <v>218</v>
      </c>
      <c r="D2186" s="4" t="s">
        <v>222</v>
      </c>
      <c r="E2186" s="4">
        <v>4.72</v>
      </c>
    </row>
    <row r="2187">
      <c r="A2187" s="5">
        <v>125688.0</v>
      </c>
      <c r="B2187" s="6" t="s">
        <v>73</v>
      </c>
      <c r="C2187" s="6" t="s">
        <v>218</v>
      </c>
      <c r="D2187" s="6" t="s">
        <v>222</v>
      </c>
      <c r="E2187" s="6">
        <v>1.18</v>
      </c>
    </row>
    <row r="2188">
      <c r="A2188" s="3">
        <v>68599.0</v>
      </c>
      <c r="B2188" s="4" t="s">
        <v>73</v>
      </c>
      <c r="C2188" s="4" t="s">
        <v>218</v>
      </c>
      <c r="D2188" s="4" t="s">
        <v>223</v>
      </c>
      <c r="E2188" s="4">
        <v>2.9</v>
      </c>
    </row>
    <row r="2189">
      <c r="A2189" s="5">
        <v>104841.0</v>
      </c>
      <c r="B2189" s="6" t="s">
        <v>73</v>
      </c>
      <c r="C2189" s="6" t="s">
        <v>218</v>
      </c>
      <c r="D2189" s="6" t="s">
        <v>223</v>
      </c>
      <c r="E2189" s="6">
        <v>6.68</v>
      </c>
    </row>
    <row r="2190">
      <c r="A2190" s="3">
        <v>20243.0</v>
      </c>
      <c r="B2190" s="4" t="s">
        <v>73</v>
      </c>
      <c r="C2190" s="4" t="s">
        <v>218</v>
      </c>
      <c r="D2190" s="4" t="s">
        <v>223</v>
      </c>
      <c r="E2190" s="4">
        <v>9.53</v>
      </c>
    </row>
    <row r="2191">
      <c r="A2191" s="5">
        <v>10332.0</v>
      </c>
      <c r="B2191" s="6" t="s">
        <v>73</v>
      </c>
      <c r="C2191" s="6" t="s">
        <v>218</v>
      </c>
      <c r="D2191" s="6" t="s">
        <v>224</v>
      </c>
      <c r="E2191" s="6">
        <v>3.07</v>
      </c>
    </row>
    <row r="2192">
      <c r="A2192" s="3">
        <v>7361.0</v>
      </c>
      <c r="B2192" s="4" t="s">
        <v>73</v>
      </c>
      <c r="C2192" s="4" t="s">
        <v>218</v>
      </c>
      <c r="D2192" s="4" t="s">
        <v>224</v>
      </c>
      <c r="E2192" s="4">
        <v>3.65</v>
      </c>
    </row>
    <row r="2193">
      <c r="A2193" s="5">
        <v>21320.0</v>
      </c>
      <c r="B2193" s="6" t="s">
        <v>73</v>
      </c>
      <c r="C2193" s="6" t="s">
        <v>218</v>
      </c>
      <c r="D2193" s="6" t="s">
        <v>224</v>
      </c>
      <c r="E2193" s="6">
        <v>3.45</v>
      </c>
    </row>
    <row r="2194">
      <c r="A2194" s="3">
        <v>7365.0</v>
      </c>
      <c r="B2194" s="4" t="s">
        <v>73</v>
      </c>
      <c r="C2194" s="4" t="s">
        <v>218</v>
      </c>
      <c r="D2194" s="4" t="s">
        <v>224</v>
      </c>
      <c r="E2194" s="4">
        <v>8.08</v>
      </c>
    </row>
    <row r="2195">
      <c r="A2195" s="5">
        <v>7364.0</v>
      </c>
      <c r="B2195" s="6" t="s">
        <v>73</v>
      </c>
      <c r="C2195" s="6" t="s">
        <v>218</v>
      </c>
      <c r="D2195" s="6" t="s">
        <v>224</v>
      </c>
      <c r="E2195" s="6">
        <v>8.88</v>
      </c>
    </row>
    <row r="2196">
      <c r="A2196" s="3">
        <v>7362.0</v>
      </c>
      <c r="B2196" s="4" t="s">
        <v>73</v>
      </c>
      <c r="C2196" s="4" t="s">
        <v>218</v>
      </c>
      <c r="D2196" s="4" t="s">
        <v>224</v>
      </c>
      <c r="E2196" s="4">
        <v>6.3</v>
      </c>
    </row>
    <row r="2197">
      <c r="A2197" s="5">
        <v>117237.0</v>
      </c>
      <c r="B2197" s="6" t="s">
        <v>9</v>
      </c>
      <c r="C2197" s="6" t="s">
        <v>225</v>
      </c>
      <c r="D2197" s="6"/>
      <c r="E2197" s="6">
        <v>3.14</v>
      </c>
    </row>
    <row r="2198">
      <c r="A2198" s="3">
        <v>19784.0</v>
      </c>
      <c r="B2198" s="4" t="s">
        <v>9</v>
      </c>
      <c r="C2198" s="4" t="s">
        <v>225</v>
      </c>
      <c r="D2198" s="4"/>
      <c r="E2198" s="4">
        <v>4.0</v>
      </c>
    </row>
    <row r="2199">
      <c r="A2199" s="5">
        <v>9329.0</v>
      </c>
      <c r="B2199" s="6" t="s">
        <v>9</v>
      </c>
      <c r="C2199" s="6" t="s">
        <v>225</v>
      </c>
      <c r="D2199" s="6"/>
      <c r="E2199" s="6">
        <v>3.55</v>
      </c>
    </row>
    <row r="2200">
      <c r="A2200" s="3">
        <v>10859.0</v>
      </c>
      <c r="B2200" s="4" t="s">
        <v>5</v>
      </c>
      <c r="C2200" s="4" t="s">
        <v>226</v>
      </c>
      <c r="D2200" s="4" t="s">
        <v>227</v>
      </c>
      <c r="E2200" s="4">
        <v>42.51</v>
      </c>
    </row>
    <row r="2201">
      <c r="A2201" s="5">
        <v>118329.0</v>
      </c>
      <c r="B2201" s="6" t="s">
        <v>5</v>
      </c>
      <c r="C2201" s="6" t="s">
        <v>226</v>
      </c>
      <c r="D2201" s="6" t="s">
        <v>228</v>
      </c>
      <c r="E2201" s="6">
        <v>2.97</v>
      </c>
    </row>
    <row r="2202">
      <c r="A2202" s="3">
        <v>105169.0</v>
      </c>
      <c r="B2202" s="4" t="s">
        <v>5</v>
      </c>
      <c r="C2202" s="4" t="s">
        <v>226</v>
      </c>
      <c r="D2202" s="4" t="s">
        <v>228</v>
      </c>
      <c r="E2202" s="4">
        <v>3.15</v>
      </c>
    </row>
    <row r="2203">
      <c r="A2203" s="5">
        <v>90567.0</v>
      </c>
      <c r="B2203" s="6" t="s">
        <v>5</v>
      </c>
      <c r="C2203" s="6" t="s">
        <v>226</v>
      </c>
      <c r="D2203" s="6" t="s">
        <v>228</v>
      </c>
      <c r="E2203" s="6">
        <v>11.62</v>
      </c>
    </row>
    <row r="2204">
      <c r="A2204" s="3">
        <v>46672.0</v>
      </c>
      <c r="B2204" s="4" t="s">
        <v>5</v>
      </c>
      <c r="C2204" s="4" t="s">
        <v>226</v>
      </c>
      <c r="D2204" s="4" t="s">
        <v>229</v>
      </c>
      <c r="E2204" s="4">
        <v>1.18</v>
      </c>
    </row>
    <row r="2205">
      <c r="A2205" s="5">
        <v>118229.0</v>
      </c>
      <c r="B2205" s="6" t="s">
        <v>5</v>
      </c>
      <c r="C2205" s="6" t="s">
        <v>226</v>
      </c>
      <c r="D2205" s="6" t="s">
        <v>230</v>
      </c>
      <c r="E2205" s="6">
        <v>2.63</v>
      </c>
    </row>
    <row r="2206">
      <c r="A2206" s="3">
        <v>193230.0</v>
      </c>
      <c r="B2206" s="4" t="s">
        <v>5</v>
      </c>
      <c r="C2206" s="4" t="s">
        <v>226</v>
      </c>
      <c r="D2206" s="4" t="s">
        <v>230</v>
      </c>
      <c r="E2206" s="4">
        <v>2.81</v>
      </c>
    </row>
    <row r="2207">
      <c r="A2207" s="5">
        <v>193254.0</v>
      </c>
      <c r="B2207" s="6" t="s">
        <v>5</v>
      </c>
      <c r="C2207" s="6" t="s">
        <v>226</v>
      </c>
      <c r="D2207" s="6" t="s">
        <v>230</v>
      </c>
      <c r="E2207" s="6">
        <v>3.25</v>
      </c>
    </row>
    <row r="2208">
      <c r="A2208" s="3">
        <v>113228.0</v>
      </c>
      <c r="B2208" s="4" t="s">
        <v>5</v>
      </c>
      <c r="C2208" s="4" t="s">
        <v>226</v>
      </c>
      <c r="D2208" s="4" t="s">
        <v>230</v>
      </c>
      <c r="E2208" s="4">
        <v>1.35</v>
      </c>
    </row>
    <row r="2209">
      <c r="A2209" s="5">
        <v>193193.0</v>
      </c>
      <c r="B2209" s="6" t="s">
        <v>5</v>
      </c>
      <c r="C2209" s="6" t="s">
        <v>226</v>
      </c>
      <c r="D2209" s="6" t="s">
        <v>230</v>
      </c>
      <c r="E2209" s="6">
        <v>3.25</v>
      </c>
    </row>
    <row r="2210">
      <c r="A2210" s="3">
        <v>113223.0</v>
      </c>
      <c r="B2210" s="4" t="s">
        <v>5</v>
      </c>
      <c r="C2210" s="4" t="s">
        <v>226</v>
      </c>
      <c r="D2210" s="4" t="s">
        <v>230</v>
      </c>
      <c r="E2210" s="4">
        <v>1.49</v>
      </c>
    </row>
    <row r="2211">
      <c r="A2211" s="5">
        <v>113227.0</v>
      </c>
      <c r="B2211" s="6" t="s">
        <v>5</v>
      </c>
      <c r="C2211" s="6" t="s">
        <v>226</v>
      </c>
      <c r="D2211" s="6" t="s">
        <v>230</v>
      </c>
      <c r="E2211" s="6">
        <v>1.35</v>
      </c>
    </row>
    <row r="2212">
      <c r="A2212" s="3">
        <v>114198.0</v>
      </c>
      <c r="B2212" s="4" t="s">
        <v>5</v>
      </c>
      <c r="C2212" s="4" t="s">
        <v>226</v>
      </c>
      <c r="D2212" s="4" t="s">
        <v>230</v>
      </c>
      <c r="E2212" s="4">
        <v>1.04</v>
      </c>
    </row>
    <row r="2213">
      <c r="A2213" s="5">
        <v>100451.0</v>
      </c>
      <c r="B2213" s="6" t="s">
        <v>5</v>
      </c>
      <c r="C2213" s="6" t="s">
        <v>226</v>
      </c>
      <c r="D2213" s="6" t="s">
        <v>230</v>
      </c>
      <c r="E2213" s="6">
        <v>1.67</v>
      </c>
    </row>
    <row r="2214">
      <c r="A2214" s="3">
        <v>100446.0</v>
      </c>
      <c r="B2214" s="4" t="s">
        <v>5</v>
      </c>
      <c r="C2214" s="4" t="s">
        <v>226</v>
      </c>
      <c r="D2214" s="4" t="s">
        <v>230</v>
      </c>
      <c r="E2214" s="4">
        <v>1.12</v>
      </c>
    </row>
    <row r="2215">
      <c r="A2215" s="5">
        <v>193253.0</v>
      </c>
      <c r="B2215" s="6" t="s">
        <v>5</v>
      </c>
      <c r="C2215" s="6" t="s">
        <v>226</v>
      </c>
      <c r="D2215" s="6" t="s">
        <v>230</v>
      </c>
      <c r="E2215" s="6">
        <v>3.25</v>
      </c>
    </row>
    <row r="2216">
      <c r="A2216" s="3">
        <v>82432.0</v>
      </c>
      <c r="B2216" s="4" t="s">
        <v>5</v>
      </c>
      <c r="C2216" s="4" t="s">
        <v>226</v>
      </c>
      <c r="D2216" s="4" t="s">
        <v>230</v>
      </c>
      <c r="E2216" s="4">
        <v>1.86</v>
      </c>
    </row>
    <row r="2217">
      <c r="A2217" s="5">
        <v>122703.0</v>
      </c>
      <c r="B2217" s="6" t="s">
        <v>73</v>
      </c>
      <c r="C2217" s="6" t="s">
        <v>231</v>
      </c>
      <c r="D2217" s="6" t="s">
        <v>232</v>
      </c>
      <c r="E2217" s="6">
        <v>12.32</v>
      </c>
    </row>
    <row r="2218">
      <c r="A2218" s="3">
        <v>129410.0</v>
      </c>
      <c r="B2218" s="4" t="s">
        <v>73</v>
      </c>
      <c r="C2218" s="4" t="s">
        <v>231</v>
      </c>
      <c r="D2218" s="4" t="s">
        <v>232</v>
      </c>
      <c r="E2218" s="4">
        <v>11.15</v>
      </c>
    </row>
    <row r="2219">
      <c r="A2219" s="5">
        <v>103236.0</v>
      </c>
      <c r="B2219" s="6" t="s">
        <v>73</v>
      </c>
      <c r="C2219" s="6" t="s">
        <v>233</v>
      </c>
      <c r="D2219" s="6" t="s">
        <v>234</v>
      </c>
      <c r="E2219" s="6">
        <v>4.93</v>
      </c>
    </row>
    <row r="2220">
      <c r="A2220" s="3">
        <v>127534.0</v>
      </c>
      <c r="B2220" s="4" t="s">
        <v>73</v>
      </c>
      <c r="C2220" s="4" t="s">
        <v>233</v>
      </c>
      <c r="D2220" s="4" t="s">
        <v>234</v>
      </c>
      <c r="E2220" s="4">
        <v>7.37</v>
      </c>
    </row>
    <row r="2221">
      <c r="A2221" s="5">
        <v>100906.0</v>
      </c>
      <c r="B2221" s="6" t="s">
        <v>73</v>
      </c>
      <c r="C2221" s="6" t="s">
        <v>233</v>
      </c>
      <c r="D2221" s="6" t="s">
        <v>235</v>
      </c>
      <c r="E2221" s="6">
        <v>12.54</v>
      </c>
    </row>
    <row r="2222">
      <c r="A2222" s="3">
        <v>109098.0</v>
      </c>
      <c r="B2222" s="4" t="s">
        <v>73</v>
      </c>
      <c r="C2222" s="4" t="s">
        <v>233</v>
      </c>
      <c r="D2222" s="4" t="s">
        <v>235</v>
      </c>
      <c r="E2222" s="4">
        <v>18.25</v>
      </c>
    </row>
    <row r="2223">
      <c r="A2223" s="5">
        <v>155864.0</v>
      </c>
      <c r="B2223" s="6" t="s">
        <v>73</v>
      </c>
      <c r="C2223" s="6" t="s">
        <v>233</v>
      </c>
      <c r="D2223" s="6" t="s">
        <v>235</v>
      </c>
      <c r="E2223" s="6">
        <v>11.44</v>
      </c>
    </row>
    <row r="2224">
      <c r="A2224" s="3">
        <v>120314.0</v>
      </c>
      <c r="B2224" s="4" t="s">
        <v>73</v>
      </c>
      <c r="C2224" s="4" t="s">
        <v>233</v>
      </c>
      <c r="D2224" s="4" t="s">
        <v>235</v>
      </c>
      <c r="E2224" s="4">
        <v>12.61</v>
      </c>
    </row>
    <row r="2225">
      <c r="A2225" s="5">
        <v>199547.0</v>
      </c>
      <c r="B2225" s="6" t="s">
        <v>73</v>
      </c>
      <c r="C2225" s="6" t="s">
        <v>233</v>
      </c>
      <c r="D2225" s="6" t="s">
        <v>236</v>
      </c>
      <c r="E2225" s="6">
        <v>3.33</v>
      </c>
    </row>
    <row r="2226">
      <c r="A2226" s="3">
        <v>110540.0</v>
      </c>
      <c r="B2226" s="4" t="s">
        <v>73</v>
      </c>
      <c r="C2226" s="4" t="s">
        <v>233</v>
      </c>
      <c r="D2226" s="4" t="s">
        <v>236</v>
      </c>
      <c r="E2226" s="4">
        <v>4.23</v>
      </c>
    </row>
    <row r="2227">
      <c r="A2227" s="5">
        <v>182190.0</v>
      </c>
      <c r="B2227" s="6" t="s">
        <v>73</v>
      </c>
      <c r="C2227" s="6" t="s">
        <v>233</v>
      </c>
      <c r="D2227" s="6" t="s">
        <v>236</v>
      </c>
      <c r="E2227" s="6">
        <v>8.07</v>
      </c>
    </row>
    <row r="2228">
      <c r="A2228" s="3">
        <v>79341.0</v>
      </c>
      <c r="B2228" s="4" t="s">
        <v>73</v>
      </c>
      <c r="C2228" s="4" t="s">
        <v>233</v>
      </c>
      <c r="D2228" s="4" t="s">
        <v>236</v>
      </c>
      <c r="E2228" s="4">
        <v>5.87</v>
      </c>
    </row>
    <row r="2229">
      <c r="A2229" s="5">
        <v>108969.0</v>
      </c>
      <c r="B2229" s="6" t="s">
        <v>73</v>
      </c>
      <c r="C2229" s="6" t="s">
        <v>233</v>
      </c>
      <c r="D2229" s="6" t="s">
        <v>236</v>
      </c>
      <c r="E2229" s="6">
        <v>5.0</v>
      </c>
    </row>
    <row r="2230">
      <c r="A2230" s="3">
        <v>79939.0</v>
      </c>
      <c r="B2230" s="4" t="s">
        <v>73</v>
      </c>
      <c r="C2230" s="4" t="s">
        <v>233</v>
      </c>
      <c r="D2230" s="4" t="s">
        <v>236</v>
      </c>
      <c r="E2230" s="4">
        <v>5.62</v>
      </c>
    </row>
    <row r="2231">
      <c r="A2231" s="5">
        <v>11733.0</v>
      </c>
      <c r="B2231" s="6" t="s">
        <v>73</v>
      </c>
      <c r="C2231" s="6" t="s">
        <v>233</v>
      </c>
      <c r="D2231" s="6" t="s">
        <v>236</v>
      </c>
      <c r="E2231" s="6">
        <v>9.5</v>
      </c>
    </row>
    <row r="2232">
      <c r="A2232" s="3">
        <v>12647.0</v>
      </c>
      <c r="B2232" s="4" t="s">
        <v>73</v>
      </c>
      <c r="C2232" s="4" t="s">
        <v>233</v>
      </c>
      <c r="D2232" s="4" t="s">
        <v>236</v>
      </c>
      <c r="E2232" s="4">
        <v>4.49</v>
      </c>
    </row>
    <row r="2233">
      <c r="A2233" s="5">
        <v>122292.0</v>
      </c>
      <c r="B2233" s="6" t="s">
        <v>73</v>
      </c>
      <c r="C2233" s="6" t="s">
        <v>233</v>
      </c>
      <c r="D2233" s="6" t="s">
        <v>236</v>
      </c>
      <c r="E2233" s="6">
        <v>6.74</v>
      </c>
    </row>
    <row r="2234">
      <c r="A2234" s="3">
        <v>117433.0</v>
      </c>
      <c r="B2234" s="4" t="s">
        <v>73</v>
      </c>
      <c r="C2234" s="4" t="s">
        <v>233</v>
      </c>
      <c r="D2234" s="4" t="s">
        <v>236</v>
      </c>
      <c r="E2234" s="4">
        <v>9.4</v>
      </c>
    </row>
    <row r="2235">
      <c r="A2235" s="5">
        <v>127018.0</v>
      </c>
      <c r="B2235" s="6" t="s">
        <v>73</v>
      </c>
      <c r="C2235" s="6" t="s">
        <v>233</v>
      </c>
      <c r="D2235" s="6" t="s">
        <v>236</v>
      </c>
      <c r="E2235" s="6">
        <v>6.56</v>
      </c>
    </row>
    <row r="2236">
      <c r="A2236" s="3">
        <v>9705.0</v>
      </c>
      <c r="B2236" s="4" t="s">
        <v>73</v>
      </c>
      <c r="C2236" s="4" t="s">
        <v>233</v>
      </c>
      <c r="D2236" s="4" t="s">
        <v>236</v>
      </c>
      <c r="E2236" s="4">
        <v>6.4</v>
      </c>
    </row>
    <row r="2237">
      <c r="A2237" s="5">
        <v>9703.0</v>
      </c>
      <c r="B2237" s="6" t="s">
        <v>73</v>
      </c>
      <c r="C2237" s="6" t="s">
        <v>233</v>
      </c>
      <c r="D2237" s="6" t="s">
        <v>236</v>
      </c>
      <c r="E2237" s="6">
        <v>6.4</v>
      </c>
    </row>
    <row r="2238">
      <c r="A2238" s="3">
        <v>86005.0</v>
      </c>
      <c r="B2238" s="4" t="s">
        <v>73</v>
      </c>
      <c r="C2238" s="4" t="s">
        <v>233</v>
      </c>
      <c r="D2238" s="4" t="s">
        <v>236</v>
      </c>
      <c r="E2238" s="4">
        <v>3.49</v>
      </c>
    </row>
    <row r="2239">
      <c r="A2239" s="5">
        <v>9704.0</v>
      </c>
      <c r="B2239" s="6" t="s">
        <v>73</v>
      </c>
      <c r="C2239" s="6" t="s">
        <v>233</v>
      </c>
      <c r="D2239" s="6" t="s">
        <v>236</v>
      </c>
      <c r="E2239" s="6">
        <v>6.4</v>
      </c>
    </row>
    <row r="2240">
      <c r="A2240" s="3">
        <v>182189.0</v>
      </c>
      <c r="B2240" s="4" t="s">
        <v>73</v>
      </c>
      <c r="C2240" s="4" t="s">
        <v>233</v>
      </c>
      <c r="D2240" s="4" t="s">
        <v>236</v>
      </c>
      <c r="E2240" s="4">
        <v>5.7</v>
      </c>
    </row>
    <row r="2241">
      <c r="A2241" s="5">
        <v>29452.0</v>
      </c>
      <c r="B2241" s="6" t="s">
        <v>73</v>
      </c>
      <c r="C2241" s="6" t="s">
        <v>233</v>
      </c>
      <c r="D2241" s="6" t="s">
        <v>236</v>
      </c>
      <c r="E2241" s="6">
        <v>4.12</v>
      </c>
    </row>
    <row r="2242">
      <c r="A2242" s="3">
        <v>122485.0</v>
      </c>
      <c r="B2242" s="4" t="s">
        <v>73</v>
      </c>
      <c r="C2242" s="4" t="s">
        <v>233</v>
      </c>
      <c r="D2242" s="4" t="s">
        <v>236</v>
      </c>
      <c r="E2242" s="4">
        <v>9.65</v>
      </c>
    </row>
    <row r="2243">
      <c r="A2243" s="5">
        <v>9706.0</v>
      </c>
      <c r="B2243" s="6" t="s">
        <v>73</v>
      </c>
      <c r="C2243" s="6" t="s">
        <v>233</v>
      </c>
      <c r="D2243" s="6" t="s">
        <v>236</v>
      </c>
      <c r="E2243" s="6">
        <v>6.4</v>
      </c>
    </row>
    <row r="2244">
      <c r="A2244" s="3">
        <v>12648.0</v>
      </c>
      <c r="B2244" s="4" t="s">
        <v>73</v>
      </c>
      <c r="C2244" s="4" t="s">
        <v>233</v>
      </c>
      <c r="D2244" s="4" t="s">
        <v>236</v>
      </c>
      <c r="E2244" s="4">
        <v>5.91</v>
      </c>
    </row>
    <row r="2245">
      <c r="A2245" s="5">
        <v>93899.0</v>
      </c>
      <c r="B2245" s="6" t="s">
        <v>73</v>
      </c>
      <c r="C2245" s="6" t="s">
        <v>233</v>
      </c>
      <c r="D2245" s="6" t="s">
        <v>237</v>
      </c>
      <c r="E2245" s="6">
        <v>1.7</v>
      </c>
    </row>
    <row r="2246">
      <c r="A2246" s="3">
        <v>28890.0</v>
      </c>
      <c r="B2246" s="4" t="s">
        <v>73</v>
      </c>
      <c r="C2246" s="4" t="s">
        <v>233</v>
      </c>
      <c r="D2246" s="4" t="s">
        <v>237</v>
      </c>
      <c r="E2246" s="4">
        <v>2.68</v>
      </c>
    </row>
    <row r="2247">
      <c r="A2247" s="5">
        <v>17638.0</v>
      </c>
      <c r="B2247" s="6" t="s">
        <v>73</v>
      </c>
      <c r="C2247" s="6" t="s">
        <v>233</v>
      </c>
      <c r="D2247" s="6" t="s">
        <v>237</v>
      </c>
      <c r="E2247" s="6">
        <v>2.89</v>
      </c>
    </row>
    <row r="2248">
      <c r="A2248" s="3">
        <v>28888.0</v>
      </c>
      <c r="B2248" s="4" t="s">
        <v>73</v>
      </c>
      <c r="C2248" s="4" t="s">
        <v>233</v>
      </c>
      <c r="D2248" s="4" t="s">
        <v>237</v>
      </c>
      <c r="E2248" s="4">
        <v>2.4</v>
      </c>
    </row>
    <row r="2249">
      <c r="A2249" s="5">
        <v>29455.0</v>
      </c>
      <c r="B2249" s="6" t="s">
        <v>73</v>
      </c>
      <c r="C2249" s="6" t="s">
        <v>233</v>
      </c>
      <c r="D2249" s="6" t="s">
        <v>237</v>
      </c>
      <c r="E2249" s="6">
        <v>3.07</v>
      </c>
    </row>
    <row r="2250">
      <c r="A2250" s="3">
        <v>93895.0</v>
      </c>
      <c r="B2250" s="4" t="s">
        <v>73</v>
      </c>
      <c r="C2250" s="4" t="s">
        <v>233</v>
      </c>
      <c r="D2250" s="4" t="s">
        <v>237</v>
      </c>
      <c r="E2250" s="4">
        <v>2.08</v>
      </c>
    </row>
    <row r="2251">
      <c r="A2251" s="5">
        <v>116417.0</v>
      </c>
      <c r="B2251" s="6" t="s">
        <v>73</v>
      </c>
      <c r="C2251" s="6" t="s">
        <v>233</v>
      </c>
      <c r="D2251" s="6" t="s">
        <v>237</v>
      </c>
      <c r="E2251" s="6">
        <v>3.35</v>
      </c>
    </row>
    <row r="2252">
      <c r="A2252" s="3">
        <v>1971.0</v>
      </c>
      <c r="B2252" s="4" t="s">
        <v>73</v>
      </c>
      <c r="C2252" s="4" t="s">
        <v>233</v>
      </c>
      <c r="D2252" s="4" t="s">
        <v>237</v>
      </c>
      <c r="E2252" s="4">
        <v>3.06</v>
      </c>
    </row>
    <row r="2253">
      <c r="A2253" s="5">
        <v>12649.0</v>
      </c>
      <c r="B2253" s="6" t="s">
        <v>73</v>
      </c>
      <c r="C2253" s="6" t="s">
        <v>233</v>
      </c>
      <c r="D2253" s="6" t="s">
        <v>237</v>
      </c>
      <c r="E2253" s="6">
        <v>4.57</v>
      </c>
    </row>
    <row r="2254">
      <c r="A2254" s="3">
        <v>93896.0</v>
      </c>
      <c r="B2254" s="4" t="s">
        <v>73</v>
      </c>
      <c r="C2254" s="4" t="s">
        <v>233</v>
      </c>
      <c r="D2254" s="4" t="s">
        <v>237</v>
      </c>
      <c r="E2254" s="4">
        <v>2.08</v>
      </c>
    </row>
    <row r="2255">
      <c r="A2255" s="5">
        <v>44386.0</v>
      </c>
      <c r="B2255" s="6" t="s">
        <v>73</v>
      </c>
      <c r="C2255" s="6" t="s">
        <v>233</v>
      </c>
      <c r="D2255" s="6" t="s">
        <v>237</v>
      </c>
      <c r="E2255" s="6">
        <v>3.91</v>
      </c>
    </row>
    <row r="2256">
      <c r="A2256" s="3">
        <v>188156.0</v>
      </c>
      <c r="B2256" s="4" t="s">
        <v>73</v>
      </c>
      <c r="C2256" s="4" t="s">
        <v>233</v>
      </c>
      <c r="D2256" s="4" t="s">
        <v>237</v>
      </c>
      <c r="E2256" s="4">
        <v>3.15</v>
      </c>
    </row>
    <row r="2257">
      <c r="A2257" s="5">
        <v>7360.0</v>
      </c>
      <c r="B2257" s="6" t="s">
        <v>73</v>
      </c>
      <c r="C2257" s="6" t="s">
        <v>233</v>
      </c>
      <c r="D2257" s="6" t="s">
        <v>237</v>
      </c>
      <c r="E2257" s="6">
        <v>1.03</v>
      </c>
    </row>
    <row r="2258">
      <c r="A2258" s="3">
        <v>79323.0</v>
      </c>
      <c r="B2258" s="4" t="s">
        <v>73</v>
      </c>
      <c r="C2258" s="4" t="s">
        <v>233</v>
      </c>
      <c r="D2258" s="4" t="s">
        <v>238</v>
      </c>
      <c r="E2258" s="4">
        <v>4.76</v>
      </c>
    </row>
    <row r="2259">
      <c r="A2259" s="5">
        <v>72015.0</v>
      </c>
      <c r="B2259" s="6" t="s">
        <v>73</v>
      </c>
      <c r="C2259" s="6" t="s">
        <v>233</v>
      </c>
      <c r="D2259" s="6" t="s">
        <v>238</v>
      </c>
      <c r="E2259" s="6">
        <v>2.24</v>
      </c>
    </row>
    <row r="2260">
      <c r="A2260" s="3">
        <v>44310.0</v>
      </c>
      <c r="B2260" s="4" t="s">
        <v>73</v>
      </c>
      <c r="C2260" s="4" t="s">
        <v>233</v>
      </c>
      <c r="D2260" s="4" t="s">
        <v>238</v>
      </c>
      <c r="E2260" s="4">
        <v>3.56</v>
      </c>
    </row>
    <row r="2261">
      <c r="A2261" s="5">
        <v>77044.0</v>
      </c>
      <c r="B2261" s="6" t="s">
        <v>73</v>
      </c>
      <c r="C2261" s="6" t="s">
        <v>233</v>
      </c>
      <c r="D2261" s="6" t="s">
        <v>238</v>
      </c>
      <c r="E2261" s="6">
        <v>6.36</v>
      </c>
    </row>
    <row r="2262">
      <c r="A2262" s="3">
        <v>120636.0</v>
      </c>
      <c r="B2262" s="4" t="s">
        <v>73</v>
      </c>
      <c r="C2262" s="4" t="s">
        <v>233</v>
      </c>
      <c r="D2262" s="4" t="s">
        <v>238</v>
      </c>
      <c r="E2262" s="4">
        <v>5.41</v>
      </c>
    </row>
    <row r="2263">
      <c r="A2263" s="5">
        <v>92662.0</v>
      </c>
      <c r="B2263" s="6" t="s">
        <v>73</v>
      </c>
      <c r="C2263" s="6" t="s">
        <v>233</v>
      </c>
      <c r="D2263" s="6" t="s">
        <v>238</v>
      </c>
      <c r="E2263" s="6">
        <v>3.23</v>
      </c>
    </row>
    <row r="2264">
      <c r="A2264" s="3">
        <v>117263.0</v>
      </c>
      <c r="B2264" s="4" t="s">
        <v>73</v>
      </c>
      <c r="C2264" s="4" t="s">
        <v>233</v>
      </c>
      <c r="D2264" s="4" t="s">
        <v>239</v>
      </c>
      <c r="E2264" s="4">
        <v>3.48</v>
      </c>
    </row>
    <row r="2265">
      <c r="A2265" s="5">
        <v>117261.0</v>
      </c>
      <c r="B2265" s="6" t="s">
        <v>73</v>
      </c>
      <c r="C2265" s="6" t="s">
        <v>233</v>
      </c>
      <c r="D2265" s="6" t="s">
        <v>239</v>
      </c>
      <c r="E2265" s="6">
        <v>3.48</v>
      </c>
    </row>
    <row r="2266">
      <c r="A2266" s="3">
        <v>10644.0</v>
      </c>
      <c r="B2266" s="4" t="s">
        <v>73</v>
      </c>
      <c r="C2266" s="4" t="s">
        <v>233</v>
      </c>
      <c r="D2266" s="4" t="s">
        <v>239</v>
      </c>
      <c r="E2266" s="4">
        <v>14.0</v>
      </c>
    </row>
    <row r="2267">
      <c r="A2267" s="5">
        <v>102457.0</v>
      </c>
      <c r="B2267" s="6" t="s">
        <v>73</v>
      </c>
      <c r="C2267" s="6" t="s">
        <v>233</v>
      </c>
      <c r="D2267" s="6" t="s">
        <v>240</v>
      </c>
      <c r="E2267" s="6">
        <v>2.77</v>
      </c>
    </row>
    <row r="2268">
      <c r="A2268" s="3">
        <v>117419.0</v>
      </c>
      <c r="B2268" s="4" t="s">
        <v>73</v>
      </c>
      <c r="C2268" s="4" t="s">
        <v>233</v>
      </c>
      <c r="D2268" s="4" t="s">
        <v>240</v>
      </c>
      <c r="E2268" s="4">
        <v>7.54</v>
      </c>
    </row>
    <row r="2269">
      <c r="A2269" s="5">
        <v>150939.0</v>
      </c>
      <c r="B2269" s="6" t="s">
        <v>73</v>
      </c>
      <c r="C2269" s="6" t="s">
        <v>233</v>
      </c>
      <c r="D2269" s="6" t="s">
        <v>240</v>
      </c>
      <c r="E2269" s="6">
        <v>6.53</v>
      </c>
    </row>
    <row r="2270">
      <c r="A2270" s="3">
        <v>10517.0</v>
      </c>
      <c r="B2270" s="4" t="s">
        <v>73</v>
      </c>
      <c r="C2270" s="4" t="s">
        <v>233</v>
      </c>
      <c r="D2270" s="4" t="s">
        <v>240</v>
      </c>
      <c r="E2270" s="4">
        <v>4.24</v>
      </c>
    </row>
    <row r="2271">
      <c r="A2271" s="5">
        <v>79109.0</v>
      </c>
      <c r="B2271" s="6" t="s">
        <v>73</v>
      </c>
      <c r="C2271" s="6" t="s">
        <v>233</v>
      </c>
      <c r="D2271" s="6" t="s">
        <v>240</v>
      </c>
      <c r="E2271" s="6">
        <v>2.44</v>
      </c>
    </row>
    <row r="2272">
      <c r="A2272" s="3">
        <v>118918.0</v>
      </c>
      <c r="B2272" s="4" t="s">
        <v>73</v>
      </c>
      <c r="C2272" s="4" t="s">
        <v>233</v>
      </c>
      <c r="D2272" s="4" t="s">
        <v>240</v>
      </c>
      <c r="E2272" s="4">
        <v>4.42</v>
      </c>
    </row>
    <row r="2273">
      <c r="A2273" s="5">
        <v>102456.0</v>
      </c>
      <c r="B2273" s="6" t="s">
        <v>73</v>
      </c>
      <c r="C2273" s="6" t="s">
        <v>233</v>
      </c>
      <c r="D2273" s="6" t="s">
        <v>240</v>
      </c>
      <c r="E2273" s="6">
        <v>2.77</v>
      </c>
    </row>
    <row r="2274">
      <c r="A2274" s="3">
        <v>155865.0</v>
      </c>
      <c r="B2274" s="4" t="s">
        <v>73</v>
      </c>
      <c r="C2274" s="4" t="s">
        <v>233</v>
      </c>
      <c r="D2274" s="4" t="s">
        <v>240</v>
      </c>
      <c r="E2274" s="4">
        <v>15.59</v>
      </c>
    </row>
    <row r="2275">
      <c r="A2275" s="5">
        <v>100443.0</v>
      </c>
      <c r="B2275" s="6" t="s">
        <v>73</v>
      </c>
      <c r="C2275" s="6" t="s">
        <v>233</v>
      </c>
      <c r="D2275" s="6" t="s">
        <v>240</v>
      </c>
      <c r="E2275" s="6">
        <v>5.59</v>
      </c>
    </row>
    <row r="2276">
      <c r="A2276" s="3">
        <v>93833.0</v>
      </c>
      <c r="B2276" s="4" t="s">
        <v>73</v>
      </c>
      <c r="C2276" s="4" t="s">
        <v>233</v>
      </c>
      <c r="D2276" s="4" t="s">
        <v>240</v>
      </c>
      <c r="E2276" s="4">
        <v>3.36</v>
      </c>
    </row>
    <row r="2277">
      <c r="A2277" s="5">
        <v>76693.0</v>
      </c>
      <c r="B2277" s="6" t="s">
        <v>73</v>
      </c>
      <c r="C2277" s="6" t="s">
        <v>233</v>
      </c>
      <c r="D2277" s="6" t="s">
        <v>240</v>
      </c>
      <c r="E2277" s="6">
        <v>6.57</v>
      </c>
    </row>
    <row r="2278">
      <c r="A2278" s="3">
        <v>100441.0</v>
      </c>
      <c r="B2278" s="4" t="s">
        <v>73</v>
      </c>
      <c r="C2278" s="4" t="s">
        <v>233</v>
      </c>
      <c r="D2278" s="4" t="s">
        <v>240</v>
      </c>
      <c r="E2278" s="4">
        <v>5.59</v>
      </c>
    </row>
    <row r="2279">
      <c r="A2279" s="5">
        <v>103230.0</v>
      </c>
      <c r="B2279" s="6" t="s">
        <v>73</v>
      </c>
      <c r="C2279" s="6" t="s">
        <v>233</v>
      </c>
      <c r="D2279" s="6" t="s">
        <v>240</v>
      </c>
      <c r="E2279" s="6">
        <v>6.43</v>
      </c>
    </row>
    <row r="2280">
      <c r="A2280" s="3">
        <v>117902.0</v>
      </c>
      <c r="B2280" s="4" t="s">
        <v>5</v>
      </c>
      <c r="C2280" s="4" t="s">
        <v>241</v>
      </c>
      <c r="D2280" s="4" t="s">
        <v>242</v>
      </c>
      <c r="E2280" s="4">
        <v>8.19</v>
      </c>
    </row>
    <row r="2281">
      <c r="A2281" s="5">
        <v>105745.0</v>
      </c>
      <c r="B2281" s="6" t="s">
        <v>5</v>
      </c>
      <c r="C2281" s="6" t="s">
        <v>241</v>
      </c>
      <c r="D2281" s="6" t="s">
        <v>243</v>
      </c>
      <c r="E2281" s="6">
        <v>1.63</v>
      </c>
    </row>
    <row r="2282">
      <c r="A2282" s="3">
        <v>100811.0</v>
      </c>
      <c r="B2282" s="4" t="s">
        <v>5</v>
      </c>
      <c r="C2282" s="4" t="s">
        <v>241</v>
      </c>
      <c r="D2282" s="4" t="s">
        <v>243</v>
      </c>
      <c r="E2282" s="4">
        <v>5.99</v>
      </c>
    </row>
    <row r="2283">
      <c r="A2283" s="5">
        <v>102505.0</v>
      </c>
      <c r="B2283" s="6" t="s">
        <v>5</v>
      </c>
      <c r="C2283" s="6" t="s">
        <v>241</v>
      </c>
      <c r="D2283" s="6" t="s">
        <v>244</v>
      </c>
      <c r="E2283" s="6">
        <v>3.99</v>
      </c>
    </row>
    <row r="2284">
      <c r="A2284" s="3">
        <v>121317.0</v>
      </c>
      <c r="B2284" s="4" t="s">
        <v>5</v>
      </c>
      <c r="C2284" s="4" t="s">
        <v>241</v>
      </c>
      <c r="D2284" s="4" t="s">
        <v>244</v>
      </c>
      <c r="E2284" s="4">
        <v>2.04</v>
      </c>
    </row>
    <row r="2285">
      <c r="A2285" s="5">
        <v>121318.0</v>
      </c>
      <c r="B2285" s="6" t="s">
        <v>5</v>
      </c>
      <c r="C2285" s="6" t="s">
        <v>241</v>
      </c>
      <c r="D2285" s="6" t="s">
        <v>244</v>
      </c>
      <c r="E2285" s="6">
        <v>2.04</v>
      </c>
    </row>
    <row r="2286">
      <c r="A2286" s="3">
        <v>95155.0</v>
      </c>
      <c r="B2286" s="4" t="s">
        <v>5</v>
      </c>
      <c r="C2286" s="4" t="s">
        <v>241</v>
      </c>
      <c r="D2286" s="4" t="s">
        <v>245</v>
      </c>
      <c r="E2286" s="4">
        <v>1.17</v>
      </c>
    </row>
    <row r="2287">
      <c r="A2287" s="5">
        <v>25199.0</v>
      </c>
      <c r="B2287" s="6" t="s">
        <v>5</v>
      </c>
      <c r="C2287" s="6" t="s">
        <v>241</v>
      </c>
      <c r="D2287" s="6" t="s">
        <v>245</v>
      </c>
      <c r="E2287" s="6">
        <v>1.99</v>
      </c>
    </row>
    <row r="2288">
      <c r="A2288" s="3">
        <v>156020.0</v>
      </c>
      <c r="B2288" s="4" t="s">
        <v>5</v>
      </c>
      <c r="C2288" s="4" t="s">
        <v>241</v>
      </c>
      <c r="D2288" s="4" t="s">
        <v>245</v>
      </c>
      <c r="E2288" s="4">
        <v>5.84</v>
      </c>
    </row>
    <row r="2289">
      <c r="A2289" s="5">
        <v>28587.0</v>
      </c>
      <c r="B2289" s="6" t="s">
        <v>5</v>
      </c>
      <c r="C2289" s="6" t="s">
        <v>241</v>
      </c>
      <c r="D2289" s="6" t="s">
        <v>245</v>
      </c>
      <c r="E2289" s="6">
        <v>1.99</v>
      </c>
    </row>
    <row r="2290">
      <c r="A2290" s="3">
        <v>16050.0</v>
      </c>
      <c r="B2290" s="4" t="s">
        <v>5</v>
      </c>
      <c r="C2290" s="4" t="s">
        <v>241</v>
      </c>
      <c r="D2290" s="4" t="s">
        <v>245</v>
      </c>
      <c r="E2290" s="4">
        <v>1.19</v>
      </c>
    </row>
    <row r="2291">
      <c r="A2291" s="5">
        <v>119453.0</v>
      </c>
      <c r="B2291" s="6" t="s">
        <v>5</v>
      </c>
      <c r="C2291" s="6" t="s">
        <v>241</v>
      </c>
      <c r="D2291" s="6" t="s">
        <v>245</v>
      </c>
      <c r="E2291" s="6">
        <v>1.32</v>
      </c>
    </row>
    <row r="2292">
      <c r="A2292" s="3">
        <v>113070.0</v>
      </c>
      <c r="B2292" s="4" t="s">
        <v>5</v>
      </c>
      <c r="C2292" s="4" t="s">
        <v>241</v>
      </c>
      <c r="D2292" s="4" t="s">
        <v>246</v>
      </c>
      <c r="E2292" s="4">
        <v>0.76</v>
      </c>
    </row>
    <row r="2293">
      <c r="A2293" s="5">
        <v>99097.0</v>
      </c>
      <c r="B2293" s="6" t="s">
        <v>5</v>
      </c>
      <c r="C2293" s="6" t="s">
        <v>241</v>
      </c>
      <c r="D2293" s="6" t="s">
        <v>246</v>
      </c>
      <c r="E2293" s="6">
        <v>0.84</v>
      </c>
    </row>
    <row r="2294">
      <c r="A2294" s="3">
        <v>99099.0</v>
      </c>
      <c r="B2294" s="4" t="s">
        <v>5</v>
      </c>
      <c r="C2294" s="4" t="s">
        <v>241</v>
      </c>
      <c r="D2294" s="4" t="s">
        <v>246</v>
      </c>
      <c r="E2294" s="4">
        <v>0.98</v>
      </c>
    </row>
    <row r="2295">
      <c r="A2295" s="5">
        <v>104998.0</v>
      </c>
      <c r="B2295" s="6" t="s">
        <v>9</v>
      </c>
      <c r="C2295" s="6" t="s">
        <v>247</v>
      </c>
      <c r="D2295" s="6"/>
      <c r="E2295" s="6">
        <v>2.75</v>
      </c>
    </row>
    <row r="2296">
      <c r="A2296" s="3">
        <v>110524.0</v>
      </c>
      <c r="B2296" s="4" t="s">
        <v>9</v>
      </c>
      <c r="C2296" s="4" t="s">
        <v>247</v>
      </c>
      <c r="D2296" s="4"/>
      <c r="E2296" s="4">
        <v>3.48</v>
      </c>
    </row>
    <row r="2297">
      <c r="A2297" s="5">
        <v>117133.0</v>
      </c>
      <c r="B2297" s="6" t="s">
        <v>5</v>
      </c>
      <c r="C2297" s="6" t="s">
        <v>248</v>
      </c>
      <c r="D2297" s="6" t="s">
        <v>249</v>
      </c>
      <c r="E2297" s="6">
        <v>214.32</v>
      </c>
    </row>
    <row r="2298">
      <c r="A2298" s="3">
        <v>70696.0</v>
      </c>
      <c r="B2298" s="4" t="s">
        <v>5</v>
      </c>
      <c r="C2298" s="4" t="s">
        <v>248</v>
      </c>
      <c r="D2298" s="4" t="s">
        <v>249</v>
      </c>
      <c r="E2298" s="4">
        <v>31.08</v>
      </c>
    </row>
    <row r="2299">
      <c r="A2299" s="5">
        <v>121278.0</v>
      </c>
      <c r="B2299" s="6" t="s">
        <v>5</v>
      </c>
      <c r="C2299" s="6" t="s">
        <v>248</v>
      </c>
      <c r="D2299" s="6" t="s">
        <v>250</v>
      </c>
      <c r="E2299" s="6">
        <v>11.4</v>
      </c>
    </row>
    <row r="2300">
      <c r="A2300" s="3">
        <v>74382.0</v>
      </c>
      <c r="B2300" s="4" t="s">
        <v>9</v>
      </c>
      <c r="C2300" s="4" t="s">
        <v>251</v>
      </c>
      <c r="D2300" s="4" t="s">
        <v>252</v>
      </c>
      <c r="E2300" s="4">
        <v>2.83</v>
      </c>
    </row>
    <row r="2301">
      <c r="A2301" s="5">
        <v>121921.0</v>
      </c>
      <c r="B2301" s="6" t="s">
        <v>9</v>
      </c>
      <c r="C2301" s="6" t="s">
        <v>251</v>
      </c>
      <c r="D2301" s="6" t="s">
        <v>253</v>
      </c>
      <c r="E2301" s="6">
        <v>9.78</v>
      </c>
    </row>
    <row r="2302">
      <c r="A2302" s="3">
        <v>83853.0</v>
      </c>
      <c r="B2302" s="4" t="s">
        <v>9</v>
      </c>
      <c r="C2302" s="4" t="s">
        <v>251</v>
      </c>
      <c r="D2302" s="4" t="s">
        <v>254</v>
      </c>
      <c r="E2302" s="4">
        <v>1.33</v>
      </c>
    </row>
    <row r="2303">
      <c r="A2303" s="5">
        <v>111706.0</v>
      </c>
      <c r="B2303" s="6" t="s">
        <v>9</v>
      </c>
      <c r="C2303" s="6" t="s">
        <v>251</v>
      </c>
      <c r="D2303" s="6" t="s">
        <v>254</v>
      </c>
      <c r="E2303" s="6">
        <v>2.42</v>
      </c>
    </row>
    <row r="2304">
      <c r="A2304" s="3">
        <v>15062.0</v>
      </c>
      <c r="B2304" s="4" t="s">
        <v>9</v>
      </c>
      <c r="C2304" s="4" t="s">
        <v>251</v>
      </c>
      <c r="D2304" s="4" t="s">
        <v>255</v>
      </c>
      <c r="E2304" s="4">
        <v>1.79</v>
      </c>
    </row>
    <row r="2305">
      <c r="A2305" s="5">
        <v>79948.0</v>
      </c>
      <c r="B2305" s="6" t="s">
        <v>9</v>
      </c>
      <c r="C2305" s="6" t="s">
        <v>251</v>
      </c>
      <c r="D2305" s="6" t="s">
        <v>255</v>
      </c>
      <c r="E2305" s="6">
        <v>2.09</v>
      </c>
    </row>
    <row r="2306">
      <c r="A2306" s="3">
        <v>84400.0</v>
      </c>
      <c r="B2306" s="4" t="s">
        <v>9</v>
      </c>
      <c r="C2306" s="4" t="s">
        <v>251</v>
      </c>
      <c r="D2306" s="4" t="s">
        <v>255</v>
      </c>
      <c r="E2306" s="4">
        <v>1.27</v>
      </c>
    </row>
    <row r="2307">
      <c r="A2307" s="5">
        <v>79299.0</v>
      </c>
      <c r="B2307" s="6" t="s">
        <v>9</v>
      </c>
      <c r="C2307" s="6" t="s">
        <v>251</v>
      </c>
      <c r="D2307" s="6" t="s">
        <v>255</v>
      </c>
      <c r="E2307" s="6">
        <v>2.58</v>
      </c>
    </row>
    <row r="2308">
      <c r="A2308" s="3">
        <v>19776.0</v>
      </c>
      <c r="B2308" s="4" t="s">
        <v>9</v>
      </c>
      <c r="C2308" s="4" t="s">
        <v>251</v>
      </c>
      <c r="D2308" s="4" t="s">
        <v>255</v>
      </c>
      <c r="E2308" s="4">
        <v>1.77</v>
      </c>
    </row>
    <row r="2309">
      <c r="A2309" s="5">
        <v>74392.0</v>
      </c>
      <c r="B2309" s="6" t="s">
        <v>9</v>
      </c>
      <c r="C2309" s="6" t="s">
        <v>251</v>
      </c>
      <c r="D2309" s="6" t="s">
        <v>256</v>
      </c>
      <c r="E2309" s="6">
        <v>2.77</v>
      </c>
    </row>
    <row r="2310">
      <c r="A2310" s="3">
        <v>83399.0</v>
      </c>
      <c r="B2310" s="4" t="s">
        <v>9</v>
      </c>
      <c r="C2310" s="4" t="s">
        <v>251</v>
      </c>
      <c r="D2310" s="4" t="s">
        <v>256</v>
      </c>
      <c r="E2310" s="4">
        <v>2.37</v>
      </c>
    </row>
    <row r="2311">
      <c r="A2311" s="5">
        <v>74383.0</v>
      </c>
      <c r="B2311" s="6" t="s">
        <v>9</v>
      </c>
      <c r="C2311" s="6" t="s">
        <v>251</v>
      </c>
      <c r="D2311" s="6" t="s">
        <v>256</v>
      </c>
      <c r="E2311" s="6">
        <v>2.82</v>
      </c>
    </row>
    <row r="2312">
      <c r="A2312" s="3">
        <v>100819.0</v>
      </c>
      <c r="B2312" s="4" t="s">
        <v>9</v>
      </c>
      <c r="C2312" s="4" t="s">
        <v>251</v>
      </c>
      <c r="D2312" s="4" t="s">
        <v>256</v>
      </c>
      <c r="E2312" s="4">
        <v>2.58</v>
      </c>
    </row>
    <row r="2313">
      <c r="A2313" s="5">
        <v>190857.0</v>
      </c>
      <c r="B2313" s="6" t="s">
        <v>9</v>
      </c>
      <c r="C2313" s="6" t="s">
        <v>251</v>
      </c>
      <c r="D2313" s="6" t="s">
        <v>256</v>
      </c>
      <c r="E2313" s="6">
        <v>3.33</v>
      </c>
    </row>
    <row r="2314">
      <c r="A2314" s="3">
        <v>120331.0</v>
      </c>
      <c r="B2314" s="4" t="s">
        <v>9</v>
      </c>
      <c r="C2314" s="4" t="s">
        <v>251</v>
      </c>
      <c r="D2314" s="4" t="s">
        <v>256</v>
      </c>
      <c r="E2314" s="4">
        <v>2.58</v>
      </c>
    </row>
    <row r="2315">
      <c r="A2315" s="5">
        <v>87580.0</v>
      </c>
      <c r="B2315" s="6" t="s">
        <v>9</v>
      </c>
      <c r="C2315" s="6" t="s">
        <v>251</v>
      </c>
      <c r="D2315" s="6" t="s">
        <v>256</v>
      </c>
      <c r="E2315" s="6">
        <v>2.53</v>
      </c>
    </row>
    <row r="2316">
      <c r="A2316" s="3">
        <v>79300.0</v>
      </c>
      <c r="B2316" s="4" t="s">
        <v>9</v>
      </c>
      <c r="C2316" s="4" t="s">
        <v>251</v>
      </c>
      <c r="D2316" s="4" t="s">
        <v>256</v>
      </c>
      <c r="E2316" s="4">
        <v>2.58</v>
      </c>
    </row>
    <row r="2317">
      <c r="A2317" s="5">
        <v>79950.0</v>
      </c>
      <c r="B2317" s="6" t="s">
        <v>9</v>
      </c>
      <c r="C2317" s="6" t="s">
        <v>251</v>
      </c>
      <c r="D2317" s="6" t="s">
        <v>257</v>
      </c>
      <c r="E2317" s="6">
        <v>2.53</v>
      </c>
    </row>
    <row r="2318">
      <c r="A2318" s="3">
        <v>84402.0</v>
      </c>
      <c r="B2318" s="4" t="s">
        <v>9</v>
      </c>
      <c r="C2318" s="4" t="s">
        <v>251</v>
      </c>
      <c r="D2318" s="4" t="s">
        <v>257</v>
      </c>
      <c r="E2318" s="4">
        <v>1.27</v>
      </c>
    </row>
    <row r="2319">
      <c r="A2319" s="5">
        <v>79298.0</v>
      </c>
      <c r="B2319" s="6" t="s">
        <v>9</v>
      </c>
      <c r="C2319" s="6" t="s">
        <v>251</v>
      </c>
      <c r="D2319" s="6" t="s">
        <v>257</v>
      </c>
      <c r="E2319" s="6">
        <v>2.54</v>
      </c>
    </row>
    <row r="2320">
      <c r="A2320" s="3">
        <v>145105.0</v>
      </c>
      <c r="B2320" s="4" t="s">
        <v>5</v>
      </c>
      <c r="C2320" s="4" t="s">
        <v>258</v>
      </c>
      <c r="D2320" s="4" t="s">
        <v>259</v>
      </c>
      <c r="E2320" s="4">
        <v>4.7</v>
      </c>
    </row>
    <row r="2321">
      <c r="A2321" s="5">
        <v>92313.0</v>
      </c>
      <c r="B2321" s="6" t="s">
        <v>5</v>
      </c>
      <c r="C2321" s="6" t="s">
        <v>258</v>
      </c>
      <c r="D2321" s="6" t="s">
        <v>260</v>
      </c>
      <c r="E2321" s="6">
        <v>6.4</v>
      </c>
    </row>
    <row r="2322">
      <c r="A2322" s="3">
        <v>121735.0</v>
      </c>
      <c r="B2322" s="4" t="s">
        <v>5</v>
      </c>
      <c r="C2322" s="4" t="s">
        <v>258</v>
      </c>
      <c r="D2322" s="4" t="s">
        <v>261</v>
      </c>
      <c r="E2322" s="4">
        <v>9.95</v>
      </c>
    </row>
    <row r="2323">
      <c r="A2323" s="5">
        <v>47545.0</v>
      </c>
      <c r="B2323" s="6" t="s">
        <v>60</v>
      </c>
      <c r="C2323" s="6" t="s">
        <v>262</v>
      </c>
      <c r="D2323" s="6" t="s">
        <v>263</v>
      </c>
      <c r="E2323" s="6">
        <v>1.89</v>
      </c>
    </row>
    <row r="2324">
      <c r="A2324" s="3">
        <v>122630.0</v>
      </c>
      <c r="B2324" s="4" t="s">
        <v>60</v>
      </c>
      <c r="C2324" s="4" t="s">
        <v>262</v>
      </c>
      <c r="D2324" s="4" t="s">
        <v>264</v>
      </c>
      <c r="E2324" s="4">
        <v>2.02</v>
      </c>
    </row>
    <row r="2325">
      <c r="A2325" s="5">
        <v>159490.0</v>
      </c>
      <c r="B2325" s="6" t="s">
        <v>60</v>
      </c>
      <c r="C2325" s="6" t="s">
        <v>262</v>
      </c>
      <c r="D2325" s="6" t="s">
        <v>264</v>
      </c>
      <c r="E2325" s="6">
        <v>1.93</v>
      </c>
    </row>
    <row r="2326">
      <c r="A2326" s="3">
        <v>120519.0</v>
      </c>
      <c r="B2326" s="4" t="s">
        <v>60</v>
      </c>
      <c r="C2326" s="4" t="s">
        <v>262</v>
      </c>
      <c r="D2326" s="4" t="s">
        <v>264</v>
      </c>
      <c r="E2326" s="4">
        <v>4.54</v>
      </c>
    </row>
    <row r="2327">
      <c r="A2327" s="5">
        <v>159403.0</v>
      </c>
      <c r="B2327" s="6" t="s">
        <v>60</v>
      </c>
      <c r="C2327" s="6" t="s">
        <v>262</v>
      </c>
      <c r="D2327" s="6" t="s">
        <v>264</v>
      </c>
      <c r="E2327" s="6">
        <v>1.93</v>
      </c>
    </row>
    <row r="2328">
      <c r="A2328" s="3">
        <v>159617.0</v>
      </c>
      <c r="B2328" s="4" t="s">
        <v>60</v>
      </c>
      <c r="C2328" s="4" t="s">
        <v>262</v>
      </c>
      <c r="D2328" s="4" t="s">
        <v>264</v>
      </c>
      <c r="E2328" s="4">
        <v>2.13</v>
      </c>
    </row>
    <row r="2329">
      <c r="A2329" s="5">
        <v>85839.0</v>
      </c>
      <c r="B2329" s="6" t="s">
        <v>60</v>
      </c>
      <c r="C2329" s="6" t="s">
        <v>262</v>
      </c>
      <c r="D2329" s="6" t="s">
        <v>264</v>
      </c>
      <c r="E2329" s="6">
        <v>1.71</v>
      </c>
    </row>
    <row r="2330">
      <c r="A2330" s="3">
        <v>85838.0</v>
      </c>
      <c r="B2330" s="4" t="s">
        <v>60</v>
      </c>
      <c r="C2330" s="4" t="s">
        <v>262</v>
      </c>
      <c r="D2330" s="4" t="s">
        <v>264</v>
      </c>
      <c r="E2330" s="4">
        <v>1.67</v>
      </c>
    </row>
    <row r="2331">
      <c r="A2331" s="5">
        <v>8868.0</v>
      </c>
      <c r="B2331" s="6" t="s">
        <v>60</v>
      </c>
      <c r="C2331" s="6" t="s">
        <v>262</v>
      </c>
      <c r="D2331" s="6" t="s">
        <v>264</v>
      </c>
      <c r="E2331" s="6">
        <v>3.29</v>
      </c>
    </row>
    <row r="2332">
      <c r="A2332" s="3">
        <v>116191.0</v>
      </c>
      <c r="B2332" s="4" t="s">
        <v>60</v>
      </c>
      <c r="C2332" s="4" t="s">
        <v>262</v>
      </c>
      <c r="D2332" s="4" t="s">
        <v>265</v>
      </c>
      <c r="E2332" s="4">
        <v>1.59</v>
      </c>
    </row>
    <row r="2333">
      <c r="A2333" s="5">
        <v>90828.0</v>
      </c>
      <c r="B2333" s="6" t="s">
        <v>60</v>
      </c>
      <c r="C2333" s="6" t="s">
        <v>262</v>
      </c>
      <c r="D2333" s="6" t="s">
        <v>266</v>
      </c>
      <c r="E2333" s="6">
        <v>1.43</v>
      </c>
    </row>
    <row r="2334">
      <c r="A2334" s="3">
        <v>26276.0</v>
      </c>
      <c r="B2334" s="4" t="s">
        <v>60</v>
      </c>
      <c r="C2334" s="4" t="s">
        <v>262</v>
      </c>
      <c r="D2334" s="4" t="s">
        <v>266</v>
      </c>
      <c r="E2334" s="4">
        <v>2.36</v>
      </c>
    </row>
    <row r="2335">
      <c r="A2335" s="5">
        <v>29022.0</v>
      </c>
      <c r="B2335" s="6" t="s">
        <v>60</v>
      </c>
      <c r="C2335" s="6" t="s">
        <v>262</v>
      </c>
      <c r="D2335" s="6" t="s">
        <v>266</v>
      </c>
      <c r="E2335" s="6">
        <v>2.36</v>
      </c>
    </row>
    <row r="2336">
      <c r="A2336" s="3">
        <v>111081.0</v>
      </c>
      <c r="B2336" s="4" t="s">
        <v>60</v>
      </c>
      <c r="C2336" s="4" t="s">
        <v>262</v>
      </c>
      <c r="D2336" s="4" t="s">
        <v>266</v>
      </c>
      <c r="E2336" s="4">
        <v>1.7</v>
      </c>
    </row>
    <row r="2337">
      <c r="A2337" s="5">
        <v>26277.0</v>
      </c>
      <c r="B2337" s="6" t="s">
        <v>60</v>
      </c>
      <c r="C2337" s="6" t="s">
        <v>262</v>
      </c>
      <c r="D2337" s="6" t="s">
        <v>266</v>
      </c>
      <c r="E2337" s="6">
        <v>2.36</v>
      </c>
    </row>
    <row r="2338">
      <c r="A2338" s="3">
        <v>100251.0</v>
      </c>
      <c r="B2338" s="4" t="s">
        <v>60</v>
      </c>
      <c r="C2338" s="4" t="s">
        <v>262</v>
      </c>
      <c r="D2338" s="4" t="s">
        <v>266</v>
      </c>
      <c r="E2338" s="4">
        <v>1.68</v>
      </c>
    </row>
    <row r="2339">
      <c r="A2339" s="5">
        <v>87885.0</v>
      </c>
      <c r="B2339" s="6" t="s">
        <v>60</v>
      </c>
      <c r="C2339" s="6" t="s">
        <v>262</v>
      </c>
      <c r="D2339" s="6" t="s">
        <v>266</v>
      </c>
      <c r="E2339" s="6">
        <v>2.32</v>
      </c>
    </row>
    <row r="2340">
      <c r="A2340" s="3">
        <v>29023.0</v>
      </c>
      <c r="B2340" s="4" t="s">
        <v>60</v>
      </c>
      <c r="C2340" s="4" t="s">
        <v>262</v>
      </c>
      <c r="D2340" s="4" t="s">
        <v>266</v>
      </c>
      <c r="E2340" s="4">
        <v>2.36</v>
      </c>
    </row>
    <row r="2341">
      <c r="A2341" s="5">
        <v>100250.0</v>
      </c>
      <c r="B2341" s="6" t="s">
        <v>60</v>
      </c>
      <c r="C2341" s="6" t="s">
        <v>262</v>
      </c>
      <c r="D2341" s="6" t="s">
        <v>266</v>
      </c>
      <c r="E2341" s="6">
        <v>1.68</v>
      </c>
    </row>
    <row r="2342">
      <c r="A2342" s="3">
        <v>116320.0</v>
      </c>
      <c r="B2342" s="4" t="s">
        <v>60</v>
      </c>
      <c r="C2342" s="4" t="s">
        <v>262</v>
      </c>
      <c r="D2342" s="4" t="s">
        <v>266</v>
      </c>
      <c r="E2342" s="4">
        <v>1.5</v>
      </c>
    </row>
    <row r="2343">
      <c r="A2343" s="5">
        <v>122149.0</v>
      </c>
      <c r="B2343" s="6" t="s">
        <v>60</v>
      </c>
      <c r="C2343" s="6" t="s">
        <v>262</v>
      </c>
      <c r="D2343" s="6" t="s">
        <v>267</v>
      </c>
      <c r="E2343" s="6">
        <v>9.39</v>
      </c>
    </row>
    <row r="2344">
      <c r="A2344" s="3">
        <v>107220.0</v>
      </c>
      <c r="B2344" s="4" t="s">
        <v>60</v>
      </c>
      <c r="C2344" s="4" t="s">
        <v>262</v>
      </c>
      <c r="D2344" s="4" t="s">
        <v>267</v>
      </c>
      <c r="E2344" s="4">
        <v>3.6</v>
      </c>
    </row>
    <row r="2345">
      <c r="A2345" s="5">
        <v>122151.0</v>
      </c>
      <c r="B2345" s="6" t="s">
        <v>60</v>
      </c>
      <c r="C2345" s="6" t="s">
        <v>262</v>
      </c>
      <c r="D2345" s="6" t="s">
        <v>267</v>
      </c>
      <c r="E2345" s="6">
        <v>9.39</v>
      </c>
    </row>
    <row r="2346">
      <c r="A2346" s="3">
        <v>115766.0</v>
      </c>
      <c r="B2346" s="4" t="s">
        <v>60</v>
      </c>
      <c r="C2346" s="4" t="s">
        <v>262</v>
      </c>
      <c r="D2346" s="4" t="s">
        <v>267</v>
      </c>
      <c r="E2346" s="4">
        <v>1.68</v>
      </c>
    </row>
    <row r="2347">
      <c r="A2347" s="5">
        <v>114033.0</v>
      </c>
      <c r="B2347" s="6" t="s">
        <v>60</v>
      </c>
      <c r="C2347" s="6" t="s">
        <v>262</v>
      </c>
      <c r="D2347" s="6" t="s">
        <v>267</v>
      </c>
      <c r="E2347" s="6">
        <v>5.65</v>
      </c>
    </row>
    <row r="2348">
      <c r="A2348" s="3">
        <v>149508.0</v>
      </c>
      <c r="B2348" s="4" t="s">
        <v>60</v>
      </c>
      <c r="C2348" s="4" t="s">
        <v>262</v>
      </c>
      <c r="D2348" s="4" t="s">
        <v>267</v>
      </c>
      <c r="E2348" s="4">
        <v>3.57</v>
      </c>
    </row>
    <row r="2349">
      <c r="A2349" s="5">
        <v>107256.0</v>
      </c>
      <c r="B2349" s="6" t="s">
        <v>60</v>
      </c>
      <c r="C2349" s="6" t="s">
        <v>262</v>
      </c>
      <c r="D2349" s="6" t="s">
        <v>267</v>
      </c>
      <c r="E2349" s="6">
        <v>1.96</v>
      </c>
    </row>
    <row r="2350">
      <c r="A2350" s="3">
        <v>121615.0</v>
      </c>
      <c r="B2350" s="4" t="s">
        <v>60</v>
      </c>
      <c r="C2350" s="4" t="s">
        <v>262</v>
      </c>
      <c r="D2350" s="4" t="s">
        <v>267</v>
      </c>
      <c r="E2350" s="4">
        <v>5.65</v>
      </c>
    </row>
    <row r="2351">
      <c r="A2351" s="5">
        <v>107226.0</v>
      </c>
      <c r="B2351" s="6" t="s">
        <v>60</v>
      </c>
      <c r="C2351" s="6" t="s">
        <v>262</v>
      </c>
      <c r="D2351" s="6" t="s">
        <v>267</v>
      </c>
      <c r="E2351" s="6">
        <v>3.68</v>
      </c>
    </row>
    <row r="2352">
      <c r="A2352" s="3">
        <v>120188.0</v>
      </c>
      <c r="B2352" s="4" t="s">
        <v>60</v>
      </c>
      <c r="C2352" s="4" t="s">
        <v>262</v>
      </c>
      <c r="D2352" s="4" t="s">
        <v>267</v>
      </c>
      <c r="E2352" s="4">
        <v>6.11</v>
      </c>
    </row>
    <row r="2353">
      <c r="A2353" s="5">
        <v>107944.0</v>
      </c>
      <c r="B2353" s="6" t="s">
        <v>60</v>
      </c>
      <c r="C2353" s="6" t="s">
        <v>262</v>
      </c>
      <c r="D2353" s="6" t="s">
        <v>267</v>
      </c>
      <c r="E2353" s="6">
        <v>6.16</v>
      </c>
    </row>
    <row r="2354">
      <c r="A2354" s="3">
        <v>70243.0</v>
      </c>
      <c r="B2354" s="4" t="s">
        <v>60</v>
      </c>
      <c r="C2354" s="4" t="s">
        <v>262</v>
      </c>
      <c r="D2354" s="4" t="s">
        <v>267</v>
      </c>
      <c r="E2354" s="4">
        <v>4.6</v>
      </c>
    </row>
    <row r="2355">
      <c r="A2355" s="5">
        <v>149505.0</v>
      </c>
      <c r="B2355" s="6" t="s">
        <v>60</v>
      </c>
      <c r="C2355" s="6" t="s">
        <v>262</v>
      </c>
      <c r="D2355" s="6" t="s">
        <v>267</v>
      </c>
      <c r="E2355" s="6">
        <v>4.07</v>
      </c>
    </row>
    <row r="2356">
      <c r="A2356" s="3">
        <v>101428.0</v>
      </c>
      <c r="B2356" s="4" t="s">
        <v>60</v>
      </c>
      <c r="C2356" s="4" t="s">
        <v>262</v>
      </c>
      <c r="D2356" s="4" t="s">
        <v>267</v>
      </c>
      <c r="E2356" s="4">
        <v>5.62</v>
      </c>
    </row>
    <row r="2357">
      <c r="A2357" s="5">
        <v>121798.0</v>
      </c>
      <c r="B2357" s="6" t="s">
        <v>60</v>
      </c>
      <c r="C2357" s="6" t="s">
        <v>262</v>
      </c>
      <c r="D2357" s="6" t="s">
        <v>268</v>
      </c>
      <c r="E2357" s="6">
        <v>1.74</v>
      </c>
    </row>
    <row r="2358">
      <c r="A2358" s="3">
        <v>88636.0</v>
      </c>
      <c r="B2358" s="4" t="s">
        <v>60</v>
      </c>
      <c r="C2358" s="4" t="s">
        <v>262</v>
      </c>
      <c r="D2358" s="4" t="s">
        <v>268</v>
      </c>
      <c r="E2358" s="4">
        <v>3.66</v>
      </c>
    </row>
    <row r="2359">
      <c r="A2359" s="5">
        <v>111038.0</v>
      </c>
      <c r="B2359" s="6" t="s">
        <v>60</v>
      </c>
      <c r="C2359" s="6" t="s">
        <v>262</v>
      </c>
      <c r="D2359" s="6" t="s">
        <v>268</v>
      </c>
      <c r="E2359" s="6">
        <v>1.52</v>
      </c>
    </row>
    <row r="2360">
      <c r="A2360" s="3">
        <v>75032.0</v>
      </c>
      <c r="B2360" s="4" t="s">
        <v>60</v>
      </c>
      <c r="C2360" s="4" t="s">
        <v>262</v>
      </c>
      <c r="D2360" s="4" t="s">
        <v>268</v>
      </c>
      <c r="E2360" s="4">
        <v>2.26</v>
      </c>
    </row>
    <row r="2361">
      <c r="A2361" s="5">
        <v>70187.0</v>
      </c>
      <c r="B2361" s="6" t="s">
        <v>60</v>
      </c>
      <c r="C2361" s="6" t="s">
        <v>262</v>
      </c>
      <c r="D2361" s="6" t="s">
        <v>268</v>
      </c>
      <c r="E2361" s="6">
        <v>2.61</v>
      </c>
    </row>
    <row r="2362">
      <c r="A2362" s="3">
        <v>147278.0</v>
      </c>
      <c r="B2362" s="4" t="s">
        <v>60</v>
      </c>
      <c r="C2362" s="4" t="s">
        <v>262</v>
      </c>
      <c r="D2362" s="4" t="s">
        <v>268</v>
      </c>
      <c r="E2362" s="4">
        <v>2.4</v>
      </c>
    </row>
    <row r="2363">
      <c r="A2363" s="5">
        <v>114972.0</v>
      </c>
      <c r="B2363" s="6" t="s">
        <v>60</v>
      </c>
      <c r="C2363" s="6" t="s">
        <v>262</v>
      </c>
      <c r="D2363" s="6" t="s">
        <v>268</v>
      </c>
      <c r="E2363" s="6">
        <v>2.11</v>
      </c>
    </row>
    <row r="2364">
      <c r="A2364" s="3">
        <v>75072.0</v>
      </c>
      <c r="B2364" s="4" t="s">
        <v>60</v>
      </c>
      <c r="C2364" s="4" t="s">
        <v>262</v>
      </c>
      <c r="D2364" s="4" t="s">
        <v>268</v>
      </c>
      <c r="E2364" s="4">
        <v>2.15</v>
      </c>
    </row>
    <row r="2365">
      <c r="A2365" s="5">
        <v>114971.0</v>
      </c>
      <c r="B2365" s="6" t="s">
        <v>60</v>
      </c>
      <c r="C2365" s="6" t="s">
        <v>262</v>
      </c>
      <c r="D2365" s="6" t="s">
        <v>268</v>
      </c>
      <c r="E2365" s="6">
        <v>2.11</v>
      </c>
    </row>
    <row r="2366">
      <c r="A2366" s="3">
        <v>99981.0</v>
      </c>
      <c r="B2366" s="4" t="s">
        <v>60</v>
      </c>
      <c r="C2366" s="4" t="s">
        <v>262</v>
      </c>
      <c r="D2366" s="4" t="s">
        <v>268</v>
      </c>
      <c r="E2366" s="4">
        <v>1.6</v>
      </c>
    </row>
    <row r="2367">
      <c r="A2367" s="5">
        <v>86383.0</v>
      </c>
      <c r="B2367" s="6" t="s">
        <v>60</v>
      </c>
      <c r="C2367" s="6" t="s">
        <v>262</v>
      </c>
      <c r="D2367" s="6" t="s">
        <v>268</v>
      </c>
      <c r="E2367" s="6">
        <v>2.08</v>
      </c>
    </row>
    <row r="2368">
      <c r="A2368" s="3">
        <v>89587.0</v>
      </c>
      <c r="B2368" s="4" t="s">
        <v>60</v>
      </c>
      <c r="C2368" s="4" t="s">
        <v>262</v>
      </c>
      <c r="D2368" s="4" t="s">
        <v>268</v>
      </c>
      <c r="E2368" s="4">
        <v>2.11</v>
      </c>
    </row>
    <row r="2369">
      <c r="A2369" s="5">
        <v>89516.0</v>
      </c>
      <c r="B2369" s="6" t="s">
        <v>60</v>
      </c>
      <c r="C2369" s="6" t="s">
        <v>262</v>
      </c>
      <c r="D2369" s="6" t="s">
        <v>268</v>
      </c>
      <c r="E2369" s="6">
        <v>2.14</v>
      </c>
    </row>
    <row r="2370">
      <c r="A2370" s="3">
        <v>89519.0</v>
      </c>
      <c r="B2370" s="4" t="s">
        <v>60</v>
      </c>
      <c r="C2370" s="4" t="s">
        <v>262</v>
      </c>
      <c r="D2370" s="4" t="s">
        <v>268</v>
      </c>
      <c r="E2370" s="4">
        <v>1.99</v>
      </c>
    </row>
    <row r="2371">
      <c r="A2371" s="5">
        <v>75060.0</v>
      </c>
      <c r="B2371" s="6" t="s">
        <v>60</v>
      </c>
      <c r="C2371" s="6" t="s">
        <v>262</v>
      </c>
      <c r="D2371" s="6" t="s">
        <v>268</v>
      </c>
      <c r="E2371" s="6">
        <v>1.99</v>
      </c>
    </row>
    <row r="2372">
      <c r="A2372" s="3">
        <v>111745.0</v>
      </c>
      <c r="B2372" s="4" t="s">
        <v>60</v>
      </c>
      <c r="C2372" s="4" t="s">
        <v>262</v>
      </c>
      <c r="D2372" s="4" t="s">
        <v>268</v>
      </c>
      <c r="E2372" s="4">
        <v>1.18</v>
      </c>
    </row>
    <row r="2373">
      <c r="A2373" s="5">
        <v>70242.0</v>
      </c>
      <c r="B2373" s="6" t="s">
        <v>60</v>
      </c>
      <c r="C2373" s="6" t="s">
        <v>262</v>
      </c>
      <c r="D2373" s="6" t="s">
        <v>268</v>
      </c>
      <c r="E2373" s="6">
        <v>3.58</v>
      </c>
    </row>
    <row r="2374">
      <c r="A2374" s="3">
        <v>75061.0</v>
      </c>
      <c r="B2374" s="4" t="s">
        <v>60</v>
      </c>
      <c r="C2374" s="4" t="s">
        <v>262</v>
      </c>
      <c r="D2374" s="4" t="s">
        <v>268</v>
      </c>
      <c r="E2374" s="4">
        <v>1.99</v>
      </c>
    </row>
    <row r="2375">
      <c r="A2375" s="5">
        <v>69467.0</v>
      </c>
      <c r="B2375" s="6" t="s">
        <v>60</v>
      </c>
      <c r="C2375" s="6" t="s">
        <v>262</v>
      </c>
      <c r="D2375" s="6" t="s">
        <v>268</v>
      </c>
      <c r="E2375" s="6">
        <v>3.57</v>
      </c>
    </row>
    <row r="2376">
      <c r="A2376" s="3">
        <v>121800.0</v>
      </c>
      <c r="B2376" s="4" t="s">
        <v>60</v>
      </c>
      <c r="C2376" s="4" t="s">
        <v>262</v>
      </c>
      <c r="D2376" s="4" t="s">
        <v>268</v>
      </c>
      <c r="E2376" s="4">
        <v>2.39</v>
      </c>
    </row>
    <row r="2377">
      <c r="A2377" s="5">
        <v>110974.0</v>
      </c>
      <c r="B2377" s="6" t="s">
        <v>60</v>
      </c>
      <c r="C2377" s="6" t="s">
        <v>262</v>
      </c>
      <c r="D2377" s="6" t="s">
        <v>268</v>
      </c>
      <c r="E2377" s="6">
        <v>2.04</v>
      </c>
    </row>
    <row r="2378">
      <c r="A2378" s="3">
        <v>114969.0</v>
      </c>
      <c r="B2378" s="4" t="s">
        <v>60</v>
      </c>
      <c r="C2378" s="4" t="s">
        <v>262</v>
      </c>
      <c r="D2378" s="4" t="s">
        <v>268</v>
      </c>
      <c r="E2378" s="4">
        <v>2.11</v>
      </c>
    </row>
    <row r="2379">
      <c r="A2379" s="5">
        <v>111041.0</v>
      </c>
      <c r="B2379" s="6" t="s">
        <v>60</v>
      </c>
      <c r="C2379" s="6" t="s">
        <v>262</v>
      </c>
      <c r="D2379" s="6" t="s">
        <v>268</v>
      </c>
      <c r="E2379" s="6">
        <v>1.57</v>
      </c>
    </row>
    <row r="2380">
      <c r="A2380" s="3">
        <v>82382.0</v>
      </c>
      <c r="B2380" s="4" t="s">
        <v>60</v>
      </c>
      <c r="C2380" s="4" t="s">
        <v>262</v>
      </c>
      <c r="D2380" s="4" t="s">
        <v>268</v>
      </c>
      <c r="E2380" s="4">
        <v>1.54</v>
      </c>
    </row>
    <row r="2381">
      <c r="A2381" s="5">
        <v>89634.0</v>
      </c>
      <c r="B2381" s="6" t="s">
        <v>60</v>
      </c>
      <c r="C2381" s="6" t="s">
        <v>262</v>
      </c>
      <c r="D2381" s="6" t="s">
        <v>268</v>
      </c>
      <c r="E2381" s="6">
        <v>2.89</v>
      </c>
    </row>
    <row r="2382">
      <c r="A2382" s="3">
        <v>82381.0</v>
      </c>
      <c r="B2382" s="4" t="s">
        <v>60</v>
      </c>
      <c r="C2382" s="4" t="s">
        <v>262</v>
      </c>
      <c r="D2382" s="4" t="s">
        <v>268</v>
      </c>
      <c r="E2382" s="4">
        <v>1.59</v>
      </c>
    </row>
    <row r="2383">
      <c r="A2383" s="5">
        <v>107232.0</v>
      </c>
      <c r="B2383" s="6" t="s">
        <v>60</v>
      </c>
      <c r="C2383" s="6" t="s">
        <v>262</v>
      </c>
      <c r="D2383" s="6" t="s">
        <v>268</v>
      </c>
      <c r="E2383" s="6">
        <v>2.42</v>
      </c>
    </row>
    <row r="2384">
      <c r="A2384" s="3">
        <v>70247.0</v>
      </c>
      <c r="B2384" s="4" t="s">
        <v>60</v>
      </c>
      <c r="C2384" s="4" t="s">
        <v>262</v>
      </c>
      <c r="D2384" s="4" t="s">
        <v>268</v>
      </c>
      <c r="E2384" s="4">
        <v>1.77</v>
      </c>
    </row>
    <row r="2385">
      <c r="A2385" s="5">
        <v>107253.0</v>
      </c>
      <c r="B2385" s="6" t="s">
        <v>60</v>
      </c>
      <c r="C2385" s="6" t="s">
        <v>262</v>
      </c>
      <c r="D2385" s="6" t="s">
        <v>268</v>
      </c>
      <c r="E2385" s="6">
        <v>1.96</v>
      </c>
    </row>
    <row r="2386">
      <c r="A2386" s="3">
        <v>102709.0</v>
      </c>
      <c r="B2386" s="4" t="s">
        <v>60</v>
      </c>
      <c r="C2386" s="4" t="s">
        <v>262</v>
      </c>
      <c r="D2386" s="4" t="s">
        <v>268</v>
      </c>
      <c r="E2386" s="4">
        <v>1.52</v>
      </c>
    </row>
    <row r="2387">
      <c r="A2387" s="5">
        <v>75050.0</v>
      </c>
      <c r="B2387" s="6" t="s">
        <v>60</v>
      </c>
      <c r="C2387" s="6" t="s">
        <v>262</v>
      </c>
      <c r="D2387" s="6" t="s">
        <v>268</v>
      </c>
      <c r="E2387" s="6">
        <v>2.25</v>
      </c>
    </row>
    <row r="2388">
      <c r="A2388" s="3">
        <v>111014.0</v>
      </c>
      <c r="B2388" s="4" t="s">
        <v>60</v>
      </c>
      <c r="C2388" s="4" t="s">
        <v>262</v>
      </c>
      <c r="D2388" s="4" t="s">
        <v>268</v>
      </c>
      <c r="E2388" s="4">
        <v>1.93</v>
      </c>
    </row>
    <row r="2389">
      <c r="A2389" s="5">
        <v>120282.0</v>
      </c>
      <c r="B2389" s="6" t="s">
        <v>73</v>
      </c>
      <c r="C2389" s="6" t="s">
        <v>269</v>
      </c>
      <c r="D2389" s="6" t="s">
        <v>270</v>
      </c>
      <c r="E2389" s="6">
        <v>14.94</v>
      </c>
    </row>
    <row r="2390">
      <c r="A2390" s="3">
        <v>84512.0</v>
      </c>
      <c r="B2390" s="4" t="s">
        <v>73</v>
      </c>
      <c r="C2390" s="4" t="s">
        <v>269</v>
      </c>
      <c r="D2390" s="4" t="s">
        <v>270</v>
      </c>
      <c r="E2390" s="4">
        <v>12.05</v>
      </c>
    </row>
    <row r="2391">
      <c r="A2391" s="5">
        <v>77197.0</v>
      </c>
      <c r="B2391" s="6" t="s">
        <v>73</v>
      </c>
      <c r="C2391" s="6" t="s">
        <v>269</v>
      </c>
      <c r="D2391" s="6" t="s">
        <v>271</v>
      </c>
      <c r="E2391" s="6">
        <v>2.6</v>
      </c>
    </row>
    <row r="2392">
      <c r="A2392" s="3">
        <v>29650.0</v>
      </c>
      <c r="B2392" s="4" t="s">
        <v>73</v>
      </c>
      <c r="C2392" s="4" t="s">
        <v>269</v>
      </c>
      <c r="D2392" s="4" t="s">
        <v>271</v>
      </c>
      <c r="E2392" s="4">
        <v>1.39</v>
      </c>
    </row>
    <row r="2393">
      <c r="A2393" s="5">
        <v>4162.0</v>
      </c>
      <c r="B2393" s="6" t="s">
        <v>73</v>
      </c>
      <c r="C2393" s="6" t="s">
        <v>269</v>
      </c>
      <c r="D2393" s="6" t="s">
        <v>271</v>
      </c>
      <c r="E2393" s="6">
        <v>3.09</v>
      </c>
    </row>
    <row r="2394">
      <c r="A2394" s="3">
        <v>88214.0</v>
      </c>
      <c r="B2394" s="4" t="s">
        <v>73</v>
      </c>
      <c r="C2394" s="4" t="s">
        <v>269</v>
      </c>
      <c r="D2394" s="4" t="s">
        <v>271</v>
      </c>
      <c r="E2394" s="4">
        <v>2.13</v>
      </c>
    </row>
    <row r="2395">
      <c r="A2395" s="5">
        <v>73254.0</v>
      </c>
      <c r="B2395" s="6" t="s">
        <v>73</v>
      </c>
      <c r="C2395" s="6" t="s">
        <v>269</v>
      </c>
      <c r="D2395" s="6" t="s">
        <v>271</v>
      </c>
      <c r="E2395" s="6">
        <v>1.27</v>
      </c>
    </row>
    <row r="2396">
      <c r="A2396" s="3">
        <v>108204.0</v>
      </c>
      <c r="B2396" s="4" t="s">
        <v>73</v>
      </c>
      <c r="C2396" s="4" t="s">
        <v>269</v>
      </c>
      <c r="D2396" s="4" t="s">
        <v>271</v>
      </c>
      <c r="E2396" s="4">
        <v>4.0</v>
      </c>
    </row>
    <row r="2397">
      <c r="A2397" s="5">
        <v>9676.0</v>
      </c>
      <c r="B2397" s="6" t="s">
        <v>73</v>
      </c>
      <c r="C2397" s="6" t="s">
        <v>269</v>
      </c>
      <c r="D2397" s="6" t="s">
        <v>271</v>
      </c>
      <c r="E2397" s="6">
        <v>1.64</v>
      </c>
    </row>
    <row r="2398">
      <c r="A2398" s="3">
        <v>44412.0</v>
      </c>
      <c r="B2398" s="4" t="s">
        <v>73</v>
      </c>
      <c r="C2398" s="4" t="s">
        <v>269</v>
      </c>
      <c r="D2398" s="4" t="s">
        <v>271</v>
      </c>
      <c r="E2398" s="4">
        <v>3.96</v>
      </c>
    </row>
    <row r="2399">
      <c r="A2399" s="5">
        <v>73253.0</v>
      </c>
      <c r="B2399" s="6" t="s">
        <v>73</v>
      </c>
      <c r="C2399" s="6" t="s">
        <v>269</v>
      </c>
      <c r="D2399" s="6" t="s">
        <v>271</v>
      </c>
      <c r="E2399" s="6">
        <v>0.93</v>
      </c>
    </row>
    <row r="2400">
      <c r="A2400" s="3">
        <v>122516.0</v>
      </c>
      <c r="B2400" s="4" t="s">
        <v>73</v>
      </c>
      <c r="C2400" s="4" t="s">
        <v>269</v>
      </c>
      <c r="D2400" s="4" t="s">
        <v>271</v>
      </c>
      <c r="E2400" s="4">
        <v>4.83</v>
      </c>
    </row>
    <row r="2401">
      <c r="A2401" s="5">
        <v>70314.0</v>
      </c>
      <c r="B2401" s="6" t="s">
        <v>73</v>
      </c>
      <c r="C2401" s="6" t="s">
        <v>269</v>
      </c>
      <c r="D2401" s="6" t="s">
        <v>271</v>
      </c>
      <c r="E2401" s="6">
        <v>3.35</v>
      </c>
    </row>
    <row r="2402">
      <c r="A2402" s="3">
        <v>17644.0</v>
      </c>
      <c r="B2402" s="4" t="s">
        <v>73</v>
      </c>
      <c r="C2402" s="4" t="s">
        <v>269</v>
      </c>
      <c r="D2402" s="4" t="s">
        <v>272</v>
      </c>
      <c r="E2402" s="4">
        <v>2.5</v>
      </c>
    </row>
    <row r="2403">
      <c r="A2403" s="5">
        <v>118996.0</v>
      </c>
      <c r="B2403" s="6" t="s">
        <v>73</v>
      </c>
      <c r="C2403" s="6" t="s">
        <v>269</v>
      </c>
      <c r="D2403" s="6" t="s">
        <v>272</v>
      </c>
      <c r="E2403" s="6">
        <v>5.22</v>
      </c>
    </row>
    <row r="2404">
      <c r="A2404" s="3">
        <v>79199.0</v>
      </c>
      <c r="B2404" s="4" t="s">
        <v>73</v>
      </c>
      <c r="C2404" s="4" t="s">
        <v>269</v>
      </c>
      <c r="D2404" s="4" t="s">
        <v>272</v>
      </c>
      <c r="E2404" s="4">
        <v>3.76</v>
      </c>
    </row>
    <row r="2405">
      <c r="A2405" s="5">
        <v>128316.0</v>
      </c>
      <c r="B2405" s="6" t="s">
        <v>73</v>
      </c>
      <c r="C2405" s="6" t="s">
        <v>269</v>
      </c>
      <c r="D2405" s="6" t="s">
        <v>272</v>
      </c>
      <c r="E2405" s="6">
        <v>3.09</v>
      </c>
    </row>
    <row r="2406">
      <c r="A2406" s="3">
        <v>7933.0</v>
      </c>
      <c r="B2406" s="4" t="s">
        <v>73</v>
      </c>
      <c r="C2406" s="4" t="s">
        <v>269</v>
      </c>
      <c r="D2406" s="4" t="s">
        <v>273</v>
      </c>
      <c r="E2406" s="4">
        <v>9.98</v>
      </c>
    </row>
    <row r="2407">
      <c r="A2407" s="5">
        <v>85944.0</v>
      </c>
      <c r="B2407" s="6" t="s">
        <v>73</v>
      </c>
      <c r="C2407" s="6" t="s">
        <v>269</v>
      </c>
      <c r="D2407" s="6" t="s">
        <v>273</v>
      </c>
      <c r="E2407" s="6">
        <v>6.13</v>
      </c>
    </row>
    <row r="2408">
      <c r="A2408" s="3">
        <v>76665.0</v>
      </c>
      <c r="B2408" s="4" t="s">
        <v>73</v>
      </c>
      <c r="C2408" s="4" t="s">
        <v>269</v>
      </c>
      <c r="D2408" s="4" t="s">
        <v>273</v>
      </c>
      <c r="E2408" s="4">
        <v>3.46</v>
      </c>
    </row>
    <row r="2409">
      <c r="A2409" s="5">
        <v>102286.0</v>
      </c>
      <c r="B2409" s="6" t="s">
        <v>73</v>
      </c>
      <c r="C2409" s="6" t="s">
        <v>269</v>
      </c>
      <c r="D2409" s="6" t="s">
        <v>273</v>
      </c>
      <c r="E2409" s="6">
        <v>5.95</v>
      </c>
    </row>
    <row r="2410">
      <c r="A2410" s="3">
        <v>77199.0</v>
      </c>
      <c r="B2410" s="4" t="s">
        <v>73</v>
      </c>
      <c r="C2410" s="4" t="s">
        <v>269</v>
      </c>
      <c r="D2410" s="4" t="s">
        <v>273</v>
      </c>
      <c r="E2410" s="4">
        <v>10.99</v>
      </c>
    </row>
    <row r="2411">
      <c r="A2411" s="5">
        <v>11722.0</v>
      </c>
      <c r="B2411" s="6" t="s">
        <v>73</v>
      </c>
      <c r="C2411" s="6" t="s">
        <v>269</v>
      </c>
      <c r="D2411" s="6" t="s">
        <v>273</v>
      </c>
      <c r="E2411" s="6">
        <v>7.56</v>
      </c>
    </row>
    <row r="2412">
      <c r="A2412" s="3">
        <v>97949.0</v>
      </c>
      <c r="B2412" s="4" t="s">
        <v>73</v>
      </c>
      <c r="C2412" s="4" t="s">
        <v>269</v>
      </c>
      <c r="D2412" s="4" t="s">
        <v>273</v>
      </c>
      <c r="E2412" s="4">
        <v>6.17</v>
      </c>
    </row>
    <row r="2413">
      <c r="A2413" s="5">
        <v>9701.0</v>
      </c>
      <c r="B2413" s="6" t="s">
        <v>73</v>
      </c>
      <c r="C2413" s="6" t="s">
        <v>269</v>
      </c>
      <c r="D2413" s="6" t="s">
        <v>274</v>
      </c>
      <c r="E2413" s="6">
        <v>3.52</v>
      </c>
    </row>
    <row r="2414">
      <c r="A2414" s="3">
        <v>117615.0</v>
      </c>
      <c r="B2414" s="4" t="s">
        <v>73</v>
      </c>
      <c r="C2414" s="4" t="s">
        <v>269</v>
      </c>
      <c r="D2414" s="4" t="s">
        <v>274</v>
      </c>
      <c r="E2414" s="4">
        <v>4.08</v>
      </c>
    </row>
    <row r="2415">
      <c r="A2415" s="5">
        <v>10076.0</v>
      </c>
      <c r="B2415" s="6" t="s">
        <v>73</v>
      </c>
      <c r="C2415" s="6" t="s">
        <v>269</v>
      </c>
      <c r="D2415" s="6" t="s">
        <v>274</v>
      </c>
      <c r="E2415" s="6">
        <v>2.13</v>
      </c>
    </row>
    <row r="2416">
      <c r="A2416" s="3">
        <v>106572.0</v>
      </c>
      <c r="B2416" s="4" t="s">
        <v>73</v>
      </c>
      <c r="C2416" s="4" t="s">
        <v>269</v>
      </c>
      <c r="D2416" s="4" t="s">
        <v>274</v>
      </c>
      <c r="E2416" s="4">
        <v>13.71</v>
      </c>
    </row>
    <row r="2417">
      <c r="A2417" s="5">
        <v>10081.0</v>
      </c>
      <c r="B2417" s="6" t="s">
        <v>73</v>
      </c>
      <c r="C2417" s="6" t="s">
        <v>269</v>
      </c>
      <c r="D2417" s="6" t="s">
        <v>274</v>
      </c>
      <c r="E2417" s="6">
        <v>2.13</v>
      </c>
    </row>
    <row r="2418">
      <c r="A2418" s="3">
        <v>46424.0</v>
      </c>
      <c r="B2418" s="4" t="s">
        <v>73</v>
      </c>
      <c r="C2418" s="4" t="s">
        <v>269</v>
      </c>
      <c r="D2418" s="4" t="s">
        <v>274</v>
      </c>
      <c r="E2418" s="4">
        <v>2.94</v>
      </c>
    </row>
    <row r="2419">
      <c r="A2419" s="5">
        <v>118931.0</v>
      </c>
      <c r="B2419" s="6" t="s">
        <v>73</v>
      </c>
      <c r="C2419" s="6" t="s">
        <v>269</v>
      </c>
      <c r="D2419" s="6" t="s">
        <v>274</v>
      </c>
      <c r="E2419" s="6">
        <v>4.18</v>
      </c>
    </row>
    <row r="2420">
      <c r="A2420" s="3">
        <v>10078.0</v>
      </c>
      <c r="B2420" s="4" t="s">
        <v>73</v>
      </c>
      <c r="C2420" s="4" t="s">
        <v>269</v>
      </c>
      <c r="D2420" s="4" t="s">
        <v>274</v>
      </c>
      <c r="E2420" s="4">
        <v>2.13</v>
      </c>
    </row>
    <row r="2421">
      <c r="A2421" s="5">
        <v>75824.0</v>
      </c>
      <c r="B2421" s="6" t="s">
        <v>73</v>
      </c>
      <c r="C2421" s="6" t="s">
        <v>269</v>
      </c>
      <c r="D2421" s="6" t="s">
        <v>274</v>
      </c>
      <c r="E2421" s="6">
        <v>8.6</v>
      </c>
    </row>
    <row r="2422">
      <c r="A2422" s="3">
        <v>80433.0</v>
      </c>
      <c r="B2422" s="4" t="s">
        <v>73</v>
      </c>
      <c r="C2422" s="4" t="s">
        <v>269</v>
      </c>
      <c r="D2422" s="4" t="s">
        <v>274</v>
      </c>
      <c r="E2422" s="4">
        <v>7.36</v>
      </c>
    </row>
    <row r="2423">
      <c r="A2423" s="5">
        <v>106566.0</v>
      </c>
      <c r="B2423" s="6" t="s">
        <v>73</v>
      </c>
      <c r="C2423" s="6" t="s">
        <v>269</v>
      </c>
      <c r="D2423" s="6" t="s">
        <v>274</v>
      </c>
      <c r="E2423" s="6">
        <v>13.36</v>
      </c>
    </row>
    <row r="2424">
      <c r="A2424" s="3">
        <v>9702.0</v>
      </c>
      <c r="B2424" s="4" t="s">
        <v>73</v>
      </c>
      <c r="C2424" s="4" t="s">
        <v>269</v>
      </c>
      <c r="D2424" s="4" t="s">
        <v>274</v>
      </c>
      <c r="E2424" s="4">
        <v>3.17</v>
      </c>
    </row>
    <row r="2425">
      <c r="A2425" s="5">
        <v>122445.0</v>
      </c>
      <c r="B2425" s="6" t="s">
        <v>73</v>
      </c>
      <c r="C2425" s="6" t="s">
        <v>269</v>
      </c>
      <c r="D2425" s="6" t="s">
        <v>274</v>
      </c>
      <c r="E2425" s="6">
        <v>7.54</v>
      </c>
    </row>
    <row r="2426">
      <c r="A2426" s="3">
        <v>77178.0</v>
      </c>
      <c r="B2426" s="4" t="s">
        <v>73</v>
      </c>
      <c r="C2426" s="4" t="s">
        <v>269</v>
      </c>
      <c r="D2426" s="4" t="s">
        <v>274</v>
      </c>
      <c r="E2426" s="4">
        <v>6.09</v>
      </c>
    </row>
    <row r="2427">
      <c r="A2427" s="5">
        <v>10075.0</v>
      </c>
      <c r="B2427" s="6" t="s">
        <v>73</v>
      </c>
      <c r="C2427" s="6" t="s">
        <v>269</v>
      </c>
      <c r="D2427" s="6" t="s">
        <v>274</v>
      </c>
      <c r="E2427" s="6">
        <v>2.13</v>
      </c>
    </row>
    <row r="2428">
      <c r="A2428" s="3">
        <v>10079.0</v>
      </c>
      <c r="B2428" s="4" t="s">
        <v>73</v>
      </c>
      <c r="C2428" s="4" t="s">
        <v>269</v>
      </c>
      <c r="D2428" s="4" t="s">
        <v>274</v>
      </c>
      <c r="E2428" s="4">
        <v>2.13</v>
      </c>
    </row>
    <row r="2429">
      <c r="A2429" s="5">
        <v>111469.0</v>
      </c>
      <c r="B2429" s="6" t="s">
        <v>73</v>
      </c>
      <c r="C2429" s="6" t="s">
        <v>269</v>
      </c>
      <c r="D2429" s="6" t="s">
        <v>274</v>
      </c>
      <c r="E2429" s="6">
        <v>7.71</v>
      </c>
    </row>
    <row r="2430">
      <c r="A2430" s="3">
        <v>166324.0</v>
      </c>
      <c r="B2430" s="4" t="s">
        <v>73</v>
      </c>
      <c r="C2430" s="4" t="s">
        <v>269</v>
      </c>
      <c r="D2430" s="4" t="s">
        <v>275</v>
      </c>
      <c r="E2430" s="4">
        <v>7.61</v>
      </c>
    </row>
    <row r="2431">
      <c r="A2431" s="5">
        <v>7829.0</v>
      </c>
      <c r="B2431" s="6" t="s">
        <v>73</v>
      </c>
      <c r="C2431" s="6" t="s">
        <v>269</v>
      </c>
      <c r="D2431" s="6" t="s">
        <v>275</v>
      </c>
      <c r="E2431" s="6">
        <v>12.22</v>
      </c>
    </row>
    <row r="2432">
      <c r="A2432" s="3">
        <v>105507.0</v>
      </c>
      <c r="B2432" s="4" t="s">
        <v>73</v>
      </c>
      <c r="C2432" s="4" t="s">
        <v>269</v>
      </c>
      <c r="D2432" s="4" t="s">
        <v>275</v>
      </c>
      <c r="E2432" s="4">
        <v>14.84</v>
      </c>
    </row>
    <row r="2433">
      <c r="A2433" s="5">
        <v>12834.0</v>
      </c>
      <c r="B2433" s="6" t="s">
        <v>73</v>
      </c>
      <c r="C2433" s="6" t="s">
        <v>269</v>
      </c>
      <c r="D2433" s="6" t="s">
        <v>275</v>
      </c>
      <c r="E2433" s="6">
        <v>11.84</v>
      </c>
    </row>
    <row r="2434">
      <c r="A2434" s="3">
        <v>27984.0</v>
      </c>
      <c r="B2434" s="4" t="s">
        <v>73</v>
      </c>
      <c r="C2434" s="4" t="s">
        <v>269</v>
      </c>
      <c r="D2434" s="4" t="s">
        <v>275</v>
      </c>
      <c r="E2434" s="4">
        <v>12.78</v>
      </c>
    </row>
    <row r="2435">
      <c r="A2435" s="5">
        <v>29444.0</v>
      </c>
      <c r="B2435" s="6" t="s">
        <v>73</v>
      </c>
      <c r="C2435" s="6" t="s">
        <v>269</v>
      </c>
      <c r="D2435" s="6" t="s">
        <v>275</v>
      </c>
      <c r="E2435" s="6">
        <v>4.15</v>
      </c>
    </row>
    <row r="2436">
      <c r="A2436" s="3">
        <v>107878.0</v>
      </c>
      <c r="B2436" s="4" t="s">
        <v>73</v>
      </c>
      <c r="C2436" s="4" t="s">
        <v>269</v>
      </c>
      <c r="D2436" s="4" t="s">
        <v>275</v>
      </c>
      <c r="E2436" s="4">
        <v>15.47</v>
      </c>
    </row>
    <row r="2437">
      <c r="A2437" s="5">
        <v>122416.0</v>
      </c>
      <c r="B2437" s="6" t="s">
        <v>73</v>
      </c>
      <c r="C2437" s="6" t="s">
        <v>269</v>
      </c>
      <c r="D2437" s="6" t="s">
        <v>275</v>
      </c>
      <c r="E2437" s="6">
        <v>19.34</v>
      </c>
    </row>
    <row r="2438">
      <c r="A2438" s="3">
        <v>95628.0</v>
      </c>
      <c r="B2438" s="4" t="s">
        <v>73</v>
      </c>
      <c r="C2438" s="4" t="s">
        <v>269</v>
      </c>
      <c r="D2438" s="4" t="s">
        <v>275</v>
      </c>
      <c r="E2438" s="4">
        <v>5.77</v>
      </c>
    </row>
    <row r="2439">
      <c r="A2439" s="5">
        <v>9654.0</v>
      </c>
      <c r="B2439" s="6" t="s">
        <v>73</v>
      </c>
      <c r="C2439" s="6" t="s">
        <v>269</v>
      </c>
      <c r="D2439" s="6" t="s">
        <v>275</v>
      </c>
      <c r="E2439" s="6">
        <v>11.24</v>
      </c>
    </row>
    <row r="2440">
      <c r="A2440" s="3">
        <v>105609.0</v>
      </c>
      <c r="B2440" s="4" t="s">
        <v>73</v>
      </c>
      <c r="C2440" s="4" t="s">
        <v>269</v>
      </c>
      <c r="D2440" s="4" t="s">
        <v>275</v>
      </c>
      <c r="E2440" s="4">
        <v>12.32</v>
      </c>
    </row>
    <row r="2441">
      <c r="A2441" s="5">
        <v>118932.0</v>
      </c>
      <c r="B2441" s="6" t="s">
        <v>73</v>
      </c>
      <c r="C2441" s="6" t="s">
        <v>269</v>
      </c>
      <c r="D2441" s="6" t="s">
        <v>275</v>
      </c>
      <c r="E2441" s="6">
        <v>5.59</v>
      </c>
    </row>
    <row r="2442">
      <c r="A2442" s="3">
        <v>103976.0</v>
      </c>
      <c r="B2442" s="4" t="s">
        <v>73</v>
      </c>
      <c r="C2442" s="4" t="s">
        <v>269</v>
      </c>
      <c r="D2442" s="4" t="s">
        <v>275</v>
      </c>
      <c r="E2442" s="4">
        <v>7.99</v>
      </c>
    </row>
    <row r="2443">
      <c r="A2443" s="5">
        <v>107881.0</v>
      </c>
      <c r="B2443" s="6" t="s">
        <v>73</v>
      </c>
      <c r="C2443" s="6" t="s">
        <v>269</v>
      </c>
      <c r="D2443" s="6" t="s">
        <v>275</v>
      </c>
      <c r="E2443" s="6">
        <v>25.84</v>
      </c>
    </row>
    <row r="2444">
      <c r="A2444" s="3">
        <v>7830.0</v>
      </c>
      <c r="B2444" s="4" t="s">
        <v>73</v>
      </c>
      <c r="C2444" s="4" t="s">
        <v>269</v>
      </c>
      <c r="D2444" s="4" t="s">
        <v>275</v>
      </c>
      <c r="E2444" s="4">
        <v>12.86</v>
      </c>
    </row>
    <row r="2445">
      <c r="A2445" s="5">
        <v>159717.0</v>
      </c>
      <c r="B2445" s="6" t="s">
        <v>73</v>
      </c>
      <c r="C2445" s="6" t="s">
        <v>269</v>
      </c>
      <c r="D2445" s="6" t="s">
        <v>275</v>
      </c>
      <c r="E2445" s="6">
        <v>18.3</v>
      </c>
    </row>
    <row r="2446">
      <c r="A2446" s="3">
        <v>113449.0</v>
      </c>
      <c r="B2446" s="4" t="s">
        <v>73</v>
      </c>
      <c r="C2446" s="4" t="s">
        <v>269</v>
      </c>
      <c r="D2446" s="4" t="s">
        <v>275</v>
      </c>
      <c r="E2446" s="4">
        <v>8.54</v>
      </c>
    </row>
    <row r="2447">
      <c r="A2447" s="5">
        <v>79942.0</v>
      </c>
      <c r="B2447" s="6" t="s">
        <v>73</v>
      </c>
      <c r="C2447" s="6" t="s">
        <v>269</v>
      </c>
      <c r="D2447" s="6" t="s">
        <v>275</v>
      </c>
      <c r="E2447" s="6">
        <v>7.92</v>
      </c>
    </row>
    <row r="2448">
      <c r="A2448" s="3">
        <v>29437.0</v>
      </c>
      <c r="B2448" s="4" t="s">
        <v>73</v>
      </c>
      <c r="C2448" s="4" t="s">
        <v>269</v>
      </c>
      <c r="D2448" s="4" t="s">
        <v>275</v>
      </c>
      <c r="E2448" s="4">
        <v>3.73</v>
      </c>
    </row>
    <row r="2449">
      <c r="A2449" s="5">
        <v>99234.0</v>
      </c>
      <c r="B2449" s="6" t="s">
        <v>73</v>
      </c>
      <c r="C2449" s="6" t="s">
        <v>269</v>
      </c>
      <c r="D2449" s="6" t="s">
        <v>275</v>
      </c>
      <c r="E2449" s="6">
        <v>12.48</v>
      </c>
    </row>
    <row r="2450">
      <c r="A2450" s="3">
        <v>103985.0</v>
      </c>
      <c r="B2450" s="4" t="s">
        <v>73</v>
      </c>
      <c r="C2450" s="4" t="s">
        <v>269</v>
      </c>
      <c r="D2450" s="4" t="s">
        <v>275</v>
      </c>
      <c r="E2450" s="4">
        <v>9.05</v>
      </c>
    </row>
    <row r="2451">
      <c r="A2451" s="5">
        <v>97947.0</v>
      </c>
      <c r="B2451" s="6" t="s">
        <v>73</v>
      </c>
      <c r="C2451" s="6" t="s">
        <v>269</v>
      </c>
      <c r="D2451" s="6" t="s">
        <v>275</v>
      </c>
      <c r="E2451" s="6">
        <v>6.17</v>
      </c>
    </row>
    <row r="2452">
      <c r="A2452" s="3">
        <v>101083.0</v>
      </c>
      <c r="B2452" s="4" t="s">
        <v>73</v>
      </c>
      <c r="C2452" s="4" t="s">
        <v>269</v>
      </c>
      <c r="D2452" s="4" t="s">
        <v>275</v>
      </c>
      <c r="E2452" s="4">
        <v>13.02</v>
      </c>
    </row>
    <row r="2453">
      <c r="A2453" s="5">
        <v>111287.0</v>
      </c>
      <c r="B2453" s="6" t="s">
        <v>73</v>
      </c>
      <c r="C2453" s="6" t="s">
        <v>269</v>
      </c>
      <c r="D2453" s="6" t="s">
        <v>276</v>
      </c>
      <c r="E2453" s="6">
        <v>1.74</v>
      </c>
    </row>
    <row r="2454">
      <c r="A2454" s="3">
        <v>11728.0</v>
      </c>
      <c r="B2454" s="4" t="s">
        <v>73</v>
      </c>
      <c r="C2454" s="4" t="s">
        <v>269</v>
      </c>
      <c r="D2454" s="4" t="s">
        <v>276</v>
      </c>
      <c r="E2454" s="4">
        <v>7.5</v>
      </c>
    </row>
    <row r="2455">
      <c r="A2455" s="5">
        <v>111286.0</v>
      </c>
      <c r="B2455" s="6" t="s">
        <v>73</v>
      </c>
      <c r="C2455" s="6" t="s">
        <v>269</v>
      </c>
      <c r="D2455" s="6" t="s">
        <v>276</v>
      </c>
      <c r="E2455" s="6">
        <v>1.74</v>
      </c>
    </row>
    <row r="2456">
      <c r="A2456" s="3">
        <v>29426.0</v>
      </c>
      <c r="B2456" s="4" t="s">
        <v>73</v>
      </c>
      <c r="C2456" s="4" t="s">
        <v>269</v>
      </c>
      <c r="D2456" s="4" t="s">
        <v>276</v>
      </c>
      <c r="E2456" s="4">
        <v>3.73</v>
      </c>
    </row>
    <row r="2457">
      <c r="A2457" s="5">
        <v>93419.0</v>
      </c>
      <c r="B2457" s="6" t="s">
        <v>73</v>
      </c>
      <c r="C2457" s="6" t="s">
        <v>269</v>
      </c>
      <c r="D2457" s="6" t="s">
        <v>276</v>
      </c>
      <c r="E2457" s="6">
        <v>12.91</v>
      </c>
    </row>
    <row r="2458">
      <c r="A2458" s="3">
        <v>93418.0</v>
      </c>
      <c r="B2458" s="4" t="s">
        <v>73</v>
      </c>
      <c r="C2458" s="4" t="s">
        <v>269</v>
      </c>
      <c r="D2458" s="4" t="s">
        <v>276</v>
      </c>
      <c r="E2458" s="4">
        <v>22.35</v>
      </c>
    </row>
    <row r="2459">
      <c r="A2459" s="5">
        <v>79198.0</v>
      </c>
      <c r="B2459" s="6" t="s">
        <v>73</v>
      </c>
      <c r="C2459" s="6" t="s">
        <v>269</v>
      </c>
      <c r="D2459" s="6" t="s">
        <v>276</v>
      </c>
      <c r="E2459" s="6">
        <v>4.69</v>
      </c>
    </row>
    <row r="2460">
      <c r="A2460" s="3">
        <v>11720.0</v>
      </c>
      <c r="B2460" s="4" t="s">
        <v>73</v>
      </c>
      <c r="C2460" s="4" t="s">
        <v>269</v>
      </c>
      <c r="D2460" s="4" t="s">
        <v>276</v>
      </c>
      <c r="E2460" s="4">
        <v>7.57</v>
      </c>
    </row>
    <row r="2461">
      <c r="A2461" s="5">
        <v>122534.0</v>
      </c>
      <c r="B2461" s="6" t="s">
        <v>73</v>
      </c>
      <c r="C2461" s="6" t="s">
        <v>269</v>
      </c>
      <c r="D2461" s="6" t="s">
        <v>276</v>
      </c>
      <c r="E2461" s="6">
        <v>7.9</v>
      </c>
    </row>
    <row r="2462">
      <c r="A2462" s="3">
        <v>92209.0</v>
      </c>
      <c r="B2462" s="4" t="s">
        <v>73</v>
      </c>
      <c r="C2462" s="4" t="s">
        <v>269</v>
      </c>
      <c r="D2462" s="4" t="s">
        <v>276</v>
      </c>
      <c r="E2462" s="4">
        <v>8.0</v>
      </c>
    </row>
    <row r="2463">
      <c r="A2463" s="5">
        <v>93417.0</v>
      </c>
      <c r="B2463" s="6" t="s">
        <v>73</v>
      </c>
      <c r="C2463" s="6" t="s">
        <v>269</v>
      </c>
      <c r="D2463" s="6" t="s">
        <v>276</v>
      </c>
      <c r="E2463" s="6">
        <v>20.39</v>
      </c>
    </row>
    <row r="2464">
      <c r="A2464" s="3">
        <v>103197.0</v>
      </c>
      <c r="B2464" s="4" t="s">
        <v>73</v>
      </c>
      <c r="C2464" s="4" t="s">
        <v>269</v>
      </c>
      <c r="D2464" s="4" t="s">
        <v>276</v>
      </c>
      <c r="E2464" s="4">
        <v>23.51</v>
      </c>
    </row>
    <row r="2465">
      <c r="A2465" s="5">
        <v>118930.0</v>
      </c>
      <c r="B2465" s="6" t="s">
        <v>73</v>
      </c>
      <c r="C2465" s="6" t="s">
        <v>269</v>
      </c>
      <c r="D2465" s="6" t="s">
        <v>276</v>
      </c>
      <c r="E2465" s="6">
        <v>4.18</v>
      </c>
    </row>
    <row r="2466">
      <c r="A2466" s="3">
        <v>92199.0</v>
      </c>
      <c r="B2466" s="4" t="s">
        <v>73</v>
      </c>
      <c r="C2466" s="4" t="s">
        <v>269</v>
      </c>
      <c r="D2466" s="4" t="s">
        <v>276</v>
      </c>
      <c r="E2466" s="4">
        <v>11.0</v>
      </c>
    </row>
    <row r="2467">
      <c r="A2467" s="5">
        <v>29647.0</v>
      </c>
      <c r="B2467" s="6" t="s">
        <v>73</v>
      </c>
      <c r="C2467" s="6" t="s">
        <v>269</v>
      </c>
      <c r="D2467" s="6" t="s">
        <v>276</v>
      </c>
      <c r="E2467" s="6">
        <v>3.25</v>
      </c>
    </row>
    <row r="2468">
      <c r="A2468" s="3">
        <v>121857.0</v>
      </c>
      <c r="B2468" s="4" t="s">
        <v>73</v>
      </c>
      <c r="C2468" s="4" t="s">
        <v>269</v>
      </c>
      <c r="D2468" s="4" t="s">
        <v>277</v>
      </c>
      <c r="E2468" s="4">
        <v>6.85</v>
      </c>
    </row>
    <row r="2469">
      <c r="A2469" s="5">
        <v>129484.0</v>
      </c>
      <c r="B2469" s="6" t="s">
        <v>73</v>
      </c>
      <c r="C2469" s="6" t="s">
        <v>269</v>
      </c>
      <c r="D2469" s="6" t="s">
        <v>277</v>
      </c>
      <c r="E2469" s="6">
        <v>4.04</v>
      </c>
    </row>
    <row r="2470">
      <c r="A2470" s="3">
        <v>122405.0</v>
      </c>
      <c r="B2470" s="4" t="s">
        <v>73</v>
      </c>
      <c r="C2470" s="4" t="s">
        <v>269</v>
      </c>
      <c r="D2470" s="4" t="s">
        <v>277</v>
      </c>
      <c r="E2470" s="4">
        <v>2.74</v>
      </c>
    </row>
    <row r="2471">
      <c r="A2471" s="5">
        <v>108690.0</v>
      </c>
      <c r="B2471" s="6" t="s">
        <v>73</v>
      </c>
      <c r="C2471" s="6" t="s">
        <v>269</v>
      </c>
      <c r="D2471" s="6" t="s">
        <v>277</v>
      </c>
      <c r="E2471" s="6">
        <v>6.8</v>
      </c>
    </row>
    <row r="2472">
      <c r="A2472" s="3">
        <v>11726.0</v>
      </c>
      <c r="B2472" s="4" t="s">
        <v>73</v>
      </c>
      <c r="C2472" s="4" t="s">
        <v>269</v>
      </c>
      <c r="D2472" s="4" t="s">
        <v>277</v>
      </c>
      <c r="E2472" s="4">
        <v>5.04</v>
      </c>
    </row>
    <row r="2473">
      <c r="A2473" s="5">
        <v>109074.0</v>
      </c>
      <c r="B2473" s="6" t="s">
        <v>73</v>
      </c>
      <c r="C2473" s="6" t="s">
        <v>269</v>
      </c>
      <c r="D2473" s="6" t="s">
        <v>277</v>
      </c>
      <c r="E2473" s="6">
        <v>4.42</v>
      </c>
    </row>
    <row r="2474">
      <c r="A2474" s="3">
        <v>75818.0</v>
      </c>
      <c r="B2474" s="4" t="s">
        <v>73</v>
      </c>
      <c r="C2474" s="4" t="s">
        <v>269</v>
      </c>
      <c r="D2474" s="4" t="s">
        <v>277</v>
      </c>
      <c r="E2474" s="4">
        <v>8.96</v>
      </c>
    </row>
    <row r="2475">
      <c r="A2475" s="5">
        <v>10663.0</v>
      </c>
      <c r="B2475" s="6" t="s">
        <v>73</v>
      </c>
      <c r="C2475" s="6" t="s">
        <v>269</v>
      </c>
      <c r="D2475" s="6" t="s">
        <v>277</v>
      </c>
      <c r="E2475" s="6">
        <v>4.14</v>
      </c>
    </row>
    <row r="2476">
      <c r="A2476" s="3">
        <v>9667.0</v>
      </c>
      <c r="B2476" s="4" t="s">
        <v>73</v>
      </c>
      <c r="C2476" s="4" t="s">
        <v>269</v>
      </c>
      <c r="D2476" s="4" t="s">
        <v>277</v>
      </c>
      <c r="E2476" s="4">
        <v>5.21</v>
      </c>
    </row>
    <row r="2477">
      <c r="A2477" s="5">
        <v>109073.0</v>
      </c>
      <c r="B2477" s="6" t="s">
        <v>73</v>
      </c>
      <c r="C2477" s="6" t="s">
        <v>269</v>
      </c>
      <c r="D2477" s="6" t="s">
        <v>277</v>
      </c>
      <c r="E2477" s="6">
        <v>4.42</v>
      </c>
    </row>
    <row r="2478">
      <c r="A2478" s="3">
        <v>11731.0</v>
      </c>
      <c r="B2478" s="4" t="s">
        <v>73</v>
      </c>
      <c r="C2478" s="4" t="s">
        <v>269</v>
      </c>
      <c r="D2478" s="4" t="s">
        <v>277</v>
      </c>
      <c r="E2478" s="4">
        <v>5.84</v>
      </c>
    </row>
    <row r="2479">
      <c r="A2479" s="5">
        <v>155869.0</v>
      </c>
      <c r="B2479" s="6" t="s">
        <v>73</v>
      </c>
      <c r="C2479" s="6" t="s">
        <v>269</v>
      </c>
      <c r="D2479" s="6" t="s">
        <v>277</v>
      </c>
      <c r="E2479" s="6">
        <v>5.6</v>
      </c>
    </row>
    <row r="2480">
      <c r="A2480" s="3">
        <v>118982.0</v>
      </c>
      <c r="B2480" s="4" t="s">
        <v>73</v>
      </c>
      <c r="C2480" s="4" t="s">
        <v>269</v>
      </c>
      <c r="D2480" s="4" t="s">
        <v>277</v>
      </c>
      <c r="E2480" s="4">
        <v>5.08</v>
      </c>
    </row>
    <row r="2481">
      <c r="A2481" s="5">
        <v>29642.0</v>
      </c>
      <c r="B2481" s="6" t="s">
        <v>73</v>
      </c>
      <c r="C2481" s="6" t="s">
        <v>269</v>
      </c>
      <c r="D2481" s="6" t="s">
        <v>277</v>
      </c>
      <c r="E2481" s="6">
        <v>3.34</v>
      </c>
    </row>
    <row r="2482">
      <c r="A2482" s="3">
        <v>111774.0</v>
      </c>
      <c r="B2482" s="4" t="s">
        <v>73</v>
      </c>
      <c r="C2482" s="4" t="s">
        <v>269</v>
      </c>
      <c r="D2482" s="4" t="s">
        <v>277</v>
      </c>
      <c r="E2482" s="4">
        <v>3.05</v>
      </c>
    </row>
    <row r="2483">
      <c r="A2483" s="5">
        <v>117290.0</v>
      </c>
      <c r="B2483" s="6" t="s">
        <v>73</v>
      </c>
      <c r="C2483" s="6" t="s">
        <v>269</v>
      </c>
      <c r="D2483" s="6" t="s">
        <v>277</v>
      </c>
      <c r="E2483" s="6">
        <v>4.01</v>
      </c>
    </row>
    <row r="2484">
      <c r="A2484" s="3">
        <v>105593.0</v>
      </c>
      <c r="B2484" s="4" t="s">
        <v>73</v>
      </c>
      <c r="C2484" s="4" t="s">
        <v>269</v>
      </c>
      <c r="D2484" s="4" t="s">
        <v>277</v>
      </c>
      <c r="E2484" s="4">
        <v>7.42</v>
      </c>
    </row>
    <row r="2485">
      <c r="A2485" s="5">
        <v>70751.0</v>
      </c>
      <c r="B2485" s="6" t="s">
        <v>73</v>
      </c>
      <c r="C2485" s="6" t="s">
        <v>269</v>
      </c>
      <c r="D2485" s="6" t="s">
        <v>277</v>
      </c>
      <c r="E2485" s="6">
        <v>5.53</v>
      </c>
    </row>
    <row r="2486">
      <c r="A2486" s="3">
        <v>118929.0</v>
      </c>
      <c r="B2486" s="4" t="s">
        <v>73</v>
      </c>
      <c r="C2486" s="4" t="s">
        <v>269</v>
      </c>
      <c r="D2486" s="4" t="s">
        <v>277</v>
      </c>
      <c r="E2486" s="4">
        <v>5.12</v>
      </c>
    </row>
    <row r="2487">
      <c r="A2487" s="5">
        <v>70594.0</v>
      </c>
      <c r="B2487" s="6" t="s">
        <v>73</v>
      </c>
      <c r="C2487" s="6" t="s">
        <v>269</v>
      </c>
      <c r="D2487" s="6" t="s">
        <v>277</v>
      </c>
      <c r="E2487" s="6">
        <v>5.53</v>
      </c>
    </row>
    <row r="2488">
      <c r="A2488" s="3">
        <v>118270.0</v>
      </c>
      <c r="B2488" s="4" t="s">
        <v>73</v>
      </c>
      <c r="C2488" s="4" t="s">
        <v>269</v>
      </c>
      <c r="D2488" s="4" t="s">
        <v>277</v>
      </c>
      <c r="E2488" s="4">
        <v>3.29</v>
      </c>
    </row>
    <row r="2489">
      <c r="A2489" s="5">
        <v>20584.0</v>
      </c>
      <c r="B2489" s="6" t="s">
        <v>73</v>
      </c>
      <c r="C2489" s="6" t="s">
        <v>269</v>
      </c>
      <c r="D2489" s="6" t="s">
        <v>277</v>
      </c>
      <c r="E2489" s="6">
        <v>8.55</v>
      </c>
    </row>
    <row r="2490">
      <c r="A2490" s="3">
        <v>150541.0</v>
      </c>
      <c r="B2490" s="4" t="s">
        <v>73</v>
      </c>
      <c r="C2490" s="4" t="s">
        <v>269</v>
      </c>
      <c r="D2490" s="4" t="s">
        <v>277</v>
      </c>
      <c r="E2490" s="4">
        <v>3.87</v>
      </c>
    </row>
    <row r="2491">
      <c r="A2491" s="5">
        <v>12633.0</v>
      </c>
      <c r="B2491" s="6" t="s">
        <v>73</v>
      </c>
      <c r="C2491" s="6" t="s">
        <v>269</v>
      </c>
      <c r="D2491" s="6" t="s">
        <v>277</v>
      </c>
      <c r="E2491" s="6">
        <v>5.36</v>
      </c>
    </row>
    <row r="2492">
      <c r="A2492" s="3">
        <v>9666.0</v>
      </c>
      <c r="B2492" s="4" t="s">
        <v>73</v>
      </c>
      <c r="C2492" s="4" t="s">
        <v>269</v>
      </c>
      <c r="D2492" s="4" t="s">
        <v>277</v>
      </c>
      <c r="E2492" s="4">
        <v>3.79</v>
      </c>
    </row>
    <row r="2493">
      <c r="A2493" s="5">
        <v>79940.0</v>
      </c>
      <c r="B2493" s="6" t="s">
        <v>73</v>
      </c>
      <c r="C2493" s="6" t="s">
        <v>269</v>
      </c>
      <c r="D2493" s="6" t="s">
        <v>277</v>
      </c>
      <c r="E2493" s="6">
        <v>2.66</v>
      </c>
    </row>
    <row r="2494">
      <c r="A2494" s="3">
        <v>201198.0</v>
      </c>
      <c r="B2494" s="4" t="s">
        <v>73</v>
      </c>
      <c r="C2494" s="4" t="s">
        <v>269</v>
      </c>
      <c r="D2494" s="4" t="s">
        <v>277</v>
      </c>
      <c r="E2494" s="4">
        <v>6.09</v>
      </c>
    </row>
    <row r="2495">
      <c r="A2495" s="5">
        <v>117268.0</v>
      </c>
      <c r="B2495" s="6" t="s">
        <v>73</v>
      </c>
      <c r="C2495" s="6" t="s">
        <v>269</v>
      </c>
      <c r="D2495" s="6" t="s">
        <v>277</v>
      </c>
      <c r="E2495" s="6">
        <v>3.32</v>
      </c>
    </row>
    <row r="2496">
      <c r="A2496" s="3">
        <v>80623.0</v>
      </c>
      <c r="B2496" s="4" t="s">
        <v>73</v>
      </c>
      <c r="C2496" s="4" t="s">
        <v>269</v>
      </c>
      <c r="D2496" s="4" t="s">
        <v>277</v>
      </c>
      <c r="E2496" s="4">
        <v>6.02</v>
      </c>
    </row>
    <row r="2497">
      <c r="A2497" s="5">
        <v>9698.0</v>
      </c>
      <c r="B2497" s="6" t="s">
        <v>73</v>
      </c>
      <c r="C2497" s="6" t="s">
        <v>269</v>
      </c>
      <c r="D2497" s="6" t="s">
        <v>277</v>
      </c>
      <c r="E2497" s="6">
        <v>3.54</v>
      </c>
    </row>
    <row r="2498">
      <c r="A2498" s="3">
        <v>83102.0</v>
      </c>
      <c r="B2498" s="4" t="s">
        <v>73</v>
      </c>
      <c r="C2498" s="4" t="s">
        <v>269</v>
      </c>
      <c r="D2498" s="4" t="s">
        <v>277</v>
      </c>
      <c r="E2498" s="4">
        <v>2.47</v>
      </c>
    </row>
    <row r="2499">
      <c r="A2499" s="5">
        <v>118271.0</v>
      </c>
      <c r="B2499" s="6" t="s">
        <v>73</v>
      </c>
      <c r="C2499" s="6" t="s">
        <v>269</v>
      </c>
      <c r="D2499" s="6" t="s">
        <v>277</v>
      </c>
      <c r="E2499" s="6">
        <v>3.37</v>
      </c>
    </row>
    <row r="2500">
      <c r="A2500" s="3">
        <v>41659.0</v>
      </c>
      <c r="B2500" s="4" t="s">
        <v>73</v>
      </c>
      <c r="C2500" s="4" t="s">
        <v>269</v>
      </c>
      <c r="D2500" s="4" t="s">
        <v>277</v>
      </c>
      <c r="E2500" s="4">
        <v>5.19</v>
      </c>
    </row>
    <row r="2501">
      <c r="A2501" s="5">
        <v>81564.0</v>
      </c>
      <c r="B2501" s="6" t="s">
        <v>73</v>
      </c>
      <c r="C2501" s="6" t="s">
        <v>269</v>
      </c>
      <c r="D2501" s="6" t="s">
        <v>277</v>
      </c>
      <c r="E2501" s="6">
        <v>3.41</v>
      </c>
    </row>
    <row r="2502">
      <c r="A2502" s="3">
        <v>110132.0</v>
      </c>
      <c r="B2502" s="4" t="s">
        <v>73</v>
      </c>
      <c r="C2502" s="4" t="s">
        <v>269</v>
      </c>
      <c r="D2502" s="4" t="s">
        <v>277</v>
      </c>
      <c r="E2502" s="4">
        <v>5.2</v>
      </c>
    </row>
    <row r="2503">
      <c r="A2503" s="5">
        <v>17639.0</v>
      </c>
      <c r="B2503" s="6" t="s">
        <v>73</v>
      </c>
      <c r="C2503" s="6" t="s">
        <v>269</v>
      </c>
      <c r="D2503" s="6" t="s">
        <v>277</v>
      </c>
      <c r="E2503" s="6">
        <v>2.21</v>
      </c>
    </row>
    <row r="2504">
      <c r="A2504" s="3">
        <v>201025.0</v>
      </c>
      <c r="B2504" s="4" t="s">
        <v>73</v>
      </c>
      <c r="C2504" s="4" t="s">
        <v>269</v>
      </c>
      <c r="D2504" s="4" t="s">
        <v>277</v>
      </c>
      <c r="E2504" s="4">
        <v>4.85</v>
      </c>
    </row>
    <row r="2505">
      <c r="A2505" s="5">
        <v>70589.0</v>
      </c>
      <c r="B2505" s="6" t="s">
        <v>73</v>
      </c>
      <c r="C2505" s="6" t="s">
        <v>269</v>
      </c>
      <c r="D2505" s="6" t="s">
        <v>277</v>
      </c>
      <c r="E2505" s="6">
        <v>5.53</v>
      </c>
    </row>
    <row r="2506">
      <c r="A2506" s="3">
        <v>75825.0</v>
      </c>
      <c r="B2506" s="4" t="s">
        <v>73</v>
      </c>
      <c r="C2506" s="4" t="s">
        <v>269</v>
      </c>
      <c r="D2506" s="4" t="s">
        <v>277</v>
      </c>
      <c r="E2506" s="4">
        <v>6.0</v>
      </c>
    </row>
    <row r="2507">
      <c r="A2507" s="5">
        <v>9699.0</v>
      </c>
      <c r="B2507" s="6" t="s">
        <v>73</v>
      </c>
      <c r="C2507" s="6" t="s">
        <v>269</v>
      </c>
      <c r="D2507" s="6" t="s">
        <v>277</v>
      </c>
      <c r="E2507" s="6">
        <v>2.85</v>
      </c>
    </row>
    <row r="2508">
      <c r="A2508" s="3">
        <v>122448.0</v>
      </c>
      <c r="B2508" s="4" t="s">
        <v>73</v>
      </c>
      <c r="C2508" s="4" t="s">
        <v>269</v>
      </c>
      <c r="D2508" s="4" t="s">
        <v>277</v>
      </c>
      <c r="E2508" s="4">
        <v>6.25</v>
      </c>
    </row>
    <row r="2509">
      <c r="A2509" s="5">
        <v>105506.0</v>
      </c>
      <c r="B2509" s="6" t="s">
        <v>73</v>
      </c>
      <c r="C2509" s="6" t="s">
        <v>269</v>
      </c>
      <c r="D2509" s="6" t="s">
        <v>278</v>
      </c>
      <c r="E2509" s="6">
        <v>10.72</v>
      </c>
    </row>
    <row r="2510">
      <c r="A2510" s="3">
        <v>142304.0</v>
      </c>
      <c r="B2510" s="4" t="s">
        <v>73</v>
      </c>
      <c r="C2510" s="4" t="s">
        <v>269</v>
      </c>
      <c r="D2510" s="4" t="s">
        <v>278</v>
      </c>
      <c r="E2510" s="4">
        <v>4.18</v>
      </c>
    </row>
    <row r="2511">
      <c r="A2511" s="5">
        <v>105505.0</v>
      </c>
      <c r="B2511" s="6" t="s">
        <v>73</v>
      </c>
      <c r="C2511" s="6" t="s">
        <v>269</v>
      </c>
      <c r="D2511" s="6" t="s">
        <v>278</v>
      </c>
      <c r="E2511" s="6">
        <v>10.31</v>
      </c>
    </row>
    <row r="2512">
      <c r="A2512" s="3">
        <v>122502.0</v>
      </c>
      <c r="B2512" s="4" t="s">
        <v>73</v>
      </c>
      <c r="C2512" s="4" t="s">
        <v>269</v>
      </c>
      <c r="D2512" s="4" t="s">
        <v>278</v>
      </c>
      <c r="E2512" s="4">
        <v>7.8</v>
      </c>
    </row>
    <row r="2513">
      <c r="A2513" s="5">
        <v>118264.0</v>
      </c>
      <c r="B2513" s="6" t="s">
        <v>73</v>
      </c>
      <c r="C2513" s="6" t="s">
        <v>269</v>
      </c>
      <c r="D2513" s="6" t="s">
        <v>278</v>
      </c>
      <c r="E2513" s="6">
        <v>6.73</v>
      </c>
    </row>
    <row r="2514">
      <c r="A2514" s="3">
        <v>17632.0</v>
      </c>
      <c r="B2514" s="4" t="s">
        <v>73</v>
      </c>
      <c r="C2514" s="4" t="s">
        <v>269</v>
      </c>
      <c r="D2514" s="4" t="s">
        <v>278</v>
      </c>
      <c r="E2514" s="4">
        <v>2.36</v>
      </c>
    </row>
    <row r="2515">
      <c r="A2515" s="5">
        <v>108790.0</v>
      </c>
      <c r="B2515" s="6" t="s">
        <v>73</v>
      </c>
      <c r="C2515" s="6" t="s">
        <v>269</v>
      </c>
      <c r="D2515" s="6" t="s">
        <v>278</v>
      </c>
      <c r="E2515" s="6">
        <v>4.41</v>
      </c>
    </row>
    <row r="2516">
      <c r="A2516" s="3">
        <v>92200.0</v>
      </c>
      <c r="B2516" s="4" t="s">
        <v>73</v>
      </c>
      <c r="C2516" s="4" t="s">
        <v>269</v>
      </c>
      <c r="D2516" s="4" t="s">
        <v>278</v>
      </c>
      <c r="E2516" s="4">
        <v>12.87</v>
      </c>
    </row>
    <row r="2517">
      <c r="A2517" s="5">
        <v>17634.0</v>
      </c>
      <c r="B2517" s="6" t="s">
        <v>73</v>
      </c>
      <c r="C2517" s="6" t="s">
        <v>269</v>
      </c>
      <c r="D2517" s="6" t="s">
        <v>278</v>
      </c>
      <c r="E2517" s="6">
        <v>2.36</v>
      </c>
    </row>
    <row r="2518">
      <c r="A2518" s="3">
        <v>122522.0</v>
      </c>
      <c r="B2518" s="4" t="s">
        <v>73</v>
      </c>
      <c r="C2518" s="4" t="s">
        <v>269</v>
      </c>
      <c r="D2518" s="4" t="s">
        <v>278</v>
      </c>
      <c r="E2518" s="4">
        <v>7.2</v>
      </c>
    </row>
    <row r="2519">
      <c r="A2519" s="5">
        <v>122505.0</v>
      </c>
      <c r="B2519" s="6" t="s">
        <v>73</v>
      </c>
      <c r="C2519" s="6" t="s">
        <v>269</v>
      </c>
      <c r="D2519" s="6" t="s">
        <v>278</v>
      </c>
      <c r="E2519" s="6">
        <v>7.45</v>
      </c>
    </row>
    <row r="2520">
      <c r="A2520" s="3">
        <v>93416.0</v>
      </c>
      <c r="B2520" s="4" t="s">
        <v>73</v>
      </c>
      <c r="C2520" s="4" t="s">
        <v>269</v>
      </c>
      <c r="D2520" s="4" t="s">
        <v>278</v>
      </c>
      <c r="E2520" s="4">
        <v>20.39</v>
      </c>
    </row>
    <row r="2521">
      <c r="A2521" s="5">
        <v>93406.0</v>
      </c>
      <c r="B2521" s="6" t="s">
        <v>73</v>
      </c>
      <c r="C2521" s="6" t="s">
        <v>269</v>
      </c>
      <c r="D2521" s="6" t="s">
        <v>278</v>
      </c>
      <c r="E2521" s="6">
        <v>26.98</v>
      </c>
    </row>
    <row r="2522">
      <c r="A2522" s="3">
        <v>69329.0</v>
      </c>
      <c r="B2522" s="4" t="s">
        <v>73</v>
      </c>
      <c r="C2522" s="4" t="s">
        <v>269</v>
      </c>
      <c r="D2522" s="4" t="s">
        <v>278</v>
      </c>
      <c r="E2522" s="4">
        <v>3.13</v>
      </c>
    </row>
    <row r="2523">
      <c r="A2523" s="5">
        <v>155953.0</v>
      </c>
      <c r="B2523" s="6" t="s">
        <v>73</v>
      </c>
      <c r="C2523" s="6" t="s">
        <v>269</v>
      </c>
      <c r="D2523" s="6" t="s">
        <v>278</v>
      </c>
      <c r="E2523" s="6">
        <v>6.39</v>
      </c>
    </row>
    <row r="2524">
      <c r="A2524" s="3">
        <v>11721.0</v>
      </c>
      <c r="B2524" s="4" t="s">
        <v>73</v>
      </c>
      <c r="C2524" s="4" t="s">
        <v>269</v>
      </c>
      <c r="D2524" s="4" t="s">
        <v>278</v>
      </c>
      <c r="E2524" s="4">
        <v>7.57</v>
      </c>
    </row>
    <row r="2525">
      <c r="A2525" s="5">
        <v>41654.0</v>
      </c>
      <c r="B2525" s="6" t="s">
        <v>73</v>
      </c>
      <c r="C2525" s="6" t="s">
        <v>269</v>
      </c>
      <c r="D2525" s="6" t="s">
        <v>278</v>
      </c>
      <c r="E2525" s="6">
        <v>6.68</v>
      </c>
    </row>
    <row r="2526">
      <c r="A2526" s="3">
        <v>92204.0</v>
      </c>
      <c r="B2526" s="4" t="s">
        <v>73</v>
      </c>
      <c r="C2526" s="4" t="s">
        <v>269</v>
      </c>
      <c r="D2526" s="4" t="s">
        <v>278</v>
      </c>
      <c r="E2526" s="4">
        <v>11.76</v>
      </c>
    </row>
    <row r="2527">
      <c r="A2527" s="5">
        <v>105572.0</v>
      </c>
      <c r="B2527" s="6" t="s">
        <v>73</v>
      </c>
      <c r="C2527" s="6" t="s">
        <v>269</v>
      </c>
      <c r="D2527" s="6" t="s">
        <v>278</v>
      </c>
      <c r="E2527" s="6">
        <v>9.89</v>
      </c>
    </row>
    <row r="2528">
      <c r="A2528" s="3">
        <v>110141.0</v>
      </c>
      <c r="B2528" s="4" t="s">
        <v>73</v>
      </c>
      <c r="C2528" s="4" t="s">
        <v>269</v>
      </c>
      <c r="D2528" s="4" t="s">
        <v>278</v>
      </c>
      <c r="E2528" s="4">
        <v>9.29</v>
      </c>
    </row>
    <row r="2529">
      <c r="A2529" s="5">
        <v>158471.0</v>
      </c>
      <c r="B2529" s="6" t="s">
        <v>73</v>
      </c>
      <c r="C2529" s="6" t="s">
        <v>269</v>
      </c>
      <c r="D2529" s="6" t="s">
        <v>278</v>
      </c>
      <c r="E2529" s="6">
        <v>4.56</v>
      </c>
    </row>
    <row r="2530">
      <c r="A2530" s="3">
        <v>120876.0</v>
      </c>
      <c r="B2530" s="4" t="s">
        <v>60</v>
      </c>
      <c r="C2530" s="4" t="s">
        <v>279</v>
      </c>
      <c r="D2530" s="4" t="s">
        <v>280</v>
      </c>
      <c r="E2530" s="4">
        <v>1.9</v>
      </c>
    </row>
    <row r="2531">
      <c r="A2531" s="5">
        <v>87437.0</v>
      </c>
      <c r="B2531" s="6" t="s">
        <v>60</v>
      </c>
      <c r="C2531" s="6" t="s">
        <v>279</v>
      </c>
      <c r="D2531" s="6" t="s">
        <v>280</v>
      </c>
      <c r="E2531" s="6">
        <v>1.65</v>
      </c>
    </row>
    <row r="2532">
      <c r="A2532" s="3">
        <v>121462.0</v>
      </c>
      <c r="B2532" s="4" t="s">
        <v>60</v>
      </c>
      <c r="C2532" s="4" t="s">
        <v>279</v>
      </c>
      <c r="D2532" s="4" t="s">
        <v>280</v>
      </c>
      <c r="E2532" s="4">
        <v>1.18</v>
      </c>
    </row>
    <row r="2533">
      <c r="A2533" s="5">
        <v>69471.0</v>
      </c>
      <c r="B2533" s="6" t="s">
        <v>60</v>
      </c>
      <c r="C2533" s="6" t="s">
        <v>279</v>
      </c>
      <c r="D2533" s="6" t="s">
        <v>280</v>
      </c>
      <c r="E2533" s="6">
        <v>1.18</v>
      </c>
    </row>
    <row r="2534">
      <c r="A2534" s="3">
        <v>114904.0</v>
      </c>
      <c r="B2534" s="4" t="s">
        <v>60</v>
      </c>
      <c r="C2534" s="4" t="s">
        <v>279</v>
      </c>
      <c r="D2534" s="4" t="s">
        <v>280</v>
      </c>
      <c r="E2534" s="4">
        <v>3.63</v>
      </c>
    </row>
    <row r="2535">
      <c r="A2535" s="5">
        <v>113910.0</v>
      </c>
      <c r="B2535" s="6" t="s">
        <v>60</v>
      </c>
      <c r="C2535" s="6" t="s">
        <v>279</v>
      </c>
      <c r="D2535" s="6" t="s">
        <v>280</v>
      </c>
      <c r="E2535" s="6">
        <v>1.99</v>
      </c>
    </row>
    <row r="2536">
      <c r="A2536" s="3">
        <v>18100.0</v>
      </c>
      <c r="B2536" s="4" t="s">
        <v>60</v>
      </c>
      <c r="C2536" s="4" t="s">
        <v>279</v>
      </c>
      <c r="D2536" s="4" t="s">
        <v>280</v>
      </c>
      <c r="E2536" s="4">
        <v>6.63</v>
      </c>
    </row>
    <row r="2537">
      <c r="A2537" s="5">
        <v>114963.0</v>
      </c>
      <c r="B2537" s="6" t="s">
        <v>60</v>
      </c>
      <c r="C2537" s="6" t="s">
        <v>279</v>
      </c>
      <c r="D2537" s="6" t="s">
        <v>280</v>
      </c>
      <c r="E2537" s="6">
        <v>1.44</v>
      </c>
    </row>
    <row r="2538">
      <c r="A2538" s="3">
        <v>121495.0</v>
      </c>
      <c r="B2538" s="4" t="s">
        <v>60</v>
      </c>
      <c r="C2538" s="4" t="s">
        <v>279</v>
      </c>
      <c r="D2538" s="4" t="s">
        <v>280</v>
      </c>
      <c r="E2538" s="4">
        <v>1.52</v>
      </c>
    </row>
    <row r="2539">
      <c r="A2539" s="5">
        <v>83041.0</v>
      </c>
      <c r="B2539" s="6" t="s">
        <v>60</v>
      </c>
      <c r="C2539" s="6" t="s">
        <v>279</v>
      </c>
      <c r="D2539" s="6" t="s">
        <v>280</v>
      </c>
      <c r="E2539" s="6">
        <v>3.68</v>
      </c>
    </row>
    <row r="2540">
      <c r="A2540" s="3">
        <v>121499.0</v>
      </c>
      <c r="B2540" s="4" t="s">
        <v>60</v>
      </c>
      <c r="C2540" s="4" t="s">
        <v>279</v>
      </c>
      <c r="D2540" s="4" t="s">
        <v>280</v>
      </c>
      <c r="E2540" s="4">
        <v>0.72</v>
      </c>
    </row>
    <row r="2541">
      <c r="A2541" s="5">
        <v>108528.0</v>
      </c>
      <c r="B2541" s="6" t="s">
        <v>60</v>
      </c>
      <c r="C2541" s="6" t="s">
        <v>279</v>
      </c>
      <c r="D2541" s="6" t="s">
        <v>280</v>
      </c>
      <c r="E2541" s="6">
        <v>5.15</v>
      </c>
    </row>
    <row r="2542">
      <c r="A2542" s="3">
        <v>69547.0</v>
      </c>
      <c r="B2542" s="4" t="s">
        <v>60</v>
      </c>
      <c r="C2542" s="4" t="s">
        <v>279</v>
      </c>
      <c r="D2542" s="4" t="s">
        <v>280</v>
      </c>
      <c r="E2542" s="4">
        <v>1.48</v>
      </c>
    </row>
    <row r="2543">
      <c r="A2543" s="5">
        <v>18126.0</v>
      </c>
      <c r="B2543" s="6" t="s">
        <v>60</v>
      </c>
      <c r="C2543" s="6" t="s">
        <v>279</v>
      </c>
      <c r="D2543" s="6" t="s">
        <v>280</v>
      </c>
      <c r="E2543" s="6">
        <v>8.61</v>
      </c>
    </row>
    <row r="2544">
      <c r="A2544" s="3">
        <v>121812.0</v>
      </c>
      <c r="B2544" s="4" t="s">
        <v>60</v>
      </c>
      <c r="C2544" s="4" t="s">
        <v>279</v>
      </c>
      <c r="D2544" s="4" t="s">
        <v>280</v>
      </c>
      <c r="E2544" s="4">
        <v>2.17</v>
      </c>
    </row>
    <row r="2545">
      <c r="A2545" s="5">
        <v>81497.0</v>
      </c>
      <c r="B2545" s="6" t="s">
        <v>60</v>
      </c>
      <c r="C2545" s="6" t="s">
        <v>279</v>
      </c>
      <c r="D2545" s="6" t="s">
        <v>280</v>
      </c>
      <c r="E2545" s="6">
        <v>1.2</v>
      </c>
    </row>
    <row r="2546">
      <c r="A2546" s="3">
        <v>121500.0</v>
      </c>
      <c r="B2546" s="4" t="s">
        <v>60</v>
      </c>
      <c r="C2546" s="4" t="s">
        <v>279</v>
      </c>
      <c r="D2546" s="4" t="s">
        <v>280</v>
      </c>
      <c r="E2546" s="4">
        <v>0.91</v>
      </c>
    </row>
    <row r="2547">
      <c r="A2547" s="5">
        <v>45903.0</v>
      </c>
      <c r="B2547" s="6" t="s">
        <v>60</v>
      </c>
      <c r="C2547" s="6" t="s">
        <v>279</v>
      </c>
      <c r="D2547" s="6" t="s">
        <v>280</v>
      </c>
      <c r="E2547" s="6">
        <v>3.72</v>
      </c>
    </row>
    <row r="2548">
      <c r="A2548" s="3">
        <v>121813.0</v>
      </c>
      <c r="B2548" s="4" t="s">
        <v>60</v>
      </c>
      <c r="C2548" s="4" t="s">
        <v>279</v>
      </c>
      <c r="D2548" s="4" t="s">
        <v>280</v>
      </c>
      <c r="E2548" s="4">
        <v>1.4</v>
      </c>
    </row>
    <row r="2549">
      <c r="A2549" s="5">
        <v>108512.0</v>
      </c>
      <c r="B2549" s="6" t="s">
        <v>60</v>
      </c>
      <c r="C2549" s="6" t="s">
        <v>279</v>
      </c>
      <c r="D2549" s="6" t="s">
        <v>280</v>
      </c>
      <c r="E2549" s="6">
        <v>4.48</v>
      </c>
    </row>
    <row r="2550">
      <c r="A2550" s="3">
        <v>70189.0</v>
      </c>
      <c r="B2550" s="4" t="s">
        <v>60</v>
      </c>
      <c r="C2550" s="4" t="s">
        <v>279</v>
      </c>
      <c r="D2550" s="4" t="s">
        <v>280</v>
      </c>
      <c r="E2550" s="4">
        <v>1.88</v>
      </c>
    </row>
    <row r="2551">
      <c r="A2551" s="5">
        <v>194057.0</v>
      </c>
      <c r="B2551" s="6" t="s">
        <v>60</v>
      </c>
      <c r="C2551" s="6" t="s">
        <v>279</v>
      </c>
      <c r="D2551" s="6" t="s">
        <v>280</v>
      </c>
      <c r="E2551" s="6">
        <v>2.16</v>
      </c>
    </row>
    <row r="2552">
      <c r="A2552" s="3">
        <v>121460.0</v>
      </c>
      <c r="B2552" s="4" t="s">
        <v>60</v>
      </c>
      <c r="C2552" s="4" t="s">
        <v>279</v>
      </c>
      <c r="D2552" s="4" t="s">
        <v>280</v>
      </c>
      <c r="E2552" s="4">
        <v>0.65</v>
      </c>
    </row>
    <row r="2553">
      <c r="A2553" s="5">
        <v>121950.0</v>
      </c>
      <c r="B2553" s="6" t="s">
        <v>60</v>
      </c>
      <c r="C2553" s="6" t="s">
        <v>279</v>
      </c>
      <c r="D2553" s="6" t="s">
        <v>280</v>
      </c>
      <c r="E2553" s="6">
        <v>3.46</v>
      </c>
    </row>
    <row r="2554">
      <c r="A2554" s="3">
        <v>121811.0</v>
      </c>
      <c r="B2554" s="4" t="s">
        <v>60</v>
      </c>
      <c r="C2554" s="4" t="s">
        <v>279</v>
      </c>
      <c r="D2554" s="4" t="s">
        <v>280</v>
      </c>
      <c r="E2554" s="4">
        <v>1.26</v>
      </c>
    </row>
    <row r="2555">
      <c r="A2555" s="5">
        <v>86400.0</v>
      </c>
      <c r="B2555" s="6" t="s">
        <v>60</v>
      </c>
      <c r="C2555" s="6" t="s">
        <v>279</v>
      </c>
      <c r="D2555" s="6" t="s">
        <v>280</v>
      </c>
      <c r="E2555" s="6">
        <v>1.33</v>
      </c>
    </row>
    <row r="2556">
      <c r="A2556" s="3">
        <v>108527.0</v>
      </c>
      <c r="B2556" s="4" t="s">
        <v>60</v>
      </c>
      <c r="C2556" s="4" t="s">
        <v>279</v>
      </c>
      <c r="D2556" s="4" t="s">
        <v>280</v>
      </c>
      <c r="E2556" s="4">
        <v>2.34</v>
      </c>
    </row>
    <row r="2557">
      <c r="A2557" s="5">
        <v>88622.0</v>
      </c>
      <c r="B2557" s="6" t="s">
        <v>60</v>
      </c>
      <c r="C2557" s="6" t="s">
        <v>279</v>
      </c>
      <c r="D2557" s="6" t="s">
        <v>280</v>
      </c>
      <c r="E2557" s="6">
        <v>1.56</v>
      </c>
    </row>
    <row r="2558">
      <c r="A2558" s="3">
        <v>121803.0</v>
      </c>
      <c r="B2558" s="4" t="s">
        <v>60</v>
      </c>
      <c r="C2558" s="4" t="s">
        <v>279</v>
      </c>
      <c r="D2558" s="4" t="s">
        <v>280</v>
      </c>
      <c r="E2558" s="4">
        <v>1.21</v>
      </c>
    </row>
    <row r="2559">
      <c r="A2559" s="5">
        <v>87418.0</v>
      </c>
      <c r="B2559" s="6" t="s">
        <v>60</v>
      </c>
      <c r="C2559" s="6" t="s">
        <v>279</v>
      </c>
      <c r="D2559" s="6" t="s">
        <v>280</v>
      </c>
      <c r="E2559" s="6">
        <v>1.66</v>
      </c>
    </row>
    <row r="2560">
      <c r="A2560" s="3">
        <v>26275.0</v>
      </c>
      <c r="B2560" s="4" t="s">
        <v>60</v>
      </c>
      <c r="C2560" s="4" t="s">
        <v>279</v>
      </c>
      <c r="D2560" s="4" t="s">
        <v>280</v>
      </c>
      <c r="E2560" s="4">
        <v>1.63</v>
      </c>
    </row>
    <row r="2561">
      <c r="A2561" s="5">
        <v>119229.0</v>
      </c>
      <c r="B2561" s="6" t="s">
        <v>60</v>
      </c>
      <c r="C2561" s="6" t="s">
        <v>279</v>
      </c>
      <c r="D2561" s="6" t="s">
        <v>280</v>
      </c>
      <c r="E2561" s="6">
        <v>2.23</v>
      </c>
    </row>
    <row r="2562">
      <c r="A2562" s="3">
        <v>74881.0</v>
      </c>
      <c r="B2562" s="4" t="s">
        <v>60</v>
      </c>
      <c r="C2562" s="4" t="s">
        <v>279</v>
      </c>
      <c r="D2562" s="4" t="s">
        <v>280</v>
      </c>
      <c r="E2562" s="4">
        <v>4.69</v>
      </c>
    </row>
    <row r="2563">
      <c r="A2563" s="5">
        <v>86469.0</v>
      </c>
      <c r="B2563" s="6" t="s">
        <v>60</v>
      </c>
      <c r="C2563" s="6" t="s">
        <v>279</v>
      </c>
      <c r="D2563" s="6" t="s">
        <v>280</v>
      </c>
      <c r="E2563" s="6">
        <v>1.15</v>
      </c>
    </row>
    <row r="2564">
      <c r="A2564" s="3">
        <v>120798.0</v>
      </c>
      <c r="B2564" s="4" t="s">
        <v>60</v>
      </c>
      <c r="C2564" s="4" t="s">
        <v>279</v>
      </c>
      <c r="D2564" s="4" t="s">
        <v>280</v>
      </c>
      <c r="E2564" s="4">
        <v>0.95</v>
      </c>
    </row>
    <row r="2565">
      <c r="A2565" s="5">
        <v>86479.0</v>
      </c>
      <c r="B2565" s="6" t="s">
        <v>60</v>
      </c>
      <c r="C2565" s="6" t="s">
        <v>279</v>
      </c>
      <c r="D2565" s="6" t="s">
        <v>280</v>
      </c>
      <c r="E2565" s="6">
        <v>1.02</v>
      </c>
    </row>
    <row r="2566">
      <c r="A2566" s="3">
        <v>80411.0</v>
      </c>
      <c r="B2566" s="4" t="s">
        <v>60</v>
      </c>
      <c r="C2566" s="4" t="s">
        <v>279</v>
      </c>
      <c r="D2566" s="4" t="s">
        <v>280</v>
      </c>
      <c r="E2566" s="4">
        <v>1.03</v>
      </c>
    </row>
    <row r="2567">
      <c r="A2567" s="5">
        <v>120797.0</v>
      </c>
      <c r="B2567" s="6" t="s">
        <v>60</v>
      </c>
      <c r="C2567" s="6" t="s">
        <v>279</v>
      </c>
      <c r="D2567" s="6" t="s">
        <v>280</v>
      </c>
      <c r="E2567" s="6">
        <v>0.6</v>
      </c>
    </row>
    <row r="2568">
      <c r="A2568" s="3">
        <v>86480.0</v>
      </c>
      <c r="B2568" s="4" t="s">
        <v>60</v>
      </c>
      <c r="C2568" s="4" t="s">
        <v>279</v>
      </c>
      <c r="D2568" s="4" t="s">
        <v>280</v>
      </c>
      <c r="E2568" s="4">
        <v>1.06</v>
      </c>
    </row>
    <row r="2569">
      <c r="A2569" s="5">
        <v>86478.0</v>
      </c>
      <c r="B2569" s="6" t="s">
        <v>60</v>
      </c>
      <c r="C2569" s="6" t="s">
        <v>279</v>
      </c>
      <c r="D2569" s="6" t="s">
        <v>280</v>
      </c>
      <c r="E2569" s="6">
        <v>1.06</v>
      </c>
    </row>
    <row r="2570">
      <c r="A2570" s="3">
        <v>118887.0</v>
      </c>
      <c r="B2570" s="4" t="s">
        <v>60</v>
      </c>
      <c r="C2570" s="4" t="s">
        <v>279</v>
      </c>
      <c r="D2570" s="4" t="s">
        <v>280</v>
      </c>
      <c r="E2570" s="4">
        <v>2.38</v>
      </c>
    </row>
    <row r="2571">
      <c r="A2571" s="5">
        <v>121802.0</v>
      </c>
      <c r="B2571" s="6" t="s">
        <v>60</v>
      </c>
      <c r="C2571" s="6" t="s">
        <v>279</v>
      </c>
      <c r="D2571" s="6" t="s">
        <v>280</v>
      </c>
      <c r="E2571" s="6">
        <v>1.13</v>
      </c>
    </row>
    <row r="2572">
      <c r="A2572" s="3">
        <v>87440.0</v>
      </c>
      <c r="B2572" s="4" t="s">
        <v>60</v>
      </c>
      <c r="C2572" s="4" t="s">
        <v>279</v>
      </c>
      <c r="D2572" s="4" t="s">
        <v>280</v>
      </c>
      <c r="E2572" s="4">
        <v>1.03</v>
      </c>
    </row>
    <row r="2573">
      <c r="A2573" s="5">
        <v>86477.0</v>
      </c>
      <c r="B2573" s="6" t="s">
        <v>60</v>
      </c>
      <c r="C2573" s="6" t="s">
        <v>279</v>
      </c>
      <c r="D2573" s="6" t="s">
        <v>280</v>
      </c>
      <c r="E2573" s="6">
        <v>1.18</v>
      </c>
    </row>
    <row r="2574">
      <c r="A2574" s="3">
        <v>83059.0</v>
      </c>
      <c r="B2574" s="4" t="s">
        <v>60</v>
      </c>
      <c r="C2574" s="4" t="s">
        <v>279</v>
      </c>
      <c r="D2574" s="4" t="s">
        <v>280</v>
      </c>
      <c r="E2574" s="4">
        <v>5.8</v>
      </c>
    </row>
    <row r="2575">
      <c r="A2575" s="5">
        <v>86449.0</v>
      </c>
      <c r="B2575" s="6" t="s">
        <v>60</v>
      </c>
      <c r="C2575" s="6" t="s">
        <v>279</v>
      </c>
      <c r="D2575" s="6" t="s">
        <v>280</v>
      </c>
      <c r="E2575" s="6">
        <v>1.74</v>
      </c>
    </row>
    <row r="2576">
      <c r="A2576" s="3">
        <v>86416.0</v>
      </c>
      <c r="B2576" s="4" t="s">
        <v>60</v>
      </c>
      <c r="C2576" s="4" t="s">
        <v>279</v>
      </c>
      <c r="D2576" s="4" t="s">
        <v>280</v>
      </c>
      <c r="E2576" s="4">
        <v>1.33</v>
      </c>
    </row>
    <row r="2577">
      <c r="A2577" s="5">
        <v>83064.0</v>
      </c>
      <c r="B2577" s="6" t="s">
        <v>60</v>
      </c>
      <c r="C2577" s="6" t="s">
        <v>279</v>
      </c>
      <c r="D2577" s="6" t="s">
        <v>280</v>
      </c>
      <c r="E2577" s="6">
        <v>10.19</v>
      </c>
    </row>
    <row r="2578">
      <c r="A2578" s="3">
        <v>108514.0</v>
      </c>
      <c r="B2578" s="4" t="s">
        <v>60</v>
      </c>
      <c r="C2578" s="4" t="s">
        <v>279</v>
      </c>
      <c r="D2578" s="4" t="s">
        <v>280</v>
      </c>
      <c r="E2578" s="4">
        <v>2.34</v>
      </c>
    </row>
    <row r="2579">
      <c r="A2579" s="5">
        <v>86454.0</v>
      </c>
      <c r="B2579" s="6" t="s">
        <v>60</v>
      </c>
      <c r="C2579" s="6" t="s">
        <v>279</v>
      </c>
      <c r="D2579" s="6" t="s">
        <v>280</v>
      </c>
      <c r="E2579" s="6">
        <v>3.35</v>
      </c>
    </row>
    <row r="2580">
      <c r="A2580" s="3">
        <v>143238.0</v>
      </c>
      <c r="B2580" s="4" t="s">
        <v>60</v>
      </c>
      <c r="C2580" s="4" t="s">
        <v>279</v>
      </c>
      <c r="D2580" s="4" t="s">
        <v>280</v>
      </c>
      <c r="E2580" s="4">
        <v>1.9</v>
      </c>
    </row>
    <row r="2581">
      <c r="A2581" s="5">
        <v>107070.0</v>
      </c>
      <c r="B2581" s="6" t="s">
        <v>60</v>
      </c>
      <c r="C2581" s="6" t="s">
        <v>279</v>
      </c>
      <c r="D2581" s="6" t="s">
        <v>280</v>
      </c>
      <c r="E2581" s="6">
        <v>5.89</v>
      </c>
    </row>
    <row r="2582">
      <c r="A2582" s="3">
        <v>114467.0</v>
      </c>
      <c r="B2582" s="4" t="s">
        <v>60</v>
      </c>
      <c r="C2582" s="4" t="s">
        <v>279</v>
      </c>
      <c r="D2582" s="4" t="s">
        <v>280</v>
      </c>
      <c r="E2582" s="4">
        <v>3.26</v>
      </c>
    </row>
    <row r="2583">
      <c r="A2583" s="5">
        <v>143237.0</v>
      </c>
      <c r="B2583" s="6" t="s">
        <v>60</v>
      </c>
      <c r="C2583" s="6" t="s">
        <v>279</v>
      </c>
      <c r="D2583" s="6" t="s">
        <v>280</v>
      </c>
      <c r="E2583" s="6">
        <v>1.96</v>
      </c>
    </row>
    <row r="2584">
      <c r="A2584" s="3">
        <v>86417.0</v>
      </c>
      <c r="B2584" s="4" t="s">
        <v>60</v>
      </c>
      <c r="C2584" s="4" t="s">
        <v>279</v>
      </c>
      <c r="D2584" s="4" t="s">
        <v>280</v>
      </c>
      <c r="E2584" s="4">
        <v>1.66</v>
      </c>
    </row>
    <row r="2585">
      <c r="A2585" s="5">
        <v>147317.0</v>
      </c>
      <c r="B2585" s="6" t="s">
        <v>60</v>
      </c>
      <c r="C2585" s="6" t="s">
        <v>279</v>
      </c>
      <c r="D2585" s="6" t="s">
        <v>280</v>
      </c>
      <c r="E2585" s="6">
        <v>0.75</v>
      </c>
    </row>
    <row r="2586">
      <c r="A2586" s="3">
        <v>122177.0</v>
      </c>
      <c r="B2586" s="4" t="s">
        <v>60</v>
      </c>
      <c r="C2586" s="4" t="s">
        <v>279</v>
      </c>
      <c r="D2586" s="4" t="s">
        <v>280</v>
      </c>
      <c r="E2586" s="4">
        <v>1.73</v>
      </c>
    </row>
    <row r="2587">
      <c r="A2587" s="5">
        <v>114909.0</v>
      </c>
      <c r="B2587" s="6" t="s">
        <v>60</v>
      </c>
      <c r="C2587" s="6" t="s">
        <v>279</v>
      </c>
      <c r="D2587" s="6" t="s">
        <v>280</v>
      </c>
      <c r="E2587" s="6">
        <v>5.46</v>
      </c>
    </row>
    <row r="2588">
      <c r="A2588" s="3">
        <v>119230.0</v>
      </c>
      <c r="B2588" s="4" t="s">
        <v>60</v>
      </c>
      <c r="C2588" s="4" t="s">
        <v>279</v>
      </c>
      <c r="D2588" s="4" t="s">
        <v>280</v>
      </c>
      <c r="E2588" s="4">
        <v>2.14</v>
      </c>
    </row>
    <row r="2589">
      <c r="A2589" s="5">
        <v>107109.0</v>
      </c>
      <c r="B2589" s="6" t="s">
        <v>60</v>
      </c>
      <c r="C2589" s="6" t="s">
        <v>279</v>
      </c>
      <c r="D2589" s="6" t="s">
        <v>280</v>
      </c>
      <c r="E2589" s="6">
        <v>2.48</v>
      </c>
    </row>
    <row r="2590">
      <c r="A2590" s="3">
        <v>121461.0</v>
      </c>
      <c r="B2590" s="4" t="s">
        <v>60</v>
      </c>
      <c r="C2590" s="4" t="s">
        <v>279</v>
      </c>
      <c r="D2590" s="4" t="s">
        <v>280</v>
      </c>
      <c r="E2590" s="4">
        <v>1.02</v>
      </c>
    </row>
    <row r="2591">
      <c r="A2591" s="5">
        <v>86413.0</v>
      </c>
      <c r="B2591" s="6" t="s">
        <v>60</v>
      </c>
      <c r="C2591" s="6" t="s">
        <v>279</v>
      </c>
      <c r="D2591" s="6" t="s">
        <v>280</v>
      </c>
      <c r="E2591" s="6">
        <v>1.66</v>
      </c>
    </row>
    <row r="2592">
      <c r="A2592" s="3">
        <v>108511.0</v>
      </c>
      <c r="B2592" s="4" t="s">
        <v>60</v>
      </c>
      <c r="C2592" s="4" t="s">
        <v>279</v>
      </c>
      <c r="D2592" s="4" t="s">
        <v>280</v>
      </c>
      <c r="E2592" s="4">
        <v>2.22</v>
      </c>
    </row>
    <row r="2593">
      <c r="A2593" s="5">
        <v>120877.0</v>
      </c>
      <c r="B2593" s="6" t="s">
        <v>60</v>
      </c>
      <c r="C2593" s="6" t="s">
        <v>279</v>
      </c>
      <c r="D2593" s="6" t="s">
        <v>280</v>
      </c>
      <c r="E2593" s="6">
        <v>1.9</v>
      </c>
    </row>
    <row r="2594">
      <c r="A2594" s="3">
        <v>194052.0</v>
      </c>
      <c r="B2594" s="4" t="s">
        <v>60</v>
      </c>
      <c r="C2594" s="4" t="s">
        <v>279</v>
      </c>
      <c r="D2594" s="4" t="s">
        <v>280</v>
      </c>
      <c r="E2594" s="4">
        <v>2.16</v>
      </c>
    </row>
    <row r="2595">
      <c r="A2595" s="5">
        <v>121493.0</v>
      </c>
      <c r="B2595" s="6" t="s">
        <v>60</v>
      </c>
      <c r="C2595" s="6" t="s">
        <v>279</v>
      </c>
      <c r="D2595" s="6" t="s">
        <v>280</v>
      </c>
      <c r="E2595" s="6">
        <v>2.21</v>
      </c>
    </row>
    <row r="2596">
      <c r="A2596" s="3">
        <v>121479.0</v>
      </c>
      <c r="B2596" s="4" t="s">
        <v>60</v>
      </c>
      <c r="C2596" s="4" t="s">
        <v>279</v>
      </c>
      <c r="D2596" s="4" t="s">
        <v>280</v>
      </c>
      <c r="E2596" s="4">
        <v>1.13</v>
      </c>
    </row>
    <row r="2597">
      <c r="A2597" s="5">
        <v>79011.0</v>
      </c>
      <c r="B2597" s="6" t="s">
        <v>60</v>
      </c>
      <c r="C2597" s="6" t="s">
        <v>279</v>
      </c>
      <c r="D2597" s="6" t="s">
        <v>280</v>
      </c>
      <c r="E2597" s="6">
        <v>1.28</v>
      </c>
    </row>
    <row r="2598">
      <c r="A2598" s="3">
        <v>86470.0</v>
      </c>
      <c r="B2598" s="4" t="s">
        <v>60</v>
      </c>
      <c r="C2598" s="4" t="s">
        <v>279</v>
      </c>
      <c r="D2598" s="4" t="s">
        <v>280</v>
      </c>
      <c r="E2598" s="4">
        <v>1.08</v>
      </c>
    </row>
    <row r="2599">
      <c r="A2599" s="5">
        <v>194997.0</v>
      </c>
      <c r="B2599" s="6" t="s">
        <v>60</v>
      </c>
      <c r="C2599" s="6" t="s">
        <v>279</v>
      </c>
      <c r="D2599" s="6" t="s">
        <v>280</v>
      </c>
      <c r="E2599" s="6">
        <v>3.26</v>
      </c>
    </row>
    <row r="2600">
      <c r="A2600" s="3">
        <v>108515.0</v>
      </c>
      <c r="B2600" s="4" t="s">
        <v>60</v>
      </c>
      <c r="C2600" s="4" t="s">
        <v>279</v>
      </c>
      <c r="D2600" s="4" t="s">
        <v>280</v>
      </c>
      <c r="E2600" s="4">
        <v>4.63</v>
      </c>
    </row>
    <row r="2601">
      <c r="A2601" s="5">
        <v>69346.0</v>
      </c>
      <c r="B2601" s="6" t="s">
        <v>60</v>
      </c>
      <c r="C2601" s="6" t="s">
        <v>279</v>
      </c>
      <c r="D2601" s="6" t="s">
        <v>280</v>
      </c>
      <c r="E2601" s="6">
        <v>1.75</v>
      </c>
    </row>
    <row r="2602">
      <c r="A2602" s="3">
        <v>119971.0</v>
      </c>
      <c r="B2602" s="4" t="s">
        <v>60</v>
      </c>
      <c r="C2602" s="4" t="s">
        <v>279</v>
      </c>
      <c r="D2602" s="4" t="s">
        <v>280</v>
      </c>
      <c r="E2602" s="4">
        <v>3.34</v>
      </c>
    </row>
    <row r="2603">
      <c r="A2603" s="5">
        <v>107274.0</v>
      </c>
      <c r="B2603" s="6" t="s">
        <v>60</v>
      </c>
      <c r="C2603" s="6" t="s">
        <v>279</v>
      </c>
      <c r="D2603" s="6" t="s">
        <v>280</v>
      </c>
      <c r="E2603" s="6">
        <v>1.45</v>
      </c>
    </row>
    <row r="2604">
      <c r="A2604" s="3">
        <v>69451.0</v>
      </c>
      <c r="B2604" s="4" t="s">
        <v>60</v>
      </c>
      <c r="C2604" s="4" t="s">
        <v>279</v>
      </c>
      <c r="D2604" s="4" t="s">
        <v>280</v>
      </c>
      <c r="E2604" s="4">
        <v>1.75</v>
      </c>
    </row>
    <row r="2605">
      <c r="A2605" s="5">
        <v>87416.0</v>
      </c>
      <c r="B2605" s="6" t="s">
        <v>60</v>
      </c>
      <c r="C2605" s="6" t="s">
        <v>279</v>
      </c>
      <c r="D2605" s="6" t="s">
        <v>280</v>
      </c>
      <c r="E2605" s="6">
        <v>1.5</v>
      </c>
    </row>
    <row r="2606">
      <c r="A2606" s="3">
        <v>23667.0</v>
      </c>
      <c r="B2606" s="4" t="s">
        <v>60</v>
      </c>
      <c r="C2606" s="4" t="s">
        <v>279</v>
      </c>
      <c r="D2606" s="4" t="s">
        <v>281</v>
      </c>
      <c r="E2606" s="4">
        <v>0.65</v>
      </c>
    </row>
    <row r="2607">
      <c r="A2607" s="5">
        <v>112770.0</v>
      </c>
      <c r="B2607" s="6" t="s">
        <v>60</v>
      </c>
      <c r="C2607" s="6" t="s">
        <v>279</v>
      </c>
      <c r="D2607" s="6" t="s">
        <v>281</v>
      </c>
      <c r="E2607" s="6">
        <v>0.82</v>
      </c>
    </row>
    <row r="2608">
      <c r="A2608" s="3">
        <v>116186.0</v>
      </c>
      <c r="B2608" s="4" t="s">
        <v>60</v>
      </c>
      <c r="C2608" s="4" t="s">
        <v>279</v>
      </c>
      <c r="D2608" s="4" t="s">
        <v>281</v>
      </c>
      <c r="E2608" s="4">
        <v>1.46</v>
      </c>
    </row>
    <row r="2609">
      <c r="A2609" s="5">
        <v>95413.0</v>
      </c>
      <c r="B2609" s="6" t="s">
        <v>60</v>
      </c>
      <c r="C2609" s="6" t="s">
        <v>279</v>
      </c>
      <c r="D2609" s="6" t="s">
        <v>281</v>
      </c>
      <c r="E2609" s="6">
        <v>0.69</v>
      </c>
    </row>
    <row r="2610">
      <c r="A2610" s="3">
        <v>116184.0</v>
      </c>
      <c r="B2610" s="4" t="s">
        <v>60</v>
      </c>
      <c r="C2610" s="4" t="s">
        <v>279</v>
      </c>
      <c r="D2610" s="4" t="s">
        <v>281</v>
      </c>
      <c r="E2610" s="4">
        <v>1.46</v>
      </c>
    </row>
    <row r="2611">
      <c r="A2611" s="5">
        <v>95412.0</v>
      </c>
      <c r="B2611" s="6" t="s">
        <v>60</v>
      </c>
      <c r="C2611" s="6" t="s">
        <v>279</v>
      </c>
      <c r="D2611" s="6" t="s">
        <v>281</v>
      </c>
      <c r="E2611" s="6">
        <v>0.87</v>
      </c>
    </row>
    <row r="2612">
      <c r="A2612" s="3">
        <v>95414.0</v>
      </c>
      <c r="B2612" s="4" t="s">
        <v>60</v>
      </c>
      <c r="C2612" s="4" t="s">
        <v>279</v>
      </c>
      <c r="D2612" s="4" t="s">
        <v>281</v>
      </c>
      <c r="E2612" s="4">
        <v>1.07</v>
      </c>
    </row>
    <row r="2613">
      <c r="A2613" s="5">
        <v>24088.0</v>
      </c>
      <c r="B2613" s="6" t="s">
        <v>60</v>
      </c>
      <c r="C2613" s="6" t="s">
        <v>279</v>
      </c>
      <c r="D2613" s="6" t="s">
        <v>281</v>
      </c>
      <c r="E2613" s="6">
        <v>2.14</v>
      </c>
    </row>
    <row r="2614">
      <c r="A2614" s="3">
        <v>75156.0</v>
      </c>
      <c r="B2614" s="4" t="s">
        <v>60</v>
      </c>
      <c r="C2614" s="4" t="s">
        <v>279</v>
      </c>
      <c r="D2614" s="4" t="s">
        <v>281</v>
      </c>
      <c r="E2614" s="4">
        <v>1.61</v>
      </c>
    </row>
    <row r="2615">
      <c r="A2615" s="5">
        <v>6216.0</v>
      </c>
      <c r="B2615" s="6" t="s">
        <v>60</v>
      </c>
      <c r="C2615" s="6" t="s">
        <v>279</v>
      </c>
      <c r="D2615" s="6" t="s">
        <v>281</v>
      </c>
      <c r="E2615" s="6">
        <v>1.17</v>
      </c>
    </row>
    <row r="2616">
      <c r="A2616" s="3">
        <v>149867.0</v>
      </c>
      <c r="B2616" s="4" t="s">
        <v>60</v>
      </c>
      <c r="C2616" s="4" t="s">
        <v>279</v>
      </c>
      <c r="D2616" s="4" t="s">
        <v>281</v>
      </c>
      <c r="E2616" s="4">
        <v>3.18</v>
      </c>
    </row>
    <row r="2617">
      <c r="A2617" s="5">
        <v>44037.0</v>
      </c>
      <c r="B2617" s="6" t="s">
        <v>60</v>
      </c>
      <c r="C2617" s="6" t="s">
        <v>279</v>
      </c>
      <c r="D2617" s="6" t="s">
        <v>281</v>
      </c>
      <c r="E2617" s="6">
        <v>0.87</v>
      </c>
    </row>
    <row r="2618">
      <c r="A2618" s="3">
        <v>83029.0</v>
      </c>
      <c r="B2618" s="4" t="s">
        <v>60</v>
      </c>
      <c r="C2618" s="4" t="s">
        <v>279</v>
      </c>
      <c r="D2618" s="4" t="s">
        <v>281</v>
      </c>
      <c r="E2618" s="4">
        <v>0.65</v>
      </c>
    </row>
    <row r="2619">
      <c r="A2619" s="5">
        <v>100395.0</v>
      </c>
      <c r="B2619" s="6" t="s">
        <v>60</v>
      </c>
      <c r="C2619" s="6" t="s">
        <v>279</v>
      </c>
      <c r="D2619" s="6" t="s">
        <v>281</v>
      </c>
      <c r="E2619" s="6">
        <v>1.4</v>
      </c>
    </row>
    <row r="2620">
      <c r="A2620" s="3">
        <v>110437.0</v>
      </c>
      <c r="B2620" s="4" t="s">
        <v>60</v>
      </c>
      <c r="C2620" s="4" t="s">
        <v>279</v>
      </c>
      <c r="D2620" s="4" t="s">
        <v>281</v>
      </c>
      <c r="E2620" s="4">
        <v>0.5</v>
      </c>
    </row>
    <row r="2621">
      <c r="A2621" s="5">
        <v>29430.0</v>
      </c>
      <c r="B2621" s="6" t="s">
        <v>60</v>
      </c>
      <c r="C2621" s="6" t="s">
        <v>279</v>
      </c>
      <c r="D2621" s="6" t="s">
        <v>281</v>
      </c>
      <c r="E2621" s="6">
        <v>1.25</v>
      </c>
    </row>
    <row r="2622">
      <c r="A2622" s="3">
        <v>95416.0</v>
      </c>
      <c r="B2622" s="4" t="s">
        <v>60</v>
      </c>
      <c r="C2622" s="4" t="s">
        <v>279</v>
      </c>
      <c r="D2622" s="4" t="s">
        <v>281</v>
      </c>
      <c r="E2622" s="4">
        <v>0.87</v>
      </c>
    </row>
    <row r="2623">
      <c r="A2623" s="5">
        <v>108493.0</v>
      </c>
      <c r="B2623" s="6" t="s">
        <v>60</v>
      </c>
      <c r="C2623" s="6" t="s">
        <v>279</v>
      </c>
      <c r="D2623" s="6" t="s">
        <v>281</v>
      </c>
      <c r="E2623" s="6">
        <v>2.86</v>
      </c>
    </row>
    <row r="2624">
      <c r="A2624" s="3">
        <v>109293.0</v>
      </c>
      <c r="B2624" s="4" t="s">
        <v>60</v>
      </c>
      <c r="C2624" s="4" t="s">
        <v>279</v>
      </c>
      <c r="D2624" s="4" t="s">
        <v>281</v>
      </c>
      <c r="E2624" s="4">
        <v>1.82</v>
      </c>
    </row>
    <row r="2625">
      <c r="A2625" s="5">
        <v>73581.0</v>
      </c>
      <c r="B2625" s="6" t="s">
        <v>60</v>
      </c>
      <c r="C2625" s="6" t="s">
        <v>279</v>
      </c>
      <c r="D2625" s="6" t="s">
        <v>281</v>
      </c>
      <c r="E2625" s="6">
        <v>2.95</v>
      </c>
    </row>
    <row r="2626">
      <c r="A2626" s="3">
        <v>100396.0</v>
      </c>
      <c r="B2626" s="4" t="s">
        <v>60</v>
      </c>
      <c r="C2626" s="4" t="s">
        <v>279</v>
      </c>
      <c r="D2626" s="4" t="s">
        <v>281</v>
      </c>
      <c r="E2626" s="4">
        <v>0.99</v>
      </c>
    </row>
    <row r="2627">
      <c r="A2627" s="5">
        <v>45917.0</v>
      </c>
      <c r="B2627" s="6" t="s">
        <v>60</v>
      </c>
      <c r="C2627" s="6" t="s">
        <v>279</v>
      </c>
      <c r="D2627" s="6" t="s">
        <v>281</v>
      </c>
      <c r="E2627" s="6">
        <v>1.93</v>
      </c>
    </row>
    <row r="2628">
      <c r="A2628" s="3">
        <v>83420.0</v>
      </c>
      <c r="B2628" s="4" t="s">
        <v>60</v>
      </c>
      <c r="C2628" s="4" t="s">
        <v>279</v>
      </c>
      <c r="D2628" s="4" t="s">
        <v>281</v>
      </c>
      <c r="E2628" s="4">
        <v>1.27</v>
      </c>
    </row>
    <row r="2629">
      <c r="A2629" s="5">
        <v>101591.0</v>
      </c>
      <c r="B2629" s="6" t="s">
        <v>60</v>
      </c>
      <c r="C2629" s="6" t="s">
        <v>279</v>
      </c>
      <c r="D2629" s="6" t="s">
        <v>281</v>
      </c>
      <c r="E2629" s="6">
        <v>2.85</v>
      </c>
    </row>
    <row r="2630">
      <c r="A2630" s="3">
        <v>116181.0</v>
      </c>
      <c r="B2630" s="4" t="s">
        <v>60</v>
      </c>
      <c r="C2630" s="4" t="s">
        <v>279</v>
      </c>
      <c r="D2630" s="4" t="s">
        <v>281</v>
      </c>
      <c r="E2630" s="4">
        <v>1.21</v>
      </c>
    </row>
    <row r="2631">
      <c r="A2631" s="5">
        <v>109300.0</v>
      </c>
      <c r="B2631" s="6" t="s">
        <v>60</v>
      </c>
      <c r="C2631" s="6" t="s">
        <v>279</v>
      </c>
      <c r="D2631" s="6" t="s">
        <v>281</v>
      </c>
      <c r="E2631" s="6">
        <v>1.05</v>
      </c>
    </row>
    <row r="2632">
      <c r="A2632" s="3">
        <v>46160.0</v>
      </c>
      <c r="B2632" s="4" t="s">
        <v>60</v>
      </c>
      <c r="C2632" s="4" t="s">
        <v>279</v>
      </c>
      <c r="D2632" s="4" t="s">
        <v>281</v>
      </c>
      <c r="E2632" s="4">
        <v>0.52</v>
      </c>
    </row>
    <row r="2633">
      <c r="A2633" s="5">
        <v>116202.0</v>
      </c>
      <c r="B2633" s="6" t="s">
        <v>60</v>
      </c>
      <c r="C2633" s="6" t="s">
        <v>279</v>
      </c>
      <c r="D2633" s="6" t="s">
        <v>281</v>
      </c>
      <c r="E2633" s="6">
        <v>0.88</v>
      </c>
    </row>
    <row r="2634">
      <c r="A2634" s="3">
        <v>106884.0</v>
      </c>
      <c r="B2634" s="4" t="s">
        <v>60</v>
      </c>
      <c r="C2634" s="4" t="s">
        <v>279</v>
      </c>
      <c r="D2634" s="4" t="s">
        <v>281</v>
      </c>
      <c r="E2634" s="4">
        <v>0.75</v>
      </c>
    </row>
    <row r="2635">
      <c r="A2635" s="5">
        <v>98598.0</v>
      </c>
      <c r="B2635" s="6" t="s">
        <v>60</v>
      </c>
      <c r="C2635" s="6" t="s">
        <v>279</v>
      </c>
      <c r="D2635" s="6" t="s">
        <v>281</v>
      </c>
      <c r="E2635" s="6">
        <v>3.52</v>
      </c>
    </row>
    <row r="2636">
      <c r="A2636" s="3">
        <v>78515.0</v>
      </c>
      <c r="B2636" s="4" t="s">
        <v>60</v>
      </c>
      <c r="C2636" s="4" t="s">
        <v>279</v>
      </c>
      <c r="D2636" s="4" t="s">
        <v>281</v>
      </c>
      <c r="E2636" s="4">
        <v>1.17</v>
      </c>
    </row>
    <row r="2637">
      <c r="A2637" s="5">
        <v>46154.0</v>
      </c>
      <c r="B2637" s="6" t="s">
        <v>60</v>
      </c>
      <c r="C2637" s="6" t="s">
        <v>279</v>
      </c>
      <c r="D2637" s="6" t="s">
        <v>281</v>
      </c>
      <c r="E2637" s="6">
        <v>0.56</v>
      </c>
    </row>
    <row r="2638">
      <c r="A2638" s="3">
        <v>23668.0</v>
      </c>
      <c r="B2638" s="4" t="s">
        <v>60</v>
      </c>
      <c r="C2638" s="4" t="s">
        <v>279</v>
      </c>
      <c r="D2638" s="4" t="s">
        <v>281</v>
      </c>
      <c r="E2638" s="4">
        <v>0.65</v>
      </c>
    </row>
    <row r="2639">
      <c r="A2639" s="5">
        <v>107900.0</v>
      </c>
      <c r="B2639" s="6" t="s">
        <v>9</v>
      </c>
      <c r="C2639" s="6" t="s">
        <v>282</v>
      </c>
      <c r="D2639" s="6" t="s">
        <v>283</v>
      </c>
      <c r="E2639" s="6">
        <v>2.17</v>
      </c>
    </row>
    <row r="2640">
      <c r="A2640" s="3">
        <v>85037.0</v>
      </c>
      <c r="B2640" s="4" t="s">
        <v>9</v>
      </c>
      <c r="C2640" s="4" t="s">
        <v>282</v>
      </c>
      <c r="D2640" s="4" t="s">
        <v>283</v>
      </c>
      <c r="E2640" s="4">
        <v>5.08</v>
      </c>
    </row>
    <row r="2641">
      <c r="A2641" s="5">
        <v>49182.0</v>
      </c>
      <c r="B2641" s="6" t="s">
        <v>9</v>
      </c>
      <c r="C2641" s="6" t="s">
        <v>282</v>
      </c>
      <c r="D2641" s="6" t="s">
        <v>283</v>
      </c>
      <c r="E2641" s="6">
        <v>5.08</v>
      </c>
    </row>
    <row r="2642">
      <c r="A2642" s="3">
        <v>69111.0</v>
      </c>
      <c r="B2642" s="4" t="s">
        <v>9</v>
      </c>
      <c r="C2642" s="4" t="s">
        <v>282</v>
      </c>
      <c r="D2642" s="4" t="s">
        <v>284</v>
      </c>
      <c r="E2642" s="4">
        <v>2.03</v>
      </c>
    </row>
    <row r="2643">
      <c r="A2643" s="5">
        <v>80054.0</v>
      </c>
      <c r="B2643" s="6" t="s">
        <v>9</v>
      </c>
      <c r="C2643" s="6" t="s">
        <v>282</v>
      </c>
      <c r="D2643" s="6" t="s">
        <v>284</v>
      </c>
      <c r="E2643" s="6">
        <v>2.38</v>
      </c>
    </row>
    <row r="2644">
      <c r="A2644" s="3">
        <v>79782.0</v>
      </c>
      <c r="B2644" s="4" t="s">
        <v>9</v>
      </c>
      <c r="C2644" s="4" t="s">
        <v>282</v>
      </c>
      <c r="D2644" s="4" t="s">
        <v>284</v>
      </c>
      <c r="E2644" s="4">
        <v>2.38</v>
      </c>
    </row>
    <row r="2645">
      <c r="A2645" s="5">
        <v>80045.0</v>
      </c>
      <c r="B2645" s="6" t="s">
        <v>9</v>
      </c>
      <c r="C2645" s="6" t="s">
        <v>282</v>
      </c>
      <c r="D2645" s="6" t="s">
        <v>284</v>
      </c>
      <c r="E2645" s="6">
        <v>2.05</v>
      </c>
    </row>
    <row r="2646">
      <c r="A2646" s="3">
        <v>69108.0</v>
      </c>
      <c r="B2646" s="4" t="s">
        <v>9</v>
      </c>
      <c r="C2646" s="4" t="s">
        <v>282</v>
      </c>
      <c r="D2646" s="4" t="s">
        <v>284</v>
      </c>
      <c r="E2646" s="4">
        <v>2.03</v>
      </c>
    </row>
    <row r="2647">
      <c r="A2647" s="5">
        <v>69112.0</v>
      </c>
      <c r="B2647" s="6" t="s">
        <v>9</v>
      </c>
      <c r="C2647" s="6" t="s">
        <v>282</v>
      </c>
      <c r="D2647" s="6" t="s">
        <v>284</v>
      </c>
      <c r="E2647" s="6">
        <v>2.03</v>
      </c>
    </row>
    <row r="2648">
      <c r="A2648" s="3">
        <v>121992.0</v>
      </c>
      <c r="B2648" s="4" t="s">
        <v>9</v>
      </c>
      <c r="C2648" s="4" t="s">
        <v>282</v>
      </c>
      <c r="D2648" s="4" t="s">
        <v>284</v>
      </c>
      <c r="E2648" s="4">
        <v>2.03</v>
      </c>
    </row>
    <row r="2649">
      <c r="A2649" s="5">
        <v>80048.0</v>
      </c>
      <c r="B2649" s="6" t="s">
        <v>9</v>
      </c>
      <c r="C2649" s="6" t="s">
        <v>282</v>
      </c>
      <c r="D2649" s="6" t="s">
        <v>284</v>
      </c>
      <c r="E2649" s="6">
        <v>2.38</v>
      </c>
    </row>
    <row r="2650">
      <c r="A2650" s="3">
        <v>121982.0</v>
      </c>
      <c r="B2650" s="4" t="s">
        <v>9</v>
      </c>
      <c r="C2650" s="4" t="s">
        <v>282</v>
      </c>
      <c r="D2650" s="4" t="s">
        <v>284</v>
      </c>
      <c r="E2650" s="4">
        <v>2.03</v>
      </c>
    </row>
    <row r="2651">
      <c r="A2651" s="5">
        <v>121974.0</v>
      </c>
      <c r="B2651" s="6" t="s">
        <v>9</v>
      </c>
      <c r="C2651" s="6" t="s">
        <v>282</v>
      </c>
      <c r="D2651" s="6" t="s">
        <v>284</v>
      </c>
      <c r="E2651" s="6">
        <v>2.03</v>
      </c>
    </row>
    <row r="2652">
      <c r="A2652" s="3">
        <v>69110.0</v>
      </c>
      <c r="B2652" s="4" t="s">
        <v>9</v>
      </c>
      <c r="C2652" s="4" t="s">
        <v>282</v>
      </c>
      <c r="D2652" s="4" t="s">
        <v>284</v>
      </c>
      <c r="E2652" s="4">
        <v>2.03</v>
      </c>
    </row>
    <row r="2653">
      <c r="A2653" s="5">
        <v>23540.0</v>
      </c>
      <c r="B2653" s="6" t="s">
        <v>9</v>
      </c>
      <c r="C2653" s="6" t="s">
        <v>282</v>
      </c>
      <c r="D2653" s="6" t="s">
        <v>284</v>
      </c>
      <c r="E2653" s="6">
        <v>2.43</v>
      </c>
    </row>
    <row r="2654">
      <c r="A2654" s="3">
        <v>69123.0</v>
      </c>
      <c r="B2654" s="4" t="s">
        <v>9</v>
      </c>
      <c r="C2654" s="4" t="s">
        <v>282</v>
      </c>
      <c r="D2654" s="4" t="s">
        <v>284</v>
      </c>
      <c r="E2654" s="4">
        <v>2.03</v>
      </c>
    </row>
    <row r="2655">
      <c r="A2655" s="5">
        <v>121984.0</v>
      </c>
      <c r="B2655" s="6" t="s">
        <v>9</v>
      </c>
      <c r="C2655" s="6" t="s">
        <v>282</v>
      </c>
      <c r="D2655" s="6" t="s">
        <v>284</v>
      </c>
      <c r="E2655" s="6">
        <v>2.01</v>
      </c>
    </row>
    <row r="2656">
      <c r="A2656" s="3">
        <v>121979.0</v>
      </c>
      <c r="B2656" s="4" t="s">
        <v>9</v>
      </c>
      <c r="C2656" s="4" t="s">
        <v>282</v>
      </c>
      <c r="D2656" s="4" t="s">
        <v>284</v>
      </c>
      <c r="E2656" s="4">
        <v>2.03</v>
      </c>
    </row>
    <row r="2657">
      <c r="A2657" s="5">
        <v>80043.0</v>
      </c>
      <c r="B2657" s="6" t="s">
        <v>9</v>
      </c>
      <c r="C2657" s="6" t="s">
        <v>282</v>
      </c>
      <c r="D2657" s="6" t="s">
        <v>284</v>
      </c>
      <c r="E2657" s="6">
        <v>2.38</v>
      </c>
    </row>
    <row r="2658">
      <c r="A2658" s="3">
        <v>100326.0</v>
      </c>
      <c r="B2658" s="4" t="s">
        <v>9</v>
      </c>
      <c r="C2658" s="4" t="s">
        <v>282</v>
      </c>
      <c r="D2658" s="4" t="s">
        <v>284</v>
      </c>
      <c r="E2658" s="4">
        <v>2.38</v>
      </c>
    </row>
    <row r="2659">
      <c r="A2659" s="5">
        <v>69117.0</v>
      </c>
      <c r="B2659" s="6" t="s">
        <v>9</v>
      </c>
      <c r="C2659" s="6" t="s">
        <v>282</v>
      </c>
      <c r="D2659" s="6" t="s">
        <v>284</v>
      </c>
      <c r="E2659" s="6">
        <v>2.03</v>
      </c>
    </row>
    <row r="2660">
      <c r="A2660" s="3">
        <v>100334.0</v>
      </c>
      <c r="B2660" s="4" t="s">
        <v>9</v>
      </c>
      <c r="C2660" s="4" t="s">
        <v>282</v>
      </c>
      <c r="D2660" s="4" t="s">
        <v>284</v>
      </c>
      <c r="E2660" s="4">
        <v>2.38</v>
      </c>
    </row>
    <row r="2661">
      <c r="A2661" s="5">
        <v>69120.0</v>
      </c>
      <c r="B2661" s="6" t="s">
        <v>9</v>
      </c>
      <c r="C2661" s="6" t="s">
        <v>282</v>
      </c>
      <c r="D2661" s="6" t="s">
        <v>284</v>
      </c>
      <c r="E2661" s="6">
        <v>2.03</v>
      </c>
    </row>
    <row r="2662">
      <c r="A2662" s="3">
        <v>69119.0</v>
      </c>
      <c r="B2662" s="4" t="s">
        <v>9</v>
      </c>
      <c r="C2662" s="4" t="s">
        <v>282</v>
      </c>
      <c r="D2662" s="4" t="s">
        <v>284</v>
      </c>
      <c r="E2662" s="4">
        <v>2.03</v>
      </c>
    </row>
    <row r="2663">
      <c r="A2663" s="5">
        <v>69118.0</v>
      </c>
      <c r="B2663" s="6" t="s">
        <v>9</v>
      </c>
      <c r="C2663" s="6" t="s">
        <v>282</v>
      </c>
      <c r="D2663" s="6" t="s">
        <v>284</v>
      </c>
      <c r="E2663" s="6">
        <v>2.03</v>
      </c>
    </row>
    <row r="2664">
      <c r="A2664" s="3">
        <v>80044.0</v>
      </c>
      <c r="B2664" s="4" t="s">
        <v>9</v>
      </c>
      <c r="C2664" s="4" t="s">
        <v>282</v>
      </c>
      <c r="D2664" s="4" t="s">
        <v>284</v>
      </c>
      <c r="E2664" s="4">
        <v>2.38</v>
      </c>
    </row>
    <row r="2665">
      <c r="A2665" s="5">
        <v>23556.0</v>
      </c>
      <c r="B2665" s="6" t="s">
        <v>9</v>
      </c>
      <c r="C2665" s="6" t="s">
        <v>282</v>
      </c>
      <c r="D2665" s="6" t="s">
        <v>284</v>
      </c>
      <c r="E2665" s="6">
        <v>2.43</v>
      </c>
    </row>
    <row r="2666">
      <c r="A2666" s="3">
        <v>69114.0</v>
      </c>
      <c r="B2666" s="4" t="s">
        <v>9</v>
      </c>
      <c r="C2666" s="4" t="s">
        <v>282</v>
      </c>
      <c r="D2666" s="4" t="s">
        <v>284</v>
      </c>
      <c r="E2666" s="4">
        <v>2.01</v>
      </c>
    </row>
    <row r="2667">
      <c r="A2667" s="5">
        <v>79778.0</v>
      </c>
      <c r="B2667" s="6" t="s">
        <v>9</v>
      </c>
      <c r="C2667" s="6" t="s">
        <v>282</v>
      </c>
      <c r="D2667" s="6" t="s">
        <v>284</v>
      </c>
      <c r="E2667" s="6">
        <v>2.38</v>
      </c>
    </row>
    <row r="2668">
      <c r="A2668" s="3">
        <v>100323.0</v>
      </c>
      <c r="B2668" s="4" t="s">
        <v>9</v>
      </c>
      <c r="C2668" s="4" t="s">
        <v>282</v>
      </c>
      <c r="D2668" s="4" t="s">
        <v>284</v>
      </c>
      <c r="E2668" s="4">
        <v>2.38</v>
      </c>
    </row>
    <row r="2669">
      <c r="A2669" s="5">
        <v>69116.0</v>
      </c>
      <c r="B2669" s="6" t="s">
        <v>9</v>
      </c>
      <c r="C2669" s="6" t="s">
        <v>282</v>
      </c>
      <c r="D2669" s="6" t="s">
        <v>284</v>
      </c>
      <c r="E2669" s="6">
        <v>2.01</v>
      </c>
    </row>
    <row r="2670">
      <c r="A2670" s="3">
        <v>68938.0</v>
      </c>
      <c r="B2670" s="4" t="s">
        <v>9</v>
      </c>
      <c r="C2670" s="4" t="s">
        <v>282</v>
      </c>
      <c r="D2670" s="4" t="s">
        <v>284</v>
      </c>
      <c r="E2670" s="4">
        <v>2.03</v>
      </c>
    </row>
    <row r="2671">
      <c r="A2671" s="5">
        <v>121987.0</v>
      </c>
      <c r="B2671" s="6" t="s">
        <v>9</v>
      </c>
      <c r="C2671" s="6" t="s">
        <v>282</v>
      </c>
      <c r="D2671" s="6" t="s">
        <v>284</v>
      </c>
      <c r="E2671" s="6">
        <v>2.03</v>
      </c>
    </row>
    <row r="2672">
      <c r="A2672" s="3">
        <v>69113.0</v>
      </c>
      <c r="B2672" s="4" t="s">
        <v>9</v>
      </c>
      <c r="C2672" s="4" t="s">
        <v>282</v>
      </c>
      <c r="D2672" s="4" t="s">
        <v>284</v>
      </c>
      <c r="E2672" s="4">
        <v>2.01</v>
      </c>
    </row>
    <row r="2673">
      <c r="A2673" s="5">
        <v>80053.0</v>
      </c>
      <c r="B2673" s="6" t="s">
        <v>9</v>
      </c>
      <c r="C2673" s="6" t="s">
        <v>282</v>
      </c>
      <c r="D2673" s="6" t="s">
        <v>284</v>
      </c>
      <c r="E2673" s="6">
        <v>2.38</v>
      </c>
    </row>
    <row r="2674">
      <c r="A2674" s="3">
        <v>121986.0</v>
      </c>
      <c r="B2674" s="4" t="s">
        <v>9</v>
      </c>
      <c r="C2674" s="4" t="s">
        <v>282</v>
      </c>
      <c r="D2674" s="4" t="s">
        <v>284</v>
      </c>
      <c r="E2674" s="4">
        <v>2.03</v>
      </c>
    </row>
    <row r="2675">
      <c r="A2675" s="5">
        <v>121988.0</v>
      </c>
      <c r="B2675" s="6" t="s">
        <v>9</v>
      </c>
      <c r="C2675" s="6" t="s">
        <v>282</v>
      </c>
      <c r="D2675" s="6" t="s">
        <v>284</v>
      </c>
      <c r="E2675" s="6">
        <v>2.03</v>
      </c>
    </row>
    <row r="2676">
      <c r="A2676" s="3">
        <v>121990.0</v>
      </c>
      <c r="B2676" s="4" t="s">
        <v>9</v>
      </c>
      <c r="C2676" s="4" t="s">
        <v>282</v>
      </c>
      <c r="D2676" s="4" t="s">
        <v>284</v>
      </c>
      <c r="E2676" s="4">
        <v>2.01</v>
      </c>
    </row>
    <row r="2677">
      <c r="A2677" s="5">
        <v>68941.0</v>
      </c>
      <c r="B2677" s="6" t="s">
        <v>9</v>
      </c>
      <c r="C2677" s="6" t="s">
        <v>282</v>
      </c>
      <c r="D2677" s="6" t="s">
        <v>284</v>
      </c>
      <c r="E2677" s="6">
        <v>2.03</v>
      </c>
    </row>
    <row r="2678">
      <c r="A2678" s="3">
        <v>69122.0</v>
      </c>
      <c r="B2678" s="4" t="s">
        <v>9</v>
      </c>
      <c r="C2678" s="4" t="s">
        <v>282</v>
      </c>
      <c r="D2678" s="4" t="s">
        <v>284</v>
      </c>
      <c r="E2678" s="4">
        <v>2.03</v>
      </c>
    </row>
    <row r="2679">
      <c r="A2679" s="5">
        <v>80049.0</v>
      </c>
      <c r="B2679" s="6" t="s">
        <v>9</v>
      </c>
      <c r="C2679" s="6" t="s">
        <v>282</v>
      </c>
      <c r="D2679" s="6" t="s">
        <v>284</v>
      </c>
      <c r="E2679" s="6">
        <v>2.38</v>
      </c>
    </row>
    <row r="2680">
      <c r="A2680" s="3">
        <v>121971.0</v>
      </c>
      <c r="B2680" s="4" t="s">
        <v>9</v>
      </c>
      <c r="C2680" s="4" t="s">
        <v>282</v>
      </c>
      <c r="D2680" s="4" t="s">
        <v>284</v>
      </c>
      <c r="E2680" s="4">
        <v>3.06</v>
      </c>
    </row>
    <row r="2681">
      <c r="A2681" s="5">
        <v>68945.0</v>
      </c>
      <c r="B2681" s="6" t="s">
        <v>9</v>
      </c>
      <c r="C2681" s="6" t="s">
        <v>282</v>
      </c>
      <c r="D2681" s="6" t="s">
        <v>284</v>
      </c>
      <c r="E2681" s="6">
        <v>2.03</v>
      </c>
    </row>
    <row r="2682">
      <c r="A2682" s="3">
        <v>79780.0</v>
      </c>
      <c r="B2682" s="4" t="s">
        <v>9</v>
      </c>
      <c r="C2682" s="4" t="s">
        <v>282</v>
      </c>
      <c r="D2682" s="4" t="s">
        <v>284</v>
      </c>
      <c r="E2682" s="4">
        <v>2.38</v>
      </c>
    </row>
    <row r="2683">
      <c r="A2683" s="5">
        <v>80056.0</v>
      </c>
      <c r="B2683" s="6" t="s">
        <v>9</v>
      </c>
      <c r="C2683" s="6" t="s">
        <v>282</v>
      </c>
      <c r="D2683" s="6" t="s">
        <v>284</v>
      </c>
      <c r="E2683" s="6">
        <v>2.38</v>
      </c>
    </row>
    <row r="2684">
      <c r="A2684" s="3">
        <v>80040.0</v>
      </c>
      <c r="B2684" s="4" t="s">
        <v>9</v>
      </c>
      <c r="C2684" s="4" t="s">
        <v>282</v>
      </c>
      <c r="D2684" s="4" t="s">
        <v>284</v>
      </c>
      <c r="E2684" s="4">
        <v>2.38</v>
      </c>
    </row>
    <row r="2685">
      <c r="A2685" s="5">
        <v>114480.0</v>
      </c>
      <c r="B2685" s="6" t="s">
        <v>9</v>
      </c>
      <c r="C2685" s="6" t="s">
        <v>282</v>
      </c>
      <c r="D2685" s="6" t="s">
        <v>284</v>
      </c>
      <c r="E2685" s="6">
        <v>3.11</v>
      </c>
    </row>
    <row r="2686">
      <c r="A2686" s="3">
        <v>111922.0</v>
      </c>
      <c r="B2686" s="4" t="s">
        <v>9</v>
      </c>
      <c r="C2686" s="4" t="s">
        <v>282</v>
      </c>
      <c r="D2686" s="4" t="s">
        <v>284</v>
      </c>
      <c r="E2686" s="4">
        <v>2.53</v>
      </c>
    </row>
    <row r="2687">
      <c r="A2687" s="5">
        <v>111924.0</v>
      </c>
      <c r="B2687" s="6" t="s">
        <v>9</v>
      </c>
      <c r="C2687" s="6" t="s">
        <v>282</v>
      </c>
      <c r="D2687" s="6" t="s">
        <v>284</v>
      </c>
      <c r="E2687" s="6">
        <v>2.53</v>
      </c>
    </row>
    <row r="2688">
      <c r="A2688" s="3">
        <v>80047.0</v>
      </c>
      <c r="B2688" s="4" t="s">
        <v>9</v>
      </c>
      <c r="C2688" s="4" t="s">
        <v>282</v>
      </c>
      <c r="D2688" s="4" t="s">
        <v>284</v>
      </c>
      <c r="E2688" s="4">
        <v>2.38</v>
      </c>
    </row>
    <row r="2689">
      <c r="A2689" s="5">
        <v>69121.0</v>
      </c>
      <c r="B2689" s="6" t="s">
        <v>9</v>
      </c>
      <c r="C2689" s="6" t="s">
        <v>282</v>
      </c>
      <c r="D2689" s="6" t="s">
        <v>284</v>
      </c>
      <c r="E2689" s="6">
        <v>2.01</v>
      </c>
    </row>
    <row r="2690">
      <c r="A2690" s="3">
        <v>68939.0</v>
      </c>
      <c r="B2690" s="4" t="s">
        <v>9</v>
      </c>
      <c r="C2690" s="4" t="s">
        <v>282</v>
      </c>
      <c r="D2690" s="4" t="s">
        <v>284</v>
      </c>
      <c r="E2690" s="4">
        <v>2.03</v>
      </c>
    </row>
    <row r="2691">
      <c r="A2691" s="5">
        <v>69124.0</v>
      </c>
      <c r="B2691" s="6" t="s">
        <v>9</v>
      </c>
      <c r="C2691" s="6" t="s">
        <v>282</v>
      </c>
      <c r="D2691" s="6" t="s">
        <v>284</v>
      </c>
      <c r="E2691" s="6">
        <v>2.03</v>
      </c>
    </row>
    <row r="2692">
      <c r="A2692" s="3">
        <v>23552.0</v>
      </c>
      <c r="B2692" s="4" t="s">
        <v>9</v>
      </c>
      <c r="C2692" s="4" t="s">
        <v>282</v>
      </c>
      <c r="D2692" s="4" t="s">
        <v>284</v>
      </c>
      <c r="E2692" s="4">
        <v>2.43</v>
      </c>
    </row>
    <row r="2693">
      <c r="A2693" s="5">
        <v>68943.0</v>
      </c>
      <c r="B2693" s="6" t="s">
        <v>9</v>
      </c>
      <c r="C2693" s="6" t="s">
        <v>282</v>
      </c>
      <c r="D2693" s="6" t="s">
        <v>284</v>
      </c>
      <c r="E2693" s="6">
        <v>2.03</v>
      </c>
    </row>
    <row r="2694">
      <c r="A2694" s="3">
        <v>69115.0</v>
      </c>
      <c r="B2694" s="4" t="s">
        <v>9</v>
      </c>
      <c r="C2694" s="4" t="s">
        <v>282</v>
      </c>
      <c r="D2694" s="4" t="s">
        <v>284</v>
      </c>
      <c r="E2694" s="4">
        <v>2.01</v>
      </c>
    </row>
    <row r="2695">
      <c r="A2695" s="5">
        <v>81122.0</v>
      </c>
      <c r="B2695" s="6" t="s">
        <v>9</v>
      </c>
      <c r="C2695" s="6" t="s">
        <v>282</v>
      </c>
      <c r="D2695" s="6" t="s">
        <v>285</v>
      </c>
      <c r="E2695" s="6">
        <v>2.07</v>
      </c>
    </row>
    <row r="2696">
      <c r="A2696" s="3">
        <v>84672.0</v>
      </c>
      <c r="B2696" s="4" t="s">
        <v>9</v>
      </c>
      <c r="C2696" s="4" t="s">
        <v>282</v>
      </c>
      <c r="D2696" s="4" t="s">
        <v>285</v>
      </c>
      <c r="E2696" s="4">
        <v>1.7</v>
      </c>
    </row>
    <row r="2697">
      <c r="A2697" s="5">
        <v>81127.0</v>
      </c>
      <c r="B2697" s="6" t="s">
        <v>9</v>
      </c>
      <c r="C2697" s="6" t="s">
        <v>282</v>
      </c>
      <c r="D2697" s="6" t="s">
        <v>285</v>
      </c>
      <c r="E2697" s="6">
        <v>3.6</v>
      </c>
    </row>
    <row r="2698">
      <c r="A2698" s="3">
        <v>87858.0</v>
      </c>
      <c r="B2698" s="4" t="s">
        <v>9</v>
      </c>
      <c r="C2698" s="4" t="s">
        <v>282</v>
      </c>
      <c r="D2698" s="4" t="s">
        <v>285</v>
      </c>
      <c r="E2698" s="4">
        <v>2.16</v>
      </c>
    </row>
    <row r="2699">
      <c r="A2699" s="5">
        <v>84673.0</v>
      </c>
      <c r="B2699" s="6" t="s">
        <v>9</v>
      </c>
      <c r="C2699" s="6" t="s">
        <v>282</v>
      </c>
      <c r="D2699" s="6" t="s">
        <v>285</v>
      </c>
      <c r="E2699" s="6">
        <v>1.7</v>
      </c>
    </row>
    <row r="2700">
      <c r="A2700" s="3">
        <v>81064.0</v>
      </c>
      <c r="B2700" s="4" t="s">
        <v>9</v>
      </c>
      <c r="C2700" s="4" t="s">
        <v>282</v>
      </c>
      <c r="D2700" s="4" t="s">
        <v>285</v>
      </c>
      <c r="E2700" s="4">
        <v>3.42</v>
      </c>
    </row>
    <row r="2701">
      <c r="A2701" s="5">
        <v>81139.0</v>
      </c>
      <c r="B2701" s="6" t="s">
        <v>9</v>
      </c>
      <c r="C2701" s="6" t="s">
        <v>282</v>
      </c>
      <c r="D2701" s="6" t="s">
        <v>285</v>
      </c>
      <c r="E2701" s="6">
        <v>2.73</v>
      </c>
    </row>
    <row r="2702">
      <c r="A2702" s="3">
        <v>81141.0</v>
      </c>
      <c r="B2702" s="4" t="s">
        <v>9</v>
      </c>
      <c r="C2702" s="4" t="s">
        <v>282</v>
      </c>
      <c r="D2702" s="4" t="s">
        <v>285</v>
      </c>
      <c r="E2702" s="4">
        <v>2.41</v>
      </c>
    </row>
    <row r="2703">
      <c r="A2703" s="5">
        <v>81054.0</v>
      </c>
      <c r="B2703" s="6" t="s">
        <v>9</v>
      </c>
      <c r="C2703" s="6" t="s">
        <v>282</v>
      </c>
      <c r="D2703" s="6" t="s">
        <v>285</v>
      </c>
      <c r="E2703" s="6">
        <v>1.91</v>
      </c>
    </row>
    <row r="2704">
      <c r="A2704" s="3">
        <v>118352.0</v>
      </c>
      <c r="B2704" s="4" t="s">
        <v>9</v>
      </c>
      <c r="C2704" s="4" t="s">
        <v>282</v>
      </c>
      <c r="D2704" s="4" t="s">
        <v>285</v>
      </c>
      <c r="E2704" s="4">
        <v>3.88</v>
      </c>
    </row>
    <row r="2705">
      <c r="A2705" s="5">
        <v>81091.0</v>
      </c>
      <c r="B2705" s="6" t="s">
        <v>9</v>
      </c>
      <c r="C2705" s="6" t="s">
        <v>282</v>
      </c>
      <c r="D2705" s="6" t="s">
        <v>285</v>
      </c>
      <c r="E2705" s="6">
        <v>4.29</v>
      </c>
    </row>
    <row r="2706">
      <c r="A2706" s="3">
        <v>81025.0</v>
      </c>
      <c r="B2706" s="4" t="s">
        <v>9</v>
      </c>
      <c r="C2706" s="4" t="s">
        <v>282</v>
      </c>
      <c r="D2706" s="4" t="s">
        <v>285</v>
      </c>
      <c r="E2706" s="4">
        <v>1.63</v>
      </c>
    </row>
    <row r="2707">
      <c r="A2707" s="5">
        <v>81129.0</v>
      </c>
      <c r="B2707" s="6" t="s">
        <v>9</v>
      </c>
      <c r="C2707" s="6" t="s">
        <v>282</v>
      </c>
      <c r="D2707" s="6" t="s">
        <v>285</v>
      </c>
      <c r="E2707" s="6">
        <v>2.32</v>
      </c>
    </row>
    <row r="2708">
      <c r="A2708" s="3">
        <v>81043.0</v>
      </c>
      <c r="B2708" s="4" t="s">
        <v>9</v>
      </c>
      <c r="C2708" s="4" t="s">
        <v>282</v>
      </c>
      <c r="D2708" s="4" t="s">
        <v>285</v>
      </c>
      <c r="E2708" s="4">
        <v>1.44</v>
      </c>
    </row>
    <row r="2709">
      <c r="A2709" s="5">
        <v>81120.0</v>
      </c>
      <c r="B2709" s="6" t="s">
        <v>9</v>
      </c>
      <c r="C2709" s="6" t="s">
        <v>282</v>
      </c>
      <c r="D2709" s="6" t="s">
        <v>285</v>
      </c>
      <c r="E2709" s="6">
        <v>2.36</v>
      </c>
    </row>
    <row r="2710">
      <c r="A2710" s="3">
        <v>81109.0</v>
      </c>
      <c r="B2710" s="4" t="s">
        <v>9</v>
      </c>
      <c r="C2710" s="4" t="s">
        <v>282</v>
      </c>
      <c r="D2710" s="4" t="s">
        <v>285</v>
      </c>
      <c r="E2710" s="4">
        <v>1.99</v>
      </c>
    </row>
    <row r="2711">
      <c r="A2711" s="5">
        <v>81082.0</v>
      </c>
      <c r="B2711" s="6" t="s">
        <v>9</v>
      </c>
      <c r="C2711" s="6" t="s">
        <v>282</v>
      </c>
      <c r="D2711" s="6" t="s">
        <v>285</v>
      </c>
      <c r="E2711" s="6">
        <v>1.63</v>
      </c>
    </row>
    <row r="2712">
      <c r="A2712" s="3">
        <v>81036.0</v>
      </c>
      <c r="B2712" s="4" t="s">
        <v>9</v>
      </c>
      <c r="C2712" s="4" t="s">
        <v>282</v>
      </c>
      <c r="D2712" s="4" t="s">
        <v>285</v>
      </c>
      <c r="E2712" s="4">
        <v>2.31</v>
      </c>
    </row>
    <row r="2713">
      <c r="A2713" s="5">
        <v>81690.0</v>
      </c>
      <c r="B2713" s="6" t="s">
        <v>9</v>
      </c>
      <c r="C2713" s="6" t="s">
        <v>282</v>
      </c>
      <c r="D2713" s="6" t="s">
        <v>285</v>
      </c>
      <c r="E2713" s="6">
        <v>1.7</v>
      </c>
    </row>
    <row r="2714">
      <c r="A2714" s="3">
        <v>87849.0</v>
      </c>
      <c r="B2714" s="4" t="s">
        <v>9</v>
      </c>
      <c r="C2714" s="4" t="s">
        <v>282</v>
      </c>
      <c r="D2714" s="4" t="s">
        <v>285</v>
      </c>
      <c r="E2714" s="4">
        <v>2.16</v>
      </c>
    </row>
    <row r="2715">
      <c r="A2715" s="5">
        <v>81094.0</v>
      </c>
      <c r="B2715" s="6" t="s">
        <v>9</v>
      </c>
      <c r="C2715" s="6" t="s">
        <v>282</v>
      </c>
      <c r="D2715" s="6" t="s">
        <v>285</v>
      </c>
      <c r="E2715" s="6">
        <v>2.49</v>
      </c>
    </row>
    <row r="2716">
      <c r="A2716" s="3">
        <v>202726.0</v>
      </c>
      <c r="B2716" s="4" t="s">
        <v>9</v>
      </c>
      <c r="C2716" s="4" t="s">
        <v>282</v>
      </c>
      <c r="D2716" s="4" t="s">
        <v>286</v>
      </c>
      <c r="E2716" s="4">
        <v>7.11</v>
      </c>
    </row>
    <row r="2717">
      <c r="A2717" s="5">
        <v>101516.0</v>
      </c>
      <c r="B2717" s="6" t="s">
        <v>9</v>
      </c>
      <c r="C2717" s="6" t="s">
        <v>282</v>
      </c>
      <c r="D2717" s="6" t="s">
        <v>286</v>
      </c>
      <c r="E2717" s="6">
        <v>1.94</v>
      </c>
    </row>
    <row r="2718">
      <c r="A2718" s="3">
        <v>84332.0</v>
      </c>
      <c r="B2718" s="4" t="s">
        <v>9</v>
      </c>
      <c r="C2718" s="4" t="s">
        <v>282</v>
      </c>
      <c r="D2718" s="4" t="s">
        <v>286</v>
      </c>
      <c r="E2718" s="4">
        <v>2.22</v>
      </c>
    </row>
    <row r="2719">
      <c r="A2719" s="5">
        <v>16959.0</v>
      </c>
      <c r="B2719" s="6" t="s">
        <v>9</v>
      </c>
      <c r="C2719" s="6" t="s">
        <v>282</v>
      </c>
      <c r="D2719" s="6" t="s">
        <v>286</v>
      </c>
      <c r="E2719" s="6">
        <v>4.35</v>
      </c>
    </row>
    <row r="2720">
      <c r="A2720" s="3">
        <v>87762.0</v>
      </c>
      <c r="B2720" s="4" t="s">
        <v>9</v>
      </c>
      <c r="C2720" s="4" t="s">
        <v>282</v>
      </c>
      <c r="D2720" s="4" t="s">
        <v>286</v>
      </c>
      <c r="E2720" s="4">
        <v>2.14</v>
      </c>
    </row>
    <row r="2721">
      <c r="A2721" s="5">
        <v>16952.0</v>
      </c>
      <c r="B2721" s="6" t="s">
        <v>9</v>
      </c>
      <c r="C2721" s="6" t="s">
        <v>282</v>
      </c>
      <c r="D2721" s="6" t="s">
        <v>286</v>
      </c>
      <c r="E2721" s="6">
        <v>3.63</v>
      </c>
    </row>
    <row r="2722">
      <c r="A2722" s="3">
        <v>16958.0</v>
      </c>
      <c r="B2722" s="4" t="s">
        <v>9</v>
      </c>
      <c r="C2722" s="4" t="s">
        <v>282</v>
      </c>
      <c r="D2722" s="4" t="s">
        <v>286</v>
      </c>
      <c r="E2722" s="4">
        <v>3.63</v>
      </c>
    </row>
    <row r="2723">
      <c r="A2723" s="5">
        <v>16950.0</v>
      </c>
      <c r="B2723" s="6" t="s">
        <v>9</v>
      </c>
      <c r="C2723" s="6" t="s">
        <v>282</v>
      </c>
      <c r="D2723" s="6" t="s">
        <v>286</v>
      </c>
      <c r="E2723" s="6">
        <v>3.63</v>
      </c>
    </row>
    <row r="2724">
      <c r="A2724" s="3">
        <v>102266.0</v>
      </c>
      <c r="B2724" s="4" t="s">
        <v>9</v>
      </c>
      <c r="C2724" s="4" t="s">
        <v>282</v>
      </c>
      <c r="D2724" s="4" t="s">
        <v>286</v>
      </c>
      <c r="E2724" s="4">
        <v>2.24</v>
      </c>
    </row>
    <row r="2725">
      <c r="A2725" s="5">
        <v>202746.0</v>
      </c>
      <c r="B2725" s="6" t="s">
        <v>9</v>
      </c>
      <c r="C2725" s="6" t="s">
        <v>282</v>
      </c>
      <c r="D2725" s="6" t="s">
        <v>286</v>
      </c>
      <c r="E2725" s="6">
        <v>7.11</v>
      </c>
    </row>
    <row r="2726">
      <c r="A2726" s="3">
        <v>101519.0</v>
      </c>
      <c r="B2726" s="4" t="s">
        <v>9</v>
      </c>
      <c r="C2726" s="4" t="s">
        <v>282</v>
      </c>
      <c r="D2726" s="4" t="s">
        <v>286</v>
      </c>
      <c r="E2726" s="4">
        <v>1.94</v>
      </c>
    </row>
    <row r="2727">
      <c r="A2727" s="5">
        <v>81688.0</v>
      </c>
      <c r="B2727" s="6" t="s">
        <v>9</v>
      </c>
      <c r="C2727" s="6" t="s">
        <v>282</v>
      </c>
      <c r="D2727" s="6" t="s">
        <v>286</v>
      </c>
      <c r="E2727" s="6">
        <v>1.73</v>
      </c>
    </row>
    <row r="2728">
      <c r="A2728" s="3">
        <v>120365.0</v>
      </c>
      <c r="B2728" s="4" t="s">
        <v>9</v>
      </c>
      <c r="C2728" s="4" t="s">
        <v>282</v>
      </c>
      <c r="D2728" s="4" t="s">
        <v>286</v>
      </c>
      <c r="E2728" s="4">
        <v>2.35</v>
      </c>
    </row>
    <row r="2729">
      <c r="A2729" s="5">
        <v>3438.0</v>
      </c>
      <c r="B2729" s="6" t="s">
        <v>9</v>
      </c>
      <c r="C2729" s="6" t="s">
        <v>282</v>
      </c>
      <c r="D2729" s="6" t="s">
        <v>286</v>
      </c>
      <c r="E2729" s="6">
        <v>3.63</v>
      </c>
    </row>
    <row r="2730">
      <c r="A2730" s="3">
        <v>102262.0</v>
      </c>
      <c r="B2730" s="4" t="s">
        <v>9</v>
      </c>
      <c r="C2730" s="4" t="s">
        <v>282</v>
      </c>
      <c r="D2730" s="4" t="s">
        <v>286</v>
      </c>
      <c r="E2730" s="4">
        <v>2.16</v>
      </c>
    </row>
    <row r="2731">
      <c r="A2731" s="5">
        <v>87764.0</v>
      </c>
      <c r="B2731" s="6" t="s">
        <v>9</v>
      </c>
      <c r="C2731" s="6" t="s">
        <v>282</v>
      </c>
      <c r="D2731" s="6" t="s">
        <v>286</v>
      </c>
      <c r="E2731" s="6">
        <v>2.14</v>
      </c>
    </row>
    <row r="2732">
      <c r="A2732" s="3">
        <v>3437.0</v>
      </c>
      <c r="B2732" s="4" t="s">
        <v>9</v>
      </c>
      <c r="C2732" s="4" t="s">
        <v>282</v>
      </c>
      <c r="D2732" s="4" t="s">
        <v>286</v>
      </c>
      <c r="E2732" s="4">
        <v>3.63</v>
      </c>
    </row>
    <row r="2733">
      <c r="A2733" s="5">
        <v>111017.0</v>
      </c>
      <c r="B2733" s="6" t="s">
        <v>9</v>
      </c>
      <c r="C2733" s="6" t="s">
        <v>282</v>
      </c>
      <c r="D2733" s="6" t="s">
        <v>286</v>
      </c>
      <c r="E2733" s="6">
        <v>3.64</v>
      </c>
    </row>
    <row r="2734">
      <c r="A2734" s="3">
        <v>102264.0</v>
      </c>
      <c r="B2734" s="4" t="s">
        <v>9</v>
      </c>
      <c r="C2734" s="4" t="s">
        <v>282</v>
      </c>
      <c r="D2734" s="4" t="s">
        <v>286</v>
      </c>
      <c r="E2734" s="4">
        <v>2.24</v>
      </c>
    </row>
    <row r="2735">
      <c r="A2735" s="5">
        <v>18088.0</v>
      </c>
      <c r="B2735" s="6" t="s">
        <v>9</v>
      </c>
      <c r="C2735" s="6" t="s">
        <v>282</v>
      </c>
      <c r="D2735" s="6" t="s">
        <v>286</v>
      </c>
      <c r="E2735" s="6">
        <v>2.8</v>
      </c>
    </row>
    <row r="2736">
      <c r="A2736" s="3">
        <v>87836.0</v>
      </c>
      <c r="B2736" s="4" t="s">
        <v>9</v>
      </c>
      <c r="C2736" s="4" t="s">
        <v>282</v>
      </c>
      <c r="D2736" s="4" t="s">
        <v>286</v>
      </c>
      <c r="E2736" s="4">
        <v>2.16</v>
      </c>
    </row>
    <row r="2737">
      <c r="A2737" s="5">
        <v>87804.0</v>
      </c>
      <c r="B2737" s="6" t="s">
        <v>9</v>
      </c>
      <c r="C2737" s="6" t="s">
        <v>282</v>
      </c>
      <c r="D2737" s="6" t="s">
        <v>286</v>
      </c>
      <c r="E2737" s="6">
        <v>2.16</v>
      </c>
    </row>
    <row r="2738">
      <c r="A2738" s="3">
        <v>108207.0</v>
      </c>
      <c r="B2738" s="4" t="s">
        <v>128</v>
      </c>
      <c r="C2738" s="4" t="s">
        <v>287</v>
      </c>
      <c r="D2738" s="4" t="s">
        <v>288</v>
      </c>
      <c r="E2738" s="4">
        <v>21.89</v>
      </c>
    </row>
    <row r="2739">
      <c r="A2739" s="5">
        <v>111043.0</v>
      </c>
      <c r="B2739" s="6" t="s">
        <v>128</v>
      </c>
      <c r="C2739" s="6" t="s">
        <v>287</v>
      </c>
      <c r="D2739" s="6" t="s">
        <v>288</v>
      </c>
      <c r="E2739" s="6">
        <v>62.73</v>
      </c>
    </row>
    <row r="2740">
      <c r="A2740" s="3">
        <v>100223.0</v>
      </c>
      <c r="B2740" s="4" t="s">
        <v>128</v>
      </c>
      <c r="C2740" s="4" t="s">
        <v>287</v>
      </c>
      <c r="D2740" s="4" t="s">
        <v>288</v>
      </c>
      <c r="E2740" s="4">
        <v>28.66</v>
      </c>
    </row>
    <row r="2741">
      <c r="A2741" s="5">
        <v>92161.0</v>
      </c>
      <c r="B2741" s="6" t="s">
        <v>128</v>
      </c>
      <c r="C2741" s="6" t="s">
        <v>289</v>
      </c>
      <c r="D2741" s="6" t="s">
        <v>290</v>
      </c>
      <c r="E2741" s="6">
        <v>6.12</v>
      </c>
    </row>
    <row r="2742">
      <c r="A2742" s="3">
        <v>113405.0</v>
      </c>
      <c r="B2742" s="4" t="s">
        <v>128</v>
      </c>
      <c r="C2742" s="4" t="s">
        <v>289</v>
      </c>
      <c r="D2742" s="4" t="s">
        <v>291</v>
      </c>
      <c r="E2742" s="4">
        <v>6.84</v>
      </c>
    </row>
    <row r="2743">
      <c r="A2743" s="5">
        <v>120817.0</v>
      </c>
      <c r="B2743" s="6" t="s">
        <v>128</v>
      </c>
      <c r="C2743" s="6" t="s">
        <v>289</v>
      </c>
      <c r="D2743" s="6" t="s">
        <v>292</v>
      </c>
      <c r="E2743" s="6">
        <v>7.41</v>
      </c>
    </row>
    <row r="2744">
      <c r="A2744" s="3">
        <v>14520.0</v>
      </c>
      <c r="B2744" s="4" t="s">
        <v>128</v>
      </c>
      <c r="C2744" s="4" t="s">
        <v>289</v>
      </c>
      <c r="D2744" s="4" t="s">
        <v>292</v>
      </c>
      <c r="E2744" s="4">
        <v>1.03</v>
      </c>
    </row>
    <row r="2745">
      <c r="A2745" s="5">
        <v>104928.0</v>
      </c>
      <c r="B2745" s="6" t="s">
        <v>128</v>
      </c>
      <c r="C2745" s="6" t="s">
        <v>289</v>
      </c>
      <c r="D2745" s="6" t="s">
        <v>292</v>
      </c>
      <c r="E2745" s="6">
        <v>5.84</v>
      </c>
    </row>
    <row r="2746">
      <c r="A2746" s="3">
        <v>14517.0</v>
      </c>
      <c r="B2746" s="4" t="s">
        <v>128</v>
      </c>
      <c r="C2746" s="4" t="s">
        <v>289</v>
      </c>
      <c r="D2746" s="4" t="s">
        <v>292</v>
      </c>
      <c r="E2746" s="4">
        <v>1.43</v>
      </c>
    </row>
    <row r="2747">
      <c r="A2747" s="5">
        <v>122563.0</v>
      </c>
      <c r="B2747" s="6" t="s">
        <v>128</v>
      </c>
      <c r="C2747" s="6" t="s">
        <v>289</v>
      </c>
      <c r="D2747" s="6" t="s">
        <v>292</v>
      </c>
      <c r="E2747" s="6">
        <v>7.66</v>
      </c>
    </row>
    <row r="2748">
      <c r="A2748" s="3">
        <v>96404.0</v>
      </c>
      <c r="B2748" s="4" t="s">
        <v>128</v>
      </c>
      <c r="C2748" s="4" t="s">
        <v>289</v>
      </c>
      <c r="D2748" s="4" t="s">
        <v>292</v>
      </c>
      <c r="E2748" s="4">
        <v>6.85</v>
      </c>
    </row>
    <row r="2749">
      <c r="A2749" s="5">
        <v>121469.0</v>
      </c>
      <c r="B2749" s="6" t="s">
        <v>128</v>
      </c>
      <c r="C2749" s="6" t="s">
        <v>289</v>
      </c>
      <c r="D2749" s="6" t="s">
        <v>293</v>
      </c>
      <c r="E2749" s="6">
        <v>5.62</v>
      </c>
    </row>
    <row r="2750">
      <c r="A2750" s="3">
        <v>122579.0</v>
      </c>
      <c r="B2750" s="4" t="s">
        <v>128</v>
      </c>
      <c r="C2750" s="4" t="s">
        <v>289</v>
      </c>
      <c r="D2750" s="4" t="s">
        <v>293</v>
      </c>
      <c r="E2750" s="4">
        <v>3.5</v>
      </c>
    </row>
    <row r="2751">
      <c r="A2751" s="5">
        <v>113407.0</v>
      </c>
      <c r="B2751" s="6" t="s">
        <v>128</v>
      </c>
      <c r="C2751" s="6" t="s">
        <v>289</v>
      </c>
      <c r="D2751" s="6" t="s">
        <v>293</v>
      </c>
      <c r="E2751" s="6">
        <v>5.37</v>
      </c>
    </row>
    <row r="2752">
      <c r="A2752" s="3">
        <v>91995.0</v>
      </c>
      <c r="B2752" s="4" t="s">
        <v>128</v>
      </c>
      <c r="C2752" s="4" t="s">
        <v>289</v>
      </c>
      <c r="D2752" s="4" t="s">
        <v>293</v>
      </c>
      <c r="E2752" s="4">
        <v>2.6</v>
      </c>
    </row>
    <row r="2753">
      <c r="A2753" s="5">
        <v>81178.0</v>
      </c>
      <c r="B2753" s="6" t="s">
        <v>140</v>
      </c>
      <c r="C2753" s="6" t="s">
        <v>294</v>
      </c>
      <c r="D2753" s="6" t="s">
        <v>295</v>
      </c>
      <c r="E2753" s="6">
        <v>1.81</v>
      </c>
    </row>
    <row r="2754">
      <c r="A2754" s="3">
        <v>12918.0</v>
      </c>
      <c r="B2754" s="4" t="s">
        <v>140</v>
      </c>
      <c r="C2754" s="4" t="s">
        <v>294</v>
      </c>
      <c r="D2754" s="4" t="s">
        <v>295</v>
      </c>
      <c r="E2754" s="4">
        <v>2.32</v>
      </c>
    </row>
    <row r="2755">
      <c r="A2755" s="5">
        <v>122411.0</v>
      </c>
      <c r="B2755" s="6" t="s">
        <v>140</v>
      </c>
      <c r="C2755" s="6" t="s">
        <v>294</v>
      </c>
      <c r="D2755" s="6" t="s">
        <v>295</v>
      </c>
      <c r="E2755" s="6">
        <v>2.74</v>
      </c>
    </row>
    <row r="2756">
      <c r="A2756" s="3">
        <v>81194.0</v>
      </c>
      <c r="B2756" s="4" t="s">
        <v>140</v>
      </c>
      <c r="C2756" s="4" t="s">
        <v>294</v>
      </c>
      <c r="D2756" s="4" t="s">
        <v>295</v>
      </c>
      <c r="E2756" s="4">
        <v>1.81</v>
      </c>
    </row>
    <row r="2757">
      <c r="A2757" s="5">
        <v>71876.0</v>
      </c>
      <c r="B2757" s="6" t="s">
        <v>140</v>
      </c>
      <c r="C2757" s="6" t="s">
        <v>294</v>
      </c>
      <c r="D2757" s="6" t="s">
        <v>295</v>
      </c>
      <c r="E2757" s="6">
        <v>4.67</v>
      </c>
    </row>
    <row r="2758">
      <c r="A2758" s="3">
        <v>129493.0</v>
      </c>
      <c r="B2758" s="4" t="s">
        <v>140</v>
      </c>
      <c r="C2758" s="4" t="s">
        <v>294</v>
      </c>
      <c r="D2758" s="4" t="s">
        <v>295</v>
      </c>
      <c r="E2758" s="4">
        <v>3.45</v>
      </c>
    </row>
    <row r="2759">
      <c r="A2759" s="5">
        <v>81190.0</v>
      </c>
      <c r="B2759" s="6" t="s">
        <v>140</v>
      </c>
      <c r="C2759" s="6" t="s">
        <v>294</v>
      </c>
      <c r="D2759" s="6" t="s">
        <v>295</v>
      </c>
      <c r="E2759" s="6">
        <v>1.81</v>
      </c>
    </row>
    <row r="2760">
      <c r="A2760" s="3">
        <v>71875.0</v>
      </c>
      <c r="B2760" s="4" t="s">
        <v>140</v>
      </c>
      <c r="C2760" s="4" t="s">
        <v>294</v>
      </c>
      <c r="D2760" s="4" t="s">
        <v>295</v>
      </c>
      <c r="E2760" s="4">
        <v>4.33</v>
      </c>
    </row>
    <row r="2761">
      <c r="A2761" s="5">
        <v>81198.0</v>
      </c>
      <c r="B2761" s="6" t="s">
        <v>140</v>
      </c>
      <c r="C2761" s="6" t="s">
        <v>294</v>
      </c>
      <c r="D2761" s="6" t="s">
        <v>295</v>
      </c>
      <c r="E2761" s="6">
        <v>1.81</v>
      </c>
    </row>
    <row r="2762">
      <c r="A2762" s="3">
        <v>188723.0</v>
      </c>
      <c r="B2762" s="4" t="s">
        <v>140</v>
      </c>
      <c r="C2762" s="4" t="s">
        <v>294</v>
      </c>
      <c r="D2762" s="4" t="s">
        <v>295</v>
      </c>
      <c r="E2762" s="4">
        <v>1.57</v>
      </c>
    </row>
    <row r="2763">
      <c r="A2763" s="5">
        <v>115053.0</v>
      </c>
      <c r="B2763" s="6" t="s">
        <v>140</v>
      </c>
      <c r="C2763" s="6" t="s">
        <v>294</v>
      </c>
      <c r="D2763" s="6" t="s">
        <v>295</v>
      </c>
      <c r="E2763" s="6">
        <v>3.04</v>
      </c>
    </row>
    <row r="2764">
      <c r="A2764" s="3">
        <v>104609.0</v>
      </c>
      <c r="B2764" s="4" t="s">
        <v>140</v>
      </c>
      <c r="C2764" s="4" t="s">
        <v>294</v>
      </c>
      <c r="D2764" s="4" t="s">
        <v>295</v>
      </c>
      <c r="E2764" s="4">
        <v>2.56</v>
      </c>
    </row>
    <row r="2765">
      <c r="A2765" s="5">
        <v>12916.0</v>
      </c>
      <c r="B2765" s="6" t="s">
        <v>140</v>
      </c>
      <c r="C2765" s="6" t="s">
        <v>294</v>
      </c>
      <c r="D2765" s="6" t="s">
        <v>295</v>
      </c>
      <c r="E2765" s="6">
        <v>2.2</v>
      </c>
    </row>
    <row r="2766">
      <c r="A2766" s="3">
        <v>129488.0</v>
      </c>
      <c r="B2766" s="4" t="s">
        <v>140</v>
      </c>
      <c r="C2766" s="4" t="s">
        <v>294</v>
      </c>
      <c r="D2766" s="4" t="s">
        <v>295</v>
      </c>
      <c r="E2766" s="4">
        <v>2.68</v>
      </c>
    </row>
    <row r="2767">
      <c r="A2767" s="5">
        <v>78566.0</v>
      </c>
      <c r="B2767" s="6" t="s">
        <v>140</v>
      </c>
      <c r="C2767" s="6" t="s">
        <v>294</v>
      </c>
      <c r="D2767" s="6" t="s">
        <v>295</v>
      </c>
      <c r="E2767" s="6">
        <v>1.95</v>
      </c>
    </row>
    <row r="2768">
      <c r="A2768" s="3">
        <v>15090.0</v>
      </c>
      <c r="B2768" s="4" t="s">
        <v>140</v>
      </c>
      <c r="C2768" s="4" t="s">
        <v>294</v>
      </c>
      <c r="D2768" s="4" t="s">
        <v>295</v>
      </c>
      <c r="E2768" s="4">
        <v>2.54</v>
      </c>
    </row>
    <row r="2769">
      <c r="A2769" s="5">
        <v>81209.0</v>
      </c>
      <c r="B2769" s="6" t="s">
        <v>140</v>
      </c>
      <c r="C2769" s="6" t="s">
        <v>294</v>
      </c>
      <c r="D2769" s="6" t="s">
        <v>295</v>
      </c>
      <c r="E2769" s="6">
        <v>1.81</v>
      </c>
    </row>
    <row r="2770">
      <c r="A2770" s="3">
        <v>108141.0</v>
      </c>
      <c r="B2770" s="4" t="s">
        <v>140</v>
      </c>
      <c r="C2770" s="4" t="s">
        <v>294</v>
      </c>
      <c r="D2770" s="4" t="s">
        <v>295</v>
      </c>
      <c r="E2770" s="4">
        <v>2.38</v>
      </c>
    </row>
    <row r="2771">
      <c r="A2771" s="5">
        <v>12914.0</v>
      </c>
      <c r="B2771" s="6" t="s">
        <v>140</v>
      </c>
      <c r="C2771" s="6" t="s">
        <v>294</v>
      </c>
      <c r="D2771" s="6" t="s">
        <v>295</v>
      </c>
      <c r="E2771" s="6">
        <v>2.18</v>
      </c>
    </row>
    <row r="2772">
      <c r="A2772" s="3">
        <v>129492.0</v>
      </c>
      <c r="B2772" s="4" t="s">
        <v>140</v>
      </c>
      <c r="C2772" s="4" t="s">
        <v>294</v>
      </c>
      <c r="D2772" s="4" t="s">
        <v>295</v>
      </c>
      <c r="E2772" s="4">
        <v>3.21</v>
      </c>
    </row>
    <row r="2773">
      <c r="A2773" s="5">
        <v>120473.0</v>
      </c>
      <c r="B2773" s="6" t="s">
        <v>140</v>
      </c>
      <c r="C2773" s="6" t="s">
        <v>294</v>
      </c>
      <c r="D2773" s="6" t="s">
        <v>295</v>
      </c>
      <c r="E2773" s="6">
        <v>2.74</v>
      </c>
    </row>
    <row r="2774">
      <c r="A2774" s="3">
        <v>12924.0</v>
      </c>
      <c r="B2774" s="4" t="s">
        <v>140</v>
      </c>
      <c r="C2774" s="4" t="s">
        <v>294</v>
      </c>
      <c r="D2774" s="4" t="s">
        <v>295</v>
      </c>
      <c r="E2774" s="4">
        <v>2.13</v>
      </c>
    </row>
    <row r="2775">
      <c r="A2775" s="5">
        <v>12920.0</v>
      </c>
      <c r="B2775" s="6" t="s">
        <v>140</v>
      </c>
      <c r="C2775" s="6" t="s">
        <v>294</v>
      </c>
      <c r="D2775" s="6" t="s">
        <v>295</v>
      </c>
      <c r="E2775" s="6">
        <v>2.32</v>
      </c>
    </row>
    <row r="2776">
      <c r="A2776" s="3">
        <v>81200.0</v>
      </c>
      <c r="B2776" s="4" t="s">
        <v>140</v>
      </c>
      <c r="C2776" s="4" t="s">
        <v>294</v>
      </c>
      <c r="D2776" s="4" t="s">
        <v>295</v>
      </c>
      <c r="E2776" s="4">
        <v>1.81</v>
      </c>
    </row>
    <row r="2777">
      <c r="A2777" s="5">
        <v>122410.0</v>
      </c>
      <c r="B2777" s="6" t="s">
        <v>140</v>
      </c>
      <c r="C2777" s="6" t="s">
        <v>294</v>
      </c>
      <c r="D2777" s="6" t="s">
        <v>295</v>
      </c>
      <c r="E2777" s="6">
        <v>2.16</v>
      </c>
    </row>
    <row r="2778">
      <c r="A2778" s="3">
        <v>81720.0</v>
      </c>
      <c r="B2778" s="4" t="s">
        <v>140</v>
      </c>
      <c r="C2778" s="4" t="s">
        <v>294</v>
      </c>
      <c r="D2778" s="4" t="s">
        <v>295</v>
      </c>
      <c r="E2778" s="4">
        <v>3.29</v>
      </c>
    </row>
    <row r="2779">
      <c r="A2779" s="5">
        <v>12923.0</v>
      </c>
      <c r="B2779" s="6" t="s">
        <v>140</v>
      </c>
      <c r="C2779" s="6" t="s">
        <v>294</v>
      </c>
      <c r="D2779" s="6" t="s">
        <v>295</v>
      </c>
      <c r="E2779" s="6">
        <v>2.21</v>
      </c>
    </row>
    <row r="2780">
      <c r="A2780" s="3">
        <v>81173.0</v>
      </c>
      <c r="B2780" s="4" t="s">
        <v>140</v>
      </c>
      <c r="C2780" s="4" t="s">
        <v>294</v>
      </c>
      <c r="D2780" s="4" t="s">
        <v>295</v>
      </c>
      <c r="E2780" s="4">
        <v>1.81</v>
      </c>
    </row>
    <row r="2781">
      <c r="A2781" s="5">
        <v>12910.0</v>
      </c>
      <c r="B2781" s="6" t="s">
        <v>140</v>
      </c>
      <c r="C2781" s="6" t="s">
        <v>294</v>
      </c>
      <c r="D2781" s="6" t="s">
        <v>295</v>
      </c>
      <c r="E2781" s="6">
        <v>2.03</v>
      </c>
    </row>
    <row r="2782">
      <c r="A2782" s="3">
        <v>81193.0</v>
      </c>
      <c r="B2782" s="4" t="s">
        <v>140</v>
      </c>
      <c r="C2782" s="4" t="s">
        <v>294</v>
      </c>
      <c r="D2782" s="4" t="s">
        <v>295</v>
      </c>
      <c r="E2782" s="4">
        <v>1.81</v>
      </c>
    </row>
    <row r="2783">
      <c r="A2783" s="5">
        <v>12917.0</v>
      </c>
      <c r="B2783" s="6" t="s">
        <v>140</v>
      </c>
      <c r="C2783" s="6" t="s">
        <v>294</v>
      </c>
      <c r="D2783" s="6" t="s">
        <v>295</v>
      </c>
      <c r="E2783" s="6">
        <v>2.4</v>
      </c>
    </row>
    <row r="2784">
      <c r="A2784" s="3">
        <v>129491.0</v>
      </c>
      <c r="B2784" s="4" t="s">
        <v>140</v>
      </c>
      <c r="C2784" s="4" t="s">
        <v>294</v>
      </c>
      <c r="D2784" s="4" t="s">
        <v>295</v>
      </c>
      <c r="E2784" s="4">
        <v>2.68</v>
      </c>
    </row>
    <row r="2785">
      <c r="A2785" s="5">
        <v>15104.0</v>
      </c>
      <c r="B2785" s="6" t="s">
        <v>140</v>
      </c>
      <c r="C2785" s="6" t="s">
        <v>294</v>
      </c>
      <c r="D2785" s="6" t="s">
        <v>295</v>
      </c>
      <c r="E2785" s="6">
        <v>2.24</v>
      </c>
    </row>
    <row r="2786">
      <c r="A2786" s="3">
        <v>122407.0</v>
      </c>
      <c r="B2786" s="4" t="s">
        <v>140</v>
      </c>
      <c r="C2786" s="4" t="s">
        <v>294</v>
      </c>
      <c r="D2786" s="4" t="s">
        <v>295</v>
      </c>
      <c r="E2786" s="4">
        <v>2.72</v>
      </c>
    </row>
    <row r="2787">
      <c r="A2787" s="5">
        <v>81191.0</v>
      </c>
      <c r="B2787" s="6" t="s">
        <v>140</v>
      </c>
      <c r="C2787" s="6" t="s">
        <v>294</v>
      </c>
      <c r="D2787" s="6" t="s">
        <v>295</v>
      </c>
      <c r="E2787" s="6">
        <v>1.81</v>
      </c>
    </row>
    <row r="2788">
      <c r="A2788" s="3">
        <v>188725.0</v>
      </c>
      <c r="B2788" s="4" t="s">
        <v>140</v>
      </c>
      <c r="C2788" s="4" t="s">
        <v>294</v>
      </c>
      <c r="D2788" s="4" t="s">
        <v>295</v>
      </c>
      <c r="E2788" s="4">
        <v>1.34</v>
      </c>
    </row>
    <row r="2789">
      <c r="A2789" s="5">
        <v>188724.0</v>
      </c>
      <c r="B2789" s="6" t="s">
        <v>140</v>
      </c>
      <c r="C2789" s="6" t="s">
        <v>294</v>
      </c>
      <c r="D2789" s="6" t="s">
        <v>295</v>
      </c>
      <c r="E2789" s="6">
        <v>1.4</v>
      </c>
    </row>
    <row r="2790">
      <c r="A2790" s="3">
        <v>12911.0</v>
      </c>
      <c r="B2790" s="4" t="s">
        <v>140</v>
      </c>
      <c r="C2790" s="4" t="s">
        <v>294</v>
      </c>
      <c r="D2790" s="4" t="s">
        <v>295</v>
      </c>
      <c r="E2790" s="4">
        <v>2.16</v>
      </c>
    </row>
    <row r="2791">
      <c r="A2791" s="5">
        <v>21612.0</v>
      </c>
      <c r="B2791" s="6" t="s">
        <v>140</v>
      </c>
      <c r="C2791" s="6" t="s">
        <v>294</v>
      </c>
      <c r="D2791" s="6" t="s">
        <v>295</v>
      </c>
      <c r="E2791" s="6">
        <v>3.41</v>
      </c>
    </row>
    <row r="2792">
      <c r="A2792" s="3">
        <v>21603.0</v>
      </c>
      <c r="B2792" s="4" t="s">
        <v>140</v>
      </c>
      <c r="C2792" s="4" t="s">
        <v>294</v>
      </c>
      <c r="D2792" s="4" t="s">
        <v>295</v>
      </c>
      <c r="E2792" s="4">
        <v>3.31</v>
      </c>
    </row>
    <row r="2793">
      <c r="A2793" s="5">
        <v>81218.0</v>
      </c>
      <c r="B2793" s="6" t="s">
        <v>140</v>
      </c>
      <c r="C2793" s="6" t="s">
        <v>294</v>
      </c>
      <c r="D2793" s="6" t="s">
        <v>296</v>
      </c>
      <c r="E2793" s="6">
        <v>3.07</v>
      </c>
    </row>
    <row r="2794">
      <c r="A2794" s="3">
        <v>70543.0</v>
      </c>
      <c r="B2794" s="4" t="s">
        <v>140</v>
      </c>
      <c r="C2794" s="4" t="s">
        <v>294</v>
      </c>
      <c r="D2794" s="4" t="s">
        <v>296</v>
      </c>
      <c r="E2794" s="4">
        <v>6.15</v>
      </c>
    </row>
    <row r="2795">
      <c r="A2795" s="5">
        <v>80549.0</v>
      </c>
      <c r="B2795" s="6" t="s">
        <v>140</v>
      </c>
      <c r="C2795" s="6" t="s">
        <v>294</v>
      </c>
      <c r="D2795" s="6" t="s">
        <v>296</v>
      </c>
      <c r="E2795" s="6">
        <v>5.11</v>
      </c>
    </row>
    <row r="2796">
      <c r="A2796" s="3">
        <v>79404.0</v>
      </c>
      <c r="B2796" s="4" t="s">
        <v>140</v>
      </c>
      <c r="C2796" s="4" t="s">
        <v>294</v>
      </c>
      <c r="D2796" s="4" t="s">
        <v>296</v>
      </c>
      <c r="E2796" s="4">
        <v>11.15</v>
      </c>
    </row>
    <row r="2797">
      <c r="A2797" s="5">
        <v>110596.0</v>
      </c>
      <c r="B2797" s="6" t="s">
        <v>140</v>
      </c>
      <c r="C2797" s="6" t="s">
        <v>294</v>
      </c>
      <c r="D2797" s="6" t="s">
        <v>296</v>
      </c>
      <c r="E2797" s="6">
        <v>6.04</v>
      </c>
    </row>
    <row r="2798">
      <c r="A2798" s="3">
        <v>70547.0</v>
      </c>
      <c r="B2798" s="4" t="s">
        <v>140</v>
      </c>
      <c r="C2798" s="4" t="s">
        <v>294</v>
      </c>
      <c r="D2798" s="4" t="s">
        <v>296</v>
      </c>
      <c r="E2798" s="4">
        <v>6.24</v>
      </c>
    </row>
    <row r="2799">
      <c r="A2799" s="5">
        <v>11410.0</v>
      </c>
      <c r="B2799" s="6" t="s">
        <v>140</v>
      </c>
      <c r="C2799" s="6" t="s">
        <v>294</v>
      </c>
      <c r="D2799" s="6" t="s">
        <v>296</v>
      </c>
      <c r="E2799" s="6">
        <v>5.26</v>
      </c>
    </row>
    <row r="2800">
      <c r="A2800" s="3">
        <v>116632.0</v>
      </c>
      <c r="B2800" s="4" t="s">
        <v>140</v>
      </c>
      <c r="C2800" s="4" t="s">
        <v>294</v>
      </c>
      <c r="D2800" s="4" t="s">
        <v>296</v>
      </c>
      <c r="E2800" s="4">
        <v>7.63</v>
      </c>
    </row>
    <row r="2801">
      <c r="A2801" s="5">
        <v>80546.0</v>
      </c>
      <c r="B2801" s="6" t="s">
        <v>140</v>
      </c>
      <c r="C2801" s="6" t="s">
        <v>294</v>
      </c>
      <c r="D2801" s="6" t="s">
        <v>296</v>
      </c>
      <c r="E2801" s="6">
        <v>5.11</v>
      </c>
    </row>
    <row r="2802">
      <c r="A2802" s="3">
        <v>80572.0</v>
      </c>
      <c r="B2802" s="4" t="s">
        <v>140</v>
      </c>
      <c r="C2802" s="4" t="s">
        <v>294</v>
      </c>
      <c r="D2802" s="4" t="s">
        <v>296</v>
      </c>
      <c r="E2802" s="4">
        <v>5.64</v>
      </c>
    </row>
    <row r="2803">
      <c r="A2803" s="5">
        <v>70558.0</v>
      </c>
      <c r="B2803" s="6" t="s">
        <v>140</v>
      </c>
      <c r="C2803" s="6" t="s">
        <v>294</v>
      </c>
      <c r="D2803" s="6" t="s">
        <v>296</v>
      </c>
      <c r="E2803" s="6">
        <v>10.49</v>
      </c>
    </row>
    <row r="2804">
      <c r="A2804" s="3">
        <v>79405.0</v>
      </c>
      <c r="B2804" s="4" t="s">
        <v>140</v>
      </c>
      <c r="C2804" s="4" t="s">
        <v>294</v>
      </c>
      <c r="D2804" s="4" t="s">
        <v>296</v>
      </c>
      <c r="E2804" s="4">
        <v>11.75</v>
      </c>
    </row>
    <row r="2805">
      <c r="A2805" s="5">
        <v>80543.0</v>
      </c>
      <c r="B2805" s="6" t="s">
        <v>140</v>
      </c>
      <c r="C2805" s="6" t="s">
        <v>294</v>
      </c>
      <c r="D2805" s="6" t="s">
        <v>296</v>
      </c>
      <c r="E2805" s="6">
        <v>9.86</v>
      </c>
    </row>
    <row r="2806">
      <c r="A2806" s="3">
        <v>14041.0</v>
      </c>
      <c r="B2806" s="4" t="s">
        <v>140</v>
      </c>
      <c r="C2806" s="4" t="s">
        <v>294</v>
      </c>
      <c r="D2806" s="4" t="s">
        <v>296</v>
      </c>
      <c r="E2806" s="4">
        <v>12.57</v>
      </c>
    </row>
    <row r="2807">
      <c r="A2807" s="5">
        <v>70559.0</v>
      </c>
      <c r="B2807" s="6" t="s">
        <v>140</v>
      </c>
      <c r="C2807" s="6" t="s">
        <v>294</v>
      </c>
      <c r="D2807" s="6" t="s">
        <v>296</v>
      </c>
      <c r="E2807" s="6">
        <v>7.99</v>
      </c>
    </row>
    <row r="2808">
      <c r="A2808" s="3">
        <v>80582.0</v>
      </c>
      <c r="B2808" s="4" t="s">
        <v>140</v>
      </c>
      <c r="C2808" s="4" t="s">
        <v>294</v>
      </c>
      <c r="D2808" s="4" t="s">
        <v>296</v>
      </c>
      <c r="E2808" s="4">
        <v>9.3</v>
      </c>
    </row>
    <row r="2809">
      <c r="A2809" s="5">
        <v>90004.0</v>
      </c>
      <c r="B2809" s="6" t="s">
        <v>140</v>
      </c>
      <c r="C2809" s="6" t="s">
        <v>294</v>
      </c>
      <c r="D2809" s="6" t="s">
        <v>296</v>
      </c>
      <c r="E2809" s="6">
        <v>7.07</v>
      </c>
    </row>
    <row r="2810">
      <c r="A2810" s="3">
        <v>117907.0</v>
      </c>
      <c r="B2810" s="4" t="s">
        <v>140</v>
      </c>
      <c r="C2810" s="4" t="s">
        <v>294</v>
      </c>
      <c r="D2810" s="4" t="s">
        <v>296</v>
      </c>
      <c r="E2810" s="4">
        <v>3.35</v>
      </c>
    </row>
    <row r="2811">
      <c r="A2811" s="5">
        <v>70542.0</v>
      </c>
      <c r="B2811" s="6" t="s">
        <v>140</v>
      </c>
      <c r="C2811" s="6" t="s">
        <v>294</v>
      </c>
      <c r="D2811" s="6" t="s">
        <v>296</v>
      </c>
      <c r="E2811" s="6">
        <v>6.63</v>
      </c>
    </row>
    <row r="2812">
      <c r="A2812" s="3">
        <v>81210.0</v>
      </c>
      <c r="B2812" s="4" t="s">
        <v>140</v>
      </c>
      <c r="C2812" s="4" t="s">
        <v>294</v>
      </c>
      <c r="D2812" s="4" t="s">
        <v>296</v>
      </c>
      <c r="E2812" s="4">
        <v>2.79</v>
      </c>
    </row>
    <row r="2813">
      <c r="A2813" s="5">
        <v>81211.0</v>
      </c>
      <c r="B2813" s="6" t="s">
        <v>140</v>
      </c>
      <c r="C2813" s="6" t="s">
        <v>294</v>
      </c>
      <c r="D2813" s="6" t="s">
        <v>296</v>
      </c>
      <c r="E2813" s="6">
        <v>3.07</v>
      </c>
    </row>
    <row r="2814">
      <c r="A2814" s="3">
        <v>80573.0</v>
      </c>
      <c r="B2814" s="4" t="s">
        <v>140</v>
      </c>
      <c r="C2814" s="4" t="s">
        <v>294</v>
      </c>
      <c r="D2814" s="4" t="s">
        <v>296</v>
      </c>
      <c r="E2814" s="4">
        <v>6.71</v>
      </c>
    </row>
    <row r="2815">
      <c r="A2815" s="5">
        <v>117909.0</v>
      </c>
      <c r="B2815" s="6" t="s">
        <v>140</v>
      </c>
      <c r="C2815" s="6" t="s">
        <v>294</v>
      </c>
      <c r="D2815" s="6" t="s">
        <v>296</v>
      </c>
      <c r="E2815" s="6">
        <v>3.35</v>
      </c>
    </row>
    <row r="2816">
      <c r="A2816" s="3">
        <v>80584.0</v>
      </c>
      <c r="B2816" s="4" t="s">
        <v>140</v>
      </c>
      <c r="C2816" s="4" t="s">
        <v>294</v>
      </c>
      <c r="D2816" s="4" t="s">
        <v>296</v>
      </c>
      <c r="E2816" s="4">
        <v>12.3</v>
      </c>
    </row>
    <row r="2817">
      <c r="A2817" s="5">
        <v>80550.0</v>
      </c>
      <c r="B2817" s="6" t="s">
        <v>140</v>
      </c>
      <c r="C2817" s="6" t="s">
        <v>294</v>
      </c>
      <c r="D2817" s="6" t="s">
        <v>296</v>
      </c>
      <c r="E2817" s="6">
        <v>7.51</v>
      </c>
    </row>
    <row r="2818">
      <c r="A2818" s="3">
        <v>81227.0</v>
      </c>
      <c r="B2818" s="4" t="s">
        <v>140</v>
      </c>
      <c r="C2818" s="4" t="s">
        <v>294</v>
      </c>
      <c r="D2818" s="4" t="s">
        <v>296</v>
      </c>
      <c r="E2818" s="4">
        <v>3.87</v>
      </c>
    </row>
    <row r="2819">
      <c r="A2819" s="5">
        <v>80578.0</v>
      </c>
      <c r="B2819" s="6" t="s">
        <v>140</v>
      </c>
      <c r="C2819" s="6" t="s">
        <v>294</v>
      </c>
      <c r="D2819" s="6" t="s">
        <v>296</v>
      </c>
      <c r="E2819" s="6">
        <v>10.06</v>
      </c>
    </row>
    <row r="2820">
      <c r="A2820" s="3">
        <v>110595.0</v>
      </c>
      <c r="B2820" s="4" t="s">
        <v>140</v>
      </c>
      <c r="C2820" s="4" t="s">
        <v>294</v>
      </c>
      <c r="D2820" s="4" t="s">
        <v>296</v>
      </c>
      <c r="E2820" s="4">
        <v>5.39</v>
      </c>
    </row>
    <row r="2821">
      <c r="A2821" s="5">
        <v>70557.0</v>
      </c>
      <c r="B2821" s="6" t="s">
        <v>140</v>
      </c>
      <c r="C2821" s="6" t="s">
        <v>294</v>
      </c>
      <c r="D2821" s="6" t="s">
        <v>296</v>
      </c>
      <c r="E2821" s="6">
        <v>10.77</v>
      </c>
    </row>
    <row r="2822">
      <c r="A2822" s="3">
        <v>147284.0</v>
      </c>
      <c r="B2822" s="4" t="s">
        <v>140</v>
      </c>
      <c r="C2822" s="4" t="s">
        <v>294</v>
      </c>
      <c r="D2822" s="4" t="s">
        <v>296</v>
      </c>
      <c r="E2822" s="4">
        <v>6.02</v>
      </c>
    </row>
    <row r="2823">
      <c r="A2823" s="5">
        <v>70553.0</v>
      </c>
      <c r="B2823" s="6" t="s">
        <v>140</v>
      </c>
      <c r="C2823" s="6" t="s">
        <v>294</v>
      </c>
      <c r="D2823" s="6" t="s">
        <v>296</v>
      </c>
      <c r="E2823" s="6">
        <v>7.25</v>
      </c>
    </row>
    <row r="2824">
      <c r="A2824" s="3">
        <v>81212.0</v>
      </c>
      <c r="B2824" s="4" t="s">
        <v>140</v>
      </c>
      <c r="C2824" s="4" t="s">
        <v>294</v>
      </c>
      <c r="D2824" s="4" t="s">
        <v>296</v>
      </c>
      <c r="E2824" s="4">
        <v>3.35</v>
      </c>
    </row>
    <row r="2825">
      <c r="A2825" s="5">
        <v>120427.0</v>
      </c>
      <c r="B2825" s="6" t="s">
        <v>140</v>
      </c>
      <c r="C2825" s="6" t="s">
        <v>294</v>
      </c>
      <c r="D2825" s="6" t="s">
        <v>296</v>
      </c>
      <c r="E2825" s="6">
        <v>2.67</v>
      </c>
    </row>
    <row r="2826">
      <c r="A2826" s="3">
        <v>46049.0</v>
      </c>
      <c r="B2826" s="4" t="s">
        <v>60</v>
      </c>
      <c r="C2826" s="4" t="s">
        <v>297</v>
      </c>
      <c r="D2826" s="4" t="s">
        <v>298</v>
      </c>
      <c r="E2826" s="4">
        <v>1.62</v>
      </c>
    </row>
    <row r="2827">
      <c r="A2827" s="5">
        <v>46039.0</v>
      </c>
      <c r="B2827" s="6" t="s">
        <v>60</v>
      </c>
      <c r="C2827" s="6" t="s">
        <v>297</v>
      </c>
      <c r="D2827" s="6" t="s">
        <v>298</v>
      </c>
      <c r="E2827" s="6">
        <v>2.39</v>
      </c>
    </row>
    <row r="2828">
      <c r="A2828" s="3">
        <v>46037.0</v>
      </c>
      <c r="B2828" s="4" t="s">
        <v>60</v>
      </c>
      <c r="C2828" s="4" t="s">
        <v>297</v>
      </c>
      <c r="D2828" s="4" t="s">
        <v>298</v>
      </c>
      <c r="E2828" s="4">
        <v>2.26</v>
      </c>
    </row>
    <row r="2829">
      <c r="A2829" s="5">
        <v>88965.0</v>
      </c>
      <c r="B2829" s="6" t="s">
        <v>60</v>
      </c>
      <c r="C2829" s="6" t="s">
        <v>297</v>
      </c>
      <c r="D2829" s="6" t="s">
        <v>298</v>
      </c>
      <c r="E2829" s="6">
        <v>3.05</v>
      </c>
    </row>
    <row r="2830">
      <c r="A2830" s="3">
        <v>102614.0</v>
      </c>
      <c r="B2830" s="4" t="s">
        <v>60</v>
      </c>
      <c r="C2830" s="4" t="s">
        <v>297</v>
      </c>
      <c r="D2830" s="4" t="s">
        <v>298</v>
      </c>
      <c r="E2830" s="4">
        <v>3.52</v>
      </c>
    </row>
    <row r="2831">
      <c r="A2831" s="5">
        <v>122704.0</v>
      </c>
      <c r="B2831" s="6" t="s">
        <v>60</v>
      </c>
      <c r="C2831" s="6" t="s">
        <v>297</v>
      </c>
      <c r="D2831" s="6" t="s">
        <v>298</v>
      </c>
      <c r="E2831" s="6">
        <v>1.95</v>
      </c>
    </row>
    <row r="2832">
      <c r="A2832" s="3">
        <v>164902.0</v>
      </c>
      <c r="B2832" s="4" t="s">
        <v>60</v>
      </c>
      <c r="C2832" s="4" t="s">
        <v>297</v>
      </c>
      <c r="D2832" s="4" t="s">
        <v>298</v>
      </c>
      <c r="E2832" s="4">
        <v>1.92</v>
      </c>
    </row>
    <row r="2833">
      <c r="A2833" s="5">
        <v>117783.0</v>
      </c>
      <c r="B2833" s="6" t="s">
        <v>60</v>
      </c>
      <c r="C2833" s="6" t="s">
        <v>297</v>
      </c>
      <c r="D2833" s="6" t="s">
        <v>298</v>
      </c>
      <c r="E2833" s="6">
        <v>1.55</v>
      </c>
    </row>
    <row r="2834">
      <c r="A2834" s="3">
        <v>114278.0</v>
      </c>
      <c r="B2834" s="4" t="s">
        <v>60</v>
      </c>
      <c r="C2834" s="4" t="s">
        <v>297</v>
      </c>
      <c r="D2834" s="4" t="s">
        <v>298</v>
      </c>
      <c r="E2834" s="4">
        <v>1.85</v>
      </c>
    </row>
    <row r="2835">
      <c r="A2835" s="5">
        <v>46056.0</v>
      </c>
      <c r="B2835" s="6" t="s">
        <v>60</v>
      </c>
      <c r="C2835" s="6" t="s">
        <v>297</v>
      </c>
      <c r="D2835" s="6" t="s">
        <v>298</v>
      </c>
      <c r="E2835" s="6">
        <v>2.71</v>
      </c>
    </row>
    <row r="2836">
      <c r="A2836" s="3">
        <v>5703.0</v>
      </c>
      <c r="B2836" s="4" t="s">
        <v>60</v>
      </c>
      <c r="C2836" s="4" t="s">
        <v>297</v>
      </c>
      <c r="D2836" s="4" t="s">
        <v>298</v>
      </c>
      <c r="E2836" s="4">
        <v>2.48</v>
      </c>
    </row>
    <row r="2837">
      <c r="A2837" s="5">
        <v>102607.0</v>
      </c>
      <c r="B2837" s="6" t="s">
        <v>60</v>
      </c>
      <c r="C2837" s="6" t="s">
        <v>297</v>
      </c>
      <c r="D2837" s="6" t="s">
        <v>298</v>
      </c>
      <c r="E2837" s="6">
        <v>4.17</v>
      </c>
    </row>
    <row r="2838">
      <c r="A2838" s="3">
        <v>87913.0</v>
      </c>
      <c r="B2838" s="4" t="s">
        <v>60</v>
      </c>
      <c r="C2838" s="4" t="s">
        <v>297</v>
      </c>
      <c r="D2838" s="4" t="s">
        <v>298</v>
      </c>
      <c r="E2838" s="4">
        <v>1.64</v>
      </c>
    </row>
    <row r="2839">
      <c r="A2839" s="5">
        <v>149513.0</v>
      </c>
      <c r="B2839" s="6" t="s">
        <v>60</v>
      </c>
      <c r="C2839" s="6" t="s">
        <v>297</v>
      </c>
      <c r="D2839" s="6" t="s">
        <v>298</v>
      </c>
      <c r="E2839" s="6">
        <v>0.89</v>
      </c>
    </row>
    <row r="2840">
      <c r="A2840" s="3">
        <v>87909.0</v>
      </c>
      <c r="B2840" s="4" t="s">
        <v>60</v>
      </c>
      <c r="C2840" s="4" t="s">
        <v>297</v>
      </c>
      <c r="D2840" s="4" t="s">
        <v>298</v>
      </c>
      <c r="E2840" s="4">
        <v>1.24</v>
      </c>
    </row>
    <row r="2841">
      <c r="A2841" s="5">
        <v>101897.0</v>
      </c>
      <c r="B2841" s="6" t="s">
        <v>60</v>
      </c>
      <c r="C2841" s="6" t="s">
        <v>297</v>
      </c>
      <c r="D2841" s="6" t="s">
        <v>298</v>
      </c>
      <c r="E2841" s="6">
        <v>2.45</v>
      </c>
    </row>
    <row r="2842">
      <c r="A2842" s="3">
        <v>121675.0</v>
      </c>
      <c r="B2842" s="4" t="s">
        <v>60</v>
      </c>
      <c r="C2842" s="4" t="s">
        <v>297</v>
      </c>
      <c r="D2842" s="4" t="s">
        <v>298</v>
      </c>
      <c r="E2842" s="4">
        <v>1.75</v>
      </c>
    </row>
    <row r="2843">
      <c r="A2843" s="5">
        <v>99349.0</v>
      </c>
      <c r="B2843" s="6" t="s">
        <v>60</v>
      </c>
      <c r="C2843" s="6" t="s">
        <v>297</v>
      </c>
      <c r="D2843" s="6" t="s">
        <v>298</v>
      </c>
      <c r="E2843" s="6">
        <v>1.11</v>
      </c>
    </row>
    <row r="2844">
      <c r="A2844" s="3">
        <v>117785.0</v>
      </c>
      <c r="B2844" s="4" t="s">
        <v>60</v>
      </c>
      <c r="C2844" s="4" t="s">
        <v>297</v>
      </c>
      <c r="D2844" s="4" t="s">
        <v>298</v>
      </c>
      <c r="E2844" s="4">
        <v>1.64</v>
      </c>
    </row>
    <row r="2845">
      <c r="A2845" s="5">
        <v>120558.0</v>
      </c>
      <c r="B2845" s="6" t="s">
        <v>60</v>
      </c>
      <c r="C2845" s="6" t="s">
        <v>297</v>
      </c>
      <c r="D2845" s="6" t="s">
        <v>298</v>
      </c>
      <c r="E2845" s="6">
        <v>1.39</v>
      </c>
    </row>
    <row r="2846">
      <c r="A2846" s="3">
        <v>99351.0</v>
      </c>
      <c r="B2846" s="4" t="s">
        <v>60</v>
      </c>
      <c r="C2846" s="4" t="s">
        <v>297</v>
      </c>
      <c r="D2846" s="4" t="s">
        <v>298</v>
      </c>
      <c r="E2846" s="4">
        <v>1.02</v>
      </c>
    </row>
    <row r="2847">
      <c r="A2847" s="5">
        <v>113058.0</v>
      </c>
      <c r="B2847" s="6" t="s">
        <v>60</v>
      </c>
      <c r="C2847" s="6" t="s">
        <v>297</v>
      </c>
      <c r="D2847" s="6" t="s">
        <v>298</v>
      </c>
      <c r="E2847" s="6">
        <v>2.59</v>
      </c>
    </row>
    <row r="2848">
      <c r="A2848" s="3">
        <v>118917.0</v>
      </c>
      <c r="B2848" s="4" t="s">
        <v>60</v>
      </c>
      <c r="C2848" s="4" t="s">
        <v>297</v>
      </c>
      <c r="D2848" s="4" t="s">
        <v>298</v>
      </c>
      <c r="E2848" s="4">
        <v>0.89</v>
      </c>
    </row>
    <row r="2849">
      <c r="A2849" s="5">
        <v>164891.0</v>
      </c>
      <c r="B2849" s="6" t="s">
        <v>60</v>
      </c>
      <c r="C2849" s="6" t="s">
        <v>297</v>
      </c>
      <c r="D2849" s="6" t="s">
        <v>298</v>
      </c>
      <c r="E2849" s="6">
        <v>1.92</v>
      </c>
    </row>
    <row r="2850">
      <c r="A2850" s="3">
        <v>101901.0</v>
      </c>
      <c r="B2850" s="4" t="s">
        <v>60</v>
      </c>
      <c r="C2850" s="4" t="s">
        <v>297</v>
      </c>
      <c r="D2850" s="4" t="s">
        <v>298</v>
      </c>
      <c r="E2850" s="4">
        <v>2.84</v>
      </c>
    </row>
    <row r="2851">
      <c r="A2851" s="5">
        <v>197164.0</v>
      </c>
      <c r="B2851" s="6" t="s">
        <v>60</v>
      </c>
      <c r="C2851" s="6" t="s">
        <v>297</v>
      </c>
      <c r="D2851" s="6" t="s">
        <v>298</v>
      </c>
      <c r="E2851" s="6">
        <v>2.22</v>
      </c>
    </row>
    <row r="2852">
      <c r="A2852" s="3">
        <v>114277.0</v>
      </c>
      <c r="B2852" s="4" t="s">
        <v>60</v>
      </c>
      <c r="C2852" s="4" t="s">
        <v>297</v>
      </c>
      <c r="D2852" s="4" t="s">
        <v>298</v>
      </c>
      <c r="E2852" s="4">
        <v>2.54</v>
      </c>
    </row>
    <row r="2853">
      <c r="A2853" s="5">
        <v>86913.0</v>
      </c>
      <c r="B2853" s="6" t="s">
        <v>60</v>
      </c>
      <c r="C2853" s="6" t="s">
        <v>297</v>
      </c>
      <c r="D2853" s="6" t="s">
        <v>298</v>
      </c>
      <c r="E2853" s="6">
        <v>1.4</v>
      </c>
    </row>
    <row r="2854">
      <c r="A2854" s="3">
        <v>88971.0</v>
      </c>
      <c r="B2854" s="4" t="s">
        <v>60</v>
      </c>
      <c r="C2854" s="4" t="s">
        <v>297</v>
      </c>
      <c r="D2854" s="4" t="s">
        <v>298</v>
      </c>
      <c r="E2854" s="4">
        <v>2.48</v>
      </c>
    </row>
    <row r="2855">
      <c r="A2855" s="5">
        <v>188840.0</v>
      </c>
      <c r="B2855" s="6" t="s">
        <v>60</v>
      </c>
      <c r="C2855" s="6" t="s">
        <v>297</v>
      </c>
      <c r="D2855" s="6" t="s">
        <v>298</v>
      </c>
      <c r="E2855" s="6">
        <v>3.02</v>
      </c>
    </row>
    <row r="2856">
      <c r="A2856" s="3">
        <v>95652.0</v>
      </c>
      <c r="B2856" s="4" t="s">
        <v>60</v>
      </c>
      <c r="C2856" s="4" t="s">
        <v>297</v>
      </c>
      <c r="D2856" s="4" t="s">
        <v>298</v>
      </c>
      <c r="E2856" s="4">
        <v>2.5</v>
      </c>
    </row>
    <row r="2857">
      <c r="A2857" s="5">
        <v>68627.0</v>
      </c>
      <c r="B2857" s="6" t="s">
        <v>60</v>
      </c>
      <c r="C2857" s="6" t="s">
        <v>297</v>
      </c>
      <c r="D2857" s="6" t="s">
        <v>298</v>
      </c>
      <c r="E2857" s="6">
        <v>3.01</v>
      </c>
    </row>
    <row r="2858">
      <c r="A2858" s="3">
        <v>46043.0</v>
      </c>
      <c r="B2858" s="4" t="s">
        <v>60</v>
      </c>
      <c r="C2858" s="4" t="s">
        <v>297</v>
      </c>
      <c r="D2858" s="4" t="s">
        <v>298</v>
      </c>
      <c r="E2858" s="4">
        <v>2.64</v>
      </c>
    </row>
    <row r="2859">
      <c r="A2859" s="5">
        <v>60592.0</v>
      </c>
      <c r="B2859" s="6" t="s">
        <v>60</v>
      </c>
      <c r="C2859" s="6" t="s">
        <v>297</v>
      </c>
      <c r="D2859" s="6" t="s">
        <v>298</v>
      </c>
      <c r="E2859" s="6">
        <v>1.75</v>
      </c>
    </row>
    <row r="2860">
      <c r="A2860" s="3">
        <v>99350.0</v>
      </c>
      <c r="B2860" s="4" t="s">
        <v>60</v>
      </c>
      <c r="C2860" s="4" t="s">
        <v>297</v>
      </c>
      <c r="D2860" s="4" t="s">
        <v>298</v>
      </c>
      <c r="E2860" s="4">
        <v>1.11</v>
      </c>
    </row>
    <row r="2861">
      <c r="A2861" s="5">
        <v>78983.0</v>
      </c>
      <c r="B2861" s="6" t="s">
        <v>60</v>
      </c>
      <c r="C2861" s="6" t="s">
        <v>297</v>
      </c>
      <c r="D2861" s="6" t="s">
        <v>298</v>
      </c>
      <c r="E2861" s="6">
        <v>2.12</v>
      </c>
    </row>
    <row r="2862">
      <c r="A2862" s="3">
        <v>188845.0</v>
      </c>
      <c r="B2862" s="4" t="s">
        <v>60</v>
      </c>
      <c r="C2862" s="4" t="s">
        <v>297</v>
      </c>
      <c r="D2862" s="4" t="s">
        <v>298</v>
      </c>
      <c r="E2862" s="4">
        <v>2.1</v>
      </c>
    </row>
    <row r="2863">
      <c r="A2863" s="5">
        <v>117787.0</v>
      </c>
      <c r="B2863" s="6" t="s">
        <v>60</v>
      </c>
      <c r="C2863" s="6" t="s">
        <v>297</v>
      </c>
      <c r="D2863" s="6" t="s">
        <v>298</v>
      </c>
      <c r="E2863" s="6">
        <v>1.38</v>
      </c>
    </row>
    <row r="2864">
      <c r="A2864" s="3">
        <v>119986.0</v>
      </c>
      <c r="B2864" s="4" t="s">
        <v>60</v>
      </c>
      <c r="C2864" s="4" t="s">
        <v>297</v>
      </c>
      <c r="D2864" s="4" t="s">
        <v>298</v>
      </c>
      <c r="E2864" s="4">
        <v>2.36</v>
      </c>
    </row>
    <row r="2865">
      <c r="A2865" s="5">
        <v>188841.0</v>
      </c>
      <c r="B2865" s="6" t="s">
        <v>60</v>
      </c>
      <c r="C2865" s="6" t="s">
        <v>297</v>
      </c>
      <c r="D2865" s="6" t="s">
        <v>298</v>
      </c>
      <c r="E2865" s="6">
        <v>2.22</v>
      </c>
    </row>
    <row r="2866">
      <c r="A2866" s="3">
        <v>99348.0</v>
      </c>
      <c r="B2866" s="4" t="s">
        <v>60</v>
      </c>
      <c r="C2866" s="4" t="s">
        <v>297</v>
      </c>
      <c r="D2866" s="4" t="s">
        <v>298</v>
      </c>
      <c r="E2866" s="4">
        <v>1.11</v>
      </c>
    </row>
    <row r="2867">
      <c r="A2867" s="5">
        <v>78978.0</v>
      </c>
      <c r="B2867" s="6" t="s">
        <v>60</v>
      </c>
      <c r="C2867" s="6" t="s">
        <v>297</v>
      </c>
      <c r="D2867" s="6" t="s">
        <v>298</v>
      </c>
      <c r="E2867" s="6">
        <v>2.54</v>
      </c>
    </row>
    <row r="2868">
      <c r="A2868" s="3">
        <v>120556.0</v>
      </c>
      <c r="B2868" s="4" t="s">
        <v>60</v>
      </c>
      <c r="C2868" s="4" t="s">
        <v>297</v>
      </c>
      <c r="D2868" s="4" t="s">
        <v>298</v>
      </c>
      <c r="E2868" s="4">
        <v>1.37</v>
      </c>
    </row>
    <row r="2869">
      <c r="A2869" s="5">
        <v>80254.0</v>
      </c>
      <c r="B2869" s="6" t="s">
        <v>60</v>
      </c>
      <c r="C2869" s="6" t="s">
        <v>297</v>
      </c>
      <c r="D2869" s="6" t="s">
        <v>298</v>
      </c>
      <c r="E2869" s="6">
        <v>1.58</v>
      </c>
    </row>
    <row r="2870">
      <c r="A2870" s="3">
        <v>121911.0</v>
      </c>
      <c r="B2870" s="4" t="s">
        <v>140</v>
      </c>
      <c r="C2870" s="4" t="s">
        <v>299</v>
      </c>
      <c r="D2870" s="4" t="s">
        <v>300</v>
      </c>
      <c r="E2870" s="4">
        <v>4.2</v>
      </c>
    </row>
    <row r="2871">
      <c r="A2871" s="5">
        <v>120328.0</v>
      </c>
      <c r="B2871" s="6" t="s">
        <v>140</v>
      </c>
      <c r="C2871" s="6" t="s">
        <v>299</v>
      </c>
      <c r="D2871" s="6" t="s">
        <v>300</v>
      </c>
      <c r="E2871" s="6">
        <v>3.02</v>
      </c>
    </row>
    <row r="2872">
      <c r="A2872" s="3">
        <v>122702.0</v>
      </c>
      <c r="B2872" s="4" t="s">
        <v>140</v>
      </c>
      <c r="C2872" s="4" t="s">
        <v>299</v>
      </c>
      <c r="D2872" s="4" t="s">
        <v>300</v>
      </c>
      <c r="E2872" s="4">
        <v>2.91</v>
      </c>
    </row>
    <row r="2873">
      <c r="A2873" s="5">
        <v>92542.0</v>
      </c>
      <c r="B2873" s="6" t="s">
        <v>140</v>
      </c>
      <c r="C2873" s="6" t="s">
        <v>299</v>
      </c>
      <c r="D2873" s="6" t="s">
        <v>300</v>
      </c>
      <c r="E2873" s="6">
        <v>3.24</v>
      </c>
    </row>
    <row r="2874">
      <c r="A2874" s="3">
        <v>15423.0</v>
      </c>
      <c r="B2874" s="4" t="s">
        <v>140</v>
      </c>
      <c r="C2874" s="4" t="s">
        <v>299</v>
      </c>
      <c r="D2874" s="4" t="s">
        <v>300</v>
      </c>
      <c r="E2874" s="4">
        <v>3.87</v>
      </c>
    </row>
    <row r="2875">
      <c r="A2875" s="5">
        <v>111797.0</v>
      </c>
      <c r="B2875" s="6" t="s">
        <v>140</v>
      </c>
      <c r="C2875" s="6" t="s">
        <v>299</v>
      </c>
      <c r="D2875" s="6" t="s">
        <v>300</v>
      </c>
      <c r="E2875" s="6">
        <v>4.79</v>
      </c>
    </row>
    <row r="2876">
      <c r="A2876" s="3">
        <v>112626.0</v>
      </c>
      <c r="B2876" s="4" t="s">
        <v>140</v>
      </c>
      <c r="C2876" s="4" t="s">
        <v>299</v>
      </c>
      <c r="D2876" s="4" t="s">
        <v>300</v>
      </c>
      <c r="E2876" s="4">
        <v>3.17</v>
      </c>
    </row>
    <row r="2877">
      <c r="A2877" s="5">
        <v>12925.0</v>
      </c>
      <c r="B2877" s="6" t="s">
        <v>140</v>
      </c>
      <c r="C2877" s="6" t="s">
        <v>299</v>
      </c>
      <c r="D2877" s="6" t="s">
        <v>300</v>
      </c>
      <c r="E2877" s="6">
        <v>2.51</v>
      </c>
    </row>
    <row r="2878">
      <c r="A2878" s="3">
        <v>107034.0</v>
      </c>
      <c r="B2878" s="4" t="s">
        <v>140</v>
      </c>
      <c r="C2878" s="4" t="s">
        <v>299</v>
      </c>
      <c r="D2878" s="4" t="s">
        <v>300</v>
      </c>
      <c r="E2878" s="4">
        <v>3.16</v>
      </c>
    </row>
    <row r="2879">
      <c r="A2879" s="5">
        <v>88319.0</v>
      </c>
      <c r="B2879" s="6" t="s">
        <v>140</v>
      </c>
      <c r="C2879" s="6" t="s">
        <v>299</v>
      </c>
      <c r="D2879" s="6" t="s">
        <v>300</v>
      </c>
      <c r="E2879" s="6">
        <v>2.96</v>
      </c>
    </row>
    <row r="2880">
      <c r="A2880" s="3">
        <v>3453.0</v>
      </c>
      <c r="B2880" s="4" t="s">
        <v>140</v>
      </c>
      <c r="C2880" s="4" t="s">
        <v>299</v>
      </c>
      <c r="D2880" s="4" t="s">
        <v>300</v>
      </c>
      <c r="E2880" s="4">
        <v>1.99</v>
      </c>
    </row>
    <row r="2881">
      <c r="A2881" s="5">
        <v>121425.0</v>
      </c>
      <c r="B2881" s="6" t="s">
        <v>140</v>
      </c>
      <c r="C2881" s="6" t="s">
        <v>299</v>
      </c>
      <c r="D2881" s="6" t="s">
        <v>301</v>
      </c>
      <c r="E2881" s="6">
        <v>5.12</v>
      </c>
    </row>
    <row r="2882">
      <c r="A2882" s="3">
        <v>10561.0</v>
      </c>
      <c r="B2882" s="4" t="s">
        <v>140</v>
      </c>
      <c r="C2882" s="4" t="s">
        <v>299</v>
      </c>
      <c r="D2882" s="4" t="s">
        <v>301</v>
      </c>
      <c r="E2882" s="4">
        <v>5.44</v>
      </c>
    </row>
    <row r="2883">
      <c r="A2883" s="5">
        <v>90294.0</v>
      </c>
      <c r="B2883" s="6" t="s">
        <v>140</v>
      </c>
      <c r="C2883" s="6" t="s">
        <v>299</v>
      </c>
      <c r="D2883" s="6" t="s">
        <v>301</v>
      </c>
      <c r="E2883" s="6">
        <v>4.65</v>
      </c>
    </row>
    <row r="2884">
      <c r="A2884" s="3">
        <v>70804.0</v>
      </c>
      <c r="B2884" s="4" t="s">
        <v>140</v>
      </c>
      <c r="C2884" s="4" t="s">
        <v>299</v>
      </c>
      <c r="D2884" s="4" t="s">
        <v>301</v>
      </c>
      <c r="E2884" s="4">
        <v>8.79</v>
      </c>
    </row>
    <row r="2885">
      <c r="A2885" s="5">
        <v>81237.0</v>
      </c>
      <c r="B2885" s="6" t="s">
        <v>140</v>
      </c>
      <c r="C2885" s="6" t="s">
        <v>299</v>
      </c>
      <c r="D2885" s="6" t="s">
        <v>301</v>
      </c>
      <c r="E2885" s="6">
        <v>2.47</v>
      </c>
    </row>
    <row r="2886">
      <c r="A2886" s="3">
        <v>47564.0</v>
      </c>
      <c r="B2886" s="4" t="s">
        <v>140</v>
      </c>
      <c r="C2886" s="4" t="s">
        <v>299</v>
      </c>
      <c r="D2886" s="4" t="s">
        <v>301</v>
      </c>
      <c r="E2886" s="4">
        <v>7.77</v>
      </c>
    </row>
    <row r="2887">
      <c r="A2887" s="5">
        <v>24055.0</v>
      </c>
      <c r="B2887" s="6" t="s">
        <v>140</v>
      </c>
      <c r="C2887" s="6" t="s">
        <v>299</v>
      </c>
      <c r="D2887" s="6" t="s">
        <v>301</v>
      </c>
      <c r="E2887" s="6">
        <v>11.26</v>
      </c>
    </row>
    <row r="2888">
      <c r="A2888" s="3">
        <v>48637.0</v>
      </c>
      <c r="B2888" s="4" t="s">
        <v>140</v>
      </c>
      <c r="C2888" s="4" t="s">
        <v>299</v>
      </c>
      <c r="D2888" s="4" t="s">
        <v>302</v>
      </c>
      <c r="E2888" s="4">
        <v>8.96</v>
      </c>
    </row>
    <row r="2889">
      <c r="A2889" s="5">
        <v>3447.0</v>
      </c>
      <c r="B2889" s="6" t="s">
        <v>140</v>
      </c>
      <c r="C2889" s="6" t="s">
        <v>299</v>
      </c>
      <c r="D2889" s="6" t="s">
        <v>302</v>
      </c>
      <c r="E2889" s="6">
        <v>6.49</v>
      </c>
    </row>
    <row r="2890">
      <c r="A2890" s="3">
        <v>117921.0</v>
      </c>
      <c r="B2890" s="4" t="s">
        <v>140</v>
      </c>
      <c r="C2890" s="4" t="s">
        <v>299</v>
      </c>
      <c r="D2890" s="4" t="s">
        <v>302</v>
      </c>
      <c r="E2890" s="4">
        <v>6.7</v>
      </c>
    </row>
    <row r="2891">
      <c r="A2891" s="5">
        <v>128322.0</v>
      </c>
      <c r="B2891" s="6" t="s">
        <v>140</v>
      </c>
      <c r="C2891" s="6" t="s">
        <v>299</v>
      </c>
      <c r="D2891" s="6" t="s">
        <v>302</v>
      </c>
      <c r="E2891" s="6">
        <v>2.14</v>
      </c>
    </row>
    <row r="2892">
      <c r="A2892" s="3">
        <v>42207.0</v>
      </c>
      <c r="B2892" s="4" t="s">
        <v>140</v>
      </c>
      <c r="C2892" s="4" t="s">
        <v>299</v>
      </c>
      <c r="D2892" s="4" t="s">
        <v>302</v>
      </c>
      <c r="E2892" s="4">
        <v>4.74</v>
      </c>
    </row>
    <row r="2893">
      <c r="A2893" s="5">
        <v>108394.0</v>
      </c>
      <c r="B2893" s="6" t="s">
        <v>140</v>
      </c>
      <c r="C2893" s="6" t="s">
        <v>299</v>
      </c>
      <c r="D2893" s="6" t="s">
        <v>302</v>
      </c>
      <c r="E2893" s="6">
        <v>3.77</v>
      </c>
    </row>
    <row r="2894">
      <c r="A2894" s="3">
        <v>119967.0</v>
      </c>
      <c r="B2894" s="4" t="s">
        <v>140</v>
      </c>
      <c r="C2894" s="4" t="s">
        <v>299</v>
      </c>
      <c r="D2894" s="4" t="s">
        <v>302</v>
      </c>
      <c r="E2894" s="4">
        <v>4.46</v>
      </c>
    </row>
    <row r="2895">
      <c r="A2895" s="5">
        <v>81235.0</v>
      </c>
      <c r="B2895" s="6" t="s">
        <v>140</v>
      </c>
      <c r="C2895" s="6" t="s">
        <v>299</v>
      </c>
      <c r="D2895" s="6" t="s">
        <v>302</v>
      </c>
      <c r="E2895" s="6">
        <v>4.55</v>
      </c>
    </row>
    <row r="2896">
      <c r="A2896" s="3">
        <v>24053.0</v>
      </c>
      <c r="B2896" s="4" t="s">
        <v>140</v>
      </c>
      <c r="C2896" s="4" t="s">
        <v>299</v>
      </c>
      <c r="D2896" s="4" t="s">
        <v>302</v>
      </c>
      <c r="E2896" s="4">
        <v>9.27</v>
      </c>
    </row>
    <row r="2897">
      <c r="A2897" s="5">
        <v>116936.0</v>
      </c>
      <c r="B2897" s="6" t="s">
        <v>140</v>
      </c>
      <c r="C2897" s="6" t="s">
        <v>299</v>
      </c>
      <c r="D2897" s="6" t="s">
        <v>302</v>
      </c>
      <c r="E2897" s="6">
        <v>3.44</v>
      </c>
    </row>
    <row r="2898">
      <c r="A2898" s="3">
        <v>44268.0</v>
      </c>
      <c r="B2898" s="4" t="s">
        <v>140</v>
      </c>
      <c r="C2898" s="4" t="s">
        <v>299</v>
      </c>
      <c r="D2898" s="4" t="s">
        <v>302</v>
      </c>
      <c r="E2898" s="4">
        <v>5.08</v>
      </c>
    </row>
    <row r="2899">
      <c r="A2899" s="5">
        <v>111946.0</v>
      </c>
      <c r="B2899" s="6" t="s">
        <v>140</v>
      </c>
      <c r="C2899" s="6" t="s">
        <v>299</v>
      </c>
      <c r="D2899" s="6" t="s">
        <v>302</v>
      </c>
      <c r="E2899" s="6">
        <v>2.83</v>
      </c>
    </row>
    <row r="2900">
      <c r="A2900" s="3">
        <v>81234.0</v>
      </c>
      <c r="B2900" s="4" t="s">
        <v>140</v>
      </c>
      <c r="C2900" s="4" t="s">
        <v>299</v>
      </c>
      <c r="D2900" s="4" t="s">
        <v>302</v>
      </c>
      <c r="E2900" s="4">
        <v>2.42</v>
      </c>
    </row>
    <row r="2901">
      <c r="A2901" s="5">
        <v>24038.0</v>
      </c>
      <c r="B2901" s="6" t="s">
        <v>140</v>
      </c>
      <c r="C2901" s="6" t="s">
        <v>299</v>
      </c>
      <c r="D2901" s="6" t="s">
        <v>302</v>
      </c>
      <c r="E2901" s="6">
        <v>9.76</v>
      </c>
    </row>
    <row r="2902">
      <c r="A2902" s="3">
        <v>44882.0</v>
      </c>
      <c r="B2902" s="4" t="s">
        <v>140</v>
      </c>
      <c r="C2902" s="4" t="s">
        <v>299</v>
      </c>
      <c r="D2902" s="4" t="s">
        <v>303</v>
      </c>
      <c r="E2902" s="4">
        <v>5.25</v>
      </c>
    </row>
    <row r="2903">
      <c r="A2903" s="5">
        <v>44266.0</v>
      </c>
      <c r="B2903" s="6" t="s">
        <v>140</v>
      </c>
      <c r="C2903" s="6" t="s">
        <v>299</v>
      </c>
      <c r="D2903" s="6" t="s">
        <v>303</v>
      </c>
      <c r="E2903" s="6">
        <v>5.08</v>
      </c>
    </row>
    <row r="2904">
      <c r="A2904" s="3">
        <v>3452.0</v>
      </c>
      <c r="B2904" s="4" t="s">
        <v>140</v>
      </c>
      <c r="C2904" s="4" t="s">
        <v>299</v>
      </c>
      <c r="D2904" s="4" t="s">
        <v>303</v>
      </c>
      <c r="E2904" s="4">
        <v>2.09</v>
      </c>
    </row>
    <row r="2905">
      <c r="A2905" s="5">
        <v>118569.0</v>
      </c>
      <c r="B2905" s="6" t="s">
        <v>140</v>
      </c>
      <c r="C2905" s="6" t="s">
        <v>299</v>
      </c>
      <c r="D2905" s="6" t="s">
        <v>303</v>
      </c>
      <c r="E2905" s="6">
        <v>4.16</v>
      </c>
    </row>
    <row r="2906">
      <c r="A2906" s="3">
        <v>84378.0</v>
      </c>
      <c r="B2906" s="4" t="s">
        <v>140</v>
      </c>
      <c r="C2906" s="4" t="s">
        <v>299</v>
      </c>
      <c r="D2906" s="4" t="s">
        <v>304</v>
      </c>
      <c r="E2906" s="4">
        <v>2.28</v>
      </c>
    </row>
    <row r="2907">
      <c r="A2907" s="5">
        <v>112731.0</v>
      </c>
      <c r="B2907" s="6" t="s">
        <v>140</v>
      </c>
      <c r="C2907" s="6" t="s">
        <v>299</v>
      </c>
      <c r="D2907" s="6" t="s">
        <v>304</v>
      </c>
      <c r="E2907" s="6">
        <v>4.09</v>
      </c>
    </row>
    <row r="2908">
      <c r="A2908" s="3">
        <v>166201.0</v>
      </c>
      <c r="B2908" s="4" t="s">
        <v>73</v>
      </c>
      <c r="C2908" s="4" t="s">
        <v>305</v>
      </c>
      <c r="D2908" s="4" t="s">
        <v>306</v>
      </c>
      <c r="E2908" s="4">
        <v>3.31</v>
      </c>
    </row>
    <row r="2909">
      <c r="A2909" s="5">
        <v>48495.0</v>
      </c>
      <c r="B2909" s="6" t="s">
        <v>73</v>
      </c>
      <c r="C2909" s="6" t="s">
        <v>305</v>
      </c>
      <c r="D2909" s="6" t="s">
        <v>306</v>
      </c>
      <c r="E2909" s="6">
        <v>7.24</v>
      </c>
    </row>
    <row r="2910">
      <c r="A2910" s="3">
        <v>10383.0</v>
      </c>
      <c r="B2910" s="4" t="s">
        <v>73</v>
      </c>
      <c r="C2910" s="4" t="s">
        <v>305</v>
      </c>
      <c r="D2910" s="4" t="s">
        <v>306</v>
      </c>
      <c r="E2910" s="4">
        <v>7.25</v>
      </c>
    </row>
    <row r="2911">
      <c r="A2911" s="5">
        <v>116284.0</v>
      </c>
      <c r="B2911" s="6" t="s">
        <v>73</v>
      </c>
      <c r="C2911" s="6" t="s">
        <v>305</v>
      </c>
      <c r="D2911" s="6" t="s">
        <v>306</v>
      </c>
      <c r="E2911" s="6">
        <v>3.56</v>
      </c>
    </row>
    <row r="2912">
      <c r="A2912" s="3">
        <v>86543.0</v>
      </c>
      <c r="B2912" s="4" t="s">
        <v>73</v>
      </c>
      <c r="C2912" s="4" t="s">
        <v>305</v>
      </c>
      <c r="D2912" s="4" t="s">
        <v>306</v>
      </c>
      <c r="E2912" s="4">
        <v>3.91</v>
      </c>
    </row>
    <row r="2913">
      <c r="A2913" s="5">
        <v>21165.0</v>
      </c>
      <c r="B2913" s="6" t="s">
        <v>73</v>
      </c>
      <c r="C2913" s="6" t="s">
        <v>305</v>
      </c>
      <c r="D2913" s="6" t="s">
        <v>306</v>
      </c>
      <c r="E2913" s="6">
        <v>6.45</v>
      </c>
    </row>
    <row r="2914">
      <c r="A2914" s="3">
        <v>10309.0</v>
      </c>
      <c r="B2914" s="4" t="s">
        <v>73</v>
      </c>
      <c r="C2914" s="4" t="s">
        <v>305</v>
      </c>
      <c r="D2914" s="4" t="s">
        <v>306</v>
      </c>
      <c r="E2914" s="4">
        <v>2.33</v>
      </c>
    </row>
    <row r="2915">
      <c r="A2915" s="5">
        <v>10367.0</v>
      </c>
      <c r="B2915" s="6" t="s">
        <v>73</v>
      </c>
      <c r="C2915" s="6" t="s">
        <v>305</v>
      </c>
      <c r="D2915" s="6" t="s">
        <v>306</v>
      </c>
      <c r="E2915" s="6">
        <v>4.09</v>
      </c>
    </row>
    <row r="2916">
      <c r="A2916" s="3">
        <v>86545.0</v>
      </c>
      <c r="B2916" s="4" t="s">
        <v>73</v>
      </c>
      <c r="C2916" s="4" t="s">
        <v>305</v>
      </c>
      <c r="D2916" s="4" t="s">
        <v>306</v>
      </c>
      <c r="E2916" s="4">
        <v>5.42</v>
      </c>
    </row>
    <row r="2917">
      <c r="A2917" s="5">
        <v>86544.0</v>
      </c>
      <c r="B2917" s="6" t="s">
        <v>73</v>
      </c>
      <c r="C2917" s="6" t="s">
        <v>305</v>
      </c>
      <c r="D2917" s="6" t="s">
        <v>306</v>
      </c>
      <c r="E2917" s="6">
        <v>5.97</v>
      </c>
    </row>
    <row r="2918">
      <c r="A2918" s="3">
        <v>10384.0</v>
      </c>
      <c r="B2918" s="4" t="s">
        <v>73</v>
      </c>
      <c r="C2918" s="4" t="s">
        <v>305</v>
      </c>
      <c r="D2918" s="4" t="s">
        <v>306</v>
      </c>
      <c r="E2918" s="4">
        <v>6.98</v>
      </c>
    </row>
    <row r="2919">
      <c r="A2919" s="5">
        <v>79314.0</v>
      </c>
      <c r="B2919" s="6" t="s">
        <v>73</v>
      </c>
      <c r="C2919" s="6" t="s">
        <v>305</v>
      </c>
      <c r="D2919" s="6" t="s">
        <v>307</v>
      </c>
      <c r="E2919" s="6">
        <v>4.76</v>
      </c>
    </row>
    <row r="2920">
      <c r="A2920" s="3">
        <v>79311.0</v>
      </c>
      <c r="B2920" s="4" t="s">
        <v>73</v>
      </c>
      <c r="C2920" s="4" t="s">
        <v>305</v>
      </c>
      <c r="D2920" s="4" t="s">
        <v>307</v>
      </c>
      <c r="E2920" s="4">
        <v>4.76</v>
      </c>
    </row>
    <row r="2921">
      <c r="A2921" s="5">
        <v>118249.0</v>
      </c>
      <c r="B2921" s="6" t="s">
        <v>73</v>
      </c>
      <c r="C2921" s="6" t="s">
        <v>305</v>
      </c>
      <c r="D2921" s="6" t="s">
        <v>307</v>
      </c>
      <c r="E2921" s="6">
        <v>2.89</v>
      </c>
    </row>
    <row r="2922">
      <c r="A2922" s="3">
        <v>128420.0</v>
      </c>
      <c r="B2922" s="4" t="s">
        <v>73</v>
      </c>
      <c r="C2922" s="4" t="s">
        <v>305</v>
      </c>
      <c r="D2922" s="4" t="s">
        <v>307</v>
      </c>
      <c r="E2922" s="4">
        <v>4.63</v>
      </c>
    </row>
    <row r="2923">
      <c r="A2923" s="5">
        <v>120692.0</v>
      </c>
      <c r="B2923" s="6" t="s">
        <v>73</v>
      </c>
      <c r="C2923" s="6" t="s">
        <v>305</v>
      </c>
      <c r="D2923" s="6" t="s">
        <v>307</v>
      </c>
      <c r="E2923" s="6">
        <v>4.75</v>
      </c>
    </row>
    <row r="2924">
      <c r="A2924" s="3">
        <v>122464.0</v>
      </c>
      <c r="B2924" s="4" t="s">
        <v>73</v>
      </c>
      <c r="C2924" s="4" t="s">
        <v>305</v>
      </c>
      <c r="D2924" s="4" t="s">
        <v>307</v>
      </c>
      <c r="E2924" s="4">
        <v>9.92</v>
      </c>
    </row>
    <row r="2925">
      <c r="A2925" s="5">
        <v>79762.0</v>
      </c>
      <c r="B2925" s="6" t="s">
        <v>73</v>
      </c>
      <c r="C2925" s="6" t="s">
        <v>305</v>
      </c>
      <c r="D2925" s="6" t="s">
        <v>307</v>
      </c>
      <c r="E2925" s="6">
        <v>7.58</v>
      </c>
    </row>
    <row r="2926">
      <c r="A2926" s="3">
        <v>79315.0</v>
      </c>
      <c r="B2926" s="4" t="s">
        <v>73</v>
      </c>
      <c r="C2926" s="4" t="s">
        <v>305</v>
      </c>
      <c r="D2926" s="4" t="s">
        <v>307</v>
      </c>
      <c r="E2926" s="4">
        <v>5.11</v>
      </c>
    </row>
    <row r="2927">
      <c r="A2927" s="5">
        <v>98941.0</v>
      </c>
      <c r="B2927" s="6" t="s">
        <v>73</v>
      </c>
      <c r="C2927" s="6" t="s">
        <v>305</v>
      </c>
      <c r="D2927" s="6" t="s">
        <v>307</v>
      </c>
      <c r="E2927" s="6">
        <v>6.91</v>
      </c>
    </row>
    <row r="2928">
      <c r="A2928" s="3">
        <v>118245.0</v>
      </c>
      <c r="B2928" s="4" t="s">
        <v>73</v>
      </c>
      <c r="C2928" s="4" t="s">
        <v>305</v>
      </c>
      <c r="D2928" s="4" t="s">
        <v>307</v>
      </c>
      <c r="E2928" s="4">
        <v>2.89</v>
      </c>
    </row>
    <row r="2929">
      <c r="A2929" s="5">
        <v>122333.0</v>
      </c>
      <c r="B2929" s="6" t="s">
        <v>73</v>
      </c>
      <c r="C2929" s="6" t="s">
        <v>305</v>
      </c>
      <c r="D2929" s="6" t="s">
        <v>307</v>
      </c>
      <c r="E2929" s="6">
        <v>9.14</v>
      </c>
    </row>
    <row r="2930">
      <c r="A2930" s="3">
        <v>121901.0</v>
      </c>
      <c r="B2930" s="4" t="s">
        <v>73</v>
      </c>
      <c r="C2930" s="4" t="s">
        <v>305</v>
      </c>
      <c r="D2930" s="4" t="s">
        <v>307</v>
      </c>
      <c r="E2930" s="4">
        <v>7.11</v>
      </c>
    </row>
    <row r="2931">
      <c r="A2931" s="5">
        <v>79316.0</v>
      </c>
      <c r="B2931" s="6" t="s">
        <v>73</v>
      </c>
      <c r="C2931" s="6" t="s">
        <v>305</v>
      </c>
      <c r="D2931" s="6" t="s">
        <v>307</v>
      </c>
      <c r="E2931" s="6">
        <v>5.87</v>
      </c>
    </row>
    <row r="2932">
      <c r="A2932" s="3">
        <v>109899.0</v>
      </c>
      <c r="B2932" s="4" t="s">
        <v>73</v>
      </c>
      <c r="C2932" s="4" t="s">
        <v>305</v>
      </c>
      <c r="D2932" s="4" t="s">
        <v>307</v>
      </c>
      <c r="E2932" s="4">
        <v>3.58</v>
      </c>
    </row>
    <row r="2933">
      <c r="A2933" s="5">
        <v>70570.0</v>
      </c>
      <c r="B2933" s="6" t="s">
        <v>73</v>
      </c>
      <c r="C2933" s="6" t="s">
        <v>305</v>
      </c>
      <c r="D2933" s="6" t="s">
        <v>307</v>
      </c>
      <c r="E2933" s="6">
        <v>5.86</v>
      </c>
    </row>
    <row r="2934">
      <c r="A2934" s="3">
        <v>79364.0</v>
      </c>
      <c r="B2934" s="4" t="s">
        <v>73</v>
      </c>
      <c r="C2934" s="4" t="s">
        <v>305</v>
      </c>
      <c r="D2934" s="4" t="s">
        <v>307</v>
      </c>
      <c r="E2934" s="4">
        <v>5.92</v>
      </c>
    </row>
    <row r="2935">
      <c r="A2935" s="5">
        <v>113103.0</v>
      </c>
      <c r="B2935" s="6" t="s">
        <v>73</v>
      </c>
      <c r="C2935" s="6" t="s">
        <v>305</v>
      </c>
      <c r="D2935" s="6" t="s">
        <v>307</v>
      </c>
      <c r="E2935" s="6">
        <v>7.6</v>
      </c>
    </row>
    <row r="2936">
      <c r="A2936" s="3">
        <v>200581.0</v>
      </c>
      <c r="B2936" s="4" t="s">
        <v>73</v>
      </c>
      <c r="C2936" s="4" t="s">
        <v>305</v>
      </c>
      <c r="D2936" s="4" t="s">
        <v>307</v>
      </c>
      <c r="E2936" s="4">
        <v>4.34</v>
      </c>
    </row>
    <row r="2937">
      <c r="A2937" s="5">
        <v>91490.0</v>
      </c>
      <c r="B2937" s="6" t="s">
        <v>73</v>
      </c>
      <c r="C2937" s="6" t="s">
        <v>305</v>
      </c>
      <c r="D2937" s="6" t="s">
        <v>307</v>
      </c>
      <c r="E2937" s="6">
        <v>4.05</v>
      </c>
    </row>
    <row r="2938">
      <c r="A2938" s="3">
        <v>79320.0</v>
      </c>
      <c r="B2938" s="4" t="s">
        <v>73</v>
      </c>
      <c r="C2938" s="4" t="s">
        <v>305</v>
      </c>
      <c r="D2938" s="4" t="s">
        <v>307</v>
      </c>
      <c r="E2938" s="4">
        <v>5.92</v>
      </c>
    </row>
    <row r="2939">
      <c r="A2939" s="5">
        <v>122331.0</v>
      </c>
      <c r="B2939" s="6" t="s">
        <v>73</v>
      </c>
      <c r="C2939" s="6" t="s">
        <v>305</v>
      </c>
      <c r="D2939" s="6" t="s">
        <v>307</v>
      </c>
      <c r="E2939" s="6">
        <v>9.14</v>
      </c>
    </row>
    <row r="2940">
      <c r="A2940" s="3">
        <v>79921.0</v>
      </c>
      <c r="B2940" s="4" t="s">
        <v>73</v>
      </c>
      <c r="C2940" s="4" t="s">
        <v>305</v>
      </c>
      <c r="D2940" s="4" t="s">
        <v>307</v>
      </c>
      <c r="E2940" s="4">
        <v>6.99</v>
      </c>
    </row>
    <row r="2941">
      <c r="A2941" s="5">
        <v>128421.0</v>
      </c>
      <c r="B2941" s="6" t="s">
        <v>73</v>
      </c>
      <c r="C2941" s="6" t="s">
        <v>305</v>
      </c>
      <c r="D2941" s="6" t="s">
        <v>307</v>
      </c>
      <c r="E2941" s="6">
        <v>9.54</v>
      </c>
    </row>
    <row r="2942">
      <c r="A2942" s="3">
        <v>80421.0</v>
      </c>
      <c r="B2942" s="4" t="s">
        <v>73</v>
      </c>
      <c r="C2942" s="4" t="s">
        <v>305</v>
      </c>
      <c r="D2942" s="4" t="s">
        <v>307</v>
      </c>
      <c r="E2942" s="4">
        <v>5.76</v>
      </c>
    </row>
    <row r="2943">
      <c r="A2943" s="5">
        <v>121867.0</v>
      </c>
      <c r="B2943" s="6" t="s">
        <v>73</v>
      </c>
      <c r="C2943" s="6" t="s">
        <v>305</v>
      </c>
      <c r="D2943" s="6" t="s">
        <v>307</v>
      </c>
      <c r="E2943" s="6">
        <v>3.81</v>
      </c>
    </row>
    <row r="2944">
      <c r="A2944" s="3">
        <v>122501.0</v>
      </c>
      <c r="B2944" s="4" t="s">
        <v>73</v>
      </c>
      <c r="C2944" s="4" t="s">
        <v>305</v>
      </c>
      <c r="D2944" s="4" t="s">
        <v>307</v>
      </c>
      <c r="E2944" s="4">
        <v>3.63</v>
      </c>
    </row>
    <row r="2945">
      <c r="A2945" s="5">
        <v>44531.0</v>
      </c>
      <c r="B2945" s="6" t="s">
        <v>73</v>
      </c>
      <c r="C2945" s="6" t="s">
        <v>305</v>
      </c>
      <c r="D2945" s="6" t="s">
        <v>307</v>
      </c>
      <c r="E2945" s="6">
        <v>6.99</v>
      </c>
    </row>
    <row r="2946">
      <c r="A2946" s="3">
        <v>118153.0</v>
      </c>
      <c r="B2946" s="4" t="s">
        <v>73</v>
      </c>
      <c r="C2946" s="4" t="s">
        <v>305</v>
      </c>
      <c r="D2946" s="4" t="s">
        <v>307</v>
      </c>
      <c r="E2946" s="4">
        <v>4.71</v>
      </c>
    </row>
    <row r="2947">
      <c r="A2947" s="5">
        <v>118244.0</v>
      </c>
      <c r="B2947" s="6" t="s">
        <v>73</v>
      </c>
      <c r="C2947" s="6" t="s">
        <v>305</v>
      </c>
      <c r="D2947" s="6" t="s">
        <v>307</v>
      </c>
      <c r="E2947" s="6">
        <v>2.89</v>
      </c>
    </row>
    <row r="2948">
      <c r="A2948" s="3">
        <v>46974.0</v>
      </c>
      <c r="B2948" s="4" t="s">
        <v>73</v>
      </c>
      <c r="C2948" s="4" t="s">
        <v>305</v>
      </c>
      <c r="D2948" s="4" t="s">
        <v>307</v>
      </c>
      <c r="E2948" s="4">
        <v>5.17</v>
      </c>
    </row>
    <row r="2949">
      <c r="A2949" s="5">
        <v>69232.0</v>
      </c>
      <c r="B2949" s="6" t="s">
        <v>73</v>
      </c>
      <c r="C2949" s="6" t="s">
        <v>305</v>
      </c>
      <c r="D2949" s="6" t="s">
        <v>307</v>
      </c>
      <c r="E2949" s="6">
        <v>4.61</v>
      </c>
    </row>
    <row r="2950">
      <c r="A2950" s="3">
        <v>117461.0</v>
      </c>
      <c r="B2950" s="4" t="s">
        <v>73</v>
      </c>
      <c r="C2950" s="4" t="s">
        <v>305</v>
      </c>
      <c r="D2950" s="4" t="s">
        <v>307</v>
      </c>
      <c r="E2950" s="4">
        <v>6.23</v>
      </c>
    </row>
    <row r="2951">
      <c r="A2951" s="5">
        <v>122324.0</v>
      </c>
      <c r="B2951" s="6" t="s">
        <v>73</v>
      </c>
      <c r="C2951" s="6" t="s">
        <v>305</v>
      </c>
      <c r="D2951" s="6" t="s">
        <v>307</v>
      </c>
      <c r="E2951" s="6">
        <v>5.53</v>
      </c>
    </row>
    <row r="2952">
      <c r="A2952" s="3">
        <v>119023.0</v>
      </c>
      <c r="B2952" s="4" t="s">
        <v>73</v>
      </c>
      <c r="C2952" s="4" t="s">
        <v>305</v>
      </c>
      <c r="D2952" s="4" t="s">
        <v>307</v>
      </c>
      <c r="E2952" s="4">
        <v>8.44</v>
      </c>
    </row>
    <row r="2953">
      <c r="A2953" s="5">
        <v>70600.0</v>
      </c>
      <c r="B2953" s="6" t="s">
        <v>73</v>
      </c>
      <c r="C2953" s="6" t="s">
        <v>305</v>
      </c>
      <c r="D2953" s="6" t="s">
        <v>307</v>
      </c>
      <c r="E2953" s="6">
        <v>8.73</v>
      </c>
    </row>
    <row r="2954">
      <c r="A2954" s="3">
        <v>10689.0</v>
      </c>
      <c r="B2954" s="4" t="s">
        <v>73</v>
      </c>
      <c r="C2954" s="4" t="s">
        <v>305</v>
      </c>
      <c r="D2954" s="4" t="s">
        <v>307</v>
      </c>
      <c r="E2954" s="4">
        <v>5.06</v>
      </c>
    </row>
    <row r="2955">
      <c r="A2955" s="5">
        <v>158427.0</v>
      </c>
      <c r="B2955" s="6" t="s">
        <v>73</v>
      </c>
      <c r="C2955" s="6" t="s">
        <v>305</v>
      </c>
      <c r="D2955" s="6" t="s">
        <v>307</v>
      </c>
      <c r="E2955" s="6">
        <v>4.08</v>
      </c>
    </row>
    <row r="2956">
      <c r="A2956" s="3">
        <v>122462.0</v>
      </c>
      <c r="B2956" s="4" t="s">
        <v>73</v>
      </c>
      <c r="C2956" s="4" t="s">
        <v>305</v>
      </c>
      <c r="D2956" s="4" t="s">
        <v>307</v>
      </c>
      <c r="E2956" s="4">
        <v>9.92</v>
      </c>
    </row>
    <row r="2957">
      <c r="A2957" s="5">
        <v>155951.0</v>
      </c>
      <c r="B2957" s="6" t="s">
        <v>73</v>
      </c>
      <c r="C2957" s="6" t="s">
        <v>305</v>
      </c>
      <c r="D2957" s="6" t="s">
        <v>307</v>
      </c>
      <c r="E2957" s="6">
        <v>6.11</v>
      </c>
    </row>
    <row r="2958">
      <c r="A2958" s="3">
        <v>79338.0</v>
      </c>
      <c r="B2958" s="4" t="s">
        <v>73</v>
      </c>
      <c r="C2958" s="4" t="s">
        <v>305</v>
      </c>
      <c r="D2958" s="4" t="s">
        <v>307</v>
      </c>
      <c r="E2958" s="4">
        <v>5.92</v>
      </c>
    </row>
    <row r="2959">
      <c r="A2959" s="5">
        <v>79919.0</v>
      </c>
      <c r="B2959" s="6" t="s">
        <v>73</v>
      </c>
      <c r="C2959" s="6" t="s">
        <v>305</v>
      </c>
      <c r="D2959" s="6" t="s">
        <v>307</v>
      </c>
      <c r="E2959" s="6">
        <v>4.98</v>
      </c>
    </row>
    <row r="2960">
      <c r="A2960" s="3">
        <v>117057.0</v>
      </c>
      <c r="B2960" s="4" t="s">
        <v>73</v>
      </c>
      <c r="C2960" s="4" t="s">
        <v>305</v>
      </c>
      <c r="D2960" s="4" t="s">
        <v>307</v>
      </c>
      <c r="E2960" s="4">
        <v>8.02</v>
      </c>
    </row>
    <row r="2961">
      <c r="A2961" s="5">
        <v>122334.0</v>
      </c>
      <c r="B2961" s="6" t="s">
        <v>73</v>
      </c>
      <c r="C2961" s="6" t="s">
        <v>305</v>
      </c>
      <c r="D2961" s="6" t="s">
        <v>307</v>
      </c>
      <c r="E2961" s="6">
        <v>9.14</v>
      </c>
    </row>
    <row r="2962">
      <c r="A2962" s="3">
        <v>122648.0</v>
      </c>
      <c r="B2962" s="4" t="s">
        <v>73</v>
      </c>
      <c r="C2962" s="4" t="s">
        <v>305</v>
      </c>
      <c r="D2962" s="4" t="s">
        <v>307</v>
      </c>
      <c r="E2962" s="4">
        <v>4.18</v>
      </c>
    </row>
    <row r="2963">
      <c r="A2963" s="5">
        <v>128418.0</v>
      </c>
      <c r="B2963" s="6" t="s">
        <v>73</v>
      </c>
      <c r="C2963" s="6" t="s">
        <v>305</v>
      </c>
      <c r="D2963" s="6" t="s">
        <v>307</v>
      </c>
      <c r="E2963" s="6">
        <v>4.63</v>
      </c>
    </row>
    <row r="2964">
      <c r="A2964" s="3">
        <v>109883.0</v>
      </c>
      <c r="B2964" s="4" t="s">
        <v>73</v>
      </c>
      <c r="C2964" s="4" t="s">
        <v>305</v>
      </c>
      <c r="D2964" s="4" t="s">
        <v>307</v>
      </c>
      <c r="E2964" s="4">
        <v>3.58</v>
      </c>
    </row>
    <row r="2965">
      <c r="A2965" s="5">
        <v>119027.0</v>
      </c>
      <c r="B2965" s="6" t="s">
        <v>73</v>
      </c>
      <c r="C2965" s="6" t="s">
        <v>305</v>
      </c>
      <c r="D2965" s="6" t="s">
        <v>307</v>
      </c>
      <c r="E2965" s="6">
        <v>6.21</v>
      </c>
    </row>
    <row r="2966">
      <c r="A2966" s="3">
        <v>30522.0</v>
      </c>
      <c r="B2966" s="4" t="s">
        <v>73</v>
      </c>
      <c r="C2966" s="4" t="s">
        <v>305</v>
      </c>
      <c r="D2966" s="4" t="s">
        <v>307</v>
      </c>
      <c r="E2966" s="4">
        <v>5.76</v>
      </c>
    </row>
    <row r="2967">
      <c r="A2967" s="5">
        <v>118155.0</v>
      </c>
      <c r="B2967" s="6" t="s">
        <v>73</v>
      </c>
      <c r="C2967" s="6" t="s">
        <v>305</v>
      </c>
      <c r="D2967" s="6" t="s">
        <v>307</v>
      </c>
      <c r="E2967" s="6">
        <v>4.23</v>
      </c>
    </row>
    <row r="2968">
      <c r="A2968" s="3">
        <v>188068.0</v>
      </c>
      <c r="B2968" s="4" t="s">
        <v>73</v>
      </c>
      <c r="C2968" s="4" t="s">
        <v>305</v>
      </c>
      <c r="D2968" s="4" t="s">
        <v>307</v>
      </c>
      <c r="E2968" s="4">
        <v>3.58</v>
      </c>
    </row>
    <row r="2969">
      <c r="A2969" s="5">
        <v>92613.0</v>
      </c>
      <c r="B2969" s="6" t="s">
        <v>73</v>
      </c>
      <c r="C2969" s="6" t="s">
        <v>305</v>
      </c>
      <c r="D2969" s="6" t="s">
        <v>307</v>
      </c>
      <c r="E2969" s="6">
        <v>3.58</v>
      </c>
    </row>
    <row r="2970">
      <c r="A2970" s="3">
        <v>69234.0</v>
      </c>
      <c r="B2970" s="4" t="s">
        <v>73</v>
      </c>
      <c r="C2970" s="4" t="s">
        <v>305</v>
      </c>
      <c r="D2970" s="4" t="s">
        <v>307</v>
      </c>
      <c r="E2970" s="4">
        <v>5.07</v>
      </c>
    </row>
    <row r="2971">
      <c r="A2971" s="5">
        <v>109938.0</v>
      </c>
      <c r="B2971" s="6" t="s">
        <v>73</v>
      </c>
      <c r="C2971" s="6" t="s">
        <v>305</v>
      </c>
      <c r="D2971" s="6" t="s">
        <v>307</v>
      </c>
      <c r="E2971" s="6">
        <v>4.89</v>
      </c>
    </row>
    <row r="2972">
      <c r="A2972" s="3">
        <v>120307.0</v>
      </c>
      <c r="B2972" s="4" t="s">
        <v>73</v>
      </c>
      <c r="C2972" s="4" t="s">
        <v>305</v>
      </c>
      <c r="D2972" s="4" t="s">
        <v>307</v>
      </c>
      <c r="E2972" s="4">
        <v>4.08</v>
      </c>
    </row>
    <row r="2973">
      <c r="A2973" s="5">
        <v>118906.0</v>
      </c>
      <c r="B2973" s="6" t="s">
        <v>73</v>
      </c>
      <c r="C2973" s="6" t="s">
        <v>305</v>
      </c>
      <c r="D2973" s="6" t="s">
        <v>307</v>
      </c>
      <c r="E2973" s="6">
        <v>4.9</v>
      </c>
    </row>
    <row r="2974">
      <c r="A2974" s="3">
        <v>128309.0</v>
      </c>
      <c r="B2974" s="4" t="s">
        <v>73</v>
      </c>
      <c r="C2974" s="4" t="s">
        <v>305</v>
      </c>
      <c r="D2974" s="4" t="s">
        <v>308</v>
      </c>
      <c r="E2974" s="4">
        <v>2.76</v>
      </c>
    </row>
    <row r="2975">
      <c r="A2975" s="5">
        <v>1986.0</v>
      </c>
      <c r="B2975" s="6" t="s">
        <v>73</v>
      </c>
      <c r="C2975" s="6" t="s">
        <v>305</v>
      </c>
      <c r="D2975" s="6" t="s">
        <v>308</v>
      </c>
      <c r="E2975" s="6">
        <v>5.74</v>
      </c>
    </row>
    <row r="2976">
      <c r="A2976" s="3">
        <v>117749.0</v>
      </c>
      <c r="B2976" s="4" t="s">
        <v>73</v>
      </c>
      <c r="C2976" s="4" t="s">
        <v>305</v>
      </c>
      <c r="D2976" s="4" t="s">
        <v>308</v>
      </c>
      <c r="E2976" s="4">
        <v>12.15</v>
      </c>
    </row>
    <row r="2977">
      <c r="A2977" s="5">
        <v>117748.0</v>
      </c>
      <c r="B2977" s="6" t="s">
        <v>73</v>
      </c>
      <c r="C2977" s="6" t="s">
        <v>305</v>
      </c>
      <c r="D2977" s="6" t="s">
        <v>308</v>
      </c>
      <c r="E2977" s="6">
        <v>9.35</v>
      </c>
    </row>
    <row r="2978">
      <c r="A2978" s="3">
        <v>1962.0</v>
      </c>
      <c r="B2978" s="4" t="s">
        <v>73</v>
      </c>
      <c r="C2978" s="4" t="s">
        <v>305</v>
      </c>
      <c r="D2978" s="4" t="s">
        <v>308</v>
      </c>
      <c r="E2978" s="4">
        <v>3.56</v>
      </c>
    </row>
    <row r="2979">
      <c r="A2979" s="5">
        <v>109994.0</v>
      </c>
      <c r="B2979" s="6" t="s">
        <v>73</v>
      </c>
      <c r="C2979" s="6" t="s">
        <v>305</v>
      </c>
      <c r="D2979" s="6" t="s">
        <v>308</v>
      </c>
      <c r="E2979" s="6">
        <v>3.74</v>
      </c>
    </row>
    <row r="2980">
      <c r="A2980" s="3">
        <v>69364.0</v>
      </c>
      <c r="B2980" s="4" t="s">
        <v>73</v>
      </c>
      <c r="C2980" s="4" t="s">
        <v>305</v>
      </c>
      <c r="D2980" s="4" t="s">
        <v>308</v>
      </c>
      <c r="E2980" s="4">
        <v>5.1</v>
      </c>
    </row>
    <row r="2981">
      <c r="A2981" s="5">
        <v>69365.0</v>
      </c>
      <c r="B2981" s="6" t="s">
        <v>73</v>
      </c>
      <c r="C2981" s="6" t="s">
        <v>305</v>
      </c>
      <c r="D2981" s="6" t="s">
        <v>308</v>
      </c>
      <c r="E2981" s="6">
        <v>2.82</v>
      </c>
    </row>
    <row r="2982">
      <c r="A2982" s="3">
        <v>46990.0</v>
      </c>
      <c r="B2982" s="4" t="s">
        <v>73</v>
      </c>
      <c r="C2982" s="4" t="s">
        <v>305</v>
      </c>
      <c r="D2982" s="4" t="s">
        <v>308</v>
      </c>
      <c r="E2982" s="4">
        <v>3.55</v>
      </c>
    </row>
    <row r="2983">
      <c r="A2983" s="5">
        <v>11428.0</v>
      </c>
      <c r="B2983" s="6" t="s">
        <v>73</v>
      </c>
      <c r="C2983" s="6" t="s">
        <v>305</v>
      </c>
      <c r="D2983" s="6" t="s">
        <v>308</v>
      </c>
      <c r="E2983" s="6">
        <v>7.61</v>
      </c>
    </row>
    <row r="2984">
      <c r="A2984" s="3">
        <v>122318.0</v>
      </c>
      <c r="B2984" s="4" t="s">
        <v>73</v>
      </c>
      <c r="C2984" s="4" t="s">
        <v>305</v>
      </c>
      <c r="D2984" s="4" t="s">
        <v>308</v>
      </c>
      <c r="E2984" s="4">
        <v>4.46</v>
      </c>
    </row>
    <row r="2985">
      <c r="A2985" s="5">
        <v>182194.0</v>
      </c>
      <c r="B2985" s="6" t="s">
        <v>73</v>
      </c>
      <c r="C2985" s="6" t="s">
        <v>305</v>
      </c>
      <c r="D2985" s="6" t="s">
        <v>308</v>
      </c>
      <c r="E2985" s="6">
        <v>3.49</v>
      </c>
    </row>
    <row r="2986">
      <c r="A2986" s="3">
        <v>147256.0</v>
      </c>
      <c r="B2986" s="4" t="s">
        <v>73</v>
      </c>
      <c r="C2986" s="4" t="s">
        <v>305</v>
      </c>
      <c r="D2986" s="4" t="s">
        <v>308</v>
      </c>
      <c r="E2986" s="4">
        <v>3.49</v>
      </c>
    </row>
    <row r="2987">
      <c r="A2987" s="5">
        <v>5079.0</v>
      </c>
      <c r="B2987" s="6" t="s">
        <v>73</v>
      </c>
      <c r="C2987" s="6" t="s">
        <v>305</v>
      </c>
      <c r="D2987" s="6" t="s">
        <v>308</v>
      </c>
      <c r="E2987" s="6">
        <v>6.43</v>
      </c>
    </row>
    <row r="2988">
      <c r="A2988" s="3">
        <v>92621.0</v>
      </c>
      <c r="B2988" s="4" t="s">
        <v>73</v>
      </c>
      <c r="C2988" s="4" t="s">
        <v>305</v>
      </c>
      <c r="D2988" s="4" t="s">
        <v>308</v>
      </c>
      <c r="E2988" s="4">
        <v>6.3</v>
      </c>
    </row>
    <row r="2989">
      <c r="A2989" s="5">
        <v>11003.0</v>
      </c>
      <c r="B2989" s="6" t="s">
        <v>73</v>
      </c>
      <c r="C2989" s="6" t="s">
        <v>305</v>
      </c>
      <c r="D2989" s="6" t="s">
        <v>308</v>
      </c>
      <c r="E2989" s="6">
        <v>3.05</v>
      </c>
    </row>
    <row r="2990">
      <c r="A2990" s="3">
        <v>117560.0</v>
      </c>
      <c r="B2990" s="4" t="s">
        <v>73</v>
      </c>
      <c r="C2990" s="4" t="s">
        <v>305</v>
      </c>
      <c r="D2990" s="4" t="s">
        <v>308</v>
      </c>
      <c r="E2990" s="4">
        <v>2.88</v>
      </c>
    </row>
    <row r="2991">
      <c r="A2991" s="5">
        <v>188368.0</v>
      </c>
      <c r="B2991" s="6" t="s">
        <v>73</v>
      </c>
      <c r="C2991" s="6" t="s">
        <v>305</v>
      </c>
      <c r="D2991" s="6" t="s">
        <v>308</v>
      </c>
      <c r="E2991" s="6">
        <v>4.15</v>
      </c>
    </row>
    <row r="2992">
      <c r="A2992" s="3">
        <v>124765.0</v>
      </c>
      <c r="B2992" s="4" t="s">
        <v>73</v>
      </c>
      <c r="C2992" s="4" t="s">
        <v>305</v>
      </c>
      <c r="D2992" s="4" t="s">
        <v>308</v>
      </c>
      <c r="E2992" s="4">
        <v>9.54</v>
      </c>
    </row>
    <row r="2993">
      <c r="A2993" s="5">
        <v>8726.0</v>
      </c>
      <c r="B2993" s="6" t="s">
        <v>73</v>
      </c>
      <c r="C2993" s="6" t="s">
        <v>305</v>
      </c>
      <c r="D2993" s="6" t="s">
        <v>308</v>
      </c>
      <c r="E2993" s="6">
        <v>5.18</v>
      </c>
    </row>
    <row r="2994">
      <c r="A2994" s="3">
        <v>118158.0</v>
      </c>
      <c r="B2994" s="4" t="s">
        <v>73</v>
      </c>
      <c r="C2994" s="4" t="s">
        <v>305</v>
      </c>
      <c r="D2994" s="4" t="s">
        <v>309</v>
      </c>
      <c r="E2994" s="4">
        <v>0.96</v>
      </c>
    </row>
    <row r="2995">
      <c r="A2995" s="5">
        <v>121871.0</v>
      </c>
      <c r="B2995" s="6" t="s">
        <v>73</v>
      </c>
      <c r="C2995" s="6" t="s">
        <v>305</v>
      </c>
      <c r="D2995" s="6" t="s">
        <v>309</v>
      </c>
      <c r="E2995" s="6">
        <v>5.87</v>
      </c>
    </row>
    <row r="2996">
      <c r="A2996" s="3">
        <v>121876.0</v>
      </c>
      <c r="B2996" s="4" t="s">
        <v>73</v>
      </c>
      <c r="C2996" s="4" t="s">
        <v>305</v>
      </c>
      <c r="D2996" s="4" t="s">
        <v>309</v>
      </c>
      <c r="E2996" s="4">
        <v>5.87</v>
      </c>
    </row>
    <row r="2997">
      <c r="A2997" s="5">
        <v>121877.0</v>
      </c>
      <c r="B2997" s="6" t="s">
        <v>73</v>
      </c>
      <c r="C2997" s="6" t="s">
        <v>305</v>
      </c>
      <c r="D2997" s="6" t="s">
        <v>309</v>
      </c>
      <c r="E2997" s="6">
        <v>5.87</v>
      </c>
    </row>
    <row r="2998">
      <c r="A2998" s="3">
        <v>121879.0</v>
      </c>
      <c r="B2998" s="4" t="s">
        <v>73</v>
      </c>
      <c r="C2998" s="4" t="s">
        <v>305</v>
      </c>
      <c r="D2998" s="4" t="s">
        <v>309</v>
      </c>
      <c r="E2998" s="4">
        <v>5.87</v>
      </c>
    </row>
    <row r="2999">
      <c r="A2999" s="5">
        <v>121874.0</v>
      </c>
      <c r="B2999" s="6" t="s">
        <v>73</v>
      </c>
      <c r="C2999" s="6" t="s">
        <v>305</v>
      </c>
      <c r="D2999" s="6" t="s">
        <v>309</v>
      </c>
      <c r="E2999" s="6">
        <v>5.87</v>
      </c>
    </row>
    <row r="3000">
      <c r="A3000" s="3">
        <v>121893.0</v>
      </c>
      <c r="B3000" s="4" t="s">
        <v>73</v>
      </c>
      <c r="C3000" s="4" t="s">
        <v>305</v>
      </c>
      <c r="D3000" s="4" t="s">
        <v>309</v>
      </c>
      <c r="E3000" s="4">
        <v>5.87</v>
      </c>
    </row>
    <row r="3001">
      <c r="A3001" s="5">
        <v>121892.0</v>
      </c>
      <c r="B3001" s="6" t="s">
        <v>73</v>
      </c>
      <c r="C3001" s="6" t="s">
        <v>305</v>
      </c>
      <c r="D3001" s="6" t="s">
        <v>309</v>
      </c>
      <c r="E3001" s="6">
        <v>5.87</v>
      </c>
    </row>
    <row r="3002">
      <c r="A3002" s="3">
        <v>102678.0</v>
      </c>
      <c r="B3002" s="4" t="s">
        <v>73</v>
      </c>
      <c r="C3002" s="4" t="s">
        <v>305</v>
      </c>
      <c r="D3002" s="4" t="s">
        <v>309</v>
      </c>
      <c r="E3002" s="4">
        <v>6.37</v>
      </c>
    </row>
    <row r="3003">
      <c r="A3003" s="5">
        <v>121887.0</v>
      </c>
      <c r="B3003" s="6" t="s">
        <v>73</v>
      </c>
      <c r="C3003" s="6" t="s">
        <v>305</v>
      </c>
      <c r="D3003" s="6" t="s">
        <v>309</v>
      </c>
      <c r="E3003" s="6">
        <v>5.87</v>
      </c>
    </row>
    <row r="3004">
      <c r="A3004" s="3">
        <v>21344.0</v>
      </c>
      <c r="B3004" s="4" t="s">
        <v>73</v>
      </c>
      <c r="C3004" s="4" t="s">
        <v>305</v>
      </c>
      <c r="D3004" s="4" t="s">
        <v>309</v>
      </c>
      <c r="E3004" s="4">
        <v>5.55</v>
      </c>
    </row>
    <row r="3005">
      <c r="A3005" s="5">
        <v>121873.0</v>
      </c>
      <c r="B3005" s="6" t="s">
        <v>73</v>
      </c>
      <c r="C3005" s="6" t="s">
        <v>305</v>
      </c>
      <c r="D3005" s="6" t="s">
        <v>309</v>
      </c>
      <c r="E3005" s="6">
        <v>5.87</v>
      </c>
    </row>
    <row r="3006">
      <c r="A3006" s="3">
        <v>108833.0</v>
      </c>
      <c r="B3006" s="4" t="s">
        <v>73</v>
      </c>
      <c r="C3006" s="4" t="s">
        <v>305</v>
      </c>
      <c r="D3006" s="4" t="s">
        <v>309</v>
      </c>
      <c r="E3006" s="4">
        <v>8.7</v>
      </c>
    </row>
    <row r="3007">
      <c r="A3007" s="5">
        <v>121882.0</v>
      </c>
      <c r="B3007" s="6" t="s">
        <v>73</v>
      </c>
      <c r="C3007" s="6" t="s">
        <v>305</v>
      </c>
      <c r="D3007" s="6" t="s">
        <v>309</v>
      </c>
      <c r="E3007" s="6">
        <v>5.87</v>
      </c>
    </row>
    <row r="3008">
      <c r="A3008" s="3">
        <v>91492.0</v>
      </c>
      <c r="B3008" s="4" t="s">
        <v>73</v>
      </c>
      <c r="C3008" s="4" t="s">
        <v>305</v>
      </c>
      <c r="D3008" s="4" t="s">
        <v>309</v>
      </c>
      <c r="E3008" s="4">
        <v>3.53</v>
      </c>
    </row>
    <row r="3009">
      <c r="A3009" s="5">
        <v>111392.0</v>
      </c>
      <c r="B3009" s="6" t="s">
        <v>73</v>
      </c>
      <c r="C3009" s="6" t="s">
        <v>305</v>
      </c>
      <c r="D3009" s="6" t="s">
        <v>309</v>
      </c>
      <c r="E3009" s="6">
        <v>6.37</v>
      </c>
    </row>
    <row r="3010">
      <c r="A3010" s="3">
        <v>108835.0</v>
      </c>
      <c r="B3010" s="4" t="s">
        <v>73</v>
      </c>
      <c r="C3010" s="4" t="s">
        <v>305</v>
      </c>
      <c r="D3010" s="4" t="s">
        <v>309</v>
      </c>
      <c r="E3010" s="4">
        <v>8.7</v>
      </c>
    </row>
    <row r="3011">
      <c r="A3011" s="5">
        <v>118111.0</v>
      </c>
      <c r="B3011" s="6" t="s">
        <v>73</v>
      </c>
      <c r="C3011" s="6" t="s">
        <v>305</v>
      </c>
      <c r="D3011" s="6" t="s">
        <v>309</v>
      </c>
      <c r="E3011" s="6">
        <v>5.35</v>
      </c>
    </row>
    <row r="3012">
      <c r="A3012" s="3">
        <v>121872.0</v>
      </c>
      <c r="B3012" s="4" t="s">
        <v>73</v>
      </c>
      <c r="C3012" s="4" t="s">
        <v>305</v>
      </c>
      <c r="D3012" s="4" t="s">
        <v>309</v>
      </c>
      <c r="E3012" s="4">
        <v>5.87</v>
      </c>
    </row>
    <row r="3013">
      <c r="A3013" s="5">
        <v>112885.0</v>
      </c>
      <c r="B3013" s="6" t="s">
        <v>73</v>
      </c>
      <c r="C3013" s="6" t="s">
        <v>305</v>
      </c>
      <c r="D3013" s="6" t="s">
        <v>309</v>
      </c>
      <c r="E3013" s="6">
        <v>8.7</v>
      </c>
    </row>
    <row r="3014">
      <c r="A3014" s="3">
        <v>108738.0</v>
      </c>
      <c r="B3014" s="4" t="s">
        <v>73</v>
      </c>
      <c r="C3014" s="4" t="s">
        <v>305</v>
      </c>
      <c r="D3014" s="4" t="s">
        <v>309</v>
      </c>
      <c r="E3014" s="4">
        <v>8.7</v>
      </c>
    </row>
    <row r="3015">
      <c r="A3015" s="5">
        <v>21338.0</v>
      </c>
      <c r="B3015" s="6" t="s">
        <v>73</v>
      </c>
      <c r="C3015" s="6" t="s">
        <v>305</v>
      </c>
      <c r="D3015" s="6" t="s">
        <v>309</v>
      </c>
      <c r="E3015" s="6">
        <v>5.55</v>
      </c>
    </row>
    <row r="3016">
      <c r="A3016" s="3">
        <v>76513.0</v>
      </c>
      <c r="B3016" s="4" t="s">
        <v>73</v>
      </c>
      <c r="C3016" s="4" t="s">
        <v>305</v>
      </c>
      <c r="D3016" s="4" t="s">
        <v>309</v>
      </c>
      <c r="E3016" s="4">
        <v>5.9</v>
      </c>
    </row>
    <row r="3017">
      <c r="A3017" s="5">
        <v>76514.0</v>
      </c>
      <c r="B3017" s="6" t="s">
        <v>73</v>
      </c>
      <c r="C3017" s="6" t="s">
        <v>305</v>
      </c>
      <c r="D3017" s="6" t="s">
        <v>309</v>
      </c>
      <c r="E3017" s="6">
        <v>5.9</v>
      </c>
    </row>
    <row r="3018">
      <c r="A3018" s="3">
        <v>21339.0</v>
      </c>
      <c r="B3018" s="4" t="s">
        <v>73</v>
      </c>
      <c r="C3018" s="4" t="s">
        <v>305</v>
      </c>
      <c r="D3018" s="4" t="s">
        <v>309</v>
      </c>
      <c r="E3018" s="4">
        <v>5.55</v>
      </c>
    </row>
    <row r="3019">
      <c r="A3019" s="5">
        <v>75436.0</v>
      </c>
      <c r="B3019" s="6" t="s">
        <v>73</v>
      </c>
      <c r="C3019" s="6" t="s">
        <v>305</v>
      </c>
      <c r="D3019" s="6" t="s">
        <v>309</v>
      </c>
      <c r="E3019" s="6">
        <v>6.36</v>
      </c>
    </row>
    <row r="3020">
      <c r="A3020" s="3">
        <v>84092.0</v>
      </c>
      <c r="B3020" s="4" t="s">
        <v>73</v>
      </c>
      <c r="C3020" s="4" t="s">
        <v>305</v>
      </c>
      <c r="D3020" s="4" t="s">
        <v>309</v>
      </c>
      <c r="E3020" s="4">
        <v>5.87</v>
      </c>
    </row>
    <row r="3021">
      <c r="A3021" s="5">
        <v>86943.0</v>
      </c>
      <c r="B3021" s="6" t="s">
        <v>73</v>
      </c>
      <c r="C3021" s="6" t="s">
        <v>305</v>
      </c>
      <c r="D3021" s="6" t="s">
        <v>309</v>
      </c>
      <c r="E3021" s="6">
        <v>6.36</v>
      </c>
    </row>
    <row r="3022">
      <c r="A3022" s="3">
        <v>8688.0</v>
      </c>
      <c r="B3022" s="4" t="s">
        <v>73</v>
      </c>
      <c r="C3022" s="4" t="s">
        <v>305</v>
      </c>
      <c r="D3022" s="4" t="s">
        <v>310</v>
      </c>
      <c r="E3022" s="4">
        <v>7.39</v>
      </c>
    </row>
    <row r="3023">
      <c r="A3023" s="5">
        <v>117967.0</v>
      </c>
      <c r="B3023" s="6" t="s">
        <v>73</v>
      </c>
      <c r="C3023" s="6" t="s">
        <v>305</v>
      </c>
      <c r="D3023" s="6" t="s">
        <v>310</v>
      </c>
      <c r="E3023" s="6">
        <v>8.46</v>
      </c>
    </row>
    <row r="3024">
      <c r="A3024" s="3">
        <v>23061.0</v>
      </c>
      <c r="B3024" s="4" t="s">
        <v>73</v>
      </c>
      <c r="C3024" s="4" t="s">
        <v>305</v>
      </c>
      <c r="D3024" s="4" t="s">
        <v>310</v>
      </c>
      <c r="E3024" s="4">
        <v>3.16</v>
      </c>
    </row>
    <row r="3025">
      <c r="A3025" s="5">
        <v>10688.0</v>
      </c>
      <c r="B3025" s="6" t="s">
        <v>73</v>
      </c>
      <c r="C3025" s="6" t="s">
        <v>305</v>
      </c>
      <c r="D3025" s="6" t="s">
        <v>310</v>
      </c>
      <c r="E3025" s="6">
        <v>6.49</v>
      </c>
    </row>
    <row r="3026">
      <c r="A3026" s="3">
        <v>8690.0</v>
      </c>
      <c r="B3026" s="4" t="s">
        <v>73</v>
      </c>
      <c r="C3026" s="4" t="s">
        <v>305</v>
      </c>
      <c r="D3026" s="4" t="s">
        <v>310</v>
      </c>
      <c r="E3026" s="4">
        <v>7.4</v>
      </c>
    </row>
    <row r="3027">
      <c r="A3027" s="5">
        <v>79808.0</v>
      </c>
      <c r="B3027" s="6" t="s">
        <v>73</v>
      </c>
      <c r="C3027" s="6" t="s">
        <v>305</v>
      </c>
      <c r="D3027" s="6" t="s">
        <v>311</v>
      </c>
      <c r="E3027" s="6">
        <v>4.42</v>
      </c>
    </row>
    <row r="3028">
      <c r="A3028" s="3">
        <v>44797.0</v>
      </c>
      <c r="B3028" s="4" t="s">
        <v>73</v>
      </c>
      <c r="C3028" s="4" t="s">
        <v>305</v>
      </c>
      <c r="D3028" s="4" t="s">
        <v>311</v>
      </c>
      <c r="E3028" s="4">
        <v>6.5</v>
      </c>
    </row>
    <row r="3029">
      <c r="A3029" s="5">
        <v>79807.0</v>
      </c>
      <c r="B3029" s="6" t="s">
        <v>73</v>
      </c>
      <c r="C3029" s="6" t="s">
        <v>305</v>
      </c>
      <c r="D3029" s="6" t="s">
        <v>311</v>
      </c>
      <c r="E3029" s="6">
        <v>4.42</v>
      </c>
    </row>
    <row r="3030">
      <c r="A3030" s="3">
        <v>11426.0</v>
      </c>
      <c r="B3030" s="4" t="s">
        <v>73</v>
      </c>
      <c r="C3030" s="4" t="s">
        <v>305</v>
      </c>
      <c r="D3030" s="4" t="s">
        <v>311</v>
      </c>
      <c r="E3030" s="4">
        <v>7.61</v>
      </c>
    </row>
    <row r="3031">
      <c r="A3031" s="5">
        <v>45059.0</v>
      </c>
      <c r="B3031" s="6" t="s">
        <v>73</v>
      </c>
      <c r="C3031" s="6" t="s">
        <v>305</v>
      </c>
      <c r="D3031" s="6" t="s">
        <v>311</v>
      </c>
      <c r="E3031" s="6">
        <v>6.5</v>
      </c>
    </row>
    <row r="3032">
      <c r="A3032" s="3">
        <v>200582.0</v>
      </c>
      <c r="B3032" s="4" t="s">
        <v>73</v>
      </c>
      <c r="C3032" s="4" t="s">
        <v>305</v>
      </c>
      <c r="D3032" s="4" t="s">
        <v>311</v>
      </c>
      <c r="E3032" s="4">
        <v>5.27</v>
      </c>
    </row>
    <row r="3033">
      <c r="A3033" s="5">
        <v>143825.0</v>
      </c>
      <c r="B3033" s="6" t="s">
        <v>73</v>
      </c>
      <c r="C3033" s="6" t="s">
        <v>305</v>
      </c>
      <c r="D3033" s="6" t="s">
        <v>311</v>
      </c>
      <c r="E3033" s="6">
        <v>6.5</v>
      </c>
    </row>
    <row r="3034">
      <c r="A3034" s="3">
        <v>85232.0</v>
      </c>
      <c r="B3034" s="4" t="s">
        <v>73</v>
      </c>
      <c r="C3034" s="4" t="s">
        <v>305</v>
      </c>
      <c r="D3034" s="4" t="s">
        <v>311</v>
      </c>
      <c r="E3034" s="4">
        <v>4.4</v>
      </c>
    </row>
    <row r="3035">
      <c r="A3035" s="5">
        <v>79806.0</v>
      </c>
      <c r="B3035" s="6" t="s">
        <v>73</v>
      </c>
      <c r="C3035" s="6" t="s">
        <v>305</v>
      </c>
      <c r="D3035" s="6" t="s">
        <v>311</v>
      </c>
      <c r="E3035" s="6">
        <v>4.42</v>
      </c>
    </row>
    <row r="3036">
      <c r="A3036" s="3">
        <v>46991.0</v>
      </c>
      <c r="B3036" s="4" t="s">
        <v>73</v>
      </c>
      <c r="C3036" s="4" t="s">
        <v>305</v>
      </c>
      <c r="D3036" s="4" t="s">
        <v>311</v>
      </c>
      <c r="E3036" s="4">
        <v>3.55</v>
      </c>
    </row>
    <row r="3037">
      <c r="A3037" s="5">
        <v>69360.0</v>
      </c>
      <c r="B3037" s="6" t="s">
        <v>73</v>
      </c>
      <c r="C3037" s="6" t="s">
        <v>305</v>
      </c>
      <c r="D3037" s="6" t="s">
        <v>311</v>
      </c>
      <c r="E3037" s="6">
        <v>5.68</v>
      </c>
    </row>
    <row r="3038">
      <c r="A3038" s="3">
        <v>110441.0</v>
      </c>
      <c r="B3038" s="4" t="s">
        <v>73</v>
      </c>
      <c r="C3038" s="4" t="s">
        <v>305</v>
      </c>
      <c r="D3038" s="4" t="s">
        <v>311</v>
      </c>
      <c r="E3038" s="4">
        <v>4.42</v>
      </c>
    </row>
    <row r="3039">
      <c r="A3039" s="5">
        <v>120781.0</v>
      </c>
      <c r="B3039" s="6" t="s">
        <v>73</v>
      </c>
      <c r="C3039" s="6" t="s">
        <v>305</v>
      </c>
      <c r="D3039" s="6" t="s">
        <v>311</v>
      </c>
      <c r="E3039" s="6">
        <v>3.13</v>
      </c>
    </row>
    <row r="3040">
      <c r="A3040" s="3">
        <v>79809.0</v>
      </c>
      <c r="B3040" s="4" t="s">
        <v>73</v>
      </c>
      <c r="C3040" s="4" t="s">
        <v>305</v>
      </c>
      <c r="D3040" s="4" t="s">
        <v>311</v>
      </c>
      <c r="E3040" s="4">
        <v>4.42</v>
      </c>
    </row>
    <row r="3041">
      <c r="A3041" s="5">
        <v>45057.0</v>
      </c>
      <c r="B3041" s="6" t="s">
        <v>73</v>
      </c>
      <c r="C3041" s="6" t="s">
        <v>305</v>
      </c>
      <c r="D3041" s="6" t="s">
        <v>311</v>
      </c>
      <c r="E3041" s="6">
        <v>6.5</v>
      </c>
    </row>
    <row r="3042">
      <c r="A3042" s="3">
        <v>79805.0</v>
      </c>
      <c r="B3042" s="4" t="s">
        <v>73</v>
      </c>
      <c r="C3042" s="4" t="s">
        <v>305</v>
      </c>
      <c r="D3042" s="4" t="s">
        <v>311</v>
      </c>
      <c r="E3042" s="4">
        <v>4.42</v>
      </c>
    </row>
    <row r="3043">
      <c r="A3043" s="5">
        <v>45707.0</v>
      </c>
      <c r="B3043" s="6" t="s">
        <v>73</v>
      </c>
      <c r="C3043" s="6" t="s">
        <v>305</v>
      </c>
      <c r="D3043" s="6" t="s">
        <v>311</v>
      </c>
      <c r="E3043" s="6">
        <v>6.5</v>
      </c>
    </row>
    <row r="3044">
      <c r="A3044" s="3">
        <v>117282.0</v>
      </c>
      <c r="B3044" s="4" t="s">
        <v>73</v>
      </c>
      <c r="C3044" s="4" t="s">
        <v>305</v>
      </c>
      <c r="D3044" s="4" t="s">
        <v>312</v>
      </c>
      <c r="E3044" s="4">
        <v>3.15</v>
      </c>
    </row>
    <row r="3045">
      <c r="A3045" s="5">
        <v>30503.0</v>
      </c>
      <c r="B3045" s="6" t="s">
        <v>73</v>
      </c>
      <c r="C3045" s="6" t="s">
        <v>305</v>
      </c>
      <c r="D3045" s="6" t="s">
        <v>312</v>
      </c>
      <c r="E3045" s="6">
        <v>5.2</v>
      </c>
    </row>
    <row r="3046">
      <c r="A3046" s="3">
        <v>187336.0</v>
      </c>
      <c r="B3046" s="4" t="s">
        <v>73</v>
      </c>
      <c r="C3046" s="4" t="s">
        <v>305</v>
      </c>
      <c r="D3046" s="4" t="s">
        <v>312</v>
      </c>
      <c r="E3046" s="4">
        <v>3.74</v>
      </c>
    </row>
    <row r="3047">
      <c r="A3047" s="5">
        <v>82427.0</v>
      </c>
      <c r="B3047" s="6" t="s">
        <v>73</v>
      </c>
      <c r="C3047" s="6" t="s">
        <v>305</v>
      </c>
      <c r="D3047" s="6" t="s">
        <v>312</v>
      </c>
      <c r="E3047" s="6">
        <v>2.88</v>
      </c>
    </row>
    <row r="3048">
      <c r="A3048" s="3">
        <v>11000.0</v>
      </c>
      <c r="B3048" s="4" t="s">
        <v>73</v>
      </c>
      <c r="C3048" s="4" t="s">
        <v>305</v>
      </c>
      <c r="D3048" s="4" t="s">
        <v>312</v>
      </c>
      <c r="E3048" s="4">
        <v>3.05</v>
      </c>
    </row>
    <row r="3049">
      <c r="A3049" s="5">
        <v>117274.0</v>
      </c>
      <c r="B3049" s="6" t="s">
        <v>73</v>
      </c>
      <c r="C3049" s="6" t="s">
        <v>305</v>
      </c>
      <c r="D3049" s="6" t="s">
        <v>312</v>
      </c>
      <c r="E3049" s="6">
        <v>4.58</v>
      </c>
    </row>
    <row r="3050">
      <c r="A3050" s="3">
        <v>117445.0</v>
      </c>
      <c r="B3050" s="4" t="s">
        <v>73</v>
      </c>
      <c r="C3050" s="4" t="s">
        <v>305</v>
      </c>
      <c r="D3050" s="4" t="s">
        <v>312</v>
      </c>
      <c r="E3050" s="4">
        <v>6.37</v>
      </c>
    </row>
    <row r="3051">
      <c r="A3051" s="5">
        <v>103246.0</v>
      </c>
      <c r="B3051" s="6" t="s">
        <v>73</v>
      </c>
      <c r="C3051" s="6" t="s">
        <v>305</v>
      </c>
      <c r="D3051" s="6" t="s">
        <v>312</v>
      </c>
      <c r="E3051" s="6">
        <v>4.42</v>
      </c>
    </row>
    <row r="3052">
      <c r="A3052" s="3">
        <v>92626.0</v>
      </c>
      <c r="B3052" s="4" t="s">
        <v>73</v>
      </c>
      <c r="C3052" s="4" t="s">
        <v>305</v>
      </c>
      <c r="D3052" s="4" t="s">
        <v>312</v>
      </c>
      <c r="E3052" s="4">
        <v>6.3</v>
      </c>
    </row>
    <row r="3053">
      <c r="A3053" s="5">
        <v>79352.0</v>
      </c>
      <c r="B3053" s="6" t="s">
        <v>73</v>
      </c>
      <c r="C3053" s="6" t="s">
        <v>305</v>
      </c>
      <c r="D3053" s="6" t="s">
        <v>312</v>
      </c>
      <c r="E3053" s="6">
        <v>4.76</v>
      </c>
    </row>
    <row r="3054">
      <c r="A3054" s="3">
        <v>128315.0</v>
      </c>
      <c r="B3054" s="4" t="s">
        <v>73</v>
      </c>
      <c r="C3054" s="4" t="s">
        <v>305</v>
      </c>
      <c r="D3054" s="4" t="s">
        <v>312</v>
      </c>
      <c r="E3054" s="4">
        <v>2.76</v>
      </c>
    </row>
    <row r="3055">
      <c r="A3055" s="5">
        <v>117272.0</v>
      </c>
      <c r="B3055" s="6" t="s">
        <v>73</v>
      </c>
      <c r="C3055" s="6" t="s">
        <v>305</v>
      </c>
      <c r="D3055" s="6" t="s">
        <v>312</v>
      </c>
      <c r="E3055" s="6">
        <v>4.58</v>
      </c>
    </row>
    <row r="3056">
      <c r="A3056" s="3">
        <v>116770.0</v>
      </c>
      <c r="B3056" s="4" t="s">
        <v>73</v>
      </c>
      <c r="C3056" s="4" t="s">
        <v>305</v>
      </c>
      <c r="D3056" s="4" t="s">
        <v>312</v>
      </c>
      <c r="E3056" s="4">
        <v>2.88</v>
      </c>
    </row>
    <row r="3057">
      <c r="A3057" s="5">
        <v>118012.0</v>
      </c>
      <c r="B3057" s="6" t="s">
        <v>73</v>
      </c>
      <c r="C3057" s="6" t="s">
        <v>305</v>
      </c>
      <c r="D3057" s="6" t="s">
        <v>312</v>
      </c>
      <c r="E3057" s="6">
        <v>4.79</v>
      </c>
    </row>
    <row r="3058">
      <c r="A3058" s="3">
        <v>117306.0</v>
      </c>
      <c r="B3058" s="4" t="s">
        <v>73</v>
      </c>
      <c r="C3058" s="4" t="s">
        <v>305</v>
      </c>
      <c r="D3058" s="4" t="s">
        <v>312</v>
      </c>
      <c r="E3058" s="4">
        <v>4.12</v>
      </c>
    </row>
    <row r="3059">
      <c r="A3059" s="5">
        <v>117056.0</v>
      </c>
      <c r="B3059" s="6" t="s">
        <v>73</v>
      </c>
      <c r="C3059" s="6" t="s">
        <v>305</v>
      </c>
      <c r="D3059" s="6" t="s">
        <v>312</v>
      </c>
      <c r="E3059" s="6">
        <v>7.02</v>
      </c>
    </row>
    <row r="3060">
      <c r="A3060" s="3">
        <v>188066.0</v>
      </c>
      <c r="B3060" s="4" t="s">
        <v>73</v>
      </c>
      <c r="C3060" s="4" t="s">
        <v>305</v>
      </c>
      <c r="D3060" s="4" t="s">
        <v>312</v>
      </c>
      <c r="E3060" s="4">
        <v>6.3</v>
      </c>
    </row>
    <row r="3061">
      <c r="A3061" s="5">
        <v>181147.0</v>
      </c>
      <c r="B3061" s="6" t="s">
        <v>73</v>
      </c>
      <c r="C3061" s="6" t="s">
        <v>305</v>
      </c>
      <c r="D3061" s="6" t="s">
        <v>312</v>
      </c>
      <c r="E3061" s="6">
        <v>5.3</v>
      </c>
    </row>
    <row r="3062">
      <c r="A3062" s="3">
        <v>79917.0</v>
      </c>
      <c r="B3062" s="4" t="s">
        <v>73</v>
      </c>
      <c r="C3062" s="4" t="s">
        <v>305</v>
      </c>
      <c r="D3062" s="4" t="s">
        <v>312</v>
      </c>
      <c r="E3062" s="4">
        <v>4.09</v>
      </c>
    </row>
    <row r="3063">
      <c r="A3063" s="5">
        <v>110282.0</v>
      </c>
      <c r="B3063" s="6" t="s">
        <v>73</v>
      </c>
      <c r="C3063" s="6" t="s">
        <v>305</v>
      </c>
      <c r="D3063" s="6" t="s">
        <v>312</v>
      </c>
      <c r="E3063" s="6">
        <v>3.71</v>
      </c>
    </row>
    <row r="3064">
      <c r="A3064" s="3">
        <v>200526.0</v>
      </c>
      <c r="B3064" s="4" t="s">
        <v>73</v>
      </c>
      <c r="C3064" s="4" t="s">
        <v>305</v>
      </c>
      <c r="D3064" s="4" t="s">
        <v>312</v>
      </c>
      <c r="E3064" s="4">
        <v>5.82</v>
      </c>
    </row>
    <row r="3065">
      <c r="A3065" s="5">
        <v>193197.0</v>
      </c>
      <c r="B3065" s="6" t="s">
        <v>73</v>
      </c>
      <c r="C3065" s="6" t="s">
        <v>305</v>
      </c>
      <c r="D3065" s="6" t="s">
        <v>312</v>
      </c>
      <c r="E3065" s="6">
        <v>4.42</v>
      </c>
    </row>
    <row r="3066">
      <c r="A3066" s="3">
        <v>79820.0</v>
      </c>
      <c r="B3066" s="4" t="s">
        <v>73</v>
      </c>
      <c r="C3066" s="4" t="s">
        <v>305</v>
      </c>
      <c r="D3066" s="4" t="s">
        <v>312</v>
      </c>
      <c r="E3066" s="4">
        <v>3.97</v>
      </c>
    </row>
    <row r="3067">
      <c r="A3067" s="5">
        <v>122327.0</v>
      </c>
      <c r="B3067" s="6" t="s">
        <v>73</v>
      </c>
      <c r="C3067" s="6" t="s">
        <v>305</v>
      </c>
      <c r="D3067" s="6" t="s">
        <v>312</v>
      </c>
      <c r="E3067" s="6">
        <v>4.05</v>
      </c>
    </row>
    <row r="3068">
      <c r="A3068" s="3">
        <v>117956.0</v>
      </c>
      <c r="B3068" s="4" t="s">
        <v>73</v>
      </c>
      <c r="C3068" s="4" t="s">
        <v>305</v>
      </c>
      <c r="D3068" s="4" t="s">
        <v>312</v>
      </c>
      <c r="E3068" s="4">
        <v>6.77</v>
      </c>
    </row>
    <row r="3069">
      <c r="A3069" s="5">
        <v>86182.0</v>
      </c>
      <c r="B3069" s="6" t="s">
        <v>73</v>
      </c>
      <c r="C3069" s="6" t="s">
        <v>305</v>
      </c>
      <c r="D3069" s="6" t="s">
        <v>312</v>
      </c>
      <c r="E3069" s="6">
        <v>3.81</v>
      </c>
    </row>
    <row r="3070">
      <c r="A3070" s="3">
        <v>46989.0</v>
      </c>
      <c r="B3070" s="4" t="s">
        <v>73</v>
      </c>
      <c r="C3070" s="4" t="s">
        <v>305</v>
      </c>
      <c r="D3070" s="4" t="s">
        <v>312</v>
      </c>
      <c r="E3070" s="4">
        <v>3.55</v>
      </c>
    </row>
    <row r="3071">
      <c r="A3071" s="5">
        <v>46976.0</v>
      </c>
      <c r="B3071" s="6" t="s">
        <v>73</v>
      </c>
      <c r="C3071" s="6" t="s">
        <v>305</v>
      </c>
      <c r="D3071" s="6" t="s">
        <v>312</v>
      </c>
      <c r="E3071" s="6">
        <v>7.16</v>
      </c>
    </row>
    <row r="3072">
      <c r="A3072" s="3">
        <v>79354.0</v>
      </c>
      <c r="B3072" s="4" t="s">
        <v>73</v>
      </c>
      <c r="C3072" s="4" t="s">
        <v>305</v>
      </c>
      <c r="D3072" s="4" t="s">
        <v>312</v>
      </c>
      <c r="E3072" s="4">
        <v>4.76</v>
      </c>
    </row>
    <row r="3073">
      <c r="A3073" s="5">
        <v>114268.0</v>
      </c>
      <c r="B3073" s="6" t="s">
        <v>73</v>
      </c>
      <c r="C3073" s="6" t="s">
        <v>305</v>
      </c>
      <c r="D3073" s="6" t="s">
        <v>312</v>
      </c>
      <c r="E3073" s="6">
        <v>3.13</v>
      </c>
    </row>
    <row r="3074">
      <c r="A3074" s="3">
        <v>10685.0</v>
      </c>
      <c r="B3074" s="4" t="s">
        <v>73</v>
      </c>
      <c r="C3074" s="4" t="s">
        <v>305</v>
      </c>
      <c r="D3074" s="4" t="s">
        <v>312</v>
      </c>
      <c r="E3074" s="4">
        <v>6.15</v>
      </c>
    </row>
    <row r="3075">
      <c r="A3075" s="5">
        <v>118157.0</v>
      </c>
      <c r="B3075" s="6" t="s">
        <v>73</v>
      </c>
      <c r="C3075" s="6" t="s">
        <v>305</v>
      </c>
      <c r="D3075" s="6" t="s">
        <v>312</v>
      </c>
      <c r="E3075" s="6">
        <v>4.31</v>
      </c>
    </row>
    <row r="3076">
      <c r="A3076" s="3">
        <v>122322.0</v>
      </c>
      <c r="B3076" s="4" t="s">
        <v>73</v>
      </c>
      <c r="C3076" s="4" t="s">
        <v>305</v>
      </c>
      <c r="D3076" s="4" t="s">
        <v>312</v>
      </c>
      <c r="E3076" s="4">
        <v>4.46</v>
      </c>
    </row>
    <row r="3077">
      <c r="A3077" s="5">
        <v>27509.0</v>
      </c>
      <c r="B3077" s="6" t="s">
        <v>73</v>
      </c>
      <c r="C3077" s="6" t="s">
        <v>305</v>
      </c>
      <c r="D3077" s="6" t="s">
        <v>312</v>
      </c>
      <c r="E3077" s="6">
        <v>6.31</v>
      </c>
    </row>
    <row r="3078">
      <c r="A3078" s="3">
        <v>110852.0</v>
      </c>
      <c r="B3078" s="4" t="s">
        <v>73</v>
      </c>
      <c r="C3078" s="4" t="s">
        <v>305</v>
      </c>
      <c r="D3078" s="4" t="s">
        <v>312</v>
      </c>
      <c r="E3078" s="4">
        <v>5.47</v>
      </c>
    </row>
    <row r="3079">
      <c r="A3079" s="5">
        <v>128312.0</v>
      </c>
      <c r="B3079" s="6" t="s">
        <v>73</v>
      </c>
      <c r="C3079" s="6" t="s">
        <v>305</v>
      </c>
      <c r="D3079" s="6" t="s">
        <v>312</v>
      </c>
      <c r="E3079" s="6">
        <v>2.76</v>
      </c>
    </row>
    <row r="3080">
      <c r="A3080" s="3">
        <v>79355.0</v>
      </c>
      <c r="B3080" s="4" t="s">
        <v>73</v>
      </c>
      <c r="C3080" s="4" t="s">
        <v>305</v>
      </c>
      <c r="D3080" s="4" t="s">
        <v>312</v>
      </c>
      <c r="E3080" s="4">
        <v>5.11</v>
      </c>
    </row>
    <row r="3081">
      <c r="A3081" s="5">
        <v>86185.0</v>
      </c>
      <c r="B3081" s="6" t="s">
        <v>73</v>
      </c>
      <c r="C3081" s="6" t="s">
        <v>305</v>
      </c>
      <c r="D3081" s="6" t="s">
        <v>312</v>
      </c>
      <c r="E3081" s="6">
        <v>3.67</v>
      </c>
    </row>
    <row r="3082">
      <c r="A3082" s="3">
        <v>77138.0</v>
      </c>
      <c r="B3082" s="4" t="s">
        <v>73</v>
      </c>
      <c r="C3082" s="4" t="s">
        <v>305</v>
      </c>
      <c r="D3082" s="4" t="s">
        <v>312</v>
      </c>
      <c r="E3082" s="4">
        <v>5.92</v>
      </c>
    </row>
    <row r="3083">
      <c r="A3083" s="5">
        <v>86183.0</v>
      </c>
      <c r="B3083" s="6" t="s">
        <v>73</v>
      </c>
      <c r="C3083" s="6" t="s">
        <v>305</v>
      </c>
      <c r="D3083" s="6" t="s">
        <v>312</v>
      </c>
      <c r="E3083" s="6">
        <v>3.81</v>
      </c>
    </row>
    <row r="3084">
      <c r="A3084" s="3">
        <v>122595.0</v>
      </c>
      <c r="B3084" s="4" t="s">
        <v>73</v>
      </c>
      <c r="C3084" s="4" t="s">
        <v>305</v>
      </c>
      <c r="D3084" s="4" t="s">
        <v>312</v>
      </c>
      <c r="E3084" s="4">
        <v>4.42</v>
      </c>
    </row>
    <row r="3085">
      <c r="A3085" s="5">
        <v>70338.0</v>
      </c>
      <c r="B3085" s="6" t="s">
        <v>73</v>
      </c>
      <c r="C3085" s="6" t="s">
        <v>305</v>
      </c>
      <c r="D3085" s="6" t="s">
        <v>312</v>
      </c>
      <c r="E3085" s="6">
        <v>6.43</v>
      </c>
    </row>
    <row r="3086">
      <c r="A3086" s="3">
        <v>114273.0</v>
      </c>
      <c r="B3086" s="4" t="s">
        <v>73</v>
      </c>
      <c r="C3086" s="4" t="s">
        <v>305</v>
      </c>
      <c r="D3086" s="4" t="s">
        <v>312</v>
      </c>
      <c r="E3086" s="4">
        <v>3.13</v>
      </c>
    </row>
    <row r="3087">
      <c r="A3087" s="5">
        <v>110849.0</v>
      </c>
      <c r="B3087" s="6" t="s">
        <v>73</v>
      </c>
      <c r="C3087" s="6" t="s">
        <v>305</v>
      </c>
      <c r="D3087" s="6" t="s">
        <v>312</v>
      </c>
      <c r="E3087" s="6">
        <v>5.47</v>
      </c>
    </row>
    <row r="3088">
      <c r="A3088" s="3">
        <v>45056.0</v>
      </c>
      <c r="B3088" s="4" t="s">
        <v>73</v>
      </c>
      <c r="C3088" s="4" t="s">
        <v>305</v>
      </c>
      <c r="D3088" s="4" t="s">
        <v>312</v>
      </c>
      <c r="E3088" s="4">
        <v>6.37</v>
      </c>
    </row>
    <row r="3089">
      <c r="A3089" s="5">
        <v>92633.0</v>
      </c>
      <c r="B3089" s="6" t="s">
        <v>73</v>
      </c>
      <c r="C3089" s="6" t="s">
        <v>305</v>
      </c>
      <c r="D3089" s="6" t="s">
        <v>312</v>
      </c>
      <c r="E3089" s="6">
        <v>6.3</v>
      </c>
    </row>
    <row r="3090">
      <c r="A3090" s="3">
        <v>111011.0</v>
      </c>
      <c r="B3090" s="4" t="s">
        <v>73</v>
      </c>
      <c r="C3090" s="4" t="s">
        <v>305</v>
      </c>
      <c r="D3090" s="4" t="s">
        <v>312</v>
      </c>
      <c r="E3090" s="4">
        <v>3.53</v>
      </c>
    </row>
    <row r="3091">
      <c r="A3091" s="5">
        <v>11002.0</v>
      </c>
      <c r="B3091" s="6" t="s">
        <v>73</v>
      </c>
      <c r="C3091" s="6" t="s">
        <v>305</v>
      </c>
      <c r="D3091" s="6" t="s">
        <v>312</v>
      </c>
      <c r="E3091" s="6">
        <v>2.99</v>
      </c>
    </row>
    <row r="3092">
      <c r="A3092" s="3">
        <v>80661.0</v>
      </c>
      <c r="B3092" s="4" t="s">
        <v>73</v>
      </c>
      <c r="C3092" s="4" t="s">
        <v>305</v>
      </c>
      <c r="D3092" s="4" t="s">
        <v>312</v>
      </c>
      <c r="E3092" s="4">
        <v>3.82</v>
      </c>
    </row>
    <row r="3093">
      <c r="A3093" s="5">
        <v>128310.0</v>
      </c>
      <c r="B3093" s="6" t="s">
        <v>73</v>
      </c>
      <c r="C3093" s="6" t="s">
        <v>305</v>
      </c>
      <c r="D3093" s="6" t="s">
        <v>312</v>
      </c>
      <c r="E3093" s="6">
        <v>2.76</v>
      </c>
    </row>
    <row r="3094">
      <c r="A3094" s="3">
        <v>182193.0</v>
      </c>
      <c r="B3094" s="4" t="s">
        <v>73</v>
      </c>
      <c r="C3094" s="4" t="s">
        <v>305</v>
      </c>
      <c r="D3094" s="4" t="s">
        <v>312</v>
      </c>
      <c r="E3094" s="4">
        <v>3.62</v>
      </c>
    </row>
    <row r="3095">
      <c r="A3095" s="5">
        <v>116771.0</v>
      </c>
      <c r="B3095" s="6" t="s">
        <v>73</v>
      </c>
      <c r="C3095" s="6" t="s">
        <v>305</v>
      </c>
      <c r="D3095" s="6" t="s">
        <v>312</v>
      </c>
      <c r="E3095" s="6">
        <v>2.88</v>
      </c>
    </row>
    <row r="3096">
      <c r="A3096" s="3">
        <v>103245.0</v>
      </c>
      <c r="B3096" s="4" t="s">
        <v>73</v>
      </c>
      <c r="C3096" s="4" t="s">
        <v>305</v>
      </c>
      <c r="D3096" s="4" t="s">
        <v>312</v>
      </c>
      <c r="E3096" s="4">
        <v>4.42</v>
      </c>
    </row>
    <row r="3097">
      <c r="A3097" s="5">
        <v>1961.0</v>
      </c>
      <c r="B3097" s="6" t="s">
        <v>73</v>
      </c>
      <c r="C3097" s="6" t="s">
        <v>305</v>
      </c>
      <c r="D3097" s="6" t="s">
        <v>312</v>
      </c>
      <c r="E3097" s="6">
        <v>3.56</v>
      </c>
    </row>
    <row r="3098">
      <c r="A3098" s="3">
        <v>128314.0</v>
      </c>
      <c r="B3098" s="4" t="s">
        <v>73</v>
      </c>
      <c r="C3098" s="4" t="s">
        <v>305</v>
      </c>
      <c r="D3098" s="4" t="s">
        <v>312</v>
      </c>
      <c r="E3098" s="4">
        <v>2.76</v>
      </c>
    </row>
    <row r="3099">
      <c r="A3099" s="5">
        <v>109993.0</v>
      </c>
      <c r="B3099" s="6" t="s">
        <v>73</v>
      </c>
      <c r="C3099" s="6" t="s">
        <v>305</v>
      </c>
      <c r="D3099" s="6" t="s">
        <v>312</v>
      </c>
      <c r="E3099" s="6">
        <v>6.3</v>
      </c>
    </row>
    <row r="3100">
      <c r="A3100" s="3">
        <v>117270.0</v>
      </c>
      <c r="B3100" s="4" t="s">
        <v>73</v>
      </c>
      <c r="C3100" s="4" t="s">
        <v>305</v>
      </c>
      <c r="D3100" s="4" t="s">
        <v>312</v>
      </c>
      <c r="E3100" s="4">
        <v>4.58</v>
      </c>
    </row>
    <row r="3101">
      <c r="A3101" s="5">
        <v>42748.0</v>
      </c>
      <c r="B3101" s="6" t="s">
        <v>73</v>
      </c>
      <c r="C3101" s="6" t="s">
        <v>305</v>
      </c>
      <c r="D3101" s="6" t="s">
        <v>312</v>
      </c>
      <c r="E3101" s="6">
        <v>5.52</v>
      </c>
    </row>
    <row r="3102">
      <c r="A3102" s="3">
        <v>110447.0</v>
      </c>
      <c r="B3102" s="4" t="s">
        <v>73</v>
      </c>
      <c r="C3102" s="4" t="s">
        <v>305</v>
      </c>
      <c r="D3102" s="4" t="s">
        <v>312</v>
      </c>
      <c r="E3102" s="4">
        <v>19.79</v>
      </c>
    </row>
    <row r="3103">
      <c r="A3103" s="5">
        <v>46979.0</v>
      </c>
      <c r="B3103" s="6" t="s">
        <v>73</v>
      </c>
      <c r="C3103" s="6" t="s">
        <v>305</v>
      </c>
      <c r="D3103" s="6" t="s">
        <v>312</v>
      </c>
      <c r="E3103" s="6">
        <v>5.16</v>
      </c>
    </row>
    <row r="3104">
      <c r="A3104" s="3">
        <v>1296.0</v>
      </c>
      <c r="B3104" s="4" t="s">
        <v>73</v>
      </c>
      <c r="C3104" s="4" t="s">
        <v>305</v>
      </c>
      <c r="D3104" s="4" t="s">
        <v>312</v>
      </c>
      <c r="E3104" s="4">
        <v>5.55</v>
      </c>
    </row>
    <row r="3105">
      <c r="A3105" s="5">
        <v>109973.0</v>
      </c>
      <c r="B3105" s="6" t="s">
        <v>73</v>
      </c>
      <c r="C3105" s="6" t="s">
        <v>305</v>
      </c>
      <c r="D3105" s="6" t="s">
        <v>312</v>
      </c>
      <c r="E3105" s="6">
        <v>3.74</v>
      </c>
    </row>
    <row r="3106">
      <c r="A3106" s="3">
        <v>155949.0</v>
      </c>
      <c r="B3106" s="4" t="s">
        <v>73</v>
      </c>
      <c r="C3106" s="4" t="s">
        <v>305</v>
      </c>
      <c r="D3106" s="4" t="s">
        <v>312</v>
      </c>
      <c r="E3106" s="4">
        <v>5.17</v>
      </c>
    </row>
    <row r="3107">
      <c r="A3107" s="5">
        <v>187346.0</v>
      </c>
      <c r="B3107" s="6" t="s">
        <v>73</v>
      </c>
      <c r="C3107" s="6" t="s">
        <v>305</v>
      </c>
      <c r="D3107" s="6" t="s">
        <v>312</v>
      </c>
      <c r="E3107" s="6">
        <v>6.3</v>
      </c>
    </row>
    <row r="3108">
      <c r="A3108" s="3">
        <v>46978.0</v>
      </c>
      <c r="B3108" s="4" t="s">
        <v>73</v>
      </c>
      <c r="C3108" s="4" t="s">
        <v>305</v>
      </c>
      <c r="D3108" s="4" t="s">
        <v>312</v>
      </c>
      <c r="E3108" s="4">
        <v>7.16</v>
      </c>
    </row>
    <row r="3109">
      <c r="A3109" s="5">
        <v>110283.0</v>
      </c>
      <c r="B3109" s="6" t="s">
        <v>73</v>
      </c>
      <c r="C3109" s="6" t="s">
        <v>305</v>
      </c>
      <c r="D3109" s="6" t="s">
        <v>312</v>
      </c>
      <c r="E3109" s="6">
        <v>3.71</v>
      </c>
    </row>
    <row r="3110">
      <c r="A3110" s="3">
        <v>147257.0</v>
      </c>
      <c r="B3110" s="4" t="s">
        <v>73</v>
      </c>
      <c r="C3110" s="4" t="s">
        <v>305</v>
      </c>
      <c r="D3110" s="4" t="s">
        <v>312</v>
      </c>
      <c r="E3110" s="4">
        <v>3.49</v>
      </c>
    </row>
    <row r="3111">
      <c r="A3111" s="5">
        <v>182191.0</v>
      </c>
      <c r="B3111" s="6" t="s">
        <v>73</v>
      </c>
      <c r="C3111" s="6" t="s">
        <v>305</v>
      </c>
      <c r="D3111" s="6" t="s">
        <v>312</v>
      </c>
      <c r="E3111" s="6">
        <v>3.49</v>
      </c>
    </row>
    <row r="3112">
      <c r="A3112" s="3">
        <v>9722.0</v>
      </c>
      <c r="B3112" s="4" t="s">
        <v>73</v>
      </c>
      <c r="C3112" s="4" t="s">
        <v>305</v>
      </c>
      <c r="D3112" s="4" t="s">
        <v>312</v>
      </c>
      <c r="E3112" s="4">
        <v>3.56</v>
      </c>
    </row>
    <row r="3113">
      <c r="A3113" s="5">
        <v>124772.0</v>
      </c>
      <c r="B3113" s="6" t="s">
        <v>73</v>
      </c>
      <c r="C3113" s="6" t="s">
        <v>305</v>
      </c>
      <c r="D3113" s="6" t="s">
        <v>312</v>
      </c>
      <c r="E3113" s="6">
        <v>9.54</v>
      </c>
    </row>
    <row r="3114">
      <c r="A3114" s="3">
        <v>8681.0</v>
      </c>
      <c r="B3114" s="4" t="s">
        <v>73</v>
      </c>
      <c r="C3114" s="4" t="s">
        <v>305</v>
      </c>
      <c r="D3114" s="4" t="s">
        <v>312</v>
      </c>
      <c r="E3114" s="4">
        <v>5.58</v>
      </c>
    </row>
    <row r="3115">
      <c r="A3115" s="5">
        <v>5077.0</v>
      </c>
      <c r="B3115" s="6" t="s">
        <v>73</v>
      </c>
      <c r="C3115" s="6" t="s">
        <v>305</v>
      </c>
      <c r="D3115" s="6" t="s">
        <v>312</v>
      </c>
      <c r="E3115" s="6">
        <v>6.43</v>
      </c>
    </row>
    <row r="3116">
      <c r="A3116" s="3">
        <v>114274.0</v>
      </c>
      <c r="B3116" s="4" t="s">
        <v>73</v>
      </c>
      <c r="C3116" s="4" t="s">
        <v>305</v>
      </c>
      <c r="D3116" s="4" t="s">
        <v>312</v>
      </c>
      <c r="E3116" s="4">
        <v>5.79</v>
      </c>
    </row>
    <row r="3117">
      <c r="A3117" s="5">
        <v>1297.0</v>
      </c>
      <c r="B3117" s="6" t="s">
        <v>73</v>
      </c>
      <c r="C3117" s="6" t="s">
        <v>305</v>
      </c>
      <c r="D3117" s="6" t="s">
        <v>312</v>
      </c>
      <c r="E3117" s="6">
        <v>5.55</v>
      </c>
    </row>
    <row r="3118">
      <c r="A3118" s="3">
        <v>46988.0</v>
      </c>
      <c r="B3118" s="4" t="s">
        <v>73</v>
      </c>
      <c r="C3118" s="4" t="s">
        <v>305</v>
      </c>
      <c r="D3118" s="4" t="s">
        <v>312</v>
      </c>
      <c r="E3118" s="4">
        <v>3.55</v>
      </c>
    </row>
    <row r="3119">
      <c r="A3119" s="5">
        <v>92623.0</v>
      </c>
      <c r="B3119" s="6" t="s">
        <v>73</v>
      </c>
      <c r="C3119" s="6" t="s">
        <v>305</v>
      </c>
      <c r="D3119" s="6" t="s">
        <v>312</v>
      </c>
      <c r="E3119" s="6">
        <v>6.3</v>
      </c>
    </row>
    <row r="3120">
      <c r="A3120" s="3">
        <v>79761.0</v>
      </c>
      <c r="B3120" s="4" t="s">
        <v>73</v>
      </c>
      <c r="C3120" s="4" t="s">
        <v>305</v>
      </c>
      <c r="D3120" s="4" t="s">
        <v>312</v>
      </c>
      <c r="E3120" s="4">
        <v>5.74</v>
      </c>
    </row>
    <row r="3121">
      <c r="A3121" s="5">
        <v>11001.0</v>
      </c>
      <c r="B3121" s="6" t="s">
        <v>73</v>
      </c>
      <c r="C3121" s="6" t="s">
        <v>305</v>
      </c>
      <c r="D3121" s="6" t="s">
        <v>312</v>
      </c>
      <c r="E3121" s="6">
        <v>2.99</v>
      </c>
    </row>
    <row r="3122">
      <c r="A3122" s="3">
        <v>9731.0</v>
      </c>
      <c r="B3122" s="4" t="s">
        <v>73</v>
      </c>
      <c r="C3122" s="4" t="s">
        <v>305</v>
      </c>
      <c r="D3122" s="4" t="s">
        <v>313</v>
      </c>
      <c r="E3122" s="4">
        <v>7.13</v>
      </c>
    </row>
    <row r="3123">
      <c r="A3123" s="5">
        <v>122316.0</v>
      </c>
      <c r="B3123" s="6" t="s">
        <v>73</v>
      </c>
      <c r="C3123" s="6" t="s">
        <v>305</v>
      </c>
      <c r="D3123" s="6" t="s">
        <v>313</v>
      </c>
      <c r="E3123" s="6">
        <v>5.82</v>
      </c>
    </row>
    <row r="3124">
      <c r="A3124" s="3">
        <v>147255.0</v>
      </c>
      <c r="B3124" s="4" t="s">
        <v>73</v>
      </c>
      <c r="C3124" s="4" t="s">
        <v>305</v>
      </c>
      <c r="D3124" s="4" t="s">
        <v>313</v>
      </c>
      <c r="E3124" s="4">
        <v>3.49</v>
      </c>
    </row>
    <row r="3125">
      <c r="A3125" s="5">
        <v>8675.0</v>
      </c>
      <c r="B3125" s="6" t="s">
        <v>73</v>
      </c>
      <c r="C3125" s="6" t="s">
        <v>305</v>
      </c>
      <c r="D3125" s="6" t="s">
        <v>313</v>
      </c>
      <c r="E3125" s="6">
        <v>7.52</v>
      </c>
    </row>
    <row r="3126">
      <c r="A3126" s="3">
        <v>121900.0</v>
      </c>
      <c r="B3126" s="4" t="s">
        <v>73</v>
      </c>
      <c r="C3126" s="4" t="s">
        <v>305</v>
      </c>
      <c r="D3126" s="4" t="s">
        <v>313</v>
      </c>
      <c r="E3126" s="4">
        <v>6.35</v>
      </c>
    </row>
    <row r="3127">
      <c r="A3127" s="5">
        <v>124764.0</v>
      </c>
      <c r="B3127" s="6" t="s">
        <v>73</v>
      </c>
      <c r="C3127" s="6" t="s">
        <v>305</v>
      </c>
      <c r="D3127" s="6" t="s">
        <v>313</v>
      </c>
      <c r="E3127" s="6">
        <v>9.54</v>
      </c>
    </row>
    <row r="3128">
      <c r="A3128" s="3">
        <v>124774.0</v>
      </c>
      <c r="B3128" s="4" t="s">
        <v>73</v>
      </c>
      <c r="C3128" s="4" t="s">
        <v>305</v>
      </c>
      <c r="D3128" s="4" t="s">
        <v>313</v>
      </c>
      <c r="E3128" s="4">
        <v>9.54</v>
      </c>
    </row>
    <row r="3129">
      <c r="A3129" s="5">
        <v>79353.0</v>
      </c>
      <c r="B3129" s="6" t="s">
        <v>73</v>
      </c>
      <c r="C3129" s="6" t="s">
        <v>305</v>
      </c>
      <c r="D3129" s="6" t="s">
        <v>313</v>
      </c>
      <c r="E3129" s="6">
        <v>4.76</v>
      </c>
    </row>
    <row r="3130">
      <c r="A3130" s="3">
        <v>82703.0</v>
      </c>
      <c r="B3130" s="4" t="s">
        <v>73</v>
      </c>
      <c r="C3130" s="4" t="s">
        <v>305</v>
      </c>
      <c r="D3130" s="4" t="s">
        <v>313</v>
      </c>
      <c r="E3130" s="4">
        <v>7.75</v>
      </c>
    </row>
    <row r="3131">
      <c r="A3131" s="5">
        <v>71820.0</v>
      </c>
      <c r="B3131" s="6" t="s">
        <v>73</v>
      </c>
      <c r="C3131" s="6" t="s">
        <v>305</v>
      </c>
      <c r="D3131" s="6" t="s">
        <v>313</v>
      </c>
      <c r="E3131" s="6">
        <v>5.74</v>
      </c>
    </row>
    <row r="3132">
      <c r="A3132" s="3">
        <v>128311.0</v>
      </c>
      <c r="B3132" s="4" t="s">
        <v>73</v>
      </c>
      <c r="C3132" s="4" t="s">
        <v>305</v>
      </c>
      <c r="D3132" s="4" t="s">
        <v>313</v>
      </c>
      <c r="E3132" s="4">
        <v>2.76</v>
      </c>
    </row>
    <row r="3133">
      <c r="A3133" s="5">
        <v>70595.0</v>
      </c>
      <c r="B3133" s="6" t="s">
        <v>73</v>
      </c>
      <c r="C3133" s="6" t="s">
        <v>305</v>
      </c>
      <c r="D3133" s="6" t="s">
        <v>313</v>
      </c>
      <c r="E3133" s="6">
        <v>5.83</v>
      </c>
    </row>
    <row r="3134">
      <c r="A3134" s="3">
        <v>8676.0</v>
      </c>
      <c r="B3134" s="4" t="s">
        <v>73</v>
      </c>
      <c r="C3134" s="4" t="s">
        <v>305</v>
      </c>
      <c r="D3134" s="4" t="s">
        <v>313</v>
      </c>
      <c r="E3134" s="4">
        <v>5.38</v>
      </c>
    </row>
    <row r="3135">
      <c r="A3135" s="5">
        <v>128313.0</v>
      </c>
      <c r="B3135" s="6" t="s">
        <v>73</v>
      </c>
      <c r="C3135" s="6" t="s">
        <v>305</v>
      </c>
      <c r="D3135" s="6" t="s">
        <v>313</v>
      </c>
      <c r="E3135" s="6">
        <v>2.76</v>
      </c>
    </row>
    <row r="3136">
      <c r="A3136" s="3">
        <v>45479.0</v>
      </c>
      <c r="B3136" s="4" t="s">
        <v>73</v>
      </c>
      <c r="C3136" s="4" t="s">
        <v>314</v>
      </c>
      <c r="D3136" s="4" t="s">
        <v>315</v>
      </c>
      <c r="E3136" s="4">
        <v>1.99</v>
      </c>
    </row>
    <row r="3137">
      <c r="A3137" s="5">
        <v>45481.0</v>
      </c>
      <c r="B3137" s="6" t="s">
        <v>73</v>
      </c>
      <c r="C3137" s="6" t="s">
        <v>314</v>
      </c>
      <c r="D3137" s="6" t="s">
        <v>315</v>
      </c>
      <c r="E3137" s="6">
        <v>5.54</v>
      </c>
    </row>
    <row r="3138">
      <c r="A3138" s="3">
        <v>80001.0</v>
      </c>
      <c r="B3138" s="4" t="s">
        <v>73</v>
      </c>
      <c r="C3138" s="4" t="s">
        <v>314</v>
      </c>
      <c r="D3138" s="4" t="s">
        <v>315</v>
      </c>
      <c r="E3138" s="4">
        <v>2.83</v>
      </c>
    </row>
    <row r="3139">
      <c r="A3139" s="5">
        <v>10068.0</v>
      </c>
      <c r="B3139" s="6" t="s">
        <v>73</v>
      </c>
      <c r="C3139" s="6" t="s">
        <v>314</v>
      </c>
      <c r="D3139" s="6" t="s">
        <v>315</v>
      </c>
      <c r="E3139" s="6">
        <v>2.39</v>
      </c>
    </row>
    <row r="3140">
      <c r="A3140" s="3">
        <v>10054.0</v>
      </c>
      <c r="B3140" s="4" t="s">
        <v>73</v>
      </c>
      <c r="C3140" s="4" t="s">
        <v>314</v>
      </c>
      <c r="D3140" s="4" t="s">
        <v>315</v>
      </c>
      <c r="E3140" s="4">
        <v>4.45</v>
      </c>
    </row>
    <row r="3141">
      <c r="A3141" s="5">
        <v>10070.0</v>
      </c>
      <c r="B3141" s="6" t="s">
        <v>73</v>
      </c>
      <c r="C3141" s="6" t="s">
        <v>314</v>
      </c>
      <c r="D3141" s="6" t="s">
        <v>315</v>
      </c>
      <c r="E3141" s="6">
        <v>2.65</v>
      </c>
    </row>
    <row r="3142">
      <c r="A3142" s="3">
        <v>45480.0</v>
      </c>
      <c r="B3142" s="4" t="s">
        <v>73</v>
      </c>
      <c r="C3142" s="4" t="s">
        <v>314</v>
      </c>
      <c r="D3142" s="4" t="s">
        <v>315</v>
      </c>
      <c r="E3142" s="4">
        <v>2.71</v>
      </c>
    </row>
    <row r="3143">
      <c r="A3143" s="5">
        <v>92791.0</v>
      </c>
      <c r="B3143" s="6" t="s">
        <v>73</v>
      </c>
      <c r="C3143" s="6" t="s">
        <v>314</v>
      </c>
      <c r="D3143" s="6" t="s">
        <v>315</v>
      </c>
      <c r="E3143" s="6">
        <v>1.99</v>
      </c>
    </row>
    <row r="3144">
      <c r="A3144" s="3">
        <v>188722.0</v>
      </c>
      <c r="B3144" s="4" t="s">
        <v>73</v>
      </c>
      <c r="C3144" s="4" t="s">
        <v>314</v>
      </c>
      <c r="D3144" s="4" t="s">
        <v>316</v>
      </c>
      <c r="E3144" s="4">
        <v>2.34</v>
      </c>
    </row>
    <row r="3145">
      <c r="A3145" s="5">
        <v>10061.0</v>
      </c>
      <c r="B3145" s="6" t="s">
        <v>73</v>
      </c>
      <c r="C3145" s="6" t="s">
        <v>314</v>
      </c>
      <c r="D3145" s="6" t="s">
        <v>316</v>
      </c>
      <c r="E3145" s="6">
        <v>4.51</v>
      </c>
    </row>
    <row r="3146">
      <c r="A3146" s="3">
        <v>188708.0</v>
      </c>
      <c r="B3146" s="4" t="s">
        <v>73</v>
      </c>
      <c r="C3146" s="4" t="s">
        <v>314</v>
      </c>
      <c r="D3146" s="4" t="s">
        <v>316</v>
      </c>
      <c r="E3146" s="4">
        <v>2.34</v>
      </c>
    </row>
    <row r="3147">
      <c r="A3147" s="5">
        <v>110927.0</v>
      </c>
      <c r="B3147" s="6" t="s">
        <v>73</v>
      </c>
      <c r="C3147" s="6" t="s">
        <v>314</v>
      </c>
      <c r="D3147" s="6" t="s">
        <v>316</v>
      </c>
      <c r="E3147" s="6">
        <v>3.07</v>
      </c>
    </row>
    <row r="3148">
      <c r="A3148" s="3">
        <v>188729.0</v>
      </c>
      <c r="B3148" s="4" t="s">
        <v>73</v>
      </c>
      <c r="C3148" s="4" t="s">
        <v>314</v>
      </c>
      <c r="D3148" s="4" t="s">
        <v>316</v>
      </c>
      <c r="E3148" s="4">
        <v>1.0</v>
      </c>
    </row>
    <row r="3149">
      <c r="A3149" s="5">
        <v>120969.0</v>
      </c>
      <c r="B3149" s="6" t="s">
        <v>73</v>
      </c>
      <c r="C3149" s="6" t="s">
        <v>314</v>
      </c>
      <c r="D3149" s="6" t="s">
        <v>316</v>
      </c>
      <c r="E3149" s="6">
        <v>6.02</v>
      </c>
    </row>
    <row r="3150">
      <c r="A3150" s="3">
        <v>188728.0</v>
      </c>
      <c r="B3150" s="4" t="s">
        <v>73</v>
      </c>
      <c r="C3150" s="4" t="s">
        <v>314</v>
      </c>
      <c r="D3150" s="4" t="s">
        <v>316</v>
      </c>
      <c r="E3150" s="4">
        <v>1.0</v>
      </c>
    </row>
    <row r="3151">
      <c r="A3151" s="5">
        <v>188663.0</v>
      </c>
      <c r="B3151" s="6" t="s">
        <v>73</v>
      </c>
      <c r="C3151" s="6" t="s">
        <v>314</v>
      </c>
      <c r="D3151" s="6" t="s">
        <v>316</v>
      </c>
      <c r="E3151" s="6">
        <v>2.6</v>
      </c>
    </row>
    <row r="3152">
      <c r="A3152" s="3">
        <v>188727.0</v>
      </c>
      <c r="B3152" s="4" t="s">
        <v>73</v>
      </c>
      <c r="C3152" s="4" t="s">
        <v>314</v>
      </c>
      <c r="D3152" s="4" t="s">
        <v>316</v>
      </c>
      <c r="E3152" s="4">
        <v>1.0</v>
      </c>
    </row>
    <row r="3153">
      <c r="A3153" s="5">
        <v>9741.0</v>
      </c>
      <c r="B3153" s="6" t="s">
        <v>73</v>
      </c>
      <c r="C3153" s="6" t="s">
        <v>314</v>
      </c>
      <c r="D3153" s="6" t="s">
        <v>316</v>
      </c>
      <c r="E3153" s="6">
        <v>3.4</v>
      </c>
    </row>
    <row r="3154">
      <c r="A3154" s="3">
        <v>70406.0</v>
      </c>
      <c r="B3154" s="4" t="s">
        <v>317</v>
      </c>
      <c r="C3154" s="4" t="s">
        <v>318</v>
      </c>
      <c r="D3154" s="4" t="s">
        <v>319</v>
      </c>
      <c r="E3154" s="4">
        <v>1.46</v>
      </c>
    </row>
    <row r="3155">
      <c r="A3155" s="5">
        <v>112114.0</v>
      </c>
      <c r="B3155" s="6" t="s">
        <v>317</v>
      </c>
      <c r="C3155" s="6" t="s">
        <v>318</v>
      </c>
      <c r="D3155" s="6" t="s">
        <v>319</v>
      </c>
      <c r="E3155" s="6">
        <v>1.46</v>
      </c>
    </row>
    <row r="3156">
      <c r="A3156" s="3">
        <v>70405.0</v>
      </c>
      <c r="B3156" s="4" t="s">
        <v>317</v>
      </c>
      <c r="C3156" s="4" t="s">
        <v>318</v>
      </c>
      <c r="D3156" s="4" t="s">
        <v>319</v>
      </c>
      <c r="E3156" s="4">
        <v>1.46</v>
      </c>
    </row>
    <row r="3157">
      <c r="A3157" s="5">
        <v>20405.0</v>
      </c>
      <c r="B3157" s="6" t="s">
        <v>317</v>
      </c>
      <c r="C3157" s="6" t="s">
        <v>318</v>
      </c>
      <c r="D3157" s="6" t="s">
        <v>320</v>
      </c>
      <c r="E3157" s="6">
        <v>2.1</v>
      </c>
    </row>
    <row r="3158">
      <c r="A3158" s="3">
        <v>121308.0</v>
      </c>
      <c r="B3158" s="4" t="s">
        <v>34</v>
      </c>
      <c r="C3158" s="4" t="s">
        <v>321</v>
      </c>
      <c r="D3158" s="4" t="s">
        <v>322</v>
      </c>
      <c r="E3158" s="4">
        <v>6.4</v>
      </c>
    </row>
    <row r="3159">
      <c r="A3159" s="5">
        <v>121311.0</v>
      </c>
      <c r="B3159" s="6" t="s">
        <v>34</v>
      </c>
      <c r="C3159" s="6" t="s">
        <v>321</v>
      </c>
      <c r="D3159" s="6" t="s">
        <v>322</v>
      </c>
      <c r="E3159" s="6">
        <v>7.77</v>
      </c>
    </row>
    <row r="3160">
      <c r="A3160" s="3">
        <v>124748.0</v>
      </c>
      <c r="B3160" s="4" t="s">
        <v>140</v>
      </c>
      <c r="C3160" s="4" t="s">
        <v>323</v>
      </c>
      <c r="D3160" s="4" t="s">
        <v>324</v>
      </c>
      <c r="E3160" s="4">
        <v>5.45</v>
      </c>
    </row>
    <row r="3161">
      <c r="A3161" s="5">
        <v>104315.0</v>
      </c>
      <c r="B3161" s="6" t="s">
        <v>140</v>
      </c>
      <c r="C3161" s="6" t="s">
        <v>323</v>
      </c>
      <c r="D3161" s="6" t="s">
        <v>324</v>
      </c>
      <c r="E3161" s="6">
        <v>2.58</v>
      </c>
    </row>
    <row r="3162">
      <c r="A3162" s="3">
        <v>104314.0</v>
      </c>
      <c r="B3162" s="4" t="s">
        <v>140</v>
      </c>
      <c r="C3162" s="4" t="s">
        <v>323</v>
      </c>
      <c r="D3162" s="4" t="s">
        <v>324</v>
      </c>
      <c r="E3162" s="4">
        <v>2.44</v>
      </c>
    </row>
    <row r="3163">
      <c r="A3163" s="5">
        <v>69287.0</v>
      </c>
      <c r="B3163" s="6" t="s">
        <v>140</v>
      </c>
      <c r="C3163" s="6" t="s">
        <v>323</v>
      </c>
      <c r="D3163" s="6" t="s">
        <v>324</v>
      </c>
      <c r="E3163" s="6">
        <v>2.28</v>
      </c>
    </row>
    <row r="3164">
      <c r="A3164" s="3">
        <v>5789.0</v>
      </c>
      <c r="B3164" s="4" t="s">
        <v>140</v>
      </c>
      <c r="C3164" s="4" t="s">
        <v>323</v>
      </c>
      <c r="D3164" s="4" t="s">
        <v>324</v>
      </c>
      <c r="E3164" s="4">
        <v>1.79</v>
      </c>
    </row>
    <row r="3165">
      <c r="A3165" s="5">
        <v>14013.0</v>
      </c>
      <c r="B3165" s="6" t="s">
        <v>140</v>
      </c>
      <c r="C3165" s="6" t="s">
        <v>323</v>
      </c>
      <c r="D3165" s="6" t="s">
        <v>324</v>
      </c>
      <c r="E3165" s="6">
        <v>0.43</v>
      </c>
    </row>
    <row r="3166">
      <c r="A3166" s="3">
        <v>14015.0</v>
      </c>
      <c r="B3166" s="4" t="s">
        <v>140</v>
      </c>
      <c r="C3166" s="4" t="s">
        <v>323</v>
      </c>
      <c r="D3166" s="4" t="s">
        <v>324</v>
      </c>
      <c r="E3166" s="4">
        <v>1.97</v>
      </c>
    </row>
    <row r="3167">
      <c r="A3167" s="5">
        <v>69291.0</v>
      </c>
      <c r="B3167" s="6" t="s">
        <v>140</v>
      </c>
      <c r="C3167" s="6" t="s">
        <v>323</v>
      </c>
      <c r="D3167" s="6" t="s">
        <v>324</v>
      </c>
      <c r="E3167" s="6">
        <v>2.5</v>
      </c>
    </row>
    <row r="3168">
      <c r="A3168" s="3">
        <v>26057.0</v>
      </c>
      <c r="B3168" s="4" t="s">
        <v>140</v>
      </c>
      <c r="C3168" s="4" t="s">
        <v>323</v>
      </c>
      <c r="D3168" s="4" t="s">
        <v>325</v>
      </c>
      <c r="E3168" s="4">
        <v>1.34</v>
      </c>
    </row>
    <row r="3169">
      <c r="A3169" s="5">
        <v>14022.0</v>
      </c>
      <c r="B3169" s="6" t="s">
        <v>140</v>
      </c>
      <c r="C3169" s="6" t="s">
        <v>323</v>
      </c>
      <c r="D3169" s="6" t="s">
        <v>325</v>
      </c>
      <c r="E3169" s="6">
        <v>1.53</v>
      </c>
    </row>
    <row r="3170">
      <c r="A3170" s="3">
        <v>80109.0</v>
      </c>
      <c r="B3170" s="4" t="s">
        <v>140</v>
      </c>
      <c r="C3170" s="4" t="s">
        <v>323</v>
      </c>
      <c r="D3170" s="4" t="s">
        <v>325</v>
      </c>
      <c r="E3170" s="4">
        <v>2.7</v>
      </c>
    </row>
    <row r="3171">
      <c r="A3171" s="5">
        <v>121686.0</v>
      </c>
      <c r="B3171" s="6" t="s">
        <v>140</v>
      </c>
      <c r="C3171" s="6" t="s">
        <v>323</v>
      </c>
      <c r="D3171" s="6" t="s">
        <v>325</v>
      </c>
      <c r="E3171" s="6">
        <v>1.4</v>
      </c>
    </row>
    <row r="3172">
      <c r="A3172" s="3">
        <v>60365.0</v>
      </c>
      <c r="B3172" s="4" t="s">
        <v>140</v>
      </c>
      <c r="C3172" s="4" t="s">
        <v>323</v>
      </c>
      <c r="D3172" s="4" t="s">
        <v>325</v>
      </c>
      <c r="E3172" s="4">
        <v>2.06</v>
      </c>
    </row>
    <row r="3173">
      <c r="A3173" s="5">
        <v>86488.0</v>
      </c>
      <c r="B3173" s="6" t="s">
        <v>140</v>
      </c>
      <c r="C3173" s="6" t="s">
        <v>323</v>
      </c>
      <c r="D3173" s="6" t="s">
        <v>325</v>
      </c>
      <c r="E3173" s="6">
        <v>1.23</v>
      </c>
    </row>
    <row r="3174">
      <c r="A3174" s="3">
        <v>122530.0</v>
      </c>
      <c r="B3174" s="4" t="s">
        <v>140</v>
      </c>
      <c r="C3174" s="4" t="s">
        <v>323</v>
      </c>
      <c r="D3174" s="4" t="s">
        <v>325</v>
      </c>
      <c r="E3174" s="4">
        <v>1.66</v>
      </c>
    </row>
    <row r="3175">
      <c r="A3175" s="5">
        <v>60526.0</v>
      </c>
      <c r="B3175" s="6" t="s">
        <v>140</v>
      </c>
      <c r="C3175" s="6" t="s">
        <v>323</v>
      </c>
      <c r="D3175" s="6" t="s">
        <v>325</v>
      </c>
      <c r="E3175" s="6">
        <v>1.11</v>
      </c>
    </row>
    <row r="3176">
      <c r="A3176" s="3">
        <v>116807.0</v>
      </c>
      <c r="B3176" s="4" t="s">
        <v>140</v>
      </c>
      <c r="C3176" s="4" t="s">
        <v>323</v>
      </c>
      <c r="D3176" s="4" t="s">
        <v>325</v>
      </c>
      <c r="E3176" s="4">
        <v>1.12</v>
      </c>
    </row>
    <row r="3177">
      <c r="A3177" s="5">
        <v>80030.0</v>
      </c>
      <c r="B3177" s="6" t="s">
        <v>140</v>
      </c>
      <c r="C3177" s="6" t="s">
        <v>323</v>
      </c>
      <c r="D3177" s="6" t="s">
        <v>325</v>
      </c>
      <c r="E3177" s="6">
        <v>1.67</v>
      </c>
    </row>
    <row r="3178">
      <c r="A3178" s="3">
        <v>122529.0</v>
      </c>
      <c r="B3178" s="4" t="s">
        <v>140</v>
      </c>
      <c r="C3178" s="4" t="s">
        <v>323</v>
      </c>
      <c r="D3178" s="4" t="s">
        <v>325</v>
      </c>
      <c r="E3178" s="4">
        <v>1.66</v>
      </c>
    </row>
    <row r="3179">
      <c r="A3179" s="5">
        <v>14042.0</v>
      </c>
      <c r="B3179" s="6" t="s">
        <v>140</v>
      </c>
      <c r="C3179" s="6" t="s">
        <v>323</v>
      </c>
      <c r="D3179" s="6" t="s">
        <v>325</v>
      </c>
      <c r="E3179" s="6">
        <v>1.73</v>
      </c>
    </row>
    <row r="3180">
      <c r="A3180" s="3">
        <v>14043.0</v>
      </c>
      <c r="B3180" s="4" t="s">
        <v>140</v>
      </c>
      <c r="C3180" s="4" t="s">
        <v>323</v>
      </c>
      <c r="D3180" s="4" t="s">
        <v>325</v>
      </c>
      <c r="E3180" s="4">
        <v>1.71</v>
      </c>
    </row>
    <row r="3181">
      <c r="A3181" s="5">
        <v>9157.0</v>
      </c>
      <c r="B3181" s="6" t="s">
        <v>140</v>
      </c>
      <c r="C3181" s="6" t="s">
        <v>323</v>
      </c>
      <c r="D3181" s="6" t="s">
        <v>326</v>
      </c>
      <c r="E3181" s="6">
        <v>1.61</v>
      </c>
    </row>
    <row r="3182">
      <c r="A3182" s="3">
        <v>149968.0</v>
      </c>
      <c r="B3182" s="4" t="s">
        <v>140</v>
      </c>
      <c r="C3182" s="4" t="s">
        <v>323</v>
      </c>
      <c r="D3182" s="4" t="s">
        <v>326</v>
      </c>
      <c r="E3182" s="4">
        <v>1.66</v>
      </c>
    </row>
    <row r="3183">
      <c r="A3183" s="5">
        <v>47299.0</v>
      </c>
      <c r="B3183" s="6" t="s">
        <v>140</v>
      </c>
      <c r="C3183" s="6" t="s">
        <v>323</v>
      </c>
      <c r="D3183" s="6" t="s">
        <v>326</v>
      </c>
      <c r="E3183" s="6">
        <v>1.84</v>
      </c>
    </row>
    <row r="3184">
      <c r="A3184" s="3">
        <v>109275.0</v>
      </c>
      <c r="B3184" s="4" t="s">
        <v>140</v>
      </c>
      <c r="C3184" s="4" t="s">
        <v>323</v>
      </c>
      <c r="D3184" s="4" t="s">
        <v>326</v>
      </c>
      <c r="E3184" s="4">
        <v>1.92</v>
      </c>
    </row>
    <row r="3185">
      <c r="A3185" s="5">
        <v>122768.0</v>
      </c>
      <c r="B3185" s="6" t="s">
        <v>140</v>
      </c>
      <c r="C3185" s="6" t="s">
        <v>323</v>
      </c>
      <c r="D3185" s="6" t="s">
        <v>326</v>
      </c>
      <c r="E3185" s="6">
        <v>1.54</v>
      </c>
    </row>
    <row r="3186">
      <c r="A3186" s="3">
        <v>80400.0</v>
      </c>
      <c r="B3186" s="4" t="s">
        <v>140</v>
      </c>
      <c r="C3186" s="4" t="s">
        <v>323</v>
      </c>
      <c r="D3186" s="4" t="s">
        <v>326</v>
      </c>
      <c r="E3186" s="4">
        <v>2.77</v>
      </c>
    </row>
    <row r="3187">
      <c r="A3187" s="5">
        <v>8803.0</v>
      </c>
      <c r="B3187" s="6" t="s">
        <v>140</v>
      </c>
      <c r="C3187" s="6" t="s">
        <v>323</v>
      </c>
      <c r="D3187" s="6" t="s">
        <v>326</v>
      </c>
      <c r="E3187" s="6">
        <v>2.24</v>
      </c>
    </row>
    <row r="3188">
      <c r="A3188" s="3">
        <v>80085.0</v>
      </c>
      <c r="B3188" s="4" t="s">
        <v>140</v>
      </c>
      <c r="C3188" s="4" t="s">
        <v>323</v>
      </c>
      <c r="D3188" s="4" t="s">
        <v>326</v>
      </c>
      <c r="E3188" s="4">
        <v>2.18</v>
      </c>
    </row>
    <row r="3189">
      <c r="A3189" s="5">
        <v>47379.0</v>
      </c>
      <c r="B3189" s="6" t="s">
        <v>140</v>
      </c>
      <c r="C3189" s="6" t="s">
        <v>323</v>
      </c>
      <c r="D3189" s="6" t="s">
        <v>326</v>
      </c>
      <c r="E3189" s="6">
        <v>1.84</v>
      </c>
    </row>
    <row r="3190">
      <c r="A3190" s="3">
        <v>47366.0</v>
      </c>
      <c r="B3190" s="4" t="s">
        <v>140</v>
      </c>
      <c r="C3190" s="4" t="s">
        <v>323</v>
      </c>
      <c r="D3190" s="4" t="s">
        <v>326</v>
      </c>
      <c r="E3190" s="4">
        <v>2.05</v>
      </c>
    </row>
    <row r="3191">
      <c r="A3191" s="5">
        <v>47376.0</v>
      </c>
      <c r="B3191" s="6" t="s">
        <v>140</v>
      </c>
      <c r="C3191" s="6" t="s">
        <v>323</v>
      </c>
      <c r="D3191" s="6" t="s">
        <v>326</v>
      </c>
      <c r="E3191" s="6">
        <v>1.84</v>
      </c>
    </row>
    <row r="3192">
      <c r="A3192" s="3">
        <v>95799.0</v>
      </c>
      <c r="B3192" s="4" t="s">
        <v>140</v>
      </c>
      <c r="C3192" s="4" t="s">
        <v>323</v>
      </c>
      <c r="D3192" s="4" t="s">
        <v>326</v>
      </c>
      <c r="E3192" s="4">
        <v>1.96</v>
      </c>
    </row>
    <row r="3193">
      <c r="A3193" s="5">
        <v>112733.0</v>
      </c>
      <c r="B3193" s="6" t="s">
        <v>140</v>
      </c>
      <c r="C3193" s="6" t="s">
        <v>323</v>
      </c>
      <c r="D3193" s="6" t="s">
        <v>326</v>
      </c>
      <c r="E3193" s="6">
        <v>1.66</v>
      </c>
    </row>
    <row r="3194">
      <c r="A3194" s="3">
        <v>47050.0</v>
      </c>
      <c r="B3194" s="4" t="s">
        <v>140</v>
      </c>
      <c r="C3194" s="4" t="s">
        <v>323</v>
      </c>
      <c r="D3194" s="4" t="s">
        <v>327</v>
      </c>
      <c r="E3194" s="4">
        <v>2.11</v>
      </c>
    </row>
    <row r="3195">
      <c r="A3195" s="5">
        <v>112449.0</v>
      </c>
      <c r="B3195" s="6" t="s">
        <v>140</v>
      </c>
      <c r="C3195" s="6" t="s">
        <v>323</v>
      </c>
      <c r="D3195" s="6" t="s">
        <v>327</v>
      </c>
      <c r="E3195" s="6">
        <v>1.83</v>
      </c>
    </row>
    <row r="3196">
      <c r="A3196" s="3">
        <v>14025.0</v>
      </c>
      <c r="B3196" s="4" t="s">
        <v>140</v>
      </c>
      <c r="C3196" s="4" t="s">
        <v>323</v>
      </c>
      <c r="D3196" s="4" t="s">
        <v>327</v>
      </c>
      <c r="E3196" s="4">
        <v>1.97</v>
      </c>
    </row>
    <row r="3197">
      <c r="A3197" s="5">
        <v>26054.0</v>
      </c>
      <c r="B3197" s="6" t="s">
        <v>140</v>
      </c>
      <c r="C3197" s="6" t="s">
        <v>323</v>
      </c>
      <c r="D3197" s="6" t="s">
        <v>327</v>
      </c>
      <c r="E3197" s="6">
        <v>1.76</v>
      </c>
    </row>
    <row r="3198">
      <c r="A3198" s="3">
        <v>60366.0</v>
      </c>
      <c r="B3198" s="4" t="s">
        <v>140</v>
      </c>
      <c r="C3198" s="4" t="s">
        <v>323</v>
      </c>
      <c r="D3198" s="4" t="s">
        <v>327</v>
      </c>
      <c r="E3198" s="4">
        <v>1.95</v>
      </c>
    </row>
    <row r="3199">
      <c r="A3199" s="5">
        <v>116805.0</v>
      </c>
      <c r="B3199" s="6" t="s">
        <v>140</v>
      </c>
      <c r="C3199" s="6" t="s">
        <v>323</v>
      </c>
      <c r="D3199" s="6" t="s">
        <v>327</v>
      </c>
      <c r="E3199" s="6">
        <v>1.2</v>
      </c>
    </row>
    <row r="3200">
      <c r="A3200" s="3">
        <v>8804.0</v>
      </c>
      <c r="B3200" s="4" t="s">
        <v>140</v>
      </c>
      <c r="C3200" s="4" t="s">
        <v>323</v>
      </c>
      <c r="D3200" s="4" t="s">
        <v>327</v>
      </c>
      <c r="E3200" s="4">
        <v>2.33</v>
      </c>
    </row>
    <row r="3201">
      <c r="A3201" s="5">
        <v>48470.0</v>
      </c>
      <c r="B3201" s="6" t="s">
        <v>140</v>
      </c>
      <c r="C3201" s="6" t="s">
        <v>323</v>
      </c>
      <c r="D3201" s="6" t="s">
        <v>327</v>
      </c>
      <c r="E3201" s="6">
        <v>2.37</v>
      </c>
    </row>
    <row r="3202">
      <c r="A3202" s="3">
        <v>86485.0</v>
      </c>
      <c r="B3202" s="4" t="s">
        <v>140</v>
      </c>
      <c r="C3202" s="4" t="s">
        <v>323</v>
      </c>
      <c r="D3202" s="4" t="s">
        <v>327</v>
      </c>
      <c r="E3202" s="4">
        <v>1.76</v>
      </c>
    </row>
    <row r="3203">
      <c r="A3203" s="5">
        <v>73872.0</v>
      </c>
      <c r="B3203" s="6" t="s">
        <v>140</v>
      </c>
      <c r="C3203" s="6" t="s">
        <v>323</v>
      </c>
      <c r="D3203" s="6" t="s">
        <v>327</v>
      </c>
      <c r="E3203" s="6">
        <v>2.07</v>
      </c>
    </row>
    <row r="3204">
      <c r="A3204" s="3">
        <v>72852.0</v>
      </c>
      <c r="B3204" s="4" t="s">
        <v>140</v>
      </c>
      <c r="C3204" s="4" t="s">
        <v>323</v>
      </c>
      <c r="D3204" s="4" t="s">
        <v>327</v>
      </c>
      <c r="E3204" s="4">
        <v>2.66</v>
      </c>
    </row>
    <row r="3205">
      <c r="A3205" s="5">
        <v>85856.0</v>
      </c>
      <c r="B3205" s="6" t="s">
        <v>140</v>
      </c>
      <c r="C3205" s="6" t="s">
        <v>323</v>
      </c>
      <c r="D3205" s="6" t="s">
        <v>327</v>
      </c>
      <c r="E3205" s="6">
        <v>0.66</v>
      </c>
    </row>
    <row r="3206">
      <c r="A3206" s="3">
        <v>14018.0</v>
      </c>
      <c r="B3206" s="4" t="s">
        <v>140</v>
      </c>
      <c r="C3206" s="4" t="s">
        <v>323</v>
      </c>
      <c r="D3206" s="4" t="s">
        <v>327</v>
      </c>
      <c r="E3206" s="4">
        <v>2.17</v>
      </c>
    </row>
    <row r="3207">
      <c r="A3207" s="5">
        <v>100262.0</v>
      </c>
      <c r="B3207" s="6" t="s">
        <v>140</v>
      </c>
      <c r="C3207" s="6" t="s">
        <v>323</v>
      </c>
      <c r="D3207" s="6" t="s">
        <v>327</v>
      </c>
      <c r="E3207" s="6">
        <v>2.14</v>
      </c>
    </row>
    <row r="3208">
      <c r="A3208" s="3">
        <v>114657.0</v>
      </c>
      <c r="B3208" s="4" t="s">
        <v>140</v>
      </c>
      <c r="C3208" s="4" t="s">
        <v>323</v>
      </c>
      <c r="D3208" s="4" t="s">
        <v>327</v>
      </c>
      <c r="E3208" s="4">
        <v>1.9</v>
      </c>
    </row>
    <row r="3209">
      <c r="A3209" s="5">
        <v>150281.0</v>
      </c>
      <c r="B3209" s="6" t="s">
        <v>140</v>
      </c>
      <c r="C3209" s="6" t="s">
        <v>323</v>
      </c>
      <c r="D3209" s="6" t="s">
        <v>327</v>
      </c>
      <c r="E3209" s="6">
        <v>1.73</v>
      </c>
    </row>
    <row r="3210">
      <c r="A3210" s="3">
        <v>81491.0</v>
      </c>
      <c r="B3210" s="4" t="s">
        <v>140</v>
      </c>
      <c r="C3210" s="4" t="s">
        <v>323</v>
      </c>
      <c r="D3210" s="4" t="s">
        <v>327</v>
      </c>
      <c r="E3210" s="4">
        <v>1.81</v>
      </c>
    </row>
    <row r="3211">
      <c r="A3211" s="5">
        <v>88519.0</v>
      </c>
      <c r="B3211" s="6" t="s">
        <v>140</v>
      </c>
      <c r="C3211" s="6" t="s">
        <v>323</v>
      </c>
      <c r="D3211" s="6" t="s">
        <v>327</v>
      </c>
      <c r="E3211" s="6">
        <v>2.11</v>
      </c>
    </row>
    <row r="3212">
      <c r="A3212" s="3">
        <v>116800.0</v>
      </c>
      <c r="B3212" s="4" t="s">
        <v>140</v>
      </c>
      <c r="C3212" s="4" t="s">
        <v>323</v>
      </c>
      <c r="D3212" s="4" t="s">
        <v>327</v>
      </c>
      <c r="E3212" s="4">
        <v>1.41</v>
      </c>
    </row>
    <row r="3213">
      <c r="A3213" s="5">
        <v>117675.0</v>
      </c>
      <c r="B3213" s="6" t="s">
        <v>140</v>
      </c>
      <c r="C3213" s="6" t="s">
        <v>323</v>
      </c>
      <c r="D3213" s="6" t="s">
        <v>327</v>
      </c>
      <c r="E3213" s="6">
        <v>1.46</v>
      </c>
    </row>
    <row r="3214">
      <c r="A3214" s="3">
        <v>47051.0</v>
      </c>
      <c r="B3214" s="4" t="s">
        <v>140</v>
      </c>
      <c r="C3214" s="4" t="s">
        <v>323</v>
      </c>
      <c r="D3214" s="4" t="s">
        <v>327</v>
      </c>
      <c r="E3214" s="4">
        <v>1.83</v>
      </c>
    </row>
    <row r="3215">
      <c r="A3215" s="5">
        <v>103171.0</v>
      </c>
      <c r="B3215" s="6" t="s">
        <v>140</v>
      </c>
      <c r="C3215" s="6" t="s">
        <v>323</v>
      </c>
      <c r="D3215" s="6" t="s">
        <v>327</v>
      </c>
      <c r="E3215" s="6">
        <v>1.9</v>
      </c>
    </row>
    <row r="3216">
      <c r="A3216" s="3">
        <v>47049.0</v>
      </c>
      <c r="B3216" s="4" t="s">
        <v>140</v>
      </c>
      <c r="C3216" s="4" t="s">
        <v>323</v>
      </c>
      <c r="D3216" s="4" t="s">
        <v>327</v>
      </c>
      <c r="E3216" s="4">
        <v>1.83</v>
      </c>
    </row>
    <row r="3217">
      <c r="A3217" s="5">
        <v>47351.0</v>
      </c>
      <c r="B3217" s="6" t="s">
        <v>140</v>
      </c>
      <c r="C3217" s="6" t="s">
        <v>323</v>
      </c>
      <c r="D3217" s="6" t="s">
        <v>327</v>
      </c>
      <c r="E3217" s="6">
        <v>1.58</v>
      </c>
    </row>
    <row r="3218">
      <c r="A3218" s="3">
        <v>47575.0</v>
      </c>
      <c r="B3218" s="4" t="s">
        <v>140</v>
      </c>
      <c r="C3218" s="4" t="s">
        <v>323</v>
      </c>
      <c r="D3218" s="4" t="s">
        <v>327</v>
      </c>
      <c r="E3218" s="4">
        <v>2.51</v>
      </c>
    </row>
    <row r="3219">
      <c r="A3219" s="5">
        <v>80088.0</v>
      </c>
      <c r="B3219" s="6" t="s">
        <v>140</v>
      </c>
      <c r="C3219" s="6" t="s">
        <v>323</v>
      </c>
      <c r="D3219" s="6" t="s">
        <v>327</v>
      </c>
      <c r="E3219" s="6">
        <v>2.37</v>
      </c>
    </row>
    <row r="3220">
      <c r="A3220" s="3">
        <v>47298.0</v>
      </c>
      <c r="B3220" s="4" t="s">
        <v>140</v>
      </c>
      <c r="C3220" s="4" t="s">
        <v>323</v>
      </c>
      <c r="D3220" s="4" t="s">
        <v>327</v>
      </c>
      <c r="E3220" s="4">
        <v>1.84</v>
      </c>
    </row>
    <row r="3221">
      <c r="A3221" s="5">
        <v>100271.0</v>
      </c>
      <c r="B3221" s="6" t="s">
        <v>140</v>
      </c>
      <c r="C3221" s="6" t="s">
        <v>323</v>
      </c>
      <c r="D3221" s="6" t="s">
        <v>327</v>
      </c>
      <c r="E3221" s="6">
        <v>1.62</v>
      </c>
    </row>
    <row r="3222">
      <c r="A3222" s="3">
        <v>47621.0</v>
      </c>
      <c r="B3222" s="4" t="s">
        <v>140</v>
      </c>
      <c r="C3222" s="4" t="s">
        <v>323</v>
      </c>
      <c r="D3222" s="4" t="s">
        <v>327</v>
      </c>
      <c r="E3222" s="4">
        <v>1.84</v>
      </c>
    </row>
    <row r="3223">
      <c r="A3223" s="5">
        <v>117609.0</v>
      </c>
      <c r="B3223" s="6" t="s">
        <v>140</v>
      </c>
      <c r="C3223" s="6" t="s">
        <v>323</v>
      </c>
      <c r="D3223" s="6" t="s">
        <v>327</v>
      </c>
      <c r="E3223" s="6">
        <v>1.85</v>
      </c>
    </row>
    <row r="3224">
      <c r="A3224" s="3">
        <v>103873.0</v>
      </c>
      <c r="B3224" s="4" t="s">
        <v>140</v>
      </c>
      <c r="C3224" s="4" t="s">
        <v>323</v>
      </c>
      <c r="D3224" s="4" t="s">
        <v>327</v>
      </c>
      <c r="E3224" s="4">
        <v>1.83</v>
      </c>
    </row>
    <row r="3225">
      <c r="A3225" s="5">
        <v>14026.0</v>
      </c>
      <c r="B3225" s="6" t="s">
        <v>140</v>
      </c>
      <c r="C3225" s="6" t="s">
        <v>323</v>
      </c>
      <c r="D3225" s="6" t="s">
        <v>327</v>
      </c>
      <c r="E3225" s="6">
        <v>1.88</v>
      </c>
    </row>
    <row r="3226">
      <c r="A3226" s="3">
        <v>95951.0</v>
      </c>
      <c r="B3226" s="4" t="s">
        <v>140</v>
      </c>
      <c r="C3226" s="4" t="s">
        <v>323</v>
      </c>
      <c r="D3226" s="4" t="s">
        <v>327</v>
      </c>
      <c r="E3226" s="4">
        <v>0.65</v>
      </c>
    </row>
    <row r="3227">
      <c r="A3227" s="5">
        <v>9162.0</v>
      </c>
      <c r="B3227" s="6" t="s">
        <v>140</v>
      </c>
      <c r="C3227" s="6" t="s">
        <v>323</v>
      </c>
      <c r="D3227" s="6" t="s">
        <v>327</v>
      </c>
      <c r="E3227" s="6">
        <v>1.42</v>
      </c>
    </row>
    <row r="3228">
      <c r="A3228" s="3">
        <v>80089.0</v>
      </c>
      <c r="B3228" s="4" t="s">
        <v>140</v>
      </c>
      <c r="C3228" s="4" t="s">
        <v>323</v>
      </c>
      <c r="D3228" s="4" t="s">
        <v>327</v>
      </c>
      <c r="E3228" s="4">
        <v>2.27</v>
      </c>
    </row>
    <row r="3229">
      <c r="A3229" s="5">
        <v>122521.0</v>
      </c>
      <c r="B3229" s="6" t="s">
        <v>140</v>
      </c>
      <c r="C3229" s="6" t="s">
        <v>323</v>
      </c>
      <c r="D3229" s="6" t="s">
        <v>327</v>
      </c>
      <c r="E3229" s="6">
        <v>1.17</v>
      </c>
    </row>
    <row r="3230">
      <c r="A3230" s="3">
        <v>69300.0</v>
      </c>
      <c r="B3230" s="4" t="s">
        <v>140</v>
      </c>
      <c r="C3230" s="4" t="s">
        <v>323</v>
      </c>
      <c r="D3230" s="4" t="s">
        <v>327</v>
      </c>
      <c r="E3230" s="4">
        <v>2.25</v>
      </c>
    </row>
    <row r="3231">
      <c r="A3231" s="5">
        <v>80417.0</v>
      </c>
      <c r="B3231" s="6" t="s">
        <v>140</v>
      </c>
      <c r="C3231" s="6" t="s">
        <v>323</v>
      </c>
      <c r="D3231" s="6" t="s">
        <v>327</v>
      </c>
      <c r="E3231" s="6">
        <v>2.09</v>
      </c>
    </row>
    <row r="3232">
      <c r="A3232" s="3">
        <v>128323.0</v>
      </c>
      <c r="B3232" s="4" t="s">
        <v>140</v>
      </c>
      <c r="C3232" s="4" t="s">
        <v>323</v>
      </c>
      <c r="D3232" s="4" t="s">
        <v>327</v>
      </c>
      <c r="E3232" s="4">
        <v>1.66</v>
      </c>
    </row>
    <row r="3233">
      <c r="A3233" s="5">
        <v>80091.0</v>
      </c>
      <c r="B3233" s="6" t="s">
        <v>140</v>
      </c>
      <c r="C3233" s="6" t="s">
        <v>323</v>
      </c>
      <c r="D3233" s="6" t="s">
        <v>327</v>
      </c>
      <c r="E3233" s="6">
        <v>1.32</v>
      </c>
    </row>
    <row r="3234">
      <c r="A3234" s="3">
        <v>92927.0</v>
      </c>
      <c r="B3234" s="4" t="s">
        <v>140</v>
      </c>
      <c r="C3234" s="4" t="s">
        <v>323</v>
      </c>
      <c r="D3234" s="4" t="s">
        <v>327</v>
      </c>
      <c r="E3234" s="4">
        <v>1.44</v>
      </c>
    </row>
    <row r="3235">
      <c r="A3235" s="5">
        <v>9158.0</v>
      </c>
      <c r="B3235" s="6" t="s">
        <v>140</v>
      </c>
      <c r="C3235" s="6" t="s">
        <v>323</v>
      </c>
      <c r="D3235" s="6" t="s">
        <v>327</v>
      </c>
      <c r="E3235" s="6">
        <v>1.61</v>
      </c>
    </row>
    <row r="3236">
      <c r="A3236" s="3">
        <v>103872.0</v>
      </c>
      <c r="B3236" s="4" t="s">
        <v>140</v>
      </c>
      <c r="C3236" s="4" t="s">
        <v>323</v>
      </c>
      <c r="D3236" s="4" t="s">
        <v>327</v>
      </c>
      <c r="E3236" s="4">
        <v>1.83</v>
      </c>
    </row>
    <row r="3237">
      <c r="A3237" s="5">
        <v>116809.0</v>
      </c>
      <c r="B3237" s="6" t="s">
        <v>140</v>
      </c>
      <c r="C3237" s="6" t="s">
        <v>323</v>
      </c>
      <c r="D3237" s="6" t="s">
        <v>327</v>
      </c>
      <c r="E3237" s="6">
        <v>1.42</v>
      </c>
    </row>
    <row r="3238">
      <c r="A3238" s="3">
        <v>114655.0</v>
      </c>
      <c r="B3238" s="4" t="s">
        <v>140</v>
      </c>
      <c r="C3238" s="4" t="s">
        <v>323</v>
      </c>
      <c r="D3238" s="4" t="s">
        <v>327</v>
      </c>
      <c r="E3238" s="4">
        <v>1.98</v>
      </c>
    </row>
    <row r="3239">
      <c r="A3239" s="5">
        <v>80228.0</v>
      </c>
      <c r="B3239" s="6" t="s">
        <v>140</v>
      </c>
      <c r="C3239" s="6" t="s">
        <v>323</v>
      </c>
      <c r="D3239" s="6" t="s">
        <v>327</v>
      </c>
      <c r="E3239" s="6">
        <v>2.43</v>
      </c>
    </row>
    <row r="3240">
      <c r="A3240" s="3">
        <v>47207.0</v>
      </c>
      <c r="B3240" s="4" t="s">
        <v>140</v>
      </c>
      <c r="C3240" s="4" t="s">
        <v>323</v>
      </c>
      <c r="D3240" s="4" t="s">
        <v>327</v>
      </c>
      <c r="E3240" s="4">
        <v>1.85</v>
      </c>
    </row>
    <row r="3241">
      <c r="A3241" s="5">
        <v>116402.0</v>
      </c>
      <c r="B3241" s="6" t="s">
        <v>140</v>
      </c>
      <c r="C3241" s="6" t="s">
        <v>323</v>
      </c>
      <c r="D3241" s="6" t="s">
        <v>328</v>
      </c>
      <c r="E3241" s="6">
        <v>2.82</v>
      </c>
    </row>
    <row r="3242">
      <c r="A3242" s="3">
        <v>116408.0</v>
      </c>
      <c r="B3242" s="4" t="s">
        <v>140</v>
      </c>
      <c r="C3242" s="4" t="s">
        <v>323</v>
      </c>
      <c r="D3242" s="4" t="s">
        <v>328</v>
      </c>
      <c r="E3242" s="4">
        <v>2.57</v>
      </c>
    </row>
    <row r="3243">
      <c r="A3243" s="5">
        <v>83592.0</v>
      </c>
      <c r="B3243" s="6" t="s">
        <v>140</v>
      </c>
      <c r="C3243" s="6" t="s">
        <v>323</v>
      </c>
      <c r="D3243" s="6" t="s">
        <v>328</v>
      </c>
      <c r="E3243" s="6">
        <v>3.56</v>
      </c>
    </row>
    <row r="3244">
      <c r="A3244" s="3">
        <v>122241.0</v>
      </c>
      <c r="B3244" s="4" t="s">
        <v>140</v>
      </c>
      <c r="C3244" s="4" t="s">
        <v>323</v>
      </c>
      <c r="D3244" s="4" t="s">
        <v>328</v>
      </c>
      <c r="E3244" s="4">
        <v>1.85</v>
      </c>
    </row>
    <row r="3245">
      <c r="A3245" s="5">
        <v>112799.0</v>
      </c>
      <c r="B3245" s="6" t="s">
        <v>140</v>
      </c>
      <c r="C3245" s="6" t="s">
        <v>323</v>
      </c>
      <c r="D3245" s="6" t="s">
        <v>328</v>
      </c>
      <c r="E3245" s="6">
        <v>3.14</v>
      </c>
    </row>
    <row r="3246">
      <c r="A3246" s="3">
        <v>122659.0</v>
      </c>
      <c r="B3246" s="4" t="s">
        <v>140</v>
      </c>
      <c r="C3246" s="4" t="s">
        <v>323</v>
      </c>
      <c r="D3246" s="4" t="s">
        <v>328</v>
      </c>
      <c r="E3246" s="4">
        <v>3.2</v>
      </c>
    </row>
    <row r="3247">
      <c r="A3247" s="5">
        <v>112797.0</v>
      </c>
      <c r="B3247" s="6" t="s">
        <v>140</v>
      </c>
      <c r="C3247" s="6" t="s">
        <v>323</v>
      </c>
      <c r="D3247" s="6" t="s">
        <v>328</v>
      </c>
      <c r="E3247" s="6">
        <v>3.01</v>
      </c>
    </row>
    <row r="3248">
      <c r="A3248" s="3">
        <v>122663.0</v>
      </c>
      <c r="B3248" s="4" t="s">
        <v>140</v>
      </c>
      <c r="C3248" s="4" t="s">
        <v>323</v>
      </c>
      <c r="D3248" s="4" t="s">
        <v>328</v>
      </c>
      <c r="E3248" s="4">
        <v>2.49</v>
      </c>
    </row>
    <row r="3249">
      <c r="A3249" s="5">
        <v>112809.0</v>
      </c>
      <c r="B3249" s="6" t="s">
        <v>140</v>
      </c>
      <c r="C3249" s="6" t="s">
        <v>323</v>
      </c>
      <c r="D3249" s="6" t="s">
        <v>328</v>
      </c>
      <c r="E3249" s="6">
        <v>1.08</v>
      </c>
    </row>
    <row r="3250">
      <c r="A3250" s="3">
        <v>80220.0</v>
      </c>
      <c r="B3250" s="4" t="s">
        <v>140</v>
      </c>
      <c r="C3250" s="4" t="s">
        <v>323</v>
      </c>
      <c r="D3250" s="4" t="s">
        <v>328</v>
      </c>
      <c r="E3250" s="4">
        <v>2.7</v>
      </c>
    </row>
    <row r="3251">
      <c r="A3251" s="5">
        <v>112732.0</v>
      </c>
      <c r="B3251" s="6" t="s">
        <v>140</v>
      </c>
      <c r="C3251" s="6" t="s">
        <v>323</v>
      </c>
      <c r="D3251" s="6" t="s">
        <v>328</v>
      </c>
      <c r="E3251" s="6">
        <v>2.52</v>
      </c>
    </row>
    <row r="3252">
      <c r="A3252" s="3">
        <v>83354.0</v>
      </c>
      <c r="B3252" s="4" t="s">
        <v>140</v>
      </c>
      <c r="C3252" s="4" t="s">
        <v>323</v>
      </c>
      <c r="D3252" s="4" t="s">
        <v>328</v>
      </c>
      <c r="E3252" s="4">
        <v>2.35</v>
      </c>
    </row>
    <row r="3253">
      <c r="A3253" s="5">
        <v>116410.0</v>
      </c>
      <c r="B3253" s="6" t="s">
        <v>140</v>
      </c>
      <c r="C3253" s="6" t="s">
        <v>323</v>
      </c>
      <c r="D3253" s="6" t="s">
        <v>328</v>
      </c>
      <c r="E3253" s="6">
        <v>2.57</v>
      </c>
    </row>
    <row r="3254">
      <c r="A3254" s="3">
        <v>103841.0</v>
      </c>
      <c r="B3254" s="4" t="s">
        <v>140</v>
      </c>
      <c r="C3254" s="4" t="s">
        <v>323</v>
      </c>
      <c r="D3254" s="4" t="s">
        <v>328</v>
      </c>
      <c r="E3254" s="4">
        <v>1.73</v>
      </c>
    </row>
    <row r="3255">
      <c r="A3255" s="5">
        <v>116746.0</v>
      </c>
      <c r="B3255" s="6" t="s">
        <v>140</v>
      </c>
      <c r="C3255" s="6" t="s">
        <v>323</v>
      </c>
      <c r="D3255" s="6" t="s">
        <v>328</v>
      </c>
      <c r="E3255" s="6">
        <v>2.04</v>
      </c>
    </row>
    <row r="3256">
      <c r="A3256" s="3">
        <v>116405.0</v>
      </c>
      <c r="B3256" s="4" t="s">
        <v>140</v>
      </c>
      <c r="C3256" s="4" t="s">
        <v>323</v>
      </c>
      <c r="D3256" s="4" t="s">
        <v>328</v>
      </c>
      <c r="E3256" s="4">
        <v>2.84</v>
      </c>
    </row>
    <row r="3257">
      <c r="A3257" s="5">
        <v>112810.0</v>
      </c>
      <c r="B3257" s="6" t="s">
        <v>140</v>
      </c>
      <c r="C3257" s="6" t="s">
        <v>323</v>
      </c>
      <c r="D3257" s="6" t="s">
        <v>328</v>
      </c>
      <c r="E3257" s="6">
        <v>2.45</v>
      </c>
    </row>
    <row r="3258">
      <c r="A3258" s="3">
        <v>47347.0</v>
      </c>
      <c r="B3258" s="4" t="s">
        <v>140</v>
      </c>
      <c r="C3258" s="4" t="s">
        <v>323</v>
      </c>
      <c r="D3258" s="4" t="s">
        <v>329</v>
      </c>
      <c r="E3258" s="4">
        <v>1.94</v>
      </c>
    </row>
    <row r="3259">
      <c r="A3259" s="5">
        <v>101902.0</v>
      </c>
      <c r="B3259" s="6" t="s">
        <v>140</v>
      </c>
      <c r="C3259" s="6" t="s">
        <v>323</v>
      </c>
      <c r="D3259" s="6" t="s">
        <v>329</v>
      </c>
      <c r="E3259" s="6">
        <v>2.31</v>
      </c>
    </row>
    <row r="3260">
      <c r="A3260" s="3">
        <v>92926.0</v>
      </c>
      <c r="B3260" s="4" t="s">
        <v>140</v>
      </c>
      <c r="C3260" s="4" t="s">
        <v>323</v>
      </c>
      <c r="D3260" s="4" t="s">
        <v>329</v>
      </c>
      <c r="E3260" s="4">
        <v>3.02</v>
      </c>
    </row>
    <row r="3261">
      <c r="A3261" s="5">
        <v>47345.0</v>
      </c>
      <c r="B3261" s="6" t="s">
        <v>140</v>
      </c>
      <c r="C3261" s="6" t="s">
        <v>323</v>
      </c>
      <c r="D3261" s="6" t="s">
        <v>329</v>
      </c>
      <c r="E3261" s="6">
        <v>1.94</v>
      </c>
    </row>
    <row r="3262">
      <c r="A3262" s="3">
        <v>121611.0</v>
      </c>
      <c r="B3262" s="4" t="s">
        <v>140</v>
      </c>
      <c r="C3262" s="4" t="s">
        <v>323</v>
      </c>
      <c r="D3262" s="4" t="s">
        <v>329</v>
      </c>
      <c r="E3262" s="4">
        <v>2.59</v>
      </c>
    </row>
    <row r="3263">
      <c r="A3263" s="5">
        <v>73310.0</v>
      </c>
      <c r="B3263" s="6" t="s">
        <v>140</v>
      </c>
      <c r="C3263" s="6" t="s">
        <v>323</v>
      </c>
      <c r="D3263" s="6" t="s">
        <v>329</v>
      </c>
      <c r="E3263" s="6">
        <v>2.36</v>
      </c>
    </row>
    <row r="3264">
      <c r="A3264" s="3">
        <v>80102.0</v>
      </c>
      <c r="B3264" s="4" t="s">
        <v>140</v>
      </c>
      <c r="C3264" s="4" t="s">
        <v>323</v>
      </c>
      <c r="D3264" s="4" t="s">
        <v>329</v>
      </c>
      <c r="E3264" s="4">
        <v>3.04</v>
      </c>
    </row>
    <row r="3265">
      <c r="A3265" s="5">
        <v>122773.0</v>
      </c>
      <c r="B3265" s="6" t="s">
        <v>140</v>
      </c>
      <c r="C3265" s="6" t="s">
        <v>323</v>
      </c>
      <c r="D3265" s="6" t="s">
        <v>329</v>
      </c>
      <c r="E3265" s="6">
        <v>2.21</v>
      </c>
    </row>
    <row r="3266">
      <c r="A3266" s="3">
        <v>119421.0</v>
      </c>
      <c r="B3266" s="4" t="s">
        <v>140</v>
      </c>
      <c r="C3266" s="4" t="s">
        <v>323</v>
      </c>
      <c r="D3266" s="4" t="s">
        <v>329</v>
      </c>
      <c r="E3266" s="4">
        <v>4.3</v>
      </c>
    </row>
    <row r="3267">
      <c r="A3267" s="5">
        <v>118276.0</v>
      </c>
      <c r="B3267" s="6" t="s">
        <v>140</v>
      </c>
      <c r="C3267" s="6" t="s">
        <v>323</v>
      </c>
      <c r="D3267" s="6" t="s">
        <v>329</v>
      </c>
      <c r="E3267" s="6">
        <v>1.9</v>
      </c>
    </row>
    <row r="3268">
      <c r="A3268" s="3">
        <v>47314.0</v>
      </c>
      <c r="B3268" s="4" t="s">
        <v>140</v>
      </c>
      <c r="C3268" s="4" t="s">
        <v>323</v>
      </c>
      <c r="D3268" s="4" t="s">
        <v>329</v>
      </c>
      <c r="E3268" s="4">
        <v>2.15</v>
      </c>
    </row>
    <row r="3269">
      <c r="A3269" s="5">
        <v>122771.0</v>
      </c>
      <c r="B3269" s="6" t="s">
        <v>140</v>
      </c>
      <c r="C3269" s="6" t="s">
        <v>323</v>
      </c>
      <c r="D3269" s="6" t="s">
        <v>329</v>
      </c>
      <c r="E3269" s="6">
        <v>2.53</v>
      </c>
    </row>
    <row r="3270">
      <c r="A3270" s="3">
        <v>47380.0</v>
      </c>
      <c r="B3270" s="4" t="s">
        <v>140</v>
      </c>
      <c r="C3270" s="4" t="s">
        <v>323</v>
      </c>
      <c r="D3270" s="4" t="s">
        <v>330</v>
      </c>
      <c r="E3270" s="4">
        <v>1.81</v>
      </c>
    </row>
    <row r="3271">
      <c r="A3271" s="5">
        <v>98329.0</v>
      </c>
      <c r="B3271" s="6" t="s">
        <v>140</v>
      </c>
      <c r="C3271" s="6" t="s">
        <v>323</v>
      </c>
      <c r="D3271" s="6" t="s">
        <v>330</v>
      </c>
      <c r="E3271" s="6">
        <v>2.09</v>
      </c>
    </row>
    <row r="3272">
      <c r="A3272" s="3">
        <v>81485.0</v>
      </c>
      <c r="B3272" s="4" t="s">
        <v>140</v>
      </c>
      <c r="C3272" s="4" t="s">
        <v>323</v>
      </c>
      <c r="D3272" s="4" t="s">
        <v>330</v>
      </c>
      <c r="E3272" s="4">
        <v>1.81</v>
      </c>
    </row>
    <row r="3273">
      <c r="A3273" s="5">
        <v>77847.0</v>
      </c>
      <c r="B3273" s="6" t="s">
        <v>140</v>
      </c>
      <c r="C3273" s="6" t="s">
        <v>323</v>
      </c>
      <c r="D3273" s="6" t="s">
        <v>330</v>
      </c>
      <c r="E3273" s="6">
        <v>3.52</v>
      </c>
    </row>
    <row r="3274">
      <c r="A3274" s="3">
        <v>77290.0</v>
      </c>
      <c r="B3274" s="4" t="s">
        <v>140</v>
      </c>
      <c r="C3274" s="4" t="s">
        <v>323</v>
      </c>
      <c r="D3274" s="4" t="s">
        <v>330</v>
      </c>
      <c r="E3274" s="4">
        <v>1.75</v>
      </c>
    </row>
    <row r="3275">
      <c r="A3275" s="5">
        <v>114656.0</v>
      </c>
      <c r="B3275" s="6" t="s">
        <v>140</v>
      </c>
      <c r="C3275" s="6" t="s">
        <v>323</v>
      </c>
      <c r="D3275" s="6" t="s">
        <v>330</v>
      </c>
      <c r="E3275" s="6">
        <v>1.81</v>
      </c>
    </row>
    <row r="3276">
      <c r="A3276" s="3">
        <v>118486.0</v>
      </c>
      <c r="B3276" s="4" t="s">
        <v>140</v>
      </c>
      <c r="C3276" s="4" t="s">
        <v>323</v>
      </c>
      <c r="D3276" s="4" t="s">
        <v>330</v>
      </c>
      <c r="E3276" s="4">
        <v>2.09</v>
      </c>
    </row>
    <row r="3277">
      <c r="A3277" s="5">
        <v>101889.0</v>
      </c>
      <c r="B3277" s="6" t="s">
        <v>140</v>
      </c>
      <c r="C3277" s="6" t="s">
        <v>323</v>
      </c>
      <c r="D3277" s="6" t="s">
        <v>330</v>
      </c>
      <c r="E3277" s="6">
        <v>2.05</v>
      </c>
    </row>
    <row r="3278">
      <c r="A3278" s="3">
        <v>14030.0</v>
      </c>
      <c r="B3278" s="4" t="s">
        <v>140</v>
      </c>
      <c r="C3278" s="4" t="s">
        <v>323</v>
      </c>
      <c r="D3278" s="4" t="s">
        <v>330</v>
      </c>
      <c r="E3278" s="4">
        <v>1.75</v>
      </c>
    </row>
    <row r="3279">
      <c r="A3279" s="5">
        <v>47381.0</v>
      </c>
      <c r="B3279" s="6" t="s">
        <v>140</v>
      </c>
      <c r="C3279" s="6" t="s">
        <v>323</v>
      </c>
      <c r="D3279" s="6" t="s">
        <v>330</v>
      </c>
      <c r="E3279" s="6">
        <v>1.81</v>
      </c>
    </row>
    <row r="3280">
      <c r="A3280" s="3">
        <v>101888.0</v>
      </c>
      <c r="B3280" s="4" t="s">
        <v>140</v>
      </c>
      <c r="C3280" s="4" t="s">
        <v>323</v>
      </c>
      <c r="D3280" s="4" t="s">
        <v>330</v>
      </c>
      <c r="E3280" s="4">
        <v>1.98</v>
      </c>
    </row>
    <row r="3281">
      <c r="A3281" s="5">
        <v>98328.0</v>
      </c>
      <c r="B3281" s="6" t="s">
        <v>140</v>
      </c>
      <c r="C3281" s="6" t="s">
        <v>323</v>
      </c>
      <c r="D3281" s="6" t="s">
        <v>330</v>
      </c>
      <c r="E3281" s="6">
        <v>2.09</v>
      </c>
    </row>
    <row r="3282">
      <c r="A3282" s="3">
        <v>79775.0</v>
      </c>
      <c r="B3282" s="4" t="s">
        <v>140</v>
      </c>
      <c r="C3282" s="4" t="s">
        <v>323</v>
      </c>
      <c r="D3282" s="4" t="s">
        <v>331</v>
      </c>
      <c r="E3282" s="4">
        <v>2.11</v>
      </c>
    </row>
    <row r="3283">
      <c r="A3283" s="5">
        <v>122616.0</v>
      </c>
      <c r="B3283" s="6" t="s">
        <v>140</v>
      </c>
      <c r="C3283" s="6" t="s">
        <v>323</v>
      </c>
      <c r="D3283" s="6" t="s">
        <v>331</v>
      </c>
      <c r="E3283" s="6">
        <v>2.07</v>
      </c>
    </row>
    <row r="3284">
      <c r="A3284" s="3">
        <v>101950.0</v>
      </c>
      <c r="B3284" s="4" t="s">
        <v>140</v>
      </c>
      <c r="C3284" s="4" t="s">
        <v>323</v>
      </c>
      <c r="D3284" s="4" t="s">
        <v>331</v>
      </c>
      <c r="E3284" s="4">
        <v>2.23</v>
      </c>
    </row>
    <row r="3285">
      <c r="A3285" s="5">
        <v>9163.0</v>
      </c>
      <c r="B3285" s="6" t="s">
        <v>140</v>
      </c>
      <c r="C3285" s="6" t="s">
        <v>323</v>
      </c>
      <c r="D3285" s="6" t="s">
        <v>331</v>
      </c>
      <c r="E3285" s="6">
        <v>1.41</v>
      </c>
    </row>
    <row r="3286">
      <c r="A3286" s="3">
        <v>110106.0</v>
      </c>
      <c r="B3286" s="4" t="s">
        <v>140</v>
      </c>
      <c r="C3286" s="4" t="s">
        <v>323</v>
      </c>
      <c r="D3286" s="4" t="s">
        <v>331</v>
      </c>
      <c r="E3286" s="4">
        <v>1.57</v>
      </c>
    </row>
    <row r="3287">
      <c r="A3287" s="5">
        <v>14045.0</v>
      </c>
      <c r="B3287" s="6" t="s">
        <v>140</v>
      </c>
      <c r="C3287" s="6" t="s">
        <v>323</v>
      </c>
      <c r="D3287" s="6" t="s">
        <v>332</v>
      </c>
      <c r="E3287" s="6">
        <v>1.71</v>
      </c>
    </row>
    <row r="3288">
      <c r="A3288" s="3">
        <v>95993.0</v>
      </c>
      <c r="B3288" s="4" t="s">
        <v>140</v>
      </c>
      <c r="C3288" s="4" t="s">
        <v>323</v>
      </c>
      <c r="D3288" s="4" t="s">
        <v>332</v>
      </c>
      <c r="E3288" s="4">
        <v>0.57</v>
      </c>
    </row>
    <row r="3289">
      <c r="A3289" s="5">
        <v>81488.0</v>
      </c>
      <c r="B3289" s="6" t="s">
        <v>140</v>
      </c>
      <c r="C3289" s="6" t="s">
        <v>323</v>
      </c>
      <c r="D3289" s="6" t="s">
        <v>332</v>
      </c>
      <c r="E3289" s="6">
        <v>1.85</v>
      </c>
    </row>
    <row r="3290">
      <c r="A3290" s="3">
        <v>14049.0</v>
      </c>
      <c r="B3290" s="4" t="s">
        <v>140</v>
      </c>
      <c r="C3290" s="4" t="s">
        <v>323</v>
      </c>
      <c r="D3290" s="4" t="s">
        <v>332</v>
      </c>
      <c r="E3290" s="4">
        <v>1.81</v>
      </c>
    </row>
    <row r="3291">
      <c r="A3291" s="5">
        <v>121749.0</v>
      </c>
      <c r="B3291" s="6" t="s">
        <v>140</v>
      </c>
      <c r="C3291" s="6" t="s">
        <v>323</v>
      </c>
      <c r="D3291" s="6" t="s">
        <v>332</v>
      </c>
      <c r="E3291" s="6">
        <v>1.43</v>
      </c>
    </row>
    <row r="3292">
      <c r="A3292" s="3">
        <v>101927.0</v>
      </c>
      <c r="B3292" s="4" t="s">
        <v>140</v>
      </c>
      <c r="C3292" s="4" t="s">
        <v>323</v>
      </c>
      <c r="D3292" s="4" t="s">
        <v>332</v>
      </c>
      <c r="E3292" s="4">
        <v>2.05</v>
      </c>
    </row>
    <row r="3293">
      <c r="A3293" s="5">
        <v>103864.0</v>
      </c>
      <c r="B3293" s="6" t="s">
        <v>140</v>
      </c>
      <c r="C3293" s="6" t="s">
        <v>323</v>
      </c>
      <c r="D3293" s="6" t="s">
        <v>332</v>
      </c>
      <c r="E3293" s="6">
        <v>2.11</v>
      </c>
    </row>
    <row r="3294">
      <c r="A3294" s="3">
        <v>85862.0</v>
      </c>
      <c r="B3294" s="4" t="s">
        <v>140</v>
      </c>
      <c r="C3294" s="4" t="s">
        <v>323</v>
      </c>
      <c r="D3294" s="4" t="s">
        <v>332</v>
      </c>
      <c r="E3294" s="4">
        <v>2.01</v>
      </c>
    </row>
    <row r="3295">
      <c r="A3295" s="5">
        <v>46124.0</v>
      </c>
      <c r="B3295" s="6" t="s">
        <v>9</v>
      </c>
      <c r="C3295" s="6" t="s">
        <v>333</v>
      </c>
      <c r="D3295" s="6" t="s">
        <v>334</v>
      </c>
      <c r="E3295" s="6">
        <v>1.11</v>
      </c>
    </row>
    <row r="3296">
      <c r="A3296" s="3">
        <v>114346.0</v>
      </c>
      <c r="B3296" s="4" t="s">
        <v>9</v>
      </c>
      <c r="C3296" s="4" t="s">
        <v>333</v>
      </c>
      <c r="D3296" s="4" t="s">
        <v>334</v>
      </c>
      <c r="E3296" s="4">
        <v>1.5</v>
      </c>
    </row>
    <row r="3297">
      <c r="A3297" s="5">
        <v>80194.0</v>
      </c>
      <c r="B3297" s="6" t="s">
        <v>9</v>
      </c>
      <c r="C3297" s="6" t="s">
        <v>333</v>
      </c>
      <c r="D3297" s="6" t="s">
        <v>334</v>
      </c>
      <c r="E3297" s="6">
        <v>2.29</v>
      </c>
    </row>
    <row r="3298">
      <c r="A3298" s="3">
        <v>80192.0</v>
      </c>
      <c r="B3298" s="4" t="s">
        <v>9</v>
      </c>
      <c r="C3298" s="4" t="s">
        <v>333</v>
      </c>
      <c r="D3298" s="4" t="s">
        <v>334</v>
      </c>
      <c r="E3298" s="4">
        <v>2.2</v>
      </c>
    </row>
    <row r="3299">
      <c r="A3299" s="5">
        <v>46109.0</v>
      </c>
      <c r="B3299" s="6" t="s">
        <v>9</v>
      </c>
      <c r="C3299" s="6" t="s">
        <v>333</v>
      </c>
      <c r="D3299" s="6" t="s">
        <v>334</v>
      </c>
      <c r="E3299" s="6">
        <v>0.96</v>
      </c>
    </row>
    <row r="3300">
      <c r="A3300" s="3">
        <v>80196.0</v>
      </c>
      <c r="B3300" s="4" t="s">
        <v>9</v>
      </c>
      <c r="C3300" s="4" t="s">
        <v>333</v>
      </c>
      <c r="D3300" s="4" t="s">
        <v>334</v>
      </c>
      <c r="E3300" s="4">
        <v>2.19</v>
      </c>
    </row>
    <row r="3301">
      <c r="A3301" s="5">
        <v>149602.0</v>
      </c>
      <c r="B3301" s="6" t="s">
        <v>9</v>
      </c>
      <c r="C3301" s="6" t="s">
        <v>333</v>
      </c>
      <c r="D3301" s="6" t="s">
        <v>334</v>
      </c>
      <c r="E3301" s="6">
        <v>1.03</v>
      </c>
    </row>
    <row r="3302">
      <c r="A3302" s="3">
        <v>46123.0</v>
      </c>
      <c r="B3302" s="4" t="s">
        <v>9</v>
      </c>
      <c r="C3302" s="4" t="s">
        <v>333</v>
      </c>
      <c r="D3302" s="4" t="s">
        <v>334</v>
      </c>
      <c r="E3302" s="4">
        <v>1.02</v>
      </c>
    </row>
    <row r="3303">
      <c r="A3303" s="5">
        <v>46113.0</v>
      </c>
      <c r="B3303" s="6" t="s">
        <v>9</v>
      </c>
      <c r="C3303" s="6" t="s">
        <v>333</v>
      </c>
      <c r="D3303" s="6" t="s">
        <v>334</v>
      </c>
      <c r="E3303" s="6">
        <v>1.03</v>
      </c>
    </row>
    <row r="3304">
      <c r="A3304" s="3">
        <v>46116.0</v>
      </c>
      <c r="B3304" s="4" t="s">
        <v>9</v>
      </c>
      <c r="C3304" s="4" t="s">
        <v>333</v>
      </c>
      <c r="D3304" s="4" t="s">
        <v>334</v>
      </c>
      <c r="E3304" s="4">
        <v>1.3</v>
      </c>
    </row>
    <row r="3305">
      <c r="A3305" s="5">
        <v>46119.0</v>
      </c>
      <c r="B3305" s="6" t="s">
        <v>9</v>
      </c>
      <c r="C3305" s="6" t="s">
        <v>333</v>
      </c>
      <c r="D3305" s="6" t="s">
        <v>334</v>
      </c>
      <c r="E3305" s="6">
        <v>1.12</v>
      </c>
    </row>
    <row r="3306">
      <c r="A3306" s="3">
        <v>63867.0</v>
      </c>
      <c r="B3306" s="4" t="s">
        <v>9</v>
      </c>
      <c r="C3306" s="4" t="s">
        <v>333</v>
      </c>
      <c r="D3306" s="4" t="s">
        <v>334</v>
      </c>
      <c r="E3306" s="4">
        <v>2.01</v>
      </c>
    </row>
    <row r="3307">
      <c r="A3307" s="5">
        <v>80190.0</v>
      </c>
      <c r="B3307" s="6" t="s">
        <v>9</v>
      </c>
      <c r="C3307" s="6" t="s">
        <v>333</v>
      </c>
      <c r="D3307" s="6" t="s">
        <v>334</v>
      </c>
      <c r="E3307" s="6">
        <v>1.86</v>
      </c>
    </row>
    <row r="3308">
      <c r="A3308" s="3">
        <v>48485.0</v>
      </c>
      <c r="B3308" s="4" t="s">
        <v>9</v>
      </c>
      <c r="C3308" s="4" t="s">
        <v>333</v>
      </c>
      <c r="D3308" s="4" t="s">
        <v>334</v>
      </c>
      <c r="E3308" s="4">
        <v>10.14</v>
      </c>
    </row>
    <row r="3309">
      <c r="A3309" s="5">
        <v>80203.0</v>
      </c>
      <c r="B3309" s="6" t="s">
        <v>9</v>
      </c>
      <c r="C3309" s="6" t="s">
        <v>333</v>
      </c>
      <c r="D3309" s="6" t="s">
        <v>334</v>
      </c>
      <c r="E3309" s="6">
        <v>1.78</v>
      </c>
    </row>
    <row r="3310">
      <c r="A3310" s="3">
        <v>100670.0</v>
      </c>
      <c r="B3310" s="4" t="s">
        <v>9</v>
      </c>
      <c r="C3310" s="4" t="s">
        <v>333</v>
      </c>
      <c r="D3310" s="4" t="s">
        <v>334</v>
      </c>
      <c r="E3310" s="4">
        <v>1.03</v>
      </c>
    </row>
    <row r="3311">
      <c r="A3311" s="5">
        <v>16546.0</v>
      </c>
      <c r="B3311" s="6" t="s">
        <v>9</v>
      </c>
      <c r="C3311" s="6" t="s">
        <v>333</v>
      </c>
      <c r="D3311" s="6" t="s">
        <v>334</v>
      </c>
      <c r="E3311" s="6">
        <v>1.16</v>
      </c>
    </row>
    <row r="3312">
      <c r="A3312" s="3">
        <v>121622.0</v>
      </c>
      <c r="B3312" s="4" t="s">
        <v>9</v>
      </c>
      <c r="C3312" s="4" t="s">
        <v>333</v>
      </c>
      <c r="D3312" s="4" t="s">
        <v>334</v>
      </c>
      <c r="E3312" s="4">
        <v>1.09</v>
      </c>
    </row>
    <row r="3313">
      <c r="A3313" s="5">
        <v>80202.0</v>
      </c>
      <c r="B3313" s="6" t="s">
        <v>9</v>
      </c>
      <c r="C3313" s="6" t="s">
        <v>333</v>
      </c>
      <c r="D3313" s="6" t="s">
        <v>334</v>
      </c>
      <c r="E3313" s="6">
        <v>0.78</v>
      </c>
    </row>
    <row r="3314">
      <c r="A3314" s="3">
        <v>24263.0</v>
      </c>
      <c r="B3314" s="4" t="s">
        <v>9</v>
      </c>
      <c r="C3314" s="4" t="s">
        <v>333</v>
      </c>
      <c r="D3314" s="4" t="s">
        <v>334</v>
      </c>
      <c r="E3314" s="4">
        <v>1.36</v>
      </c>
    </row>
    <row r="3315">
      <c r="A3315" s="5">
        <v>16552.0</v>
      </c>
      <c r="B3315" s="6" t="s">
        <v>9</v>
      </c>
      <c r="C3315" s="6" t="s">
        <v>333</v>
      </c>
      <c r="D3315" s="6" t="s">
        <v>334</v>
      </c>
      <c r="E3315" s="6">
        <v>1.5</v>
      </c>
    </row>
    <row r="3316">
      <c r="A3316" s="3">
        <v>112771.0</v>
      </c>
      <c r="B3316" s="4" t="s">
        <v>9</v>
      </c>
      <c r="C3316" s="4" t="s">
        <v>333</v>
      </c>
      <c r="D3316" s="4" t="s">
        <v>335</v>
      </c>
      <c r="E3316" s="4">
        <v>0.81</v>
      </c>
    </row>
    <row r="3317">
      <c r="A3317" s="5">
        <v>116197.0</v>
      </c>
      <c r="B3317" s="6" t="s">
        <v>9</v>
      </c>
      <c r="C3317" s="6" t="s">
        <v>333</v>
      </c>
      <c r="D3317" s="6" t="s">
        <v>335</v>
      </c>
      <c r="E3317" s="6">
        <v>1.03</v>
      </c>
    </row>
    <row r="3318">
      <c r="A3318" s="3">
        <v>46138.0</v>
      </c>
      <c r="B3318" s="4" t="s">
        <v>9</v>
      </c>
      <c r="C3318" s="4" t="s">
        <v>333</v>
      </c>
      <c r="D3318" s="4" t="s">
        <v>335</v>
      </c>
      <c r="E3318" s="4">
        <v>0.85</v>
      </c>
    </row>
    <row r="3319">
      <c r="A3319" s="5">
        <v>109546.0</v>
      </c>
      <c r="B3319" s="6" t="s">
        <v>9</v>
      </c>
      <c r="C3319" s="6" t="s">
        <v>333</v>
      </c>
      <c r="D3319" s="6" t="s">
        <v>335</v>
      </c>
      <c r="E3319" s="6">
        <v>1.24</v>
      </c>
    </row>
    <row r="3320">
      <c r="A3320" s="3">
        <v>199475.0</v>
      </c>
      <c r="B3320" s="4" t="s">
        <v>9</v>
      </c>
      <c r="C3320" s="4" t="s">
        <v>333</v>
      </c>
      <c r="D3320" s="4" t="s">
        <v>335</v>
      </c>
      <c r="E3320" s="4">
        <v>1.5</v>
      </c>
    </row>
    <row r="3321">
      <c r="A3321" s="5">
        <v>199479.0</v>
      </c>
      <c r="B3321" s="6" t="s">
        <v>9</v>
      </c>
      <c r="C3321" s="6" t="s">
        <v>333</v>
      </c>
      <c r="D3321" s="6" t="s">
        <v>335</v>
      </c>
      <c r="E3321" s="6">
        <v>1.77</v>
      </c>
    </row>
    <row r="3322">
      <c r="A3322" s="3">
        <v>48180.0</v>
      </c>
      <c r="B3322" s="4" t="s">
        <v>9</v>
      </c>
      <c r="C3322" s="4" t="s">
        <v>333</v>
      </c>
      <c r="D3322" s="4" t="s">
        <v>336</v>
      </c>
      <c r="E3322" s="4">
        <v>1.83</v>
      </c>
    </row>
    <row r="3323">
      <c r="A3323" s="5">
        <v>90374.0</v>
      </c>
      <c r="B3323" s="6" t="s">
        <v>9</v>
      </c>
      <c r="C3323" s="6" t="s">
        <v>333</v>
      </c>
      <c r="D3323" s="6" t="s">
        <v>336</v>
      </c>
      <c r="E3323" s="6">
        <v>1.81</v>
      </c>
    </row>
    <row r="3324">
      <c r="A3324" s="3">
        <v>80318.0</v>
      </c>
      <c r="B3324" s="4" t="s">
        <v>9</v>
      </c>
      <c r="C3324" s="4" t="s">
        <v>333</v>
      </c>
      <c r="D3324" s="4" t="s">
        <v>336</v>
      </c>
      <c r="E3324" s="4">
        <v>1.86</v>
      </c>
    </row>
    <row r="3325">
      <c r="A3325" s="5">
        <v>6206.0</v>
      </c>
      <c r="B3325" s="6" t="s">
        <v>9</v>
      </c>
      <c r="C3325" s="6" t="s">
        <v>333</v>
      </c>
      <c r="D3325" s="6" t="s">
        <v>336</v>
      </c>
      <c r="E3325" s="6">
        <v>10.47</v>
      </c>
    </row>
    <row r="3326">
      <c r="A3326" s="3">
        <v>181492.0</v>
      </c>
      <c r="B3326" s="4" t="s">
        <v>9</v>
      </c>
      <c r="C3326" s="4" t="s">
        <v>333</v>
      </c>
      <c r="D3326" s="4" t="s">
        <v>336</v>
      </c>
      <c r="E3326" s="4">
        <v>1.64</v>
      </c>
    </row>
    <row r="3327">
      <c r="A3327" s="5">
        <v>148738.0</v>
      </c>
      <c r="B3327" s="6" t="s">
        <v>9</v>
      </c>
      <c r="C3327" s="6" t="s">
        <v>333</v>
      </c>
      <c r="D3327" s="6" t="s">
        <v>336</v>
      </c>
      <c r="E3327" s="6">
        <v>1.34</v>
      </c>
    </row>
    <row r="3328">
      <c r="A3328" s="3">
        <v>100692.0</v>
      </c>
      <c r="B3328" s="4" t="s">
        <v>9</v>
      </c>
      <c r="C3328" s="4" t="s">
        <v>333</v>
      </c>
      <c r="D3328" s="4" t="s">
        <v>336</v>
      </c>
      <c r="E3328" s="4">
        <v>1.24</v>
      </c>
    </row>
    <row r="3329">
      <c r="A3329" s="5">
        <v>121708.0</v>
      </c>
      <c r="B3329" s="6" t="s">
        <v>9</v>
      </c>
      <c r="C3329" s="6" t="s">
        <v>333</v>
      </c>
      <c r="D3329" s="6" t="s">
        <v>337</v>
      </c>
      <c r="E3329" s="6">
        <v>9.92</v>
      </c>
    </row>
    <row r="3330">
      <c r="A3330" s="3">
        <v>47508.0</v>
      </c>
      <c r="B3330" s="4" t="s">
        <v>9</v>
      </c>
      <c r="C3330" s="4" t="s">
        <v>333</v>
      </c>
      <c r="D3330" s="4" t="s">
        <v>337</v>
      </c>
      <c r="E3330" s="4">
        <v>2.08</v>
      </c>
    </row>
    <row r="3331">
      <c r="A3331" s="5">
        <v>89514.0</v>
      </c>
      <c r="B3331" s="6" t="s">
        <v>9</v>
      </c>
      <c r="C3331" s="6" t="s">
        <v>333</v>
      </c>
      <c r="D3331" s="6" t="s">
        <v>337</v>
      </c>
      <c r="E3331" s="6">
        <v>2.04</v>
      </c>
    </row>
    <row r="3332">
      <c r="A3332" s="3">
        <v>117918.0</v>
      </c>
      <c r="B3332" s="4" t="s">
        <v>9</v>
      </c>
      <c r="C3332" s="4" t="s">
        <v>333</v>
      </c>
      <c r="D3332" s="4" t="s">
        <v>337</v>
      </c>
      <c r="E3332" s="4">
        <v>2.17</v>
      </c>
    </row>
    <row r="3333">
      <c r="A3333" s="5">
        <v>16645.0</v>
      </c>
      <c r="B3333" s="6" t="s">
        <v>9</v>
      </c>
      <c r="C3333" s="6" t="s">
        <v>333</v>
      </c>
      <c r="D3333" s="6" t="s">
        <v>337</v>
      </c>
      <c r="E3333" s="6">
        <v>1.93</v>
      </c>
    </row>
    <row r="3334">
      <c r="A3334" s="3">
        <v>148740.0</v>
      </c>
      <c r="B3334" s="4" t="s">
        <v>9</v>
      </c>
      <c r="C3334" s="4" t="s">
        <v>333</v>
      </c>
      <c r="D3334" s="4" t="s">
        <v>337</v>
      </c>
      <c r="E3334" s="4">
        <v>1.47</v>
      </c>
    </row>
    <row r="3335">
      <c r="A3335" s="5">
        <v>100688.0</v>
      </c>
      <c r="B3335" s="6" t="s">
        <v>9</v>
      </c>
      <c r="C3335" s="6" t="s">
        <v>333</v>
      </c>
      <c r="D3335" s="6" t="s">
        <v>337</v>
      </c>
      <c r="E3335" s="6">
        <v>1.3</v>
      </c>
    </row>
    <row r="3336">
      <c r="A3336" s="3">
        <v>148741.0</v>
      </c>
      <c r="B3336" s="4" t="s">
        <v>9</v>
      </c>
      <c r="C3336" s="4" t="s">
        <v>333</v>
      </c>
      <c r="D3336" s="4" t="s">
        <v>337</v>
      </c>
      <c r="E3336" s="4">
        <v>1.37</v>
      </c>
    </row>
    <row r="3337">
      <c r="A3337" s="5">
        <v>109299.0</v>
      </c>
      <c r="B3337" s="6" t="s">
        <v>9</v>
      </c>
      <c r="C3337" s="6" t="s">
        <v>333</v>
      </c>
      <c r="D3337" s="6" t="s">
        <v>337</v>
      </c>
      <c r="E3337" s="6">
        <v>1.11</v>
      </c>
    </row>
    <row r="3338">
      <c r="A3338" s="3">
        <v>196109.0</v>
      </c>
      <c r="B3338" s="4" t="s">
        <v>9</v>
      </c>
      <c r="C3338" s="4" t="s">
        <v>333</v>
      </c>
      <c r="D3338" s="4" t="s">
        <v>337</v>
      </c>
      <c r="E3338" s="4">
        <v>1.06</v>
      </c>
    </row>
    <row r="3339">
      <c r="A3339" s="5">
        <v>72155.0</v>
      </c>
      <c r="B3339" s="6" t="s">
        <v>9</v>
      </c>
      <c r="C3339" s="6" t="s">
        <v>333</v>
      </c>
      <c r="D3339" s="6" t="s">
        <v>337</v>
      </c>
      <c r="E3339" s="6">
        <v>11.12</v>
      </c>
    </row>
    <row r="3340">
      <c r="A3340" s="3">
        <v>80245.0</v>
      </c>
      <c r="B3340" s="4" t="s">
        <v>9</v>
      </c>
      <c r="C3340" s="4" t="s">
        <v>333</v>
      </c>
      <c r="D3340" s="4" t="s">
        <v>337</v>
      </c>
      <c r="E3340" s="4">
        <v>2.39</v>
      </c>
    </row>
    <row r="3341">
      <c r="A3341" s="5">
        <v>6215.0</v>
      </c>
      <c r="B3341" s="6" t="s">
        <v>9</v>
      </c>
      <c r="C3341" s="6" t="s">
        <v>333</v>
      </c>
      <c r="D3341" s="6" t="s">
        <v>337</v>
      </c>
      <c r="E3341" s="6">
        <v>2.92</v>
      </c>
    </row>
    <row r="3342">
      <c r="A3342" s="3">
        <v>45810.0</v>
      </c>
      <c r="B3342" s="4" t="s">
        <v>9</v>
      </c>
      <c r="C3342" s="4" t="s">
        <v>333</v>
      </c>
      <c r="D3342" s="4" t="s">
        <v>337</v>
      </c>
      <c r="E3342" s="4">
        <v>1.21</v>
      </c>
    </row>
    <row r="3343">
      <c r="A3343" s="5">
        <v>80205.0</v>
      </c>
      <c r="B3343" s="6" t="s">
        <v>9</v>
      </c>
      <c r="C3343" s="6" t="s">
        <v>333</v>
      </c>
      <c r="D3343" s="6" t="s">
        <v>337</v>
      </c>
      <c r="E3343" s="6">
        <v>2.27</v>
      </c>
    </row>
    <row r="3344">
      <c r="A3344" s="3">
        <v>107064.0</v>
      </c>
      <c r="B3344" s="4" t="s">
        <v>9</v>
      </c>
      <c r="C3344" s="4" t="s">
        <v>333</v>
      </c>
      <c r="D3344" s="4" t="s">
        <v>337</v>
      </c>
      <c r="E3344" s="4">
        <v>1.6</v>
      </c>
    </row>
    <row r="3345">
      <c r="A3345" s="5">
        <v>6211.0</v>
      </c>
      <c r="B3345" s="6" t="s">
        <v>9</v>
      </c>
      <c r="C3345" s="6" t="s">
        <v>333</v>
      </c>
      <c r="D3345" s="6" t="s">
        <v>337</v>
      </c>
      <c r="E3345" s="6">
        <v>23.77</v>
      </c>
    </row>
    <row r="3346">
      <c r="A3346" s="3">
        <v>44036.0</v>
      </c>
      <c r="B3346" s="4" t="s">
        <v>9</v>
      </c>
      <c r="C3346" s="4" t="s">
        <v>333</v>
      </c>
      <c r="D3346" s="4" t="s">
        <v>337</v>
      </c>
      <c r="E3346" s="4">
        <v>1.98</v>
      </c>
    </row>
    <row r="3347">
      <c r="A3347" s="5">
        <v>181493.0</v>
      </c>
      <c r="B3347" s="6" t="s">
        <v>9</v>
      </c>
      <c r="C3347" s="6" t="s">
        <v>333</v>
      </c>
      <c r="D3347" s="6" t="s">
        <v>337</v>
      </c>
      <c r="E3347" s="6">
        <v>2.13</v>
      </c>
    </row>
    <row r="3348">
      <c r="A3348" s="3">
        <v>6210.0</v>
      </c>
      <c r="B3348" s="4" t="s">
        <v>9</v>
      </c>
      <c r="C3348" s="4" t="s">
        <v>333</v>
      </c>
      <c r="D3348" s="4" t="s">
        <v>337</v>
      </c>
      <c r="E3348" s="4">
        <v>13.61</v>
      </c>
    </row>
    <row r="3349">
      <c r="A3349" s="5">
        <v>110431.0</v>
      </c>
      <c r="B3349" s="6" t="s">
        <v>9</v>
      </c>
      <c r="C3349" s="6" t="s">
        <v>333</v>
      </c>
      <c r="D3349" s="6" t="s">
        <v>338</v>
      </c>
      <c r="E3349" s="6">
        <v>1.05</v>
      </c>
    </row>
    <row r="3350">
      <c r="A3350" s="3">
        <v>122878.0</v>
      </c>
      <c r="B3350" s="4" t="s">
        <v>9</v>
      </c>
      <c r="C3350" s="4" t="s">
        <v>333</v>
      </c>
      <c r="D3350" s="4" t="s">
        <v>338</v>
      </c>
      <c r="E3350" s="4">
        <v>1.56</v>
      </c>
    </row>
    <row r="3351">
      <c r="A3351" s="5">
        <v>14092.0</v>
      </c>
      <c r="B3351" s="6" t="s">
        <v>9</v>
      </c>
      <c r="C3351" s="6" t="s">
        <v>333</v>
      </c>
      <c r="D3351" s="6" t="s">
        <v>338</v>
      </c>
      <c r="E3351" s="6">
        <v>1.31</v>
      </c>
    </row>
    <row r="3352">
      <c r="A3352" s="3">
        <v>121621.0</v>
      </c>
      <c r="B3352" s="4" t="s">
        <v>9</v>
      </c>
      <c r="C3352" s="4" t="s">
        <v>333</v>
      </c>
      <c r="D3352" s="4" t="s">
        <v>338</v>
      </c>
      <c r="E3352" s="4">
        <v>0.96</v>
      </c>
    </row>
    <row r="3353">
      <c r="A3353" s="5">
        <v>120511.0</v>
      </c>
      <c r="B3353" s="6" t="s">
        <v>9</v>
      </c>
      <c r="C3353" s="6" t="s">
        <v>333</v>
      </c>
      <c r="D3353" s="6" t="s">
        <v>338</v>
      </c>
      <c r="E3353" s="6">
        <v>1.45</v>
      </c>
    </row>
    <row r="3354">
      <c r="A3354" s="3">
        <v>46132.0</v>
      </c>
      <c r="B3354" s="4" t="s">
        <v>9</v>
      </c>
      <c r="C3354" s="4" t="s">
        <v>333</v>
      </c>
      <c r="D3354" s="4" t="s">
        <v>338</v>
      </c>
      <c r="E3354" s="4">
        <v>1.05</v>
      </c>
    </row>
    <row r="3355">
      <c r="A3355" s="5">
        <v>83014.0</v>
      </c>
      <c r="B3355" s="6" t="s">
        <v>9</v>
      </c>
      <c r="C3355" s="6" t="s">
        <v>333</v>
      </c>
      <c r="D3355" s="6" t="s">
        <v>338</v>
      </c>
      <c r="E3355" s="6">
        <v>1.42</v>
      </c>
    </row>
    <row r="3356">
      <c r="A3356" s="3">
        <v>80199.0</v>
      </c>
      <c r="B3356" s="4" t="s">
        <v>9</v>
      </c>
      <c r="C3356" s="4" t="s">
        <v>333</v>
      </c>
      <c r="D3356" s="4" t="s">
        <v>338</v>
      </c>
      <c r="E3356" s="4">
        <v>1.18</v>
      </c>
    </row>
    <row r="3357">
      <c r="A3357" s="5">
        <v>80201.0</v>
      </c>
      <c r="B3357" s="6" t="s">
        <v>9</v>
      </c>
      <c r="C3357" s="6" t="s">
        <v>333</v>
      </c>
      <c r="D3357" s="6" t="s">
        <v>338</v>
      </c>
      <c r="E3357" s="6">
        <v>1.38</v>
      </c>
    </row>
    <row r="3358">
      <c r="A3358" s="3">
        <v>46131.0</v>
      </c>
      <c r="B3358" s="4" t="s">
        <v>9</v>
      </c>
      <c r="C3358" s="4" t="s">
        <v>333</v>
      </c>
      <c r="D3358" s="4" t="s">
        <v>338</v>
      </c>
      <c r="E3358" s="4">
        <v>1.0</v>
      </c>
    </row>
    <row r="3359">
      <c r="A3359" s="5">
        <v>102346.0</v>
      </c>
      <c r="B3359" s="6" t="s">
        <v>9</v>
      </c>
      <c r="C3359" s="6" t="s">
        <v>333</v>
      </c>
      <c r="D3359" s="6" t="s">
        <v>338</v>
      </c>
      <c r="E3359" s="6">
        <v>1.18</v>
      </c>
    </row>
    <row r="3360">
      <c r="A3360" s="3">
        <v>14094.0</v>
      </c>
      <c r="B3360" s="4" t="s">
        <v>9</v>
      </c>
      <c r="C3360" s="4" t="s">
        <v>333</v>
      </c>
      <c r="D3360" s="4" t="s">
        <v>338</v>
      </c>
      <c r="E3360" s="4">
        <v>1.9</v>
      </c>
    </row>
    <row r="3361">
      <c r="A3361" s="5">
        <v>100679.0</v>
      </c>
      <c r="B3361" s="6" t="s">
        <v>9</v>
      </c>
      <c r="C3361" s="6" t="s">
        <v>333</v>
      </c>
      <c r="D3361" s="6" t="s">
        <v>338</v>
      </c>
      <c r="E3361" s="6">
        <v>1.09</v>
      </c>
    </row>
    <row r="3362">
      <c r="A3362" s="3">
        <v>102345.0</v>
      </c>
      <c r="B3362" s="4" t="s">
        <v>9</v>
      </c>
      <c r="C3362" s="4" t="s">
        <v>333</v>
      </c>
      <c r="D3362" s="4" t="s">
        <v>338</v>
      </c>
      <c r="E3362" s="4">
        <v>1.47</v>
      </c>
    </row>
    <row r="3363">
      <c r="A3363" s="5">
        <v>121695.0</v>
      </c>
      <c r="B3363" s="6" t="s">
        <v>9</v>
      </c>
      <c r="C3363" s="6" t="s">
        <v>333</v>
      </c>
      <c r="D3363" s="6" t="s">
        <v>338</v>
      </c>
      <c r="E3363" s="6">
        <v>0.7</v>
      </c>
    </row>
    <row r="3364">
      <c r="A3364" s="3">
        <v>6204.0</v>
      </c>
      <c r="B3364" s="4" t="s">
        <v>9</v>
      </c>
      <c r="C3364" s="4" t="s">
        <v>333</v>
      </c>
      <c r="D3364" s="4" t="s">
        <v>339</v>
      </c>
      <c r="E3364" s="4">
        <v>12.7</v>
      </c>
    </row>
    <row r="3365">
      <c r="A3365" s="5">
        <v>16571.0</v>
      </c>
      <c r="B3365" s="6" t="s">
        <v>9</v>
      </c>
      <c r="C3365" s="6" t="s">
        <v>333</v>
      </c>
      <c r="D3365" s="6" t="s">
        <v>339</v>
      </c>
      <c r="E3365" s="6">
        <v>10.65</v>
      </c>
    </row>
    <row r="3366">
      <c r="A3366" s="3">
        <v>181494.0</v>
      </c>
      <c r="B3366" s="4" t="s">
        <v>9</v>
      </c>
      <c r="C3366" s="4" t="s">
        <v>333</v>
      </c>
      <c r="D3366" s="4" t="s">
        <v>339</v>
      </c>
      <c r="E3366" s="4">
        <v>2.17</v>
      </c>
    </row>
    <row r="3367">
      <c r="A3367" s="5">
        <v>80315.0</v>
      </c>
      <c r="B3367" s="6" t="s">
        <v>9</v>
      </c>
      <c r="C3367" s="6" t="s">
        <v>333</v>
      </c>
      <c r="D3367" s="6" t="s">
        <v>339</v>
      </c>
      <c r="E3367" s="6">
        <v>2.07</v>
      </c>
    </row>
    <row r="3368">
      <c r="A3368" s="3">
        <v>83054.0</v>
      </c>
      <c r="B3368" s="4" t="s">
        <v>9</v>
      </c>
      <c r="C3368" s="4" t="s">
        <v>333</v>
      </c>
      <c r="D3368" s="4" t="s">
        <v>340</v>
      </c>
      <c r="E3368" s="4">
        <v>1.34</v>
      </c>
    </row>
    <row r="3369">
      <c r="A3369" s="5">
        <v>83056.0</v>
      </c>
      <c r="B3369" s="6" t="s">
        <v>9</v>
      </c>
      <c r="C3369" s="6" t="s">
        <v>333</v>
      </c>
      <c r="D3369" s="6" t="s">
        <v>340</v>
      </c>
      <c r="E3369" s="6">
        <v>1.86</v>
      </c>
    </row>
    <row r="3370">
      <c r="A3370" s="3">
        <v>83055.0</v>
      </c>
      <c r="B3370" s="4" t="s">
        <v>9</v>
      </c>
      <c r="C3370" s="4" t="s">
        <v>333</v>
      </c>
      <c r="D3370" s="4" t="s">
        <v>340</v>
      </c>
      <c r="E3370" s="4">
        <v>1.39</v>
      </c>
    </row>
    <row r="3371">
      <c r="A3371" s="5">
        <v>46134.0</v>
      </c>
      <c r="B3371" s="6" t="s">
        <v>9</v>
      </c>
      <c r="C3371" s="6" t="s">
        <v>333</v>
      </c>
      <c r="D3371" s="6" t="s">
        <v>340</v>
      </c>
      <c r="E3371" s="6">
        <v>1.08</v>
      </c>
    </row>
    <row r="3372">
      <c r="A3372" s="3">
        <v>121693.0</v>
      </c>
      <c r="B3372" s="4" t="s">
        <v>9</v>
      </c>
      <c r="C3372" s="4" t="s">
        <v>333</v>
      </c>
      <c r="D3372" s="4" t="s">
        <v>340</v>
      </c>
      <c r="E3372" s="4">
        <v>1.73</v>
      </c>
    </row>
    <row r="3373">
      <c r="A3373" s="5">
        <v>102344.0</v>
      </c>
      <c r="B3373" s="6" t="s">
        <v>9</v>
      </c>
      <c r="C3373" s="6" t="s">
        <v>333</v>
      </c>
      <c r="D3373" s="6" t="s">
        <v>341</v>
      </c>
      <c r="E3373" s="6">
        <v>1.97</v>
      </c>
    </row>
    <row r="3374">
      <c r="A3374" s="3">
        <v>100687.0</v>
      </c>
      <c r="B3374" s="4" t="s">
        <v>9</v>
      </c>
      <c r="C3374" s="4" t="s">
        <v>333</v>
      </c>
      <c r="D3374" s="4" t="s">
        <v>341</v>
      </c>
      <c r="E3374" s="4">
        <v>1.07</v>
      </c>
    </row>
    <row r="3375">
      <c r="A3375" s="5">
        <v>70327.0</v>
      </c>
      <c r="B3375" s="6" t="s">
        <v>9</v>
      </c>
      <c r="C3375" s="6" t="s">
        <v>333</v>
      </c>
      <c r="D3375" s="6" t="s">
        <v>341</v>
      </c>
      <c r="E3375" s="6">
        <v>1.86</v>
      </c>
    </row>
    <row r="3376">
      <c r="A3376" s="3">
        <v>80191.0</v>
      </c>
      <c r="B3376" s="4" t="s">
        <v>9</v>
      </c>
      <c r="C3376" s="4" t="s">
        <v>333</v>
      </c>
      <c r="D3376" s="4" t="s">
        <v>341</v>
      </c>
      <c r="E3376" s="4">
        <v>2.16</v>
      </c>
    </row>
    <row r="3377">
      <c r="A3377" s="5">
        <v>103037.0</v>
      </c>
      <c r="B3377" s="6" t="s">
        <v>9</v>
      </c>
      <c r="C3377" s="6" t="s">
        <v>333</v>
      </c>
      <c r="D3377" s="6" t="s">
        <v>341</v>
      </c>
      <c r="E3377" s="6">
        <v>2.03</v>
      </c>
    </row>
    <row r="3378">
      <c r="A3378" s="3">
        <v>6205.0</v>
      </c>
      <c r="B3378" s="4" t="s">
        <v>9</v>
      </c>
      <c r="C3378" s="4" t="s">
        <v>333</v>
      </c>
      <c r="D3378" s="4" t="s">
        <v>342</v>
      </c>
      <c r="E3378" s="4">
        <v>12.7</v>
      </c>
    </row>
    <row r="3379">
      <c r="A3379" s="5">
        <v>70387.0</v>
      </c>
      <c r="B3379" s="6" t="s">
        <v>9</v>
      </c>
      <c r="C3379" s="6" t="s">
        <v>333</v>
      </c>
      <c r="D3379" s="6" t="s">
        <v>342</v>
      </c>
      <c r="E3379" s="6">
        <v>11.12</v>
      </c>
    </row>
    <row r="3380">
      <c r="A3380" s="3">
        <v>122278.0</v>
      </c>
      <c r="B3380" s="4" t="s">
        <v>140</v>
      </c>
      <c r="C3380" s="4" t="s">
        <v>343</v>
      </c>
      <c r="D3380" s="4" t="s">
        <v>344</v>
      </c>
      <c r="E3380" s="4">
        <v>1.43</v>
      </c>
    </row>
    <row r="3381">
      <c r="A3381" s="5">
        <v>29365.0</v>
      </c>
      <c r="B3381" s="6" t="s">
        <v>140</v>
      </c>
      <c r="C3381" s="6" t="s">
        <v>343</v>
      </c>
      <c r="D3381" s="6" t="s">
        <v>344</v>
      </c>
      <c r="E3381" s="6">
        <v>0.67</v>
      </c>
    </row>
    <row r="3382">
      <c r="A3382" s="3">
        <v>17769.0</v>
      </c>
      <c r="B3382" s="4" t="s">
        <v>140</v>
      </c>
      <c r="C3382" s="4" t="s">
        <v>343</v>
      </c>
      <c r="D3382" s="4" t="s">
        <v>344</v>
      </c>
      <c r="E3382" s="4">
        <v>0.98</v>
      </c>
    </row>
    <row r="3383">
      <c r="A3383" s="5">
        <v>23144.0</v>
      </c>
      <c r="B3383" s="6" t="s">
        <v>140</v>
      </c>
      <c r="C3383" s="6" t="s">
        <v>343</v>
      </c>
      <c r="D3383" s="6" t="s">
        <v>344</v>
      </c>
      <c r="E3383" s="6">
        <v>1.07</v>
      </c>
    </row>
    <row r="3384">
      <c r="A3384" s="3">
        <v>120115.0</v>
      </c>
      <c r="B3384" s="4" t="s">
        <v>140</v>
      </c>
      <c r="C3384" s="4" t="s">
        <v>343</v>
      </c>
      <c r="D3384" s="4" t="s">
        <v>344</v>
      </c>
      <c r="E3384" s="4">
        <v>1.65</v>
      </c>
    </row>
    <row r="3385">
      <c r="A3385" s="5">
        <v>29384.0</v>
      </c>
      <c r="B3385" s="6" t="s">
        <v>140</v>
      </c>
      <c r="C3385" s="6" t="s">
        <v>343</v>
      </c>
      <c r="D3385" s="6" t="s">
        <v>344</v>
      </c>
      <c r="E3385" s="6">
        <v>0.67</v>
      </c>
    </row>
    <row r="3386">
      <c r="A3386" s="3">
        <v>17746.0</v>
      </c>
      <c r="B3386" s="4" t="s">
        <v>140</v>
      </c>
      <c r="C3386" s="4" t="s">
        <v>343</v>
      </c>
      <c r="D3386" s="4" t="s">
        <v>344</v>
      </c>
      <c r="E3386" s="4">
        <v>1.62</v>
      </c>
    </row>
    <row r="3387">
      <c r="A3387" s="5">
        <v>121630.0</v>
      </c>
      <c r="B3387" s="6" t="s">
        <v>140</v>
      </c>
      <c r="C3387" s="6" t="s">
        <v>343</v>
      </c>
      <c r="D3387" s="6" t="s">
        <v>344</v>
      </c>
      <c r="E3387" s="6">
        <v>1.73</v>
      </c>
    </row>
    <row r="3388">
      <c r="A3388" s="3">
        <v>29385.0</v>
      </c>
      <c r="B3388" s="4" t="s">
        <v>140</v>
      </c>
      <c r="C3388" s="4" t="s">
        <v>343</v>
      </c>
      <c r="D3388" s="4" t="s">
        <v>344</v>
      </c>
      <c r="E3388" s="4">
        <v>0.67</v>
      </c>
    </row>
    <row r="3389">
      <c r="A3389" s="5">
        <v>17767.0</v>
      </c>
      <c r="B3389" s="6" t="s">
        <v>140</v>
      </c>
      <c r="C3389" s="6" t="s">
        <v>343</v>
      </c>
      <c r="D3389" s="6" t="s">
        <v>344</v>
      </c>
      <c r="E3389" s="6">
        <v>0.98</v>
      </c>
    </row>
    <row r="3390">
      <c r="A3390" s="3">
        <v>103047.0</v>
      </c>
      <c r="B3390" s="4" t="s">
        <v>140</v>
      </c>
      <c r="C3390" s="4" t="s">
        <v>343</v>
      </c>
      <c r="D3390" s="4" t="s">
        <v>344</v>
      </c>
      <c r="E3390" s="4">
        <v>1.95</v>
      </c>
    </row>
    <row r="3391">
      <c r="A3391" s="5">
        <v>70209.0</v>
      </c>
      <c r="B3391" s="6" t="s">
        <v>140</v>
      </c>
      <c r="C3391" s="6" t="s">
        <v>343</v>
      </c>
      <c r="D3391" s="6" t="s">
        <v>344</v>
      </c>
      <c r="E3391" s="6">
        <v>1.65</v>
      </c>
    </row>
    <row r="3392">
      <c r="A3392" s="3">
        <v>29372.0</v>
      </c>
      <c r="B3392" s="4" t="s">
        <v>140</v>
      </c>
      <c r="C3392" s="4" t="s">
        <v>343</v>
      </c>
      <c r="D3392" s="4" t="s">
        <v>344</v>
      </c>
      <c r="E3392" s="4">
        <v>0.67</v>
      </c>
    </row>
    <row r="3393">
      <c r="A3393" s="5">
        <v>120485.0</v>
      </c>
      <c r="B3393" s="6" t="s">
        <v>140</v>
      </c>
      <c r="C3393" s="6" t="s">
        <v>343</v>
      </c>
      <c r="D3393" s="6" t="s">
        <v>344</v>
      </c>
      <c r="E3393" s="6">
        <v>1.73</v>
      </c>
    </row>
    <row r="3394">
      <c r="A3394" s="3">
        <v>120486.0</v>
      </c>
      <c r="B3394" s="4" t="s">
        <v>140</v>
      </c>
      <c r="C3394" s="4" t="s">
        <v>343</v>
      </c>
      <c r="D3394" s="4" t="s">
        <v>344</v>
      </c>
      <c r="E3394" s="4">
        <v>1.73</v>
      </c>
    </row>
    <row r="3395">
      <c r="A3395" s="5">
        <v>70293.0</v>
      </c>
      <c r="B3395" s="6" t="s">
        <v>140</v>
      </c>
      <c r="C3395" s="6" t="s">
        <v>343</v>
      </c>
      <c r="D3395" s="6" t="s">
        <v>345</v>
      </c>
      <c r="E3395" s="6">
        <v>5.39</v>
      </c>
    </row>
    <row r="3396">
      <c r="A3396" s="3">
        <v>71772.0</v>
      </c>
      <c r="B3396" s="4" t="s">
        <v>140</v>
      </c>
      <c r="C3396" s="4" t="s">
        <v>343</v>
      </c>
      <c r="D3396" s="4" t="s">
        <v>345</v>
      </c>
      <c r="E3396" s="4">
        <v>4.73</v>
      </c>
    </row>
    <row r="3397">
      <c r="A3397" s="5">
        <v>86111.0</v>
      </c>
      <c r="B3397" s="6" t="s">
        <v>140</v>
      </c>
      <c r="C3397" s="6" t="s">
        <v>343</v>
      </c>
      <c r="D3397" s="6" t="s">
        <v>345</v>
      </c>
      <c r="E3397" s="6">
        <v>2.24</v>
      </c>
    </row>
    <row r="3398">
      <c r="A3398" s="3">
        <v>71840.0</v>
      </c>
      <c r="B3398" s="4" t="s">
        <v>140</v>
      </c>
      <c r="C3398" s="4" t="s">
        <v>343</v>
      </c>
      <c r="D3398" s="4" t="s">
        <v>345</v>
      </c>
      <c r="E3398" s="4">
        <v>2.46</v>
      </c>
    </row>
    <row r="3399">
      <c r="A3399" s="5">
        <v>28533.0</v>
      </c>
      <c r="B3399" s="6" t="s">
        <v>140</v>
      </c>
      <c r="C3399" s="6" t="s">
        <v>343</v>
      </c>
      <c r="D3399" s="6" t="s">
        <v>345</v>
      </c>
      <c r="E3399" s="6">
        <v>5.39</v>
      </c>
    </row>
    <row r="3400">
      <c r="A3400" s="3">
        <v>86994.0</v>
      </c>
      <c r="B3400" s="4" t="s">
        <v>140</v>
      </c>
      <c r="C3400" s="4" t="s">
        <v>343</v>
      </c>
      <c r="D3400" s="4" t="s">
        <v>345</v>
      </c>
      <c r="E3400" s="4">
        <v>2.05</v>
      </c>
    </row>
    <row r="3401">
      <c r="A3401" s="5">
        <v>124881.0</v>
      </c>
      <c r="B3401" s="6" t="s">
        <v>140</v>
      </c>
      <c r="C3401" s="6" t="s">
        <v>343</v>
      </c>
      <c r="D3401" s="6" t="s">
        <v>345</v>
      </c>
      <c r="E3401" s="6">
        <v>7.5</v>
      </c>
    </row>
    <row r="3402">
      <c r="A3402" s="3">
        <v>119280.0</v>
      </c>
      <c r="B3402" s="4" t="s">
        <v>140</v>
      </c>
      <c r="C3402" s="4" t="s">
        <v>343</v>
      </c>
      <c r="D3402" s="4" t="s">
        <v>345</v>
      </c>
      <c r="E3402" s="4">
        <v>2.81</v>
      </c>
    </row>
    <row r="3403">
      <c r="A3403" s="5">
        <v>87001.0</v>
      </c>
      <c r="B3403" s="6" t="s">
        <v>140</v>
      </c>
      <c r="C3403" s="6" t="s">
        <v>343</v>
      </c>
      <c r="D3403" s="6" t="s">
        <v>345</v>
      </c>
      <c r="E3403" s="6">
        <v>2.07</v>
      </c>
    </row>
    <row r="3404">
      <c r="A3404" s="3">
        <v>71839.0</v>
      </c>
      <c r="B3404" s="4" t="s">
        <v>140</v>
      </c>
      <c r="C3404" s="4" t="s">
        <v>343</v>
      </c>
      <c r="D3404" s="4" t="s">
        <v>345</v>
      </c>
      <c r="E3404" s="4">
        <v>2.75</v>
      </c>
    </row>
    <row r="3405">
      <c r="A3405" s="5">
        <v>119288.0</v>
      </c>
      <c r="B3405" s="6" t="s">
        <v>140</v>
      </c>
      <c r="C3405" s="6" t="s">
        <v>343</v>
      </c>
      <c r="D3405" s="6" t="s">
        <v>345</v>
      </c>
      <c r="E3405" s="6">
        <v>2.39</v>
      </c>
    </row>
    <row r="3406">
      <c r="A3406" s="3">
        <v>71770.0</v>
      </c>
      <c r="B3406" s="4" t="s">
        <v>140</v>
      </c>
      <c r="C3406" s="4" t="s">
        <v>343</v>
      </c>
      <c r="D3406" s="4" t="s">
        <v>345</v>
      </c>
      <c r="E3406" s="4">
        <v>4.27</v>
      </c>
    </row>
    <row r="3407">
      <c r="A3407" s="5">
        <v>28536.0</v>
      </c>
      <c r="B3407" s="6" t="s">
        <v>140</v>
      </c>
      <c r="C3407" s="6" t="s">
        <v>343</v>
      </c>
      <c r="D3407" s="6" t="s">
        <v>345</v>
      </c>
      <c r="E3407" s="6">
        <v>5.39</v>
      </c>
    </row>
    <row r="3408">
      <c r="A3408" s="3">
        <v>90007.0</v>
      </c>
      <c r="B3408" s="4" t="s">
        <v>140</v>
      </c>
      <c r="C3408" s="4" t="s">
        <v>343</v>
      </c>
      <c r="D3408" s="4" t="s">
        <v>345</v>
      </c>
      <c r="E3408" s="4">
        <v>2.62</v>
      </c>
    </row>
    <row r="3409">
      <c r="A3409" s="5">
        <v>71830.0</v>
      </c>
      <c r="B3409" s="6" t="s">
        <v>140</v>
      </c>
      <c r="C3409" s="6" t="s">
        <v>343</v>
      </c>
      <c r="D3409" s="6" t="s">
        <v>345</v>
      </c>
      <c r="E3409" s="6">
        <v>2.22</v>
      </c>
    </row>
    <row r="3410">
      <c r="A3410" s="3">
        <v>71837.0</v>
      </c>
      <c r="B3410" s="4" t="s">
        <v>140</v>
      </c>
      <c r="C3410" s="4" t="s">
        <v>343</v>
      </c>
      <c r="D3410" s="4" t="s">
        <v>345</v>
      </c>
      <c r="E3410" s="4">
        <v>2.52</v>
      </c>
    </row>
    <row r="3411">
      <c r="A3411" s="5">
        <v>83640.0</v>
      </c>
      <c r="B3411" s="6" t="s">
        <v>140</v>
      </c>
      <c r="C3411" s="6" t="s">
        <v>343</v>
      </c>
      <c r="D3411" s="6" t="s">
        <v>345</v>
      </c>
      <c r="E3411" s="6">
        <v>2.19</v>
      </c>
    </row>
    <row r="3412">
      <c r="A3412" s="3">
        <v>111191.0</v>
      </c>
      <c r="B3412" s="4" t="s">
        <v>140</v>
      </c>
      <c r="C3412" s="4" t="s">
        <v>343</v>
      </c>
      <c r="D3412" s="4" t="s">
        <v>345</v>
      </c>
      <c r="E3412" s="4">
        <v>8.31</v>
      </c>
    </row>
    <row r="3413">
      <c r="A3413" s="5">
        <v>70442.0</v>
      </c>
      <c r="B3413" s="6" t="s">
        <v>140</v>
      </c>
      <c r="C3413" s="6" t="s">
        <v>343</v>
      </c>
      <c r="D3413" s="6" t="s">
        <v>345</v>
      </c>
      <c r="E3413" s="6">
        <v>2.62</v>
      </c>
    </row>
    <row r="3414">
      <c r="A3414" s="3">
        <v>122228.0</v>
      </c>
      <c r="B3414" s="4" t="s">
        <v>140</v>
      </c>
      <c r="C3414" s="4" t="s">
        <v>343</v>
      </c>
      <c r="D3414" s="4" t="s">
        <v>345</v>
      </c>
      <c r="E3414" s="4">
        <v>1.98</v>
      </c>
    </row>
    <row r="3415">
      <c r="A3415" s="5">
        <v>46822.0</v>
      </c>
      <c r="B3415" s="6" t="s">
        <v>140</v>
      </c>
      <c r="C3415" s="6" t="s">
        <v>343</v>
      </c>
      <c r="D3415" s="6" t="s">
        <v>345</v>
      </c>
      <c r="E3415" s="6">
        <v>2.94</v>
      </c>
    </row>
    <row r="3416">
      <c r="A3416" s="3">
        <v>71769.0</v>
      </c>
      <c r="B3416" s="4" t="s">
        <v>140</v>
      </c>
      <c r="C3416" s="4" t="s">
        <v>343</v>
      </c>
      <c r="D3416" s="4" t="s">
        <v>345</v>
      </c>
      <c r="E3416" s="4">
        <v>4.16</v>
      </c>
    </row>
    <row r="3417">
      <c r="A3417" s="5">
        <v>9302.0</v>
      </c>
      <c r="B3417" s="6" t="s">
        <v>140</v>
      </c>
      <c r="C3417" s="6" t="s">
        <v>343</v>
      </c>
      <c r="D3417" s="6" t="s">
        <v>345</v>
      </c>
      <c r="E3417" s="6">
        <v>1.91</v>
      </c>
    </row>
    <row r="3418">
      <c r="A3418" s="3">
        <v>90006.0</v>
      </c>
      <c r="B3418" s="4" t="s">
        <v>140</v>
      </c>
      <c r="C3418" s="4" t="s">
        <v>343</v>
      </c>
      <c r="D3418" s="4" t="s">
        <v>345</v>
      </c>
      <c r="E3418" s="4">
        <v>6.44</v>
      </c>
    </row>
    <row r="3419">
      <c r="A3419" s="5">
        <v>80673.0</v>
      </c>
      <c r="B3419" s="6" t="s">
        <v>140</v>
      </c>
      <c r="C3419" s="6" t="s">
        <v>343</v>
      </c>
      <c r="D3419" s="6" t="s">
        <v>345</v>
      </c>
      <c r="E3419" s="6">
        <v>2.29</v>
      </c>
    </row>
    <row r="3420">
      <c r="A3420" s="3">
        <v>71834.0</v>
      </c>
      <c r="B3420" s="4" t="s">
        <v>140</v>
      </c>
      <c r="C3420" s="4" t="s">
        <v>343</v>
      </c>
      <c r="D3420" s="4" t="s">
        <v>345</v>
      </c>
      <c r="E3420" s="4">
        <v>2.18</v>
      </c>
    </row>
    <row r="3421">
      <c r="A3421" s="5">
        <v>107310.0</v>
      </c>
      <c r="B3421" s="6" t="s">
        <v>140</v>
      </c>
      <c r="C3421" s="6" t="s">
        <v>343</v>
      </c>
      <c r="D3421" s="6" t="s">
        <v>345</v>
      </c>
      <c r="E3421" s="6">
        <v>3.11</v>
      </c>
    </row>
    <row r="3422">
      <c r="A3422" s="3">
        <v>71843.0</v>
      </c>
      <c r="B3422" s="4" t="s">
        <v>140</v>
      </c>
      <c r="C3422" s="4" t="s">
        <v>343</v>
      </c>
      <c r="D3422" s="4" t="s">
        <v>345</v>
      </c>
      <c r="E3422" s="4">
        <v>3.21</v>
      </c>
    </row>
    <row r="3423">
      <c r="A3423" s="5">
        <v>107358.0</v>
      </c>
      <c r="B3423" s="6" t="s">
        <v>140</v>
      </c>
      <c r="C3423" s="6" t="s">
        <v>343</v>
      </c>
      <c r="D3423" s="6" t="s">
        <v>345</v>
      </c>
      <c r="E3423" s="6">
        <v>2.69</v>
      </c>
    </row>
    <row r="3424">
      <c r="A3424" s="3">
        <v>44842.0</v>
      </c>
      <c r="B3424" s="4" t="s">
        <v>140</v>
      </c>
      <c r="C3424" s="4" t="s">
        <v>343</v>
      </c>
      <c r="D3424" s="4" t="s">
        <v>345</v>
      </c>
      <c r="E3424" s="4">
        <v>1.98</v>
      </c>
    </row>
    <row r="3425">
      <c r="A3425" s="5">
        <v>111181.0</v>
      </c>
      <c r="B3425" s="6" t="s">
        <v>140</v>
      </c>
      <c r="C3425" s="6" t="s">
        <v>343</v>
      </c>
      <c r="D3425" s="6" t="s">
        <v>345</v>
      </c>
      <c r="E3425" s="6">
        <v>7.87</v>
      </c>
    </row>
    <row r="3426">
      <c r="A3426" s="3">
        <v>71773.0</v>
      </c>
      <c r="B3426" s="4" t="s">
        <v>140</v>
      </c>
      <c r="C3426" s="4" t="s">
        <v>343</v>
      </c>
      <c r="D3426" s="4" t="s">
        <v>345</v>
      </c>
      <c r="E3426" s="4">
        <v>4.48</v>
      </c>
    </row>
    <row r="3427">
      <c r="A3427" s="5">
        <v>71836.0</v>
      </c>
      <c r="B3427" s="6" t="s">
        <v>140</v>
      </c>
      <c r="C3427" s="6" t="s">
        <v>343</v>
      </c>
      <c r="D3427" s="6" t="s">
        <v>345</v>
      </c>
      <c r="E3427" s="6">
        <v>2.45</v>
      </c>
    </row>
    <row r="3428">
      <c r="A3428" s="3">
        <v>70276.0</v>
      </c>
      <c r="B3428" s="4" t="s">
        <v>140</v>
      </c>
      <c r="C3428" s="4" t="s">
        <v>343</v>
      </c>
      <c r="D3428" s="4" t="s">
        <v>345</v>
      </c>
      <c r="E3428" s="4">
        <v>5.16</v>
      </c>
    </row>
    <row r="3429">
      <c r="A3429" s="5">
        <v>71775.0</v>
      </c>
      <c r="B3429" s="6" t="s">
        <v>140</v>
      </c>
      <c r="C3429" s="6" t="s">
        <v>343</v>
      </c>
      <c r="D3429" s="6" t="s">
        <v>345</v>
      </c>
      <c r="E3429" s="6">
        <v>4.67</v>
      </c>
    </row>
    <row r="3430">
      <c r="A3430" s="3">
        <v>44844.0</v>
      </c>
      <c r="B3430" s="4" t="s">
        <v>140</v>
      </c>
      <c r="C3430" s="4" t="s">
        <v>343</v>
      </c>
      <c r="D3430" s="4" t="s">
        <v>345</v>
      </c>
      <c r="E3430" s="4">
        <v>1.98</v>
      </c>
    </row>
    <row r="3431">
      <c r="A3431" s="5">
        <v>156181.0</v>
      </c>
      <c r="B3431" s="6" t="s">
        <v>140</v>
      </c>
      <c r="C3431" s="6" t="s">
        <v>343</v>
      </c>
      <c r="D3431" s="6" t="s">
        <v>345</v>
      </c>
      <c r="E3431" s="6">
        <v>2.92</v>
      </c>
    </row>
    <row r="3432">
      <c r="A3432" s="3">
        <v>102898.0</v>
      </c>
      <c r="B3432" s="4" t="s">
        <v>140</v>
      </c>
      <c r="C3432" s="4" t="s">
        <v>343</v>
      </c>
      <c r="D3432" s="4" t="s">
        <v>345</v>
      </c>
      <c r="E3432" s="4">
        <v>2.62</v>
      </c>
    </row>
    <row r="3433">
      <c r="A3433" s="5">
        <v>47600.0</v>
      </c>
      <c r="B3433" s="6" t="s">
        <v>140</v>
      </c>
      <c r="C3433" s="6" t="s">
        <v>343</v>
      </c>
      <c r="D3433" s="6" t="s">
        <v>345</v>
      </c>
      <c r="E3433" s="6">
        <v>1.65</v>
      </c>
    </row>
    <row r="3434">
      <c r="A3434" s="3">
        <v>111173.0</v>
      </c>
      <c r="B3434" s="4" t="s">
        <v>140</v>
      </c>
      <c r="C3434" s="4" t="s">
        <v>343</v>
      </c>
      <c r="D3434" s="4" t="s">
        <v>345</v>
      </c>
      <c r="E3434" s="4">
        <v>2.04</v>
      </c>
    </row>
    <row r="3435">
      <c r="A3435" s="5">
        <v>70201.0</v>
      </c>
      <c r="B3435" s="6" t="s">
        <v>140</v>
      </c>
      <c r="C3435" s="6" t="s">
        <v>343</v>
      </c>
      <c r="D3435" s="6" t="s">
        <v>345</v>
      </c>
      <c r="E3435" s="6">
        <v>3.79</v>
      </c>
    </row>
    <row r="3436">
      <c r="A3436" s="3">
        <v>71842.0</v>
      </c>
      <c r="B3436" s="4" t="s">
        <v>140</v>
      </c>
      <c r="C3436" s="4" t="s">
        <v>343</v>
      </c>
      <c r="D3436" s="4" t="s">
        <v>345</v>
      </c>
      <c r="E3436" s="4">
        <v>2.62</v>
      </c>
    </row>
    <row r="3437">
      <c r="A3437" s="5">
        <v>47601.0</v>
      </c>
      <c r="B3437" s="6" t="s">
        <v>140</v>
      </c>
      <c r="C3437" s="6" t="s">
        <v>343</v>
      </c>
      <c r="D3437" s="6" t="s">
        <v>345</v>
      </c>
      <c r="E3437" s="6">
        <v>2.94</v>
      </c>
    </row>
    <row r="3438">
      <c r="A3438" s="3">
        <v>87000.0</v>
      </c>
      <c r="B3438" s="4" t="s">
        <v>140</v>
      </c>
      <c r="C3438" s="4" t="s">
        <v>343</v>
      </c>
      <c r="D3438" s="4" t="s">
        <v>345</v>
      </c>
      <c r="E3438" s="4">
        <v>1.82</v>
      </c>
    </row>
    <row r="3439">
      <c r="A3439" s="5">
        <v>103457.0</v>
      </c>
      <c r="B3439" s="6" t="s">
        <v>140</v>
      </c>
      <c r="C3439" s="6" t="s">
        <v>343</v>
      </c>
      <c r="D3439" s="6" t="s">
        <v>345</v>
      </c>
      <c r="E3439" s="6">
        <v>1.98</v>
      </c>
    </row>
    <row r="3440">
      <c r="A3440" s="3">
        <v>42198.0</v>
      </c>
      <c r="B3440" s="4" t="s">
        <v>140</v>
      </c>
      <c r="C3440" s="4" t="s">
        <v>343</v>
      </c>
      <c r="D3440" s="4" t="s">
        <v>345</v>
      </c>
      <c r="E3440" s="4">
        <v>2.63</v>
      </c>
    </row>
    <row r="3441">
      <c r="A3441" s="5">
        <v>46823.0</v>
      </c>
      <c r="B3441" s="6" t="s">
        <v>140</v>
      </c>
      <c r="C3441" s="6" t="s">
        <v>343</v>
      </c>
      <c r="D3441" s="6" t="s">
        <v>345</v>
      </c>
      <c r="E3441" s="6">
        <v>2.68</v>
      </c>
    </row>
    <row r="3442">
      <c r="A3442" s="3">
        <v>116196.0</v>
      </c>
      <c r="B3442" s="4" t="s">
        <v>140</v>
      </c>
      <c r="C3442" s="4" t="s">
        <v>343</v>
      </c>
      <c r="D3442" s="4" t="s">
        <v>345</v>
      </c>
      <c r="E3442" s="4">
        <v>1.55</v>
      </c>
    </row>
    <row r="3443">
      <c r="A3443" s="5">
        <v>111177.0</v>
      </c>
      <c r="B3443" s="6" t="s">
        <v>140</v>
      </c>
      <c r="C3443" s="6" t="s">
        <v>343</v>
      </c>
      <c r="D3443" s="6" t="s">
        <v>345</v>
      </c>
      <c r="E3443" s="6">
        <v>6.91</v>
      </c>
    </row>
    <row r="3444">
      <c r="A3444" s="3">
        <v>70292.0</v>
      </c>
      <c r="B3444" s="4" t="s">
        <v>140</v>
      </c>
      <c r="C3444" s="4" t="s">
        <v>343</v>
      </c>
      <c r="D3444" s="4" t="s">
        <v>345</v>
      </c>
      <c r="E3444" s="4">
        <v>5.39</v>
      </c>
    </row>
    <row r="3445">
      <c r="A3445" s="5">
        <v>90008.0</v>
      </c>
      <c r="B3445" s="6" t="s">
        <v>140</v>
      </c>
      <c r="C3445" s="6" t="s">
        <v>343</v>
      </c>
      <c r="D3445" s="6" t="s">
        <v>345</v>
      </c>
      <c r="E3445" s="6">
        <v>2.62</v>
      </c>
    </row>
    <row r="3446">
      <c r="A3446" s="3">
        <v>71768.0</v>
      </c>
      <c r="B3446" s="4" t="s">
        <v>140</v>
      </c>
      <c r="C3446" s="4" t="s">
        <v>343</v>
      </c>
      <c r="D3446" s="4" t="s">
        <v>345</v>
      </c>
      <c r="E3446" s="4">
        <v>2.22</v>
      </c>
    </row>
    <row r="3447">
      <c r="A3447" s="5">
        <v>86972.0</v>
      </c>
      <c r="B3447" s="6" t="s">
        <v>140</v>
      </c>
      <c r="C3447" s="6" t="s">
        <v>343</v>
      </c>
      <c r="D3447" s="6" t="s">
        <v>345</v>
      </c>
      <c r="E3447" s="6">
        <v>2.07</v>
      </c>
    </row>
    <row r="3448">
      <c r="A3448" s="3">
        <v>111179.0</v>
      </c>
      <c r="B3448" s="4" t="s">
        <v>140</v>
      </c>
      <c r="C3448" s="4" t="s">
        <v>343</v>
      </c>
      <c r="D3448" s="4" t="s">
        <v>345</v>
      </c>
      <c r="E3448" s="4">
        <v>8.52</v>
      </c>
    </row>
    <row r="3449">
      <c r="A3449" s="5">
        <v>81726.0</v>
      </c>
      <c r="B3449" s="6" t="s">
        <v>140</v>
      </c>
      <c r="C3449" s="6" t="s">
        <v>343</v>
      </c>
      <c r="D3449" s="6" t="s">
        <v>345</v>
      </c>
      <c r="E3449" s="6">
        <v>1.73</v>
      </c>
    </row>
    <row r="3450">
      <c r="A3450" s="3">
        <v>28535.0</v>
      </c>
      <c r="B3450" s="4" t="s">
        <v>140</v>
      </c>
      <c r="C3450" s="4" t="s">
        <v>343</v>
      </c>
      <c r="D3450" s="4" t="s">
        <v>345</v>
      </c>
      <c r="E3450" s="4">
        <v>5.39</v>
      </c>
    </row>
    <row r="3451">
      <c r="A3451" s="5">
        <v>80682.0</v>
      </c>
      <c r="B3451" s="6" t="s">
        <v>140</v>
      </c>
      <c r="C3451" s="6" t="s">
        <v>343</v>
      </c>
      <c r="D3451" s="6" t="s">
        <v>345</v>
      </c>
      <c r="E3451" s="6">
        <v>1.98</v>
      </c>
    </row>
    <row r="3452">
      <c r="A3452" s="3">
        <v>144008.0</v>
      </c>
      <c r="B3452" s="4" t="s">
        <v>140</v>
      </c>
      <c r="C3452" s="4" t="s">
        <v>343</v>
      </c>
      <c r="D3452" s="4" t="s">
        <v>345</v>
      </c>
      <c r="E3452" s="4">
        <v>2.26</v>
      </c>
    </row>
    <row r="3453">
      <c r="A3453" s="5">
        <v>111129.0</v>
      </c>
      <c r="B3453" s="6" t="s">
        <v>140</v>
      </c>
      <c r="C3453" s="6" t="s">
        <v>343</v>
      </c>
      <c r="D3453" s="6" t="s">
        <v>345</v>
      </c>
      <c r="E3453" s="6">
        <v>2.24</v>
      </c>
    </row>
    <row r="3454">
      <c r="A3454" s="3">
        <v>107307.0</v>
      </c>
      <c r="B3454" s="4" t="s">
        <v>140</v>
      </c>
      <c r="C3454" s="4" t="s">
        <v>343</v>
      </c>
      <c r="D3454" s="4" t="s">
        <v>345</v>
      </c>
      <c r="E3454" s="4">
        <v>3.44</v>
      </c>
    </row>
    <row r="3455">
      <c r="A3455" s="5">
        <v>70206.0</v>
      </c>
      <c r="B3455" s="6" t="s">
        <v>140</v>
      </c>
      <c r="C3455" s="6" t="s">
        <v>343</v>
      </c>
      <c r="D3455" s="6" t="s">
        <v>345</v>
      </c>
      <c r="E3455" s="6">
        <v>4.14</v>
      </c>
    </row>
    <row r="3456">
      <c r="A3456" s="3">
        <v>107349.0</v>
      </c>
      <c r="B3456" s="4" t="s">
        <v>140</v>
      </c>
      <c r="C3456" s="4" t="s">
        <v>343</v>
      </c>
      <c r="D3456" s="4" t="s">
        <v>345</v>
      </c>
      <c r="E3456" s="4">
        <v>2.18</v>
      </c>
    </row>
    <row r="3457">
      <c r="A3457" s="5">
        <v>122231.0</v>
      </c>
      <c r="B3457" s="6" t="s">
        <v>140</v>
      </c>
      <c r="C3457" s="6" t="s">
        <v>343</v>
      </c>
      <c r="D3457" s="6" t="s">
        <v>345</v>
      </c>
      <c r="E3457" s="6">
        <v>2.62</v>
      </c>
    </row>
    <row r="3458">
      <c r="A3458" s="3">
        <v>103458.0</v>
      </c>
      <c r="B3458" s="4" t="s">
        <v>140</v>
      </c>
      <c r="C3458" s="4" t="s">
        <v>343</v>
      </c>
      <c r="D3458" s="4" t="s">
        <v>345</v>
      </c>
      <c r="E3458" s="4">
        <v>5.39</v>
      </c>
    </row>
    <row r="3459">
      <c r="A3459" s="5">
        <v>71838.0</v>
      </c>
      <c r="B3459" s="6" t="s">
        <v>140</v>
      </c>
      <c r="C3459" s="6" t="s">
        <v>343</v>
      </c>
      <c r="D3459" s="6" t="s">
        <v>345</v>
      </c>
      <c r="E3459" s="6">
        <v>2.86</v>
      </c>
    </row>
    <row r="3460">
      <c r="A3460" s="3">
        <v>104671.0</v>
      </c>
      <c r="B3460" s="4" t="s">
        <v>140</v>
      </c>
      <c r="C3460" s="4" t="s">
        <v>343</v>
      </c>
      <c r="D3460" s="4" t="s">
        <v>345</v>
      </c>
      <c r="E3460" s="4">
        <v>2.58</v>
      </c>
    </row>
    <row r="3461">
      <c r="A3461" s="5">
        <v>83793.0</v>
      </c>
      <c r="B3461" s="6" t="s">
        <v>140</v>
      </c>
      <c r="C3461" s="6" t="s">
        <v>343</v>
      </c>
      <c r="D3461" s="6" t="s">
        <v>345</v>
      </c>
      <c r="E3461" s="6">
        <v>1.97</v>
      </c>
    </row>
    <row r="3462">
      <c r="A3462" s="3">
        <v>50478.0</v>
      </c>
      <c r="B3462" s="4" t="s">
        <v>140</v>
      </c>
      <c r="C3462" s="4" t="s">
        <v>343</v>
      </c>
      <c r="D3462" s="4" t="s">
        <v>345</v>
      </c>
      <c r="E3462" s="4">
        <v>1.64</v>
      </c>
    </row>
    <row r="3463">
      <c r="A3463" s="5">
        <v>118891.0</v>
      </c>
      <c r="B3463" s="6" t="s">
        <v>140</v>
      </c>
      <c r="C3463" s="6" t="s">
        <v>343</v>
      </c>
      <c r="D3463" s="6" t="s">
        <v>345</v>
      </c>
      <c r="E3463" s="6">
        <v>1.67</v>
      </c>
    </row>
    <row r="3464">
      <c r="A3464" s="3">
        <v>70440.0</v>
      </c>
      <c r="B3464" s="4" t="s">
        <v>140</v>
      </c>
      <c r="C3464" s="4" t="s">
        <v>343</v>
      </c>
      <c r="D3464" s="4" t="s">
        <v>345</v>
      </c>
      <c r="E3464" s="4">
        <v>3.28</v>
      </c>
    </row>
    <row r="3465">
      <c r="A3465" s="5">
        <v>44840.0</v>
      </c>
      <c r="B3465" s="6" t="s">
        <v>140</v>
      </c>
      <c r="C3465" s="6" t="s">
        <v>343</v>
      </c>
      <c r="D3465" s="6" t="s">
        <v>345</v>
      </c>
      <c r="E3465" s="6">
        <v>1.98</v>
      </c>
    </row>
    <row r="3466">
      <c r="A3466" s="3">
        <v>107304.0</v>
      </c>
      <c r="B3466" s="4" t="s">
        <v>140</v>
      </c>
      <c r="C3466" s="4" t="s">
        <v>343</v>
      </c>
      <c r="D3466" s="4" t="s">
        <v>345</v>
      </c>
      <c r="E3466" s="4">
        <v>3.23</v>
      </c>
    </row>
    <row r="3467">
      <c r="A3467" s="5">
        <v>116195.0</v>
      </c>
      <c r="B3467" s="6" t="s">
        <v>140</v>
      </c>
      <c r="C3467" s="6" t="s">
        <v>343</v>
      </c>
      <c r="D3467" s="6" t="s">
        <v>345</v>
      </c>
      <c r="E3467" s="6">
        <v>1.55</v>
      </c>
    </row>
    <row r="3468">
      <c r="A3468" s="3">
        <v>86980.0</v>
      </c>
      <c r="B3468" s="4" t="s">
        <v>140</v>
      </c>
      <c r="C3468" s="4" t="s">
        <v>343</v>
      </c>
      <c r="D3468" s="4" t="s">
        <v>345</v>
      </c>
      <c r="E3468" s="4">
        <v>1.99</v>
      </c>
    </row>
    <row r="3469">
      <c r="A3469" s="5">
        <v>122230.0</v>
      </c>
      <c r="B3469" s="6" t="s">
        <v>140</v>
      </c>
      <c r="C3469" s="6" t="s">
        <v>343</v>
      </c>
      <c r="D3469" s="6" t="s">
        <v>345</v>
      </c>
      <c r="E3469" s="6">
        <v>1.98</v>
      </c>
    </row>
    <row r="3470">
      <c r="A3470" s="3">
        <v>47602.0</v>
      </c>
      <c r="B3470" s="4" t="s">
        <v>140</v>
      </c>
      <c r="C3470" s="4" t="s">
        <v>343</v>
      </c>
      <c r="D3470" s="4" t="s">
        <v>345</v>
      </c>
      <c r="E3470" s="4">
        <v>1.87</v>
      </c>
    </row>
    <row r="3471">
      <c r="A3471" s="5">
        <v>42190.0</v>
      </c>
      <c r="B3471" s="6" t="s">
        <v>140</v>
      </c>
      <c r="C3471" s="6" t="s">
        <v>343</v>
      </c>
      <c r="D3471" s="6" t="s">
        <v>345</v>
      </c>
      <c r="E3471" s="6">
        <v>2.26</v>
      </c>
    </row>
    <row r="3472">
      <c r="A3472" s="3">
        <v>111130.0</v>
      </c>
      <c r="B3472" s="4" t="s">
        <v>140</v>
      </c>
      <c r="C3472" s="4" t="s">
        <v>343</v>
      </c>
      <c r="D3472" s="4" t="s">
        <v>345</v>
      </c>
      <c r="E3472" s="4">
        <v>2.77</v>
      </c>
    </row>
    <row r="3473">
      <c r="A3473" s="5">
        <v>71774.0</v>
      </c>
      <c r="B3473" s="6" t="s">
        <v>140</v>
      </c>
      <c r="C3473" s="6" t="s">
        <v>343</v>
      </c>
      <c r="D3473" s="6" t="s">
        <v>345</v>
      </c>
      <c r="E3473" s="6">
        <v>2.92</v>
      </c>
    </row>
    <row r="3474">
      <c r="A3474" s="3">
        <v>75010.0</v>
      </c>
      <c r="B3474" s="4" t="s">
        <v>140</v>
      </c>
      <c r="C3474" s="4" t="s">
        <v>343</v>
      </c>
      <c r="D3474" s="4" t="s">
        <v>345</v>
      </c>
      <c r="E3474" s="4">
        <v>3.19</v>
      </c>
    </row>
    <row r="3475">
      <c r="A3475" s="5">
        <v>119276.0</v>
      </c>
      <c r="B3475" s="6" t="s">
        <v>140</v>
      </c>
      <c r="C3475" s="6" t="s">
        <v>343</v>
      </c>
      <c r="D3475" s="6" t="s">
        <v>345</v>
      </c>
      <c r="E3475" s="6">
        <v>2.81</v>
      </c>
    </row>
    <row r="3476">
      <c r="A3476" s="3">
        <v>83789.0</v>
      </c>
      <c r="B3476" s="4" t="s">
        <v>140</v>
      </c>
      <c r="C3476" s="4" t="s">
        <v>343</v>
      </c>
      <c r="D3476" s="4" t="s">
        <v>345</v>
      </c>
      <c r="E3476" s="4">
        <v>1.97</v>
      </c>
    </row>
    <row r="3477">
      <c r="A3477" s="5">
        <v>86999.0</v>
      </c>
      <c r="B3477" s="6" t="s">
        <v>140</v>
      </c>
      <c r="C3477" s="6" t="s">
        <v>343</v>
      </c>
      <c r="D3477" s="6" t="s">
        <v>345</v>
      </c>
      <c r="E3477" s="6">
        <v>2.13</v>
      </c>
    </row>
    <row r="3478">
      <c r="A3478" s="3">
        <v>80678.0</v>
      </c>
      <c r="B3478" s="4" t="s">
        <v>140</v>
      </c>
      <c r="C3478" s="4" t="s">
        <v>343</v>
      </c>
      <c r="D3478" s="4" t="s">
        <v>345</v>
      </c>
      <c r="E3478" s="4">
        <v>1.99</v>
      </c>
    </row>
    <row r="3479">
      <c r="A3479" s="5">
        <v>86973.0</v>
      </c>
      <c r="B3479" s="6" t="s">
        <v>140</v>
      </c>
      <c r="C3479" s="6" t="s">
        <v>343</v>
      </c>
      <c r="D3479" s="6" t="s">
        <v>345</v>
      </c>
      <c r="E3479" s="6">
        <v>2.21</v>
      </c>
    </row>
    <row r="3480">
      <c r="A3480" s="3">
        <v>81724.0</v>
      </c>
      <c r="B3480" s="4" t="s">
        <v>140</v>
      </c>
      <c r="C3480" s="4" t="s">
        <v>343</v>
      </c>
      <c r="D3480" s="4" t="s">
        <v>345</v>
      </c>
      <c r="E3480" s="4">
        <v>2.49</v>
      </c>
    </row>
    <row r="3481">
      <c r="A3481" s="5">
        <v>104678.0</v>
      </c>
      <c r="B3481" s="6" t="s">
        <v>140</v>
      </c>
      <c r="C3481" s="6" t="s">
        <v>343</v>
      </c>
      <c r="D3481" s="6" t="s">
        <v>345</v>
      </c>
      <c r="E3481" s="6">
        <v>2.58</v>
      </c>
    </row>
    <row r="3482">
      <c r="A3482" s="3">
        <v>71844.0</v>
      </c>
      <c r="B3482" s="4" t="s">
        <v>140</v>
      </c>
      <c r="C3482" s="4" t="s">
        <v>343</v>
      </c>
      <c r="D3482" s="4" t="s">
        <v>345</v>
      </c>
      <c r="E3482" s="4">
        <v>4.44</v>
      </c>
    </row>
    <row r="3483">
      <c r="A3483" s="5">
        <v>42287.0</v>
      </c>
      <c r="B3483" s="6" t="s">
        <v>317</v>
      </c>
      <c r="C3483" s="6" t="s">
        <v>346</v>
      </c>
      <c r="D3483" s="6" t="s">
        <v>347</v>
      </c>
      <c r="E3483" s="6">
        <v>12.88</v>
      </c>
    </row>
    <row r="3484">
      <c r="A3484" s="3">
        <v>116678.0</v>
      </c>
      <c r="B3484" s="4" t="s">
        <v>317</v>
      </c>
      <c r="C3484" s="4" t="s">
        <v>346</v>
      </c>
      <c r="D3484" s="4" t="s">
        <v>347</v>
      </c>
      <c r="E3484" s="4">
        <v>13.04</v>
      </c>
    </row>
    <row r="3485">
      <c r="A3485" s="5">
        <v>116845.0</v>
      </c>
      <c r="B3485" s="6" t="s">
        <v>317</v>
      </c>
      <c r="C3485" s="6" t="s">
        <v>346</v>
      </c>
      <c r="D3485" s="6" t="s">
        <v>347</v>
      </c>
      <c r="E3485" s="6">
        <v>9.18</v>
      </c>
    </row>
    <row r="3486">
      <c r="A3486" s="3">
        <v>114252.0</v>
      </c>
      <c r="B3486" s="4" t="s">
        <v>317</v>
      </c>
      <c r="C3486" s="4" t="s">
        <v>346</v>
      </c>
      <c r="D3486" s="4" t="s">
        <v>347</v>
      </c>
      <c r="E3486" s="4">
        <v>13.79</v>
      </c>
    </row>
    <row r="3487">
      <c r="A3487" s="5">
        <v>117595.0</v>
      </c>
      <c r="B3487" s="6" t="s">
        <v>317</v>
      </c>
      <c r="C3487" s="6" t="s">
        <v>346</v>
      </c>
      <c r="D3487" s="6" t="s">
        <v>347</v>
      </c>
      <c r="E3487" s="6">
        <v>10.55</v>
      </c>
    </row>
    <row r="3488">
      <c r="A3488" s="3">
        <v>109579.0</v>
      </c>
      <c r="B3488" s="4" t="s">
        <v>317</v>
      </c>
      <c r="C3488" s="4" t="s">
        <v>346</v>
      </c>
      <c r="D3488" s="4" t="s">
        <v>347</v>
      </c>
      <c r="E3488" s="4">
        <v>14.53</v>
      </c>
    </row>
    <row r="3489">
      <c r="A3489" s="5">
        <v>117597.0</v>
      </c>
      <c r="B3489" s="6" t="s">
        <v>317</v>
      </c>
      <c r="C3489" s="6" t="s">
        <v>346</v>
      </c>
      <c r="D3489" s="6" t="s">
        <v>347</v>
      </c>
      <c r="E3489" s="6">
        <v>4.33</v>
      </c>
    </row>
    <row r="3490">
      <c r="A3490" s="3">
        <v>14401.0</v>
      </c>
      <c r="B3490" s="4" t="s">
        <v>317</v>
      </c>
      <c r="C3490" s="4" t="s">
        <v>346</v>
      </c>
      <c r="D3490" s="4" t="s">
        <v>347</v>
      </c>
      <c r="E3490" s="4">
        <v>4.79</v>
      </c>
    </row>
    <row r="3491">
      <c r="A3491" s="5">
        <v>109290.0</v>
      </c>
      <c r="B3491" s="6" t="s">
        <v>317</v>
      </c>
      <c r="C3491" s="6" t="s">
        <v>346</v>
      </c>
      <c r="D3491" s="6" t="s">
        <v>347</v>
      </c>
      <c r="E3491" s="6">
        <v>16.35</v>
      </c>
    </row>
    <row r="3492">
      <c r="A3492" s="3">
        <v>117665.0</v>
      </c>
      <c r="B3492" s="4" t="s">
        <v>317</v>
      </c>
      <c r="C3492" s="4" t="s">
        <v>346</v>
      </c>
      <c r="D3492" s="4" t="s">
        <v>347</v>
      </c>
      <c r="E3492" s="4">
        <v>8.58</v>
      </c>
    </row>
    <row r="3493">
      <c r="A3493" s="5">
        <v>117681.0</v>
      </c>
      <c r="B3493" s="6" t="s">
        <v>317</v>
      </c>
      <c r="C3493" s="6" t="s">
        <v>346</v>
      </c>
      <c r="D3493" s="6" t="s">
        <v>347</v>
      </c>
      <c r="E3493" s="6">
        <v>11.34</v>
      </c>
    </row>
    <row r="3494">
      <c r="A3494" s="3">
        <v>119406.0</v>
      </c>
      <c r="B3494" s="4" t="s">
        <v>317</v>
      </c>
      <c r="C3494" s="4" t="s">
        <v>346</v>
      </c>
      <c r="D3494" s="4" t="s">
        <v>347</v>
      </c>
      <c r="E3494" s="4">
        <v>11.58</v>
      </c>
    </row>
    <row r="3495">
      <c r="A3495" s="5">
        <v>117676.0</v>
      </c>
      <c r="B3495" s="6" t="s">
        <v>317</v>
      </c>
      <c r="C3495" s="6" t="s">
        <v>346</v>
      </c>
      <c r="D3495" s="6" t="s">
        <v>348</v>
      </c>
      <c r="E3495" s="6">
        <v>14.6</v>
      </c>
    </row>
    <row r="3496">
      <c r="A3496" s="3">
        <v>109571.0</v>
      </c>
      <c r="B3496" s="4" t="s">
        <v>317</v>
      </c>
      <c r="C3496" s="4" t="s">
        <v>346</v>
      </c>
      <c r="D3496" s="4" t="s">
        <v>348</v>
      </c>
      <c r="E3496" s="4">
        <v>14.53</v>
      </c>
    </row>
    <row r="3497">
      <c r="A3497" s="5">
        <v>116676.0</v>
      </c>
      <c r="B3497" s="6" t="s">
        <v>317</v>
      </c>
      <c r="C3497" s="6" t="s">
        <v>346</v>
      </c>
      <c r="D3497" s="6" t="s">
        <v>348</v>
      </c>
      <c r="E3497" s="6">
        <v>13.78</v>
      </c>
    </row>
    <row r="3498">
      <c r="A3498" s="3">
        <v>116816.0</v>
      </c>
      <c r="B3498" s="4" t="s">
        <v>317</v>
      </c>
      <c r="C3498" s="4" t="s">
        <v>346</v>
      </c>
      <c r="D3498" s="4" t="s">
        <v>348</v>
      </c>
      <c r="E3498" s="4">
        <v>6.13</v>
      </c>
    </row>
    <row r="3499">
      <c r="A3499" s="5">
        <v>117663.0</v>
      </c>
      <c r="B3499" s="6" t="s">
        <v>317</v>
      </c>
      <c r="C3499" s="6" t="s">
        <v>346</v>
      </c>
      <c r="D3499" s="6" t="s">
        <v>348</v>
      </c>
      <c r="E3499" s="6">
        <v>9.51</v>
      </c>
    </row>
    <row r="3500">
      <c r="A3500" s="3">
        <v>117652.0</v>
      </c>
      <c r="B3500" s="4" t="s">
        <v>317</v>
      </c>
      <c r="C3500" s="4" t="s">
        <v>346</v>
      </c>
      <c r="D3500" s="4" t="s">
        <v>348</v>
      </c>
      <c r="E3500" s="4">
        <v>17.52</v>
      </c>
    </row>
    <row r="3501">
      <c r="A3501" s="5">
        <v>109289.0</v>
      </c>
      <c r="B3501" s="6" t="s">
        <v>317</v>
      </c>
      <c r="C3501" s="6" t="s">
        <v>346</v>
      </c>
      <c r="D3501" s="6" t="s">
        <v>349</v>
      </c>
      <c r="E3501" s="6">
        <v>16.35</v>
      </c>
    </row>
    <row r="3502">
      <c r="A3502" s="3">
        <v>117656.0</v>
      </c>
      <c r="B3502" s="4" t="s">
        <v>317</v>
      </c>
      <c r="C3502" s="4" t="s">
        <v>346</v>
      </c>
      <c r="D3502" s="4" t="s">
        <v>349</v>
      </c>
      <c r="E3502" s="4">
        <v>16.64</v>
      </c>
    </row>
    <row r="3503">
      <c r="A3503" s="5">
        <v>117677.0</v>
      </c>
      <c r="B3503" s="6" t="s">
        <v>317</v>
      </c>
      <c r="C3503" s="6" t="s">
        <v>346</v>
      </c>
      <c r="D3503" s="6" t="s">
        <v>349</v>
      </c>
      <c r="E3503" s="6">
        <v>13.87</v>
      </c>
    </row>
    <row r="3504">
      <c r="A3504" s="3">
        <v>116677.0</v>
      </c>
      <c r="B3504" s="4" t="s">
        <v>317</v>
      </c>
      <c r="C3504" s="4" t="s">
        <v>346</v>
      </c>
      <c r="D3504" s="4" t="s">
        <v>349</v>
      </c>
      <c r="E3504" s="4">
        <v>13.7</v>
      </c>
    </row>
    <row r="3505">
      <c r="A3505" s="5">
        <v>117256.0</v>
      </c>
      <c r="B3505" s="6" t="s">
        <v>317</v>
      </c>
      <c r="C3505" s="6" t="s">
        <v>346</v>
      </c>
      <c r="D3505" s="6" t="s">
        <v>349</v>
      </c>
      <c r="E3505" s="6">
        <v>8.58</v>
      </c>
    </row>
    <row r="3506">
      <c r="A3506" s="3">
        <v>122738.0</v>
      </c>
      <c r="B3506" s="4" t="s">
        <v>317</v>
      </c>
      <c r="C3506" s="4" t="s">
        <v>346</v>
      </c>
      <c r="D3506" s="4" t="s">
        <v>349</v>
      </c>
      <c r="E3506" s="4">
        <v>9.66</v>
      </c>
    </row>
    <row r="3507">
      <c r="A3507" s="5">
        <v>116679.0</v>
      </c>
      <c r="B3507" s="6" t="s">
        <v>317</v>
      </c>
      <c r="C3507" s="6" t="s">
        <v>346</v>
      </c>
      <c r="D3507" s="6" t="s">
        <v>349</v>
      </c>
      <c r="E3507" s="6">
        <v>15.04</v>
      </c>
    </row>
    <row r="3508">
      <c r="A3508" s="3">
        <v>116831.0</v>
      </c>
      <c r="B3508" s="4" t="s">
        <v>317</v>
      </c>
      <c r="C3508" s="4" t="s">
        <v>346</v>
      </c>
      <c r="D3508" s="4" t="s">
        <v>349</v>
      </c>
      <c r="E3508" s="4">
        <v>9.08</v>
      </c>
    </row>
    <row r="3509">
      <c r="A3509" s="5">
        <v>109577.0</v>
      </c>
      <c r="B3509" s="6" t="s">
        <v>317</v>
      </c>
      <c r="C3509" s="6" t="s">
        <v>346</v>
      </c>
      <c r="D3509" s="6" t="s">
        <v>349</v>
      </c>
      <c r="E3509" s="6">
        <v>14.53</v>
      </c>
    </row>
    <row r="3510">
      <c r="A3510" s="3">
        <v>77790.0</v>
      </c>
      <c r="B3510" s="4" t="s">
        <v>54</v>
      </c>
      <c r="C3510" s="4" t="s">
        <v>350</v>
      </c>
      <c r="D3510" s="4" t="s">
        <v>351</v>
      </c>
      <c r="E3510" s="4">
        <v>5.12</v>
      </c>
    </row>
    <row r="3511">
      <c r="A3511" s="5">
        <v>101172.0</v>
      </c>
      <c r="B3511" s="6" t="s">
        <v>34</v>
      </c>
      <c r="C3511" s="6" t="s">
        <v>352</v>
      </c>
      <c r="D3511" s="6" t="s">
        <v>353</v>
      </c>
      <c r="E3511" s="6">
        <v>11.49</v>
      </c>
    </row>
    <row r="3512">
      <c r="A3512" s="3">
        <v>87023.0</v>
      </c>
      <c r="B3512" s="4" t="s">
        <v>34</v>
      </c>
      <c r="C3512" s="4" t="s">
        <v>352</v>
      </c>
      <c r="D3512" s="4" t="s">
        <v>354</v>
      </c>
      <c r="E3512" s="4">
        <v>12.02</v>
      </c>
    </row>
    <row r="3513">
      <c r="A3513" s="5">
        <v>101520.0</v>
      </c>
      <c r="B3513" s="6" t="s">
        <v>34</v>
      </c>
      <c r="C3513" s="6" t="s">
        <v>352</v>
      </c>
      <c r="D3513" s="6" t="s">
        <v>354</v>
      </c>
      <c r="E3513" s="6">
        <v>9.3</v>
      </c>
    </row>
    <row r="3514">
      <c r="A3514" s="3">
        <v>118362.0</v>
      </c>
      <c r="B3514" s="4" t="s">
        <v>34</v>
      </c>
      <c r="C3514" s="4" t="s">
        <v>352</v>
      </c>
      <c r="D3514" s="4" t="s">
        <v>354</v>
      </c>
      <c r="E3514" s="4">
        <v>10.62</v>
      </c>
    </row>
    <row r="3515">
      <c r="A3515" s="5">
        <v>87313.0</v>
      </c>
      <c r="B3515" s="6" t="s">
        <v>34</v>
      </c>
      <c r="C3515" s="6" t="s">
        <v>352</v>
      </c>
      <c r="D3515" s="6" t="s">
        <v>354</v>
      </c>
      <c r="E3515" s="6">
        <v>7.64</v>
      </c>
    </row>
    <row r="3516">
      <c r="A3516" s="3">
        <v>111015.0</v>
      </c>
      <c r="B3516" s="4" t="s">
        <v>34</v>
      </c>
      <c r="C3516" s="4" t="s">
        <v>352</v>
      </c>
      <c r="D3516" s="4" t="s">
        <v>354</v>
      </c>
      <c r="E3516" s="4">
        <v>9.8</v>
      </c>
    </row>
    <row r="3517">
      <c r="A3517" s="5">
        <v>87312.0</v>
      </c>
      <c r="B3517" s="6" t="s">
        <v>34</v>
      </c>
      <c r="C3517" s="6" t="s">
        <v>352</v>
      </c>
      <c r="D3517" s="6" t="s">
        <v>354</v>
      </c>
      <c r="E3517" s="6">
        <v>7.93</v>
      </c>
    </row>
    <row r="3518">
      <c r="A3518" s="3">
        <v>87025.0</v>
      </c>
      <c r="B3518" s="4" t="s">
        <v>34</v>
      </c>
      <c r="C3518" s="4" t="s">
        <v>352</v>
      </c>
      <c r="D3518" s="4" t="s">
        <v>354</v>
      </c>
      <c r="E3518" s="4">
        <v>12.06</v>
      </c>
    </row>
    <row r="3519">
      <c r="A3519" s="5">
        <v>111587.0</v>
      </c>
      <c r="B3519" s="6" t="s">
        <v>34</v>
      </c>
      <c r="C3519" s="6" t="s">
        <v>352</v>
      </c>
      <c r="D3519" s="6" t="s">
        <v>354</v>
      </c>
      <c r="E3519" s="6">
        <v>5.32</v>
      </c>
    </row>
    <row r="3520">
      <c r="A3520" s="3">
        <v>114934.0</v>
      </c>
      <c r="B3520" s="4" t="s">
        <v>317</v>
      </c>
      <c r="C3520" s="4" t="s">
        <v>355</v>
      </c>
      <c r="D3520" s="4" t="s">
        <v>356</v>
      </c>
      <c r="E3520" s="4">
        <v>1.94</v>
      </c>
    </row>
    <row r="3521">
      <c r="A3521" s="5">
        <v>116519.0</v>
      </c>
      <c r="B3521" s="6" t="s">
        <v>317</v>
      </c>
      <c r="C3521" s="6" t="s">
        <v>355</v>
      </c>
      <c r="D3521" s="6" t="s">
        <v>357</v>
      </c>
      <c r="E3521" s="6">
        <v>1.89</v>
      </c>
    </row>
    <row r="3522">
      <c r="A3522" s="3">
        <v>116516.0</v>
      </c>
      <c r="B3522" s="4" t="s">
        <v>317</v>
      </c>
      <c r="C3522" s="4" t="s">
        <v>355</v>
      </c>
      <c r="D3522" s="4" t="s">
        <v>357</v>
      </c>
      <c r="E3522" s="4">
        <v>1.89</v>
      </c>
    </row>
    <row r="3523">
      <c r="A3523" s="5">
        <v>104931.0</v>
      </c>
      <c r="B3523" s="6" t="s">
        <v>128</v>
      </c>
      <c r="C3523" s="6" t="s">
        <v>358</v>
      </c>
      <c r="D3523" s="6" t="s">
        <v>359</v>
      </c>
      <c r="E3523" s="6">
        <v>7.12</v>
      </c>
    </row>
    <row r="3524">
      <c r="A3524" s="3">
        <v>105656.0</v>
      </c>
      <c r="B3524" s="4" t="s">
        <v>128</v>
      </c>
      <c r="C3524" s="4" t="s">
        <v>358</v>
      </c>
      <c r="D3524" s="4" t="s">
        <v>359</v>
      </c>
      <c r="E3524" s="4">
        <v>11.33</v>
      </c>
    </row>
    <row r="3525">
      <c r="A3525" s="5">
        <v>117702.0</v>
      </c>
      <c r="B3525" s="6" t="s">
        <v>128</v>
      </c>
      <c r="C3525" s="6" t="s">
        <v>358</v>
      </c>
      <c r="D3525" s="6" t="s">
        <v>360</v>
      </c>
      <c r="E3525" s="6">
        <v>42.89</v>
      </c>
    </row>
    <row r="3526">
      <c r="A3526" s="3">
        <v>88385.0</v>
      </c>
      <c r="B3526" s="4" t="s">
        <v>128</v>
      </c>
      <c r="C3526" s="4" t="s">
        <v>358</v>
      </c>
      <c r="D3526" s="4" t="s">
        <v>360</v>
      </c>
      <c r="E3526" s="4">
        <v>55.69</v>
      </c>
    </row>
    <row r="3527">
      <c r="A3527" s="5">
        <v>76451.0</v>
      </c>
      <c r="B3527" s="6" t="s">
        <v>128</v>
      </c>
      <c r="C3527" s="6" t="s">
        <v>358</v>
      </c>
      <c r="D3527" s="6" t="s">
        <v>361</v>
      </c>
      <c r="E3527" s="6">
        <v>5.35</v>
      </c>
    </row>
    <row r="3528">
      <c r="A3528" s="3">
        <v>199950.0</v>
      </c>
      <c r="B3528" s="4" t="s">
        <v>128</v>
      </c>
      <c r="C3528" s="4" t="s">
        <v>358</v>
      </c>
      <c r="D3528" s="4" t="s">
        <v>361</v>
      </c>
      <c r="E3528" s="4">
        <v>56.78</v>
      </c>
    </row>
    <row r="3529">
      <c r="A3529" s="5">
        <v>121167.0</v>
      </c>
      <c r="B3529" s="6" t="s">
        <v>128</v>
      </c>
      <c r="C3529" s="6" t="s">
        <v>358</v>
      </c>
      <c r="D3529" s="6" t="s">
        <v>361</v>
      </c>
      <c r="E3529" s="6">
        <v>10.76</v>
      </c>
    </row>
    <row r="3530">
      <c r="A3530" s="3">
        <v>199954.0</v>
      </c>
      <c r="B3530" s="4" t="s">
        <v>128</v>
      </c>
      <c r="C3530" s="4" t="s">
        <v>358</v>
      </c>
      <c r="D3530" s="4" t="s">
        <v>361</v>
      </c>
      <c r="E3530" s="4">
        <v>9.19</v>
      </c>
    </row>
    <row r="3531">
      <c r="A3531" s="5">
        <v>190713.0</v>
      </c>
      <c r="B3531" s="6" t="s">
        <v>128</v>
      </c>
      <c r="C3531" s="6" t="s">
        <v>358</v>
      </c>
      <c r="D3531" s="6" t="s">
        <v>361</v>
      </c>
      <c r="E3531" s="6">
        <v>8.43</v>
      </c>
    </row>
    <row r="3532">
      <c r="A3532" s="3">
        <v>199951.0</v>
      </c>
      <c r="B3532" s="4" t="s">
        <v>128</v>
      </c>
      <c r="C3532" s="4" t="s">
        <v>358</v>
      </c>
      <c r="D3532" s="4" t="s">
        <v>361</v>
      </c>
      <c r="E3532" s="4">
        <v>9.19</v>
      </c>
    </row>
    <row r="3533">
      <c r="A3533" s="5">
        <v>85263.0</v>
      </c>
      <c r="B3533" s="6" t="s">
        <v>128</v>
      </c>
      <c r="C3533" s="6" t="s">
        <v>358</v>
      </c>
      <c r="D3533" s="6" t="s">
        <v>361</v>
      </c>
      <c r="E3533" s="6">
        <v>7.47</v>
      </c>
    </row>
    <row r="3534">
      <c r="A3534" s="3">
        <v>180016.0</v>
      </c>
      <c r="B3534" s="4" t="s">
        <v>128</v>
      </c>
      <c r="C3534" s="4" t="s">
        <v>358</v>
      </c>
      <c r="D3534" s="4" t="s">
        <v>362</v>
      </c>
      <c r="E3534" s="4">
        <v>33.63</v>
      </c>
    </row>
    <row r="3535">
      <c r="A3535" s="5">
        <v>129432.0</v>
      </c>
      <c r="B3535" s="6" t="s">
        <v>128</v>
      </c>
      <c r="C3535" s="6" t="s">
        <v>358</v>
      </c>
      <c r="D3535" s="6" t="s">
        <v>362</v>
      </c>
      <c r="E3535" s="6">
        <v>17.54</v>
      </c>
    </row>
    <row r="3536">
      <c r="A3536" s="3">
        <v>120052.0</v>
      </c>
      <c r="B3536" s="4" t="s">
        <v>128</v>
      </c>
      <c r="C3536" s="4" t="s">
        <v>358</v>
      </c>
      <c r="D3536" s="4" t="s">
        <v>362</v>
      </c>
      <c r="E3536" s="4">
        <v>18.59</v>
      </c>
    </row>
    <row r="3537">
      <c r="A3537" s="5">
        <v>111876.0</v>
      </c>
      <c r="B3537" s="6" t="s">
        <v>128</v>
      </c>
      <c r="C3537" s="6" t="s">
        <v>358</v>
      </c>
      <c r="D3537" s="6" t="s">
        <v>363</v>
      </c>
      <c r="E3537" s="6">
        <v>23.48</v>
      </c>
    </row>
    <row r="3538">
      <c r="A3538" s="3">
        <v>85092.0</v>
      </c>
      <c r="B3538" s="4" t="s">
        <v>128</v>
      </c>
      <c r="C3538" s="4" t="s">
        <v>358</v>
      </c>
      <c r="D3538" s="4" t="s">
        <v>364</v>
      </c>
      <c r="E3538" s="4">
        <v>5.41</v>
      </c>
    </row>
    <row r="3539">
      <c r="A3539" s="5">
        <v>121046.0</v>
      </c>
      <c r="B3539" s="6" t="s">
        <v>128</v>
      </c>
      <c r="C3539" s="6" t="s">
        <v>358</v>
      </c>
      <c r="D3539" s="6" t="s">
        <v>364</v>
      </c>
      <c r="E3539" s="6">
        <v>10.98</v>
      </c>
    </row>
    <row r="3540">
      <c r="A3540" s="3">
        <v>849.0</v>
      </c>
      <c r="B3540" s="4" t="s">
        <v>128</v>
      </c>
      <c r="C3540" s="4" t="s">
        <v>358</v>
      </c>
      <c r="D3540" s="4" t="s">
        <v>364</v>
      </c>
      <c r="E3540" s="4">
        <v>5.27</v>
      </c>
    </row>
    <row r="3541">
      <c r="A3541" s="5">
        <v>21662.0</v>
      </c>
      <c r="B3541" s="6" t="s">
        <v>128</v>
      </c>
      <c r="C3541" s="6" t="s">
        <v>358</v>
      </c>
      <c r="D3541" s="6" t="s">
        <v>364</v>
      </c>
      <c r="E3541" s="6">
        <v>13.36</v>
      </c>
    </row>
    <row r="3542">
      <c r="A3542" s="3">
        <v>127038.0</v>
      </c>
      <c r="B3542" s="4" t="s">
        <v>128</v>
      </c>
      <c r="C3542" s="4" t="s">
        <v>358</v>
      </c>
      <c r="D3542" s="4" t="s">
        <v>364</v>
      </c>
      <c r="E3542" s="4">
        <v>21.62</v>
      </c>
    </row>
    <row r="3543">
      <c r="A3543" s="5">
        <v>91954.0</v>
      </c>
      <c r="B3543" s="6" t="s">
        <v>128</v>
      </c>
      <c r="C3543" s="6" t="s">
        <v>358</v>
      </c>
      <c r="D3543" s="6" t="s">
        <v>364</v>
      </c>
      <c r="E3543" s="6">
        <v>15.36</v>
      </c>
    </row>
    <row r="3544">
      <c r="A3544" s="3">
        <v>96365.0</v>
      </c>
      <c r="B3544" s="4" t="s">
        <v>128</v>
      </c>
      <c r="C3544" s="4" t="s">
        <v>358</v>
      </c>
      <c r="D3544" s="4" t="s">
        <v>365</v>
      </c>
      <c r="E3544" s="4">
        <v>9.2</v>
      </c>
    </row>
    <row r="3545">
      <c r="A3545" s="5">
        <v>121172.0</v>
      </c>
      <c r="B3545" s="6" t="s">
        <v>128</v>
      </c>
      <c r="C3545" s="6" t="s">
        <v>358</v>
      </c>
      <c r="D3545" s="6" t="s">
        <v>365</v>
      </c>
      <c r="E3545" s="6">
        <v>11.33</v>
      </c>
    </row>
    <row r="3546">
      <c r="A3546" s="3">
        <v>74331.0</v>
      </c>
      <c r="B3546" s="4" t="s">
        <v>128</v>
      </c>
      <c r="C3546" s="4" t="s">
        <v>358</v>
      </c>
      <c r="D3546" s="4" t="s">
        <v>365</v>
      </c>
      <c r="E3546" s="4">
        <v>12.2</v>
      </c>
    </row>
    <row r="3547">
      <c r="A3547" s="5">
        <v>105657.0</v>
      </c>
      <c r="B3547" s="6" t="s">
        <v>128</v>
      </c>
      <c r="C3547" s="6" t="s">
        <v>358</v>
      </c>
      <c r="D3547" s="6" t="s">
        <v>365</v>
      </c>
      <c r="E3547" s="6">
        <v>15.42</v>
      </c>
    </row>
    <row r="3548">
      <c r="A3548" s="3">
        <v>113716.0</v>
      </c>
      <c r="B3548" s="4" t="s">
        <v>128</v>
      </c>
      <c r="C3548" s="4" t="s">
        <v>358</v>
      </c>
      <c r="D3548" s="4" t="s">
        <v>365</v>
      </c>
      <c r="E3548" s="4">
        <v>14.6</v>
      </c>
    </row>
    <row r="3549">
      <c r="A3549" s="5">
        <v>104510.0</v>
      </c>
      <c r="B3549" s="6" t="s">
        <v>128</v>
      </c>
      <c r="C3549" s="6" t="s">
        <v>358</v>
      </c>
      <c r="D3549" s="6" t="s">
        <v>365</v>
      </c>
      <c r="E3549" s="6">
        <v>5.08</v>
      </c>
    </row>
    <row r="3550">
      <c r="A3550" s="3">
        <v>105059.0</v>
      </c>
      <c r="B3550" s="4" t="s">
        <v>128</v>
      </c>
      <c r="C3550" s="4" t="s">
        <v>358</v>
      </c>
      <c r="D3550" s="4" t="s">
        <v>365</v>
      </c>
      <c r="E3550" s="4">
        <v>8.13</v>
      </c>
    </row>
    <row r="3551">
      <c r="A3551" s="5">
        <v>63608.0</v>
      </c>
      <c r="B3551" s="6" t="s">
        <v>128</v>
      </c>
      <c r="C3551" s="6" t="s">
        <v>358</v>
      </c>
      <c r="D3551" s="6" t="s">
        <v>365</v>
      </c>
      <c r="E3551" s="6">
        <v>8.38</v>
      </c>
    </row>
    <row r="3552">
      <c r="A3552" s="3">
        <v>121095.0</v>
      </c>
      <c r="B3552" s="4" t="s">
        <v>128</v>
      </c>
      <c r="C3552" s="4" t="s">
        <v>358</v>
      </c>
      <c r="D3552" s="4" t="s">
        <v>365</v>
      </c>
      <c r="E3552" s="4">
        <v>26.49</v>
      </c>
    </row>
    <row r="3553">
      <c r="A3553" s="5">
        <v>76450.0</v>
      </c>
      <c r="B3553" s="6" t="s">
        <v>128</v>
      </c>
      <c r="C3553" s="6" t="s">
        <v>358</v>
      </c>
      <c r="D3553" s="6" t="s">
        <v>365</v>
      </c>
      <c r="E3553" s="6">
        <v>11.63</v>
      </c>
    </row>
    <row r="3554">
      <c r="A3554" s="3">
        <v>121012.0</v>
      </c>
      <c r="B3554" s="4" t="s">
        <v>128</v>
      </c>
      <c r="C3554" s="4" t="s">
        <v>358</v>
      </c>
      <c r="D3554" s="4" t="s">
        <v>365</v>
      </c>
      <c r="E3554" s="4">
        <v>11.84</v>
      </c>
    </row>
    <row r="3555">
      <c r="A3555" s="5">
        <v>113187.0</v>
      </c>
      <c r="B3555" s="6" t="s">
        <v>128</v>
      </c>
      <c r="C3555" s="6" t="s">
        <v>358</v>
      </c>
      <c r="D3555" s="6" t="s">
        <v>365</v>
      </c>
      <c r="E3555" s="6">
        <v>7.64</v>
      </c>
    </row>
    <row r="3556">
      <c r="A3556" s="3">
        <v>101946.0</v>
      </c>
      <c r="B3556" s="4" t="s">
        <v>128</v>
      </c>
      <c r="C3556" s="4" t="s">
        <v>358</v>
      </c>
      <c r="D3556" s="4" t="s">
        <v>366</v>
      </c>
      <c r="E3556" s="4">
        <v>24.51</v>
      </c>
    </row>
    <row r="3557">
      <c r="A3557" s="5">
        <v>117275.0</v>
      </c>
      <c r="B3557" s="6" t="s">
        <v>128</v>
      </c>
      <c r="C3557" s="6" t="s">
        <v>358</v>
      </c>
      <c r="D3557" s="6" t="s">
        <v>366</v>
      </c>
      <c r="E3557" s="6">
        <v>24.51</v>
      </c>
    </row>
    <row r="3558">
      <c r="A3558" s="3">
        <v>117695.0</v>
      </c>
      <c r="B3558" s="4" t="s">
        <v>128</v>
      </c>
      <c r="C3558" s="4" t="s">
        <v>358</v>
      </c>
      <c r="D3558" s="4" t="s">
        <v>366</v>
      </c>
      <c r="E3558" s="4">
        <v>30.63</v>
      </c>
    </row>
    <row r="3559">
      <c r="A3559" s="5">
        <v>74398.0</v>
      </c>
      <c r="B3559" s="6" t="s">
        <v>128</v>
      </c>
      <c r="C3559" s="6" t="s">
        <v>358</v>
      </c>
      <c r="D3559" s="6" t="s">
        <v>367</v>
      </c>
      <c r="E3559" s="6">
        <v>15.25</v>
      </c>
    </row>
    <row r="3560">
      <c r="A3560" s="3">
        <v>105230.0</v>
      </c>
      <c r="B3560" s="4" t="s">
        <v>128</v>
      </c>
      <c r="C3560" s="4" t="s">
        <v>358</v>
      </c>
      <c r="D3560" s="4" t="s">
        <v>367</v>
      </c>
      <c r="E3560" s="4">
        <v>13.46</v>
      </c>
    </row>
    <row r="3561">
      <c r="A3561" s="5">
        <v>112776.0</v>
      </c>
      <c r="B3561" s="6" t="s">
        <v>128</v>
      </c>
      <c r="C3561" s="6" t="s">
        <v>358</v>
      </c>
      <c r="D3561" s="6" t="s">
        <v>367</v>
      </c>
      <c r="E3561" s="6">
        <v>11.46</v>
      </c>
    </row>
    <row r="3562">
      <c r="A3562" s="3">
        <v>23968.0</v>
      </c>
      <c r="B3562" s="4" t="s">
        <v>128</v>
      </c>
      <c r="C3562" s="4" t="s">
        <v>358</v>
      </c>
      <c r="D3562" s="4" t="s">
        <v>367</v>
      </c>
      <c r="E3562" s="4">
        <v>18.3</v>
      </c>
    </row>
    <row r="3563">
      <c r="A3563" s="5">
        <v>127025.0</v>
      </c>
      <c r="B3563" s="6" t="s">
        <v>128</v>
      </c>
      <c r="C3563" s="6" t="s">
        <v>358</v>
      </c>
      <c r="D3563" s="6" t="s">
        <v>367</v>
      </c>
      <c r="E3563" s="6">
        <v>21.62</v>
      </c>
    </row>
    <row r="3564">
      <c r="A3564" s="3">
        <v>118956.0</v>
      </c>
      <c r="B3564" s="4" t="s">
        <v>128</v>
      </c>
      <c r="C3564" s="4" t="s">
        <v>358</v>
      </c>
      <c r="D3564" s="4" t="s">
        <v>368</v>
      </c>
      <c r="E3564" s="4">
        <v>13.38</v>
      </c>
    </row>
    <row r="3565">
      <c r="A3565" s="5">
        <v>118947.0</v>
      </c>
      <c r="B3565" s="6" t="s">
        <v>128</v>
      </c>
      <c r="C3565" s="6" t="s">
        <v>358</v>
      </c>
      <c r="D3565" s="6" t="s">
        <v>368</v>
      </c>
      <c r="E3565" s="6">
        <v>2.67</v>
      </c>
    </row>
    <row r="3566">
      <c r="A3566" s="3">
        <v>95873.0</v>
      </c>
      <c r="B3566" s="4" t="s">
        <v>128</v>
      </c>
      <c r="C3566" s="4" t="s">
        <v>358</v>
      </c>
      <c r="D3566" s="4" t="s">
        <v>368</v>
      </c>
      <c r="E3566" s="4">
        <v>8.99</v>
      </c>
    </row>
    <row r="3567">
      <c r="A3567" s="5">
        <v>118946.0</v>
      </c>
      <c r="B3567" s="6" t="s">
        <v>128</v>
      </c>
      <c r="C3567" s="6" t="s">
        <v>358</v>
      </c>
      <c r="D3567" s="6" t="s">
        <v>368</v>
      </c>
      <c r="E3567" s="6">
        <v>2.67</v>
      </c>
    </row>
    <row r="3568">
      <c r="A3568" s="3">
        <v>44991.0</v>
      </c>
      <c r="B3568" s="4" t="s">
        <v>128</v>
      </c>
      <c r="C3568" s="4" t="s">
        <v>358</v>
      </c>
      <c r="D3568" s="4" t="s">
        <v>368</v>
      </c>
      <c r="E3568" s="4">
        <v>17.97</v>
      </c>
    </row>
    <row r="3569">
      <c r="A3569" s="5">
        <v>122398.0</v>
      </c>
      <c r="B3569" s="6" t="s">
        <v>128</v>
      </c>
      <c r="C3569" s="6" t="s">
        <v>358</v>
      </c>
      <c r="D3569" s="6" t="s">
        <v>368</v>
      </c>
      <c r="E3569" s="6">
        <v>17.97</v>
      </c>
    </row>
    <row r="3570">
      <c r="A3570" s="3">
        <v>108638.0</v>
      </c>
      <c r="B3570" s="4" t="s">
        <v>128</v>
      </c>
      <c r="C3570" s="4" t="s">
        <v>358</v>
      </c>
      <c r="D3570" s="4" t="s">
        <v>368</v>
      </c>
      <c r="E3570" s="4">
        <v>6.43</v>
      </c>
    </row>
    <row r="3571">
      <c r="A3571" s="5">
        <v>113633.0</v>
      </c>
      <c r="B3571" s="6" t="s">
        <v>128</v>
      </c>
      <c r="C3571" s="6" t="s">
        <v>358</v>
      </c>
      <c r="D3571" s="6" t="s">
        <v>369</v>
      </c>
      <c r="E3571" s="6">
        <v>13.85</v>
      </c>
    </row>
    <row r="3572">
      <c r="A3572" s="3">
        <v>113649.0</v>
      </c>
      <c r="B3572" s="4" t="s">
        <v>128</v>
      </c>
      <c r="C3572" s="4" t="s">
        <v>358</v>
      </c>
      <c r="D3572" s="4" t="s">
        <v>369</v>
      </c>
      <c r="E3572" s="4">
        <v>3.6</v>
      </c>
    </row>
    <row r="3573">
      <c r="A3573" s="5">
        <v>113619.0</v>
      </c>
      <c r="B3573" s="6" t="s">
        <v>128</v>
      </c>
      <c r="C3573" s="6" t="s">
        <v>358</v>
      </c>
      <c r="D3573" s="6" t="s">
        <v>369</v>
      </c>
      <c r="E3573" s="6">
        <v>6.96</v>
      </c>
    </row>
    <row r="3574">
      <c r="A3574" s="3">
        <v>113648.0</v>
      </c>
      <c r="B3574" s="4" t="s">
        <v>128</v>
      </c>
      <c r="C3574" s="4" t="s">
        <v>358</v>
      </c>
      <c r="D3574" s="4" t="s">
        <v>369</v>
      </c>
      <c r="E3574" s="4">
        <v>3.6</v>
      </c>
    </row>
    <row r="3575">
      <c r="A3575" s="5">
        <v>120889.0</v>
      </c>
      <c r="B3575" s="6" t="s">
        <v>128</v>
      </c>
      <c r="C3575" s="6" t="s">
        <v>358</v>
      </c>
      <c r="D3575" s="6" t="s">
        <v>369</v>
      </c>
      <c r="E3575" s="6">
        <v>45.44</v>
      </c>
    </row>
    <row r="3576">
      <c r="A3576" s="3">
        <v>113620.0</v>
      </c>
      <c r="B3576" s="4" t="s">
        <v>128</v>
      </c>
      <c r="C3576" s="4" t="s">
        <v>358</v>
      </c>
      <c r="D3576" s="4" t="s">
        <v>369</v>
      </c>
      <c r="E3576" s="4">
        <v>6.96</v>
      </c>
    </row>
    <row r="3577">
      <c r="A3577" s="5">
        <v>113626.0</v>
      </c>
      <c r="B3577" s="6" t="s">
        <v>128</v>
      </c>
      <c r="C3577" s="6" t="s">
        <v>358</v>
      </c>
      <c r="D3577" s="6" t="s">
        <v>369</v>
      </c>
      <c r="E3577" s="6">
        <v>5.41</v>
      </c>
    </row>
    <row r="3578">
      <c r="A3578" s="3">
        <v>113657.0</v>
      </c>
      <c r="B3578" s="4" t="s">
        <v>128</v>
      </c>
      <c r="C3578" s="4" t="s">
        <v>358</v>
      </c>
      <c r="D3578" s="4" t="s">
        <v>369</v>
      </c>
      <c r="E3578" s="4">
        <v>6.35</v>
      </c>
    </row>
    <row r="3579">
      <c r="A3579" s="5">
        <v>113645.0</v>
      </c>
      <c r="B3579" s="6" t="s">
        <v>128</v>
      </c>
      <c r="C3579" s="6" t="s">
        <v>358</v>
      </c>
      <c r="D3579" s="6" t="s">
        <v>369</v>
      </c>
      <c r="E3579" s="6">
        <v>9.98</v>
      </c>
    </row>
    <row r="3580">
      <c r="A3580" s="3">
        <v>18247.0</v>
      </c>
      <c r="B3580" s="4" t="s">
        <v>128</v>
      </c>
      <c r="C3580" s="4" t="s">
        <v>358</v>
      </c>
      <c r="D3580" s="4" t="s">
        <v>370</v>
      </c>
      <c r="E3580" s="4">
        <v>14.26</v>
      </c>
    </row>
    <row r="3581">
      <c r="A3581" s="5">
        <v>121249.0</v>
      </c>
      <c r="B3581" s="6" t="s">
        <v>128</v>
      </c>
      <c r="C3581" s="6" t="s">
        <v>358</v>
      </c>
      <c r="D3581" s="6" t="s">
        <v>371</v>
      </c>
      <c r="E3581" s="6">
        <v>20.54</v>
      </c>
    </row>
    <row r="3582">
      <c r="A3582" s="3">
        <v>104912.0</v>
      </c>
      <c r="B3582" s="4" t="s">
        <v>128</v>
      </c>
      <c r="C3582" s="4" t="s">
        <v>358</v>
      </c>
      <c r="D3582" s="4" t="s">
        <v>371</v>
      </c>
      <c r="E3582" s="4">
        <v>50.83</v>
      </c>
    </row>
    <row r="3583">
      <c r="A3583" s="5">
        <v>73222.0</v>
      </c>
      <c r="B3583" s="6" t="s">
        <v>9</v>
      </c>
      <c r="C3583" s="6" t="s">
        <v>372</v>
      </c>
      <c r="D3583" s="6" t="s">
        <v>373</v>
      </c>
      <c r="E3583" s="6">
        <v>3.18</v>
      </c>
    </row>
    <row r="3584">
      <c r="A3584" s="3">
        <v>78834.0</v>
      </c>
      <c r="B3584" s="4" t="s">
        <v>9</v>
      </c>
      <c r="C3584" s="4" t="s">
        <v>372</v>
      </c>
      <c r="D3584" s="4" t="s">
        <v>373</v>
      </c>
      <c r="E3584" s="4">
        <v>1.94</v>
      </c>
    </row>
    <row r="3585">
      <c r="A3585" s="5">
        <v>15109.0</v>
      </c>
      <c r="B3585" s="6" t="s">
        <v>9</v>
      </c>
      <c r="C3585" s="6" t="s">
        <v>372</v>
      </c>
      <c r="D3585" s="6" t="s">
        <v>374</v>
      </c>
      <c r="E3585" s="6">
        <v>4.83</v>
      </c>
    </row>
    <row r="3586">
      <c r="A3586" s="3">
        <v>26126.0</v>
      </c>
      <c r="B3586" s="4" t="s">
        <v>9</v>
      </c>
      <c r="C3586" s="4" t="s">
        <v>372</v>
      </c>
      <c r="D3586" s="4" t="s">
        <v>374</v>
      </c>
      <c r="E3586" s="4">
        <v>3.48</v>
      </c>
    </row>
    <row r="3587">
      <c r="A3587" s="5">
        <v>48724.0</v>
      </c>
      <c r="B3587" s="6" t="s">
        <v>9</v>
      </c>
      <c r="C3587" s="6" t="s">
        <v>372</v>
      </c>
      <c r="D3587" s="6" t="s">
        <v>374</v>
      </c>
      <c r="E3587" s="6">
        <v>4.16</v>
      </c>
    </row>
    <row r="3588">
      <c r="A3588" s="3">
        <v>98888.0</v>
      </c>
      <c r="B3588" s="4" t="s">
        <v>9</v>
      </c>
      <c r="C3588" s="4" t="s">
        <v>372</v>
      </c>
      <c r="D3588" s="4" t="s">
        <v>374</v>
      </c>
      <c r="E3588" s="4">
        <v>2.94</v>
      </c>
    </row>
    <row r="3589">
      <c r="A3589" s="5">
        <v>48605.0</v>
      </c>
      <c r="B3589" s="6" t="s">
        <v>9</v>
      </c>
      <c r="C3589" s="6" t="s">
        <v>372</v>
      </c>
      <c r="D3589" s="6" t="s">
        <v>374</v>
      </c>
      <c r="E3589" s="6">
        <v>1.93</v>
      </c>
    </row>
    <row r="3590">
      <c r="A3590" s="3">
        <v>119243.0</v>
      </c>
      <c r="B3590" s="4" t="s">
        <v>9</v>
      </c>
      <c r="C3590" s="4" t="s">
        <v>372</v>
      </c>
      <c r="D3590" s="4" t="s">
        <v>374</v>
      </c>
      <c r="E3590" s="4">
        <v>2.52</v>
      </c>
    </row>
    <row r="3591">
      <c r="A3591" s="5">
        <v>22045.0</v>
      </c>
      <c r="B3591" s="6" t="s">
        <v>9</v>
      </c>
      <c r="C3591" s="6" t="s">
        <v>372</v>
      </c>
      <c r="D3591" s="6" t="s">
        <v>374</v>
      </c>
      <c r="E3591" s="6">
        <v>2.35</v>
      </c>
    </row>
    <row r="3592">
      <c r="A3592" s="3">
        <v>73221.0</v>
      </c>
      <c r="B3592" s="4" t="s">
        <v>9</v>
      </c>
      <c r="C3592" s="4" t="s">
        <v>372</v>
      </c>
      <c r="D3592" s="4" t="s">
        <v>374</v>
      </c>
      <c r="E3592" s="4">
        <v>15.04</v>
      </c>
    </row>
    <row r="3593">
      <c r="A3593" s="5">
        <v>72168.0</v>
      </c>
      <c r="B3593" s="6" t="s">
        <v>9</v>
      </c>
      <c r="C3593" s="6" t="s">
        <v>372</v>
      </c>
      <c r="D3593" s="6" t="s">
        <v>374</v>
      </c>
      <c r="E3593" s="6">
        <v>3.56</v>
      </c>
    </row>
    <row r="3594">
      <c r="A3594" s="3">
        <v>127039.0</v>
      </c>
      <c r="B3594" s="4" t="s">
        <v>9</v>
      </c>
      <c r="C3594" s="4" t="s">
        <v>372</v>
      </c>
      <c r="D3594" s="4" t="s">
        <v>374</v>
      </c>
      <c r="E3594" s="4">
        <v>2.93</v>
      </c>
    </row>
    <row r="3595">
      <c r="A3595" s="5">
        <v>155861.0</v>
      </c>
      <c r="B3595" s="6" t="s">
        <v>9</v>
      </c>
      <c r="C3595" s="6" t="s">
        <v>372</v>
      </c>
      <c r="D3595" s="6" t="s">
        <v>375</v>
      </c>
      <c r="E3595" s="6">
        <v>3.51</v>
      </c>
    </row>
    <row r="3596">
      <c r="A3596" s="3">
        <v>6213.0</v>
      </c>
      <c r="B3596" s="4" t="s">
        <v>9</v>
      </c>
      <c r="C3596" s="4" t="s">
        <v>372</v>
      </c>
      <c r="D3596" s="4" t="s">
        <v>375</v>
      </c>
      <c r="E3596" s="4">
        <v>9.3</v>
      </c>
    </row>
    <row r="3597">
      <c r="A3597" s="5">
        <v>6476.0</v>
      </c>
      <c r="B3597" s="6" t="s">
        <v>317</v>
      </c>
      <c r="C3597" s="6" t="s">
        <v>376</v>
      </c>
      <c r="D3597" s="6" t="s">
        <v>377</v>
      </c>
      <c r="E3597" s="6">
        <v>2.34</v>
      </c>
    </row>
    <row r="3598">
      <c r="A3598" s="3">
        <v>114933.0</v>
      </c>
      <c r="B3598" s="4" t="s">
        <v>317</v>
      </c>
      <c r="C3598" s="4" t="s">
        <v>376</v>
      </c>
      <c r="D3598" s="4" t="s">
        <v>377</v>
      </c>
      <c r="E3598" s="4">
        <v>2.34</v>
      </c>
    </row>
    <row r="3599">
      <c r="A3599" s="5">
        <v>6473.0</v>
      </c>
      <c r="B3599" s="6" t="s">
        <v>317</v>
      </c>
      <c r="C3599" s="6" t="s">
        <v>376</v>
      </c>
      <c r="D3599" s="6" t="s">
        <v>377</v>
      </c>
      <c r="E3599" s="6">
        <v>2.12</v>
      </c>
    </row>
    <row r="3600">
      <c r="A3600" s="3">
        <v>99248.0</v>
      </c>
      <c r="B3600" s="4" t="s">
        <v>317</v>
      </c>
      <c r="C3600" s="4" t="s">
        <v>376</v>
      </c>
      <c r="D3600" s="4" t="s">
        <v>377</v>
      </c>
      <c r="E3600" s="4">
        <v>2.34</v>
      </c>
    </row>
    <row r="3601">
      <c r="A3601" s="5">
        <v>6477.0</v>
      </c>
      <c r="B3601" s="6" t="s">
        <v>317</v>
      </c>
      <c r="C3601" s="6" t="s">
        <v>376</v>
      </c>
      <c r="D3601" s="6" t="s">
        <v>377</v>
      </c>
      <c r="E3601" s="6">
        <v>2.12</v>
      </c>
    </row>
    <row r="3602">
      <c r="A3602" s="3">
        <v>6478.0</v>
      </c>
      <c r="B3602" s="4" t="s">
        <v>317</v>
      </c>
      <c r="C3602" s="4" t="s">
        <v>376</v>
      </c>
      <c r="D3602" s="4" t="s">
        <v>378</v>
      </c>
      <c r="E3602" s="4">
        <v>2.42</v>
      </c>
    </row>
    <row r="3603">
      <c r="A3603" s="5">
        <v>6474.0</v>
      </c>
      <c r="B3603" s="6" t="s">
        <v>317</v>
      </c>
      <c r="C3603" s="6" t="s">
        <v>376</v>
      </c>
      <c r="D3603" s="6" t="s">
        <v>378</v>
      </c>
      <c r="E3603" s="6">
        <v>2.34</v>
      </c>
    </row>
    <row r="3604">
      <c r="A3604" s="3">
        <v>70574.0</v>
      </c>
      <c r="B3604" s="4" t="s">
        <v>317</v>
      </c>
      <c r="C3604" s="4" t="s">
        <v>376</v>
      </c>
      <c r="D3604" s="4" t="s">
        <v>378</v>
      </c>
      <c r="E3604" s="4">
        <v>1.7</v>
      </c>
    </row>
    <row r="3605">
      <c r="A3605" s="5">
        <v>101302.0</v>
      </c>
      <c r="B3605" s="6" t="s">
        <v>128</v>
      </c>
      <c r="C3605" s="6" t="s">
        <v>379</v>
      </c>
      <c r="D3605" s="6" t="s">
        <v>380</v>
      </c>
      <c r="E3605" s="6">
        <v>4.84</v>
      </c>
    </row>
    <row r="3606">
      <c r="A3606" s="3">
        <v>104475.0</v>
      </c>
      <c r="B3606" s="4" t="s">
        <v>128</v>
      </c>
      <c r="C3606" s="4" t="s">
        <v>379</v>
      </c>
      <c r="D3606" s="4" t="s">
        <v>380</v>
      </c>
      <c r="E3606" s="4">
        <v>4.39</v>
      </c>
    </row>
    <row r="3607">
      <c r="A3607" s="5">
        <v>101296.0</v>
      </c>
      <c r="B3607" s="6" t="s">
        <v>128</v>
      </c>
      <c r="C3607" s="6" t="s">
        <v>379</v>
      </c>
      <c r="D3607" s="6" t="s">
        <v>380</v>
      </c>
      <c r="E3607" s="6">
        <v>12.25</v>
      </c>
    </row>
    <row r="3608">
      <c r="A3608" s="3">
        <v>122029.0</v>
      </c>
      <c r="B3608" s="4" t="s">
        <v>128</v>
      </c>
      <c r="C3608" s="4" t="s">
        <v>379</v>
      </c>
      <c r="D3608" s="4" t="s">
        <v>380</v>
      </c>
      <c r="E3608" s="4">
        <v>9.36</v>
      </c>
    </row>
    <row r="3609">
      <c r="A3609" s="5">
        <v>102549.0</v>
      </c>
      <c r="B3609" s="6" t="s">
        <v>128</v>
      </c>
      <c r="C3609" s="6" t="s">
        <v>379</v>
      </c>
      <c r="D3609" s="6" t="s">
        <v>380</v>
      </c>
      <c r="E3609" s="6">
        <v>4.0</v>
      </c>
    </row>
    <row r="3610">
      <c r="A3610" s="3">
        <v>122026.0</v>
      </c>
      <c r="B3610" s="4" t="s">
        <v>128</v>
      </c>
      <c r="C3610" s="4" t="s">
        <v>379</v>
      </c>
      <c r="D3610" s="4" t="s">
        <v>380</v>
      </c>
      <c r="E3610" s="4">
        <v>7.5</v>
      </c>
    </row>
    <row r="3611">
      <c r="A3611" s="5">
        <v>101303.0</v>
      </c>
      <c r="B3611" s="6" t="s">
        <v>128</v>
      </c>
      <c r="C3611" s="6" t="s">
        <v>379</v>
      </c>
      <c r="D3611" s="6" t="s">
        <v>380</v>
      </c>
      <c r="E3611" s="6">
        <v>6.85</v>
      </c>
    </row>
    <row r="3612">
      <c r="A3612" s="3">
        <v>102548.0</v>
      </c>
      <c r="B3612" s="4" t="s">
        <v>128</v>
      </c>
      <c r="C3612" s="4" t="s">
        <v>379</v>
      </c>
      <c r="D3612" s="4" t="s">
        <v>380</v>
      </c>
      <c r="E3612" s="4">
        <v>5.99</v>
      </c>
    </row>
    <row r="3613">
      <c r="A3613" s="5">
        <v>122027.0</v>
      </c>
      <c r="B3613" s="6" t="s">
        <v>128</v>
      </c>
      <c r="C3613" s="6" t="s">
        <v>379</v>
      </c>
      <c r="D3613" s="6" t="s">
        <v>380</v>
      </c>
      <c r="E3613" s="6">
        <v>6.56</v>
      </c>
    </row>
    <row r="3614">
      <c r="A3614" s="3">
        <v>46963.0</v>
      </c>
      <c r="B3614" s="4" t="s">
        <v>128</v>
      </c>
      <c r="C3614" s="4" t="s">
        <v>379</v>
      </c>
      <c r="D3614" s="4" t="s">
        <v>380</v>
      </c>
      <c r="E3614" s="4">
        <v>4.3</v>
      </c>
    </row>
    <row r="3615">
      <c r="A3615" s="5">
        <v>102268.0</v>
      </c>
      <c r="B3615" s="6" t="s">
        <v>128</v>
      </c>
      <c r="C3615" s="6" t="s">
        <v>379</v>
      </c>
      <c r="D3615" s="6" t="s">
        <v>380</v>
      </c>
      <c r="E3615" s="6">
        <v>5.06</v>
      </c>
    </row>
    <row r="3616">
      <c r="A3616" s="3">
        <v>26649.0</v>
      </c>
      <c r="B3616" s="4" t="s">
        <v>128</v>
      </c>
      <c r="C3616" s="4" t="s">
        <v>379</v>
      </c>
      <c r="D3616" s="4" t="s">
        <v>380</v>
      </c>
      <c r="E3616" s="4">
        <v>6.48</v>
      </c>
    </row>
    <row r="3617">
      <c r="A3617" s="5">
        <v>102275.0</v>
      </c>
      <c r="B3617" s="6" t="s">
        <v>128</v>
      </c>
      <c r="C3617" s="6" t="s">
        <v>379</v>
      </c>
      <c r="D3617" s="6" t="s">
        <v>381</v>
      </c>
      <c r="E3617" s="6">
        <v>7.24</v>
      </c>
    </row>
    <row r="3618">
      <c r="A3618" s="3">
        <v>43943.0</v>
      </c>
      <c r="B3618" s="4" t="s">
        <v>128</v>
      </c>
      <c r="C3618" s="4" t="s">
        <v>379</v>
      </c>
      <c r="D3618" s="4" t="s">
        <v>381</v>
      </c>
      <c r="E3618" s="4">
        <v>11.54</v>
      </c>
    </row>
    <row r="3619">
      <c r="A3619" s="5">
        <v>102550.0</v>
      </c>
      <c r="B3619" s="6" t="s">
        <v>128</v>
      </c>
      <c r="C3619" s="6" t="s">
        <v>379</v>
      </c>
      <c r="D3619" s="6" t="s">
        <v>381</v>
      </c>
      <c r="E3619" s="6">
        <v>5.99</v>
      </c>
    </row>
    <row r="3620">
      <c r="A3620" s="3">
        <v>26650.0</v>
      </c>
      <c r="B3620" s="4" t="s">
        <v>128</v>
      </c>
      <c r="C3620" s="4" t="s">
        <v>379</v>
      </c>
      <c r="D3620" s="4" t="s">
        <v>381</v>
      </c>
      <c r="E3620" s="4">
        <v>7.96</v>
      </c>
    </row>
    <row r="3621">
      <c r="A3621" s="5">
        <v>117728.0</v>
      </c>
      <c r="B3621" s="6" t="s">
        <v>128</v>
      </c>
      <c r="C3621" s="6" t="s">
        <v>379</v>
      </c>
      <c r="D3621" s="6" t="s">
        <v>381</v>
      </c>
      <c r="E3621" s="6">
        <v>5.69</v>
      </c>
    </row>
    <row r="3622">
      <c r="A3622" s="3">
        <v>103588.0</v>
      </c>
      <c r="B3622" s="4" t="s">
        <v>128</v>
      </c>
      <c r="C3622" s="4" t="s">
        <v>379</v>
      </c>
      <c r="D3622" s="4" t="s">
        <v>381</v>
      </c>
      <c r="E3622" s="4">
        <v>11.82</v>
      </c>
    </row>
    <row r="3623">
      <c r="A3623" s="5">
        <v>101297.0</v>
      </c>
      <c r="B3623" s="6" t="s">
        <v>128</v>
      </c>
      <c r="C3623" s="6" t="s">
        <v>379</v>
      </c>
      <c r="D3623" s="6" t="s">
        <v>381</v>
      </c>
      <c r="E3623" s="6">
        <v>12.25</v>
      </c>
    </row>
    <row r="3624">
      <c r="A3624" s="3">
        <v>101298.0</v>
      </c>
      <c r="B3624" s="4" t="s">
        <v>128</v>
      </c>
      <c r="C3624" s="4" t="s">
        <v>379</v>
      </c>
      <c r="D3624" s="4" t="s">
        <v>382</v>
      </c>
      <c r="E3624" s="4">
        <v>12.25</v>
      </c>
    </row>
    <row r="3625">
      <c r="A3625" s="5">
        <v>113129.0</v>
      </c>
      <c r="B3625" s="6" t="s">
        <v>128</v>
      </c>
      <c r="C3625" s="6" t="s">
        <v>379</v>
      </c>
      <c r="D3625" s="6" t="s">
        <v>382</v>
      </c>
      <c r="E3625" s="6">
        <v>12.25</v>
      </c>
    </row>
    <row r="3626">
      <c r="A3626" s="3">
        <v>102551.0</v>
      </c>
      <c r="B3626" s="4" t="s">
        <v>128</v>
      </c>
      <c r="C3626" s="4" t="s">
        <v>379</v>
      </c>
      <c r="D3626" s="4" t="s">
        <v>382</v>
      </c>
      <c r="E3626" s="4">
        <v>5.99</v>
      </c>
    </row>
    <row r="3627">
      <c r="A3627" s="5">
        <v>117735.0</v>
      </c>
      <c r="B3627" s="6" t="s">
        <v>128</v>
      </c>
      <c r="C3627" s="6" t="s">
        <v>379</v>
      </c>
      <c r="D3627" s="6" t="s">
        <v>382</v>
      </c>
      <c r="E3627" s="6">
        <v>5.32</v>
      </c>
    </row>
    <row r="3628">
      <c r="A3628" s="3">
        <v>101299.0</v>
      </c>
      <c r="B3628" s="4" t="s">
        <v>128</v>
      </c>
      <c r="C3628" s="4" t="s">
        <v>379</v>
      </c>
      <c r="D3628" s="4" t="s">
        <v>382</v>
      </c>
      <c r="E3628" s="4">
        <v>12.25</v>
      </c>
    </row>
    <row r="3629">
      <c r="A3629" s="5">
        <v>103590.0</v>
      </c>
      <c r="B3629" s="6" t="s">
        <v>128</v>
      </c>
      <c r="C3629" s="6" t="s">
        <v>379</v>
      </c>
      <c r="D3629" s="6" t="s">
        <v>382</v>
      </c>
      <c r="E3629" s="6">
        <v>11.82</v>
      </c>
    </row>
    <row r="3630">
      <c r="A3630" s="3">
        <v>43944.0</v>
      </c>
      <c r="B3630" s="4" t="s">
        <v>128</v>
      </c>
      <c r="C3630" s="4" t="s">
        <v>379</v>
      </c>
      <c r="D3630" s="4" t="s">
        <v>382</v>
      </c>
      <c r="E3630" s="4">
        <v>11.54</v>
      </c>
    </row>
    <row r="3631">
      <c r="A3631" s="5">
        <v>113128.0</v>
      </c>
      <c r="B3631" s="6" t="s">
        <v>128</v>
      </c>
      <c r="C3631" s="6" t="s">
        <v>379</v>
      </c>
      <c r="D3631" s="6" t="s">
        <v>382</v>
      </c>
      <c r="E3631" s="6">
        <v>12.25</v>
      </c>
    </row>
    <row r="3632">
      <c r="A3632" s="3">
        <v>102553.0</v>
      </c>
      <c r="B3632" s="4" t="s">
        <v>128</v>
      </c>
      <c r="C3632" s="4" t="s">
        <v>379</v>
      </c>
      <c r="D3632" s="4" t="s">
        <v>382</v>
      </c>
      <c r="E3632" s="4">
        <v>5.99</v>
      </c>
    </row>
    <row r="3633">
      <c r="A3633" s="5">
        <v>114230.0</v>
      </c>
      <c r="B3633" s="6" t="s">
        <v>128</v>
      </c>
      <c r="C3633" s="6" t="s">
        <v>379</v>
      </c>
      <c r="D3633" s="6" t="s">
        <v>382</v>
      </c>
      <c r="E3633" s="6">
        <v>12.4</v>
      </c>
    </row>
    <row r="3634">
      <c r="A3634" s="3">
        <v>122028.0</v>
      </c>
      <c r="B3634" s="4" t="s">
        <v>128</v>
      </c>
      <c r="C3634" s="4" t="s">
        <v>379</v>
      </c>
      <c r="D3634" s="4" t="s">
        <v>382</v>
      </c>
      <c r="E3634" s="4">
        <v>11.82</v>
      </c>
    </row>
    <row r="3635">
      <c r="A3635" s="5">
        <v>102269.0</v>
      </c>
      <c r="B3635" s="6" t="s">
        <v>128</v>
      </c>
      <c r="C3635" s="6" t="s">
        <v>379</v>
      </c>
      <c r="D3635" s="6" t="s">
        <v>382</v>
      </c>
      <c r="E3635" s="6">
        <v>7.24</v>
      </c>
    </row>
    <row r="3636">
      <c r="A3636" s="3">
        <v>26651.0</v>
      </c>
      <c r="B3636" s="4" t="s">
        <v>128</v>
      </c>
      <c r="C3636" s="4" t="s">
        <v>379</v>
      </c>
      <c r="D3636" s="4" t="s">
        <v>382</v>
      </c>
      <c r="E3636" s="4">
        <v>8.64</v>
      </c>
    </row>
    <row r="3637">
      <c r="A3637" s="5">
        <v>101316.0</v>
      </c>
      <c r="B3637" s="6" t="s">
        <v>128</v>
      </c>
      <c r="C3637" s="6" t="s">
        <v>379</v>
      </c>
      <c r="D3637" s="6" t="s">
        <v>382</v>
      </c>
      <c r="E3637" s="6">
        <v>6.13</v>
      </c>
    </row>
    <row r="3638">
      <c r="A3638" s="3">
        <v>117742.0</v>
      </c>
      <c r="B3638" s="4" t="s">
        <v>128</v>
      </c>
      <c r="C3638" s="4" t="s">
        <v>379</v>
      </c>
      <c r="D3638" s="4" t="s">
        <v>382</v>
      </c>
      <c r="E3638" s="4">
        <v>10.58</v>
      </c>
    </row>
    <row r="3639">
      <c r="A3639" s="5">
        <v>101315.0</v>
      </c>
      <c r="B3639" s="6" t="s">
        <v>128</v>
      </c>
      <c r="C3639" s="6" t="s">
        <v>379</v>
      </c>
      <c r="D3639" s="6" t="s">
        <v>382</v>
      </c>
      <c r="E3639" s="6">
        <v>6.13</v>
      </c>
    </row>
    <row r="3640">
      <c r="A3640" s="3">
        <v>43945.0</v>
      </c>
      <c r="B3640" s="4" t="s">
        <v>128</v>
      </c>
      <c r="C3640" s="4" t="s">
        <v>379</v>
      </c>
      <c r="D3640" s="4" t="s">
        <v>382</v>
      </c>
      <c r="E3640" s="4">
        <v>11.54</v>
      </c>
    </row>
    <row r="3641">
      <c r="A3641" s="5">
        <v>103589.0</v>
      </c>
      <c r="B3641" s="6" t="s">
        <v>128</v>
      </c>
      <c r="C3641" s="6" t="s">
        <v>379</v>
      </c>
      <c r="D3641" s="6" t="s">
        <v>382</v>
      </c>
      <c r="E3641" s="6">
        <v>11.82</v>
      </c>
    </row>
    <row r="3642">
      <c r="A3642" s="3">
        <v>88896.0</v>
      </c>
      <c r="B3642" s="4" t="s">
        <v>128</v>
      </c>
      <c r="C3642" s="4" t="s">
        <v>379</v>
      </c>
      <c r="D3642" s="4" t="s">
        <v>383</v>
      </c>
      <c r="E3642" s="4">
        <v>16.77</v>
      </c>
    </row>
    <row r="3643">
      <c r="A3643" s="5">
        <v>103595.0</v>
      </c>
      <c r="B3643" s="6" t="s">
        <v>128</v>
      </c>
      <c r="C3643" s="6" t="s">
        <v>379</v>
      </c>
      <c r="D3643" s="6" t="s">
        <v>384</v>
      </c>
      <c r="E3643" s="6">
        <v>11.82</v>
      </c>
    </row>
    <row r="3644">
      <c r="A3644" s="3">
        <v>101300.0</v>
      </c>
      <c r="B3644" s="4" t="s">
        <v>128</v>
      </c>
      <c r="C3644" s="4" t="s">
        <v>379</v>
      </c>
      <c r="D3644" s="4" t="s">
        <v>384</v>
      </c>
      <c r="E3644" s="4">
        <v>12.25</v>
      </c>
    </row>
    <row r="3645">
      <c r="A3645" s="5">
        <v>113130.0</v>
      </c>
      <c r="B3645" s="6" t="s">
        <v>128</v>
      </c>
      <c r="C3645" s="6" t="s">
        <v>379</v>
      </c>
      <c r="D3645" s="6" t="s">
        <v>384</v>
      </c>
      <c r="E3645" s="6">
        <v>12.25</v>
      </c>
    </row>
    <row r="3646">
      <c r="A3646" s="3">
        <v>102272.0</v>
      </c>
      <c r="B3646" s="4" t="s">
        <v>128</v>
      </c>
      <c r="C3646" s="4" t="s">
        <v>379</v>
      </c>
      <c r="D3646" s="4" t="s">
        <v>384</v>
      </c>
      <c r="E3646" s="4">
        <v>7.24</v>
      </c>
    </row>
    <row r="3647">
      <c r="A3647" s="5">
        <v>43947.0</v>
      </c>
      <c r="B3647" s="6" t="s">
        <v>128</v>
      </c>
      <c r="C3647" s="6" t="s">
        <v>379</v>
      </c>
      <c r="D3647" s="6" t="s">
        <v>384</v>
      </c>
      <c r="E3647" s="6">
        <v>11.54</v>
      </c>
    </row>
    <row r="3648">
      <c r="A3648" s="3">
        <v>102271.0</v>
      </c>
      <c r="B3648" s="4" t="s">
        <v>128</v>
      </c>
      <c r="C3648" s="4" t="s">
        <v>379</v>
      </c>
      <c r="D3648" s="4" t="s">
        <v>384</v>
      </c>
      <c r="E3648" s="4">
        <v>7.24</v>
      </c>
    </row>
    <row r="3649">
      <c r="A3649" s="5">
        <v>103592.0</v>
      </c>
      <c r="B3649" s="6" t="s">
        <v>128</v>
      </c>
      <c r="C3649" s="6" t="s">
        <v>379</v>
      </c>
      <c r="D3649" s="6" t="s">
        <v>384</v>
      </c>
      <c r="E3649" s="6">
        <v>11.82</v>
      </c>
    </row>
    <row r="3650">
      <c r="A3650" s="3">
        <v>26652.0</v>
      </c>
      <c r="B3650" s="4" t="s">
        <v>128</v>
      </c>
      <c r="C3650" s="4" t="s">
        <v>379</v>
      </c>
      <c r="D3650" s="4" t="s">
        <v>384</v>
      </c>
      <c r="E3650" s="4">
        <v>8.64</v>
      </c>
    </row>
    <row r="3651">
      <c r="A3651" s="5">
        <v>43946.0</v>
      </c>
      <c r="B3651" s="6" t="s">
        <v>128</v>
      </c>
      <c r="C3651" s="6" t="s">
        <v>379</v>
      </c>
      <c r="D3651" s="6" t="s">
        <v>384</v>
      </c>
      <c r="E3651" s="6">
        <v>11.54</v>
      </c>
    </row>
    <row r="3652">
      <c r="A3652" s="3">
        <v>101301.0</v>
      </c>
      <c r="B3652" s="4" t="s">
        <v>128</v>
      </c>
      <c r="C3652" s="4" t="s">
        <v>379</v>
      </c>
      <c r="D3652" s="4" t="s">
        <v>384</v>
      </c>
      <c r="E3652" s="4">
        <v>12.25</v>
      </c>
    </row>
    <row r="3653">
      <c r="A3653" s="5">
        <v>108458.0</v>
      </c>
      <c r="B3653" s="6" t="s">
        <v>128</v>
      </c>
      <c r="C3653" s="6" t="s">
        <v>379</v>
      </c>
      <c r="D3653" s="6" t="s">
        <v>384</v>
      </c>
      <c r="E3653" s="6">
        <v>6.53</v>
      </c>
    </row>
    <row r="3654">
      <c r="A3654" s="3">
        <v>117736.0</v>
      </c>
      <c r="B3654" s="4" t="s">
        <v>128</v>
      </c>
      <c r="C3654" s="4" t="s">
        <v>379</v>
      </c>
      <c r="D3654" s="4" t="s">
        <v>384</v>
      </c>
      <c r="E3654" s="4">
        <v>5.18</v>
      </c>
    </row>
    <row r="3655">
      <c r="A3655" s="5">
        <v>49606.0</v>
      </c>
      <c r="B3655" s="6" t="s">
        <v>128</v>
      </c>
      <c r="C3655" s="6" t="s">
        <v>379</v>
      </c>
      <c r="D3655" s="6" t="s">
        <v>385</v>
      </c>
      <c r="E3655" s="6">
        <v>3.49</v>
      </c>
    </row>
    <row r="3656">
      <c r="A3656" s="3">
        <v>106297.0</v>
      </c>
      <c r="B3656" s="4" t="s">
        <v>128</v>
      </c>
      <c r="C3656" s="4" t="s">
        <v>379</v>
      </c>
      <c r="D3656" s="4" t="s">
        <v>385</v>
      </c>
      <c r="E3656" s="4">
        <v>3.48</v>
      </c>
    </row>
    <row r="3657">
      <c r="A3657" s="5">
        <v>15556.0</v>
      </c>
      <c r="B3657" s="6" t="s">
        <v>128</v>
      </c>
      <c r="C3657" s="6" t="s">
        <v>379</v>
      </c>
      <c r="D3657" s="6" t="s">
        <v>385</v>
      </c>
      <c r="E3657" s="6">
        <v>1.73</v>
      </c>
    </row>
    <row r="3658">
      <c r="A3658" s="3">
        <v>49605.0</v>
      </c>
      <c r="B3658" s="4" t="s">
        <v>128</v>
      </c>
      <c r="C3658" s="4" t="s">
        <v>379</v>
      </c>
      <c r="D3658" s="4" t="s">
        <v>385</v>
      </c>
      <c r="E3658" s="4">
        <v>2.98</v>
      </c>
    </row>
    <row r="3659">
      <c r="A3659" s="5">
        <v>102312.0</v>
      </c>
      <c r="B3659" s="6" t="s">
        <v>128</v>
      </c>
      <c r="C3659" s="6" t="s">
        <v>379</v>
      </c>
      <c r="D3659" s="6" t="s">
        <v>386</v>
      </c>
      <c r="E3659" s="6">
        <v>4.95</v>
      </c>
    </row>
    <row r="3660">
      <c r="A3660" s="3">
        <v>121125.0</v>
      </c>
      <c r="B3660" s="4" t="s">
        <v>128</v>
      </c>
      <c r="C3660" s="4" t="s">
        <v>379</v>
      </c>
      <c r="D3660" s="4" t="s">
        <v>387</v>
      </c>
      <c r="E3660" s="4">
        <v>5.38</v>
      </c>
    </row>
    <row r="3661">
      <c r="A3661" s="5">
        <v>106401.0</v>
      </c>
      <c r="B3661" s="6" t="s">
        <v>128</v>
      </c>
      <c r="C3661" s="6" t="s">
        <v>379</v>
      </c>
      <c r="D3661" s="6" t="s">
        <v>387</v>
      </c>
      <c r="E3661" s="6">
        <v>5.38</v>
      </c>
    </row>
    <row r="3662">
      <c r="A3662" s="3">
        <v>116834.0</v>
      </c>
      <c r="B3662" s="4" t="s">
        <v>128</v>
      </c>
      <c r="C3662" s="4" t="s">
        <v>379</v>
      </c>
      <c r="D3662" s="4" t="s">
        <v>388</v>
      </c>
      <c r="E3662" s="4">
        <v>2.98</v>
      </c>
    </row>
    <row r="3663">
      <c r="A3663" s="5">
        <v>1953.0</v>
      </c>
      <c r="B3663" s="6" t="s">
        <v>128</v>
      </c>
      <c r="C3663" s="6" t="s">
        <v>379</v>
      </c>
      <c r="D3663" s="6" t="s">
        <v>388</v>
      </c>
      <c r="E3663" s="6">
        <v>3.49</v>
      </c>
    </row>
    <row r="3664">
      <c r="A3664" s="3">
        <v>106305.0</v>
      </c>
      <c r="B3664" s="4" t="s">
        <v>128</v>
      </c>
      <c r="C3664" s="4" t="s">
        <v>379</v>
      </c>
      <c r="D3664" s="4" t="s">
        <v>388</v>
      </c>
      <c r="E3664" s="4">
        <v>4.42</v>
      </c>
    </row>
    <row r="3665">
      <c r="A3665" s="5">
        <v>108278.0</v>
      </c>
      <c r="B3665" s="6" t="s">
        <v>128</v>
      </c>
      <c r="C3665" s="6" t="s">
        <v>379</v>
      </c>
      <c r="D3665" s="6" t="s">
        <v>388</v>
      </c>
      <c r="E3665" s="6">
        <v>5.03</v>
      </c>
    </row>
    <row r="3666">
      <c r="A3666" s="3">
        <v>47660.0</v>
      </c>
      <c r="B3666" s="4" t="s">
        <v>128</v>
      </c>
      <c r="C3666" s="4" t="s">
        <v>379</v>
      </c>
      <c r="D3666" s="4" t="s">
        <v>388</v>
      </c>
      <c r="E3666" s="4">
        <v>4.57</v>
      </c>
    </row>
    <row r="3667">
      <c r="A3667" s="5">
        <v>47657.0</v>
      </c>
      <c r="B3667" s="6" t="s">
        <v>128</v>
      </c>
      <c r="C3667" s="6" t="s">
        <v>379</v>
      </c>
      <c r="D3667" s="6" t="s">
        <v>388</v>
      </c>
      <c r="E3667" s="6">
        <v>8.84</v>
      </c>
    </row>
    <row r="3668">
      <c r="A3668" s="3">
        <v>64185.0</v>
      </c>
      <c r="B3668" s="4" t="s">
        <v>128</v>
      </c>
      <c r="C3668" s="4" t="s">
        <v>379</v>
      </c>
      <c r="D3668" s="4" t="s">
        <v>389</v>
      </c>
      <c r="E3668" s="4">
        <v>10.72</v>
      </c>
    </row>
    <row r="3669">
      <c r="A3669" s="5">
        <v>108256.0</v>
      </c>
      <c r="B3669" s="6" t="s">
        <v>128</v>
      </c>
      <c r="C3669" s="6" t="s">
        <v>379</v>
      </c>
      <c r="D3669" s="6" t="s">
        <v>389</v>
      </c>
      <c r="E3669" s="6">
        <v>7.7</v>
      </c>
    </row>
    <row r="3670">
      <c r="A3670" s="3">
        <v>62597.0</v>
      </c>
      <c r="B3670" s="4" t="s">
        <v>128</v>
      </c>
      <c r="C3670" s="4" t="s">
        <v>379</v>
      </c>
      <c r="D3670" s="4" t="s">
        <v>389</v>
      </c>
      <c r="E3670" s="4">
        <v>10.72</v>
      </c>
    </row>
    <row r="3671">
      <c r="A3671" s="5">
        <v>102304.0</v>
      </c>
      <c r="B3671" s="6" t="s">
        <v>128</v>
      </c>
      <c r="C3671" s="6" t="s">
        <v>379</v>
      </c>
      <c r="D3671" s="6" t="s">
        <v>389</v>
      </c>
      <c r="E3671" s="6">
        <v>5.97</v>
      </c>
    </row>
    <row r="3672">
      <c r="A3672" s="3">
        <v>118242.0</v>
      </c>
      <c r="B3672" s="4" t="s">
        <v>128</v>
      </c>
      <c r="C3672" s="4" t="s">
        <v>379</v>
      </c>
      <c r="D3672" s="4" t="s">
        <v>389</v>
      </c>
      <c r="E3672" s="4">
        <v>12.25</v>
      </c>
    </row>
    <row r="3673">
      <c r="A3673" s="5">
        <v>121743.0</v>
      </c>
      <c r="B3673" s="6" t="s">
        <v>128</v>
      </c>
      <c r="C3673" s="6" t="s">
        <v>379</v>
      </c>
      <c r="D3673" s="6" t="s">
        <v>389</v>
      </c>
      <c r="E3673" s="6">
        <v>8.17</v>
      </c>
    </row>
    <row r="3674">
      <c r="A3674" s="3">
        <v>108257.0</v>
      </c>
      <c r="B3674" s="4" t="s">
        <v>128</v>
      </c>
      <c r="C3674" s="4" t="s">
        <v>379</v>
      </c>
      <c r="D3674" s="4" t="s">
        <v>389</v>
      </c>
      <c r="E3674" s="4">
        <v>7.7</v>
      </c>
    </row>
    <row r="3675">
      <c r="A3675" s="5">
        <v>117756.0</v>
      </c>
      <c r="B3675" s="6" t="s">
        <v>128</v>
      </c>
      <c r="C3675" s="6" t="s">
        <v>379</v>
      </c>
      <c r="D3675" s="6" t="s">
        <v>389</v>
      </c>
      <c r="E3675" s="6">
        <v>6.27</v>
      </c>
    </row>
    <row r="3676">
      <c r="A3676" s="3">
        <v>110334.0</v>
      </c>
      <c r="B3676" s="4" t="s">
        <v>128</v>
      </c>
      <c r="C3676" s="4" t="s">
        <v>379</v>
      </c>
      <c r="D3676" s="4" t="s">
        <v>389</v>
      </c>
      <c r="E3676" s="4">
        <v>7.66</v>
      </c>
    </row>
    <row r="3677">
      <c r="A3677" s="5">
        <v>102307.0</v>
      </c>
      <c r="B3677" s="6" t="s">
        <v>128</v>
      </c>
      <c r="C3677" s="6" t="s">
        <v>379</v>
      </c>
      <c r="D3677" s="6" t="s">
        <v>389</v>
      </c>
      <c r="E3677" s="6">
        <v>5.97</v>
      </c>
    </row>
    <row r="3678">
      <c r="A3678" s="3">
        <v>117750.0</v>
      </c>
      <c r="B3678" s="4" t="s">
        <v>128</v>
      </c>
      <c r="C3678" s="4" t="s">
        <v>379</v>
      </c>
      <c r="D3678" s="4" t="s">
        <v>389</v>
      </c>
      <c r="E3678" s="4">
        <v>5.62</v>
      </c>
    </row>
    <row r="3679">
      <c r="A3679" s="5">
        <v>181976.0</v>
      </c>
      <c r="B3679" s="6" t="s">
        <v>128</v>
      </c>
      <c r="C3679" s="6" t="s">
        <v>379</v>
      </c>
      <c r="D3679" s="6" t="s">
        <v>389</v>
      </c>
      <c r="E3679" s="6">
        <v>19.42</v>
      </c>
    </row>
    <row r="3680">
      <c r="A3680" s="3">
        <v>108258.0</v>
      </c>
      <c r="B3680" s="4" t="s">
        <v>128</v>
      </c>
      <c r="C3680" s="4" t="s">
        <v>379</v>
      </c>
      <c r="D3680" s="4" t="s">
        <v>390</v>
      </c>
      <c r="E3680" s="4">
        <v>7.7</v>
      </c>
    </row>
    <row r="3681">
      <c r="A3681" s="5">
        <v>110241.0</v>
      </c>
      <c r="B3681" s="6" t="s">
        <v>128</v>
      </c>
      <c r="C3681" s="6" t="s">
        <v>379</v>
      </c>
      <c r="D3681" s="6" t="s">
        <v>390</v>
      </c>
      <c r="E3681" s="6">
        <v>6.01</v>
      </c>
    </row>
    <row r="3682">
      <c r="A3682" s="3">
        <v>110337.0</v>
      </c>
      <c r="B3682" s="4" t="s">
        <v>128</v>
      </c>
      <c r="C3682" s="4" t="s">
        <v>379</v>
      </c>
      <c r="D3682" s="4" t="s">
        <v>390</v>
      </c>
      <c r="E3682" s="4">
        <v>7.66</v>
      </c>
    </row>
    <row r="3683">
      <c r="A3683" s="5">
        <v>118243.0</v>
      </c>
      <c r="B3683" s="6" t="s">
        <v>128</v>
      </c>
      <c r="C3683" s="6" t="s">
        <v>379</v>
      </c>
      <c r="D3683" s="6" t="s">
        <v>390</v>
      </c>
      <c r="E3683" s="6">
        <v>12.25</v>
      </c>
    </row>
    <row r="3684">
      <c r="A3684" s="3">
        <v>102305.0</v>
      </c>
      <c r="B3684" s="4" t="s">
        <v>128</v>
      </c>
      <c r="C3684" s="4" t="s">
        <v>379</v>
      </c>
      <c r="D3684" s="4" t="s">
        <v>390</v>
      </c>
      <c r="E3684" s="4">
        <v>10.72</v>
      </c>
    </row>
    <row r="3685">
      <c r="A3685" s="5">
        <v>110342.0</v>
      </c>
      <c r="B3685" s="6" t="s">
        <v>128</v>
      </c>
      <c r="C3685" s="6" t="s">
        <v>379</v>
      </c>
      <c r="D3685" s="6" t="s">
        <v>390</v>
      </c>
      <c r="E3685" s="6">
        <v>7.66</v>
      </c>
    </row>
    <row r="3686">
      <c r="A3686" s="3">
        <v>102306.0</v>
      </c>
      <c r="B3686" s="4" t="s">
        <v>128</v>
      </c>
      <c r="C3686" s="4" t="s">
        <v>379</v>
      </c>
      <c r="D3686" s="4" t="s">
        <v>390</v>
      </c>
      <c r="E3686" s="4">
        <v>5.97</v>
      </c>
    </row>
    <row r="3687">
      <c r="A3687" s="5">
        <v>194045.0</v>
      </c>
      <c r="B3687" s="6" t="s">
        <v>60</v>
      </c>
      <c r="C3687" s="6" t="s">
        <v>391</v>
      </c>
      <c r="D3687" s="6" t="s">
        <v>392</v>
      </c>
      <c r="E3687" s="6">
        <v>1.66</v>
      </c>
    </row>
    <row r="3688">
      <c r="A3688" s="3">
        <v>96009.0</v>
      </c>
      <c r="B3688" s="4" t="s">
        <v>60</v>
      </c>
      <c r="C3688" s="4" t="s">
        <v>391</v>
      </c>
      <c r="D3688" s="4" t="s">
        <v>392</v>
      </c>
      <c r="E3688" s="4">
        <v>2.23</v>
      </c>
    </row>
    <row r="3689">
      <c r="A3689" s="5">
        <v>104087.0</v>
      </c>
      <c r="B3689" s="6" t="s">
        <v>60</v>
      </c>
      <c r="C3689" s="6" t="s">
        <v>391</v>
      </c>
      <c r="D3689" s="6" t="s">
        <v>393</v>
      </c>
      <c r="E3689" s="6">
        <v>1.64</v>
      </c>
    </row>
    <row r="3690">
      <c r="A3690" s="3">
        <v>77448.0</v>
      </c>
      <c r="B3690" s="4" t="s">
        <v>60</v>
      </c>
      <c r="C3690" s="4" t="s">
        <v>391</v>
      </c>
      <c r="D3690" s="4" t="s">
        <v>393</v>
      </c>
      <c r="E3690" s="4">
        <v>0.57</v>
      </c>
    </row>
    <row r="3691">
      <c r="A3691" s="5">
        <v>5801.0</v>
      </c>
      <c r="B3691" s="6" t="s">
        <v>60</v>
      </c>
      <c r="C3691" s="6" t="s">
        <v>391</v>
      </c>
      <c r="D3691" s="6" t="s">
        <v>393</v>
      </c>
      <c r="E3691" s="6">
        <v>0.55</v>
      </c>
    </row>
    <row r="3692">
      <c r="A3692" s="3">
        <v>90650.0</v>
      </c>
      <c r="B3692" s="4" t="s">
        <v>60</v>
      </c>
      <c r="C3692" s="4" t="s">
        <v>391</v>
      </c>
      <c r="D3692" s="4" t="s">
        <v>394</v>
      </c>
      <c r="E3692" s="4">
        <v>7.04</v>
      </c>
    </row>
    <row r="3693">
      <c r="A3693" s="5">
        <v>6395.0</v>
      </c>
      <c r="B3693" s="6" t="s">
        <v>60</v>
      </c>
      <c r="C3693" s="6" t="s">
        <v>391</v>
      </c>
      <c r="D3693" s="6" t="s">
        <v>394</v>
      </c>
      <c r="E3693" s="6">
        <v>3.61</v>
      </c>
    </row>
    <row r="3694">
      <c r="A3694" s="3">
        <v>77444.0</v>
      </c>
      <c r="B3694" s="4" t="s">
        <v>60</v>
      </c>
      <c r="C3694" s="4" t="s">
        <v>391</v>
      </c>
      <c r="D3694" s="4" t="s">
        <v>394</v>
      </c>
      <c r="E3694" s="4">
        <v>1.36</v>
      </c>
    </row>
    <row r="3695">
      <c r="A3695" s="5">
        <v>20389.0</v>
      </c>
      <c r="B3695" s="6" t="s">
        <v>60</v>
      </c>
      <c r="C3695" s="6" t="s">
        <v>391</v>
      </c>
      <c r="D3695" s="6" t="s">
        <v>394</v>
      </c>
      <c r="E3695" s="6">
        <v>1.7</v>
      </c>
    </row>
    <row r="3696">
      <c r="A3696" s="3">
        <v>68293.0</v>
      </c>
      <c r="B3696" s="4" t="s">
        <v>60</v>
      </c>
      <c r="C3696" s="4" t="s">
        <v>391</v>
      </c>
      <c r="D3696" s="4" t="s">
        <v>394</v>
      </c>
      <c r="E3696" s="4">
        <v>0.88</v>
      </c>
    </row>
    <row r="3697">
      <c r="A3697" s="5">
        <v>90982.0</v>
      </c>
      <c r="B3697" s="6" t="s">
        <v>60</v>
      </c>
      <c r="C3697" s="6" t="s">
        <v>391</v>
      </c>
      <c r="D3697" s="6" t="s">
        <v>394</v>
      </c>
      <c r="E3697" s="6">
        <v>1.75</v>
      </c>
    </row>
    <row r="3698">
      <c r="A3698" s="3">
        <v>48279.0</v>
      </c>
      <c r="B3698" s="4" t="s">
        <v>60</v>
      </c>
      <c r="C3698" s="4" t="s">
        <v>391</v>
      </c>
      <c r="D3698" s="4" t="s">
        <v>394</v>
      </c>
      <c r="E3698" s="4">
        <v>1.46</v>
      </c>
    </row>
    <row r="3699">
      <c r="A3699" s="5">
        <v>77447.0</v>
      </c>
      <c r="B3699" s="6" t="s">
        <v>60</v>
      </c>
      <c r="C3699" s="6" t="s">
        <v>391</v>
      </c>
      <c r="D3699" s="6" t="s">
        <v>394</v>
      </c>
      <c r="E3699" s="6">
        <v>6.74</v>
      </c>
    </row>
    <row r="3700">
      <c r="A3700" s="3">
        <v>5710.0</v>
      </c>
      <c r="B3700" s="4" t="s">
        <v>60</v>
      </c>
      <c r="C3700" s="4" t="s">
        <v>391</v>
      </c>
      <c r="D3700" s="4" t="s">
        <v>395</v>
      </c>
      <c r="E3700" s="4">
        <v>1.62</v>
      </c>
    </row>
    <row r="3701">
      <c r="A3701" s="5">
        <v>90906.0</v>
      </c>
      <c r="B3701" s="6" t="s">
        <v>60</v>
      </c>
      <c r="C3701" s="6" t="s">
        <v>391</v>
      </c>
      <c r="D3701" s="6" t="s">
        <v>395</v>
      </c>
      <c r="E3701" s="6">
        <v>1.94</v>
      </c>
    </row>
    <row r="3702">
      <c r="A3702" s="3">
        <v>90883.0</v>
      </c>
      <c r="B3702" s="4" t="s">
        <v>60</v>
      </c>
      <c r="C3702" s="4" t="s">
        <v>391</v>
      </c>
      <c r="D3702" s="4" t="s">
        <v>395</v>
      </c>
      <c r="E3702" s="4">
        <v>2.07</v>
      </c>
    </row>
    <row r="3703">
      <c r="A3703" s="5">
        <v>113093.0</v>
      </c>
      <c r="B3703" s="6" t="s">
        <v>60</v>
      </c>
      <c r="C3703" s="6" t="s">
        <v>391</v>
      </c>
      <c r="D3703" s="6" t="s">
        <v>395</v>
      </c>
      <c r="E3703" s="6">
        <v>1.17</v>
      </c>
    </row>
    <row r="3704">
      <c r="A3704" s="3">
        <v>73926.0</v>
      </c>
      <c r="B3704" s="4" t="s">
        <v>60</v>
      </c>
      <c r="C3704" s="4" t="s">
        <v>391</v>
      </c>
      <c r="D3704" s="4" t="s">
        <v>395</v>
      </c>
      <c r="E3704" s="4">
        <v>1.3</v>
      </c>
    </row>
    <row r="3705">
      <c r="A3705" s="5">
        <v>110083.0</v>
      </c>
      <c r="B3705" s="6" t="s">
        <v>60</v>
      </c>
      <c r="C3705" s="6" t="s">
        <v>391</v>
      </c>
      <c r="D3705" s="6" t="s">
        <v>395</v>
      </c>
      <c r="E3705" s="6">
        <v>1.12</v>
      </c>
    </row>
    <row r="3706">
      <c r="A3706" s="3">
        <v>76313.0</v>
      </c>
      <c r="B3706" s="4" t="s">
        <v>60</v>
      </c>
      <c r="C3706" s="4" t="s">
        <v>391</v>
      </c>
      <c r="D3706" s="4" t="s">
        <v>395</v>
      </c>
      <c r="E3706" s="4">
        <v>1.39</v>
      </c>
    </row>
    <row r="3707">
      <c r="A3707" s="5">
        <v>68404.0</v>
      </c>
      <c r="B3707" s="6" t="s">
        <v>60</v>
      </c>
      <c r="C3707" s="6" t="s">
        <v>391</v>
      </c>
      <c r="D3707" s="6" t="s">
        <v>395</v>
      </c>
      <c r="E3707" s="6">
        <v>1.39</v>
      </c>
    </row>
    <row r="3708">
      <c r="A3708" s="3">
        <v>68322.0</v>
      </c>
      <c r="B3708" s="4" t="s">
        <v>60</v>
      </c>
      <c r="C3708" s="4" t="s">
        <v>391</v>
      </c>
      <c r="D3708" s="4" t="s">
        <v>395</v>
      </c>
      <c r="E3708" s="4">
        <v>1.4</v>
      </c>
    </row>
    <row r="3709">
      <c r="A3709" s="5">
        <v>73947.0</v>
      </c>
      <c r="B3709" s="6" t="s">
        <v>60</v>
      </c>
      <c r="C3709" s="6" t="s">
        <v>391</v>
      </c>
      <c r="D3709" s="6" t="s">
        <v>395</v>
      </c>
      <c r="E3709" s="6">
        <v>2.12</v>
      </c>
    </row>
    <row r="3710">
      <c r="A3710" s="3">
        <v>29116.0</v>
      </c>
      <c r="B3710" s="4" t="s">
        <v>60</v>
      </c>
      <c r="C3710" s="4" t="s">
        <v>391</v>
      </c>
      <c r="D3710" s="4" t="s">
        <v>395</v>
      </c>
      <c r="E3710" s="4">
        <v>1.64</v>
      </c>
    </row>
    <row r="3711">
      <c r="A3711" s="5">
        <v>90846.0</v>
      </c>
      <c r="B3711" s="6" t="s">
        <v>60</v>
      </c>
      <c r="C3711" s="6" t="s">
        <v>391</v>
      </c>
      <c r="D3711" s="6" t="s">
        <v>395</v>
      </c>
      <c r="E3711" s="6">
        <v>6.01</v>
      </c>
    </row>
    <row r="3712">
      <c r="A3712" s="3">
        <v>110084.0</v>
      </c>
      <c r="B3712" s="4" t="s">
        <v>60</v>
      </c>
      <c r="C3712" s="4" t="s">
        <v>391</v>
      </c>
      <c r="D3712" s="4" t="s">
        <v>395</v>
      </c>
      <c r="E3712" s="4">
        <v>1.17</v>
      </c>
    </row>
    <row r="3713">
      <c r="A3713" s="5">
        <v>73925.0</v>
      </c>
      <c r="B3713" s="6" t="s">
        <v>60</v>
      </c>
      <c r="C3713" s="6" t="s">
        <v>391</v>
      </c>
      <c r="D3713" s="6" t="s">
        <v>395</v>
      </c>
      <c r="E3713" s="6">
        <v>1.55</v>
      </c>
    </row>
    <row r="3714">
      <c r="A3714" s="3">
        <v>68296.0</v>
      </c>
      <c r="B3714" s="4" t="s">
        <v>60</v>
      </c>
      <c r="C3714" s="4" t="s">
        <v>391</v>
      </c>
      <c r="D3714" s="4" t="s">
        <v>395</v>
      </c>
      <c r="E3714" s="4">
        <v>1.44</v>
      </c>
    </row>
    <row r="3715">
      <c r="A3715" s="5">
        <v>90873.0</v>
      </c>
      <c r="B3715" s="6" t="s">
        <v>60</v>
      </c>
      <c r="C3715" s="6" t="s">
        <v>391</v>
      </c>
      <c r="D3715" s="6" t="s">
        <v>395</v>
      </c>
      <c r="E3715" s="6">
        <v>2.01</v>
      </c>
    </row>
    <row r="3716">
      <c r="A3716" s="3">
        <v>90874.0</v>
      </c>
      <c r="B3716" s="4" t="s">
        <v>60</v>
      </c>
      <c r="C3716" s="4" t="s">
        <v>391</v>
      </c>
      <c r="D3716" s="4" t="s">
        <v>395</v>
      </c>
      <c r="E3716" s="4">
        <v>2.05</v>
      </c>
    </row>
    <row r="3717">
      <c r="A3717" s="5">
        <v>90842.0</v>
      </c>
      <c r="B3717" s="6" t="s">
        <v>60</v>
      </c>
      <c r="C3717" s="6" t="s">
        <v>391</v>
      </c>
      <c r="D3717" s="6" t="s">
        <v>395</v>
      </c>
      <c r="E3717" s="6">
        <v>6.11</v>
      </c>
    </row>
    <row r="3718">
      <c r="A3718" s="3">
        <v>5709.0</v>
      </c>
      <c r="B3718" s="4" t="s">
        <v>60</v>
      </c>
      <c r="C3718" s="4" t="s">
        <v>391</v>
      </c>
      <c r="D3718" s="4" t="s">
        <v>395</v>
      </c>
      <c r="E3718" s="4">
        <v>1.64</v>
      </c>
    </row>
    <row r="3719">
      <c r="A3719" s="5">
        <v>76341.0</v>
      </c>
      <c r="B3719" s="6" t="s">
        <v>60</v>
      </c>
      <c r="C3719" s="6" t="s">
        <v>391</v>
      </c>
      <c r="D3719" s="6" t="s">
        <v>395</v>
      </c>
      <c r="E3719" s="6">
        <v>1.38</v>
      </c>
    </row>
    <row r="3720">
      <c r="A3720" s="3">
        <v>113094.0</v>
      </c>
      <c r="B3720" s="4" t="s">
        <v>60</v>
      </c>
      <c r="C3720" s="4" t="s">
        <v>391</v>
      </c>
      <c r="D3720" s="4" t="s">
        <v>395</v>
      </c>
      <c r="E3720" s="4">
        <v>1.16</v>
      </c>
    </row>
    <row r="3721">
      <c r="A3721" s="5">
        <v>76301.0</v>
      </c>
      <c r="B3721" s="6" t="s">
        <v>60</v>
      </c>
      <c r="C3721" s="6" t="s">
        <v>391</v>
      </c>
      <c r="D3721" s="6" t="s">
        <v>395</v>
      </c>
      <c r="E3721" s="6">
        <v>1.38</v>
      </c>
    </row>
    <row r="3722">
      <c r="A3722" s="3">
        <v>90844.0</v>
      </c>
      <c r="B3722" s="4" t="s">
        <v>60</v>
      </c>
      <c r="C3722" s="4" t="s">
        <v>391</v>
      </c>
      <c r="D3722" s="4" t="s">
        <v>395</v>
      </c>
      <c r="E3722" s="4">
        <v>6.26</v>
      </c>
    </row>
    <row r="3723">
      <c r="A3723" s="5">
        <v>90848.0</v>
      </c>
      <c r="B3723" s="6" t="s">
        <v>60</v>
      </c>
      <c r="C3723" s="6" t="s">
        <v>391</v>
      </c>
      <c r="D3723" s="6" t="s">
        <v>395</v>
      </c>
      <c r="E3723" s="6">
        <v>5.94</v>
      </c>
    </row>
    <row r="3724">
      <c r="A3724" s="3">
        <v>76318.0</v>
      </c>
      <c r="B3724" s="4" t="s">
        <v>60</v>
      </c>
      <c r="C3724" s="4" t="s">
        <v>391</v>
      </c>
      <c r="D3724" s="4" t="s">
        <v>395</v>
      </c>
      <c r="E3724" s="4">
        <v>1.4</v>
      </c>
    </row>
    <row r="3725">
      <c r="A3725" s="5">
        <v>118885.0</v>
      </c>
      <c r="B3725" s="6" t="s">
        <v>60</v>
      </c>
      <c r="C3725" s="6" t="s">
        <v>391</v>
      </c>
      <c r="D3725" s="6" t="s">
        <v>396</v>
      </c>
      <c r="E3725" s="6">
        <v>1.48</v>
      </c>
    </row>
    <row r="3726">
      <c r="A3726" s="3">
        <v>76349.0</v>
      </c>
      <c r="B3726" s="4" t="s">
        <v>60</v>
      </c>
      <c r="C3726" s="4" t="s">
        <v>391</v>
      </c>
      <c r="D3726" s="4" t="s">
        <v>396</v>
      </c>
      <c r="E3726" s="4">
        <v>4.77</v>
      </c>
    </row>
    <row r="3727">
      <c r="A3727" s="5">
        <v>30878.0</v>
      </c>
      <c r="B3727" s="6" t="s">
        <v>60</v>
      </c>
      <c r="C3727" s="6" t="s">
        <v>391</v>
      </c>
      <c r="D3727" s="6" t="s">
        <v>396</v>
      </c>
      <c r="E3727" s="6">
        <v>4.25</v>
      </c>
    </row>
    <row r="3728">
      <c r="A3728" s="3">
        <v>104176.0</v>
      </c>
      <c r="B3728" s="4" t="s">
        <v>60</v>
      </c>
      <c r="C3728" s="4" t="s">
        <v>391</v>
      </c>
      <c r="D3728" s="4" t="s">
        <v>396</v>
      </c>
      <c r="E3728" s="4">
        <v>3.78</v>
      </c>
    </row>
    <row r="3729">
      <c r="A3729" s="5">
        <v>78516.0</v>
      </c>
      <c r="B3729" s="6" t="s">
        <v>60</v>
      </c>
      <c r="C3729" s="6" t="s">
        <v>391</v>
      </c>
      <c r="D3729" s="6" t="s">
        <v>396</v>
      </c>
      <c r="E3729" s="6">
        <v>1.95</v>
      </c>
    </row>
    <row r="3730">
      <c r="A3730" s="3">
        <v>118884.0</v>
      </c>
      <c r="B3730" s="4" t="s">
        <v>60</v>
      </c>
      <c r="C3730" s="4" t="s">
        <v>391</v>
      </c>
      <c r="D3730" s="4" t="s">
        <v>396</v>
      </c>
      <c r="E3730" s="4">
        <v>2.28</v>
      </c>
    </row>
    <row r="3731">
      <c r="A3731" s="5">
        <v>119239.0</v>
      </c>
      <c r="B3731" s="6" t="s">
        <v>60</v>
      </c>
      <c r="C3731" s="6" t="s">
        <v>391</v>
      </c>
      <c r="D3731" s="6" t="s">
        <v>396</v>
      </c>
      <c r="E3731" s="6">
        <v>1.46</v>
      </c>
    </row>
    <row r="3732">
      <c r="A3732" s="3">
        <v>30875.0</v>
      </c>
      <c r="B3732" s="4" t="s">
        <v>60</v>
      </c>
      <c r="C3732" s="4" t="s">
        <v>391</v>
      </c>
      <c r="D3732" s="4" t="s">
        <v>396</v>
      </c>
      <c r="E3732" s="4">
        <v>3.86</v>
      </c>
    </row>
    <row r="3733">
      <c r="A3733" s="5">
        <v>73946.0</v>
      </c>
      <c r="B3733" s="6" t="s">
        <v>60</v>
      </c>
      <c r="C3733" s="6" t="s">
        <v>391</v>
      </c>
      <c r="D3733" s="6" t="s">
        <v>396</v>
      </c>
      <c r="E3733" s="6">
        <v>3.9</v>
      </c>
    </row>
    <row r="3734">
      <c r="A3734" s="3">
        <v>90690.0</v>
      </c>
      <c r="B3734" s="4" t="s">
        <v>60</v>
      </c>
      <c r="C3734" s="4" t="s">
        <v>391</v>
      </c>
      <c r="D3734" s="4" t="s">
        <v>397</v>
      </c>
      <c r="E3734" s="4">
        <v>0.88</v>
      </c>
    </row>
    <row r="3735">
      <c r="A3735" s="5">
        <v>101380.0</v>
      </c>
      <c r="B3735" s="6" t="s">
        <v>60</v>
      </c>
      <c r="C3735" s="6" t="s">
        <v>391</v>
      </c>
      <c r="D3735" s="6" t="s">
        <v>397</v>
      </c>
      <c r="E3735" s="6">
        <v>1.03</v>
      </c>
    </row>
    <row r="3736">
      <c r="A3736" s="3">
        <v>5804.0</v>
      </c>
      <c r="B3736" s="4" t="s">
        <v>60</v>
      </c>
      <c r="C3736" s="4" t="s">
        <v>391</v>
      </c>
      <c r="D3736" s="4" t="s">
        <v>398</v>
      </c>
      <c r="E3736" s="4">
        <v>1.37</v>
      </c>
    </row>
    <row r="3737">
      <c r="A3737" s="5">
        <v>82372.0</v>
      </c>
      <c r="B3737" s="6" t="s">
        <v>60</v>
      </c>
      <c r="C3737" s="6" t="s">
        <v>391</v>
      </c>
      <c r="D3737" s="6" t="s">
        <v>398</v>
      </c>
      <c r="E3737" s="6">
        <v>2.66</v>
      </c>
    </row>
    <row r="3738">
      <c r="A3738" s="3">
        <v>90643.0</v>
      </c>
      <c r="B3738" s="4" t="s">
        <v>60</v>
      </c>
      <c r="C3738" s="4" t="s">
        <v>391</v>
      </c>
      <c r="D3738" s="4" t="s">
        <v>398</v>
      </c>
      <c r="E3738" s="4">
        <v>3.43</v>
      </c>
    </row>
    <row r="3739">
      <c r="A3739" s="5">
        <v>68412.0</v>
      </c>
      <c r="B3739" s="6" t="s">
        <v>60</v>
      </c>
      <c r="C3739" s="6" t="s">
        <v>391</v>
      </c>
      <c r="D3739" s="6" t="s">
        <v>398</v>
      </c>
      <c r="E3739" s="6">
        <v>1.34</v>
      </c>
    </row>
    <row r="3740">
      <c r="A3740" s="3">
        <v>82393.0</v>
      </c>
      <c r="B3740" s="4" t="s">
        <v>60</v>
      </c>
      <c r="C3740" s="4" t="s">
        <v>391</v>
      </c>
      <c r="D3740" s="4" t="s">
        <v>398</v>
      </c>
      <c r="E3740" s="4">
        <v>2.61</v>
      </c>
    </row>
    <row r="3741">
      <c r="A3741" s="5">
        <v>5803.0</v>
      </c>
      <c r="B3741" s="6" t="s">
        <v>60</v>
      </c>
      <c r="C3741" s="6" t="s">
        <v>391</v>
      </c>
      <c r="D3741" s="6" t="s">
        <v>398</v>
      </c>
      <c r="E3741" s="6">
        <v>1.65</v>
      </c>
    </row>
    <row r="3742">
      <c r="A3742" s="3">
        <v>121706.0</v>
      </c>
      <c r="B3742" s="4" t="s">
        <v>60</v>
      </c>
      <c r="C3742" s="4" t="s">
        <v>391</v>
      </c>
      <c r="D3742" s="4" t="s">
        <v>398</v>
      </c>
      <c r="E3742" s="4">
        <v>1.77</v>
      </c>
    </row>
    <row r="3743">
      <c r="A3743" s="5">
        <v>68374.0</v>
      </c>
      <c r="B3743" s="6" t="s">
        <v>60</v>
      </c>
      <c r="C3743" s="6" t="s">
        <v>391</v>
      </c>
      <c r="D3743" s="6" t="s">
        <v>398</v>
      </c>
      <c r="E3743" s="6">
        <v>1.31</v>
      </c>
    </row>
    <row r="3744">
      <c r="A3744" s="3">
        <v>90946.0</v>
      </c>
      <c r="B3744" s="4" t="s">
        <v>60</v>
      </c>
      <c r="C3744" s="4" t="s">
        <v>391</v>
      </c>
      <c r="D3744" s="4" t="s">
        <v>398</v>
      </c>
      <c r="E3744" s="4">
        <v>3.27</v>
      </c>
    </row>
    <row r="3745">
      <c r="A3745" s="5">
        <v>69312.0</v>
      </c>
      <c r="B3745" s="6" t="s">
        <v>60</v>
      </c>
      <c r="C3745" s="6" t="s">
        <v>391</v>
      </c>
      <c r="D3745" s="6" t="s">
        <v>398</v>
      </c>
      <c r="E3745" s="6">
        <v>2.07</v>
      </c>
    </row>
    <row r="3746">
      <c r="A3746" s="3">
        <v>87128.0</v>
      </c>
      <c r="B3746" s="4" t="s">
        <v>60</v>
      </c>
      <c r="C3746" s="4" t="s">
        <v>391</v>
      </c>
      <c r="D3746" s="4" t="s">
        <v>398</v>
      </c>
      <c r="E3746" s="4">
        <v>1.6</v>
      </c>
    </row>
    <row r="3747">
      <c r="A3747" s="5">
        <v>149506.0</v>
      </c>
      <c r="B3747" s="6" t="s">
        <v>60</v>
      </c>
      <c r="C3747" s="6" t="s">
        <v>391</v>
      </c>
      <c r="D3747" s="6" t="s">
        <v>399</v>
      </c>
      <c r="E3747" s="6">
        <v>2.1</v>
      </c>
    </row>
    <row r="3748">
      <c r="A3748" s="3">
        <v>5722.0</v>
      </c>
      <c r="B3748" s="4" t="s">
        <v>60</v>
      </c>
      <c r="C3748" s="4" t="s">
        <v>391</v>
      </c>
      <c r="D3748" s="4" t="s">
        <v>400</v>
      </c>
      <c r="E3748" s="4">
        <v>2.94</v>
      </c>
    </row>
    <row r="3749">
      <c r="A3749" s="5">
        <v>5697.0</v>
      </c>
      <c r="B3749" s="6" t="s">
        <v>60</v>
      </c>
      <c r="C3749" s="6" t="s">
        <v>391</v>
      </c>
      <c r="D3749" s="6" t="s">
        <v>400</v>
      </c>
      <c r="E3749" s="6">
        <v>2.27</v>
      </c>
    </row>
    <row r="3750">
      <c r="A3750" s="3">
        <v>29117.0</v>
      </c>
      <c r="B3750" s="4" t="s">
        <v>60</v>
      </c>
      <c r="C3750" s="4" t="s">
        <v>391</v>
      </c>
      <c r="D3750" s="4" t="s">
        <v>400</v>
      </c>
      <c r="E3750" s="4">
        <v>1.38</v>
      </c>
    </row>
    <row r="3751">
      <c r="A3751" s="5">
        <v>68305.0</v>
      </c>
      <c r="B3751" s="6" t="s">
        <v>60</v>
      </c>
      <c r="C3751" s="6" t="s">
        <v>391</v>
      </c>
      <c r="D3751" s="6" t="s">
        <v>400</v>
      </c>
      <c r="E3751" s="6">
        <v>1.67</v>
      </c>
    </row>
    <row r="3752">
      <c r="A3752" s="3">
        <v>5714.0</v>
      </c>
      <c r="B3752" s="4" t="s">
        <v>60</v>
      </c>
      <c r="C3752" s="4" t="s">
        <v>391</v>
      </c>
      <c r="D3752" s="4" t="s">
        <v>400</v>
      </c>
      <c r="E3752" s="4">
        <v>3.57</v>
      </c>
    </row>
    <row r="3753">
      <c r="A3753" s="5">
        <v>73951.0</v>
      </c>
      <c r="B3753" s="6" t="s">
        <v>60</v>
      </c>
      <c r="C3753" s="6" t="s">
        <v>391</v>
      </c>
      <c r="D3753" s="6" t="s">
        <v>400</v>
      </c>
      <c r="E3753" s="6">
        <v>1.3</v>
      </c>
    </row>
    <row r="3754">
      <c r="A3754" s="3">
        <v>68337.0</v>
      </c>
      <c r="B3754" s="4" t="s">
        <v>60</v>
      </c>
      <c r="C3754" s="4" t="s">
        <v>391</v>
      </c>
      <c r="D3754" s="4" t="s">
        <v>400</v>
      </c>
      <c r="E3754" s="4">
        <v>1.57</v>
      </c>
    </row>
    <row r="3755">
      <c r="A3755" s="5">
        <v>76338.0</v>
      </c>
      <c r="B3755" s="6" t="s">
        <v>60</v>
      </c>
      <c r="C3755" s="6" t="s">
        <v>391</v>
      </c>
      <c r="D3755" s="6" t="s">
        <v>400</v>
      </c>
      <c r="E3755" s="6">
        <v>2.21</v>
      </c>
    </row>
    <row r="3756">
      <c r="A3756" s="3">
        <v>202592.0</v>
      </c>
      <c r="B3756" s="4" t="s">
        <v>60</v>
      </c>
      <c r="C3756" s="4" t="s">
        <v>391</v>
      </c>
      <c r="D3756" s="4" t="s">
        <v>400</v>
      </c>
      <c r="E3756" s="4">
        <v>4.08</v>
      </c>
    </row>
    <row r="3757">
      <c r="A3757" s="5">
        <v>69578.0</v>
      </c>
      <c r="B3757" s="6" t="s">
        <v>60</v>
      </c>
      <c r="C3757" s="6" t="s">
        <v>391</v>
      </c>
      <c r="D3757" s="6" t="s">
        <v>400</v>
      </c>
      <c r="E3757" s="6">
        <v>2.47</v>
      </c>
    </row>
    <row r="3758">
      <c r="A3758" s="3">
        <v>76383.0</v>
      </c>
      <c r="B3758" s="4" t="s">
        <v>60</v>
      </c>
      <c r="C3758" s="4" t="s">
        <v>391</v>
      </c>
      <c r="D3758" s="4" t="s">
        <v>400</v>
      </c>
      <c r="E3758" s="4">
        <v>1.39</v>
      </c>
    </row>
    <row r="3759">
      <c r="A3759" s="5">
        <v>5696.0</v>
      </c>
      <c r="B3759" s="6" t="s">
        <v>60</v>
      </c>
      <c r="C3759" s="6" t="s">
        <v>391</v>
      </c>
      <c r="D3759" s="6" t="s">
        <v>400</v>
      </c>
      <c r="E3759" s="6">
        <v>2.32</v>
      </c>
    </row>
    <row r="3760">
      <c r="A3760" s="3">
        <v>90929.0</v>
      </c>
      <c r="B3760" s="4" t="s">
        <v>60</v>
      </c>
      <c r="C3760" s="4" t="s">
        <v>391</v>
      </c>
      <c r="D3760" s="4" t="s">
        <v>400</v>
      </c>
      <c r="E3760" s="4">
        <v>1.49</v>
      </c>
    </row>
    <row r="3761">
      <c r="A3761" s="5">
        <v>90926.0</v>
      </c>
      <c r="B3761" s="6" t="s">
        <v>60</v>
      </c>
      <c r="C3761" s="6" t="s">
        <v>391</v>
      </c>
      <c r="D3761" s="6" t="s">
        <v>400</v>
      </c>
      <c r="E3761" s="6">
        <v>6.46</v>
      </c>
    </row>
    <row r="3762">
      <c r="A3762" s="3">
        <v>76364.0</v>
      </c>
      <c r="B3762" s="4" t="s">
        <v>60</v>
      </c>
      <c r="C3762" s="4" t="s">
        <v>391</v>
      </c>
      <c r="D3762" s="4" t="s">
        <v>400</v>
      </c>
      <c r="E3762" s="4">
        <v>0.74</v>
      </c>
    </row>
    <row r="3763">
      <c r="A3763" s="5">
        <v>79152.0</v>
      </c>
      <c r="B3763" s="6" t="s">
        <v>60</v>
      </c>
      <c r="C3763" s="6" t="s">
        <v>391</v>
      </c>
      <c r="D3763" s="6" t="s">
        <v>400</v>
      </c>
      <c r="E3763" s="6">
        <v>2.71</v>
      </c>
    </row>
    <row r="3764">
      <c r="A3764" s="3">
        <v>30874.0</v>
      </c>
      <c r="B3764" s="4" t="s">
        <v>60</v>
      </c>
      <c r="C3764" s="4" t="s">
        <v>391</v>
      </c>
      <c r="D3764" s="4" t="s">
        <v>400</v>
      </c>
      <c r="E3764" s="4">
        <v>3.39</v>
      </c>
    </row>
    <row r="3765">
      <c r="A3765" s="5">
        <v>5718.0</v>
      </c>
      <c r="B3765" s="6" t="s">
        <v>60</v>
      </c>
      <c r="C3765" s="6" t="s">
        <v>391</v>
      </c>
      <c r="D3765" s="6" t="s">
        <v>400</v>
      </c>
      <c r="E3765" s="6">
        <v>3.48</v>
      </c>
    </row>
    <row r="3766">
      <c r="A3766" s="3">
        <v>126542.0</v>
      </c>
      <c r="B3766" s="4" t="s">
        <v>60</v>
      </c>
      <c r="C3766" s="4" t="s">
        <v>391</v>
      </c>
      <c r="D3766" s="4" t="s">
        <v>400</v>
      </c>
      <c r="E3766" s="4">
        <v>1.63</v>
      </c>
    </row>
    <row r="3767">
      <c r="A3767" s="5">
        <v>90852.0</v>
      </c>
      <c r="B3767" s="6" t="s">
        <v>60</v>
      </c>
      <c r="C3767" s="6" t="s">
        <v>391</v>
      </c>
      <c r="D3767" s="6" t="s">
        <v>400</v>
      </c>
      <c r="E3767" s="6">
        <v>4.45</v>
      </c>
    </row>
    <row r="3768">
      <c r="A3768" s="3">
        <v>122139.0</v>
      </c>
      <c r="B3768" s="4" t="s">
        <v>60</v>
      </c>
      <c r="C3768" s="4" t="s">
        <v>391</v>
      </c>
      <c r="D3768" s="4" t="s">
        <v>400</v>
      </c>
      <c r="E3768" s="4">
        <v>2.47</v>
      </c>
    </row>
    <row r="3769">
      <c r="A3769" s="5">
        <v>126975.0</v>
      </c>
      <c r="B3769" s="6" t="s">
        <v>60</v>
      </c>
      <c r="C3769" s="6" t="s">
        <v>391</v>
      </c>
      <c r="D3769" s="6" t="s">
        <v>400</v>
      </c>
      <c r="E3769" s="6">
        <v>5.69</v>
      </c>
    </row>
    <row r="3770">
      <c r="A3770" s="3">
        <v>202593.0</v>
      </c>
      <c r="B3770" s="4" t="s">
        <v>60</v>
      </c>
      <c r="C3770" s="4" t="s">
        <v>391</v>
      </c>
      <c r="D3770" s="4" t="s">
        <v>400</v>
      </c>
      <c r="E3770" s="4">
        <v>1.93</v>
      </c>
    </row>
    <row r="3771">
      <c r="A3771" s="5">
        <v>73940.0</v>
      </c>
      <c r="B3771" s="6" t="s">
        <v>60</v>
      </c>
      <c r="C3771" s="6" t="s">
        <v>391</v>
      </c>
      <c r="D3771" s="6" t="s">
        <v>400</v>
      </c>
      <c r="E3771" s="6">
        <v>2.17</v>
      </c>
    </row>
    <row r="3772">
      <c r="A3772" s="3">
        <v>76360.0</v>
      </c>
      <c r="B3772" s="4" t="s">
        <v>60</v>
      </c>
      <c r="C3772" s="4" t="s">
        <v>391</v>
      </c>
      <c r="D3772" s="4" t="s">
        <v>400</v>
      </c>
      <c r="E3772" s="4">
        <v>1.33</v>
      </c>
    </row>
    <row r="3773">
      <c r="A3773" s="5">
        <v>118876.0</v>
      </c>
      <c r="B3773" s="6" t="s">
        <v>60</v>
      </c>
      <c r="C3773" s="6" t="s">
        <v>391</v>
      </c>
      <c r="D3773" s="6" t="s">
        <v>400</v>
      </c>
      <c r="E3773" s="6">
        <v>1.41</v>
      </c>
    </row>
    <row r="3774">
      <c r="A3774" s="3">
        <v>76366.0</v>
      </c>
      <c r="B3774" s="4" t="s">
        <v>60</v>
      </c>
      <c r="C3774" s="4" t="s">
        <v>391</v>
      </c>
      <c r="D3774" s="4" t="s">
        <v>400</v>
      </c>
      <c r="E3774" s="4">
        <v>1.78</v>
      </c>
    </row>
    <row r="3775">
      <c r="A3775" s="5">
        <v>122645.0</v>
      </c>
      <c r="B3775" s="6" t="s">
        <v>60</v>
      </c>
      <c r="C3775" s="6" t="s">
        <v>391</v>
      </c>
      <c r="D3775" s="6" t="s">
        <v>400</v>
      </c>
      <c r="E3775" s="6">
        <v>5.52</v>
      </c>
    </row>
    <row r="3776">
      <c r="A3776" s="3">
        <v>76372.0</v>
      </c>
      <c r="B3776" s="4" t="s">
        <v>60</v>
      </c>
      <c r="C3776" s="4" t="s">
        <v>391</v>
      </c>
      <c r="D3776" s="4" t="s">
        <v>400</v>
      </c>
      <c r="E3776" s="4">
        <v>2.6</v>
      </c>
    </row>
    <row r="3777">
      <c r="A3777" s="5">
        <v>5720.0</v>
      </c>
      <c r="B3777" s="6" t="s">
        <v>60</v>
      </c>
      <c r="C3777" s="6" t="s">
        <v>391</v>
      </c>
      <c r="D3777" s="6" t="s">
        <v>400</v>
      </c>
      <c r="E3777" s="6">
        <v>2.49</v>
      </c>
    </row>
    <row r="3778">
      <c r="A3778" s="3">
        <v>5695.0</v>
      </c>
      <c r="B3778" s="4" t="s">
        <v>60</v>
      </c>
      <c r="C3778" s="4" t="s">
        <v>391</v>
      </c>
      <c r="D3778" s="4" t="s">
        <v>400</v>
      </c>
      <c r="E3778" s="4">
        <v>1.53</v>
      </c>
    </row>
    <row r="3779">
      <c r="A3779" s="5">
        <v>90931.0</v>
      </c>
      <c r="B3779" s="6" t="s">
        <v>60</v>
      </c>
      <c r="C3779" s="6" t="s">
        <v>391</v>
      </c>
      <c r="D3779" s="6" t="s">
        <v>400</v>
      </c>
      <c r="E3779" s="6">
        <v>1.26</v>
      </c>
    </row>
    <row r="3780">
      <c r="A3780" s="3">
        <v>110085.0</v>
      </c>
      <c r="B3780" s="4" t="s">
        <v>60</v>
      </c>
      <c r="C3780" s="4" t="s">
        <v>391</v>
      </c>
      <c r="D3780" s="4" t="s">
        <v>400</v>
      </c>
      <c r="E3780" s="4">
        <v>1.13</v>
      </c>
    </row>
    <row r="3781">
      <c r="A3781" s="5">
        <v>113096.0</v>
      </c>
      <c r="B3781" s="6" t="s">
        <v>60</v>
      </c>
      <c r="C3781" s="6" t="s">
        <v>391</v>
      </c>
      <c r="D3781" s="6" t="s">
        <v>400</v>
      </c>
      <c r="E3781" s="6">
        <v>2.41</v>
      </c>
    </row>
    <row r="3782">
      <c r="A3782" s="3">
        <v>90878.0</v>
      </c>
      <c r="B3782" s="4" t="s">
        <v>60</v>
      </c>
      <c r="C3782" s="4" t="s">
        <v>391</v>
      </c>
      <c r="D3782" s="4" t="s">
        <v>400</v>
      </c>
      <c r="E3782" s="4">
        <v>2.28</v>
      </c>
    </row>
    <row r="3783">
      <c r="A3783" s="5">
        <v>73938.0</v>
      </c>
      <c r="B3783" s="6" t="s">
        <v>60</v>
      </c>
      <c r="C3783" s="6" t="s">
        <v>391</v>
      </c>
      <c r="D3783" s="6" t="s">
        <v>400</v>
      </c>
      <c r="E3783" s="6">
        <v>2.33</v>
      </c>
    </row>
    <row r="3784">
      <c r="A3784" s="3">
        <v>5698.0</v>
      </c>
      <c r="B3784" s="4" t="s">
        <v>60</v>
      </c>
      <c r="C3784" s="4" t="s">
        <v>391</v>
      </c>
      <c r="D3784" s="4" t="s">
        <v>400</v>
      </c>
      <c r="E3784" s="4">
        <v>3.54</v>
      </c>
    </row>
    <row r="3785">
      <c r="A3785" s="5">
        <v>76373.0</v>
      </c>
      <c r="B3785" s="6" t="s">
        <v>60</v>
      </c>
      <c r="C3785" s="6" t="s">
        <v>391</v>
      </c>
      <c r="D3785" s="6" t="s">
        <v>400</v>
      </c>
      <c r="E3785" s="6">
        <v>1.45</v>
      </c>
    </row>
    <row r="3786">
      <c r="A3786" s="3">
        <v>73945.0</v>
      </c>
      <c r="B3786" s="4" t="s">
        <v>60</v>
      </c>
      <c r="C3786" s="4" t="s">
        <v>391</v>
      </c>
      <c r="D3786" s="4" t="s">
        <v>400</v>
      </c>
      <c r="E3786" s="4">
        <v>1.69</v>
      </c>
    </row>
    <row r="3787">
      <c r="A3787" s="5">
        <v>159200.0</v>
      </c>
      <c r="B3787" s="6" t="s">
        <v>60</v>
      </c>
      <c r="C3787" s="6" t="s">
        <v>391</v>
      </c>
      <c r="D3787" s="6" t="s">
        <v>400</v>
      </c>
      <c r="E3787" s="6">
        <v>1.38</v>
      </c>
    </row>
    <row r="3788">
      <c r="A3788" s="3">
        <v>68354.0</v>
      </c>
      <c r="B3788" s="4" t="s">
        <v>60</v>
      </c>
      <c r="C3788" s="4" t="s">
        <v>391</v>
      </c>
      <c r="D3788" s="4" t="s">
        <v>400</v>
      </c>
      <c r="E3788" s="4">
        <v>3.17</v>
      </c>
    </row>
    <row r="3789">
      <c r="A3789" s="5">
        <v>5712.0</v>
      </c>
      <c r="B3789" s="6" t="s">
        <v>60</v>
      </c>
      <c r="C3789" s="6" t="s">
        <v>391</v>
      </c>
      <c r="D3789" s="6" t="s">
        <v>400</v>
      </c>
      <c r="E3789" s="6">
        <v>3.39</v>
      </c>
    </row>
    <row r="3790">
      <c r="A3790" s="3">
        <v>114471.0</v>
      </c>
      <c r="B3790" s="4" t="s">
        <v>60</v>
      </c>
      <c r="C3790" s="4" t="s">
        <v>391</v>
      </c>
      <c r="D3790" s="4" t="s">
        <v>400</v>
      </c>
      <c r="E3790" s="4">
        <v>3.78</v>
      </c>
    </row>
    <row r="3791">
      <c r="A3791" s="5">
        <v>90934.0</v>
      </c>
      <c r="B3791" s="6" t="s">
        <v>60</v>
      </c>
      <c r="C3791" s="6" t="s">
        <v>391</v>
      </c>
      <c r="D3791" s="6" t="s">
        <v>400</v>
      </c>
      <c r="E3791" s="6">
        <v>15.04</v>
      </c>
    </row>
    <row r="3792">
      <c r="A3792" s="3">
        <v>87851.0</v>
      </c>
      <c r="B3792" s="4" t="s">
        <v>60</v>
      </c>
      <c r="C3792" s="4" t="s">
        <v>391</v>
      </c>
      <c r="D3792" s="4" t="s">
        <v>400</v>
      </c>
      <c r="E3792" s="4">
        <v>1.75</v>
      </c>
    </row>
    <row r="3793">
      <c r="A3793" s="5">
        <v>90891.0</v>
      </c>
      <c r="B3793" s="6" t="s">
        <v>60</v>
      </c>
      <c r="C3793" s="6" t="s">
        <v>391</v>
      </c>
      <c r="D3793" s="6" t="s">
        <v>400</v>
      </c>
      <c r="E3793" s="6">
        <v>8.42</v>
      </c>
    </row>
    <row r="3794">
      <c r="A3794" s="3">
        <v>69579.0</v>
      </c>
      <c r="B3794" s="4" t="s">
        <v>60</v>
      </c>
      <c r="C3794" s="4" t="s">
        <v>391</v>
      </c>
      <c r="D3794" s="4" t="s">
        <v>400</v>
      </c>
      <c r="E3794" s="4">
        <v>2.18</v>
      </c>
    </row>
    <row r="3795">
      <c r="A3795" s="5">
        <v>90924.0</v>
      </c>
      <c r="B3795" s="6" t="s">
        <v>60</v>
      </c>
      <c r="C3795" s="6" t="s">
        <v>391</v>
      </c>
      <c r="D3795" s="6" t="s">
        <v>400</v>
      </c>
      <c r="E3795" s="6">
        <v>2.46</v>
      </c>
    </row>
    <row r="3796">
      <c r="A3796" s="3">
        <v>69311.0</v>
      </c>
      <c r="B3796" s="4" t="s">
        <v>60</v>
      </c>
      <c r="C3796" s="4" t="s">
        <v>391</v>
      </c>
      <c r="D3796" s="4" t="s">
        <v>400</v>
      </c>
      <c r="E3796" s="4">
        <v>1.73</v>
      </c>
    </row>
    <row r="3797">
      <c r="A3797" s="5">
        <v>90923.0</v>
      </c>
      <c r="B3797" s="6" t="s">
        <v>60</v>
      </c>
      <c r="C3797" s="6" t="s">
        <v>391</v>
      </c>
      <c r="D3797" s="6" t="s">
        <v>401</v>
      </c>
      <c r="E3797" s="6">
        <v>2.93</v>
      </c>
    </row>
    <row r="3798">
      <c r="A3798" s="3">
        <v>159197.0</v>
      </c>
      <c r="B3798" s="4" t="s">
        <v>60</v>
      </c>
      <c r="C3798" s="4" t="s">
        <v>391</v>
      </c>
      <c r="D3798" s="4" t="s">
        <v>401</v>
      </c>
      <c r="E3798" s="4">
        <v>2.13</v>
      </c>
    </row>
    <row r="3799">
      <c r="A3799" s="5">
        <v>88268.0</v>
      </c>
      <c r="B3799" s="6" t="s">
        <v>60</v>
      </c>
      <c r="C3799" s="6" t="s">
        <v>391</v>
      </c>
      <c r="D3799" s="6" t="s">
        <v>401</v>
      </c>
      <c r="E3799" s="6">
        <v>0.8</v>
      </c>
    </row>
    <row r="3800">
      <c r="A3800" s="3">
        <v>90913.0</v>
      </c>
      <c r="B3800" s="4" t="s">
        <v>60</v>
      </c>
      <c r="C3800" s="4" t="s">
        <v>391</v>
      </c>
      <c r="D3800" s="4" t="s">
        <v>401</v>
      </c>
      <c r="E3800" s="4">
        <v>2.88</v>
      </c>
    </row>
    <row r="3801">
      <c r="A3801" s="5">
        <v>76365.0</v>
      </c>
      <c r="B3801" s="6" t="s">
        <v>60</v>
      </c>
      <c r="C3801" s="6" t="s">
        <v>391</v>
      </c>
      <c r="D3801" s="6" t="s">
        <v>401</v>
      </c>
      <c r="E3801" s="6">
        <v>1.46</v>
      </c>
    </row>
    <row r="3802">
      <c r="A3802" s="3">
        <v>9205.0</v>
      </c>
      <c r="B3802" s="4" t="s">
        <v>60</v>
      </c>
      <c r="C3802" s="4" t="s">
        <v>391</v>
      </c>
      <c r="D3802" s="4" t="s">
        <v>401</v>
      </c>
      <c r="E3802" s="4">
        <v>1.45</v>
      </c>
    </row>
    <row r="3803">
      <c r="A3803" s="5">
        <v>76363.0</v>
      </c>
      <c r="B3803" s="6" t="s">
        <v>60</v>
      </c>
      <c r="C3803" s="6" t="s">
        <v>391</v>
      </c>
      <c r="D3803" s="6" t="s">
        <v>401</v>
      </c>
      <c r="E3803" s="6">
        <v>1.69</v>
      </c>
    </row>
    <row r="3804">
      <c r="A3804" s="3">
        <v>121967.0</v>
      </c>
      <c r="B3804" s="4" t="s">
        <v>60</v>
      </c>
      <c r="C3804" s="4" t="s">
        <v>391</v>
      </c>
      <c r="D3804" s="4" t="s">
        <v>401</v>
      </c>
      <c r="E3804" s="4">
        <v>2.79</v>
      </c>
    </row>
    <row r="3805">
      <c r="A3805" s="5">
        <v>90935.0</v>
      </c>
      <c r="B3805" s="6" t="s">
        <v>60</v>
      </c>
      <c r="C3805" s="6" t="s">
        <v>391</v>
      </c>
      <c r="D3805" s="6" t="s">
        <v>401</v>
      </c>
      <c r="E3805" s="6">
        <v>1.65</v>
      </c>
    </row>
    <row r="3806">
      <c r="A3806" s="3">
        <v>87126.0</v>
      </c>
      <c r="B3806" s="4" t="s">
        <v>60</v>
      </c>
      <c r="C3806" s="4" t="s">
        <v>391</v>
      </c>
      <c r="D3806" s="4" t="s">
        <v>401</v>
      </c>
      <c r="E3806" s="4">
        <v>1.38</v>
      </c>
    </row>
    <row r="3807">
      <c r="A3807" s="5">
        <v>90928.0</v>
      </c>
      <c r="B3807" s="6" t="s">
        <v>60</v>
      </c>
      <c r="C3807" s="6" t="s">
        <v>391</v>
      </c>
      <c r="D3807" s="6" t="s">
        <v>401</v>
      </c>
      <c r="E3807" s="6">
        <v>9.26</v>
      </c>
    </row>
    <row r="3808">
      <c r="A3808" s="3">
        <v>90912.0</v>
      </c>
      <c r="B3808" s="4" t="s">
        <v>60</v>
      </c>
      <c r="C3808" s="4" t="s">
        <v>391</v>
      </c>
      <c r="D3808" s="4" t="s">
        <v>401</v>
      </c>
      <c r="E3808" s="4">
        <v>2.34</v>
      </c>
    </row>
    <row r="3809">
      <c r="A3809" s="5">
        <v>48508.0</v>
      </c>
      <c r="B3809" s="6" t="s">
        <v>60</v>
      </c>
      <c r="C3809" s="6" t="s">
        <v>391</v>
      </c>
      <c r="D3809" s="6" t="s">
        <v>401</v>
      </c>
      <c r="E3809" s="6">
        <v>2.82</v>
      </c>
    </row>
    <row r="3810">
      <c r="A3810" s="3">
        <v>90853.0</v>
      </c>
      <c r="B3810" s="4" t="s">
        <v>60</v>
      </c>
      <c r="C3810" s="4" t="s">
        <v>391</v>
      </c>
      <c r="D3810" s="4" t="s">
        <v>401</v>
      </c>
      <c r="E3810" s="4">
        <v>3.28</v>
      </c>
    </row>
    <row r="3811">
      <c r="A3811" s="5">
        <v>117628.0</v>
      </c>
      <c r="B3811" s="6" t="s">
        <v>60</v>
      </c>
      <c r="C3811" s="6" t="s">
        <v>391</v>
      </c>
      <c r="D3811" s="6" t="s">
        <v>402</v>
      </c>
      <c r="E3811" s="6">
        <v>1.76</v>
      </c>
    </row>
    <row r="3812">
      <c r="A3812" s="3">
        <v>5699.0</v>
      </c>
      <c r="B3812" s="4" t="s">
        <v>60</v>
      </c>
      <c r="C3812" s="4" t="s">
        <v>391</v>
      </c>
      <c r="D3812" s="4" t="s">
        <v>402</v>
      </c>
      <c r="E3812" s="4">
        <v>3.27</v>
      </c>
    </row>
    <row r="3813">
      <c r="A3813" s="5">
        <v>5735.0</v>
      </c>
      <c r="B3813" s="6" t="s">
        <v>60</v>
      </c>
      <c r="C3813" s="6" t="s">
        <v>391</v>
      </c>
      <c r="D3813" s="6" t="s">
        <v>402</v>
      </c>
      <c r="E3813" s="6">
        <v>4.35</v>
      </c>
    </row>
    <row r="3814">
      <c r="A3814" s="3">
        <v>109832.0</v>
      </c>
      <c r="B3814" s="4" t="s">
        <v>60</v>
      </c>
      <c r="C3814" s="4" t="s">
        <v>391</v>
      </c>
      <c r="D3814" s="4" t="s">
        <v>402</v>
      </c>
      <c r="E3814" s="4">
        <v>3.21</v>
      </c>
    </row>
    <row r="3815">
      <c r="A3815" s="5">
        <v>122675.0</v>
      </c>
      <c r="B3815" s="6" t="s">
        <v>60</v>
      </c>
      <c r="C3815" s="6" t="s">
        <v>391</v>
      </c>
      <c r="D3815" s="6" t="s">
        <v>402</v>
      </c>
      <c r="E3815" s="6">
        <v>2.7</v>
      </c>
    </row>
    <row r="3816">
      <c r="A3816" s="3">
        <v>87225.0</v>
      </c>
      <c r="B3816" s="4" t="s">
        <v>60</v>
      </c>
      <c r="C3816" s="4" t="s">
        <v>391</v>
      </c>
      <c r="D3816" s="4" t="s">
        <v>402</v>
      </c>
      <c r="E3816" s="4">
        <v>2.04</v>
      </c>
    </row>
    <row r="3817">
      <c r="A3817" s="5">
        <v>82373.0</v>
      </c>
      <c r="B3817" s="6" t="s">
        <v>60</v>
      </c>
      <c r="C3817" s="6" t="s">
        <v>391</v>
      </c>
      <c r="D3817" s="6" t="s">
        <v>402</v>
      </c>
      <c r="E3817" s="6">
        <v>2.27</v>
      </c>
    </row>
    <row r="3818">
      <c r="A3818" s="3">
        <v>77254.0</v>
      </c>
      <c r="B3818" s="4" t="s">
        <v>60</v>
      </c>
      <c r="C3818" s="4" t="s">
        <v>391</v>
      </c>
      <c r="D3818" s="4" t="s">
        <v>402</v>
      </c>
      <c r="E3818" s="4">
        <v>2.02</v>
      </c>
    </row>
    <row r="3819">
      <c r="A3819" s="5">
        <v>5742.0</v>
      </c>
      <c r="B3819" s="6" t="s">
        <v>60</v>
      </c>
      <c r="C3819" s="6" t="s">
        <v>391</v>
      </c>
      <c r="D3819" s="6" t="s">
        <v>402</v>
      </c>
      <c r="E3819" s="6">
        <v>2.29</v>
      </c>
    </row>
    <row r="3820">
      <c r="A3820" s="3">
        <v>117622.0</v>
      </c>
      <c r="B3820" s="4" t="s">
        <v>60</v>
      </c>
      <c r="C3820" s="4" t="s">
        <v>391</v>
      </c>
      <c r="D3820" s="4" t="s">
        <v>402</v>
      </c>
      <c r="E3820" s="4">
        <v>3.46</v>
      </c>
    </row>
    <row r="3821">
      <c r="A3821" s="5">
        <v>77255.0</v>
      </c>
      <c r="B3821" s="6" t="s">
        <v>60</v>
      </c>
      <c r="C3821" s="6" t="s">
        <v>391</v>
      </c>
      <c r="D3821" s="6" t="s">
        <v>402</v>
      </c>
      <c r="E3821" s="6">
        <v>2.11</v>
      </c>
    </row>
    <row r="3822">
      <c r="A3822" s="3">
        <v>101964.0</v>
      </c>
      <c r="B3822" s="4" t="s">
        <v>60</v>
      </c>
      <c r="C3822" s="4" t="s">
        <v>391</v>
      </c>
      <c r="D3822" s="4" t="s">
        <v>402</v>
      </c>
      <c r="E3822" s="4">
        <v>2.39</v>
      </c>
    </row>
    <row r="3823">
      <c r="A3823" s="5">
        <v>48491.0</v>
      </c>
      <c r="B3823" s="6" t="s">
        <v>60</v>
      </c>
      <c r="C3823" s="6" t="s">
        <v>391</v>
      </c>
      <c r="D3823" s="6" t="s">
        <v>402</v>
      </c>
      <c r="E3823" s="6">
        <v>4.19</v>
      </c>
    </row>
    <row r="3824">
      <c r="A3824" s="3">
        <v>82368.0</v>
      </c>
      <c r="B3824" s="4" t="s">
        <v>60</v>
      </c>
      <c r="C3824" s="4" t="s">
        <v>391</v>
      </c>
      <c r="D3824" s="4" t="s">
        <v>402</v>
      </c>
      <c r="E3824" s="4">
        <v>1.58</v>
      </c>
    </row>
    <row r="3825">
      <c r="A3825" s="5">
        <v>82367.0</v>
      </c>
      <c r="B3825" s="6" t="s">
        <v>60</v>
      </c>
      <c r="C3825" s="6" t="s">
        <v>391</v>
      </c>
      <c r="D3825" s="6" t="s">
        <v>402</v>
      </c>
      <c r="E3825" s="6">
        <v>1.58</v>
      </c>
    </row>
    <row r="3826">
      <c r="A3826" s="3">
        <v>118426.0</v>
      </c>
      <c r="B3826" s="4" t="s">
        <v>60</v>
      </c>
      <c r="C3826" s="4" t="s">
        <v>391</v>
      </c>
      <c r="D3826" s="4" t="s">
        <v>402</v>
      </c>
      <c r="E3826" s="4">
        <v>3.3</v>
      </c>
    </row>
    <row r="3827">
      <c r="A3827" s="5">
        <v>5068.0</v>
      </c>
      <c r="B3827" s="6" t="s">
        <v>34</v>
      </c>
      <c r="C3827" s="6" t="s">
        <v>403</v>
      </c>
      <c r="D3827" s="6" t="s">
        <v>404</v>
      </c>
      <c r="E3827" s="6">
        <v>1.45</v>
      </c>
    </row>
    <row r="3828">
      <c r="A3828" s="3">
        <v>84660.0</v>
      </c>
      <c r="B3828" s="4" t="s">
        <v>34</v>
      </c>
      <c r="C3828" s="4" t="s">
        <v>403</v>
      </c>
      <c r="D3828" s="4" t="s">
        <v>404</v>
      </c>
      <c r="E3828" s="4">
        <v>1.45</v>
      </c>
    </row>
    <row r="3829">
      <c r="A3829" s="5">
        <v>5070.0</v>
      </c>
      <c r="B3829" s="6" t="s">
        <v>34</v>
      </c>
      <c r="C3829" s="6" t="s">
        <v>403</v>
      </c>
      <c r="D3829" s="6" t="s">
        <v>404</v>
      </c>
      <c r="E3829" s="6">
        <v>1.45</v>
      </c>
    </row>
    <row r="3830">
      <c r="A3830" s="3">
        <v>84681.0</v>
      </c>
      <c r="B3830" s="4" t="s">
        <v>34</v>
      </c>
      <c r="C3830" s="4" t="s">
        <v>403</v>
      </c>
      <c r="D3830" s="4" t="s">
        <v>405</v>
      </c>
      <c r="E3830" s="4">
        <v>1.45</v>
      </c>
    </row>
    <row r="3831">
      <c r="A3831" s="5">
        <v>102596.0</v>
      </c>
      <c r="B3831" s="6" t="s">
        <v>34</v>
      </c>
      <c r="C3831" s="6" t="s">
        <v>403</v>
      </c>
      <c r="D3831" s="6" t="s">
        <v>405</v>
      </c>
      <c r="E3831" s="6">
        <v>1.45</v>
      </c>
    </row>
    <row r="3832">
      <c r="A3832" s="3">
        <v>5037.0</v>
      </c>
      <c r="B3832" s="4" t="s">
        <v>34</v>
      </c>
      <c r="C3832" s="4" t="s">
        <v>403</v>
      </c>
      <c r="D3832" s="4" t="s">
        <v>406</v>
      </c>
      <c r="E3832" s="4">
        <v>1.45</v>
      </c>
    </row>
    <row r="3833">
      <c r="A3833" s="5">
        <v>5052.0</v>
      </c>
      <c r="B3833" s="6" t="s">
        <v>34</v>
      </c>
      <c r="C3833" s="6" t="s">
        <v>403</v>
      </c>
      <c r="D3833" s="6" t="s">
        <v>406</v>
      </c>
      <c r="E3833" s="6">
        <v>1.45</v>
      </c>
    </row>
    <row r="3834">
      <c r="A3834" s="3">
        <v>5051.0</v>
      </c>
      <c r="B3834" s="4" t="s">
        <v>34</v>
      </c>
      <c r="C3834" s="4" t="s">
        <v>403</v>
      </c>
      <c r="D3834" s="4" t="s">
        <v>406</v>
      </c>
      <c r="E3834" s="4">
        <v>1.45</v>
      </c>
    </row>
    <row r="3835">
      <c r="A3835" s="5">
        <v>102647.0</v>
      </c>
      <c r="B3835" s="6" t="s">
        <v>34</v>
      </c>
      <c r="C3835" s="6" t="s">
        <v>403</v>
      </c>
      <c r="D3835" s="6" t="s">
        <v>407</v>
      </c>
      <c r="E3835" s="6">
        <v>1.45</v>
      </c>
    </row>
    <row r="3836">
      <c r="A3836" s="3">
        <v>5061.0</v>
      </c>
      <c r="B3836" s="4" t="s">
        <v>34</v>
      </c>
      <c r="C3836" s="4" t="s">
        <v>403</v>
      </c>
      <c r="D3836" s="4" t="s">
        <v>407</v>
      </c>
      <c r="E3836" s="4">
        <v>1.45</v>
      </c>
    </row>
    <row r="3837">
      <c r="A3837" s="5">
        <v>102649.0</v>
      </c>
      <c r="B3837" s="6" t="s">
        <v>34</v>
      </c>
      <c r="C3837" s="6" t="s">
        <v>403</v>
      </c>
      <c r="D3837" s="6" t="s">
        <v>407</v>
      </c>
      <c r="E3837" s="6">
        <v>1.45</v>
      </c>
    </row>
    <row r="3838">
      <c r="A3838" s="3">
        <v>102662.0</v>
      </c>
      <c r="B3838" s="4" t="s">
        <v>34</v>
      </c>
      <c r="C3838" s="4" t="s">
        <v>403</v>
      </c>
      <c r="D3838" s="4" t="s">
        <v>408</v>
      </c>
      <c r="E3838" s="4">
        <v>1.45</v>
      </c>
    </row>
    <row r="3839">
      <c r="A3839" s="5">
        <v>108337.0</v>
      </c>
      <c r="B3839" s="6" t="s">
        <v>34</v>
      </c>
      <c r="C3839" s="6" t="s">
        <v>403</v>
      </c>
      <c r="D3839" s="6" t="s">
        <v>409</v>
      </c>
      <c r="E3839" s="6">
        <v>0.76</v>
      </c>
    </row>
    <row r="3840">
      <c r="A3840" s="3">
        <v>188352.0</v>
      </c>
      <c r="B3840" s="4" t="s">
        <v>54</v>
      </c>
      <c r="C3840" s="4" t="s">
        <v>410</v>
      </c>
      <c r="D3840" s="4"/>
      <c r="E3840" s="4">
        <v>4.93</v>
      </c>
    </row>
    <row r="3841">
      <c r="A3841" s="5">
        <v>11459.0</v>
      </c>
      <c r="B3841" s="6" t="s">
        <v>54</v>
      </c>
      <c r="C3841" s="6" t="s">
        <v>410</v>
      </c>
      <c r="D3841" s="6"/>
      <c r="E3841" s="6">
        <v>7.79</v>
      </c>
    </row>
    <row r="3842">
      <c r="A3842" s="3">
        <v>11443.0</v>
      </c>
      <c r="B3842" s="4" t="s">
        <v>54</v>
      </c>
      <c r="C3842" s="4" t="s">
        <v>410</v>
      </c>
      <c r="D3842" s="4" t="s">
        <v>411</v>
      </c>
      <c r="E3842" s="4">
        <v>9.58</v>
      </c>
    </row>
    <row r="3843">
      <c r="A3843" s="5">
        <v>70560.0</v>
      </c>
      <c r="B3843" s="6" t="s">
        <v>54</v>
      </c>
      <c r="C3843" s="6" t="s">
        <v>410</v>
      </c>
      <c r="D3843" s="6" t="s">
        <v>411</v>
      </c>
      <c r="E3843" s="6">
        <v>6.59</v>
      </c>
    </row>
    <row r="3844">
      <c r="A3844" s="3">
        <v>110363.0</v>
      </c>
      <c r="B3844" s="4" t="s">
        <v>54</v>
      </c>
      <c r="C3844" s="4" t="s">
        <v>410</v>
      </c>
      <c r="D3844" s="4" t="s">
        <v>412</v>
      </c>
      <c r="E3844" s="4">
        <v>7.23</v>
      </c>
    </row>
    <row r="3845">
      <c r="A3845" s="5">
        <v>11449.0</v>
      </c>
      <c r="B3845" s="6" t="s">
        <v>54</v>
      </c>
      <c r="C3845" s="6" t="s">
        <v>410</v>
      </c>
      <c r="D3845" s="6" t="s">
        <v>412</v>
      </c>
      <c r="E3845" s="6">
        <v>10.28</v>
      </c>
    </row>
    <row r="3846">
      <c r="A3846" s="3">
        <v>119793.0</v>
      </c>
      <c r="B3846" s="4" t="s">
        <v>54</v>
      </c>
      <c r="C3846" s="4" t="s">
        <v>410</v>
      </c>
      <c r="D3846" s="4" t="s">
        <v>412</v>
      </c>
      <c r="E3846" s="4">
        <v>10.3</v>
      </c>
    </row>
    <row r="3847">
      <c r="A3847" s="5">
        <v>41107.0</v>
      </c>
      <c r="B3847" s="6" t="s">
        <v>54</v>
      </c>
      <c r="C3847" s="6" t="s">
        <v>410</v>
      </c>
      <c r="D3847" s="6" t="s">
        <v>412</v>
      </c>
      <c r="E3847" s="6">
        <v>5.8</v>
      </c>
    </row>
    <row r="3848">
      <c r="A3848" s="3">
        <v>78358.0</v>
      </c>
      <c r="B3848" s="4" t="s">
        <v>54</v>
      </c>
      <c r="C3848" s="4" t="s">
        <v>410</v>
      </c>
      <c r="D3848" s="4" t="s">
        <v>412</v>
      </c>
      <c r="E3848" s="4">
        <v>12.92</v>
      </c>
    </row>
    <row r="3849">
      <c r="A3849" s="5">
        <v>77048.0</v>
      </c>
      <c r="B3849" s="6" t="s">
        <v>54</v>
      </c>
      <c r="C3849" s="6" t="s">
        <v>410</v>
      </c>
      <c r="D3849" s="6" t="s">
        <v>412</v>
      </c>
      <c r="E3849" s="6">
        <v>7.3</v>
      </c>
    </row>
    <row r="3850">
      <c r="A3850" s="3">
        <v>27428.0</v>
      </c>
      <c r="B3850" s="4" t="s">
        <v>54</v>
      </c>
      <c r="C3850" s="4" t="s">
        <v>410</v>
      </c>
      <c r="D3850" s="4" t="s">
        <v>413</v>
      </c>
      <c r="E3850" s="4">
        <v>20.19</v>
      </c>
    </row>
    <row r="3851">
      <c r="A3851" s="5">
        <v>8530.0</v>
      </c>
      <c r="B3851" s="6" t="s">
        <v>54</v>
      </c>
      <c r="C3851" s="6" t="s">
        <v>410</v>
      </c>
      <c r="D3851" s="6" t="s">
        <v>413</v>
      </c>
      <c r="E3851" s="6">
        <v>32.71</v>
      </c>
    </row>
    <row r="3852">
      <c r="A3852" s="3">
        <v>14281.0</v>
      </c>
      <c r="B3852" s="4" t="s">
        <v>54</v>
      </c>
      <c r="C3852" s="4" t="s">
        <v>410</v>
      </c>
      <c r="D3852" s="4" t="s">
        <v>413</v>
      </c>
      <c r="E3852" s="4">
        <v>45.21</v>
      </c>
    </row>
    <row r="3853">
      <c r="A3853" s="5">
        <v>140582.0</v>
      </c>
      <c r="B3853" s="6" t="s">
        <v>54</v>
      </c>
      <c r="C3853" s="6" t="s">
        <v>410</v>
      </c>
      <c r="D3853" s="6" t="s">
        <v>413</v>
      </c>
      <c r="E3853" s="6">
        <v>32.36</v>
      </c>
    </row>
    <row r="3854">
      <c r="A3854" s="3">
        <v>98895.0</v>
      </c>
      <c r="B3854" s="4" t="s">
        <v>54</v>
      </c>
      <c r="C3854" s="4" t="s">
        <v>410</v>
      </c>
      <c r="D3854" s="4" t="s">
        <v>414</v>
      </c>
      <c r="E3854" s="4">
        <v>7.54</v>
      </c>
    </row>
    <row r="3855">
      <c r="A3855" s="5">
        <v>77491.0</v>
      </c>
      <c r="B3855" s="6" t="s">
        <v>140</v>
      </c>
      <c r="C3855" s="6" t="s">
        <v>415</v>
      </c>
      <c r="D3855" s="6" t="s">
        <v>416</v>
      </c>
      <c r="E3855" s="6">
        <v>10.68</v>
      </c>
    </row>
    <row r="3856">
      <c r="A3856" s="3">
        <v>81704.0</v>
      </c>
      <c r="B3856" s="4" t="s">
        <v>140</v>
      </c>
      <c r="C3856" s="4" t="s">
        <v>415</v>
      </c>
      <c r="D3856" s="4" t="s">
        <v>416</v>
      </c>
      <c r="E3856" s="4">
        <v>11.87</v>
      </c>
    </row>
    <row r="3857">
      <c r="A3857" s="5">
        <v>111565.0</v>
      </c>
      <c r="B3857" s="6" t="s">
        <v>140</v>
      </c>
      <c r="C3857" s="6" t="s">
        <v>415</v>
      </c>
      <c r="D3857" s="6" t="s">
        <v>416</v>
      </c>
      <c r="E3857" s="6">
        <v>2.61</v>
      </c>
    </row>
    <row r="3858">
      <c r="A3858" s="3">
        <v>5774.0</v>
      </c>
      <c r="B3858" s="4" t="s">
        <v>140</v>
      </c>
      <c r="C3858" s="4" t="s">
        <v>415</v>
      </c>
      <c r="D3858" s="4" t="s">
        <v>416</v>
      </c>
      <c r="E3858" s="4">
        <v>3.1</v>
      </c>
    </row>
    <row r="3859">
      <c r="A3859" s="5">
        <v>112075.0</v>
      </c>
      <c r="B3859" s="6" t="s">
        <v>140</v>
      </c>
      <c r="C3859" s="6" t="s">
        <v>415</v>
      </c>
      <c r="D3859" s="6" t="s">
        <v>416</v>
      </c>
      <c r="E3859" s="6">
        <v>2.5</v>
      </c>
    </row>
    <row r="3860">
      <c r="A3860" s="3">
        <v>88469.0</v>
      </c>
      <c r="B3860" s="4" t="s">
        <v>140</v>
      </c>
      <c r="C3860" s="4" t="s">
        <v>415</v>
      </c>
      <c r="D3860" s="4" t="s">
        <v>416</v>
      </c>
      <c r="E3860" s="4">
        <v>2.24</v>
      </c>
    </row>
    <row r="3861">
      <c r="A3861" s="5">
        <v>112249.0</v>
      </c>
      <c r="B3861" s="6" t="s">
        <v>140</v>
      </c>
      <c r="C3861" s="6" t="s">
        <v>415</v>
      </c>
      <c r="D3861" s="6" t="s">
        <v>416</v>
      </c>
      <c r="E3861" s="6">
        <v>2.43</v>
      </c>
    </row>
    <row r="3862">
      <c r="A3862" s="3">
        <v>5775.0</v>
      </c>
      <c r="B3862" s="4" t="s">
        <v>140</v>
      </c>
      <c r="C3862" s="4" t="s">
        <v>415</v>
      </c>
      <c r="D3862" s="4" t="s">
        <v>416</v>
      </c>
      <c r="E3862" s="4">
        <v>2.74</v>
      </c>
    </row>
    <row r="3863">
      <c r="A3863" s="5">
        <v>77506.0</v>
      </c>
      <c r="B3863" s="6" t="s">
        <v>140</v>
      </c>
      <c r="C3863" s="6" t="s">
        <v>415</v>
      </c>
      <c r="D3863" s="6" t="s">
        <v>416</v>
      </c>
      <c r="E3863" s="6">
        <v>1.65</v>
      </c>
    </row>
    <row r="3864">
      <c r="A3864" s="3">
        <v>83646.0</v>
      </c>
      <c r="B3864" s="4" t="s">
        <v>140</v>
      </c>
      <c r="C3864" s="4" t="s">
        <v>415</v>
      </c>
      <c r="D3864" s="4" t="s">
        <v>416</v>
      </c>
      <c r="E3864" s="4">
        <v>2.02</v>
      </c>
    </row>
    <row r="3865">
      <c r="A3865" s="5">
        <v>77484.0</v>
      </c>
      <c r="B3865" s="6" t="s">
        <v>140</v>
      </c>
      <c r="C3865" s="6" t="s">
        <v>415</v>
      </c>
      <c r="D3865" s="6" t="s">
        <v>416</v>
      </c>
      <c r="E3865" s="6">
        <v>8.46</v>
      </c>
    </row>
    <row r="3866">
      <c r="A3866" s="3">
        <v>77481.0</v>
      </c>
      <c r="B3866" s="4" t="s">
        <v>140</v>
      </c>
      <c r="C3866" s="4" t="s">
        <v>415</v>
      </c>
      <c r="D3866" s="4" t="s">
        <v>416</v>
      </c>
      <c r="E3866" s="4">
        <v>2.0</v>
      </c>
    </row>
    <row r="3867">
      <c r="A3867" s="5">
        <v>17075.0</v>
      </c>
      <c r="B3867" s="6" t="s">
        <v>140</v>
      </c>
      <c r="C3867" s="6" t="s">
        <v>415</v>
      </c>
      <c r="D3867" s="6" t="s">
        <v>416</v>
      </c>
      <c r="E3867" s="6">
        <v>4.89</v>
      </c>
    </row>
    <row r="3868">
      <c r="A3868" s="3">
        <v>77492.0</v>
      </c>
      <c r="B3868" s="4" t="s">
        <v>140</v>
      </c>
      <c r="C3868" s="4" t="s">
        <v>415</v>
      </c>
      <c r="D3868" s="4" t="s">
        <v>416</v>
      </c>
      <c r="E3868" s="4">
        <v>2.27</v>
      </c>
    </row>
    <row r="3869">
      <c r="A3869" s="5">
        <v>112084.0</v>
      </c>
      <c r="B3869" s="6" t="s">
        <v>140</v>
      </c>
      <c r="C3869" s="6" t="s">
        <v>415</v>
      </c>
      <c r="D3869" s="6" t="s">
        <v>416</v>
      </c>
      <c r="E3869" s="6">
        <v>3.68</v>
      </c>
    </row>
    <row r="3870">
      <c r="A3870" s="3">
        <v>12041.0</v>
      </c>
      <c r="B3870" s="4" t="s">
        <v>140</v>
      </c>
      <c r="C3870" s="4" t="s">
        <v>415</v>
      </c>
      <c r="D3870" s="4" t="s">
        <v>416</v>
      </c>
      <c r="E3870" s="4">
        <v>3.83</v>
      </c>
    </row>
    <row r="3871">
      <c r="A3871" s="5">
        <v>83042.0</v>
      </c>
      <c r="B3871" s="6" t="s">
        <v>140</v>
      </c>
      <c r="C3871" s="6" t="s">
        <v>415</v>
      </c>
      <c r="D3871" s="6" t="s">
        <v>416</v>
      </c>
      <c r="E3871" s="6">
        <v>2.7</v>
      </c>
    </row>
    <row r="3872">
      <c r="A3872" s="3">
        <v>77490.0</v>
      </c>
      <c r="B3872" s="4" t="s">
        <v>140</v>
      </c>
      <c r="C3872" s="4" t="s">
        <v>415</v>
      </c>
      <c r="D3872" s="4" t="s">
        <v>416</v>
      </c>
      <c r="E3872" s="4">
        <v>2.41</v>
      </c>
    </row>
    <row r="3873">
      <c r="A3873" s="5">
        <v>43336.0</v>
      </c>
      <c r="B3873" s="6" t="s">
        <v>140</v>
      </c>
      <c r="C3873" s="6" t="s">
        <v>415</v>
      </c>
      <c r="D3873" s="6" t="s">
        <v>416</v>
      </c>
      <c r="E3873" s="6">
        <v>3.98</v>
      </c>
    </row>
    <row r="3874">
      <c r="A3874" s="3">
        <v>48609.0</v>
      </c>
      <c r="B3874" s="4" t="s">
        <v>140</v>
      </c>
      <c r="C3874" s="4" t="s">
        <v>415</v>
      </c>
      <c r="D3874" s="4" t="s">
        <v>416</v>
      </c>
      <c r="E3874" s="4">
        <v>2.49</v>
      </c>
    </row>
    <row r="3875">
      <c r="A3875" s="5">
        <v>117074.0</v>
      </c>
      <c r="B3875" s="6" t="s">
        <v>140</v>
      </c>
      <c r="C3875" s="6" t="s">
        <v>415</v>
      </c>
      <c r="D3875" s="6" t="s">
        <v>416</v>
      </c>
      <c r="E3875" s="6">
        <v>1.8</v>
      </c>
    </row>
    <row r="3876">
      <c r="A3876" s="3">
        <v>112085.0</v>
      </c>
      <c r="B3876" s="4" t="s">
        <v>140</v>
      </c>
      <c r="C3876" s="4" t="s">
        <v>415</v>
      </c>
      <c r="D3876" s="4" t="s">
        <v>416</v>
      </c>
      <c r="E3876" s="4">
        <v>1.52</v>
      </c>
    </row>
    <row r="3877">
      <c r="A3877" s="5">
        <v>106656.0</v>
      </c>
      <c r="B3877" s="6" t="s">
        <v>140</v>
      </c>
      <c r="C3877" s="6" t="s">
        <v>415</v>
      </c>
      <c r="D3877" s="6" t="s">
        <v>416</v>
      </c>
      <c r="E3877" s="6">
        <v>2.69</v>
      </c>
    </row>
    <row r="3878">
      <c r="A3878" s="3">
        <v>119244.0</v>
      </c>
      <c r="B3878" s="4" t="s">
        <v>140</v>
      </c>
      <c r="C3878" s="4" t="s">
        <v>415</v>
      </c>
      <c r="D3878" s="4" t="s">
        <v>417</v>
      </c>
      <c r="E3878" s="4">
        <v>2.52</v>
      </c>
    </row>
    <row r="3879">
      <c r="A3879" s="5">
        <v>73236.0</v>
      </c>
      <c r="B3879" s="6" t="s">
        <v>140</v>
      </c>
      <c r="C3879" s="6" t="s">
        <v>415</v>
      </c>
      <c r="D3879" s="6" t="s">
        <v>417</v>
      </c>
      <c r="E3879" s="6">
        <v>4.43</v>
      </c>
    </row>
    <row r="3880">
      <c r="A3880" s="3">
        <v>127582.0</v>
      </c>
      <c r="B3880" s="4" t="s">
        <v>140</v>
      </c>
      <c r="C3880" s="4" t="s">
        <v>415</v>
      </c>
      <c r="D3880" s="4" t="s">
        <v>417</v>
      </c>
      <c r="E3880" s="4">
        <v>8.08</v>
      </c>
    </row>
    <row r="3881">
      <c r="A3881" s="5">
        <v>128210.0</v>
      </c>
      <c r="B3881" s="6" t="s">
        <v>140</v>
      </c>
      <c r="C3881" s="6" t="s">
        <v>415</v>
      </c>
      <c r="D3881" s="6" t="s">
        <v>417</v>
      </c>
      <c r="E3881" s="6">
        <v>2.82</v>
      </c>
    </row>
    <row r="3882">
      <c r="A3882" s="3">
        <v>73187.0</v>
      </c>
      <c r="B3882" s="4" t="s">
        <v>140</v>
      </c>
      <c r="C3882" s="4" t="s">
        <v>415</v>
      </c>
      <c r="D3882" s="4" t="s">
        <v>417</v>
      </c>
      <c r="E3882" s="4">
        <v>16.91</v>
      </c>
    </row>
    <row r="3883">
      <c r="A3883" s="5">
        <v>41681.0</v>
      </c>
      <c r="B3883" s="6" t="s">
        <v>140</v>
      </c>
      <c r="C3883" s="6" t="s">
        <v>415</v>
      </c>
      <c r="D3883" s="6" t="s">
        <v>417</v>
      </c>
      <c r="E3883" s="6">
        <v>2.54</v>
      </c>
    </row>
    <row r="3884">
      <c r="A3884" s="3">
        <v>30624.0</v>
      </c>
      <c r="B3884" s="4" t="s">
        <v>140</v>
      </c>
      <c r="C3884" s="4" t="s">
        <v>415</v>
      </c>
      <c r="D3884" s="4" t="s">
        <v>417</v>
      </c>
      <c r="E3884" s="4">
        <v>7.78</v>
      </c>
    </row>
    <row r="3885">
      <c r="A3885" s="5">
        <v>114267.0</v>
      </c>
      <c r="B3885" s="6" t="s">
        <v>140</v>
      </c>
      <c r="C3885" s="6" t="s">
        <v>415</v>
      </c>
      <c r="D3885" s="6" t="s">
        <v>417</v>
      </c>
      <c r="E3885" s="6">
        <v>4.56</v>
      </c>
    </row>
    <row r="3886">
      <c r="A3886" s="3">
        <v>77441.0</v>
      </c>
      <c r="B3886" s="4" t="s">
        <v>140</v>
      </c>
      <c r="C3886" s="4" t="s">
        <v>415</v>
      </c>
      <c r="D3886" s="4" t="s">
        <v>417</v>
      </c>
      <c r="E3886" s="4">
        <v>1.87</v>
      </c>
    </row>
    <row r="3887">
      <c r="A3887" s="5">
        <v>116636.0</v>
      </c>
      <c r="B3887" s="6" t="s">
        <v>140</v>
      </c>
      <c r="C3887" s="6" t="s">
        <v>415</v>
      </c>
      <c r="D3887" s="6" t="s">
        <v>417</v>
      </c>
      <c r="E3887" s="6">
        <v>3.81</v>
      </c>
    </row>
    <row r="3888">
      <c r="A3888" s="3">
        <v>115198.0</v>
      </c>
      <c r="B3888" s="4" t="s">
        <v>140</v>
      </c>
      <c r="C3888" s="4" t="s">
        <v>415</v>
      </c>
      <c r="D3888" s="4" t="s">
        <v>417</v>
      </c>
      <c r="E3888" s="4">
        <v>4.7</v>
      </c>
    </row>
    <row r="3889">
      <c r="A3889" s="5">
        <v>89845.0</v>
      </c>
      <c r="B3889" s="6" t="s">
        <v>140</v>
      </c>
      <c r="C3889" s="6" t="s">
        <v>415</v>
      </c>
      <c r="D3889" s="6" t="s">
        <v>417</v>
      </c>
      <c r="E3889" s="6">
        <v>4.71</v>
      </c>
    </row>
    <row r="3890">
      <c r="A3890" s="3">
        <v>112248.0</v>
      </c>
      <c r="B3890" s="4" t="s">
        <v>140</v>
      </c>
      <c r="C3890" s="4" t="s">
        <v>415</v>
      </c>
      <c r="D3890" s="4" t="s">
        <v>417</v>
      </c>
      <c r="E3890" s="4">
        <v>2.47</v>
      </c>
    </row>
    <row r="3891">
      <c r="A3891" s="5">
        <v>89849.0</v>
      </c>
      <c r="B3891" s="6" t="s">
        <v>140</v>
      </c>
      <c r="C3891" s="6" t="s">
        <v>415</v>
      </c>
      <c r="D3891" s="6" t="s">
        <v>417</v>
      </c>
      <c r="E3891" s="6">
        <v>5.76</v>
      </c>
    </row>
    <row r="3892">
      <c r="A3892" s="3">
        <v>121709.0</v>
      </c>
      <c r="B3892" s="4" t="s">
        <v>140</v>
      </c>
      <c r="C3892" s="4" t="s">
        <v>415</v>
      </c>
      <c r="D3892" s="4" t="s">
        <v>417</v>
      </c>
      <c r="E3892" s="4">
        <v>4.45</v>
      </c>
    </row>
    <row r="3893">
      <c r="A3893" s="5">
        <v>122653.0</v>
      </c>
      <c r="B3893" s="6" t="s">
        <v>140</v>
      </c>
      <c r="C3893" s="6" t="s">
        <v>415</v>
      </c>
      <c r="D3893" s="6" t="s">
        <v>417</v>
      </c>
      <c r="E3893" s="6">
        <v>8.16</v>
      </c>
    </row>
    <row r="3894">
      <c r="A3894" s="3">
        <v>9759.0</v>
      </c>
      <c r="B3894" s="4" t="s">
        <v>140</v>
      </c>
      <c r="C3894" s="4" t="s">
        <v>415</v>
      </c>
      <c r="D3894" s="4" t="s">
        <v>417</v>
      </c>
      <c r="E3894" s="4">
        <v>2.3</v>
      </c>
    </row>
    <row r="3895">
      <c r="A3895" s="5">
        <v>86782.0</v>
      </c>
      <c r="B3895" s="6" t="s">
        <v>140</v>
      </c>
      <c r="C3895" s="6" t="s">
        <v>415</v>
      </c>
      <c r="D3895" s="6" t="s">
        <v>417</v>
      </c>
      <c r="E3895" s="6">
        <v>6.98</v>
      </c>
    </row>
    <row r="3896">
      <c r="A3896" s="3">
        <v>119246.0</v>
      </c>
      <c r="B3896" s="4" t="s">
        <v>140</v>
      </c>
      <c r="C3896" s="4" t="s">
        <v>415</v>
      </c>
      <c r="D3896" s="4" t="s">
        <v>417</v>
      </c>
      <c r="E3896" s="4">
        <v>6.04</v>
      </c>
    </row>
    <row r="3897">
      <c r="A3897" s="5">
        <v>6047.0</v>
      </c>
      <c r="B3897" s="6" t="s">
        <v>140</v>
      </c>
      <c r="C3897" s="6" t="s">
        <v>415</v>
      </c>
      <c r="D3897" s="6" t="s">
        <v>417</v>
      </c>
      <c r="E3897" s="6">
        <v>7.12</v>
      </c>
    </row>
    <row r="3898">
      <c r="A3898" s="3">
        <v>117526.0</v>
      </c>
      <c r="B3898" s="4" t="s">
        <v>140</v>
      </c>
      <c r="C3898" s="4" t="s">
        <v>415</v>
      </c>
      <c r="D3898" s="4" t="s">
        <v>417</v>
      </c>
      <c r="E3898" s="4">
        <v>6.93</v>
      </c>
    </row>
    <row r="3899">
      <c r="A3899" s="5">
        <v>106671.0</v>
      </c>
      <c r="B3899" s="6" t="s">
        <v>140</v>
      </c>
      <c r="C3899" s="6" t="s">
        <v>415</v>
      </c>
      <c r="D3899" s="6" t="s">
        <v>417</v>
      </c>
      <c r="E3899" s="6">
        <v>7.32</v>
      </c>
    </row>
    <row r="3900">
      <c r="A3900" s="3">
        <v>30889.0</v>
      </c>
      <c r="B3900" s="4" t="s">
        <v>140</v>
      </c>
      <c r="C3900" s="4" t="s">
        <v>415</v>
      </c>
      <c r="D3900" s="4" t="s">
        <v>417</v>
      </c>
      <c r="E3900" s="4">
        <v>3.95</v>
      </c>
    </row>
    <row r="3901">
      <c r="A3901" s="5">
        <v>80634.0</v>
      </c>
      <c r="B3901" s="6" t="s">
        <v>140</v>
      </c>
      <c r="C3901" s="6" t="s">
        <v>415</v>
      </c>
      <c r="D3901" s="6" t="s">
        <v>417</v>
      </c>
      <c r="E3901" s="6">
        <v>3.61</v>
      </c>
    </row>
    <row r="3902">
      <c r="A3902" s="3">
        <v>114269.0</v>
      </c>
      <c r="B3902" s="4" t="s">
        <v>140</v>
      </c>
      <c r="C3902" s="4" t="s">
        <v>415</v>
      </c>
      <c r="D3902" s="4" t="s">
        <v>417</v>
      </c>
      <c r="E3902" s="4">
        <v>3.02</v>
      </c>
    </row>
    <row r="3903">
      <c r="A3903" s="5">
        <v>84034.0</v>
      </c>
      <c r="B3903" s="6" t="s">
        <v>140</v>
      </c>
      <c r="C3903" s="6" t="s">
        <v>415</v>
      </c>
      <c r="D3903" s="6" t="s">
        <v>417</v>
      </c>
      <c r="E3903" s="6">
        <v>3.91</v>
      </c>
    </row>
    <row r="3904">
      <c r="A3904" s="3">
        <v>103271.0</v>
      </c>
      <c r="B3904" s="4" t="s">
        <v>140</v>
      </c>
      <c r="C3904" s="4" t="s">
        <v>415</v>
      </c>
      <c r="D3904" s="4" t="s">
        <v>417</v>
      </c>
      <c r="E3904" s="4">
        <v>4.05</v>
      </c>
    </row>
    <row r="3905">
      <c r="A3905" s="5">
        <v>72248.0</v>
      </c>
      <c r="B3905" s="6" t="s">
        <v>140</v>
      </c>
      <c r="C3905" s="6" t="s">
        <v>415</v>
      </c>
      <c r="D3905" s="6" t="s">
        <v>417</v>
      </c>
      <c r="E3905" s="6">
        <v>8.12</v>
      </c>
    </row>
    <row r="3906">
      <c r="A3906" s="3">
        <v>7672.0</v>
      </c>
      <c r="B3906" s="4" t="s">
        <v>54</v>
      </c>
      <c r="C3906" s="4" t="s">
        <v>418</v>
      </c>
      <c r="D3906" s="4" t="s">
        <v>419</v>
      </c>
      <c r="E3906" s="4">
        <v>13.95</v>
      </c>
    </row>
    <row r="3907">
      <c r="A3907" s="5">
        <v>82844.0</v>
      </c>
      <c r="B3907" s="6" t="s">
        <v>54</v>
      </c>
      <c r="C3907" s="6" t="s">
        <v>418</v>
      </c>
      <c r="D3907" s="6" t="s">
        <v>419</v>
      </c>
      <c r="E3907" s="6">
        <v>4.92</v>
      </c>
    </row>
    <row r="3908">
      <c r="A3908" s="3">
        <v>7685.0</v>
      </c>
      <c r="B3908" s="4" t="s">
        <v>54</v>
      </c>
      <c r="C3908" s="4" t="s">
        <v>418</v>
      </c>
      <c r="D3908" s="4" t="s">
        <v>419</v>
      </c>
      <c r="E3908" s="4">
        <v>8.21</v>
      </c>
    </row>
    <row r="3909">
      <c r="A3909" s="5">
        <v>7673.0</v>
      </c>
      <c r="B3909" s="6" t="s">
        <v>54</v>
      </c>
      <c r="C3909" s="6" t="s">
        <v>418</v>
      </c>
      <c r="D3909" s="6" t="s">
        <v>419</v>
      </c>
      <c r="E3909" s="6">
        <v>8.1</v>
      </c>
    </row>
    <row r="3910">
      <c r="A3910" s="3">
        <v>72328.0</v>
      </c>
      <c r="B3910" s="4" t="s">
        <v>54</v>
      </c>
      <c r="C3910" s="4" t="s">
        <v>418</v>
      </c>
      <c r="D3910" s="4" t="s">
        <v>420</v>
      </c>
      <c r="E3910" s="4">
        <v>11.6</v>
      </c>
    </row>
    <row r="3911">
      <c r="A3911" s="5">
        <v>87967.0</v>
      </c>
      <c r="B3911" s="6" t="s">
        <v>54</v>
      </c>
      <c r="C3911" s="6" t="s">
        <v>418</v>
      </c>
      <c r="D3911" s="6" t="s">
        <v>420</v>
      </c>
      <c r="E3911" s="6">
        <v>12.0</v>
      </c>
    </row>
    <row r="3912">
      <c r="A3912" s="3">
        <v>113193.0</v>
      </c>
      <c r="B3912" s="4" t="s">
        <v>54</v>
      </c>
      <c r="C3912" s="4" t="s">
        <v>418</v>
      </c>
      <c r="D3912" s="4" t="s">
        <v>420</v>
      </c>
      <c r="E3912" s="4">
        <v>10.34</v>
      </c>
    </row>
    <row r="3913">
      <c r="A3913" s="5">
        <v>82821.0</v>
      </c>
      <c r="B3913" s="6" t="s">
        <v>54</v>
      </c>
      <c r="C3913" s="6" t="s">
        <v>418</v>
      </c>
      <c r="D3913" s="6" t="s">
        <v>420</v>
      </c>
      <c r="E3913" s="6">
        <v>4.66</v>
      </c>
    </row>
    <row r="3914">
      <c r="A3914" s="3">
        <v>87964.0</v>
      </c>
      <c r="B3914" s="4" t="s">
        <v>54</v>
      </c>
      <c r="C3914" s="4" t="s">
        <v>418</v>
      </c>
      <c r="D3914" s="4" t="s">
        <v>420</v>
      </c>
      <c r="E3914" s="4">
        <v>10.34</v>
      </c>
    </row>
    <row r="3915">
      <c r="A3915" s="5">
        <v>201751.0</v>
      </c>
      <c r="B3915" s="6" t="s">
        <v>54</v>
      </c>
      <c r="C3915" s="6" t="s">
        <v>418</v>
      </c>
      <c r="D3915" s="6" t="s">
        <v>420</v>
      </c>
      <c r="E3915" s="6">
        <v>4.71</v>
      </c>
    </row>
    <row r="3916">
      <c r="A3916" s="3">
        <v>79057.0</v>
      </c>
      <c r="B3916" s="4" t="s">
        <v>54</v>
      </c>
      <c r="C3916" s="4" t="s">
        <v>418</v>
      </c>
      <c r="D3916" s="4" t="s">
        <v>420</v>
      </c>
      <c r="E3916" s="4">
        <v>10.53</v>
      </c>
    </row>
    <row r="3917">
      <c r="A3917" s="5">
        <v>41225.0</v>
      </c>
      <c r="B3917" s="6" t="s">
        <v>54</v>
      </c>
      <c r="C3917" s="6" t="s">
        <v>418</v>
      </c>
      <c r="D3917" s="6" t="s">
        <v>420</v>
      </c>
      <c r="E3917" s="6">
        <v>9.68</v>
      </c>
    </row>
    <row r="3918">
      <c r="A3918" s="3">
        <v>113300.0</v>
      </c>
      <c r="B3918" s="4" t="s">
        <v>54</v>
      </c>
      <c r="C3918" s="4" t="s">
        <v>418</v>
      </c>
      <c r="D3918" s="4" t="s">
        <v>420</v>
      </c>
      <c r="E3918" s="4">
        <v>12.58</v>
      </c>
    </row>
    <row r="3919">
      <c r="A3919" s="5">
        <v>113299.0</v>
      </c>
      <c r="B3919" s="6" t="s">
        <v>54</v>
      </c>
      <c r="C3919" s="6" t="s">
        <v>418</v>
      </c>
      <c r="D3919" s="6" t="s">
        <v>421</v>
      </c>
      <c r="E3919" s="6">
        <v>12.58</v>
      </c>
    </row>
    <row r="3920">
      <c r="A3920" s="3">
        <v>105475.0</v>
      </c>
      <c r="B3920" s="4" t="s">
        <v>54</v>
      </c>
      <c r="C3920" s="4" t="s">
        <v>418</v>
      </c>
      <c r="D3920" s="4" t="s">
        <v>421</v>
      </c>
      <c r="E3920" s="4">
        <v>5.76</v>
      </c>
    </row>
    <row r="3921">
      <c r="A3921" s="5">
        <v>114724.0</v>
      </c>
      <c r="B3921" s="6" t="s">
        <v>54</v>
      </c>
      <c r="C3921" s="6" t="s">
        <v>418</v>
      </c>
      <c r="D3921" s="6" t="s">
        <v>421</v>
      </c>
      <c r="E3921" s="6">
        <v>8.08</v>
      </c>
    </row>
    <row r="3922">
      <c r="A3922" s="3">
        <v>113298.0</v>
      </c>
      <c r="B3922" s="4" t="s">
        <v>54</v>
      </c>
      <c r="C3922" s="4" t="s">
        <v>418</v>
      </c>
      <c r="D3922" s="4" t="s">
        <v>421</v>
      </c>
      <c r="E3922" s="4">
        <v>12.58</v>
      </c>
    </row>
    <row r="3923">
      <c r="A3923" s="5">
        <v>82838.0</v>
      </c>
      <c r="B3923" s="6" t="s">
        <v>54</v>
      </c>
      <c r="C3923" s="6" t="s">
        <v>418</v>
      </c>
      <c r="D3923" s="6" t="s">
        <v>422</v>
      </c>
      <c r="E3923" s="6">
        <v>7.99</v>
      </c>
    </row>
    <row r="3924">
      <c r="A3924" s="3">
        <v>111960.0</v>
      </c>
      <c r="B3924" s="4" t="s">
        <v>54</v>
      </c>
      <c r="C3924" s="4" t="s">
        <v>418</v>
      </c>
      <c r="D3924" s="4" t="s">
        <v>422</v>
      </c>
      <c r="E3924" s="4">
        <v>7.6</v>
      </c>
    </row>
    <row r="3925">
      <c r="A3925" s="5">
        <v>108840.0</v>
      </c>
      <c r="B3925" s="6" t="s">
        <v>54</v>
      </c>
      <c r="C3925" s="6" t="s">
        <v>418</v>
      </c>
      <c r="D3925" s="6" t="s">
        <v>422</v>
      </c>
      <c r="E3925" s="6">
        <v>3.43</v>
      </c>
    </row>
    <row r="3926">
      <c r="A3926" s="3">
        <v>201044.0</v>
      </c>
      <c r="B3926" s="4" t="s">
        <v>54</v>
      </c>
      <c r="C3926" s="4" t="s">
        <v>418</v>
      </c>
      <c r="D3926" s="4" t="s">
        <v>422</v>
      </c>
      <c r="E3926" s="4">
        <v>6.16</v>
      </c>
    </row>
    <row r="3927">
      <c r="A3927" s="5">
        <v>81880.0</v>
      </c>
      <c r="B3927" s="6" t="s">
        <v>54</v>
      </c>
      <c r="C3927" s="6" t="s">
        <v>418</v>
      </c>
      <c r="D3927" s="6" t="s">
        <v>422</v>
      </c>
      <c r="E3927" s="6">
        <v>12.14</v>
      </c>
    </row>
    <row r="3928">
      <c r="A3928" s="3">
        <v>81873.0</v>
      </c>
      <c r="B3928" s="4" t="s">
        <v>54</v>
      </c>
      <c r="C3928" s="4" t="s">
        <v>418</v>
      </c>
      <c r="D3928" s="4" t="s">
        <v>422</v>
      </c>
      <c r="E3928" s="4">
        <v>11.92</v>
      </c>
    </row>
    <row r="3929">
      <c r="A3929" s="5">
        <v>117613.0</v>
      </c>
      <c r="B3929" s="6" t="s">
        <v>54</v>
      </c>
      <c r="C3929" s="6" t="s">
        <v>418</v>
      </c>
      <c r="D3929" s="6" t="s">
        <v>422</v>
      </c>
      <c r="E3929" s="6">
        <v>4.66</v>
      </c>
    </row>
    <row r="3930">
      <c r="A3930" s="3">
        <v>81876.0</v>
      </c>
      <c r="B3930" s="4" t="s">
        <v>54</v>
      </c>
      <c r="C3930" s="4" t="s">
        <v>418</v>
      </c>
      <c r="D3930" s="4" t="s">
        <v>422</v>
      </c>
      <c r="E3930" s="4">
        <v>9.22</v>
      </c>
    </row>
    <row r="3931">
      <c r="A3931" s="5">
        <v>104050.0</v>
      </c>
      <c r="B3931" s="6" t="s">
        <v>54</v>
      </c>
      <c r="C3931" s="6" t="s">
        <v>418</v>
      </c>
      <c r="D3931" s="6" t="s">
        <v>422</v>
      </c>
      <c r="E3931" s="6">
        <v>7.44</v>
      </c>
    </row>
    <row r="3932">
      <c r="A3932" s="3">
        <v>111934.0</v>
      </c>
      <c r="B3932" s="4" t="s">
        <v>54</v>
      </c>
      <c r="C3932" s="4" t="s">
        <v>418</v>
      </c>
      <c r="D3932" s="4" t="s">
        <v>423</v>
      </c>
      <c r="E3932" s="4">
        <v>10.36</v>
      </c>
    </row>
    <row r="3933">
      <c r="A3933" s="5">
        <v>29819.0</v>
      </c>
      <c r="B3933" s="6" t="s">
        <v>54</v>
      </c>
      <c r="C3933" s="6" t="s">
        <v>418</v>
      </c>
      <c r="D3933" s="6" t="s">
        <v>423</v>
      </c>
      <c r="E3933" s="6">
        <v>12.96</v>
      </c>
    </row>
    <row r="3934">
      <c r="A3934" s="3">
        <v>120392.0</v>
      </c>
      <c r="B3934" s="4" t="s">
        <v>54</v>
      </c>
      <c r="C3934" s="4" t="s">
        <v>418</v>
      </c>
      <c r="D3934" s="4" t="s">
        <v>423</v>
      </c>
      <c r="E3934" s="4">
        <v>6.42</v>
      </c>
    </row>
    <row r="3935">
      <c r="A3935" s="5">
        <v>29820.0</v>
      </c>
      <c r="B3935" s="6" t="s">
        <v>54</v>
      </c>
      <c r="C3935" s="6" t="s">
        <v>418</v>
      </c>
      <c r="D3935" s="6" t="s">
        <v>423</v>
      </c>
      <c r="E3935" s="6">
        <v>13.75</v>
      </c>
    </row>
    <row r="3936">
      <c r="A3936" s="3">
        <v>83755.0</v>
      </c>
      <c r="B3936" s="4" t="s">
        <v>54</v>
      </c>
      <c r="C3936" s="4" t="s">
        <v>418</v>
      </c>
      <c r="D3936" s="4" t="s">
        <v>424</v>
      </c>
      <c r="E3936" s="4">
        <v>11.26</v>
      </c>
    </row>
    <row r="3937">
      <c r="A3937" s="5">
        <v>111941.0</v>
      </c>
      <c r="B3937" s="6" t="s">
        <v>54</v>
      </c>
      <c r="C3937" s="6" t="s">
        <v>418</v>
      </c>
      <c r="D3937" s="6" t="s">
        <v>424</v>
      </c>
      <c r="E3937" s="6">
        <v>7.66</v>
      </c>
    </row>
    <row r="3938">
      <c r="A3938" s="3">
        <v>80858.0</v>
      </c>
      <c r="B3938" s="4" t="s">
        <v>54</v>
      </c>
      <c r="C3938" s="4" t="s">
        <v>418</v>
      </c>
      <c r="D3938" s="4" t="s">
        <v>424</v>
      </c>
      <c r="E3938" s="4">
        <v>9.12</v>
      </c>
    </row>
    <row r="3939">
      <c r="A3939" s="5">
        <v>81902.0</v>
      </c>
      <c r="B3939" s="6" t="s">
        <v>54</v>
      </c>
      <c r="C3939" s="6" t="s">
        <v>418</v>
      </c>
      <c r="D3939" s="6" t="s">
        <v>424</v>
      </c>
      <c r="E3939" s="6">
        <v>6.74</v>
      </c>
    </row>
    <row r="3940">
      <c r="A3940" s="3">
        <v>83754.0</v>
      </c>
      <c r="B3940" s="4" t="s">
        <v>54</v>
      </c>
      <c r="C3940" s="4" t="s">
        <v>418</v>
      </c>
      <c r="D3940" s="4" t="s">
        <v>424</v>
      </c>
      <c r="E3940" s="4">
        <v>5.4</v>
      </c>
    </row>
    <row r="3941">
      <c r="A3941" s="5">
        <v>116233.0</v>
      </c>
      <c r="B3941" s="6" t="s">
        <v>54</v>
      </c>
      <c r="C3941" s="6" t="s">
        <v>418</v>
      </c>
      <c r="D3941" s="6" t="s">
        <v>424</v>
      </c>
      <c r="E3941" s="6">
        <v>12.14</v>
      </c>
    </row>
    <row r="3942">
      <c r="A3942" s="3">
        <v>112192.0</v>
      </c>
      <c r="B3942" s="4" t="s">
        <v>54</v>
      </c>
      <c r="C3942" s="4" t="s">
        <v>418</v>
      </c>
      <c r="D3942" s="4" t="s">
        <v>424</v>
      </c>
      <c r="E3942" s="4">
        <v>10.09</v>
      </c>
    </row>
    <row r="3943">
      <c r="A3943" s="5">
        <v>119728.0</v>
      </c>
      <c r="B3943" s="6" t="s">
        <v>54</v>
      </c>
      <c r="C3943" s="6" t="s">
        <v>418</v>
      </c>
      <c r="D3943" s="6" t="s">
        <v>424</v>
      </c>
      <c r="E3943" s="6">
        <v>9.55</v>
      </c>
    </row>
    <row r="3944">
      <c r="A3944" s="3">
        <v>81901.0</v>
      </c>
      <c r="B3944" s="4" t="s">
        <v>54</v>
      </c>
      <c r="C3944" s="4" t="s">
        <v>418</v>
      </c>
      <c r="D3944" s="4" t="s">
        <v>424</v>
      </c>
      <c r="E3944" s="4">
        <v>11.54</v>
      </c>
    </row>
    <row r="3945">
      <c r="A3945" s="5">
        <v>141878.0</v>
      </c>
      <c r="B3945" s="6" t="s">
        <v>54</v>
      </c>
      <c r="C3945" s="6" t="s">
        <v>418</v>
      </c>
      <c r="D3945" s="6" t="s">
        <v>424</v>
      </c>
      <c r="E3945" s="6">
        <v>8.09</v>
      </c>
    </row>
    <row r="3946">
      <c r="A3946" s="3">
        <v>116236.0</v>
      </c>
      <c r="B3946" s="4" t="s">
        <v>54</v>
      </c>
      <c r="C3946" s="4" t="s">
        <v>418</v>
      </c>
      <c r="D3946" s="4" t="s">
        <v>424</v>
      </c>
      <c r="E3946" s="4">
        <v>11.54</v>
      </c>
    </row>
    <row r="3947">
      <c r="A3947" s="5">
        <v>120751.0</v>
      </c>
      <c r="B3947" s="6" t="s">
        <v>54</v>
      </c>
      <c r="C3947" s="6" t="s">
        <v>418</v>
      </c>
      <c r="D3947" s="6" t="s">
        <v>424</v>
      </c>
      <c r="E3947" s="6">
        <v>4.97</v>
      </c>
    </row>
    <row r="3948">
      <c r="A3948" s="3">
        <v>80756.0</v>
      </c>
      <c r="B3948" s="4" t="s">
        <v>54</v>
      </c>
      <c r="C3948" s="4" t="s">
        <v>418</v>
      </c>
      <c r="D3948" s="4" t="s">
        <v>424</v>
      </c>
      <c r="E3948" s="4">
        <v>13.15</v>
      </c>
    </row>
    <row r="3949">
      <c r="A3949" s="5">
        <v>119729.0</v>
      </c>
      <c r="B3949" s="6" t="s">
        <v>54</v>
      </c>
      <c r="C3949" s="6" t="s">
        <v>418</v>
      </c>
      <c r="D3949" s="6" t="s">
        <v>424</v>
      </c>
      <c r="E3949" s="6">
        <v>5.78</v>
      </c>
    </row>
    <row r="3950">
      <c r="A3950" s="3">
        <v>119028.0</v>
      </c>
      <c r="B3950" s="4" t="s">
        <v>54</v>
      </c>
      <c r="C3950" s="4" t="s">
        <v>418</v>
      </c>
      <c r="D3950" s="4" t="s">
        <v>424</v>
      </c>
      <c r="E3950" s="4">
        <v>8.08</v>
      </c>
    </row>
    <row r="3951">
      <c r="A3951" s="5">
        <v>116957.0</v>
      </c>
      <c r="B3951" s="6" t="s">
        <v>54</v>
      </c>
      <c r="C3951" s="6" t="s">
        <v>418</v>
      </c>
      <c r="D3951" s="6" t="s">
        <v>425</v>
      </c>
      <c r="E3951" s="6">
        <v>5.75</v>
      </c>
    </row>
    <row r="3952">
      <c r="A3952" s="3">
        <v>78235.0</v>
      </c>
      <c r="B3952" s="4" t="s">
        <v>54</v>
      </c>
      <c r="C3952" s="4" t="s">
        <v>418</v>
      </c>
      <c r="D3952" s="4" t="s">
        <v>425</v>
      </c>
      <c r="E3952" s="4">
        <v>6.41</v>
      </c>
    </row>
    <row r="3953">
      <c r="A3953" s="5">
        <v>119803.0</v>
      </c>
      <c r="B3953" s="6" t="s">
        <v>54</v>
      </c>
      <c r="C3953" s="6" t="s">
        <v>418</v>
      </c>
      <c r="D3953" s="6" t="s">
        <v>425</v>
      </c>
      <c r="E3953" s="6">
        <v>7.73</v>
      </c>
    </row>
    <row r="3954">
      <c r="A3954" s="3">
        <v>7669.0</v>
      </c>
      <c r="B3954" s="4" t="s">
        <v>54</v>
      </c>
      <c r="C3954" s="4" t="s">
        <v>418</v>
      </c>
      <c r="D3954" s="4" t="s">
        <v>425</v>
      </c>
      <c r="E3954" s="4">
        <v>7.68</v>
      </c>
    </row>
    <row r="3955">
      <c r="A3955" s="5">
        <v>139312.0</v>
      </c>
      <c r="B3955" s="6" t="s">
        <v>54</v>
      </c>
      <c r="C3955" s="6" t="s">
        <v>418</v>
      </c>
      <c r="D3955" s="6" t="s">
        <v>425</v>
      </c>
      <c r="E3955" s="6">
        <v>17.08</v>
      </c>
    </row>
    <row r="3956">
      <c r="A3956" s="3">
        <v>77773.0</v>
      </c>
      <c r="B3956" s="4" t="s">
        <v>54</v>
      </c>
      <c r="C3956" s="4" t="s">
        <v>418</v>
      </c>
      <c r="D3956" s="4" t="s">
        <v>425</v>
      </c>
      <c r="E3956" s="4">
        <v>2.07</v>
      </c>
    </row>
    <row r="3957">
      <c r="A3957" s="5">
        <v>73442.0</v>
      </c>
      <c r="B3957" s="6" t="s">
        <v>54</v>
      </c>
      <c r="C3957" s="6" t="s">
        <v>418</v>
      </c>
      <c r="D3957" s="6" t="s">
        <v>425</v>
      </c>
      <c r="E3957" s="6">
        <v>2.04</v>
      </c>
    </row>
    <row r="3958">
      <c r="A3958" s="3">
        <v>3974.0</v>
      </c>
      <c r="B3958" s="4" t="s">
        <v>54</v>
      </c>
      <c r="C3958" s="4" t="s">
        <v>418</v>
      </c>
      <c r="D3958" s="4" t="s">
        <v>425</v>
      </c>
      <c r="E3958" s="4">
        <v>10.57</v>
      </c>
    </row>
    <row r="3959">
      <c r="A3959" s="5">
        <v>104032.0</v>
      </c>
      <c r="B3959" s="6" t="s">
        <v>54</v>
      </c>
      <c r="C3959" s="6" t="s">
        <v>418</v>
      </c>
      <c r="D3959" s="6" t="s">
        <v>426</v>
      </c>
      <c r="E3959" s="6">
        <v>8.26</v>
      </c>
    </row>
    <row r="3960">
      <c r="A3960" s="3">
        <v>24162.0</v>
      </c>
      <c r="B3960" s="4" t="s">
        <v>60</v>
      </c>
      <c r="C3960" s="4" t="s">
        <v>427</v>
      </c>
      <c r="D3960" s="4" t="s">
        <v>428</v>
      </c>
      <c r="E3960" s="4">
        <v>3.9</v>
      </c>
    </row>
    <row r="3961">
      <c r="A3961" s="5">
        <v>24167.0</v>
      </c>
      <c r="B3961" s="6" t="s">
        <v>60</v>
      </c>
      <c r="C3961" s="6" t="s">
        <v>427</v>
      </c>
      <c r="D3961" s="6" t="s">
        <v>428</v>
      </c>
      <c r="E3961" s="6">
        <v>1.72</v>
      </c>
    </row>
    <row r="3962">
      <c r="A3962" s="3">
        <v>24174.0</v>
      </c>
      <c r="B3962" s="4" t="s">
        <v>60</v>
      </c>
      <c r="C3962" s="4" t="s">
        <v>427</v>
      </c>
      <c r="D3962" s="4" t="s">
        <v>428</v>
      </c>
      <c r="E3962" s="4">
        <v>1.75</v>
      </c>
    </row>
    <row r="3963">
      <c r="A3963" s="5">
        <v>24161.0</v>
      </c>
      <c r="B3963" s="6" t="s">
        <v>60</v>
      </c>
      <c r="C3963" s="6" t="s">
        <v>427</v>
      </c>
      <c r="D3963" s="6" t="s">
        <v>428</v>
      </c>
      <c r="E3963" s="6">
        <v>2.05</v>
      </c>
    </row>
    <row r="3964">
      <c r="A3964" s="3">
        <v>88594.0</v>
      </c>
      <c r="B3964" s="4" t="s">
        <v>60</v>
      </c>
      <c r="C3964" s="4" t="s">
        <v>427</v>
      </c>
      <c r="D3964" s="4" t="s">
        <v>428</v>
      </c>
      <c r="E3964" s="4">
        <v>1.65</v>
      </c>
    </row>
    <row r="3965">
      <c r="A3965" s="5">
        <v>118818.0</v>
      </c>
      <c r="B3965" s="6" t="s">
        <v>60</v>
      </c>
      <c r="C3965" s="6" t="s">
        <v>427</v>
      </c>
      <c r="D3965" s="6" t="s">
        <v>428</v>
      </c>
      <c r="E3965" s="6">
        <v>1.79</v>
      </c>
    </row>
    <row r="3966">
      <c r="A3966" s="3">
        <v>24166.0</v>
      </c>
      <c r="B3966" s="4" t="s">
        <v>60</v>
      </c>
      <c r="C3966" s="4" t="s">
        <v>427</v>
      </c>
      <c r="D3966" s="4" t="s">
        <v>428</v>
      </c>
      <c r="E3966" s="4">
        <v>1.25</v>
      </c>
    </row>
    <row r="3967">
      <c r="A3967" s="5">
        <v>118828.0</v>
      </c>
      <c r="B3967" s="6" t="s">
        <v>60</v>
      </c>
      <c r="C3967" s="6" t="s">
        <v>427</v>
      </c>
      <c r="D3967" s="6" t="s">
        <v>428</v>
      </c>
      <c r="E3967" s="6">
        <v>2.03</v>
      </c>
    </row>
    <row r="3968">
      <c r="A3968" s="3">
        <v>86169.0</v>
      </c>
      <c r="B3968" s="4" t="s">
        <v>60</v>
      </c>
      <c r="C3968" s="4" t="s">
        <v>427</v>
      </c>
      <c r="D3968" s="4" t="s">
        <v>428</v>
      </c>
      <c r="E3968" s="4">
        <v>3.91</v>
      </c>
    </row>
    <row r="3969">
      <c r="A3969" s="5">
        <v>118851.0</v>
      </c>
      <c r="B3969" s="6" t="s">
        <v>60</v>
      </c>
      <c r="C3969" s="6" t="s">
        <v>427</v>
      </c>
      <c r="D3969" s="6" t="s">
        <v>428</v>
      </c>
      <c r="E3969" s="6">
        <v>1.23</v>
      </c>
    </row>
    <row r="3970">
      <c r="A3970" s="3">
        <v>118824.0</v>
      </c>
      <c r="B3970" s="4" t="s">
        <v>60</v>
      </c>
      <c r="C3970" s="4" t="s">
        <v>427</v>
      </c>
      <c r="D3970" s="4" t="s">
        <v>428</v>
      </c>
      <c r="E3970" s="4">
        <v>3.29</v>
      </c>
    </row>
    <row r="3971">
      <c r="A3971" s="5">
        <v>122728.0</v>
      </c>
      <c r="B3971" s="6" t="s">
        <v>60</v>
      </c>
      <c r="C3971" s="6" t="s">
        <v>427</v>
      </c>
      <c r="D3971" s="6" t="s">
        <v>428</v>
      </c>
      <c r="E3971" s="6">
        <v>1.06</v>
      </c>
    </row>
    <row r="3972">
      <c r="A3972" s="3">
        <v>103474.0</v>
      </c>
      <c r="B3972" s="4" t="s">
        <v>60</v>
      </c>
      <c r="C3972" s="4" t="s">
        <v>427</v>
      </c>
      <c r="D3972" s="4" t="s">
        <v>429</v>
      </c>
      <c r="E3972" s="4">
        <v>3.12</v>
      </c>
    </row>
    <row r="3973">
      <c r="A3973" s="5">
        <v>120635.0</v>
      </c>
      <c r="B3973" s="6" t="s">
        <v>60</v>
      </c>
      <c r="C3973" s="6" t="s">
        <v>427</v>
      </c>
      <c r="D3973" s="6" t="s">
        <v>429</v>
      </c>
      <c r="E3973" s="6">
        <v>2.78</v>
      </c>
    </row>
    <row r="3974">
      <c r="A3974" s="3">
        <v>120633.0</v>
      </c>
      <c r="B3974" s="4" t="s">
        <v>60</v>
      </c>
      <c r="C3974" s="4" t="s">
        <v>427</v>
      </c>
      <c r="D3974" s="4" t="s">
        <v>429</v>
      </c>
      <c r="E3974" s="4">
        <v>2.59</v>
      </c>
    </row>
    <row r="3975">
      <c r="A3975" s="5">
        <v>121477.0</v>
      </c>
      <c r="B3975" s="6" t="s">
        <v>60</v>
      </c>
      <c r="C3975" s="6" t="s">
        <v>427</v>
      </c>
      <c r="D3975" s="6" t="s">
        <v>429</v>
      </c>
      <c r="E3975" s="6">
        <v>1.58</v>
      </c>
    </row>
    <row r="3976">
      <c r="A3976" s="3">
        <v>156024.0</v>
      </c>
      <c r="B3976" s="4" t="s">
        <v>60</v>
      </c>
      <c r="C3976" s="4" t="s">
        <v>427</v>
      </c>
      <c r="D3976" s="4" t="s">
        <v>429</v>
      </c>
      <c r="E3976" s="4">
        <v>2.53</v>
      </c>
    </row>
    <row r="3977">
      <c r="A3977" s="5">
        <v>70191.0</v>
      </c>
      <c r="B3977" s="6" t="s">
        <v>60</v>
      </c>
      <c r="C3977" s="6" t="s">
        <v>427</v>
      </c>
      <c r="D3977" s="6" t="s">
        <v>429</v>
      </c>
      <c r="E3977" s="6">
        <v>2.4</v>
      </c>
    </row>
    <row r="3978">
      <c r="A3978" s="3">
        <v>19822.0</v>
      </c>
      <c r="B3978" s="4" t="s">
        <v>60</v>
      </c>
      <c r="C3978" s="4" t="s">
        <v>427</v>
      </c>
      <c r="D3978" s="4" t="s">
        <v>429</v>
      </c>
      <c r="E3978" s="4">
        <v>1.86</v>
      </c>
    </row>
    <row r="3979">
      <c r="A3979" s="5">
        <v>156023.0</v>
      </c>
      <c r="B3979" s="6" t="s">
        <v>60</v>
      </c>
      <c r="C3979" s="6" t="s">
        <v>427</v>
      </c>
      <c r="D3979" s="6" t="s">
        <v>429</v>
      </c>
      <c r="E3979" s="6">
        <v>2.87</v>
      </c>
    </row>
    <row r="3980">
      <c r="A3980" s="3">
        <v>120628.0</v>
      </c>
      <c r="B3980" s="4" t="s">
        <v>60</v>
      </c>
      <c r="C3980" s="4" t="s">
        <v>427</v>
      </c>
      <c r="D3980" s="4" t="s">
        <v>429</v>
      </c>
      <c r="E3980" s="4">
        <v>2.55</v>
      </c>
    </row>
    <row r="3981">
      <c r="A3981" s="5">
        <v>45830.0</v>
      </c>
      <c r="B3981" s="6" t="s">
        <v>60</v>
      </c>
      <c r="C3981" s="6" t="s">
        <v>427</v>
      </c>
      <c r="D3981" s="6" t="s">
        <v>430</v>
      </c>
      <c r="E3981" s="6">
        <v>2.18</v>
      </c>
    </row>
    <row r="3982">
      <c r="A3982" s="3">
        <v>86192.0</v>
      </c>
      <c r="B3982" s="4" t="s">
        <v>60</v>
      </c>
      <c r="C3982" s="4" t="s">
        <v>427</v>
      </c>
      <c r="D3982" s="4" t="s">
        <v>430</v>
      </c>
      <c r="E3982" s="4">
        <v>1.84</v>
      </c>
    </row>
    <row r="3983">
      <c r="A3983" s="5">
        <v>127372.0</v>
      </c>
      <c r="B3983" s="6" t="s">
        <v>60</v>
      </c>
      <c r="C3983" s="6" t="s">
        <v>427</v>
      </c>
      <c r="D3983" s="6" t="s">
        <v>430</v>
      </c>
      <c r="E3983" s="6">
        <v>3.35</v>
      </c>
    </row>
    <row r="3984">
      <c r="A3984" s="3">
        <v>113902.0</v>
      </c>
      <c r="B3984" s="4" t="s">
        <v>60</v>
      </c>
      <c r="C3984" s="4" t="s">
        <v>427</v>
      </c>
      <c r="D3984" s="4" t="s">
        <v>430</v>
      </c>
      <c r="E3984" s="4">
        <v>2.05</v>
      </c>
    </row>
    <row r="3985">
      <c r="A3985" s="5">
        <v>119133.0</v>
      </c>
      <c r="B3985" s="6" t="s">
        <v>60</v>
      </c>
      <c r="C3985" s="6" t="s">
        <v>427</v>
      </c>
      <c r="D3985" s="6" t="s">
        <v>430</v>
      </c>
      <c r="E3985" s="6">
        <v>2.24</v>
      </c>
    </row>
    <row r="3986">
      <c r="A3986" s="3">
        <v>114946.0</v>
      </c>
      <c r="B3986" s="4" t="s">
        <v>60</v>
      </c>
      <c r="C3986" s="4" t="s">
        <v>427</v>
      </c>
      <c r="D3986" s="4" t="s">
        <v>430</v>
      </c>
      <c r="E3986" s="4">
        <v>1.74</v>
      </c>
    </row>
    <row r="3987">
      <c r="A3987" s="5">
        <v>118832.0</v>
      </c>
      <c r="B3987" s="6" t="s">
        <v>60</v>
      </c>
      <c r="C3987" s="6" t="s">
        <v>427</v>
      </c>
      <c r="D3987" s="6" t="s">
        <v>430</v>
      </c>
      <c r="E3987" s="6">
        <v>2.14</v>
      </c>
    </row>
    <row r="3988">
      <c r="A3988" s="3">
        <v>86499.0</v>
      </c>
      <c r="B3988" s="4" t="s">
        <v>60</v>
      </c>
      <c r="C3988" s="4" t="s">
        <v>427</v>
      </c>
      <c r="D3988" s="4" t="s">
        <v>431</v>
      </c>
      <c r="E3988" s="4">
        <v>2.97</v>
      </c>
    </row>
    <row r="3989">
      <c r="A3989" s="5">
        <v>81790.0</v>
      </c>
      <c r="B3989" s="6" t="s">
        <v>60</v>
      </c>
      <c r="C3989" s="6" t="s">
        <v>427</v>
      </c>
      <c r="D3989" s="6" t="s">
        <v>431</v>
      </c>
      <c r="E3989" s="6">
        <v>1.85</v>
      </c>
    </row>
    <row r="3990">
      <c r="A3990" s="3">
        <v>45898.0</v>
      </c>
      <c r="B3990" s="4" t="s">
        <v>60</v>
      </c>
      <c r="C3990" s="4" t="s">
        <v>427</v>
      </c>
      <c r="D3990" s="4" t="s">
        <v>431</v>
      </c>
      <c r="E3990" s="4">
        <v>3.47</v>
      </c>
    </row>
    <row r="3991">
      <c r="A3991" s="5">
        <v>24144.0</v>
      </c>
      <c r="B3991" s="6" t="s">
        <v>60</v>
      </c>
      <c r="C3991" s="6" t="s">
        <v>427</v>
      </c>
      <c r="D3991" s="6" t="s">
        <v>431</v>
      </c>
      <c r="E3991" s="6">
        <v>2.83</v>
      </c>
    </row>
    <row r="3992">
      <c r="A3992" s="3">
        <v>98351.0</v>
      </c>
      <c r="B3992" s="4" t="s">
        <v>60</v>
      </c>
      <c r="C3992" s="4" t="s">
        <v>427</v>
      </c>
      <c r="D3992" s="4" t="s">
        <v>431</v>
      </c>
      <c r="E3992" s="4">
        <v>4.29</v>
      </c>
    </row>
    <row r="3993">
      <c r="A3993" s="5">
        <v>86481.0</v>
      </c>
      <c r="B3993" s="6" t="s">
        <v>60</v>
      </c>
      <c r="C3993" s="6" t="s">
        <v>427</v>
      </c>
      <c r="D3993" s="6" t="s">
        <v>431</v>
      </c>
      <c r="E3993" s="6">
        <v>3.82</v>
      </c>
    </row>
    <row r="3994">
      <c r="A3994" s="3">
        <v>115747.0</v>
      </c>
      <c r="B3994" s="4" t="s">
        <v>60</v>
      </c>
      <c r="C3994" s="4" t="s">
        <v>427</v>
      </c>
      <c r="D3994" s="4" t="s">
        <v>431</v>
      </c>
      <c r="E3994" s="4">
        <v>2.66</v>
      </c>
    </row>
    <row r="3995">
      <c r="A3995" s="5">
        <v>116187.0</v>
      </c>
      <c r="B3995" s="6" t="s">
        <v>60</v>
      </c>
      <c r="C3995" s="6" t="s">
        <v>427</v>
      </c>
      <c r="D3995" s="6" t="s">
        <v>431</v>
      </c>
      <c r="E3995" s="6">
        <v>1.98</v>
      </c>
    </row>
    <row r="3996">
      <c r="A3996" s="3">
        <v>86162.0</v>
      </c>
      <c r="B3996" s="4" t="s">
        <v>60</v>
      </c>
      <c r="C3996" s="4" t="s">
        <v>427</v>
      </c>
      <c r="D3996" s="4" t="s">
        <v>431</v>
      </c>
      <c r="E3996" s="4">
        <v>4.22</v>
      </c>
    </row>
    <row r="3997">
      <c r="A3997" s="5">
        <v>90654.0</v>
      </c>
      <c r="B3997" s="6" t="s">
        <v>60</v>
      </c>
      <c r="C3997" s="6" t="s">
        <v>427</v>
      </c>
      <c r="D3997" s="6" t="s">
        <v>431</v>
      </c>
      <c r="E3997" s="6">
        <v>2.14</v>
      </c>
    </row>
    <row r="3998">
      <c r="A3998" s="3">
        <v>71743.0</v>
      </c>
      <c r="B3998" s="4" t="s">
        <v>60</v>
      </c>
      <c r="C3998" s="4" t="s">
        <v>427</v>
      </c>
      <c r="D3998" s="4" t="s">
        <v>431</v>
      </c>
      <c r="E3998" s="4">
        <v>2.05</v>
      </c>
    </row>
    <row r="3999">
      <c r="A3999" s="5">
        <v>71744.0</v>
      </c>
      <c r="B3999" s="6" t="s">
        <v>60</v>
      </c>
      <c r="C3999" s="6" t="s">
        <v>427</v>
      </c>
      <c r="D3999" s="6" t="s">
        <v>431</v>
      </c>
      <c r="E3999" s="6">
        <v>1.74</v>
      </c>
    </row>
    <row r="4000">
      <c r="A4000" s="3">
        <v>88590.0</v>
      </c>
      <c r="B4000" s="4" t="s">
        <v>60</v>
      </c>
      <c r="C4000" s="4" t="s">
        <v>427</v>
      </c>
      <c r="D4000" s="4" t="s">
        <v>431</v>
      </c>
      <c r="E4000" s="4">
        <v>1.96</v>
      </c>
    </row>
    <row r="4001">
      <c r="A4001" s="5">
        <v>78940.0</v>
      </c>
      <c r="B4001" s="6" t="s">
        <v>60</v>
      </c>
      <c r="C4001" s="6" t="s">
        <v>427</v>
      </c>
      <c r="D4001" s="6" t="s">
        <v>431</v>
      </c>
      <c r="E4001" s="6">
        <v>2.68</v>
      </c>
    </row>
    <row r="4002">
      <c r="A4002" s="3">
        <v>194752.0</v>
      </c>
      <c r="B4002" s="4" t="s">
        <v>60</v>
      </c>
      <c r="C4002" s="4" t="s">
        <v>427</v>
      </c>
      <c r="D4002" s="4" t="s">
        <v>432</v>
      </c>
      <c r="E4002" s="4">
        <v>2.16</v>
      </c>
    </row>
    <row r="4003">
      <c r="A4003" s="5">
        <v>194748.0</v>
      </c>
      <c r="B4003" s="6" t="s">
        <v>60</v>
      </c>
      <c r="C4003" s="6" t="s">
        <v>427</v>
      </c>
      <c r="D4003" s="6" t="s">
        <v>432</v>
      </c>
      <c r="E4003" s="6">
        <v>2.16</v>
      </c>
    </row>
    <row r="4004">
      <c r="A4004" s="3">
        <v>111580.0</v>
      </c>
      <c r="B4004" s="4" t="s">
        <v>60</v>
      </c>
      <c r="C4004" s="4" t="s">
        <v>427</v>
      </c>
      <c r="D4004" s="4" t="s">
        <v>432</v>
      </c>
      <c r="E4004" s="4">
        <v>1.97</v>
      </c>
    </row>
    <row r="4005">
      <c r="A4005" s="5">
        <v>194741.0</v>
      </c>
      <c r="B4005" s="6" t="s">
        <v>60</v>
      </c>
      <c r="C4005" s="6" t="s">
        <v>427</v>
      </c>
      <c r="D4005" s="6" t="s">
        <v>432</v>
      </c>
      <c r="E4005" s="6">
        <v>2.16</v>
      </c>
    </row>
    <row r="4006">
      <c r="A4006" s="3">
        <v>107082.0</v>
      </c>
      <c r="B4006" s="4" t="s">
        <v>60</v>
      </c>
      <c r="C4006" s="4" t="s">
        <v>427</v>
      </c>
      <c r="D4006" s="4" t="s">
        <v>432</v>
      </c>
      <c r="E4006" s="4">
        <v>2.63</v>
      </c>
    </row>
    <row r="4007">
      <c r="A4007" s="5">
        <v>83092.0</v>
      </c>
      <c r="B4007" s="6" t="s">
        <v>60</v>
      </c>
      <c r="C4007" s="6" t="s">
        <v>427</v>
      </c>
      <c r="D4007" s="6" t="s">
        <v>432</v>
      </c>
      <c r="E4007" s="6">
        <v>2.04</v>
      </c>
    </row>
    <row r="4008">
      <c r="A4008" s="3">
        <v>111581.0</v>
      </c>
      <c r="B4008" s="4" t="s">
        <v>60</v>
      </c>
      <c r="C4008" s="4" t="s">
        <v>427</v>
      </c>
      <c r="D4008" s="4" t="s">
        <v>432</v>
      </c>
      <c r="E4008" s="4">
        <v>1.97</v>
      </c>
    </row>
    <row r="4009">
      <c r="A4009" s="5">
        <v>88402.0</v>
      </c>
      <c r="B4009" s="6" t="s">
        <v>60</v>
      </c>
      <c r="C4009" s="6" t="s">
        <v>427</v>
      </c>
      <c r="D4009" s="6" t="s">
        <v>432</v>
      </c>
      <c r="E4009" s="6">
        <v>3.47</v>
      </c>
    </row>
    <row r="4010">
      <c r="A4010" s="3">
        <v>88413.0</v>
      </c>
      <c r="B4010" s="4" t="s">
        <v>60</v>
      </c>
      <c r="C4010" s="4" t="s">
        <v>427</v>
      </c>
      <c r="D4010" s="4" t="s">
        <v>432</v>
      </c>
      <c r="E4010" s="4">
        <v>3.44</v>
      </c>
    </row>
    <row r="4011">
      <c r="A4011" s="5">
        <v>86560.0</v>
      </c>
      <c r="B4011" s="6" t="s">
        <v>60</v>
      </c>
      <c r="C4011" s="6" t="s">
        <v>427</v>
      </c>
      <c r="D4011" s="6" t="s">
        <v>433</v>
      </c>
      <c r="E4011" s="6">
        <v>1.88</v>
      </c>
    </row>
    <row r="4012">
      <c r="A4012" s="3">
        <v>127584.0</v>
      </c>
      <c r="B4012" s="4" t="s">
        <v>60</v>
      </c>
      <c r="C4012" s="4" t="s">
        <v>427</v>
      </c>
      <c r="D4012" s="4" t="s">
        <v>433</v>
      </c>
      <c r="E4012" s="4">
        <v>1.84</v>
      </c>
    </row>
    <row r="4013">
      <c r="A4013" s="5">
        <v>122254.0</v>
      </c>
      <c r="B4013" s="6" t="s">
        <v>60</v>
      </c>
      <c r="C4013" s="6" t="s">
        <v>427</v>
      </c>
      <c r="D4013" s="6" t="s">
        <v>433</v>
      </c>
      <c r="E4013" s="6">
        <v>2.46</v>
      </c>
    </row>
    <row r="4014">
      <c r="A4014" s="3">
        <v>118849.0</v>
      </c>
      <c r="B4014" s="4" t="s">
        <v>60</v>
      </c>
      <c r="C4014" s="4" t="s">
        <v>427</v>
      </c>
      <c r="D4014" s="4" t="s">
        <v>433</v>
      </c>
      <c r="E4014" s="4">
        <v>2.72</v>
      </c>
    </row>
    <row r="4015">
      <c r="A4015" s="5">
        <v>107187.0</v>
      </c>
      <c r="B4015" s="6" t="s">
        <v>60</v>
      </c>
      <c r="C4015" s="6" t="s">
        <v>427</v>
      </c>
      <c r="D4015" s="6" t="s">
        <v>433</v>
      </c>
      <c r="E4015" s="6">
        <v>2.99</v>
      </c>
    </row>
    <row r="4016">
      <c r="A4016" s="3">
        <v>119932.0</v>
      </c>
      <c r="B4016" s="4" t="s">
        <v>60</v>
      </c>
      <c r="C4016" s="4" t="s">
        <v>427</v>
      </c>
      <c r="D4016" s="4" t="s">
        <v>433</v>
      </c>
      <c r="E4016" s="4">
        <v>2.37</v>
      </c>
    </row>
    <row r="4017">
      <c r="A4017" s="5">
        <v>92045.0</v>
      </c>
      <c r="B4017" s="6" t="s">
        <v>317</v>
      </c>
      <c r="C4017" s="6" t="s">
        <v>434</v>
      </c>
      <c r="D4017" s="6" t="s">
        <v>435</v>
      </c>
      <c r="E4017" s="6">
        <v>2.2</v>
      </c>
    </row>
    <row r="4018">
      <c r="A4018" s="3">
        <v>82168.0</v>
      </c>
      <c r="B4018" s="4" t="s">
        <v>317</v>
      </c>
      <c r="C4018" s="4" t="s">
        <v>434</v>
      </c>
      <c r="D4018" s="4" t="s">
        <v>435</v>
      </c>
      <c r="E4018" s="4">
        <v>3.12</v>
      </c>
    </row>
    <row r="4019">
      <c r="A4019" s="5">
        <v>79263.0</v>
      </c>
      <c r="B4019" s="6" t="s">
        <v>317</v>
      </c>
      <c r="C4019" s="6" t="s">
        <v>434</v>
      </c>
      <c r="D4019" s="6" t="s">
        <v>435</v>
      </c>
      <c r="E4019" s="6">
        <v>2.2</v>
      </c>
    </row>
    <row r="4020">
      <c r="A4020" s="3">
        <v>92044.0</v>
      </c>
      <c r="B4020" s="4" t="s">
        <v>317</v>
      </c>
      <c r="C4020" s="4" t="s">
        <v>434</v>
      </c>
      <c r="D4020" s="4" t="s">
        <v>435</v>
      </c>
      <c r="E4020" s="4">
        <v>2.2</v>
      </c>
    </row>
    <row r="4021">
      <c r="A4021" s="5">
        <v>114725.0</v>
      </c>
      <c r="B4021" s="6" t="s">
        <v>317</v>
      </c>
      <c r="C4021" s="6" t="s">
        <v>434</v>
      </c>
      <c r="D4021" s="6" t="s">
        <v>435</v>
      </c>
      <c r="E4021" s="6">
        <v>6.2</v>
      </c>
    </row>
    <row r="4022">
      <c r="A4022" s="3">
        <v>50684.0</v>
      </c>
      <c r="B4022" s="4" t="s">
        <v>317</v>
      </c>
      <c r="C4022" s="4" t="s">
        <v>434</v>
      </c>
      <c r="D4022" s="4" t="s">
        <v>436</v>
      </c>
      <c r="E4022" s="4">
        <v>2.42</v>
      </c>
    </row>
    <row r="4023">
      <c r="A4023" s="5">
        <v>82167.0</v>
      </c>
      <c r="B4023" s="6" t="s">
        <v>317</v>
      </c>
      <c r="C4023" s="6" t="s">
        <v>434</v>
      </c>
      <c r="D4023" s="6" t="s">
        <v>436</v>
      </c>
      <c r="E4023" s="6">
        <v>3.12</v>
      </c>
    </row>
    <row r="4024">
      <c r="A4024" s="3">
        <v>68513.0</v>
      </c>
      <c r="B4024" s="4" t="s">
        <v>317</v>
      </c>
      <c r="C4024" s="4" t="s">
        <v>434</v>
      </c>
      <c r="D4024" s="4" t="s">
        <v>436</v>
      </c>
      <c r="E4024" s="4">
        <v>2.2</v>
      </c>
    </row>
    <row r="4025">
      <c r="A4025" s="5">
        <v>76566.0</v>
      </c>
      <c r="B4025" s="6" t="s">
        <v>317</v>
      </c>
      <c r="C4025" s="6" t="s">
        <v>434</v>
      </c>
      <c r="D4025" s="6" t="s">
        <v>436</v>
      </c>
      <c r="E4025" s="6">
        <v>6.01</v>
      </c>
    </row>
    <row r="4026">
      <c r="A4026" s="3">
        <v>119088.0</v>
      </c>
      <c r="B4026" s="4" t="s">
        <v>317</v>
      </c>
      <c r="C4026" s="4" t="s">
        <v>434</v>
      </c>
      <c r="D4026" s="4" t="s">
        <v>436</v>
      </c>
      <c r="E4026" s="4">
        <v>3.35</v>
      </c>
    </row>
    <row r="4027">
      <c r="A4027" s="5">
        <v>119431.0</v>
      </c>
      <c r="B4027" s="6" t="s">
        <v>317</v>
      </c>
      <c r="C4027" s="6" t="s">
        <v>434</v>
      </c>
      <c r="D4027" s="6" t="s">
        <v>436</v>
      </c>
      <c r="E4027" s="6">
        <v>2.31</v>
      </c>
    </row>
    <row r="4028">
      <c r="A4028" s="3">
        <v>101279.0</v>
      </c>
      <c r="B4028" s="4" t="s">
        <v>317</v>
      </c>
      <c r="C4028" s="4" t="s">
        <v>434</v>
      </c>
      <c r="D4028" s="4" t="s">
        <v>437</v>
      </c>
      <c r="E4028" s="4">
        <v>0.9</v>
      </c>
    </row>
    <row r="4029">
      <c r="A4029" s="5">
        <v>101270.0</v>
      </c>
      <c r="B4029" s="6" t="s">
        <v>317</v>
      </c>
      <c r="C4029" s="6" t="s">
        <v>434</v>
      </c>
      <c r="D4029" s="6" t="s">
        <v>437</v>
      </c>
      <c r="E4029" s="6">
        <v>0.9</v>
      </c>
    </row>
    <row r="4030">
      <c r="A4030" s="3">
        <v>101282.0</v>
      </c>
      <c r="B4030" s="4" t="s">
        <v>317</v>
      </c>
      <c r="C4030" s="4" t="s">
        <v>434</v>
      </c>
      <c r="D4030" s="4" t="s">
        <v>437</v>
      </c>
      <c r="E4030" s="4">
        <v>0.9</v>
      </c>
    </row>
    <row r="4031">
      <c r="A4031" s="5">
        <v>70291.0</v>
      </c>
      <c r="B4031" s="6" t="s">
        <v>5</v>
      </c>
      <c r="C4031" s="6" t="s">
        <v>438</v>
      </c>
      <c r="D4031" s="6" t="s">
        <v>439</v>
      </c>
      <c r="E4031" s="6">
        <v>16.14</v>
      </c>
    </row>
    <row r="4032">
      <c r="A4032" s="3">
        <v>70290.0</v>
      </c>
      <c r="B4032" s="4" t="s">
        <v>5</v>
      </c>
      <c r="C4032" s="4" t="s">
        <v>438</v>
      </c>
      <c r="D4032" s="4" t="s">
        <v>439</v>
      </c>
      <c r="E4032" s="4">
        <v>6.93</v>
      </c>
    </row>
    <row r="4033">
      <c r="A4033" s="5">
        <v>19188.0</v>
      </c>
      <c r="B4033" s="6" t="s">
        <v>5</v>
      </c>
      <c r="C4033" s="6" t="s">
        <v>438</v>
      </c>
      <c r="D4033" s="6" t="s">
        <v>440</v>
      </c>
      <c r="E4033" s="6">
        <v>14.95</v>
      </c>
    </row>
    <row r="4034">
      <c r="A4034" s="3">
        <v>41117.0</v>
      </c>
      <c r="B4034" s="4" t="s">
        <v>54</v>
      </c>
      <c r="C4034" s="4" t="s">
        <v>441</v>
      </c>
      <c r="D4034" s="4" t="s">
        <v>442</v>
      </c>
      <c r="E4034" s="4">
        <v>5.05</v>
      </c>
    </row>
    <row r="4035">
      <c r="A4035" s="5">
        <v>30625.0</v>
      </c>
      <c r="B4035" s="6" t="s">
        <v>54</v>
      </c>
      <c r="C4035" s="6" t="s">
        <v>441</v>
      </c>
      <c r="D4035" s="6" t="s">
        <v>442</v>
      </c>
      <c r="E4035" s="6">
        <v>4.66</v>
      </c>
    </row>
    <row r="4036">
      <c r="A4036" s="3">
        <v>11462.0</v>
      </c>
      <c r="B4036" s="4" t="s">
        <v>54</v>
      </c>
      <c r="C4036" s="4" t="s">
        <v>441</v>
      </c>
      <c r="D4036" s="4" t="s">
        <v>442</v>
      </c>
      <c r="E4036" s="4">
        <v>2.92</v>
      </c>
    </row>
    <row r="4037">
      <c r="A4037" s="5">
        <v>120733.0</v>
      </c>
      <c r="B4037" s="6" t="s">
        <v>54</v>
      </c>
      <c r="C4037" s="6" t="s">
        <v>441</v>
      </c>
      <c r="D4037" s="6" t="s">
        <v>442</v>
      </c>
      <c r="E4037" s="6">
        <v>3.95</v>
      </c>
    </row>
    <row r="4038">
      <c r="A4038" s="3">
        <v>83487.0</v>
      </c>
      <c r="B4038" s="4" t="s">
        <v>54</v>
      </c>
      <c r="C4038" s="4" t="s">
        <v>441</v>
      </c>
      <c r="D4038" s="4" t="s">
        <v>442</v>
      </c>
      <c r="E4038" s="4">
        <v>4.06</v>
      </c>
    </row>
    <row r="4039">
      <c r="A4039" s="5">
        <v>117610.0</v>
      </c>
      <c r="B4039" s="6" t="s">
        <v>54</v>
      </c>
      <c r="C4039" s="6" t="s">
        <v>441</v>
      </c>
      <c r="D4039" s="6" t="s">
        <v>442</v>
      </c>
      <c r="E4039" s="6">
        <v>4.92</v>
      </c>
    </row>
    <row r="4040">
      <c r="A4040" s="3">
        <v>112177.0</v>
      </c>
      <c r="B4040" s="4" t="s">
        <v>54</v>
      </c>
      <c r="C4040" s="4" t="s">
        <v>441</v>
      </c>
      <c r="D4040" s="4" t="s">
        <v>442</v>
      </c>
      <c r="E4040" s="4">
        <v>4.66</v>
      </c>
    </row>
    <row r="4041">
      <c r="A4041" s="5">
        <v>11412.0</v>
      </c>
      <c r="B4041" s="6" t="s">
        <v>54</v>
      </c>
      <c r="C4041" s="6" t="s">
        <v>441</v>
      </c>
      <c r="D4041" s="6" t="s">
        <v>442</v>
      </c>
      <c r="E4041" s="6">
        <v>4.44</v>
      </c>
    </row>
    <row r="4042">
      <c r="A4042" s="3">
        <v>76842.0</v>
      </c>
      <c r="B4042" s="4" t="s">
        <v>54</v>
      </c>
      <c r="C4042" s="4" t="s">
        <v>441</v>
      </c>
      <c r="D4042" s="4" t="s">
        <v>443</v>
      </c>
      <c r="E4042" s="4">
        <v>4.69</v>
      </c>
    </row>
    <row r="4043">
      <c r="A4043" s="5">
        <v>78366.0</v>
      </c>
      <c r="B4043" s="6" t="s">
        <v>54</v>
      </c>
      <c r="C4043" s="6" t="s">
        <v>441</v>
      </c>
      <c r="D4043" s="6" t="s">
        <v>443</v>
      </c>
      <c r="E4043" s="6">
        <v>1.96</v>
      </c>
    </row>
    <row r="4044">
      <c r="A4044" s="3">
        <v>98984.0</v>
      </c>
      <c r="B4044" s="4" t="s">
        <v>54</v>
      </c>
      <c r="C4044" s="4" t="s">
        <v>441</v>
      </c>
      <c r="D4044" s="4" t="s">
        <v>443</v>
      </c>
      <c r="E4044" s="4">
        <v>5.35</v>
      </c>
    </row>
    <row r="4045">
      <c r="A4045" s="5">
        <v>120310.0</v>
      </c>
      <c r="B4045" s="6" t="s">
        <v>54</v>
      </c>
      <c r="C4045" s="6" t="s">
        <v>441</v>
      </c>
      <c r="D4045" s="6" t="s">
        <v>443</v>
      </c>
      <c r="E4045" s="6">
        <v>2.88</v>
      </c>
    </row>
    <row r="4046">
      <c r="A4046" s="3">
        <v>116277.0</v>
      </c>
      <c r="B4046" s="4" t="s">
        <v>54</v>
      </c>
      <c r="C4046" s="4" t="s">
        <v>441</v>
      </c>
      <c r="D4046" s="4" t="s">
        <v>443</v>
      </c>
      <c r="E4046" s="4">
        <v>3.33</v>
      </c>
    </row>
    <row r="4047">
      <c r="A4047" s="5">
        <v>77670.0</v>
      </c>
      <c r="B4047" s="6" t="s">
        <v>54</v>
      </c>
      <c r="C4047" s="6" t="s">
        <v>441</v>
      </c>
      <c r="D4047" s="6" t="s">
        <v>443</v>
      </c>
      <c r="E4047" s="6">
        <v>3.06</v>
      </c>
    </row>
    <row r="4048">
      <c r="A4048" s="3">
        <v>78363.0</v>
      </c>
      <c r="B4048" s="4" t="s">
        <v>54</v>
      </c>
      <c r="C4048" s="4" t="s">
        <v>441</v>
      </c>
      <c r="D4048" s="4" t="s">
        <v>443</v>
      </c>
      <c r="E4048" s="4">
        <v>1.94</v>
      </c>
    </row>
    <row r="4049">
      <c r="A4049" s="5">
        <v>11458.0</v>
      </c>
      <c r="B4049" s="6" t="s">
        <v>54</v>
      </c>
      <c r="C4049" s="6" t="s">
        <v>441</v>
      </c>
      <c r="D4049" s="6" t="s">
        <v>443</v>
      </c>
      <c r="E4049" s="6">
        <v>7.06</v>
      </c>
    </row>
    <row r="4050">
      <c r="A4050" s="3">
        <v>11456.0</v>
      </c>
      <c r="B4050" s="4" t="s">
        <v>54</v>
      </c>
      <c r="C4050" s="4" t="s">
        <v>441</v>
      </c>
      <c r="D4050" s="4" t="s">
        <v>443</v>
      </c>
      <c r="E4050" s="4">
        <v>7.06</v>
      </c>
    </row>
    <row r="4051">
      <c r="A4051" s="5">
        <v>120726.0</v>
      </c>
      <c r="B4051" s="6" t="s">
        <v>54</v>
      </c>
      <c r="C4051" s="6" t="s">
        <v>441</v>
      </c>
      <c r="D4051" s="6" t="s">
        <v>443</v>
      </c>
      <c r="E4051" s="6">
        <v>4.7</v>
      </c>
    </row>
    <row r="4052">
      <c r="A4052" s="3">
        <v>11404.0</v>
      </c>
      <c r="B4052" s="4" t="s">
        <v>54</v>
      </c>
      <c r="C4052" s="4" t="s">
        <v>441</v>
      </c>
      <c r="D4052" s="4" t="s">
        <v>443</v>
      </c>
      <c r="E4052" s="4">
        <v>3.88</v>
      </c>
    </row>
    <row r="4053">
      <c r="A4053" s="5">
        <v>11408.0</v>
      </c>
      <c r="B4053" s="6" t="s">
        <v>54</v>
      </c>
      <c r="C4053" s="6" t="s">
        <v>441</v>
      </c>
      <c r="D4053" s="6" t="s">
        <v>443</v>
      </c>
      <c r="E4053" s="6">
        <v>5.83</v>
      </c>
    </row>
    <row r="4054">
      <c r="A4054" s="3">
        <v>120708.0</v>
      </c>
      <c r="B4054" s="4" t="s">
        <v>54</v>
      </c>
      <c r="C4054" s="4" t="s">
        <v>441</v>
      </c>
      <c r="D4054" s="4" t="s">
        <v>443</v>
      </c>
      <c r="E4054" s="4">
        <v>2.43</v>
      </c>
    </row>
    <row r="4055">
      <c r="A4055" s="5">
        <v>74419.0</v>
      </c>
      <c r="B4055" s="6" t="s">
        <v>54</v>
      </c>
      <c r="C4055" s="6" t="s">
        <v>441</v>
      </c>
      <c r="D4055" s="6" t="s">
        <v>443</v>
      </c>
      <c r="E4055" s="6">
        <v>8.09</v>
      </c>
    </row>
    <row r="4056">
      <c r="A4056" s="3">
        <v>113278.0</v>
      </c>
      <c r="B4056" s="4" t="s">
        <v>54</v>
      </c>
      <c r="C4056" s="4" t="s">
        <v>441</v>
      </c>
      <c r="D4056" s="4" t="s">
        <v>443</v>
      </c>
      <c r="E4056" s="4">
        <v>3.08</v>
      </c>
    </row>
    <row r="4057">
      <c r="A4057" s="5">
        <v>83486.0</v>
      </c>
      <c r="B4057" s="6" t="s">
        <v>54</v>
      </c>
      <c r="C4057" s="6" t="s">
        <v>441</v>
      </c>
      <c r="D4057" s="6" t="s">
        <v>443</v>
      </c>
      <c r="E4057" s="6">
        <v>4.06</v>
      </c>
    </row>
    <row r="4058">
      <c r="A4058" s="3">
        <v>11452.0</v>
      </c>
      <c r="B4058" s="4" t="s">
        <v>54</v>
      </c>
      <c r="C4058" s="4" t="s">
        <v>441</v>
      </c>
      <c r="D4058" s="4" t="s">
        <v>443</v>
      </c>
      <c r="E4058" s="4">
        <v>5.48</v>
      </c>
    </row>
    <row r="4059">
      <c r="A4059" s="5">
        <v>116803.0</v>
      </c>
      <c r="B4059" s="6" t="s">
        <v>54</v>
      </c>
      <c r="C4059" s="6" t="s">
        <v>441</v>
      </c>
      <c r="D4059" s="6" t="s">
        <v>443</v>
      </c>
      <c r="E4059" s="6">
        <v>2.43</v>
      </c>
    </row>
    <row r="4060">
      <c r="A4060" s="3">
        <v>77657.0</v>
      </c>
      <c r="B4060" s="4" t="s">
        <v>54</v>
      </c>
      <c r="C4060" s="4" t="s">
        <v>441</v>
      </c>
      <c r="D4060" s="4" t="s">
        <v>443</v>
      </c>
      <c r="E4060" s="4">
        <v>5.16</v>
      </c>
    </row>
    <row r="4061">
      <c r="A4061" s="5">
        <v>120309.0</v>
      </c>
      <c r="B4061" s="6" t="s">
        <v>54</v>
      </c>
      <c r="C4061" s="6" t="s">
        <v>441</v>
      </c>
      <c r="D4061" s="6" t="s">
        <v>443</v>
      </c>
      <c r="E4061" s="6">
        <v>6.08</v>
      </c>
    </row>
    <row r="4062">
      <c r="A4062" s="3">
        <v>116276.0</v>
      </c>
      <c r="B4062" s="4" t="s">
        <v>54</v>
      </c>
      <c r="C4062" s="4" t="s">
        <v>441</v>
      </c>
      <c r="D4062" s="4" t="s">
        <v>443</v>
      </c>
      <c r="E4062" s="4">
        <v>3.08</v>
      </c>
    </row>
    <row r="4063">
      <c r="A4063" s="5">
        <v>104623.0</v>
      </c>
      <c r="B4063" s="6" t="s">
        <v>54</v>
      </c>
      <c r="C4063" s="6" t="s">
        <v>441</v>
      </c>
      <c r="D4063" s="6" t="s">
        <v>443</v>
      </c>
      <c r="E4063" s="6">
        <v>2.68</v>
      </c>
    </row>
    <row r="4064">
      <c r="A4064" s="3">
        <v>78364.0</v>
      </c>
      <c r="B4064" s="4" t="s">
        <v>54</v>
      </c>
      <c r="C4064" s="4" t="s">
        <v>441</v>
      </c>
      <c r="D4064" s="4" t="s">
        <v>443</v>
      </c>
      <c r="E4064" s="4">
        <v>1.94</v>
      </c>
    </row>
    <row r="4065">
      <c r="A4065" s="5">
        <v>76837.0</v>
      </c>
      <c r="B4065" s="6" t="s">
        <v>54</v>
      </c>
      <c r="C4065" s="6" t="s">
        <v>441</v>
      </c>
      <c r="D4065" s="6" t="s">
        <v>443</v>
      </c>
      <c r="E4065" s="6">
        <v>2.17</v>
      </c>
    </row>
    <row r="4066">
      <c r="A4066" s="3">
        <v>82873.0</v>
      </c>
      <c r="B4066" s="4" t="s">
        <v>54</v>
      </c>
      <c r="C4066" s="4" t="s">
        <v>441</v>
      </c>
      <c r="D4066" s="4" t="s">
        <v>444</v>
      </c>
      <c r="E4066" s="4">
        <v>5.32</v>
      </c>
    </row>
    <row r="4067">
      <c r="A4067" s="5">
        <v>110341.0</v>
      </c>
      <c r="B4067" s="6" t="s">
        <v>54</v>
      </c>
      <c r="C4067" s="6" t="s">
        <v>441</v>
      </c>
      <c r="D4067" s="6" t="s">
        <v>444</v>
      </c>
      <c r="E4067" s="6">
        <v>6.4</v>
      </c>
    </row>
    <row r="4068">
      <c r="A4068" s="3">
        <v>76874.0</v>
      </c>
      <c r="B4068" s="4" t="s">
        <v>54</v>
      </c>
      <c r="C4068" s="4" t="s">
        <v>441</v>
      </c>
      <c r="D4068" s="4" t="s">
        <v>444</v>
      </c>
      <c r="E4068" s="4">
        <v>3.67</v>
      </c>
    </row>
    <row r="4069">
      <c r="A4069" s="5">
        <v>110340.0</v>
      </c>
      <c r="B4069" s="6" t="s">
        <v>54</v>
      </c>
      <c r="C4069" s="6" t="s">
        <v>441</v>
      </c>
      <c r="D4069" s="6" t="s">
        <v>444</v>
      </c>
      <c r="E4069" s="6">
        <v>6.4</v>
      </c>
    </row>
    <row r="4070">
      <c r="A4070" s="3">
        <v>44409.0</v>
      </c>
      <c r="B4070" s="4" t="s">
        <v>54</v>
      </c>
      <c r="C4070" s="4" t="s">
        <v>441</v>
      </c>
      <c r="D4070" s="4" t="s">
        <v>444</v>
      </c>
      <c r="E4070" s="4">
        <v>5.42</v>
      </c>
    </row>
    <row r="4071">
      <c r="A4071" s="5">
        <v>73831.0</v>
      </c>
      <c r="B4071" s="6" t="s">
        <v>54</v>
      </c>
      <c r="C4071" s="6" t="s">
        <v>441</v>
      </c>
      <c r="D4071" s="6" t="s">
        <v>444</v>
      </c>
      <c r="E4071" s="6">
        <v>6.4</v>
      </c>
    </row>
    <row r="4072">
      <c r="A4072" s="3">
        <v>79035.0</v>
      </c>
      <c r="B4072" s="4" t="s">
        <v>54</v>
      </c>
      <c r="C4072" s="4" t="s">
        <v>441</v>
      </c>
      <c r="D4072" s="4" t="s">
        <v>445</v>
      </c>
      <c r="E4072" s="4">
        <v>11.88</v>
      </c>
    </row>
    <row r="4073">
      <c r="A4073" s="5">
        <v>94951.0</v>
      </c>
      <c r="B4073" s="6" t="s">
        <v>54</v>
      </c>
      <c r="C4073" s="6" t="s">
        <v>441</v>
      </c>
      <c r="D4073" s="6" t="s">
        <v>445</v>
      </c>
      <c r="E4073" s="6">
        <v>3.51</v>
      </c>
    </row>
    <row r="4074">
      <c r="A4074" s="3">
        <v>22248.0</v>
      </c>
      <c r="B4074" s="4" t="s">
        <v>34</v>
      </c>
      <c r="C4074" s="4" t="s">
        <v>446</v>
      </c>
      <c r="D4074" s="4"/>
      <c r="E4074" s="4">
        <v>8.47</v>
      </c>
    </row>
    <row r="4075">
      <c r="A4075" s="5">
        <v>16088.0</v>
      </c>
      <c r="B4075" s="6" t="s">
        <v>34</v>
      </c>
      <c r="C4075" s="6" t="s">
        <v>446</v>
      </c>
      <c r="D4075" s="6"/>
      <c r="E4075" s="6">
        <v>9.72</v>
      </c>
    </row>
    <row r="4076">
      <c r="A4076" s="3">
        <v>10571.0</v>
      </c>
      <c r="B4076" s="4" t="s">
        <v>140</v>
      </c>
      <c r="C4076" s="4" t="s">
        <v>447</v>
      </c>
      <c r="D4076" s="4" t="s">
        <v>448</v>
      </c>
      <c r="E4076" s="4">
        <v>6.65</v>
      </c>
    </row>
    <row r="4077">
      <c r="A4077" s="5">
        <v>182012.0</v>
      </c>
      <c r="B4077" s="6" t="s">
        <v>140</v>
      </c>
      <c r="C4077" s="6" t="s">
        <v>447</v>
      </c>
      <c r="D4077" s="6" t="s">
        <v>448</v>
      </c>
      <c r="E4077" s="6">
        <v>5.44</v>
      </c>
    </row>
    <row r="4078">
      <c r="A4078" s="3">
        <v>182013.0</v>
      </c>
      <c r="B4078" s="4" t="s">
        <v>140</v>
      </c>
      <c r="C4078" s="4" t="s">
        <v>447</v>
      </c>
      <c r="D4078" s="4" t="s">
        <v>448</v>
      </c>
      <c r="E4078" s="4">
        <v>10.05</v>
      </c>
    </row>
    <row r="4079">
      <c r="A4079" s="5">
        <v>107400.0</v>
      </c>
      <c r="B4079" s="6" t="s">
        <v>140</v>
      </c>
      <c r="C4079" s="6" t="s">
        <v>447</v>
      </c>
      <c r="D4079" s="6" t="s">
        <v>448</v>
      </c>
      <c r="E4079" s="6">
        <v>4.65</v>
      </c>
    </row>
    <row r="4080">
      <c r="A4080" s="3">
        <v>48623.0</v>
      </c>
      <c r="B4080" s="4" t="s">
        <v>140</v>
      </c>
      <c r="C4080" s="4" t="s">
        <v>447</v>
      </c>
      <c r="D4080" s="4" t="s">
        <v>448</v>
      </c>
      <c r="E4080" s="4">
        <v>13.41</v>
      </c>
    </row>
    <row r="4081">
      <c r="A4081" s="5">
        <v>48616.0</v>
      </c>
      <c r="B4081" s="6" t="s">
        <v>140</v>
      </c>
      <c r="C4081" s="6" t="s">
        <v>447</v>
      </c>
      <c r="D4081" s="6" t="s">
        <v>448</v>
      </c>
      <c r="E4081" s="6">
        <v>6.83</v>
      </c>
    </row>
    <row r="4082">
      <c r="A4082" s="3">
        <v>47515.0</v>
      </c>
      <c r="B4082" s="4" t="s">
        <v>140</v>
      </c>
      <c r="C4082" s="4" t="s">
        <v>447</v>
      </c>
      <c r="D4082" s="4" t="s">
        <v>448</v>
      </c>
      <c r="E4082" s="4">
        <v>10.62</v>
      </c>
    </row>
    <row r="4083">
      <c r="A4083" s="5">
        <v>81915.0</v>
      </c>
      <c r="B4083" s="6" t="s">
        <v>140</v>
      </c>
      <c r="C4083" s="6" t="s">
        <v>447</v>
      </c>
      <c r="D4083" s="6" t="s">
        <v>448</v>
      </c>
      <c r="E4083" s="6">
        <v>3.78</v>
      </c>
    </row>
    <row r="4084">
      <c r="A4084" s="3">
        <v>108920.0</v>
      </c>
      <c r="B4084" s="4" t="s">
        <v>140</v>
      </c>
      <c r="C4084" s="4" t="s">
        <v>447</v>
      </c>
      <c r="D4084" s="4" t="s">
        <v>448</v>
      </c>
      <c r="E4084" s="4">
        <v>9.48</v>
      </c>
    </row>
    <row r="4085">
      <c r="A4085" s="5">
        <v>107406.0</v>
      </c>
      <c r="B4085" s="6" t="s">
        <v>140</v>
      </c>
      <c r="C4085" s="6" t="s">
        <v>447</v>
      </c>
      <c r="D4085" s="6" t="s">
        <v>448</v>
      </c>
      <c r="E4085" s="6">
        <v>5.49</v>
      </c>
    </row>
    <row r="4086">
      <c r="A4086" s="3">
        <v>24074.0</v>
      </c>
      <c r="B4086" s="4" t="s">
        <v>140</v>
      </c>
      <c r="C4086" s="4" t="s">
        <v>447</v>
      </c>
      <c r="D4086" s="4" t="s">
        <v>448</v>
      </c>
      <c r="E4086" s="4">
        <v>11.9</v>
      </c>
    </row>
    <row r="4087">
      <c r="A4087" s="5">
        <v>107388.0</v>
      </c>
      <c r="B4087" s="6" t="s">
        <v>140</v>
      </c>
      <c r="C4087" s="6" t="s">
        <v>447</v>
      </c>
      <c r="D4087" s="6" t="s">
        <v>448</v>
      </c>
      <c r="E4087" s="6">
        <v>5.07</v>
      </c>
    </row>
    <row r="4088">
      <c r="A4088" s="3">
        <v>24075.0</v>
      </c>
      <c r="B4088" s="4" t="s">
        <v>140</v>
      </c>
      <c r="C4088" s="4" t="s">
        <v>447</v>
      </c>
      <c r="D4088" s="4" t="s">
        <v>448</v>
      </c>
      <c r="E4088" s="4">
        <v>13.06</v>
      </c>
    </row>
    <row r="4089">
      <c r="A4089" s="5">
        <v>27639.0</v>
      </c>
      <c r="B4089" s="6" t="s">
        <v>140</v>
      </c>
      <c r="C4089" s="6" t="s">
        <v>447</v>
      </c>
      <c r="D4089" s="6" t="s">
        <v>448</v>
      </c>
      <c r="E4089" s="6">
        <v>16.08</v>
      </c>
    </row>
    <row r="4090">
      <c r="A4090" s="3">
        <v>103632.0</v>
      </c>
      <c r="B4090" s="4" t="s">
        <v>140</v>
      </c>
      <c r="C4090" s="4" t="s">
        <v>447</v>
      </c>
      <c r="D4090" s="4" t="s">
        <v>448</v>
      </c>
      <c r="E4090" s="4">
        <v>5.47</v>
      </c>
    </row>
    <row r="4091">
      <c r="A4091" s="5">
        <v>10569.0</v>
      </c>
      <c r="B4091" s="6" t="s">
        <v>140</v>
      </c>
      <c r="C4091" s="6" t="s">
        <v>447</v>
      </c>
      <c r="D4091" s="6" t="s">
        <v>448</v>
      </c>
      <c r="E4091" s="6">
        <v>6.07</v>
      </c>
    </row>
    <row r="4092">
      <c r="A4092" s="3">
        <v>182007.0</v>
      </c>
      <c r="B4092" s="4" t="s">
        <v>140</v>
      </c>
      <c r="C4092" s="4" t="s">
        <v>447</v>
      </c>
      <c r="D4092" s="4" t="s">
        <v>448</v>
      </c>
      <c r="E4092" s="4">
        <v>5.89</v>
      </c>
    </row>
    <row r="4093">
      <c r="A4093" s="5">
        <v>182009.0</v>
      </c>
      <c r="B4093" s="6" t="s">
        <v>140</v>
      </c>
      <c r="C4093" s="6" t="s">
        <v>447</v>
      </c>
      <c r="D4093" s="6" t="s">
        <v>448</v>
      </c>
      <c r="E4093" s="6">
        <v>10.69</v>
      </c>
    </row>
    <row r="4094">
      <c r="A4094" s="3">
        <v>103630.0</v>
      </c>
      <c r="B4094" s="4" t="s">
        <v>140</v>
      </c>
      <c r="C4094" s="4" t="s">
        <v>447</v>
      </c>
      <c r="D4094" s="4" t="s">
        <v>448</v>
      </c>
      <c r="E4094" s="4">
        <v>5.54</v>
      </c>
    </row>
    <row r="4095">
      <c r="A4095" s="5">
        <v>47514.0</v>
      </c>
      <c r="B4095" s="6" t="s">
        <v>140</v>
      </c>
      <c r="C4095" s="6" t="s">
        <v>447</v>
      </c>
      <c r="D4095" s="6" t="s">
        <v>448</v>
      </c>
      <c r="E4095" s="6">
        <v>5.24</v>
      </c>
    </row>
    <row r="4096">
      <c r="A4096" s="3">
        <v>86370.0</v>
      </c>
      <c r="B4096" s="4" t="s">
        <v>140</v>
      </c>
      <c r="C4096" s="4" t="s">
        <v>447</v>
      </c>
      <c r="D4096" s="4" t="s">
        <v>449</v>
      </c>
      <c r="E4096" s="4">
        <v>2.85</v>
      </c>
    </row>
    <row r="4097">
      <c r="A4097" s="5">
        <v>86368.0</v>
      </c>
      <c r="B4097" s="6" t="s">
        <v>140</v>
      </c>
      <c r="C4097" s="6" t="s">
        <v>447</v>
      </c>
      <c r="D4097" s="6" t="s">
        <v>449</v>
      </c>
      <c r="E4097" s="6">
        <v>3.1</v>
      </c>
    </row>
    <row r="4098">
      <c r="A4098" s="3">
        <v>103174.0</v>
      </c>
      <c r="B4098" s="4" t="s">
        <v>140</v>
      </c>
      <c r="C4098" s="4" t="s">
        <v>447</v>
      </c>
      <c r="D4098" s="4" t="s">
        <v>449</v>
      </c>
      <c r="E4098" s="4">
        <v>3.38</v>
      </c>
    </row>
    <row r="4099">
      <c r="A4099" s="5">
        <v>48632.0</v>
      </c>
      <c r="B4099" s="6" t="s">
        <v>140</v>
      </c>
      <c r="C4099" s="6" t="s">
        <v>447</v>
      </c>
      <c r="D4099" s="6" t="s">
        <v>450</v>
      </c>
      <c r="E4099" s="6">
        <v>2.99</v>
      </c>
    </row>
    <row r="4100">
      <c r="A4100" s="3">
        <v>48630.0</v>
      </c>
      <c r="B4100" s="4" t="s">
        <v>140</v>
      </c>
      <c r="C4100" s="4" t="s">
        <v>447</v>
      </c>
      <c r="D4100" s="4" t="s">
        <v>450</v>
      </c>
      <c r="E4100" s="4">
        <v>5.91</v>
      </c>
    </row>
    <row r="4101">
      <c r="A4101" s="5">
        <v>48624.0</v>
      </c>
      <c r="B4101" s="6" t="s">
        <v>140</v>
      </c>
      <c r="C4101" s="6" t="s">
        <v>447</v>
      </c>
      <c r="D4101" s="6" t="s">
        <v>450</v>
      </c>
      <c r="E4101" s="6">
        <v>5.56</v>
      </c>
    </row>
    <row r="4102">
      <c r="A4102" s="3">
        <v>10573.0</v>
      </c>
      <c r="B4102" s="4" t="s">
        <v>140</v>
      </c>
      <c r="C4102" s="4" t="s">
        <v>447</v>
      </c>
      <c r="D4102" s="4" t="s">
        <v>450</v>
      </c>
      <c r="E4102" s="4">
        <v>2.96</v>
      </c>
    </row>
    <row r="4103">
      <c r="A4103" s="5">
        <v>18115.0</v>
      </c>
      <c r="B4103" s="6" t="s">
        <v>140</v>
      </c>
      <c r="C4103" s="6" t="s">
        <v>447</v>
      </c>
      <c r="D4103" s="6" t="s">
        <v>450</v>
      </c>
      <c r="E4103" s="6">
        <v>3.5</v>
      </c>
    </row>
    <row r="4104">
      <c r="A4104" s="3">
        <v>83057.0</v>
      </c>
      <c r="B4104" s="4" t="s">
        <v>140</v>
      </c>
      <c r="C4104" s="4" t="s">
        <v>447</v>
      </c>
      <c r="D4104" s="4" t="s">
        <v>450</v>
      </c>
      <c r="E4104" s="4">
        <v>1.92</v>
      </c>
    </row>
    <row r="4105">
      <c r="A4105" s="5">
        <v>26727.0</v>
      </c>
      <c r="B4105" s="6" t="s">
        <v>140</v>
      </c>
      <c r="C4105" s="6" t="s">
        <v>447</v>
      </c>
      <c r="D4105" s="6" t="s">
        <v>450</v>
      </c>
      <c r="E4105" s="6">
        <v>3.08</v>
      </c>
    </row>
    <row r="4106">
      <c r="A4106" s="3">
        <v>85779.0</v>
      </c>
      <c r="B4106" s="4" t="s">
        <v>140</v>
      </c>
      <c r="C4106" s="4" t="s">
        <v>447</v>
      </c>
      <c r="D4106" s="4" t="s">
        <v>450</v>
      </c>
      <c r="E4106" s="4">
        <v>5.3</v>
      </c>
    </row>
    <row r="4107">
      <c r="A4107" s="5">
        <v>84396.0</v>
      </c>
      <c r="B4107" s="6" t="s">
        <v>140</v>
      </c>
      <c r="C4107" s="6" t="s">
        <v>447</v>
      </c>
      <c r="D4107" s="6" t="s">
        <v>450</v>
      </c>
      <c r="E4107" s="6">
        <v>2.35</v>
      </c>
    </row>
    <row r="4108">
      <c r="A4108" s="3">
        <v>42676.0</v>
      </c>
      <c r="B4108" s="4" t="s">
        <v>140</v>
      </c>
      <c r="C4108" s="4" t="s">
        <v>447</v>
      </c>
      <c r="D4108" s="4" t="s">
        <v>451</v>
      </c>
      <c r="E4108" s="4">
        <v>4.68</v>
      </c>
    </row>
    <row r="4109">
      <c r="A4109" s="5">
        <v>108380.0</v>
      </c>
      <c r="B4109" s="6" t="s">
        <v>140</v>
      </c>
      <c r="C4109" s="6" t="s">
        <v>447</v>
      </c>
      <c r="D4109" s="6" t="s">
        <v>451</v>
      </c>
      <c r="E4109" s="6">
        <v>8.76</v>
      </c>
    </row>
    <row r="4110">
      <c r="A4110" s="3">
        <v>10565.0</v>
      </c>
      <c r="B4110" s="4" t="s">
        <v>140</v>
      </c>
      <c r="C4110" s="4" t="s">
        <v>447</v>
      </c>
      <c r="D4110" s="4" t="s">
        <v>451</v>
      </c>
      <c r="E4110" s="4">
        <v>7.0</v>
      </c>
    </row>
    <row r="4111">
      <c r="A4111" s="5">
        <v>107631.0</v>
      </c>
      <c r="B4111" s="6" t="s">
        <v>140</v>
      </c>
      <c r="C4111" s="6" t="s">
        <v>447</v>
      </c>
      <c r="D4111" s="6" t="s">
        <v>451</v>
      </c>
      <c r="E4111" s="6">
        <v>4.86</v>
      </c>
    </row>
    <row r="4112">
      <c r="A4112" s="3">
        <v>24061.0</v>
      </c>
      <c r="B4112" s="4" t="s">
        <v>140</v>
      </c>
      <c r="C4112" s="4" t="s">
        <v>447</v>
      </c>
      <c r="D4112" s="4" t="s">
        <v>451</v>
      </c>
      <c r="E4112" s="4">
        <v>13.74</v>
      </c>
    </row>
    <row r="4113">
      <c r="A4113" s="5">
        <v>182051.0</v>
      </c>
      <c r="B4113" s="6" t="s">
        <v>140</v>
      </c>
      <c r="C4113" s="6" t="s">
        <v>447</v>
      </c>
      <c r="D4113" s="6" t="s">
        <v>451</v>
      </c>
      <c r="E4113" s="6">
        <v>9.5</v>
      </c>
    </row>
    <row r="4114">
      <c r="A4114" s="3">
        <v>86360.0</v>
      </c>
      <c r="B4114" s="4" t="s">
        <v>140</v>
      </c>
      <c r="C4114" s="4" t="s">
        <v>447</v>
      </c>
      <c r="D4114" s="4" t="s">
        <v>452</v>
      </c>
      <c r="E4114" s="4">
        <v>4.97</v>
      </c>
    </row>
    <row r="4115">
      <c r="A4115" s="5">
        <v>10566.0</v>
      </c>
      <c r="B4115" s="6" t="s">
        <v>140</v>
      </c>
      <c r="C4115" s="6" t="s">
        <v>447</v>
      </c>
      <c r="D4115" s="6" t="s">
        <v>452</v>
      </c>
      <c r="E4115" s="6">
        <v>5.66</v>
      </c>
    </row>
    <row r="4116">
      <c r="A4116" s="3">
        <v>182014.0</v>
      </c>
      <c r="B4116" s="4" t="s">
        <v>140</v>
      </c>
      <c r="C4116" s="4" t="s">
        <v>447</v>
      </c>
      <c r="D4116" s="4" t="s">
        <v>453</v>
      </c>
      <c r="E4116" s="4">
        <v>3.81</v>
      </c>
    </row>
    <row r="4117">
      <c r="A4117" s="5">
        <v>182010.0</v>
      </c>
      <c r="B4117" s="6" t="s">
        <v>140</v>
      </c>
      <c r="C4117" s="6" t="s">
        <v>447</v>
      </c>
      <c r="D4117" s="6" t="s">
        <v>453</v>
      </c>
      <c r="E4117" s="6">
        <v>2.05</v>
      </c>
    </row>
    <row r="4118">
      <c r="A4118" s="3">
        <v>24076.0</v>
      </c>
      <c r="B4118" s="4" t="s">
        <v>140</v>
      </c>
      <c r="C4118" s="4" t="s">
        <v>447</v>
      </c>
      <c r="D4118" s="4" t="s">
        <v>453</v>
      </c>
      <c r="E4118" s="4">
        <v>5.17</v>
      </c>
    </row>
    <row r="4119">
      <c r="A4119" s="5">
        <v>10572.0</v>
      </c>
      <c r="B4119" s="6" t="s">
        <v>140</v>
      </c>
      <c r="C4119" s="6" t="s">
        <v>447</v>
      </c>
      <c r="D4119" s="6" t="s">
        <v>453</v>
      </c>
      <c r="E4119" s="6">
        <v>2.71</v>
      </c>
    </row>
    <row r="4120">
      <c r="A4120" s="3">
        <v>47527.0</v>
      </c>
      <c r="B4120" s="4" t="s">
        <v>140</v>
      </c>
      <c r="C4120" s="4" t="s">
        <v>447</v>
      </c>
      <c r="D4120" s="4" t="s">
        <v>454</v>
      </c>
      <c r="E4120" s="4">
        <v>8.44</v>
      </c>
    </row>
    <row r="4121">
      <c r="A4121" s="5">
        <v>10577.0</v>
      </c>
      <c r="B4121" s="6" t="s">
        <v>140</v>
      </c>
      <c r="C4121" s="6" t="s">
        <v>447</v>
      </c>
      <c r="D4121" s="6" t="s">
        <v>454</v>
      </c>
      <c r="E4121" s="6">
        <v>6.28</v>
      </c>
    </row>
    <row r="4122">
      <c r="A4122" s="3">
        <v>81914.0</v>
      </c>
      <c r="B4122" s="4" t="s">
        <v>140</v>
      </c>
      <c r="C4122" s="4" t="s">
        <v>447</v>
      </c>
      <c r="D4122" s="4" t="s">
        <v>454</v>
      </c>
      <c r="E4122" s="4">
        <v>3.32</v>
      </c>
    </row>
    <row r="4123">
      <c r="A4123" s="5">
        <v>120186.0</v>
      </c>
      <c r="B4123" s="6" t="s">
        <v>140</v>
      </c>
      <c r="C4123" s="6" t="s">
        <v>447</v>
      </c>
      <c r="D4123" s="6" t="s">
        <v>454</v>
      </c>
      <c r="E4123" s="6">
        <v>8.41</v>
      </c>
    </row>
    <row r="4124">
      <c r="A4124" s="3">
        <v>182015.0</v>
      </c>
      <c r="B4124" s="4" t="s">
        <v>140</v>
      </c>
      <c r="C4124" s="4" t="s">
        <v>447</v>
      </c>
      <c r="D4124" s="4" t="s">
        <v>454</v>
      </c>
      <c r="E4124" s="4">
        <v>4.55</v>
      </c>
    </row>
    <row r="4125">
      <c r="A4125" s="5">
        <v>117919.0</v>
      </c>
      <c r="B4125" s="6" t="s">
        <v>140</v>
      </c>
      <c r="C4125" s="6" t="s">
        <v>447</v>
      </c>
      <c r="D4125" s="6" t="s">
        <v>454</v>
      </c>
      <c r="E4125" s="6">
        <v>4.39</v>
      </c>
    </row>
    <row r="4126">
      <c r="A4126" s="3">
        <v>71228.0</v>
      </c>
      <c r="B4126" s="4" t="s">
        <v>140</v>
      </c>
      <c r="C4126" s="4" t="s">
        <v>455</v>
      </c>
      <c r="D4126" s="4" t="s">
        <v>456</v>
      </c>
      <c r="E4126" s="4">
        <v>1.17</v>
      </c>
    </row>
    <row r="4127">
      <c r="A4127" s="5">
        <v>67264.0</v>
      </c>
      <c r="B4127" s="6" t="s">
        <v>140</v>
      </c>
      <c r="C4127" s="6" t="s">
        <v>455</v>
      </c>
      <c r="D4127" s="6" t="s">
        <v>456</v>
      </c>
      <c r="E4127" s="6">
        <v>0.83</v>
      </c>
    </row>
    <row r="4128">
      <c r="A4128" s="3">
        <v>82984.0</v>
      </c>
      <c r="B4128" s="4" t="s">
        <v>140</v>
      </c>
      <c r="C4128" s="4" t="s">
        <v>455</v>
      </c>
      <c r="D4128" s="4" t="s">
        <v>456</v>
      </c>
      <c r="E4128" s="4">
        <v>1.18</v>
      </c>
    </row>
    <row r="4129">
      <c r="A4129" s="5">
        <v>86420.0</v>
      </c>
      <c r="B4129" s="6" t="s">
        <v>140</v>
      </c>
      <c r="C4129" s="6" t="s">
        <v>455</v>
      </c>
      <c r="D4129" s="6" t="s">
        <v>456</v>
      </c>
      <c r="E4129" s="6">
        <v>1.41</v>
      </c>
    </row>
    <row r="4130">
      <c r="A4130" s="3">
        <v>71227.0</v>
      </c>
      <c r="B4130" s="4" t="s">
        <v>140</v>
      </c>
      <c r="C4130" s="4" t="s">
        <v>455</v>
      </c>
      <c r="D4130" s="4" t="s">
        <v>456</v>
      </c>
      <c r="E4130" s="4">
        <v>1.17</v>
      </c>
    </row>
    <row r="4131">
      <c r="A4131" s="5">
        <v>18055.0</v>
      </c>
      <c r="B4131" s="6" t="s">
        <v>140</v>
      </c>
      <c r="C4131" s="6" t="s">
        <v>455</v>
      </c>
      <c r="D4131" s="6" t="s">
        <v>456</v>
      </c>
      <c r="E4131" s="6">
        <v>0.6</v>
      </c>
    </row>
    <row r="4132">
      <c r="A4132" s="3">
        <v>82989.0</v>
      </c>
      <c r="B4132" s="4" t="s">
        <v>140</v>
      </c>
      <c r="C4132" s="4" t="s">
        <v>455</v>
      </c>
      <c r="D4132" s="4" t="s">
        <v>456</v>
      </c>
      <c r="E4132" s="4">
        <v>0.6</v>
      </c>
    </row>
    <row r="4133">
      <c r="A4133" s="5">
        <v>86438.0</v>
      </c>
      <c r="B4133" s="6" t="s">
        <v>140</v>
      </c>
      <c r="C4133" s="6" t="s">
        <v>455</v>
      </c>
      <c r="D4133" s="6" t="s">
        <v>456</v>
      </c>
      <c r="E4133" s="6">
        <v>1.41</v>
      </c>
    </row>
    <row r="4134">
      <c r="A4134" s="3">
        <v>18061.0</v>
      </c>
      <c r="B4134" s="4" t="s">
        <v>140</v>
      </c>
      <c r="C4134" s="4" t="s">
        <v>455</v>
      </c>
      <c r="D4134" s="4" t="s">
        <v>456</v>
      </c>
      <c r="E4134" s="4">
        <v>0.99</v>
      </c>
    </row>
    <row r="4135">
      <c r="A4135" s="5">
        <v>67265.0</v>
      </c>
      <c r="B4135" s="6" t="s">
        <v>140</v>
      </c>
      <c r="C4135" s="6" t="s">
        <v>455</v>
      </c>
      <c r="D4135" s="6" t="s">
        <v>456</v>
      </c>
      <c r="E4135" s="6">
        <v>0.86</v>
      </c>
    </row>
    <row r="4136">
      <c r="A4136" s="3">
        <v>69552.0</v>
      </c>
      <c r="B4136" s="4" t="s">
        <v>140</v>
      </c>
      <c r="C4136" s="4" t="s">
        <v>455</v>
      </c>
      <c r="D4136" s="4" t="s">
        <v>456</v>
      </c>
      <c r="E4136" s="4">
        <v>1.67</v>
      </c>
    </row>
    <row r="4137">
      <c r="A4137" s="5">
        <v>110955.0</v>
      </c>
      <c r="B4137" s="6" t="s">
        <v>140</v>
      </c>
      <c r="C4137" s="6" t="s">
        <v>455</v>
      </c>
      <c r="D4137" s="6" t="s">
        <v>457</v>
      </c>
      <c r="E4137" s="6">
        <v>1.16</v>
      </c>
    </row>
    <row r="4138">
      <c r="A4138" s="3">
        <v>79505.0</v>
      </c>
      <c r="B4138" s="4" t="s">
        <v>140</v>
      </c>
      <c r="C4138" s="4" t="s">
        <v>455</v>
      </c>
      <c r="D4138" s="4" t="s">
        <v>457</v>
      </c>
      <c r="E4138" s="4">
        <v>2.13</v>
      </c>
    </row>
    <row r="4139">
      <c r="A4139" s="5">
        <v>110943.0</v>
      </c>
      <c r="B4139" s="6" t="s">
        <v>140</v>
      </c>
      <c r="C4139" s="6" t="s">
        <v>455</v>
      </c>
      <c r="D4139" s="6" t="s">
        <v>457</v>
      </c>
      <c r="E4139" s="6">
        <v>2.87</v>
      </c>
    </row>
    <row r="4140">
      <c r="A4140" s="3">
        <v>119048.0</v>
      </c>
      <c r="B4140" s="4" t="s">
        <v>140</v>
      </c>
      <c r="C4140" s="4" t="s">
        <v>455</v>
      </c>
      <c r="D4140" s="4" t="s">
        <v>457</v>
      </c>
      <c r="E4140" s="4">
        <v>2.03</v>
      </c>
    </row>
    <row r="4141">
      <c r="A4141" s="5">
        <v>42695.0</v>
      </c>
      <c r="B4141" s="6" t="s">
        <v>140</v>
      </c>
      <c r="C4141" s="6" t="s">
        <v>455</v>
      </c>
      <c r="D4141" s="6" t="s">
        <v>457</v>
      </c>
      <c r="E4141" s="6">
        <v>1.81</v>
      </c>
    </row>
    <row r="4142">
      <c r="A4142" s="3">
        <v>88980.0</v>
      </c>
      <c r="B4142" s="4" t="s">
        <v>140</v>
      </c>
      <c r="C4142" s="4" t="s">
        <v>455</v>
      </c>
      <c r="D4142" s="4" t="s">
        <v>457</v>
      </c>
      <c r="E4142" s="4">
        <v>1.09</v>
      </c>
    </row>
    <row r="4143">
      <c r="A4143" s="5">
        <v>149507.0</v>
      </c>
      <c r="B4143" s="6" t="s">
        <v>140</v>
      </c>
      <c r="C4143" s="6" t="s">
        <v>455</v>
      </c>
      <c r="D4143" s="6" t="s">
        <v>457</v>
      </c>
      <c r="E4143" s="6">
        <v>1.88</v>
      </c>
    </row>
    <row r="4144">
      <c r="A4144" s="3">
        <v>86988.0</v>
      </c>
      <c r="B4144" s="4" t="s">
        <v>140</v>
      </c>
      <c r="C4144" s="4" t="s">
        <v>455</v>
      </c>
      <c r="D4144" s="4" t="s">
        <v>457</v>
      </c>
      <c r="E4144" s="4">
        <v>1.51</v>
      </c>
    </row>
    <row r="4145">
      <c r="A4145" s="5">
        <v>73836.0</v>
      </c>
      <c r="B4145" s="6" t="s">
        <v>140</v>
      </c>
      <c r="C4145" s="6" t="s">
        <v>455</v>
      </c>
      <c r="D4145" s="6" t="s">
        <v>457</v>
      </c>
      <c r="E4145" s="6">
        <v>1.8</v>
      </c>
    </row>
    <row r="4146">
      <c r="A4146" s="3">
        <v>69322.0</v>
      </c>
      <c r="B4146" s="4" t="s">
        <v>140</v>
      </c>
      <c r="C4146" s="4" t="s">
        <v>455</v>
      </c>
      <c r="D4146" s="4" t="s">
        <v>457</v>
      </c>
      <c r="E4146" s="4">
        <v>2.46</v>
      </c>
    </row>
    <row r="4147">
      <c r="A4147" s="5">
        <v>8696.0</v>
      </c>
      <c r="B4147" s="6" t="s">
        <v>140</v>
      </c>
      <c r="C4147" s="6" t="s">
        <v>455</v>
      </c>
      <c r="D4147" s="6" t="s">
        <v>457</v>
      </c>
      <c r="E4147" s="6">
        <v>2.93</v>
      </c>
    </row>
    <row r="4148">
      <c r="A4148" s="3">
        <v>119062.0</v>
      </c>
      <c r="B4148" s="4" t="s">
        <v>140</v>
      </c>
      <c r="C4148" s="4" t="s">
        <v>455</v>
      </c>
      <c r="D4148" s="4" t="s">
        <v>457</v>
      </c>
      <c r="E4148" s="4">
        <v>1.43</v>
      </c>
    </row>
    <row r="4149">
      <c r="A4149" s="5">
        <v>188931.0</v>
      </c>
      <c r="B4149" s="6" t="s">
        <v>140</v>
      </c>
      <c r="C4149" s="6" t="s">
        <v>455</v>
      </c>
      <c r="D4149" s="6" t="s">
        <v>457</v>
      </c>
      <c r="E4149" s="6">
        <v>1.66</v>
      </c>
    </row>
    <row r="4150">
      <c r="A4150" s="3">
        <v>100238.0</v>
      </c>
      <c r="B4150" s="4" t="s">
        <v>140</v>
      </c>
      <c r="C4150" s="4" t="s">
        <v>455</v>
      </c>
      <c r="D4150" s="4" t="s">
        <v>457</v>
      </c>
      <c r="E4150" s="4">
        <v>2.3</v>
      </c>
    </row>
    <row r="4151">
      <c r="A4151" s="5">
        <v>47010.0</v>
      </c>
      <c r="B4151" s="6" t="s">
        <v>140</v>
      </c>
      <c r="C4151" s="6" t="s">
        <v>455</v>
      </c>
      <c r="D4151" s="6" t="s">
        <v>457</v>
      </c>
      <c r="E4151" s="6">
        <v>1.83</v>
      </c>
    </row>
    <row r="4152">
      <c r="A4152" s="3">
        <v>104605.0</v>
      </c>
      <c r="B4152" s="4" t="s">
        <v>140</v>
      </c>
      <c r="C4152" s="4" t="s">
        <v>455</v>
      </c>
      <c r="D4152" s="4" t="s">
        <v>457</v>
      </c>
      <c r="E4152" s="4">
        <v>2.14</v>
      </c>
    </row>
    <row r="4153">
      <c r="A4153" s="5">
        <v>42694.0</v>
      </c>
      <c r="B4153" s="6" t="s">
        <v>140</v>
      </c>
      <c r="C4153" s="6" t="s">
        <v>455</v>
      </c>
      <c r="D4153" s="6" t="s">
        <v>457</v>
      </c>
      <c r="E4153" s="6">
        <v>4.12</v>
      </c>
    </row>
    <row r="4154">
      <c r="A4154" s="3">
        <v>8697.0</v>
      </c>
      <c r="B4154" s="4" t="s">
        <v>140</v>
      </c>
      <c r="C4154" s="4" t="s">
        <v>455</v>
      </c>
      <c r="D4154" s="4" t="s">
        <v>457</v>
      </c>
      <c r="E4154" s="4">
        <v>1.69</v>
      </c>
    </row>
    <row r="4155">
      <c r="A4155" s="5">
        <v>110957.0</v>
      </c>
      <c r="B4155" s="6" t="s">
        <v>140</v>
      </c>
      <c r="C4155" s="6" t="s">
        <v>455</v>
      </c>
      <c r="D4155" s="6" t="s">
        <v>457</v>
      </c>
      <c r="E4155" s="6">
        <v>1.69</v>
      </c>
    </row>
    <row r="4156">
      <c r="A4156" s="3">
        <v>86989.0</v>
      </c>
      <c r="B4156" s="4" t="s">
        <v>140</v>
      </c>
      <c r="C4156" s="4" t="s">
        <v>455</v>
      </c>
      <c r="D4156" s="4" t="s">
        <v>457</v>
      </c>
      <c r="E4156" s="4">
        <v>1.48</v>
      </c>
    </row>
    <row r="4157">
      <c r="A4157" s="5">
        <v>8695.0</v>
      </c>
      <c r="B4157" s="6" t="s">
        <v>140</v>
      </c>
      <c r="C4157" s="6" t="s">
        <v>455</v>
      </c>
      <c r="D4157" s="6" t="s">
        <v>457</v>
      </c>
      <c r="E4157" s="6">
        <v>1.61</v>
      </c>
    </row>
    <row r="4158">
      <c r="A4158" s="3">
        <v>122792.0</v>
      </c>
      <c r="B4158" s="4" t="s">
        <v>140</v>
      </c>
      <c r="C4158" s="4" t="s">
        <v>455</v>
      </c>
      <c r="D4158" s="4" t="s">
        <v>457</v>
      </c>
      <c r="E4158" s="4">
        <v>1.26</v>
      </c>
    </row>
    <row r="4159">
      <c r="A4159" s="5">
        <v>8698.0</v>
      </c>
      <c r="B4159" s="6" t="s">
        <v>140</v>
      </c>
      <c r="C4159" s="6" t="s">
        <v>455</v>
      </c>
      <c r="D4159" s="6" t="s">
        <v>457</v>
      </c>
      <c r="E4159" s="6">
        <v>2.27</v>
      </c>
    </row>
    <row r="4160">
      <c r="A4160" s="3">
        <v>103866.0</v>
      </c>
      <c r="B4160" s="4" t="s">
        <v>140</v>
      </c>
      <c r="C4160" s="4" t="s">
        <v>455</v>
      </c>
      <c r="D4160" s="4" t="s">
        <v>457</v>
      </c>
      <c r="E4160" s="4">
        <v>1.86</v>
      </c>
    </row>
    <row r="4161">
      <c r="A4161" s="5">
        <v>103865.0</v>
      </c>
      <c r="B4161" s="6" t="s">
        <v>140</v>
      </c>
      <c r="C4161" s="6" t="s">
        <v>455</v>
      </c>
      <c r="D4161" s="6" t="s">
        <v>457</v>
      </c>
      <c r="E4161" s="6">
        <v>2.29</v>
      </c>
    </row>
    <row r="4162">
      <c r="A4162" s="3">
        <v>110945.0</v>
      </c>
      <c r="B4162" s="4" t="s">
        <v>140</v>
      </c>
      <c r="C4162" s="4" t="s">
        <v>455</v>
      </c>
      <c r="D4162" s="4" t="s">
        <v>457</v>
      </c>
      <c r="E4162" s="4">
        <v>2.87</v>
      </c>
    </row>
    <row r="4163">
      <c r="A4163" s="5">
        <v>158671.0</v>
      </c>
      <c r="B4163" s="6" t="s">
        <v>140</v>
      </c>
      <c r="C4163" s="6" t="s">
        <v>455</v>
      </c>
      <c r="D4163" s="6" t="s">
        <v>457</v>
      </c>
      <c r="E4163" s="6">
        <v>6.19</v>
      </c>
    </row>
    <row r="4164">
      <c r="A4164" s="3">
        <v>118915.0</v>
      </c>
      <c r="B4164" s="4" t="s">
        <v>140</v>
      </c>
      <c r="C4164" s="4" t="s">
        <v>455</v>
      </c>
      <c r="D4164" s="4" t="s">
        <v>457</v>
      </c>
      <c r="E4164" s="4">
        <v>2.16</v>
      </c>
    </row>
    <row r="4165">
      <c r="A4165" s="5">
        <v>88990.0</v>
      </c>
      <c r="B4165" s="6" t="s">
        <v>140</v>
      </c>
      <c r="C4165" s="6" t="s">
        <v>455</v>
      </c>
      <c r="D4165" s="6" t="s">
        <v>457</v>
      </c>
      <c r="E4165" s="6">
        <v>1.14</v>
      </c>
    </row>
    <row r="4166">
      <c r="A4166" s="3">
        <v>73835.0</v>
      </c>
      <c r="B4166" s="4" t="s">
        <v>140</v>
      </c>
      <c r="C4166" s="4" t="s">
        <v>455</v>
      </c>
      <c r="D4166" s="4" t="s">
        <v>457</v>
      </c>
      <c r="E4166" s="4">
        <v>1.52</v>
      </c>
    </row>
    <row r="4167">
      <c r="A4167" s="5">
        <v>8699.0</v>
      </c>
      <c r="B4167" s="6" t="s">
        <v>140</v>
      </c>
      <c r="C4167" s="6" t="s">
        <v>455</v>
      </c>
      <c r="D4167" s="6" t="s">
        <v>457</v>
      </c>
      <c r="E4167" s="6">
        <v>2.28</v>
      </c>
    </row>
    <row r="4168">
      <c r="A4168" s="3">
        <v>81494.0</v>
      </c>
      <c r="B4168" s="4" t="s">
        <v>140</v>
      </c>
      <c r="C4168" s="4" t="s">
        <v>455</v>
      </c>
      <c r="D4168" s="4" t="s">
        <v>457</v>
      </c>
      <c r="E4168" s="4">
        <v>1.91</v>
      </c>
    </row>
    <row r="4169">
      <c r="A4169" s="5">
        <v>89821.0</v>
      </c>
      <c r="B4169" s="6" t="s">
        <v>140</v>
      </c>
      <c r="C4169" s="6" t="s">
        <v>455</v>
      </c>
      <c r="D4169" s="6" t="s">
        <v>457</v>
      </c>
      <c r="E4169" s="6">
        <v>2.34</v>
      </c>
    </row>
    <row r="4170">
      <c r="A4170" s="3">
        <v>83567.0</v>
      </c>
      <c r="B4170" s="4" t="s">
        <v>140</v>
      </c>
      <c r="C4170" s="4" t="s">
        <v>455</v>
      </c>
      <c r="D4170" s="4" t="s">
        <v>457</v>
      </c>
      <c r="E4170" s="4">
        <v>2.68</v>
      </c>
    </row>
    <row r="4171">
      <c r="A4171" s="5">
        <v>69323.0</v>
      </c>
      <c r="B4171" s="6" t="s">
        <v>140</v>
      </c>
      <c r="C4171" s="6" t="s">
        <v>455</v>
      </c>
      <c r="D4171" s="6" t="s">
        <v>457</v>
      </c>
      <c r="E4171" s="6">
        <v>2.46</v>
      </c>
    </row>
    <row r="4172">
      <c r="A4172" s="3">
        <v>88976.0</v>
      </c>
      <c r="B4172" s="4" t="s">
        <v>140</v>
      </c>
      <c r="C4172" s="4" t="s">
        <v>455</v>
      </c>
      <c r="D4172" s="4" t="s">
        <v>457</v>
      </c>
      <c r="E4172" s="4">
        <v>1.16</v>
      </c>
    </row>
    <row r="4173">
      <c r="A4173" s="5">
        <v>199415.0</v>
      </c>
      <c r="B4173" s="6" t="s">
        <v>140</v>
      </c>
      <c r="C4173" s="6" t="s">
        <v>455</v>
      </c>
      <c r="D4173" s="6" t="s">
        <v>457</v>
      </c>
      <c r="E4173" s="6">
        <v>1.95</v>
      </c>
    </row>
    <row r="4174">
      <c r="A4174" s="3">
        <v>112792.0</v>
      </c>
      <c r="B4174" s="4" t="s">
        <v>140</v>
      </c>
      <c r="C4174" s="4" t="s">
        <v>455</v>
      </c>
      <c r="D4174" s="4" t="s">
        <v>457</v>
      </c>
      <c r="E4174" s="4">
        <v>2.12</v>
      </c>
    </row>
    <row r="4175">
      <c r="A4175" s="5">
        <v>104322.0</v>
      </c>
      <c r="B4175" s="6" t="s">
        <v>140</v>
      </c>
      <c r="C4175" s="6" t="s">
        <v>455</v>
      </c>
      <c r="D4175" s="6" t="s">
        <v>457</v>
      </c>
      <c r="E4175" s="6">
        <v>2.3</v>
      </c>
    </row>
    <row r="4176">
      <c r="A4176" s="3">
        <v>69321.0</v>
      </c>
      <c r="B4176" s="4" t="s">
        <v>140</v>
      </c>
      <c r="C4176" s="4" t="s">
        <v>455</v>
      </c>
      <c r="D4176" s="4" t="s">
        <v>457</v>
      </c>
      <c r="E4176" s="4">
        <v>1.92</v>
      </c>
    </row>
    <row r="4177">
      <c r="A4177" s="5">
        <v>110948.0</v>
      </c>
      <c r="B4177" s="6" t="s">
        <v>140</v>
      </c>
      <c r="C4177" s="6" t="s">
        <v>455</v>
      </c>
      <c r="D4177" s="6" t="s">
        <v>457</v>
      </c>
      <c r="E4177" s="6">
        <v>2.87</v>
      </c>
    </row>
    <row r="4178">
      <c r="A4178" s="3">
        <v>82008.0</v>
      </c>
      <c r="B4178" s="4" t="s">
        <v>140</v>
      </c>
      <c r="C4178" s="4" t="s">
        <v>455</v>
      </c>
      <c r="D4178" s="4" t="s">
        <v>457</v>
      </c>
      <c r="E4178" s="4">
        <v>1.73</v>
      </c>
    </row>
    <row r="4179">
      <c r="A4179" s="5">
        <v>86987.0</v>
      </c>
      <c r="B4179" s="6" t="s">
        <v>140</v>
      </c>
      <c r="C4179" s="6" t="s">
        <v>455</v>
      </c>
      <c r="D4179" s="6" t="s">
        <v>457</v>
      </c>
      <c r="E4179" s="6">
        <v>1.84</v>
      </c>
    </row>
    <row r="4180">
      <c r="A4180" s="3">
        <v>118912.0</v>
      </c>
      <c r="B4180" s="4" t="s">
        <v>140</v>
      </c>
      <c r="C4180" s="4" t="s">
        <v>455</v>
      </c>
      <c r="D4180" s="4" t="s">
        <v>457</v>
      </c>
      <c r="E4180" s="4">
        <v>1.69</v>
      </c>
    </row>
    <row r="4181">
      <c r="A4181" s="5">
        <v>47048.0</v>
      </c>
      <c r="B4181" s="6" t="s">
        <v>140</v>
      </c>
      <c r="C4181" s="6" t="s">
        <v>455</v>
      </c>
      <c r="D4181" s="6" t="s">
        <v>457</v>
      </c>
      <c r="E4181" s="6">
        <v>1.83</v>
      </c>
    </row>
    <row r="4182">
      <c r="A4182" s="3">
        <v>103870.0</v>
      </c>
      <c r="B4182" s="4" t="s">
        <v>140</v>
      </c>
      <c r="C4182" s="4" t="s">
        <v>455</v>
      </c>
      <c r="D4182" s="4" t="s">
        <v>457</v>
      </c>
      <c r="E4182" s="4">
        <v>2.08</v>
      </c>
    </row>
    <row r="4183">
      <c r="A4183" s="5">
        <v>86985.0</v>
      </c>
      <c r="B4183" s="6" t="s">
        <v>140</v>
      </c>
      <c r="C4183" s="6" t="s">
        <v>455</v>
      </c>
      <c r="D4183" s="6" t="s">
        <v>457</v>
      </c>
      <c r="E4183" s="6">
        <v>2.28</v>
      </c>
    </row>
    <row r="4184">
      <c r="A4184" s="3">
        <v>82005.0</v>
      </c>
      <c r="B4184" s="4" t="s">
        <v>140</v>
      </c>
      <c r="C4184" s="4" t="s">
        <v>455</v>
      </c>
      <c r="D4184" s="4" t="s">
        <v>457</v>
      </c>
      <c r="E4184" s="4">
        <v>1.27</v>
      </c>
    </row>
    <row r="4185">
      <c r="A4185" s="5">
        <v>119053.0</v>
      </c>
      <c r="B4185" s="6" t="s">
        <v>140</v>
      </c>
      <c r="C4185" s="6" t="s">
        <v>455</v>
      </c>
      <c r="D4185" s="6" t="s">
        <v>457</v>
      </c>
      <c r="E4185" s="6">
        <v>1.91</v>
      </c>
    </row>
    <row r="4186">
      <c r="A4186" s="3">
        <v>102015.0</v>
      </c>
      <c r="B4186" s="4" t="s">
        <v>34</v>
      </c>
      <c r="C4186" s="4" t="s">
        <v>458</v>
      </c>
      <c r="D4186" s="4" t="s">
        <v>459</v>
      </c>
      <c r="E4186" s="4">
        <v>34.66</v>
      </c>
    </row>
    <row r="4187">
      <c r="A4187" s="5">
        <v>92823.0</v>
      </c>
      <c r="B4187" s="6" t="s">
        <v>5</v>
      </c>
      <c r="C4187" s="6" t="s">
        <v>460</v>
      </c>
      <c r="D4187" s="6" t="s">
        <v>461</v>
      </c>
      <c r="E4187" s="6">
        <v>12.29</v>
      </c>
    </row>
    <row r="4188">
      <c r="A4188" s="3">
        <v>108060.0</v>
      </c>
      <c r="B4188" s="4" t="s">
        <v>5</v>
      </c>
      <c r="C4188" s="4" t="s">
        <v>460</v>
      </c>
      <c r="D4188" s="4" t="s">
        <v>461</v>
      </c>
      <c r="E4188" s="4">
        <v>28.45</v>
      </c>
    </row>
    <row r="4189">
      <c r="A4189" s="5">
        <v>4214.0</v>
      </c>
      <c r="B4189" s="6" t="s">
        <v>5</v>
      </c>
      <c r="C4189" s="6" t="s">
        <v>460</v>
      </c>
      <c r="D4189" s="6" t="s">
        <v>461</v>
      </c>
      <c r="E4189" s="6">
        <v>4.56</v>
      </c>
    </row>
    <row r="4190">
      <c r="A4190" s="3">
        <v>14715.0</v>
      </c>
      <c r="B4190" s="4" t="s">
        <v>5</v>
      </c>
      <c r="C4190" s="4" t="s">
        <v>460</v>
      </c>
      <c r="D4190" s="4" t="s">
        <v>461</v>
      </c>
      <c r="E4190" s="4">
        <v>4.12</v>
      </c>
    </row>
    <row r="4191">
      <c r="A4191" s="5">
        <v>16771.0</v>
      </c>
      <c r="B4191" s="6" t="s">
        <v>5</v>
      </c>
      <c r="C4191" s="6" t="s">
        <v>460</v>
      </c>
      <c r="D4191" s="6" t="s">
        <v>462</v>
      </c>
      <c r="E4191" s="6">
        <v>4.76</v>
      </c>
    </row>
    <row r="4192">
      <c r="A4192" s="3">
        <v>97945.0</v>
      </c>
      <c r="B4192" s="4" t="s">
        <v>5</v>
      </c>
      <c r="C4192" s="4" t="s">
        <v>460</v>
      </c>
      <c r="D4192" s="4" t="s">
        <v>462</v>
      </c>
      <c r="E4192" s="4">
        <v>1.81</v>
      </c>
    </row>
    <row r="4193">
      <c r="A4193" s="5">
        <v>144740.0</v>
      </c>
      <c r="B4193" s="6" t="s">
        <v>5</v>
      </c>
      <c r="C4193" s="6" t="s">
        <v>460</v>
      </c>
      <c r="D4193" s="6" t="s">
        <v>462</v>
      </c>
      <c r="E4193" s="6">
        <v>4.25</v>
      </c>
    </row>
    <row r="4194">
      <c r="A4194" s="3">
        <v>75342.0</v>
      </c>
      <c r="B4194" s="4" t="s">
        <v>5</v>
      </c>
      <c r="C4194" s="4" t="s">
        <v>460</v>
      </c>
      <c r="D4194" s="4" t="s">
        <v>463</v>
      </c>
      <c r="E4194" s="4">
        <v>6.15</v>
      </c>
    </row>
    <row r="4195">
      <c r="A4195" s="5">
        <v>88189.0</v>
      </c>
      <c r="B4195" s="6" t="s">
        <v>5</v>
      </c>
      <c r="C4195" s="6" t="s">
        <v>460</v>
      </c>
      <c r="D4195" s="6" t="s">
        <v>464</v>
      </c>
      <c r="E4195" s="6">
        <v>1.04</v>
      </c>
    </row>
    <row r="4196">
      <c r="A4196" s="3">
        <v>70677.0</v>
      </c>
      <c r="B4196" s="4" t="s">
        <v>5</v>
      </c>
      <c r="C4196" s="4" t="s">
        <v>460</v>
      </c>
      <c r="D4196" s="4" t="s">
        <v>464</v>
      </c>
      <c r="E4196" s="4">
        <v>12.42</v>
      </c>
    </row>
    <row r="4197">
      <c r="A4197" s="5">
        <v>86506.0</v>
      </c>
      <c r="B4197" s="6" t="s">
        <v>5</v>
      </c>
      <c r="C4197" s="6" t="s">
        <v>460</v>
      </c>
      <c r="D4197" s="6" t="s">
        <v>464</v>
      </c>
      <c r="E4197" s="6">
        <v>3.25</v>
      </c>
    </row>
    <row r="4198">
      <c r="A4198" s="3">
        <v>17360.0</v>
      </c>
      <c r="B4198" s="4" t="s">
        <v>5</v>
      </c>
      <c r="C4198" s="4" t="s">
        <v>460</v>
      </c>
      <c r="D4198" s="4" t="s">
        <v>465</v>
      </c>
      <c r="E4198" s="4">
        <v>8.85</v>
      </c>
    </row>
    <row r="4199">
      <c r="A4199" s="5">
        <v>9819.0</v>
      </c>
      <c r="B4199" s="6" t="s">
        <v>5</v>
      </c>
      <c r="C4199" s="6" t="s">
        <v>460</v>
      </c>
      <c r="D4199" s="6" t="s">
        <v>465</v>
      </c>
      <c r="E4199" s="6">
        <v>34.83</v>
      </c>
    </row>
    <row r="4200">
      <c r="A4200" s="3">
        <v>28574.0</v>
      </c>
      <c r="B4200" s="4" t="s">
        <v>5</v>
      </c>
      <c r="C4200" s="4" t="s">
        <v>460</v>
      </c>
      <c r="D4200" s="4" t="s">
        <v>466</v>
      </c>
      <c r="E4200" s="4">
        <v>7.03</v>
      </c>
    </row>
    <row r="4201">
      <c r="A4201" s="5">
        <v>102395.0</v>
      </c>
      <c r="B4201" s="6" t="s">
        <v>5</v>
      </c>
      <c r="C4201" s="6" t="s">
        <v>460</v>
      </c>
      <c r="D4201" s="6" t="s">
        <v>466</v>
      </c>
      <c r="E4201" s="6">
        <v>6.91</v>
      </c>
    </row>
    <row r="4202">
      <c r="A4202" s="3">
        <v>147302.0</v>
      </c>
      <c r="B4202" s="4" t="s">
        <v>5</v>
      </c>
      <c r="C4202" s="4" t="s">
        <v>460</v>
      </c>
      <c r="D4202" s="4" t="s">
        <v>466</v>
      </c>
      <c r="E4202" s="4">
        <v>9.89</v>
      </c>
    </row>
    <row r="4203">
      <c r="A4203" s="5">
        <v>85049.0</v>
      </c>
      <c r="B4203" s="6" t="s">
        <v>5</v>
      </c>
      <c r="C4203" s="6" t="s">
        <v>460</v>
      </c>
      <c r="D4203" s="6" t="s">
        <v>467</v>
      </c>
      <c r="E4203" s="6">
        <v>5.16</v>
      </c>
    </row>
    <row r="4204">
      <c r="A4204" s="3">
        <v>1683.0</v>
      </c>
      <c r="B4204" s="4" t="s">
        <v>5</v>
      </c>
      <c r="C4204" s="4" t="s">
        <v>460</v>
      </c>
      <c r="D4204" s="4" t="s">
        <v>468</v>
      </c>
      <c r="E4204" s="4">
        <v>0.71</v>
      </c>
    </row>
    <row r="4205">
      <c r="A4205" s="5">
        <v>1685.0</v>
      </c>
      <c r="B4205" s="6" t="s">
        <v>5</v>
      </c>
      <c r="C4205" s="6" t="s">
        <v>460</v>
      </c>
      <c r="D4205" s="6" t="s">
        <v>468</v>
      </c>
      <c r="E4205" s="6">
        <v>0.62</v>
      </c>
    </row>
    <row r="4206">
      <c r="A4206" s="3">
        <v>22193.0</v>
      </c>
      <c r="B4206" s="4" t="s">
        <v>5</v>
      </c>
      <c r="C4206" s="4" t="s">
        <v>460</v>
      </c>
      <c r="D4206" s="4" t="s">
        <v>468</v>
      </c>
      <c r="E4206" s="4">
        <v>1.11</v>
      </c>
    </row>
    <row r="4207">
      <c r="A4207" s="5">
        <v>9786.0</v>
      </c>
      <c r="B4207" s="6" t="s">
        <v>5</v>
      </c>
      <c r="C4207" s="6" t="s">
        <v>460</v>
      </c>
      <c r="D4207" s="6" t="s">
        <v>468</v>
      </c>
      <c r="E4207" s="6">
        <v>5.04</v>
      </c>
    </row>
    <row r="4208">
      <c r="A4208" s="3">
        <v>108770.0</v>
      </c>
      <c r="B4208" s="4" t="s">
        <v>5</v>
      </c>
      <c r="C4208" s="4" t="s">
        <v>460</v>
      </c>
      <c r="D4208" s="4" t="s">
        <v>469</v>
      </c>
      <c r="E4208" s="4">
        <v>3.08</v>
      </c>
    </row>
    <row r="4209">
      <c r="A4209" s="5">
        <v>109536.0</v>
      </c>
      <c r="B4209" s="6" t="s">
        <v>5</v>
      </c>
      <c r="C4209" s="6" t="s">
        <v>460</v>
      </c>
      <c r="D4209" s="6" t="s">
        <v>469</v>
      </c>
      <c r="E4209" s="6">
        <v>2.81</v>
      </c>
    </row>
    <row r="4210">
      <c r="A4210" s="3">
        <v>111743.0</v>
      </c>
      <c r="B4210" s="4" t="s">
        <v>5</v>
      </c>
      <c r="C4210" s="4" t="s">
        <v>460</v>
      </c>
      <c r="D4210" s="4" t="s">
        <v>469</v>
      </c>
      <c r="E4210" s="4">
        <v>4.45</v>
      </c>
    </row>
    <row r="4211">
      <c r="A4211" s="5">
        <v>108769.0</v>
      </c>
      <c r="B4211" s="6" t="s">
        <v>5</v>
      </c>
      <c r="C4211" s="6" t="s">
        <v>460</v>
      </c>
      <c r="D4211" s="6" t="s">
        <v>469</v>
      </c>
      <c r="E4211" s="6">
        <v>3.08</v>
      </c>
    </row>
    <row r="4212">
      <c r="A4212" s="3">
        <v>111742.0</v>
      </c>
      <c r="B4212" s="4" t="s">
        <v>5</v>
      </c>
      <c r="C4212" s="4" t="s">
        <v>460</v>
      </c>
      <c r="D4212" s="4" t="s">
        <v>469</v>
      </c>
      <c r="E4212" s="4">
        <v>5.11</v>
      </c>
    </row>
    <row r="4213">
      <c r="A4213" s="5">
        <v>88989.0</v>
      </c>
      <c r="B4213" s="6" t="s">
        <v>128</v>
      </c>
      <c r="C4213" s="6" t="s">
        <v>470</v>
      </c>
      <c r="D4213" s="6" t="s">
        <v>471</v>
      </c>
      <c r="E4213" s="6">
        <v>23.12</v>
      </c>
    </row>
    <row r="4214">
      <c r="A4214" s="3">
        <v>88987.0</v>
      </c>
      <c r="B4214" s="4" t="s">
        <v>128</v>
      </c>
      <c r="C4214" s="4" t="s">
        <v>470</v>
      </c>
      <c r="D4214" s="4" t="s">
        <v>471</v>
      </c>
      <c r="E4214" s="4">
        <v>23.12</v>
      </c>
    </row>
    <row r="4215">
      <c r="A4215" s="5">
        <v>88988.0</v>
      </c>
      <c r="B4215" s="6" t="s">
        <v>128</v>
      </c>
      <c r="C4215" s="6" t="s">
        <v>470</v>
      </c>
      <c r="D4215" s="6" t="s">
        <v>471</v>
      </c>
      <c r="E4215" s="6">
        <v>23.12</v>
      </c>
    </row>
    <row r="4216">
      <c r="A4216" s="3">
        <v>102816.0</v>
      </c>
      <c r="B4216" s="4" t="s">
        <v>128</v>
      </c>
      <c r="C4216" s="4" t="s">
        <v>470</v>
      </c>
      <c r="D4216" s="4" t="s">
        <v>472</v>
      </c>
      <c r="E4216" s="4">
        <v>30.82</v>
      </c>
    </row>
    <row r="4217">
      <c r="A4217" s="5">
        <v>49803.0</v>
      </c>
      <c r="B4217" s="6" t="s">
        <v>128</v>
      </c>
      <c r="C4217" s="6" t="s">
        <v>470</v>
      </c>
      <c r="D4217" s="6" t="s">
        <v>473</v>
      </c>
      <c r="E4217" s="6">
        <v>10.8</v>
      </c>
    </row>
    <row r="4218">
      <c r="A4218" s="3">
        <v>77302.0</v>
      </c>
      <c r="B4218" s="4" t="s">
        <v>128</v>
      </c>
      <c r="C4218" s="4" t="s">
        <v>470</v>
      </c>
      <c r="D4218" s="4" t="s">
        <v>473</v>
      </c>
      <c r="E4218" s="4">
        <v>48.66</v>
      </c>
    </row>
    <row r="4219">
      <c r="A4219" s="5">
        <v>94000.0</v>
      </c>
      <c r="B4219" s="6" t="s">
        <v>140</v>
      </c>
      <c r="C4219" s="6" t="s">
        <v>474</v>
      </c>
      <c r="D4219" s="6" t="s">
        <v>475</v>
      </c>
      <c r="E4219" s="6">
        <v>4.83</v>
      </c>
    </row>
    <row r="4220">
      <c r="A4220" s="3">
        <v>9616.0</v>
      </c>
      <c r="B4220" s="4" t="s">
        <v>140</v>
      </c>
      <c r="C4220" s="4" t="s">
        <v>474</v>
      </c>
      <c r="D4220" s="4" t="s">
        <v>475</v>
      </c>
      <c r="E4220" s="4">
        <v>1.83</v>
      </c>
    </row>
    <row r="4221">
      <c r="A4221" s="5">
        <v>115135.0</v>
      </c>
      <c r="B4221" s="6" t="s">
        <v>140</v>
      </c>
      <c r="C4221" s="6" t="s">
        <v>474</v>
      </c>
      <c r="D4221" s="6" t="s">
        <v>475</v>
      </c>
      <c r="E4221" s="6">
        <v>2.73</v>
      </c>
    </row>
    <row r="4222">
      <c r="A4222" s="3">
        <v>90727.0</v>
      </c>
      <c r="B4222" s="4" t="s">
        <v>140</v>
      </c>
      <c r="C4222" s="4" t="s">
        <v>474</v>
      </c>
      <c r="D4222" s="4" t="s">
        <v>475</v>
      </c>
      <c r="E4222" s="4">
        <v>8.38</v>
      </c>
    </row>
    <row r="4223">
      <c r="A4223" s="5">
        <v>24060.0</v>
      </c>
      <c r="B4223" s="6" t="s">
        <v>140</v>
      </c>
      <c r="C4223" s="6" t="s">
        <v>474</v>
      </c>
      <c r="D4223" s="6" t="s">
        <v>475</v>
      </c>
      <c r="E4223" s="6">
        <v>4.9</v>
      </c>
    </row>
    <row r="4224">
      <c r="A4224" s="3">
        <v>112086.0</v>
      </c>
      <c r="B4224" s="4" t="s">
        <v>140</v>
      </c>
      <c r="C4224" s="4" t="s">
        <v>474</v>
      </c>
      <c r="D4224" s="4" t="s">
        <v>475</v>
      </c>
      <c r="E4224" s="4">
        <v>2.02</v>
      </c>
    </row>
    <row r="4225">
      <c r="A4225" s="5">
        <v>90723.0</v>
      </c>
      <c r="B4225" s="6" t="s">
        <v>140</v>
      </c>
      <c r="C4225" s="6" t="s">
        <v>474</v>
      </c>
      <c r="D4225" s="6" t="s">
        <v>475</v>
      </c>
      <c r="E4225" s="6">
        <v>8.6</v>
      </c>
    </row>
    <row r="4226">
      <c r="A4226" s="3">
        <v>77601.0</v>
      </c>
      <c r="B4226" s="4" t="s">
        <v>140</v>
      </c>
      <c r="C4226" s="4" t="s">
        <v>474</v>
      </c>
      <c r="D4226" s="4" t="s">
        <v>475</v>
      </c>
      <c r="E4226" s="4">
        <v>2.81</v>
      </c>
    </row>
    <row r="4227">
      <c r="A4227" s="5">
        <v>12005.0</v>
      </c>
      <c r="B4227" s="6" t="s">
        <v>140</v>
      </c>
      <c r="C4227" s="6" t="s">
        <v>474</v>
      </c>
      <c r="D4227" s="6" t="s">
        <v>476</v>
      </c>
      <c r="E4227" s="6">
        <v>1.77</v>
      </c>
    </row>
    <row r="4228">
      <c r="A4228" s="3">
        <v>41680.0</v>
      </c>
      <c r="B4228" s="4" t="s">
        <v>140</v>
      </c>
      <c r="C4228" s="4" t="s">
        <v>474</v>
      </c>
      <c r="D4228" s="4" t="s">
        <v>476</v>
      </c>
      <c r="E4228" s="4">
        <v>3.45</v>
      </c>
    </row>
    <row r="4229">
      <c r="A4229" s="5">
        <v>12000.0</v>
      </c>
      <c r="B4229" s="6" t="s">
        <v>140</v>
      </c>
      <c r="C4229" s="6" t="s">
        <v>474</v>
      </c>
      <c r="D4229" s="6" t="s">
        <v>476</v>
      </c>
      <c r="E4229" s="6">
        <v>1.95</v>
      </c>
    </row>
    <row r="4230">
      <c r="A4230" s="3">
        <v>12022.0</v>
      </c>
      <c r="B4230" s="4" t="s">
        <v>140</v>
      </c>
      <c r="C4230" s="4" t="s">
        <v>474</v>
      </c>
      <c r="D4230" s="4" t="s">
        <v>476</v>
      </c>
      <c r="E4230" s="4">
        <v>2.04</v>
      </c>
    </row>
    <row r="4231">
      <c r="A4231" s="5">
        <v>113596.0</v>
      </c>
      <c r="B4231" s="6" t="s">
        <v>140</v>
      </c>
      <c r="C4231" s="6" t="s">
        <v>474</v>
      </c>
      <c r="D4231" s="6" t="s">
        <v>476</v>
      </c>
      <c r="E4231" s="6">
        <v>5.64</v>
      </c>
    </row>
    <row r="4232">
      <c r="A4232" s="3">
        <v>11998.0</v>
      </c>
      <c r="B4232" s="4" t="s">
        <v>140</v>
      </c>
      <c r="C4232" s="4" t="s">
        <v>474</v>
      </c>
      <c r="D4232" s="4" t="s">
        <v>476</v>
      </c>
      <c r="E4232" s="4">
        <v>1.77</v>
      </c>
    </row>
    <row r="4233">
      <c r="A4233" s="5">
        <v>12063.0</v>
      </c>
      <c r="B4233" s="6" t="s">
        <v>140</v>
      </c>
      <c r="C4233" s="6" t="s">
        <v>474</v>
      </c>
      <c r="D4233" s="6" t="s">
        <v>476</v>
      </c>
      <c r="E4233" s="6">
        <v>1.77</v>
      </c>
    </row>
    <row r="4234">
      <c r="A4234" s="3">
        <v>96069.0</v>
      </c>
      <c r="B4234" s="4" t="s">
        <v>140</v>
      </c>
      <c r="C4234" s="4" t="s">
        <v>474</v>
      </c>
      <c r="D4234" s="4" t="s">
        <v>476</v>
      </c>
      <c r="E4234" s="4">
        <v>2.09</v>
      </c>
    </row>
    <row r="4235">
      <c r="A4235" s="5">
        <v>12007.0</v>
      </c>
      <c r="B4235" s="6" t="s">
        <v>140</v>
      </c>
      <c r="C4235" s="6" t="s">
        <v>474</v>
      </c>
      <c r="D4235" s="6" t="s">
        <v>476</v>
      </c>
      <c r="E4235" s="6">
        <v>1.77</v>
      </c>
    </row>
    <row r="4236">
      <c r="A4236" s="3">
        <v>113592.0</v>
      </c>
      <c r="B4236" s="4" t="s">
        <v>140</v>
      </c>
      <c r="C4236" s="4" t="s">
        <v>474</v>
      </c>
      <c r="D4236" s="4" t="s">
        <v>476</v>
      </c>
      <c r="E4236" s="4">
        <v>5.64</v>
      </c>
    </row>
    <row r="4237">
      <c r="A4237" s="5">
        <v>147308.0</v>
      </c>
      <c r="B4237" s="6" t="s">
        <v>140</v>
      </c>
      <c r="C4237" s="6" t="s">
        <v>474</v>
      </c>
      <c r="D4237" s="6" t="s">
        <v>476</v>
      </c>
      <c r="E4237" s="6">
        <v>1.74</v>
      </c>
    </row>
    <row r="4238">
      <c r="A4238" s="3">
        <v>41679.0</v>
      </c>
      <c r="B4238" s="4" t="s">
        <v>140</v>
      </c>
      <c r="C4238" s="4" t="s">
        <v>474</v>
      </c>
      <c r="D4238" s="4" t="s">
        <v>476</v>
      </c>
      <c r="E4238" s="4">
        <v>3.45</v>
      </c>
    </row>
    <row r="4239">
      <c r="A4239" s="5">
        <v>112077.0</v>
      </c>
      <c r="B4239" s="6" t="s">
        <v>140</v>
      </c>
      <c r="C4239" s="6" t="s">
        <v>474</v>
      </c>
      <c r="D4239" s="6" t="s">
        <v>477</v>
      </c>
      <c r="E4239" s="6">
        <v>2.23</v>
      </c>
    </row>
    <row r="4240">
      <c r="A4240" s="3">
        <v>115133.0</v>
      </c>
      <c r="B4240" s="4" t="s">
        <v>140</v>
      </c>
      <c r="C4240" s="4" t="s">
        <v>474</v>
      </c>
      <c r="D4240" s="4" t="s">
        <v>477</v>
      </c>
      <c r="E4240" s="4">
        <v>2.35</v>
      </c>
    </row>
    <row r="4241">
      <c r="A4241" s="5">
        <v>30465.0</v>
      </c>
      <c r="B4241" s="6" t="s">
        <v>140</v>
      </c>
      <c r="C4241" s="6" t="s">
        <v>474</v>
      </c>
      <c r="D4241" s="6" t="s">
        <v>477</v>
      </c>
      <c r="E4241" s="6">
        <v>2.19</v>
      </c>
    </row>
    <row r="4242">
      <c r="A4242" s="3">
        <v>87405.0</v>
      </c>
      <c r="B4242" s="4" t="s">
        <v>140</v>
      </c>
      <c r="C4242" s="4" t="s">
        <v>474</v>
      </c>
      <c r="D4242" s="4" t="s">
        <v>477</v>
      </c>
      <c r="E4242" s="4">
        <v>0.67</v>
      </c>
    </row>
    <row r="4243">
      <c r="A4243" s="5">
        <v>77602.0</v>
      </c>
      <c r="B4243" s="6" t="s">
        <v>140</v>
      </c>
      <c r="C4243" s="6" t="s">
        <v>474</v>
      </c>
      <c r="D4243" s="6" t="s">
        <v>477</v>
      </c>
      <c r="E4243" s="6">
        <v>1.34</v>
      </c>
    </row>
    <row r="4244">
      <c r="A4244" s="3">
        <v>107058.0</v>
      </c>
      <c r="B4244" s="4" t="s">
        <v>140</v>
      </c>
      <c r="C4244" s="4" t="s">
        <v>474</v>
      </c>
      <c r="D4244" s="4" t="s">
        <v>477</v>
      </c>
      <c r="E4244" s="4">
        <v>4.18</v>
      </c>
    </row>
    <row r="4245">
      <c r="A4245" s="5">
        <v>5807.0</v>
      </c>
      <c r="B4245" s="6" t="s">
        <v>140</v>
      </c>
      <c r="C4245" s="6" t="s">
        <v>474</v>
      </c>
      <c r="D4245" s="6" t="s">
        <v>477</v>
      </c>
      <c r="E4245" s="6">
        <v>3.38</v>
      </c>
    </row>
    <row r="4246">
      <c r="A4246" s="3">
        <v>87061.0</v>
      </c>
      <c r="B4246" s="4" t="s">
        <v>140</v>
      </c>
      <c r="C4246" s="4" t="s">
        <v>474</v>
      </c>
      <c r="D4246" s="4" t="s">
        <v>477</v>
      </c>
      <c r="E4246" s="4">
        <v>8.31</v>
      </c>
    </row>
    <row r="4247">
      <c r="A4247" s="5">
        <v>108039.0</v>
      </c>
      <c r="B4247" s="6" t="s">
        <v>140</v>
      </c>
      <c r="C4247" s="6" t="s">
        <v>474</v>
      </c>
      <c r="D4247" s="6" t="s">
        <v>477</v>
      </c>
      <c r="E4247" s="6">
        <v>1.74</v>
      </c>
    </row>
    <row r="4248">
      <c r="A4248" s="3">
        <v>90837.0</v>
      </c>
      <c r="B4248" s="4" t="s">
        <v>140</v>
      </c>
      <c r="C4248" s="4" t="s">
        <v>474</v>
      </c>
      <c r="D4248" s="4" t="s">
        <v>477</v>
      </c>
      <c r="E4248" s="4">
        <v>0.61</v>
      </c>
    </row>
    <row r="4249">
      <c r="A4249" s="5">
        <v>88461.0</v>
      </c>
      <c r="B4249" s="6" t="s">
        <v>140</v>
      </c>
      <c r="C4249" s="6" t="s">
        <v>474</v>
      </c>
      <c r="D4249" s="6" t="s">
        <v>477</v>
      </c>
      <c r="E4249" s="6">
        <v>1.14</v>
      </c>
    </row>
    <row r="4250">
      <c r="A4250" s="3">
        <v>81504.0</v>
      </c>
      <c r="B4250" s="4" t="s">
        <v>140</v>
      </c>
      <c r="C4250" s="4" t="s">
        <v>474</v>
      </c>
      <c r="D4250" s="4" t="s">
        <v>477</v>
      </c>
      <c r="E4250" s="4">
        <v>0.52</v>
      </c>
    </row>
    <row r="4251">
      <c r="A4251" s="5">
        <v>12027.0</v>
      </c>
      <c r="B4251" s="6" t="s">
        <v>140</v>
      </c>
      <c r="C4251" s="6" t="s">
        <v>474</v>
      </c>
      <c r="D4251" s="6" t="s">
        <v>477</v>
      </c>
      <c r="E4251" s="6">
        <v>23.61</v>
      </c>
    </row>
    <row r="4252">
      <c r="A4252" s="3">
        <v>8883.0</v>
      </c>
      <c r="B4252" s="4" t="s">
        <v>140</v>
      </c>
      <c r="C4252" s="4" t="s">
        <v>474</v>
      </c>
      <c r="D4252" s="4" t="s">
        <v>477</v>
      </c>
      <c r="E4252" s="4">
        <v>1.44</v>
      </c>
    </row>
    <row r="4253">
      <c r="A4253" s="5">
        <v>112082.0</v>
      </c>
      <c r="B4253" s="6" t="s">
        <v>140</v>
      </c>
      <c r="C4253" s="6" t="s">
        <v>474</v>
      </c>
      <c r="D4253" s="6" t="s">
        <v>477</v>
      </c>
      <c r="E4253" s="6">
        <v>0.78</v>
      </c>
    </row>
    <row r="4254">
      <c r="A4254" s="3">
        <v>114961.0</v>
      </c>
      <c r="B4254" s="4" t="s">
        <v>140</v>
      </c>
      <c r="C4254" s="4" t="s">
        <v>474</v>
      </c>
      <c r="D4254" s="4" t="s">
        <v>477</v>
      </c>
      <c r="E4254" s="4">
        <v>5.43</v>
      </c>
    </row>
    <row r="4255">
      <c r="A4255" s="5">
        <v>112078.0</v>
      </c>
      <c r="B4255" s="6" t="s">
        <v>140</v>
      </c>
      <c r="C4255" s="6" t="s">
        <v>474</v>
      </c>
      <c r="D4255" s="6" t="s">
        <v>477</v>
      </c>
      <c r="E4255" s="6">
        <v>0.77</v>
      </c>
    </row>
    <row r="4256">
      <c r="A4256" s="3">
        <v>12025.0</v>
      </c>
      <c r="B4256" s="4" t="s">
        <v>140</v>
      </c>
      <c r="C4256" s="4" t="s">
        <v>474</v>
      </c>
      <c r="D4256" s="4" t="s">
        <v>477</v>
      </c>
      <c r="E4256" s="4">
        <v>0.94</v>
      </c>
    </row>
    <row r="4257">
      <c r="A4257" s="5">
        <v>11992.0</v>
      </c>
      <c r="B4257" s="6" t="s">
        <v>140</v>
      </c>
      <c r="C4257" s="6" t="s">
        <v>474</v>
      </c>
      <c r="D4257" s="6" t="s">
        <v>477</v>
      </c>
      <c r="E4257" s="6">
        <v>0.26</v>
      </c>
    </row>
    <row r="4258">
      <c r="A4258" s="3">
        <v>188850.0</v>
      </c>
      <c r="B4258" s="4" t="s">
        <v>140</v>
      </c>
      <c r="C4258" s="4" t="s">
        <v>474</v>
      </c>
      <c r="D4258" s="4" t="s">
        <v>477</v>
      </c>
      <c r="E4258" s="4">
        <v>0.46</v>
      </c>
    </row>
    <row r="4259">
      <c r="A4259" s="5">
        <v>69296.0</v>
      </c>
      <c r="B4259" s="6" t="s">
        <v>140</v>
      </c>
      <c r="C4259" s="6" t="s">
        <v>474</v>
      </c>
      <c r="D4259" s="6" t="s">
        <v>477</v>
      </c>
      <c r="E4259" s="6">
        <v>1.42</v>
      </c>
    </row>
    <row r="4260">
      <c r="A4260" s="3">
        <v>115141.0</v>
      </c>
      <c r="B4260" s="4" t="s">
        <v>140</v>
      </c>
      <c r="C4260" s="4" t="s">
        <v>474</v>
      </c>
      <c r="D4260" s="4" t="s">
        <v>478</v>
      </c>
      <c r="E4260" s="4">
        <v>1.92</v>
      </c>
    </row>
    <row r="4261">
      <c r="A4261" s="5">
        <v>112081.0</v>
      </c>
      <c r="B4261" s="6" t="s">
        <v>140</v>
      </c>
      <c r="C4261" s="6" t="s">
        <v>474</v>
      </c>
      <c r="D4261" s="6" t="s">
        <v>478</v>
      </c>
      <c r="E4261" s="6">
        <v>2.5</v>
      </c>
    </row>
    <row r="4262">
      <c r="A4262" s="3">
        <v>77611.0</v>
      </c>
      <c r="B4262" s="4" t="s">
        <v>140</v>
      </c>
      <c r="C4262" s="4" t="s">
        <v>474</v>
      </c>
      <c r="D4262" s="4" t="s">
        <v>478</v>
      </c>
      <c r="E4262" s="4">
        <v>1.87</v>
      </c>
    </row>
    <row r="4263">
      <c r="A4263" s="5">
        <v>111722.0</v>
      </c>
      <c r="B4263" s="6" t="s">
        <v>140</v>
      </c>
      <c r="C4263" s="6" t="s">
        <v>474</v>
      </c>
      <c r="D4263" s="6" t="s">
        <v>478</v>
      </c>
      <c r="E4263" s="6">
        <v>1.74</v>
      </c>
    </row>
    <row r="4264">
      <c r="A4264" s="3">
        <v>81503.0</v>
      </c>
      <c r="B4264" s="4" t="s">
        <v>140</v>
      </c>
      <c r="C4264" s="4" t="s">
        <v>474</v>
      </c>
      <c r="D4264" s="4" t="s">
        <v>479</v>
      </c>
      <c r="E4264" s="4">
        <v>2.09</v>
      </c>
    </row>
    <row r="4265">
      <c r="A4265" s="5">
        <v>117559.0</v>
      </c>
      <c r="B4265" s="6" t="s">
        <v>140</v>
      </c>
      <c r="C4265" s="6" t="s">
        <v>474</v>
      </c>
      <c r="D4265" s="6" t="s">
        <v>479</v>
      </c>
      <c r="E4265" s="6">
        <v>3.62</v>
      </c>
    </row>
    <row r="4266">
      <c r="A4266" s="3">
        <v>110230.0</v>
      </c>
      <c r="B4266" s="4" t="s">
        <v>128</v>
      </c>
      <c r="C4266" s="4" t="s">
        <v>480</v>
      </c>
      <c r="D4266" s="4" t="s">
        <v>481</v>
      </c>
      <c r="E4266" s="4">
        <v>43.8</v>
      </c>
    </row>
    <row r="4267">
      <c r="A4267" s="5">
        <v>122854.0</v>
      </c>
      <c r="B4267" s="6" t="s">
        <v>128</v>
      </c>
      <c r="C4267" s="6" t="s">
        <v>480</v>
      </c>
      <c r="D4267" s="6" t="s">
        <v>482</v>
      </c>
      <c r="E4267" s="6">
        <v>13.52</v>
      </c>
    </row>
    <row r="4268">
      <c r="A4268" s="3">
        <v>95371.0</v>
      </c>
      <c r="B4268" s="4" t="s">
        <v>128</v>
      </c>
      <c r="C4268" s="4" t="s">
        <v>480</v>
      </c>
      <c r="D4268" s="4" t="s">
        <v>482</v>
      </c>
      <c r="E4268" s="4">
        <v>7.53</v>
      </c>
    </row>
    <row r="4269">
      <c r="A4269" s="5">
        <v>101190.0</v>
      </c>
      <c r="B4269" s="6" t="s">
        <v>128</v>
      </c>
      <c r="C4269" s="6" t="s">
        <v>480</v>
      </c>
      <c r="D4269" s="6" t="s">
        <v>482</v>
      </c>
      <c r="E4269" s="6">
        <v>3.67</v>
      </c>
    </row>
    <row r="4270">
      <c r="A4270" s="3">
        <v>121532.0</v>
      </c>
      <c r="B4270" s="4" t="s">
        <v>128</v>
      </c>
      <c r="C4270" s="4" t="s">
        <v>480</v>
      </c>
      <c r="D4270" s="4" t="s">
        <v>483</v>
      </c>
      <c r="E4270" s="4">
        <v>3.58</v>
      </c>
    </row>
    <row r="4271">
      <c r="A4271" s="5">
        <v>6614.0</v>
      </c>
      <c r="B4271" s="6" t="s">
        <v>128</v>
      </c>
      <c r="C4271" s="6" t="s">
        <v>480</v>
      </c>
      <c r="D4271" s="6" t="s">
        <v>483</v>
      </c>
      <c r="E4271" s="6">
        <v>1.09</v>
      </c>
    </row>
    <row r="4272">
      <c r="A4272" s="3">
        <v>6618.0</v>
      </c>
      <c r="B4272" s="4" t="s">
        <v>128</v>
      </c>
      <c r="C4272" s="4" t="s">
        <v>480</v>
      </c>
      <c r="D4272" s="4" t="s">
        <v>484</v>
      </c>
      <c r="E4272" s="4">
        <v>2.35</v>
      </c>
    </row>
    <row r="4273">
      <c r="A4273" s="5">
        <v>96096.0</v>
      </c>
      <c r="B4273" s="6" t="s">
        <v>128</v>
      </c>
      <c r="C4273" s="6" t="s">
        <v>480</v>
      </c>
      <c r="D4273" s="6" t="s">
        <v>484</v>
      </c>
      <c r="E4273" s="6">
        <v>4.5</v>
      </c>
    </row>
    <row r="4274">
      <c r="A4274" s="3">
        <v>105977.0</v>
      </c>
      <c r="B4274" s="4" t="s">
        <v>128</v>
      </c>
      <c r="C4274" s="4" t="s">
        <v>480</v>
      </c>
      <c r="D4274" s="4" t="s">
        <v>485</v>
      </c>
      <c r="E4274" s="4">
        <v>5.41</v>
      </c>
    </row>
    <row r="4275">
      <c r="A4275" s="5">
        <v>105901.0</v>
      </c>
      <c r="B4275" s="6" t="s">
        <v>128</v>
      </c>
      <c r="C4275" s="6" t="s">
        <v>480</v>
      </c>
      <c r="D4275" s="6" t="s">
        <v>486</v>
      </c>
      <c r="E4275" s="6">
        <v>4.06</v>
      </c>
    </row>
    <row r="4276">
      <c r="A4276" s="3">
        <v>180823.0</v>
      </c>
      <c r="B4276" s="4" t="s">
        <v>128</v>
      </c>
      <c r="C4276" s="4" t="s">
        <v>480</v>
      </c>
      <c r="D4276" s="4" t="s">
        <v>486</v>
      </c>
      <c r="E4276" s="4">
        <v>8.1</v>
      </c>
    </row>
    <row r="4277">
      <c r="A4277" s="5">
        <v>118979.0</v>
      </c>
      <c r="B4277" s="6" t="s">
        <v>128</v>
      </c>
      <c r="C4277" s="6" t="s">
        <v>480</v>
      </c>
      <c r="D4277" s="6" t="s">
        <v>486</v>
      </c>
      <c r="E4277" s="6">
        <v>4.33</v>
      </c>
    </row>
    <row r="4278">
      <c r="A4278" s="3">
        <v>111502.0</v>
      </c>
      <c r="B4278" s="4" t="s">
        <v>128</v>
      </c>
      <c r="C4278" s="4" t="s">
        <v>480</v>
      </c>
      <c r="D4278" s="4" t="s">
        <v>486</v>
      </c>
      <c r="E4278" s="4">
        <v>2.37</v>
      </c>
    </row>
    <row r="4279">
      <c r="A4279" s="5">
        <v>180822.0</v>
      </c>
      <c r="B4279" s="6" t="s">
        <v>128</v>
      </c>
      <c r="C4279" s="6" t="s">
        <v>480</v>
      </c>
      <c r="D4279" s="6" t="s">
        <v>486</v>
      </c>
      <c r="E4279" s="6">
        <v>8.1</v>
      </c>
    </row>
    <row r="4280">
      <c r="A4280" s="3">
        <v>101196.0</v>
      </c>
      <c r="B4280" s="4" t="s">
        <v>128</v>
      </c>
      <c r="C4280" s="4" t="s">
        <v>480</v>
      </c>
      <c r="D4280" s="4" t="s">
        <v>486</v>
      </c>
      <c r="E4280" s="4">
        <v>3.48</v>
      </c>
    </row>
    <row r="4281">
      <c r="A4281" s="5">
        <v>180824.0</v>
      </c>
      <c r="B4281" s="6" t="s">
        <v>128</v>
      </c>
      <c r="C4281" s="6" t="s">
        <v>480</v>
      </c>
      <c r="D4281" s="6" t="s">
        <v>486</v>
      </c>
      <c r="E4281" s="6">
        <v>8.1</v>
      </c>
    </row>
    <row r="4282">
      <c r="A4282" s="3">
        <v>105905.0</v>
      </c>
      <c r="B4282" s="4" t="s">
        <v>128</v>
      </c>
      <c r="C4282" s="4" t="s">
        <v>480</v>
      </c>
      <c r="D4282" s="4" t="s">
        <v>486</v>
      </c>
      <c r="E4282" s="4">
        <v>4.06</v>
      </c>
    </row>
    <row r="4283">
      <c r="A4283" s="5">
        <v>101194.0</v>
      </c>
      <c r="B4283" s="6" t="s">
        <v>128</v>
      </c>
      <c r="C4283" s="6" t="s">
        <v>480</v>
      </c>
      <c r="D4283" s="6" t="s">
        <v>487</v>
      </c>
      <c r="E4283" s="6">
        <v>29.05</v>
      </c>
    </row>
    <row r="4284">
      <c r="A4284" s="3">
        <v>113719.0</v>
      </c>
      <c r="B4284" s="4" t="s">
        <v>128</v>
      </c>
      <c r="C4284" s="4" t="s">
        <v>480</v>
      </c>
      <c r="D4284" s="4" t="s">
        <v>487</v>
      </c>
      <c r="E4284" s="4">
        <v>152.88</v>
      </c>
    </row>
    <row r="4285">
      <c r="A4285" s="5">
        <v>111330.0</v>
      </c>
      <c r="B4285" s="6" t="s">
        <v>73</v>
      </c>
      <c r="C4285" s="6" t="s">
        <v>488</v>
      </c>
      <c r="D4285" s="6" t="s">
        <v>489</v>
      </c>
      <c r="E4285" s="6">
        <v>3.36</v>
      </c>
    </row>
    <row r="4286">
      <c r="A4286" s="3">
        <v>102089.0</v>
      </c>
      <c r="B4286" s="4" t="s">
        <v>73</v>
      </c>
      <c r="C4286" s="4" t="s">
        <v>488</v>
      </c>
      <c r="D4286" s="4" t="s">
        <v>489</v>
      </c>
      <c r="E4286" s="4">
        <v>2.85</v>
      </c>
    </row>
    <row r="4287">
      <c r="A4287" s="5">
        <v>116867.0</v>
      </c>
      <c r="B4287" s="6" t="s">
        <v>73</v>
      </c>
      <c r="C4287" s="6" t="s">
        <v>488</v>
      </c>
      <c r="D4287" s="6" t="s">
        <v>489</v>
      </c>
      <c r="E4287" s="6">
        <v>1.27</v>
      </c>
    </row>
    <row r="4288">
      <c r="A4288" s="3">
        <v>150297.0</v>
      </c>
      <c r="B4288" s="4" t="s">
        <v>73</v>
      </c>
      <c r="C4288" s="4" t="s">
        <v>488</v>
      </c>
      <c r="D4288" s="4" t="s">
        <v>489</v>
      </c>
      <c r="E4288" s="4">
        <v>3.31</v>
      </c>
    </row>
    <row r="4289">
      <c r="A4289" s="5">
        <v>23628.0</v>
      </c>
      <c r="B4289" s="6" t="s">
        <v>73</v>
      </c>
      <c r="C4289" s="6" t="s">
        <v>488</v>
      </c>
      <c r="D4289" s="6" t="s">
        <v>489</v>
      </c>
      <c r="E4289" s="6">
        <v>1.49</v>
      </c>
    </row>
    <row r="4290">
      <c r="A4290" s="3">
        <v>120369.0</v>
      </c>
      <c r="B4290" s="4" t="s">
        <v>73</v>
      </c>
      <c r="C4290" s="4" t="s">
        <v>488</v>
      </c>
      <c r="D4290" s="4" t="s">
        <v>490</v>
      </c>
      <c r="E4290" s="4">
        <v>10.01</v>
      </c>
    </row>
    <row r="4291">
      <c r="A4291" s="5">
        <v>114175.0</v>
      </c>
      <c r="B4291" s="6" t="s">
        <v>73</v>
      </c>
      <c r="C4291" s="6" t="s">
        <v>488</v>
      </c>
      <c r="D4291" s="6" t="s">
        <v>491</v>
      </c>
      <c r="E4291" s="6">
        <v>2.2</v>
      </c>
    </row>
    <row r="4292">
      <c r="A4292" s="3">
        <v>23649.0</v>
      </c>
      <c r="B4292" s="4" t="s">
        <v>73</v>
      </c>
      <c r="C4292" s="4" t="s">
        <v>488</v>
      </c>
      <c r="D4292" s="4" t="s">
        <v>491</v>
      </c>
      <c r="E4292" s="4">
        <v>1.7</v>
      </c>
    </row>
    <row r="4293">
      <c r="A4293" s="5">
        <v>80419.0</v>
      </c>
      <c r="B4293" s="6" t="s">
        <v>73</v>
      </c>
      <c r="C4293" s="6" t="s">
        <v>488</v>
      </c>
      <c r="D4293" s="6" t="s">
        <v>491</v>
      </c>
      <c r="E4293" s="6">
        <v>1.97</v>
      </c>
    </row>
    <row r="4294">
      <c r="A4294" s="3">
        <v>114173.0</v>
      </c>
      <c r="B4294" s="4" t="s">
        <v>73</v>
      </c>
      <c r="C4294" s="4" t="s">
        <v>488</v>
      </c>
      <c r="D4294" s="4" t="s">
        <v>491</v>
      </c>
      <c r="E4294" s="4">
        <v>2.1</v>
      </c>
    </row>
    <row r="4295">
      <c r="A4295" s="5">
        <v>91562.0</v>
      </c>
      <c r="B4295" s="6" t="s">
        <v>73</v>
      </c>
      <c r="C4295" s="6" t="s">
        <v>488</v>
      </c>
      <c r="D4295" s="6" t="s">
        <v>491</v>
      </c>
      <c r="E4295" s="6">
        <v>2.05</v>
      </c>
    </row>
    <row r="4296">
      <c r="A4296" s="3">
        <v>23662.0</v>
      </c>
      <c r="B4296" s="4" t="s">
        <v>73</v>
      </c>
      <c r="C4296" s="4" t="s">
        <v>488</v>
      </c>
      <c r="D4296" s="4" t="s">
        <v>491</v>
      </c>
      <c r="E4296" s="4">
        <v>0.96</v>
      </c>
    </row>
    <row r="4297">
      <c r="A4297" s="5">
        <v>76466.0</v>
      </c>
      <c r="B4297" s="6" t="s">
        <v>60</v>
      </c>
      <c r="C4297" s="6" t="s">
        <v>492</v>
      </c>
      <c r="D4297" s="6" t="s">
        <v>493</v>
      </c>
      <c r="E4297" s="6">
        <v>2.63</v>
      </c>
    </row>
    <row r="4298">
      <c r="A4298" s="3">
        <v>76465.0</v>
      </c>
      <c r="B4298" s="4" t="s">
        <v>60</v>
      </c>
      <c r="C4298" s="4" t="s">
        <v>492</v>
      </c>
      <c r="D4298" s="4" t="s">
        <v>493</v>
      </c>
      <c r="E4298" s="4">
        <v>1.56</v>
      </c>
    </row>
    <row r="4299">
      <c r="A4299" s="5">
        <v>68329.0</v>
      </c>
      <c r="B4299" s="6" t="s">
        <v>60</v>
      </c>
      <c r="C4299" s="6" t="s">
        <v>492</v>
      </c>
      <c r="D4299" s="6" t="s">
        <v>493</v>
      </c>
      <c r="E4299" s="6">
        <v>0.75</v>
      </c>
    </row>
    <row r="4300">
      <c r="A4300" s="3">
        <v>114470.0</v>
      </c>
      <c r="B4300" s="4" t="s">
        <v>60</v>
      </c>
      <c r="C4300" s="4" t="s">
        <v>492</v>
      </c>
      <c r="D4300" s="4" t="s">
        <v>493</v>
      </c>
      <c r="E4300" s="4">
        <v>3.13</v>
      </c>
    </row>
    <row r="4301">
      <c r="A4301" s="5">
        <v>110568.0</v>
      </c>
      <c r="B4301" s="6" t="s">
        <v>60</v>
      </c>
      <c r="C4301" s="6" t="s">
        <v>492</v>
      </c>
      <c r="D4301" s="6" t="s">
        <v>493</v>
      </c>
      <c r="E4301" s="6">
        <v>1.16</v>
      </c>
    </row>
    <row r="4302">
      <c r="A4302" s="3">
        <v>76470.0</v>
      </c>
      <c r="B4302" s="4" t="s">
        <v>60</v>
      </c>
      <c r="C4302" s="4" t="s">
        <v>492</v>
      </c>
      <c r="D4302" s="4" t="s">
        <v>493</v>
      </c>
      <c r="E4302" s="4">
        <v>0.89</v>
      </c>
    </row>
    <row r="4303">
      <c r="A4303" s="5">
        <v>5604.0</v>
      </c>
      <c r="B4303" s="6" t="s">
        <v>60</v>
      </c>
      <c r="C4303" s="6" t="s">
        <v>492</v>
      </c>
      <c r="D4303" s="6" t="s">
        <v>493</v>
      </c>
      <c r="E4303" s="6">
        <v>1.5</v>
      </c>
    </row>
    <row r="4304">
      <c r="A4304" s="3">
        <v>28613.0</v>
      </c>
      <c r="B4304" s="4" t="s">
        <v>60</v>
      </c>
      <c r="C4304" s="4" t="s">
        <v>492</v>
      </c>
      <c r="D4304" s="4" t="s">
        <v>493</v>
      </c>
      <c r="E4304" s="4">
        <v>1.4</v>
      </c>
    </row>
    <row r="4305">
      <c r="A4305" s="5">
        <v>159402.0</v>
      </c>
      <c r="B4305" s="6" t="s">
        <v>60</v>
      </c>
      <c r="C4305" s="6" t="s">
        <v>492</v>
      </c>
      <c r="D4305" s="6" t="s">
        <v>493</v>
      </c>
      <c r="E4305" s="6">
        <v>1.3</v>
      </c>
    </row>
    <row r="4306">
      <c r="A4306" s="3">
        <v>68379.0</v>
      </c>
      <c r="B4306" s="4" t="s">
        <v>60</v>
      </c>
      <c r="C4306" s="4" t="s">
        <v>492</v>
      </c>
      <c r="D4306" s="4" t="s">
        <v>493</v>
      </c>
      <c r="E4306" s="4">
        <v>1.07</v>
      </c>
    </row>
    <row r="4307">
      <c r="A4307" s="5">
        <v>91069.0</v>
      </c>
      <c r="B4307" s="6" t="s">
        <v>60</v>
      </c>
      <c r="C4307" s="6" t="s">
        <v>492</v>
      </c>
      <c r="D4307" s="6" t="s">
        <v>493</v>
      </c>
      <c r="E4307" s="6">
        <v>1.15</v>
      </c>
    </row>
    <row r="4308">
      <c r="A4308" s="3">
        <v>91060.0</v>
      </c>
      <c r="B4308" s="4" t="s">
        <v>60</v>
      </c>
      <c r="C4308" s="4" t="s">
        <v>492</v>
      </c>
      <c r="D4308" s="4" t="s">
        <v>493</v>
      </c>
      <c r="E4308" s="4">
        <v>6.18</v>
      </c>
    </row>
    <row r="4309">
      <c r="A4309" s="5">
        <v>182274.0</v>
      </c>
      <c r="B4309" s="6" t="s">
        <v>60</v>
      </c>
      <c r="C4309" s="6" t="s">
        <v>492</v>
      </c>
      <c r="D4309" s="6" t="s">
        <v>493</v>
      </c>
      <c r="E4309" s="6">
        <v>1.18</v>
      </c>
    </row>
    <row r="4310">
      <c r="A4310" s="3">
        <v>110566.0</v>
      </c>
      <c r="B4310" s="4" t="s">
        <v>60</v>
      </c>
      <c r="C4310" s="4" t="s">
        <v>492</v>
      </c>
      <c r="D4310" s="4" t="s">
        <v>493</v>
      </c>
      <c r="E4310" s="4">
        <v>0.97</v>
      </c>
    </row>
    <row r="4311">
      <c r="A4311" s="5">
        <v>78877.0</v>
      </c>
      <c r="B4311" s="6" t="s">
        <v>60</v>
      </c>
      <c r="C4311" s="6" t="s">
        <v>492</v>
      </c>
      <c r="D4311" s="6" t="s">
        <v>493</v>
      </c>
      <c r="E4311" s="6">
        <v>4.94</v>
      </c>
    </row>
    <row r="4312">
      <c r="A4312" s="3">
        <v>5490.0</v>
      </c>
      <c r="B4312" s="4" t="s">
        <v>60</v>
      </c>
      <c r="C4312" s="4" t="s">
        <v>492</v>
      </c>
      <c r="D4312" s="4" t="s">
        <v>493</v>
      </c>
      <c r="E4312" s="4">
        <v>1.7</v>
      </c>
    </row>
    <row r="4313">
      <c r="A4313" s="5">
        <v>68382.0</v>
      </c>
      <c r="B4313" s="6" t="s">
        <v>60</v>
      </c>
      <c r="C4313" s="6" t="s">
        <v>492</v>
      </c>
      <c r="D4313" s="6" t="s">
        <v>493</v>
      </c>
      <c r="E4313" s="6">
        <v>1.44</v>
      </c>
    </row>
    <row r="4314">
      <c r="A4314" s="3">
        <v>114663.0</v>
      </c>
      <c r="B4314" s="4" t="s">
        <v>60</v>
      </c>
      <c r="C4314" s="4" t="s">
        <v>492</v>
      </c>
      <c r="D4314" s="4" t="s">
        <v>493</v>
      </c>
      <c r="E4314" s="4">
        <v>2.14</v>
      </c>
    </row>
    <row r="4315">
      <c r="A4315" s="5">
        <v>76474.0</v>
      </c>
      <c r="B4315" s="6" t="s">
        <v>60</v>
      </c>
      <c r="C4315" s="6" t="s">
        <v>492</v>
      </c>
      <c r="D4315" s="6" t="s">
        <v>493</v>
      </c>
      <c r="E4315" s="6">
        <v>1.35</v>
      </c>
    </row>
    <row r="4316">
      <c r="A4316" s="3">
        <v>76455.0</v>
      </c>
      <c r="B4316" s="4" t="s">
        <v>60</v>
      </c>
      <c r="C4316" s="4" t="s">
        <v>492</v>
      </c>
      <c r="D4316" s="4" t="s">
        <v>493</v>
      </c>
      <c r="E4316" s="4">
        <v>1.29</v>
      </c>
    </row>
    <row r="4317">
      <c r="A4317" s="5">
        <v>46337.0</v>
      </c>
      <c r="B4317" s="6" t="s">
        <v>60</v>
      </c>
      <c r="C4317" s="6" t="s">
        <v>492</v>
      </c>
      <c r="D4317" s="6" t="s">
        <v>493</v>
      </c>
      <c r="E4317" s="6">
        <v>1.97</v>
      </c>
    </row>
    <row r="4318">
      <c r="A4318" s="3">
        <v>78430.0</v>
      </c>
      <c r="B4318" s="4" t="s">
        <v>60</v>
      </c>
      <c r="C4318" s="4" t="s">
        <v>492</v>
      </c>
      <c r="D4318" s="4" t="s">
        <v>493</v>
      </c>
      <c r="E4318" s="4">
        <v>2.54</v>
      </c>
    </row>
    <row r="4319">
      <c r="A4319" s="5">
        <v>5605.0</v>
      </c>
      <c r="B4319" s="6" t="s">
        <v>60</v>
      </c>
      <c r="C4319" s="6" t="s">
        <v>492</v>
      </c>
      <c r="D4319" s="6" t="s">
        <v>493</v>
      </c>
      <c r="E4319" s="6">
        <v>2.61</v>
      </c>
    </row>
    <row r="4320">
      <c r="A4320" s="3">
        <v>77419.0</v>
      </c>
      <c r="B4320" s="4" t="s">
        <v>60</v>
      </c>
      <c r="C4320" s="4" t="s">
        <v>492</v>
      </c>
      <c r="D4320" s="4" t="s">
        <v>493</v>
      </c>
      <c r="E4320" s="4">
        <v>1.99</v>
      </c>
    </row>
    <row r="4321">
      <c r="A4321" s="5">
        <v>121701.0</v>
      </c>
      <c r="B4321" s="6" t="s">
        <v>60</v>
      </c>
      <c r="C4321" s="6" t="s">
        <v>492</v>
      </c>
      <c r="D4321" s="6" t="s">
        <v>493</v>
      </c>
      <c r="E4321" s="6">
        <v>3.0</v>
      </c>
    </row>
    <row r="4322">
      <c r="A4322" s="3">
        <v>91072.0</v>
      </c>
      <c r="B4322" s="4" t="s">
        <v>60</v>
      </c>
      <c r="C4322" s="4" t="s">
        <v>492</v>
      </c>
      <c r="D4322" s="4" t="s">
        <v>493</v>
      </c>
      <c r="E4322" s="4">
        <v>7.19</v>
      </c>
    </row>
    <row r="4323">
      <c r="A4323" s="5">
        <v>68486.0</v>
      </c>
      <c r="B4323" s="6" t="s">
        <v>60</v>
      </c>
      <c r="C4323" s="6" t="s">
        <v>492</v>
      </c>
      <c r="D4323" s="6" t="s">
        <v>493</v>
      </c>
      <c r="E4323" s="6">
        <v>1.74</v>
      </c>
    </row>
    <row r="4324">
      <c r="A4324" s="3">
        <v>110576.0</v>
      </c>
      <c r="B4324" s="4" t="s">
        <v>60</v>
      </c>
      <c r="C4324" s="4" t="s">
        <v>492</v>
      </c>
      <c r="D4324" s="4" t="s">
        <v>493</v>
      </c>
      <c r="E4324" s="4">
        <v>1.68</v>
      </c>
    </row>
    <row r="4325">
      <c r="A4325" s="5">
        <v>78503.0</v>
      </c>
      <c r="B4325" s="6" t="s">
        <v>60</v>
      </c>
      <c r="C4325" s="6" t="s">
        <v>492</v>
      </c>
      <c r="D4325" s="6" t="s">
        <v>493</v>
      </c>
      <c r="E4325" s="6">
        <v>5.72</v>
      </c>
    </row>
    <row r="4326">
      <c r="A4326" s="3">
        <v>77439.0</v>
      </c>
      <c r="B4326" s="4" t="s">
        <v>60</v>
      </c>
      <c r="C4326" s="4" t="s">
        <v>492</v>
      </c>
      <c r="D4326" s="4" t="s">
        <v>493</v>
      </c>
      <c r="E4326" s="4">
        <v>1.41</v>
      </c>
    </row>
    <row r="4327">
      <c r="A4327" s="5">
        <v>5615.0</v>
      </c>
      <c r="B4327" s="6" t="s">
        <v>60</v>
      </c>
      <c r="C4327" s="6" t="s">
        <v>492</v>
      </c>
      <c r="D4327" s="6" t="s">
        <v>493</v>
      </c>
      <c r="E4327" s="6">
        <v>0.97</v>
      </c>
    </row>
    <row r="4328">
      <c r="A4328" s="3">
        <v>5602.0</v>
      </c>
      <c r="B4328" s="4" t="s">
        <v>60</v>
      </c>
      <c r="C4328" s="4" t="s">
        <v>492</v>
      </c>
      <c r="D4328" s="4" t="s">
        <v>493</v>
      </c>
      <c r="E4328" s="4">
        <v>1.36</v>
      </c>
    </row>
    <row r="4329">
      <c r="A4329" s="5">
        <v>28612.0</v>
      </c>
      <c r="B4329" s="6" t="s">
        <v>60</v>
      </c>
      <c r="C4329" s="6" t="s">
        <v>492</v>
      </c>
      <c r="D4329" s="6" t="s">
        <v>493</v>
      </c>
      <c r="E4329" s="6">
        <v>1.09</v>
      </c>
    </row>
    <row r="4330">
      <c r="A4330" s="3">
        <v>72247.0</v>
      </c>
      <c r="B4330" s="4" t="s">
        <v>60</v>
      </c>
      <c r="C4330" s="4" t="s">
        <v>492</v>
      </c>
      <c r="D4330" s="4" t="s">
        <v>493</v>
      </c>
      <c r="E4330" s="4">
        <v>7.14</v>
      </c>
    </row>
    <row r="4331">
      <c r="A4331" s="5">
        <v>76469.0</v>
      </c>
      <c r="B4331" s="6" t="s">
        <v>60</v>
      </c>
      <c r="C4331" s="6" t="s">
        <v>492</v>
      </c>
      <c r="D4331" s="6" t="s">
        <v>493</v>
      </c>
      <c r="E4331" s="6">
        <v>1.5</v>
      </c>
    </row>
    <row r="4332">
      <c r="A4332" s="3">
        <v>78876.0</v>
      </c>
      <c r="B4332" s="4" t="s">
        <v>60</v>
      </c>
      <c r="C4332" s="4" t="s">
        <v>492</v>
      </c>
      <c r="D4332" s="4" t="s">
        <v>493</v>
      </c>
      <c r="E4332" s="4">
        <v>5.48</v>
      </c>
    </row>
    <row r="4333">
      <c r="A4333" s="5">
        <v>91064.0</v>
      </c>
      <c r="B4333" s="6" t="s">
        <v>60</v>
      </c>
      <c r="C4333" s="6" t="s">
        <v>492</v>
      </c>
      <c r="D4333" s="6" t="s">
        <v>493</v>
      </c>
      <c r="E4333" s="6">
        <v>1.88</v>
      </c>
    </row>
    <row r="4334">
      <c r="A4334" s="3">
        <v>5603.0</v>
      </c>
      <c r="B4334" s="4" t="s">
        <v>60</v>
      </c>
      <c r="C4334" s="4" t="s">
        <v>492</v>
      </c>
      <c r="D4334" s="4" t="s">
        <v>493</v>
      </c>
      <c r="E4334" s="4">
        <v>2.28</v>
      </c>
    </row>
    <row r="4335">
      <c r="A4335" s="5">
        <v>5612.0</v>
      </c>
      <c r="B4335" s="6" t="s">
        <v>60</v>
      </c>
      <c r="C4335" s="6" t="s">
        <v>492</v>
      </c>
      <c r="D4335" s="6" t="s">
        <v>493</v>
      </c>
      <c r="E4335" s="6">
        <v>1.56</v>
      </c>
    </row>
    <row r="4336">
      <c r="A4336" s="3">
        <v>43897.0</v>
      </c>
      <c r="B4336" s="4" t="s">
        <v>60</v>
      </c>
      <c r="C4336" s="4" t="s">
        <v>492</v>
      </c>
      <c r="D4336" s="4" t="s">
        <v>493</v>
      </c>
      <c r="E4336" s="4">
        <v>2.71</v>
      </c>
    </row>
    <row r="4337">
      <c r="A4337" s="5">
        <v>91058.0</v>
      </c>
      <c r="B4337" s="6" t="s">
        <v>60</v>
      </c>
      <c r="C4337" s="6" t="s">
        <v>492</v>
      </c>
      <c r="D4337" s="6" t="s">
        <v>493</v>
      </c>
      <c r="E4337" s="6">
        <v>1.75</v>
      </c>
    </row>
    <row r="4338">
      <c r="A4338" s="3">
        <v>107998.0</v>
      </c>
      <c r="B4338" s="4" t="s">
        <v>60</v>
      </c>
      <c r="C4338" s="4" t="s">
        <v>492</v>
      </c>
      <c r="D4338" s="4" t="s">
        <v>493</v>
      </c>
      <c r="E4338" s="4">
        <v>1.72</v>
      </c>
    </row>
    <row r="4339">
      <c r="A4339" s="5">
        <v>112194.0</v>
      </c>
      <c r="B4339" s="6" t="s">
        <v>60</v>
      </c>
      <c r="C4339" s="6" t="s">
        <v>492</v>
      </c>
      <c r="D4339" s="6" t="s">
        <v>493</v>
      </c>
      <c r="E4339" s="6">
        <v>1.26</v>
      </c>
    </row>
    <row r="4340">
      <c r="A4340" s="3">
        <v>68232.0</v>
      </c>
      <c r="B4340" s="4" t="s">
        <v>60</v>
      </c>
      <c r="C4340" s="4" t="s">
        <v>492</v>
      </c>
      <c r="D4340" s="4" t="s">
        <v>493</v>
      </c>
      <c r="E4340" s="4">
        <v>4.69</v>
      </c>
    </row>
    <row r="4341">
      <c r="A4341" s="5">
        <v>159386.0</v>
      </c>
      <c r="B4341" s="6" t="s">
        <v>60</v>
      </c>
      <c r="C4341" s="6" t="s">
        <v>492</v>
      </c>
      <c r="D4341" s="6" t="s">
        <v>493</v>
      </c>
      <c r="E4341" s="6">
        <v>1.3</v>
      </c>
    </row>
    <row r="4342">
      <c r="A4342" s="3">
        <v>76471.0</v>
      </c>
      <c r="B4342" s="4" t="s">
        <v>60</v>
      </c>
      <c r="C4342" s="4" t="s">
        <v>492</v>
      </c>
      <c r="D4342" s="4" t="s">
        <v>493</v>
      </c>
      <c r="E4342" s="4">
        <v>1.53</v>
      </c>
    </row>
    <row r="4343">
      <c r="A4343" s="5">
        <v>68357.0</v>
      </c>
      <c r="B4343" s="6" t="s">
        <v>60</v>
      </c>
      <c r="C4343" s="6" t="s">
        <v>492</v>
      </c>
      <c r="D4343" s="6" t="s">
        <v>493</v>
      </c>
      <c r="E4343" s="6">
        <v>5.62</v>
      </c>
    </row>
    <row r="4344">
      <c r="A4344" s="3">
        <v>68303.0</v>
      </c>
      <c r="B4344" s="4" t="s">
        <v>60</v>
      </c>
      <c r="C4344" s="4" t="s">
        <v>492</v>
      </c>
      <c r="D4344" s="4" t="s">
        <v>493</v>
      </c>
      <c r="E4344" s="4">
        <v>2.98</v>
      </c>
    </row>
    <row r="4345">
      <c r="A4345" s="5">
        <v>68325.0</v>
      </c>
      <c r="B4345" s="6" t="s">
        <v>60</v>
      </c>
      <c r="C4345" s="6" t="s">
        <v>492</v>
      </c>
      <c r="D4345" s="6" t="s">
        <v>493</v>
      </c>
      <c r="E4345" s="6">
        <v>0.85</v>
      </c>
    </row>
    <row r="4346">
      <c r="A4346" s="3">
        <v>68515.0</v>
      </c>
      <c r="B4346" s="4" t="s">
        <v>60</v>
      </c>
      <c r="C4346" s="4" t="s">
        <v>492</v>
      </c>
      <c r="D4346" s="4" t="s">
        <v>493</v>
      </c>
      <c r="E4346" s="4">
        <v>1.74</v>
      </c>
    </row>
    <row r="4347">
      <c r="A4347" s="5">
        <v>107989.0</v>
      </c>
      <c r="B4347" s="6" t="s">
        <v>60</v>
      </c>
      <c r="C4347" s="6" t="s">
        <v>492</v>
      </c>
      <c r="D4347" s="6" t="s">
        <v>493</v>
      </c>
      <c r="E4347" s="6">
        <v>1.67</v>
      </c>
    </row>
    <row r="4348">
      <c r="A4348" s="3">
        <v>76732.0</v>
      </c>
      <c r="B4348" s="4" t="s">
        <v>60</v>
      </c>
      <c r="C4348" s="4" t="s">
        <v>492</v>
      </c>
      <c r="D4348" s="4" t="s">
        <v>493</v>
      </c>
      <c r="E4348" s="4">
        <v>5.46</v>
      </c>
    </row>
    <row r="4349">
      <c r="A4349" s="5">
        <v>14711.0</v>
      </c>
      <c r="B4349" s="6" t="s">
        <v>60</v>
      </c>
      <c r="C4349" s="6" t="s">
        <v>492</v>
      </c>
      <c r="D4349" s="6" t="s">
        <v>494</v>
      </c>
      <c r="E4349" s="6">
        <v>1.45</v>
      </c>
    </row>
    <row r="4350">
      <c r="A4350" s="3">
        <v>14706.0</v>
      </c>
      <c r="B4350" s="4" t="s">
        <v>60</v>
      </c>
      <c r="C4350" s="4" t="s">
        <v>492</v>
      </c>
      <c r="D4350" s="4" t="s">
        <v>494</v>
      </c>
      <c r="E4350" s="4">
        <v>1.01</v>
      </c>
    </row>
    <row r="4351">
      <c r="A4351" s="5">
        <v>23975.0</v>
      </c>
      <c r="B4351" s="6" t="s">
        <v>60</v>
      </c>
      <c r="C4351" s="6" t="s">
        <v>492</v>
      </c>
      <c r="D4351" s="6" t="s">
        <v>494</v>
      </c>
      <c r="E4351" s="6">
        <v>2.66</v>
      </c>
    </row>
    <row r="4352">
      <c r="A4352" s="3">
        <v>90665.0</v>
      </c>
      <c r="B4352" s="4" t="s">
        <v>60</v>
      </c>
      <c r="C4352" s="4" t="s">
        <v>492</v>
      </c>
      <c r="D4352" s="4" t="s">
        <v>494</v>
      </c>
      <c r="E4352" s="4">
        <v>0.86</v>
      </c>
    </row>
    <row r="4353">
      <c r="A4353" s="5">
        <v>69551.0</v>
      </c>
      <c r="B4353" s="6" t="s">
        <v>60</v>
      </c>
      <c r="C4353" s="6" t="s">
        <v>492</v>
      </c>
      <c r="D4353" s="6" t="s">
        <v>494</v>
      </c>
      <c r="E4353" s="6">
        <v>2.83</v>
      </c>
    </row>
    <row r="4354">
      <c r="A4354" s="3">
        <v>69503.0</v>
      </c>
      <c r="B4354" s="4" t="s">
        <v>60</v>
      </c>
      <c r="C4354" s="4" t="s">
        <v>492</v>
      </c>
      <c r="D4354" s="4" t="s">
        <v>494</v>
      </c>
      <c r="E4354" s="4">
        <v>2.16</v>
      </c>
    </row>
    <row r="4355">
      <c r="A4355" s="5">
        <v>23473.0</v>
      </c>
      <c r="B4355" s="6" t="s">
        <v>60</v>
      </c>
      <c r="C4355" s="6" t="s">
        <v>492</v>
      </c>
      <c r="D4355" s="6" t="s">
        <v>494</v>
      </c>
      <c r="E4355" s="6">
        <v>2.15</v>
      </c>
    </row>
    <row r="4356">
      <c r="A4356" s="3">
        <v>69500.0</v>
      </c>
      <c r="B4356" s="4" t="s">
        <v>60</v>
      </c>
      <c r="C4356" s="4" t="s">
        <v>492</v>
      </c>
      <c r="D4356" s="4" t="s">
        <v>494</v>
      </c>
      <c r="E4356" s="4">
        <v>3.67</v>
      </c>
    </row>
    <row r="4357">
      <c r="A4357" s="5">
        <v>14689.0</v>
      </c>
      <c r="B4357" s="6" t="s">
        <v>60</v>
      </c>
      <c r="C4357" s="6" t="s">
        <v>492</v>
      </c>
      <c r="D4357" s="6" t="s">
        <v>494</v>
      </c>
      <c r="E4357" s="6">
        <v>3.32</v>
      </c>
    </row>
    <row r="4358">
      <c r="A4358" s="3">
        <v>19409.0</v>
      </c>
      <c r="B4358" s="4" t="s">
        <v>60</v>
      </c>
      <c r="C4358" s="4" t="s">
        <v>492</v>
      </c>
      <c r="D4358" s="4" t="s">
        <v>494</v>
      </c>
      <c r="E4358" s="4">
        <v>3.68</v>
      </c>
    </row>
    <row r="4359">
      <c r="A4359" s="5">
        <v>69526.0</v>
      </c>
      <c r="B4359" s="6" t="s">
        <v>60</v>
      </c>
      <c r="C4359" s="6" t="s">
        <v>492</v>
      </c>
      <c r="D4359" s="6" t="s">
        <v>494</v>
      </c>
      <c r="E4359" s="6">
        <v>1.86</v>
      </c>
    </row>
    <row r="4360">
      <c r="A4360" s="3">
        <v>19412.0</v>
      </c>
      <c r="B4360" s="4" t="s">
        <v>60</v>
      </c>
      <c r="C4360" s="4" t="s">
        <v>492</v>
      </c>
      <c r="D4360" s="4" t="s">
        <v>494</v>
      </c>
      <c r="E4360" s="4">
        <v>2.42</v>
      </c>
    </row>
    <row r="4361">
      <c r="A4361" s="5">
        <v>23471.0</v>
      </c>
      <c r="B4361" s="6" t="s">
        <v>60</v>
      </c>
      <c r="C4361" s="6" t="s">
        <v>492</v>
      </c>
      <c r="D4361" s="6" t="s">
        <v>494</v>
      </c>
      <c r="E4361" s="6">
        <v>3.3</v>
      </c>
    </row>
    <row r="4362">
      <c r="A4362" s="3">
        <v>14670.0</v>
      </c>
      <c r="B4362" s="4" t="s">
        <v>60</v>
      </c>
      <c r="C4362" s="4" t="s">
        <v>492</v>
      </c>
      <c r="D4362" s="4" t="s">
        <v>494</v>
      </c>
      <c r="E4362" s="4">
        <v>2.06</v>
      </c>
    </row>
    <row r="4363">
      <c r="A4363" s="5">
        <v>69499.0</v>
      </c>
      <c r="B4363" s="6" t="s">
        <v>60</v>
      </c>
      <c r="C4363" s="6" t="s">
        <v>492</v>
      </c>
      <c r="D4363" s="6" t="s">
        <v>494</v>
      </c>
      <c r="E4363" s="6">
        <v>2.2</v>
      </c>
    </row>
    <row r="4364">
      <c r="A4364" s="3">
        <v>90686.0</v>
      </c>
      <c r="B4364" s="4" t="s">
        <v>60</v>
      </c>
      <c r="C4364" s="4" t="s">
        <v>492</v>
      </c>
      <c r="D4364" s="4" t="s">
        <v>494</v>
      </c>
      <c r="E4364" s="4">
        <v>0.69</v>
      </c>
    </row>
    <row r="4365">
      <c r="A4365" s="5">
        <v>111872.0</v>
      </c>
      <c r="B4365" s="6" t="s">
        <v>60</v>
      </c>
      <c r="C4365" s="6" t="s">
        <v>492</v>
      </c>
      <c r="D4365" s="6" t="s">
        <v>494</v>
      </c>
      <c r="E4365" s="6">
        <v>2.34</v>
      </c>
    </row>
    <row r="4366">
      <c r="A4366" s="3">
        <v>23964.0</v>
      </c>
      <c r="B4366" s="4" t="s">
        <v>60</v>
      </c>
      <c r="C4366" s="4" t="s">
        <v>492</v>
      </c>
      <c r="D4366" s="4" t="s">
        <v>494</v>
      </c>
      <c r="E4366" s="4">
        <v>3.86</v>
      </c>
    </row>
    <row r="4367">
      <c r="A4367" s="5">
        <v>111837.0</v>
      </c>
      <c r="B4367" s="6" t="s">
        <v>60</v>
      </c>
      <c r="C4367" s="6" t="s">
        <v>492</v>
      </c>
      <c r="D4367" s="6" t="s">
        <v>494</v>
      </c>
      <c r="E4367" s="6">
        <v>2.61</v>
      </c>
    </row>
    <row r="4368">
      <c r="A4368" s="3">
        <v>19377.0</v>
      </c>
      <c r="B4368" s="4" t="s">
        <v>60</v>
      </c>
      <c r="C4368" s="4" t="s">
        <v>492</v>
      </c>
      <c r="D4368" s="4" t="s">
        <v>494</v>
      </c>
      <c r="E4368" s="4">
        <v>2.42</v>
      </c>
    </row>
    <row r="4369">
      <c r="A4369" s="5">
        <v>111836.0</v>
      </c>
      <c r="B4369" s="6" t="s">
        <v>60</v>
      </c>
      <c r="C4369" s="6" t="s">
        <v>492</v>
      </c>
      <c r="D4369" s="6" t="s">
        <v>494</v>
      </c>
      <c r="E4369" s="6">
        <v>1.71</v>
      </c>
    </row>
    <row r="4370">
      <c r="A4370" s="3">
        <v>190103.0</v>
      </c>
      <c r="B4370" s="4" t="s">
        <v>60</v>
      </c>
      <c r="C4370" s="4" t="s">
        <v>492</v>
      </c>
      <c r="D4370" s="4" t="s">
        <v>494</v>
      </c>
      <c r="E4370" s="4">
        <v>1.7</v>
      </c>
    </row>
    <row r="4371">
      <c r="A4371" s="5">
        <v>19408.0</v>
      </c>
      <c r="B4371" s="6" t="s">
        <v>60</v>
      </c>
      <c r="C4371" s="6" t="s">
        <v>492</v>
      </c>
      <c r="D4371" s="6" t="s">
        <v>494</v>
      </c>
      <c r="E4371" s="6">
        <v>3.26</v>
      </c>
    </row>
    <row r="4372">
      <c r="A4372" s="3">
        <v>14694.0</v>
      </c>
      <c r="B4372" s="4" t="s">
        <v>60</v>
      </c>
      <c r="C4372" s="4" t="s">
        <v>492</v>
      </c>
      <c r="D4372" s="4" t="s">
        <v>494</v>
      </c>
      <c r="E4372" s="4">
        <v>1.03</v>
      </c>
    </row>
    <row r="4373">
      <c r="A4373" s="5">
        <v>5686.0</v>
      </c>
      <c r="B4373" s="6" t="s">
        <v>60</v>
      </c>
      <c r="C4373" s="6" t="s">
        <v>492</v>
      </c>
      <c r="D4373" s="6" t="s">
        <v>494</v>
      </c>
      <c r="E4373" s="6">
        <v>1.83</v>
      </c>
    </row>
    <row r="4374">
      <c r="A4374" s="3">
        <v>111842.0</v>
      </c>
      <c r="B4374" s="4" t="s">
        <v>60</v>
      </c>
      <c r="C4374" s="4" t="s">
        <v>492</v>
      </c>
      <c r="D4374" s="4" t="s">
        <v>494</v>
      </c>
      <c r="E4374" s="4">
        <v>2.39</v>
      </c>
    </row>
    <row r="4375">
      <c r="A4375" s="5">
        <v>23978.0</v>
      </c>
      <c r="B4375" s="6" t="s">
        <v>60</v>
      </c>
      <c r="C4375" s="6" t="s">
        <v>492</v>
      </c>
      <c r="D4375" s="6" t="s">
        <v>494</v>
      </c>
      <c r="E4375" s="6">
        <v>2.27</v>
      </c>
    </row>
    <row r="4376">
      <c r="A4376" s="3">
        <v>14682.0</v>
      </c>
      <c r="B4376" s="4" t="s">
        <v>60</v>
      </c>
      <c r="C4376" s="4" t="s">
        <v>492</v>
      </c>
      <c r="D4376" s="4" t="s">
        <v>494</v>
      </c>
      <c r="E4376" s="4">
        <v>0.89</v>
      </c>
    </row>
    <row r="4377">
      <c r="A4377" s="5">
        <v>111873.0</v>
      </c>
      <c r="B4377" s="6" t="s">
        <v>60</v>
      </c>
      <c r="C4377" s="6" t="s">
        <v>492</v>
      </c>
      <c r="D4377" s="6" t="s">
        <v>494</v>
      </c>
      <c r="E4377" s="6">
        <v>3.28</v>
      </c>
    </row>
    <row r="4378">
      <c r="A4378" s="3">
        <v>23454.0</v>
      </c>
      <c r="B4378" s="4" t="s">
        <v>60</v>
      </c>
      <c r="C4378" s="4" t="s">
        <v>492</v>
      </c>
      <c r="D4378" s="4" t="s">
        <v>494</v>
      </c>
      <c r="E4378" s="4">
        <v>2.5</v>
      </c>
    </row>
    <row r="4379">
      <c r="A4379" s="5">
        <v>16760.0</v>
      </c>
      <c r="B4379" s="6" t="s">
        <v>60</v>
      </c>
      <c r="C4379" s="6" t="s">
        <v>492</v>
      </c>
      <c r="D4379" s="6" t="s">
        <v>494</v>
      </c>
      <c r="E4379" s="6">
        <v>3.16</v>
      </c>
    </row>
    <row r="4380">
      <c r="A4380" s="3">
        <v>14709.0</v>
      </c>
      <c r="B4380" s="4" t="s">
        <v>60</v>
      </c>
      <c r="C4380" s="4" t="s">
        <v>492</v>
      </c>
      <c r="D4380" s="4" t="s">
        <v>494</v>
      </c>
      <c r="E4380" s="4">
        <v>0.99</v>
      </c>
    </row>
    <row r="4381">
      <c r="A4381" s="5">
        <v>14665.0</v>
      </c>
      <c r="B4381" s="6" t="s">
        <v>60</v>
      </c>
      <c r="C4381" s="6" t="s">
        <v>492</v>
      </c>
      <c r="D4381" s="6" t="s">
        <v>494</v>
      </c>
      <c r="E4381" s="6">
        <v>1.0</v>
      </c>
    </row>
    <row r="4382">
      <c r="A4382" s="3">
        <v>8869.0</v>
      </c>
      <c r="B4382" s="4" t="s">
        <v>60</v>
      </c>
      <c r="C4382" s="4" t="s">
        <v>495</v>
      </c>
      <c r="D4382" s="4" t="s">
        <v>496</v>
      </c>
      <c r="E4382" s="4">
        <v>3.88</v>
      </c>
    </row>
    <row r="4383">
      <c r="A4383" s="5">
        <v>68520.0</v>
      </c>
      <c r="B4383" s="6" t="s">
        <v>60</v>
      </c>
      <c r="C4383" s="6" t="s">
        <v>495</v>
      </c>
      <c r="D4383" s="6" t="s">
        <v>496</v>
      </c>
      <c r="E4383" s="6">
        <v>4.24</v>
      </c>
    </row>
    <row r="4384">
      <c r="A4384" s="3">
        <v>107331.0</v>
      </c>
      <c r="B4384" s="4" t="s">
        <v>60</v>
      </c>
      <c r="C4384" s="4" t="s">
        <v>495</v>
      </c>
      <c r="D4384" s="4" t="s">
        <v>496</v>
      </c>
      <c r="E4384" s="4">
        <v>2.07</v>
      </c>
    </row>
    <row r="4385">
      <c r="A4385" s="5">
        <v>107325.0</v>
      </c>
      <c r="B4385" s="6" t="s">
        <v>60</v>
      </c>
      <c r="C4385" s="6" t="s">
        <v>495</v>
      </c>
      <c r="D4385" s="6" t="s">
        <v>496</v>
      </c>
      <c r="E4385" s="6">
        <v>2.69</v>
      </c>
    </row>
    <row r="4386">
      <c r="A4386" s="3">
        <v>8871.0</v>
      </c>
      <c r="B4386" s="4" t="s">
        <v>60</v>
      </c>
      <c r="C4386" s="4" t="s">
        <v>495</v>
      </c>
      <c r="D4386" s="4" t="s">
        <v>496</v>
      </c>
      <c r="E4386" s="4">
        <v>5.1</v>
      </c>
    </row>
    <row r="4387">
      <c r="A4387" s="5">
        <v>107334.0</v>
      </c>
      <c r="B4387" s="6" t="s">
        <v>60</v>
      </c>
      <c r="C4387" s="6" t="s">
        <v>495</v>
      </c>
      <c r="D4387" s="6" t="s">
        <v>496</v>
      </c>
      <c r="E4387" s="6">
        <v>2.07</v>
      </c>
    </row>
    <row r="4388">
      <c r="A4388" s="3">
        <v>120302.0</v>
      </c>
      <c r="B4388" s="4" t="s">
        <v>60</v>
      </c>
      <c r="C4388" s="4" t="s">
        <v>495</v>
      </c>
      <c r="D4388" s="4" t="s">
        <v>497</v>
      </c>
      <c r="E4388" s="4">
        <v>2.12</v>
      </c>
    </row>
    <row r="4389">
      <c r="A4389" s="5">
        <v>117661.0</v>
      </c>
      <c r="B4389" s="6" t="s">
        <v>60</v>
      </c>
      <c r="C4389" s="6" t="s">
        <v>495</v>
      </c>
      <c r="D4389" s="6" t="s">
        <v>497</v>
      </c>
      <c r="E4389" s="6">
        <v>2.32</v>
      </c>
    </row>
    <row r="4390">
      <c r="A4390" s="3">
        <v>79006.0</v>
      </c>
      <c r="B4390" s="4" t="s">
        <v>60</v>
      </c>
      <c r="C4390" s="4" t="s">
        <v>495</v>
      </c>
      <c r="D4390" s="4" t="s">
        <v>497</v>
      </c>
      <c r="E4390" s="4">
        <v>2.66</v>
      </c>
    </row>
    <row r="4391">
      <c r="A4391" s="5">
        <v>17133.0</v>
      </c>
      <c r="B4391" s="6" t="s">
        <v>60</v>
      </c>
      <c r="C4391" s="6" t="s">
        <v>495</v>
      </c>
      <c r="D4391" s="6" t="s">
        <v>497</v>
      </c>
      <c r="E4391" s="6">
        <v>0.98</v>
      </c>
    </row>
    <row r="4392">
      <c r="A4392" s="3">
        <v>76818.0</v>
      </c>
      <c r="B4392" s="4" t="s">
        <v>60</v>
      </c>
      <c r="C4392" s="4" t="s">
        <v>495</v>
      </c>
      <c r="D4392" s="4" t="s">
        <v>497</v>
      </c>
      <c r="E4392" s="4">
        <v>1.98</v>
      </c>
    </row>
    <row r="4393">
      <c r="A4393" s="5">
        <v>70236.0</v>
      </c>
      <c r="B4393" s="6" t="s">
        <v>60</v>
      </c>
      <c r="C4393" s="6" t="s">
        <v>495</v>
      </c>
      <c r="D4393" s="6" t="s">
        <v>497</v>
      </c>
      <c r="E4393" s="6">
        <v>1.85</v>
      </c>
    </row>
    <row r="4394">
      <c r="A4394" s="3">
        <v>91342.0</v>
      </c>
      <c r="B4394" s="4" t="s">
        <v>60</v>
      </c>
      <c r="C4394" s="4" t="s">
        <v>495</v>
      </c>
      <c r="D4394" s="4" t="s">
        <v>497</v>
      </c>
      <c r="E4394" s="4">
        <v>1.34</v>
      </c>
    </row>
    <row r="4395">
      <c r="A4395" s="5">
        <v>121782.0</v>
      </c>
      <c r="B4395" s="6" t="s">
        <v>60</v>
      </c>
      <c r="C4395" s="6" t="s">
        <v>495</v>
      </c>
      <c r="D4395" s="6" t="s">
        <v>497</v>
      </c>
      <c r="E4395" s="6">
        <v>2.5</v>
      </c>
    </row>
    <row r="4396">
      <c r="A4396" s="3">
        <v>76822.0</v>
      </c>
      <c r="B4396" s="4" t="s">
        <v>60</v>
      </c>
      <c r="C4396" s="4" t="s">
        <v>495</v>
      </c>
      <c r="D4396" s="4" t="s">
        <v>497</v>
      </c>
      <c r="E4396" s="4">
        <v>1.98</v>
      </c>
    </row>
    <row r="4397">
      <c r="A4397" s="5">
        <v>100278.0</v>
      </c>
      <c r="B4397" s="6" t="s">
        <v>60</v>
      </c>
      <c r="C4397" s="6" t="s">
        <v>495</v>
      </c>
      <c r="D4397" s="6" t="s">
        <v>497</v>
      </c>
      <c r="E4397" s="6">
        <v>0.87</v>
      </c>
    </row>
    <row r="4398">
      <c r="A4398" s="3">
        <v>122795.0</v>
      </c>
      <c r="B4398" s="4" t="s">
        <v>60</v>
      </c>
      <c r="C4398" s="4" t="s">
        <v>495</v>
      </c>
      <c r="D4398" s="4" t="s">
        <v>497</v>
      </c>
      <c r="E4398" s="4">
        <v>2.19</v>
      </c>
    </row>
    <row r="4399">
      <c r="A4399" s="5">
        <v>100282.0</v>
      </c>
      <c r="B4399" s="6" t="s">
        <v>60</v>
      </c>
      <c r="C4399" s="6" t="s">
        <v>495</v>
      </c>
      <c r="D4399" s="6" t="s">
        <v>497</v>
      </c>
      <c r="E4399" s="6">
        <v>0.9</v>
      </c>
    </row>
    <row r="4400">
      <c r="A4400" s="3">
        <v>68867.0</v>
      </c>
      <c r="B4400" s="4" t="s">
        <v>60</v>
      </c>
      <c r="C4400" s="4" t="s">
        <v>495</v>
      </c>
      <c r="D4400" s="4" t="s">
        <v>497</v>
      </c>
      <c r="E4400" s="4">
        <v>1.85</v>
      </c>
    </row>
    <row r="4401">
      <c r="A4401" s="5">
        <v>8862.0</v>
      </c>
      <c r="B4401" s="6" t="s">
        <v>60</v>
      </c>
      <c r="C4401" s="6" t="s">
        <v>495</v>
      </c>
      <c r="D4401" s="6" t="s">
        <v>497</v>
      </c>
      <c r="E4401" s="6">
        <v>2.9</v>
      </c>
    </row>
    <row r="4402">
      <c r="A4402" s="3">
        <v>72131.0</v>
      </c>
      <c r="B4402" s="4" t="s">
        <v>60</v>
      </c>
      <c r="C4402" s="4" t="s">
        <v>495</v>
      </c>
      <c r="D4402" s="4" t="s">
        <v>497</v>
      </c>
      <c r="E4402" s="4">
        <v>0.75</v>
      </c>
    </row>
    <row r="4403">
      <c r="A4403" s="5">
        <v>12047.0</v>
      </c>
      <c r="B4403" s="6" t="s">
        <v>60</v>
      </c>
      <c r="C4403" s="6" t="s">
        <v>495</v>
      </c>
      <c r="D4403" s="6" t="s">
        <v>497</v>
      </c>
      <c r="E4403" s="6">
        <v>0.75</v>
      </c>
    </row>
    <row r="4404">
      <c r="A4404" s="3">
        <v>121790.0</v>
      </c>
      <c r="B4404" s="4" t="s">
        <v>60</v>
      </c>
      <c r="C4404" s="4" t="s">
        <v>495</v>
      </c>
      <c r="D4404" s="4" t="s">
        <v>497</v>
      </c>
      <c r="E4404" s="4">
        <v>2.59</v>
      </c>
    </row>
    <row r="4405">
      <c r="A4405" s="5">
        <v>121787.0</v>
      </c>
      <c r="B4405" s="6" t="s">
        <v>60</v>
      </c>
      <c r="C4405" s="6" t="s">
        <v>495</v>
      </c>
      <c r="D4405" s="6" t="s">
        <v>497</v>
      </c>
      <c r="E4405" s="6">
        <v>2.39</v>
      </c>
    </row>
    <row r="4406">
      <c r="A4406" s="3">
        <v>70239.0</v>
      </c>
      <c r="B4406" s="4" t="s">
        <v>60</v>
      </c>
      <c r="C4406" s="4" t="s">
        <v>495</v>
      </c>
      <c r="D4406" s="4" t="s">
        <v>497</v>
      </c>
      <c r="E4406" s="4">
        <v>1.81</v>
      </c>
    </row>
    <row r="4407">
      <c r="A4407" s="5">
        <v>113942.0</v>
      </c>
      <c r="B4407" s="6" t="s">
        <v>60</v>
      </c>
      <c r="C4407" s="6" t="s">
        <v>495</v>
      </c>
      <c r="D4407" s="6" t="s">
        <v>497</v>
      </c>
      <c r="E4407" s="6">
        <v>1.9</v>
      </c>
    </row>
    <row r="4408">
      <c r="A4408" s="3">
        <v>119134.0</v>
      </c>
      <c r="B4408" s="4" t="s">
        <v>60</v>
      </c>
      <c r="C4408" s="4" t="s">
        <v>495</v>
      </c>
      <c r="D4408" s="4" t="s">
        <v>497</v>
      </c>
      <c r="E4408" s="4">
        <v>2.48</v>
      </c>
    </row>
    <row r="4409">
      <c r="A4409" s="5">
        <v>76813.0</v>
      </c>
      <c r="B4409" s="6" t="s">
        <v>60</v>
      </c>
      <c r="C4409" s="6" t="s">
        <v>495</v>
      </c>
      <c r="D4409" s="6" t="s">
        <v>497</v>
      </c>
      <c r="E4409" s="6">
        <v>1.98</v>
      </c>
    </row>
    <row r="4410">
      <c r="A4410" s="3">
        <v>121793.0</v>
      </c>
      <c r="B4410" s="4" t="s">
        <v>60</v>
      </c>
      <c r="C4410" s="4" t="s">
        <v>495</v>
      </c>
      <c r="D4410" s="4" t="s">
        <v>497</v>
      </c>
      <c r="E4410" s="4">
        <v>2.6</v>
      </c>
    </row>
    <row r="4411">
      <c r="A4411" s="5">
        <v>100283.0</v>
      </c>
      <c r="B4411" s="6" t="s">
        <v>60</v>
      </c>
      <c r="C4411" s="6" t="s">
        <v>495</v>
      </c>
      <c r="D4411" s="6" t="s">
        <v>497</v>
      </c>
      <c r="E4411" s="6">
        <v>0.87</v>
      </c>
    </row>
    <row r="4412">
      <c r="A4412" s="3">
        <v>75028.0</v>
      </c>
      <c r="B4412" s="4" t="s">
        <v>60</v>
      </c>
      <c r="C4412" s="4" t="s">
        <v>495</v>
      </c>
      <c r="D4412" s="4" t="s">
        <v>497</v>
      </c>
      <c r="E4412" s="4">
        <v>2.48</v>
      </c>
    </row>
    <row r="4413">
      <c r="A4413" s="5">
        <v>113946.0</v>
      </c>
      <c r="B4413" s="6" t="s">
        <v>60</v>
      </c>
      <c r="C4413" s="6" t="s">
        <v>495</v>
      </c>
      <c r="D4413" s="6" t="s">
        <v>497</v>
      </c>
      <c r="E4413" s="6">
        <v>1.93</v>
      </c>
    </row>
    <row r="4414">
      <c r="A4414" s="3">
        <v>12050.0</v>
      </c>
      <c r="B4414" s="4" t="s">
        <v>60</v>
      </c>
      <c r="C4414" s="4" t="s">
        <v>495</v>
      </c>
      <c r="D4414" s="4" t="s">
        <v>497</v>
      </c>
      <c r="E4414" s="4">
        <v>0.75</v>
      </c>
    </row>
    <row r="4415">
      <c r="A4415" s="5">
        <v>104312.0</v>
      </c>
      <c r="B4415" s="6" t="s">
        <v>60</v>
      </c>
      <c r="C4415" s="6" t="s">
        <v>495</v>
      </c>
      <c r="D4415" s="6" t="s">
        <v>497</v>
      </c>
      <c r="E4415" s="6">
        <v>1.23</v>
      </c>
    </row>
    <row r="4416">
      <c r="A4416" s="3">
        <v>121780.0</v>
      </c>
      <c r="B4416" s="4" t="s">
        <v>60</v>
      </c>
      <c r="C4416" s="4" t="s">
        <v>495</v>
      </c>
      <c r="D4416" s="4" t="s">
        <v>497</v>
      </c>
      <c r="E4416" s="4">
        <v>2.34</v>
      </c>
    </row>
    <row r="4417">
      <c r="A4417" s="5">
        <v>88638.0</v>
      </c>
      <c r="B4417" s="6" t="s">
        <v>60</v>
      </c>
      <c r="C4417" s="6" t="s">
        <v>495</v>
      </c>
      <c r="D4417" s="6" t="s">
        <v>497</v>
      </c>
      <c r="E4417" s="6">
        <v>2.68</v>
      </c>
    </row>
    <row r="4418">
      <c r="A4418" s="3">
        <v>70238.0</v>
      </c>
      <c r="B4418" s="4" t="s">
        <v>60</v>
      </c>
      <c r="C4418" s="4" t="s">
        <v>495</v>
      </c>
      <c r="D4418" s="4" t="s">
        <v>497</v>
      </c>
      <c r="E4418" s="4">
        <v>1.85</v>
      </c>
    </row>
    <row r="4419">
      <c r="A4419" s="5">
        <v>121839.0</v>
      </c>
      <c r="B4419" s="6" t="s">
        <v>60</v>
      </c>
      <c r="C4419" s="6" t="s">
        <v>495</v>
      </c>
      <c r="D4419" s="6" t="s">
        <v>497</v>
      </c>
      <c r="E4419" s="6">
        <v>1.05</v>
      </c>
    </row>
    <row r="4420">
      <c r="A4420" s="3">
        <v>77621.0</v>
      </c>
      <c r="B4420" s="4" t="s">
        <v>60</v>
      </c>
      <c r="C4420" s="4" t="s">
        <v>495</v>
      </c>
      <c r="D4420" s="4" t="s">
        <v>497</v>
      </c>
      <c r="E4420" s="4">
        <v>0.82</v>
      </c>
    </row>
    <row r="4421">
      <c r="A4421" s="5">
        <v>121783.0</v>
      </c>
      <c r="B4421" s="6" t="s">
        <v>60</v>
      </c>
      <c r="C4421" s="6" t="s">
        <v>495</v>
      </c>
      <c r="D4421" s="6" t="s">
        <v>497</v>
      </c>
      <c r="E4421" s="6">
        <v>2.61</v>
      </c>
    </row>
    <row r="4422">
      <c r="A4422" s="3">
        <v>75033.0</v>
      </c>
      <c r="B4422" s="4" t="s">
        <v>60</v>
      </c>
      <c r="C4422" s="4" t="s">
        <v>495</v>
      </c>
      <c r="D4422" s="4" t="s">
        <v>497</v>
      </c>
      <c r="E4422" s="4">
        <v>2.67</v>
      </c>
    </row>
    <row r="4423">
      <c r="A4423" s="5">
        <v>12053.0</v>
      </c>
      <c r="B4423" s="6" t="s">
        <v>60</v>
      </c>
      <c r="C4423" s="6" t="s">
        <v>495</v>
      </c>
      <c r="D4423" s="6" t="s">
        <v>497</v>
      </c>
      <c r="E4423" s="6">
        <v>0.75</v>
      </c>
    </row>
    <row r="4424">
      <c r="A4424" s="3">
        <v>113954.0</v>
      </c>
      <c r="B4424" s="4" t="s">
        <v>60</v>
      </c>
      <c r="C4424" s="4" t="s">
        <v>495</v>
      </c>
      <c r="D4424" s="4" t="s">
        <v>497</v>
      </c>
      <c r="E4424" s="4">
        <v>1.9</v>
      </c>
    </row>
    <row r="4425">
      <c r="A4425" s="5">
        <v>5782.0</v>
      </c>
      <c r="B4425" s="6" t="s">
        <v>60</v>
      </c>
      <c r="C4425" s="6" t="s">
        <v>495</v>
      </c>
      <c r="D4425" s="6" t="s">
        <v>497</v>
      </c>
      <c r="E4425" s="6">
        <v>0.49</v>
      </c>
    </row>
    <row r="4426">
      <c r="A4426" s="3">
        <v>107915.0</v>
      </c>
      <c r="B4426" s="4" t="s">
        <v>60</v>
      </c>
      <c r="C4426" s="4" t="s">
        <v>495</v>
      </c>
      <c r="D4426" s="4" t="s">
        <v>497</v>
      </c>
      <c r="E4426" s="4">
        <v>1.81</v>
      </c>
    </row>
    <row r="4427">
      <c r="A4427" s="5">
        <v>68866.0</v>
      </c>
      <c r="B4427" s="6" t="s">
        <v>60</v>
      </c>
      <c r="C4427" s="6" t="s">
        <v>495</v>
      </c>
      <c r="D4427" s="6" t="s">
        <v>497</v>
      </c>
      <c r="E4427" s="6">
        <v>1.91</v>
      </c>
    </row>
    <row r="4428">
      <c r="A4428" s="3">
        <v>121837.0</v>
      </c>
      <c r="B4428" s="4" t="s">
        <v>60</v>
      </c>
      <c r="C4428" s="4" t="s">
        <v>495</v>
      </c>
      <c r="D4428" s="4" t="s">
        <v>497</v>
      </c>
      <c r="E4428" s="4">
        <v>2.54</v>
      </c>
    </row>
    <row r="4429">
      <c r="A4429" s="5">
        <v>121840.0</v>
      </c>
      <c r="B4429" s="6" t="s">
        <v>60</v>
      </c>
      <c r="C4429" s="6" t="s">
        <v>495</v>
      </c>
      <c r="D4429" s="6" t="s">
        <v>497</v>
      </c>
      <c r="E4429" s="6">
        <v>1.05</v>
      </c>
    </row>
    <row r="4430">
      <c r="A4430" s="3">
        <v>90979.0</v>
      </c>
      <c r="B4430" s="4" t="s">
        <v>60</v>
      </c>
      <c r="C4430" s="4" t="s">
        <v>495</v>
      </c>
      <c r="D4430" s="4" t="s">
        <v>497</v>
      </c>
      <c r="E4430" s="4">
        <v>3.17</v>
      </c>
    </row>
    <row r="4431">
      <c r="A4431" s="5">
        <v>114350.0</v>
      </c>
      <c r="B4431" s="6" t="s">
        <v>60</v>
      </c>
      <c r="C4431" s="6" t="s">
        <v>495</v>
      </c>
      <c r="D4431" s="6" t="s">
        <v>497</v>
      </c>
      <c r="E4431" s="6">
        <v>2.95</v>
      </c>
    </row>
    <row r="4432">
      <c r="A4432" s="3">
        <v>47539.0</v>
      </c>
      <c r="B4432" s="4" t="s">
        <v>60</v>
      </c>
      <c r="C4432" s="4" t="s">
        <v>495</v>
      </c>
      <c r="D4432" s="4" t="s">
        <v>497</v>
      </c>
      <c r="E4432" s="4">
        <v>1.93</v>
      </c>
    </row>
    <row r="4433">
      <c r="A4433" s="5">
        <v>83948.0</v>
      </c>
      <c r="B4433" s="6" t="s">
        <v>60</v>
      </c>
      <c r="C4433" s="6" t="s">
        <v>495</v>
      </c>
      <c r="D4433" s="6" t="s">
        <v>497</v>
      </c>
      <c r="E4433" s="6">
        <v>0.96</v>
      </c>
    </row>
    <row r="4434">
      <c r="A4434" s="3">
        <v>17139.0</v>
      </c>
      <c r="B4434" s="4" t="s">
        <v>60</v>
      </c>
      <c r="C4434" s="4" t="s">
        <v>495</v>
      </c>
      <c r="D4434" s="4" t="s">
        <v>497</v>
      </c>
      <c r="E4434" s="4">
        <v>0.98</v>
      </c>
    </row>
    <row r="4435">
      <c r="A4435" s="5">
        <v>12051.0</v>
      </c>
      <c r="B4435" s="6" t="s">
        <v>60</v>
      </c>
      <c r="C4435" s="6" t="s">
        <v>495</v>
      </c>
      <c r="D4435" s="6" t="s">
        <v>497</v>
      </c>
      <c r="E4435" s="6">
        <v>0.77</v>
      </c>
    </row>
    <row r="4436">
      <c r="A4436" s="3">
        <v>12052.0</v>
      </c>
      <c r="B4436" s="4" t="s">
        <v>60</v>
      </c>
      <c r="C4436" s="4" t="s">
        <v>495</v>
      </c>
      <c r="D4436" s="4" t="s">
        <v>497</v>
      </c>
      <c r="E4436" s="4">
        <v>0.77</v>
      </c>
    </row>
    <row r="4437">
      <c r="A4437" s="5">
        <v>121838.0</v>
      </c>
      <c r="B4437" s="6" t="s">
        <v>60</v>
      </c>
      <c r="C4437" s="6" t="s">
        <v>495</v>
      </c>
      <c r="D4437" s="6" t="s">
        <v>497</v>
      </c>
      <c r="E4437" s="6">
        <v>2.54</v>
      </c>
    </row>
    <row r="4438">
      <c r="A4438" s="3">
        <v>107917.0</v>
      </c>
      <c r="B4438" s="4" t="s">
        <v>60</v>
      </c>
      <c r="C4438" s="4" t="s">
        <v>495</v>
      </c>
      <c r="D4438" s="4" t="s">
        <v>497</v>
      </c>
      <c r="E4438" s="4">
        <v>1.16</v>
      </c>
    </row>
    <row r="4439">
      <c r="A4439" s="5">
        <v>5779.0</v>
      </c>
      <c r="B4439" s="6" t="s">
        <v>60</v>
      </c>
      <c r="C4439" s="6" t="s">
        <v>495</v>
      </c>
      <c r="D4439" s="6" t="s">
        <v>497</v>
      </c>
      <c r="E4439" s="6">
        <v>0.47</v>
      </c>
    </row>
    <row r="4440">
      <c r="A4440" s="3">
        <v>120303.0</v>
      </c>
      <c r="B4440" s="4" t="s">
        <v>60</v>
      </c>
      <c r="C4440" s="4" t="s">
        <v>495</v>
      </c>
      <c r="D4440" s="4" t="s">
        <v>497</v>
      </c>
      <c r="E4440" s="4">
        <v>2.12</v>
      </c>
    </row>
    <row r="4441">
      <c r="A4441" s="5">
        <v>121784.0</v>
      </c>
      <c r="B4441" s="6" t="s">
        <v>60</v>
      </c>
      <c r="C4441" s="6" t="s">
        <v>495</v>
      </c>
      <c r="D4441" s="6" t="s">
        <v>497</v>
      </c>
      <c r="E4441" s="6">
        <v>2.04</v>
      </c>
    </row>
    <row r="4442">
      <c r="A4442" s="3">
        <v>107913.0</v>
      </c>
      <c r="B4442" s="4" t="s">
        <v>60</v>
      </c>
      <c r="C4442" s="4" t="s">
        <v>495</v>
      </c>
      <c r="D4442" s="4" t="s">
        <v>497</v>
      </c>
      <c r="E4442" s="4">
        <v>1.81</v>
      </c>
    </row>
    <row r="4443">
      <c r="A4443" s="5">
        <v>58759.0</v>
      </c>
      <c r="B4443" s="6" t="s">
        <v>60</v>
      </c>
      <c r="C4443" s="6" t="s">
        <v>495</v>
      </c>
      <c r="D4443" s="6" t="s">
        <v>497</v>
      </c>
      <c r="E4443" s="6">
        <v>0.38</v>
      </c>
    </row>
    <row r="4444">
      <c r="A4444" s="3">
        <v>158697.0</v>
      </c>
      <c r="B4444" s="4" t="s">
        <v>60</v>
      </c>
      <c r="C4444" s="4" t="s">
        <v>495</v>
      </c>
      <c r="D4444" s="4" t="s">
        <v>497</v>
      </c>
      <c r="E4444" s="4">
        <v>2.36</v>
      </c>
    </row>
    <row r="4445">
      <c r="A4445" s="5">
        <v>87160.0</v>
      </c>
      <c r="B4445" s="6" t="s">
        <v>60</v>
      </c>
      <c r="C4445" s="6" t="s">
        <v>495</v>
      </c>
      <c r="D4445" s="6" t="s">
        <v>498</v>
      </c>
      <c r="E4445" s="6">
        <v>1.66</v>
      </c>
    </row>
    <row r="4446">
      <c r="A4446" s="3">
        <v>88694.0</v>
      </c>
      <c r="B4446" s="4" t="s">
        <v>60</v>
      </c>
      <c r="C4446" s="4" t="s">
        <v>495</v>
      </c>
      <c r="D4446" s="4" t="s">
        <v>498</v>
      </c>
      <c r="E4446" s="4">
        <v>1.96</v>
      </c>
    </row>
    <row r="4447">
      <c r="A4447" s="5">
        <v>120393.0</v>
      </c>
      <c r="B4447" s="6" t="s">
        <v>60</v>
      </c>
      <c r="C4447" s="6" t="s">
        <v>495</v>
      </c>
      <c r="D4447" s="6" t="s">
        <v>498</v>
      </c>
      <c r="E4447" s="6">
        <v>1.47</v>
      </c>
    </row>
    <row r="4448">
      <c r="A4448" s="3">
        <v>89581.0</v>
      </c>
      <c r="B4448" s="4" t="s">
        <v>60</v>
      </c>
      <c r="C4448" s="4" t="s">
        <v>495</v>
      </c>
      <c r="D4448" s="4" t="s">
        <v>498</v>
      </c>
      <c r="E4448" s="4">
        <v>1.93</v>
      </c>
    </row>
    <row r="4449">
      <c r="A4449" s="5">
        <v>6514.0</v>
      </c>
      <c r="B4449" s="6" t="s">
        <v>60</v>
      </c>
      <c r="C4449" s="6" t="s">
        <v>495</v>
      </c>
      <c r="D4449" s="6" t="s">
        <v>498</v>
      </c>
      <c r="E4449" s="6">
        <v>1.87</v>
      </c>
    </row>
    <row r="4450">
      <c r="A4450" s="3">
        <v>105340.0</v>
      </c>
      <c r="B4450" s="4" t="s">
        <v>60</v>
      </c>
      <c r="C4450" s="4" t="s">
        <v>495</v>
      </c>
      <c r="D4450" s="4" t="s">
        <v>499</v>
      </c>
      <c r="E4450" s="4">
        <v>4.05</v>
      </c>
    </row>
    <row r="4451">
      <c r="A4451" s="5">
        <v>120865.0</v>
      </c>
      <c r="B4451" s="6" t="s">
        <v>60</v>
      </c>
      <c r="C4451" s="6" t="s">
        <v>495</v>
      </c>
      <c r="D4451" s="6" t="s">
        <v>499</v>
      </c>
      <c r="E4451" s="6">
        <v>2.59</v>
      </c>
    </row>
    <row r="4452">
      <c r="A4452" s="3">
        <v>110078.0</v>
      </c>
      <c r="B4452" s="4" t="s">
        <v>60</v>
      </c>
      <c r="C4452" s="4" t="s">
        <v>495</v>
      </c>
      <c r="D4452" s="4" t="s">
        <v>499</v>
      </c>
      <c r="E4452" s="4">
        <v>3.72</v>
      </c>
    </row>
    <row r="4453">
      <c r="A4453" s="5">
        <v>122343.0</v>
      </c>
      <c r="B4453" s="6" t="s">
        <v>60</v>
      </c>
      <c r="C4453" s="6" t="s">
        <v>495</v>
      </c>
      <c r="D4453" s="6" t="s">
        <v>499</v>
      </c>
      <c r="E4453" s="6">
        <v>4.01</v>
      </c>
    </row>
    <row r="4454">
      <c r="A4454" s="3">
        <v>12296.0</v>
      </c>
      <c r="B4454" s="4" t="s">
        <v>60</v>
      </c>
      <c r="C4454" s="4" t="s">
        <v>495</v>
      </c>
      <c r="D4454" s="4" t="s">
        <v>499</v>
      </c>
      <c r="E4454" s="4">
        <v>1.93</v>
      </c>
    </row>
    <row r="4455">
      <c r="A4455" s="5">
        <v>96952.0</v>
      </c>
      <c r="B4455" s="6" t="s">
        <v>60</v>
      </c>
      <c r="C4455" s="6" t="s">
        <v>495</v>
      </c>
      <c r="D4455" s="6" t="s">
        <v>499</v>
      </c>
      <c r="E4455" s="6">
        <v>1.83</v>
      </c>
    </row>
    <row r="4456">
      <c r="A4456" s="3">
        <v>82193.0</v>
      </c>
      <c r="B4456" s="4" t="s">
        <v>60</v>
      </c>
      <c r="C4456" s="4" t="s">
        <v>495</v>
      </c>
      <c r="D4456" s="4" t="s">
        <v>499</v>
      </c>
      <c r="E4456" s="4">
        <v>3.58</v>
      </c>
    </row>
    <row r="4457">
      <c r="A4457" s="5">
        <v>89802.0</v>
      </c>
      <c r="B4457" s="6" t="s">
        <v>60</v>
      </c>
      <c r="C4457" s="6" t="s">
        <v>495</v>
      </c>
      <c r="D4457" s="6" t="s">
        <v>499</v>
      </c>
      <c r="E4457" s="6">
        <v>3.02</v>
      </c>
    </row>
    <row r="4458">
      <c r="A4458" s="3">
        <v>87044.0</v>
      </c>
      <c r="B4458" s="4" t="s">
        <v>60</v>
      </c>
      <c r="C4458" s="4" t="s">
        <v>495</v>
      </c>
      <c r="D4458" s="4" t="s">
        <v>499</v>
      </c>
      <c r="E4458" s="4">
        <v>7.43</v>
      </c>
    </row>
    <row r="4459">
      <c r="A4459" s="5">
        <v>87042.0</v>
      </c>
      <c r="B4459" s="6" t="s">
        <v>60</v>
      </c>
      <c r="C4459" s="6" t="s">
        <v>495</v>
      </c>
      <c r="D4459" s="6" t="s">
        <v>499</v>
      </c>
      <c r="E4459" s="6">
        <v>6.14</v>
      </c>
    </row>
    <row r="4460">
      <c r="A4460" s="3">
        <v>116274.0</v>
      </c>
      <c r="B4460" s="4" t="s">
        <v>60</v>
      </c>
      <c r="C4460" s="4" t="s">
        <v>495</v>
      </c>
      <c r="D4460" s="4" t="s">
        <v>499</v>
      </c>
      <c r="E4460" s="4">
        <v>2.39</v>
      </c>
    </row>
    <row r="4461">
      <c r="A4461" s="5">
        <v>122344.0</v>
      </c>
      <c r="B4461" s="6" t="s">
        <v>60</v>
      </c>
      <c r="C4461" s="6" t="s">
        <v>495</v>
      </c>
      <c r="D4461" s="6" t="s">
        <v>499</v>
      </c>
      <c r="E4461" s="6">
        <v>2.96</v>
      </c>
    </row>
    <row r="4462">
      <c r="A4462" s="3">
        <v>122345.0</v>
      </c>
      <c r="B4462" s="4" t="s">
        <v>60</v>
      </c>
      <c r="C4462" s="4" t="s">
        <v>495</v>
      </c>
      <c r="D4462" s="4" t="s">
        <v>499</v>
      </c>
      <c r="E4462" s="4">
        <v>2.3</v>
      </c>
    </row>
    <row r="4463">
      <c r="A4463" s="5">
        <v>120867.0</v>
      </c>
      <c r="B4463" s="6" t="s">
        <v>60</v>
      </c>
      <c r="C4463" s="6" t="s">
        <v>495</v>
      </c>
      <c r="D4463" s="6" t="s">
        <v>499</v>
      </c>
      <c r="E4463" s="6">
        <v>2.56</v>
      </c>
    </row>
    <row r="4464">
      <c r="A4464" s="3">
        <v>28494.0</v>
      </c>
      <c r="B4464" s="4" t="s">
        <v>60</v>
      </c>
      <c r="C4464" s="4" t="s">
        <v>495</v>
      </c>
      <c r="D4464" s="4" t="s">
        <v>499</v>
      </c>
      <c r="E4464" s="4">
        <v>2.75</v>
      </c>
    </row>
    <row r="4465">
      <c r="A4465" s="5">
        <v>8882.0</v>
      </c>
      <c r="B4465" s="6" t="s">
        <v>60</v>
      </c>
      <c r="C4465" s="6" t="s">
        <v>495</v>
      </c>
      <c r="D4465" s="6" t="s">
        <v>499</v>
      </c>
      <c r="E4465" s="6">
        <v>3.11</v>
      </c>
    </row>
    <row r="4466">
      <c r="A4466" s="3">
        <v>116275.0</v>
      </c>
      <c r="B4466" s="4" t="s">
        <v>60</v>
      </c>
      <c r="C4466" s="4" t="s">
        <v>495</v>
      </c>
      <c r="D4466" s="4" t="s">
        <v>499</v>
      </c>
      <c r="E4466" s="4">
        <v>3.24</v>
      </c>
    </row>
    <row r="4467">
      <c r="A4467" s="5">
        <v>121424.0</v>
      </c>
      <c r="B4467" s="6" t="s">
        <v>60</v>
      </c>
      <c r="C4467" s="6" t="s">
        <v>495</v>
      </c>
      <c r="D4467" s="6" t="s">
        <v>499</v>
      </c>
      <c r="E4467" s="6">
        <v>2.28</v>
      </c>
    </row>
    <row r="4468">
      <c r="A4468" s="3">
        <v>75058.0</v>
      </c>
      <c r="B4468" s="4" t="s">
        <v>60</v>
      </c>
      <c r="C4468" s="4" t="s">
        <v>495</v>
      </c>
      <c r="D4468" s="4" t="s">
        <v>500</v>
      </c>
      <c r="E4468" s="4">
        <v>1.96</v>
      </c>
    </row>
    <row r="4469">
      <c r="A4469" s="5">
        <v>75056.0</v>
      </c>
      <c r="B4469" s="6" t="s">
        <v>60</v>
      </c>
      <c r="C4469" s="6" t="s">
        <v>495</v>
      </c>
      <c r="D4469" s="6" t="s">
        <v>500</v>
      </c>
      <c r="E4469" s="6">
        <v>2.57</v>
      </c>
    </row>
    <row r="4470">
      <c r="A4470" s="3">
        <v>42239.0</v>
      </c>
      <c r="B4470" s="4" t="s">
        <v>60</v>
      </c>
      <c r="C4470" s="4" t="s">
        <v>495</v>
      </c>
      <c r="D4470" s="4" t="s">
        <v>500</v>
      </c>
      <c r="E4470" s="4">
        <v>2.44</v>
      </c>
    </row>
    <row r="4471">
      <c r="A4471" s="5">
        <v>42237.0</v>
      </c>
      <c r="B4471" s="6" t="s">
        <v>60</v>
      </c>
      <c r="C4471" s="6" t="s">
        <v>495</v>
      </c>
      <c r="D4471" s="6" t="s">
        <v>500</v>
      </c>
      <c r="E4471" s="6">
        <v>2.13</v>
      </c>
    </row>
    <row r="4472">
      <c r="A4472" s="3">
        <v>69457.0</v>
      </c>
      <c r="B4472" s="4" t="s">
        <v>60</v>
      </c>
      <c r="C4472" s="4" t="s">
        <v>495</v>
      </c>
      <c r="D4472" s="4" t="s">
        <v>500</v>
      </c>
      <c r="E4472" s="4">
        <v>3.41</v>
      </c>
    </row>
    <row r="4473">
      <c r="A4473" s="5">
        <v>69328.0</v>
      </c>
      <c r="B4473" s="6" t="s">
        <v>60</v>
      </c>
      <c r="C4473" s="6" t="s">
        <v>495</v>
      </c>
      <c r="D4473" s="6" t="s">
        <v>500</v>
      </c>
      <c r="E4473" s="6">
        <v>2.48</v>
      </c>
    </row>
    <row r="4474">
      <c r="A4474" s="3">
        <v>69454.0</v>
      </c>
      <c r="B4474" s="4" t="s">
        <v>60</v>
      </c>
      <c r="C4474" s="4" t="s">
        <v>495</v>
      </c>
      <c r="D4474" s="4" t="s">
        <v>500</v>
      </c>
      <c r="E4474" s="4">
        <v>2.67</v>
      </c>
    </row>
    <row r="4475">
      <c r="A4475" s="5">
        <v>69469.0</v>
      </c>
      <c r="B4475" s="6" t="s">
        <v>60</v>
      </c>
      <c r="C4475" s="6" t="s">
        <v>495</v>
      </c>
      <c r="D4475" s="6" t="s">
        <v>500</v>
      </c>
      <c r="E4475" s="6">
        <v>2.91</v>
      </c>
    </row>
    <row r="4476">
      <c r="A4476" s="3">
        <v>193264.0</v>
      </c>
      <c r="B4476" s="4" t="s">
        <v>60</v>
      </c>
      <c r="C4476" s="4" t="s">
        <v>495</v>
      </c>
      <c r="D4476" s="4" t="s">
        <v>500</v>
      </c>
      <c r="E4476" s="4">
        <v>2.93</v>
      </c>
    </row>
    <row r="4477">
      <c r="A4477" s="5">
        <v>115763.0</v>
      </c>
      <c r="B4477" s="6" t="s">
        <v>60</v>
      </c>
      <c r="C4477" s="6" t="s">
        <v>495</v>
      </c>
      <c r="D4477" s="6" t="s">
        <v>500</v>
      </c>
      <c r="E4477" s="6">
        <v>1.24</v>
      </c>
    </row>
    <row r="4478">
      <c r="A4478" s="3">
        <v>69463.0</v>
      </c>
      <c r="B4478" s="4" t="s">
        <v>60</v>
      </c>
      <c r="C4478" s="4" t="s">
        <v>495</v>
      </c>
      <c r="D4478" s="4" t="s">
        <v>500</v>
      </c>
      <c r="E4478" s="4">
        <v>3.33</v>
      </c>
    </row>
    <row r="4479">
      <c r="A4479" s="5">
        <v>84168.0</v>
      </c>
      <c r="B4479" s="6" t="s">
        <v>60</v>
      </c>
      <c r="C4479" s="6" t="s">
        <v>495</v>
      </c>
      <c r="D4479" s="6" t="s">
        <v>500</v>
      </c>
      <c r="E4479" s="6">
        <v>1.61</v>
      </c>
    </row>
    <row r="4480">
      <c r="A4480" s="3">
        <v>75077.0</v>
      </c>
      <c r="B4480" s="4" t="s">
        <v>60</v>
      </c>
      <c r="C4480" s="4" t="s">
        <v>495</v>
      </c>
      <c r="D4480" s="4" t="s">
        <v>500</v>
      </c>
      <c r="E4480" s="4">
        <v>1.9</v>
      </c>
    </row>
    <row r="4481">
      <c r="A4481" s="5">
        <v>42229.0</v>
      </c>
      <c r="B4481" s="6" t="s">
        <v>60</v>
      </c>
      <c r="C4481" s="6" t="s">
        <v>495</v>
      </c>
      <c r="D4481" s="6" t="s">
        <v>500</v>
      </c>
      <c r="E4481" s="6">
        <v>2.32</v>
      </c>
    </row>
    <row r="4482">
      <c r="A4482" s="3">
        <v>89588.0</v>
      </c>
      <c r="B4482" s="4" t="s">
        <v>60</v>
      </c>
      <c r="C4482" s="4" t="s">
        <v>495</v>
      </c>
      <c r="D4482" s="4" t="s">
        <v>500</v>
      </c>
      <c r="E4482" s="4">
        <v>2.04</v>
      </c>
    </row>
    <row r="4483">
      <c r="A4483" s="5">
        <v>99973.0</v>
      </c>
      <c r="B4483" s="6" t="s">
        <v>60</v>
      </c>
      <c r="C4483" s="6" t="s">
        <v>495</v>
      </c>
      <c r="D4483" s="6" t="s">
        <v>500</v>
      </c>
      <c r="E4483" s="6">
        <v>1.74</v>
      </c>
    </row>
    <row r="4484">
      <c r="A4484" s="3">
        <v>70241.0</v>
      </c>
      <c r="B4484" s="4" t="s">
        <v>60</v>
      </c>
      <c r="C4484" s="4" t="s">
        <v>495</v>
      </c>
      <c r="D4484" s="4" t="s">
        <v>500</v>
      </c>
      <c r="E4484" s="4">
        <v>3.55</v>
      </c>
    </row>
    <row r="4485">
      <c r="A4485" s="5">
        <v>129479.0</v>
      </c>
      <c r="B4485" s="6" t="s">
        <v>60</v>
      </c>
      <c r="C4485" s="6" t="s">
        <v>495</v>
      </c>
      <c r="D4485" s="6" t="s">
        <v>500</v>
      </c>
      <c r="E4485" s="6">
        <v>1.57</v>
      </c>
    </row>
    <row r="4486">
      <c r="A4486" s="3">
        <v>107926.0</v>
      </c>
      <c r="B4486" s="4" t="s">
        <v>60</v>
      </c>
      <c r="C4486" s="4" t="s">
        <v>495</v>
      </c>
      <c r="D4486" s="4" t="s">
        <v>500</v>
      </c>
      <c r="E4486" s="4">
        <v>2.18</v>
      </c>
    </row>
    <row r="4487">
      <c r="A4487" s="5">
        <v>42232.0</v>
      </c>
      <c r="B4487" s="6" t="s">
        <v>60</v>
      </c>
      <c r="C4487" s="6" t="s">
        <v>495</v>
      </c>
      <c r="D4487" s="6" t="s">
        <v>500</v>
      </c>
      <c r="E4487" s="6">
        <v>2.21</v>
      </c>
    </row>
    <row r="4488">
      <c r="A4488" s="3">
        <v>122106.0</v>
      </c>
      <c r="B4488" s="4" t="s">
        <v>60</v>
      </c>
      <c r="C4488" s="4" t="s">
        <v>495</v>
      </c>
      <c r="D4488" s="4" t="s">
        <v>500</v>
      </c>
      <c r="E4488" s="4">
        <v>2.91</v>
      </c>
    </row>
    <row r="4489">
      <c r="A4489" s="5">
        <v>69456.0</v>
      </c>
      <c r="B4489" s="6" t="s">
        <v>60</v>
      </c>
      <c r="C4489" s="6" t="s">
        <v>495</v>
      </c>
      <c r="D4489" s="6" t="s">
        <v>500</v>
      </c>
      <c r="E4489" s="6">
        <v>3.1</v>
      </c>
    </row>
    <row r="4490">
      <c r="A4490" s="3">
        <v>118888.0</v>
      </c>
      <c r="B4490" s="4" t="s">
        <v>60</v>
      </c>
      <c r="C4490" s="4" t="s">
        <v>495</v>
      </c>
      <c r="D4490" s="4" t="s">
        <v>500</v>
      </c>
      <c r="E4490" s="4">
        <v>2.32</v>
      </c>
    </row>
    <row r="4491">
      <c r="A4491" s="5">
        <v>69468.0</v>
      </c>
      <c r="B4491" s="6" t="s">
        <v>60</v>
      </c>
      <c r="C4491" s="6" t="s">
        <v>495</v>
      </c>
      <c r="D4491" s="6" t="s">
        <v>500</v>
      </c>
      <c r="E4491" s="6">
        <v>3.99</v>
      </c>
    </row>
    <row r="4492">
      <c r="A4492" s="3">
        <v>117629.0</v>
      </c>
      <c r="B4492" s="4" t="s">
        <v>60</v>
      </c>
      <c r="C4492" s="4" t="s">
        <v>495</v>
      </c>
      <c r="D4492" s="4" t="s">
        <v>501</v>
      </c>
      <c r="E4492" s="4">
        <v>1.31</v>
      </c>
    </row>
    <row r="4493">
      <c r="A4493" s="5">
        <v>121475.0</v>
      </c>
      <c r="B4493" s="6" t="s">
        <v>60</v>
      </c>
      <c r="C4493" s="6" t="s">
        <v>495</v>
      </c>
      <c r="D4493" s="6" t="s">
        <v>501</v>
      </c>
      <c r="E4493" s="6">
        <v>0.6</v>
      </c>
    </row>
    <row r="4494">
      <c r="A4494" s="3">
        <v>80412.0</v>
      </c>
      <c r="B4494" s="4" t="s">
        <v>60</v>
      </c>
      <c r="C4494" s="4" t="s">
        <v>495</v>
      </c>
      <c r="D4494" s="4" t="s">
        <v>501</v>
      </c>
      <c r="E4494" s="4">
        <v>0.76</v>
      </c>
    </row>
    <row r="4495">
      <c r="A4495" s="5">
        <v>122857.0</v>
      </c>
      <c r="B4495" s="6" t="s">
        <v>60</v>
      </c>
      <c r="C4495" s="6" t="s">
        <v>495</v>
      </c>
      <c r="D4495" s="6" t="s">
        <v>501</v>
      </c>
      <c r="E4495" s="6">
        <v>1.61</v>
      </c>
    </row>
    <row r="4496">
      <c r="A4496" s="3">
        <v>115769.0</v>
      </c>
      <c r="B4496" s="4" t="s">
        <v>60</v>
      </c>
      <c r="C4496" s="4" t="s">
        <v>495</v>
      </c>
      <c r="D4496" s="4" t="s">
        <v>501</v>
      </c>
      <c r="E4496" s="4">
        <v>1.19</v>
      </c>
    </row>
    <row r="4497">
      <c r="A4497" s="5">
        <v>115774.0</v>
      </c>
      <c r="B4497" s="6" t="s">
        <v>60</v>
      </c>
      <c r="C4497" s="6" t="s">
        <v>495</v>
      </c>
      <c r="D4497" s="6" t="s">
        <v>501</v>
      </c>
      <c r="E4497" s="6">
        <v>1.31</v>
      </c>
    </row>
    <row r="4498">
      <c r="A4498" s="3">
        <v>118889.0</v>
      </c>
      <c r="B4498" s="4" t="s">
        <v>60</v>
      </c>
      <c r="C4498" s="4" t="s">
        <v>495</v>
      </c>
      <c r="D4498" s="4" t="s">
        <v>501</v>
      </c>
      <c r="E4498" s="4">
        <v>1.93</v>
      </c>
    </row>
    <row r="4499">
      <c r="A4499" s="5">
        <v>115758.0</v>
      </c>
      <c r="B4499" s="6" t="s">
        <v>60</v>
      </c>
      <c r="C4499" s="6" t="s">
        <v>495</v>
      </c>
      <c r="D4499" s="6" t="s">
        <v>501</v>
      </c>
      <c r="E4499" s="6">
        <v>0.72</v>
      </c>
    </row>
    <row r="4500">
      <c r="A4500" s="3">
        <v>115755.0</v>
      </c>
      <c r="B4500" s="4" t="s">
        <v>60</v>
      </c>
      <c r="C4500" s="4" t="s">
        <v>495</v>
      </c>
      <c r="D4500" s="4" t="s">
        <v>501</v>
      </c>
      <c r="E4500" s="4">
        <v>0.7</v>
      </c>
    </row>
    <row r="4501">
      <c r="A4501" s="5">
        <v>114964.0</v>
      </c>
      <c r="B4501" s="6" t="s">
        <v>60</v>
      </c>
      <c r="C4501" s="6" t="s">
        <v>495</v>
      </c>
      <c r="D4501" s="6" t="s">
        <v>501</v>
      </c>
      <c r="E4501" s="6">
        <v>3.31</v>
      </c>
    </row>
    <row r="4502">
      <c r="A4502" s="3">
        <v>87617.0</v>
      </c>
      <c r="B4502" s="4" t="s">
        <v>60</v>
      </c>
      <c r="C4502" s="4" t="s">
        <v>495</v>
      </c>
      <c r="D4502" s="4" t="s">
        <v>501</v>
      </c>
      <c r="E4502" s="4">
        <v>1.67</v>
      </c>
    </row>
    <row r="4503">
      <c r="A4503" s="5">
        <v>118542.0</v>
      </c>
      <c r="B4503" s="6" t="s">
        <v>60</v>
      </c>
      <c r="C4503" s="6" t="s">
        <v>495</v>
      </c>
      <c r="D4503" s="6" t="s">
        <v>501</v>
      </c>
      <c r="E4503" s="6">
        <v>1.78</v>
      </c>
    </row>
    <row r="4504">
      <c r="A4504" s="3">
        <v>122845.0</v>
      </c>
      <c r="B4504" s="4" t="s">
        <v>60</v>
      </c>
      <c r="C4504" s="4" t="s">
        <v>495</v>
      </c>
      <c r="D4504" s="4" t="s">
        <v>501</v>
      </c>
      <c r="E4504" s="4">
        <v>2.54</v>
      </c>
    </row>
    <row r="4505">
      <c r="A4505" s="5">
        <v>114967.0</v>
      </c>
      <c r="B4505" s="6" t="s">
        <v>60</v>
      </c>
      <c r="C4505" s="6" t="s">
        <v>495</v>
      </c>
      <c r="D4505" s="6" t="s">
        <v>501</v>
      </c>
      <c r="E4505" s="6">
        <v>2.55</v>
      </c>
    </row>
    <row r="4506">
      <c r="A4506" s="3">
        <v>121476.0</v>
      </c>
      <c r="B4506" s="4" t="s">
        <v>60</v>
      </c>
      <c r="C4506" s="4" t="s">
        <v>495</v>
      </c>
      <c r="D4506" s="4" t="s">
        <v>501</v>
      </c>
      <c r="E4506" s="4">
        <v>1.24</v>
      </c>
    </row>
    <row r="4507">
      <c r="A4507" s="5">
        <v>120529.0</v>
      </c>
      <c r="B4507" s="6" t="s">
        <v>60</v>
      </c>
      <c r="C4507" s="6" t="s">
        <v>495</v>
      </c>
      <c r="D4507" s="6" t="s">
        <v>501</v>
      </c>
      <c r="E4507" s="6">
        <v>3.52</v>
      </c>
    </row>
    <row r="4508">
      <c r="A4508" s="3">
        <v>120530.0</v>
      </c>
      <c r="B4508" s="4" t="s">
        <v>60</v>
      </c>
      <c r="C4508" s="4" t="s">
        <v>495</v>
      </c>
      <c r="D4508" s="4" t="s">
        <v>501</v>
      </c>
      <c r="E4508" s="4">
        <v>1.54</v>
      </c>
    </row>
    <row r="4509">
      <c r="A4509" s="5">
        <v>117638.0</v>
      </c>
      <c r="B4509" s="6" t="s">
        <v>60</v>
      </c>
      <c r="C4509" s="6" t="s">
        <v>495</v>
      </c>
      <c r="D4509" s="6" t="s">
        <v>501</v>
      </c>
      <c r="E4509" s="6">
        <v>1.8</v>
      </c>
    </row>
    <row r="4510">
      <c r="A4510" s="3">
        <v>108240.0</v>
      </c>
      <c r="B4510" s="4" t="s">
        <v>60</v>
      </c>
      <c r="C4510" s="4" t="s">
        <v>495</v>
      </c>
      <c r="D4510" s="4" t="s">
        <v>501</v>
      </c>
      <c r="E4510" s="4">
        <v>1.54</v>
      </c>
    </row>
    <row r="4511">
      <c r="A4511" s="5">
        <v>88635.0</v>
      </c>
      <c r="B4511" s="6" t="s">
        <v>60</v>
      </c>
      <c r="C4511" s="6" t="s">
        <v>495</v>
      </c>
      <c r="D4511" s="6" t="s">
        <v>501</v>
      </c>
      <c r="E4511" s="6">
        <v>2.94</v>
      </c>
    </row>
    <row r="4512">
      <c r="A4512" s="3">
        <v>69340.0</v>
      </c>
      <c r="B4512" s="4" t="s">
        <v>60</v>
      </c>
      <c r="C4512" s="4" t="s">
        <v>495</v>
      </c>
      <c r="D4512" s="4" t="s">
        <v>501</v>
      </c>
      <c r="E4512" s="4">
        <v>2.33</v>
      </c>
    </row>
    <row r="4513">
      <c r="A4513" s="5">
        <v>199472.0</v>
      </c>
      <c r="B4513" s="6" t="s">
        <v>60</v>
      </c>
      <c r="C4513" s="6" t="s">
        <v>495</v>
      </c>
      <c r="D4513" s="6" t="s">
        <v>501</v>
      </c>
      <c r="E4513" s="6">
        <v>2.35</v>
      </c>
    </row>
    <row r="4514">
      <c r="A4514" s="3">
        <v>117646.0</v>
      </c>
      <c r="B4514" s="4" t="s">
        <v>60</v>
      </c>
      <c r="C4514" s="4" t="s">
        <v>495</v>
      </c>
      <c r="D4514" s="4" t="s">
        <v>501</v>
      </c>
      <c r="E4514" s="4">
        <v>1.31</v>
      </c>
    </row>
    <row r="4515">
      <c r="A4515" s="5">
        <v>84167.0</v>
      </c>
      <c r="B4515" s="6" t="s">
        <v>60</v>
      </c>
      <c r="C4515" s="6" t="s">
        <v>495</v>
      </c>
      <c r="D4515" s="6" t="s">
        <v>501</v>
      </c>
      <c r="E4515" s="6">
        <v>1.62</v>
      </c>
    </row>
    <row r="4516">
      <c r="A4516" s="3">
        <v>81742.0</v>
      </c>
      <c r="B4516" s="4" t="s">
        <v>60</v>
      </c>
      <c r="C4516" s="4" t="s">
        <v>495</v>
      </c>
      <c r="D4516" s="4" t="s">
        <v>501</v>
      </c>
      <c r="E4516" s="4">
        <v>2.56</v>
      </c>
    </row>
    <row r="4517">
      <c r="A4517" s="5">
        <v>115754.0</v>
      </c>
      <c r="B4517" s="6" t="s">
        <v>60</v>
      </c>
      <c r="C4517" s="6" t="s">
        <v>495</v>
      </c>
      <c r="D4517" s="6" t="s">
        <v>501</v>
      </c>
      <c r="E4517" s="6">
        <v>0.71</v>
      </c>
    </row>
    <row r="4518">
      <c r="A4518" s="3">
        <v>69334.0</v>
      </c>
      <c r="B4518" s="4" t="s">
        <v>60</v>
      </c>
      <c r="C4518" s="4" t="s">
        <v>495</v>
      </c>
      <c r="D4518" s="4" t="s">
        <v>501</v>
      </c>
      <c r="E4518" s="4">
        <v>2.98</v>
      </c>
    </row>
    <row r="4519">
      <c r="A4519" s="5">
        <v>117753.0</v>
      </c>
      <c r="B4519" s="6" t="s">
        <v>60</v>
      </c>
      <c r="C4519" s="6" t="s">
        <v>495</v>
      </c>
      <c r="D4519" s="6" t="s">
        <v>501</v>
      </c>
      <c r="E4519" s="6">
        <v>1.57</v>
      </c>
    </row>
    <row r="4520">
      <c r="A4520" s="3">
        <v>129482.0</v>
      </c>
      <c r="B4520" s="4" t="s">
        <v>60</v>
      </c>
      <c r="C4520" s="4" t="s">
        <v>495</v>
      </c>
      <c r="D4520" s="4" t="s">
        <v>501</v>
      </c>
      <c r="E4520" s="4">
        <v>0.63</v>
      </c>
    </row>
    <row r="4521">
      <c r="A4521" s="5">
        <v>117634.0</v>
      </c>
      <c r="B4521" s="6" t="s">
        <v>60</v>
      </c>
      <c r="C4521" s="6" t="s">
        <v>495</v>
      </c>
      <c r="D4521" s="6" t="s">
        <v>501</v>
      </c>
      <c r="E4521" s="6">
        <v>1.26</v>
      </c>
    </row>
    <row r="4522">
      <c r="A4522" s="3">
        <v>111027.0</v>
      </c>
      <c r="B4522" s="4" t="s">
        <v>60</v>
      </c>
      <c r="C4522" s="4" t="s">
        <v>495</v>
      </c>
      <c r="D4522" s="4" t="s">
        <v>501</v>
      </c>
      <c r="E4522" s="4">
        <v>2.07</v>
      </c>
    </row>
    <row r="4523">
      <c r="A4523" s="5">
        <v>115772.0</v>
      </c>
      <c r="B4523" s="6" t="s">
        <v>60</v>
      </c>
      <c r="C4523" s="6" t="s">
        <v>495</v>
      </c>
      <c r="D4523" s="6" t="s">
        <v>501</v>
      </c>
      <c r="E4523" s="6">
        <v>1.49</v>
      </c>
    </row>
    <row r="4524">
      <c r="A4524" s="3">
        <v>115768.0</v>
      </c>
      <c r="B4524" s="4" t="s">
        <v>60</v>
      </c>
      <c r="C4524" s="4" t="s">
        <v>495</v>
      </c>
      <c r="D4524" s="4" t="s">
        <v>501</v>
      </c>
      <c r="E4524" s="4">
        <v>0.95</v>
      </c>
    </row>
    <row r="4525">
      <c r="A4525" s="5">
        <v>69476.0</v>
      </c>
      <c r="B4525" s="6" t="s">
        <v>60</v>
      </c>
      <c r="C4525" s="6" t="s">
        <v>495</v>
      </c>
      <c r="D4525" s="6" t="s">
        <v>501</v>
      </c>
      <c r="E4525" s="6">
        <v>1.53</v>
      </c>
    </row>
    <row r="4526">
      <c r="A4526" s="3">
        <v>122118.0</v>
      </c>
      <c r="B4526" s="4" t="s">
        <v>60</v>
      </c>
      <c r="C4526" s="4" t="s">
        <v>495</v>
      </c>
      <c r="D4526" s="4" t="s">
        <v>501</v>
      </c>
      <c r="E4526" s="4">
        <v>1.44</v>
      </c>
    </row>
    <row r="4527">
      <c r="A4527" s="5">
        <v>87447.0</v>
      </c>
      <c r="B4527" s="6" t="s">
        <v>60</v>
      </c>
      <c r="C4527" s="6" t="s">
        <v>495</v>
      </c>
      <c r="D4527" s="6" t="s">
        <v>501</v>
      </c>
      <c r="E4527" s="6">
        <v>0.79</v>
      </c>
    </row>
    <row r="4528">
      <c r="A4528" s="3">
        <v>129480.0</v>
      </c>
      <c r="B4528" s="4" t="s">
        <v>60</v>
      </c>
      <c r="C4528" s="4" t="s">
        <v>495</v>
      </c>
      <c r="D4528" s="4" t="s">
        <v>501</v>
      </c>
      <c r="E4528" s="4">
        <v>0.62</v>
      </c>
    </row>
    <row r="4529">
      <c r="A4529" s="5">
        <v>84164.0</v>
      </c>
      <c r="B4529" s="6" t="s">
        <v>60</v>
      </c>
      <c r="C4529" s="6" t="s">
        <v>495</v>
      </c>
      <c r="D4529" s="6" t="s">
        <v>501</v>
      </c>
      <c r="E4529" s="6">
        <v>1.39</v>
      </c>
    </row>
    <row r="4530">
      <c r="A4530" s="3">
        <v>69338.0</v>
      </c>
      <c r="B4530" s="4" t="s">
        <v>60</v>
      </c>
      <c r="C4530" s="4" t="s">
        <v>495</v>
      </c>
      <c r="D4530" s="4" t="s">
        <v>501</v>
      </c>
      <c r="E4530" s="4">
        <v>1.64</v>
      </c>
    </row>
    <row r="4531">
      <c r="A4531" s="5">
        <v>120531.0</v>
      </c>
      <c r="B4531" s="6" t="s">
        <v>60</v>
      </c>
      <c r="C4531" s="6" t="s">
        <v>495</v>
      </c>
      <c r="D4531" s="6" t="s">
        <v>501</v>
      </c>
      <c r="E4531" s="6">
        <v>1.34</v>
      </c>
    </row>
    <row r="4532">
      <c r="A4532" s="3">
        <v>120524.0</v>
      </c>
      <c r="B4532" s="4" t="s">
        <v>60</v>
      </c>
      <c r="C4532" s="4" t="s">
        <v>495</v>
      </c>
      <c r="D4532" s="4" t="s">
        <v>501</v>
      </c>
      <c r="E4532" s="4">
        <v>2.41</v>
      </c>
    </row>
    <row r="4533">
      <c r="A4533" s="5">
        <v>117631.0</v>
      </c>
      <c r="B4533" s="6" t="s">
        <v>60</v>
      </c>
      <c r="C4533" s="6" t="s">
        <v>495</v>
      </c>
      <c r="D4533" s="6" t="s">
        <v>501</v>
      </c>
      <c r="E4533" s="6">
        <v>1.86</v>
      </c>
    </row>
    <row r="4534">
      <c r="A4534" s="3">
        <v>115757.0</v>
      </c>
      <c r="B4534" s="4" t="s">
        <v>60</v>
      </c>
      <c r="C4534" s="4" t="s">
        <v>495</v>
      </c>
      <c r="D4534" s="4" t="s">
        <v>501</v>
      </c>
      <c r="E4534" s="4">
        <v>0.75</v>
      </c>
    </row>
    <row r="4535">
      <c r="A4535" s="5">
        <v>42243.0</v>
      </c>
      <c r="B4535" s="6" t="s">
        <v>60</v>
      </c>
      <c r="C4535" s="6" t="s">
        <v>495</v>
      </c>
      <c r="D4535" s="6" t="s">
        <v>501</v>
      </c>
      <c r="E4535" s="6">
        <v>2.22</v>
      </c>
    </row>
    <row r="4536">
      <c r="A4536" s="3">
        <v>115761.0</v>
      </c>
      <c r="B4536" s="4" t="s">
        <v>60</v>
      </c>
      <c r="C4536" s="4" t="s">
        <v>495</v>
      </c>
      <c r="D4536" s="4" t="s">
        <v>501</v>
      </c>
      <c r="E4536" s="4">
        <v>0.75</v>
      </c>
    </row>
    <row r="4537">
      <c r="A4537" s="5">
        <v>113960.0</v>
      </c>
      <c r="B4537" s="6" t="s">
        <v>60</v>
      </c>
      <c r="C4537" s="6" t="s">
        <v>495</v>
      </c>
      <c r="D4537" s="6" t="s">
        <v>501</v>
      </c>
      <c r="E4537" s="6">
        <v>1.48</v>
      </c>
    </row>
    <row r="4538">
      <c r="A4538" s="3">
        <v>42241.0</v>
      </c>
      <c r="B4538" s="4" t="s">
        <v>60</v>
      </c>
      <c r="C4538" s="4" t="s">
        <v>495</v>
      </c>
      <c r="D4538" s="4" t="s">
        <v>501</v>
      </c>
      <c r="E4538" s="4">
        <v>1.9</v>
      </c>
    </row>
    <row r="4539">
      <c r="A4539" s="5">
        <v>115770.0</v>
      </c>
      <c r="B4539" s="6" t="s">
        <v>60</v>
      </c>
      <c r="C4539" s="6" t="s">
        <v>495</v>
      </c>
      <c r="D4539" s="6" t="s">
        <v>501</v>
      </c>
      <c r="E4539" s="6">
        <v>1.86</v>
      </c>
    </row>
    <row r="4540">
      <c r="A4540" s="3">
        <v>118541.0</v>
      </c>
      <c r="B4540" s="4" t="s">
        <v>60</v>
      </c>
      <c r="C4540" s="4" t="s">
        <v>495</v>
      </c>
      <c r="D4540" s="4" t="s">
        <v>501</v>
      </c>
      <c r="E4540" s="4">
        <v>1.68</v>
      </c>
    </row>
    <row r="4541">
      <c r="A4541" s="5">
        <v>115750.0</v>
      </c>
      <c r="B4541" s="6" t="s">
        <v>60</v>
      </c>
      <c r="C4541" s="6" t="s">
        <v>495</v>
      </c>
      <c r="D4541" s="6" t="s">
        <v>501</v>
      </c>
      <c r="E4541" s="6">
        <v>0.69</v>
      </c>
    </row>
    <row r="4542">
      <c r="A4542" s="3">
        <v>99969.0</v>
      </c>
      <c r="B4542" s="4" t="s">
        <v>60</v>
      </c>
      <c r="C4542" s="4" t="s">
        <v>495</v>
      </c>
      <c r="D4542" s="4" t="s">
        <v>501</v>
      </c>
      <c r="E4542" s="4">
        <v>3.94</v>
      </c>
    </row>
    <row r="4543">
      <c r="A4543" s="5">
        <v>129483.0</v>
      </c>
      <c r="B4543" s="6" t="s">
        <v>60</v>
      </c>
      <c r="C4543" s="6" t="s">
        <v>495</v>
      </c>
      <c r="D4543" s="6" t="s">
        <v>501</v>
      </c>
      <c r="E4543" s="6">
        <v>0.76</v>
      </c>
    </row>
    <row r="4544">
      <c r="A4544" s="3">
        <v>42255.0</v>
      </c>
      <c r="B4544" s="4" t="s">
        <v>60</v>
      </c>
      <c r="C4544" s="4" t="s">
        <v>495</v>
      </c>
      <c r="D4544" s="4" t="s">
        <v>501</v>
      </c>
      <c r="E4544" s="4">
        <v>1.6</v>
      </c>
    </row>
    <row r="4545">
      <c r="A4545" s="5">
        <v>100235.0</v>
      </c>
      <c r="B4545" s="6" t="s">
        <v>60</v>
      </c>
      <c r="C4545" s="6" t="s">
        <v>495</v>
      </c>
      <c r="D4545" s="6" t="s">
        <v>501</v>
      </c>
      <c r="E4545" s="6">
        <v>1.53</v>
      </c>
    </row>
    <row r="4546">
      <c r="A4546" s="3">
        <v>129481.0</v>
      </c>
      <c r="B4546" s="4" t="s">
        <v>60</v>
      </c>
      <c r="C4546" s="4" t="s">
        <v>495</v>
      </c>
      <c r="D4546" s="4" t="s">
        <v>501</v>
      </c>
      <c r="E4546" s="4">
        <v>1.24</v>
      </c>
    </row>
    <row r="4547">
      <c r="A4547" s="5">
        <v>87455.0</v>
      </c>
      <c r="B4547" s="6" t="s">
        <v>60</v>
      </c>
      <c r="C4547" s="6" t="s">
        <v>495</v>
      </c>
      <c r="D4547" s="6" t="s">
        <v>501</v>
      </c>
      <c r="E4547" s="6">
        <v>0.97</v>
      </c>
    </row>
    <row r="4548">
      <c r="A4548" s="3">
        <v>120257.0</v>
      </c>
      <c r="B4548" s="4" t="s">
        <v>317</v>
      </c>
      <c r="C4548" s="4" t="s">
        <v>502</v>
      </c>
      <c r="D4548" s="4" t="s">
        <v>503</v>
      </c>
      <c r="E4548" s="4">
        <v>1.0</v>
      </c>
    </row>
    <row r="4549">
      <c r="A4549" s="5">
        <v>122221.0</v>
      </c>
      <c r="B4549" s="6" t="s">
        <v>317</v>
      </c>
      <c r="C4549" s="6" t="s">
        <v>502</v>
      </c>
      <c r="D4549" s="6" t="s">
        <v>503</v>
      </c>
      <c r="E4549" s="6">
        <v>2.62</v>
      </c>
    </row>
    <row r="4550">
      <c r="A4550" s="3">
        <v>122216.0</v>
      </c>
      <c r="B4550" s="4" t="s">
        <v>317</v>
      </c>
      <c r="C4550" s="4" t="s">
        <v>502</v>
      </c>
      <c r="D4550" s="4" t="s">
        <v>503</v>
      </c>
      <c r="E4550" s="4">
        <v>2.29</v>
      </c>
    </row>
    <row r="4551">
      <c r="A4551" s="5">
        <v>140598.0</v>
      </c>
      <c r="B4551" s="6" t="s">
        <v>317</v>
      </c>
      <c r="C4551" s="6" t="s">
        <v>502</v>
      </c>
      <c r="D4551" s="6" t="s">
        <v>503</v>
      </c>
      <c r="E4551" s="6">
        <v>1.0</v>
      </c>
    </row>
    <row r="4552">
      <c r="A4552" s="3">
        <v>112123.0</v>
      </c>
      <c r="B4552" s="4" t="s">
        <v>317</v>
      </c>
      <c r="C4552" s="4" t="s">
        <v>502</v>
      </c>
      <c r="D4552" s="4" t="s">
        <v>503</v>
      </c>
      <c r="E4552" s="4">
        <v>3.84</v>
      </c>
    </row>
    <row r="4553">
      <c r="A4553" s="5">
        <v>70402.0</v>
      </c>
      <c r="B4553" s="6" t="s">
        <v>317</v>
      </c>
      <c r="C4553" s="6" t="s">
        <v>502</v>
      </c>
      <c r="D4553" s="6" t="s">
        <v>503</v>
      </c>
      <c r="E4553" s="6">
        <v>3.11</v>
      </c>
    </row>
    <row r="4554">
      <c r="A4554" s="3">
        <v>119110.0</v>
      </c>
      <c r="B4554" s="4" t="s">
        <v>317</v>
      </c>
      <c r="C4554" s="4" t="s">
        <v>502</v>
      </c>
      <c r="D4554" s="4" t="s">
        <v>503</v>
      </c>
      <c r="E4554" s="4">
        <v>3.11</v>
      </c>
    </row>
    <row r="4555">
      <c r="A4555" s="5">
        <v>139295.0</v>
      </c>
      <c r="B4555" s="6" t="s">
        <v>317</v>
      </c>
      <c r="C4555" s="6" t="s">
        <v>502</v>
      </c>
      <c r="D4555" s="6" t="s">
        <v>503</v>
      </c>
      <c r="E4555" s="6">
        <v>3.94</v>
      </c>
    </row>
    <row r="4556">
      <c r="A4556" s="3">
        <v>71056.0</v>
      </c>
      <c r="B4556" s="4" t="s">
        <v>317</v>
      </c>
      <c r="C4556" s="4" t="s">
        <v>502</v>
      </c>
      <c r="D4556" s="4" t="s">
        <v>503</v>
      </c>
      <c r="E4556" s="4">
        <v>1.0</v>
      </c>
    </row>
    <row r="4557">
      <c r="A4557" s="5">
        <v>122218.0</v>
      </c>
      <c r="B4557" s="6" t="s">
        <v>317</v>
      </c>
      <c r="C4557" s="6" t="s">
        <v>502</v>
      </c>
      <c r="D4557" s="6" t="s">
        <v>503</v>
      </c>
      <c r="E4557" s="6">
        <v>2.0</v>
      </c>
    </row>
    <row r="4558">
      <c r="A4558" s="3">
        <v>122217.0</v>
      </c>
      <c r="B4558" s="4" t="s">
        <v>317</v>
      </c>
      <c r="C4558" s="4" t="s">
        <v>502</v>
      </c>
      <c r="D4558" s="4" t="s">
        <v>503</v>
      </c>
      <c r="E4558" s="4">
        <v>2.29</v>
      </c>
    </row>
    <row r="4559">
      <c r="A4559" s="5">
        <v>119119.0</v>
      </c>
      <c r="B4559" s="6" t="s">
        <v>317</v>
      </c>
      <c r="C4559" s="6" t="s">
        <v>502</v>
      </c>
      <c r="D4559" s="6" t="s">
        <v>503</v>
      </c>
      <c r="E4559" s="6">
        <v>3.84</v>
      </c>
    </row>
    <row r="4560">
      <c r="A4560" s="3">
        <v>46933.0</v>
      </c>
      <c r="B4560" s="4" t="s">
        <v>317</v>
      </c>
      <c r="C4560" s="4" t="s">
        <v>502</v>
      </c>
      <c r="D4560" s="4" t="s">
        <v>503</v>
      </c>
      <c r="E4560" s="4">
        <v>1.92</v>
      </c>
    </row>
    <row r="4561">
      <c r="A4561" s="5">
        <v>119118.0</v>
      </c>
      <c r="B4561" s="6" t="s">
        <v>317</v>
      </c>
      <c r="C4561" s="6" t="s">
        <v>502</v>
      </c>
      <c r="D4561" s="6" t="s">
        <v>503</v>
      </c>
      <c r="E4561" s="6">
        <v>4.62</v>
      </c>
    </row>
    <row r="4562">
      <c r="A4562" s="3">
        <v>41035.0</v>
      </c>
      <c r="B4562" s="4" t="s">
        <v>317</v>
      </c>
      <c r="C4562" s="4" t="s">
        <v>502</v>
      </c>
      <c r="D4562" s="4" t="s">
        <v>503</v>
      </c>
      <c r="E4562" s="4">
        <v>1.92</v>
      </c>
    </row>
    <row r="4563">
      <c r="A4563" s="5">
        <v>139303.0</v>
      </c>
      <c r="B4563" s="6" t="s">
        <v>317</v>
      </c>
      <c r="C4563" s="6" t="s">
        <v>502</v>
      </c>
      <c r="D4563" s="6" t="s">
        <v>503</v>
      </c>
      <c r="E4563" s="6">
        <v>3.94</v>
      </c>
    </row>
    <row r="4564">
      <c r="A4564" s="3">
        <v>101784.0</v>
      </c>
      <c r="B4564" s="4" t="s">
        <v>317</v>
      </c>
      <c r="C4564" s="4" t="s">
        <v>502</v>
      </c>
      <c r="D4564" s="4" t="s">
        <v>503</v>
      </c>
      <c r="E4564" s="4">
        <v>1.0</v>
      </c>
    </row>
    <row r="4565">
      <c r="A4565" s="5">
        <v>122219.0</v>
      </c>
      <c r="B4565" s="6" t="s">
        <v>317</v>
      </c>
      <c r="C4565" s="6" t="s">
        <v>502</v>
      </c>
      <c r="D4565" s="6" t="s">
        <v>503</v>
      </c>
      <c r="E4565" s="6">
        <v>2.62</v>
      </c>
    </row>
    <row r="4566">
      <c r="A4566" s="3">
        <v>122215.0</v>
      </c>
      <c r="B4566" s="4" t="s">
        <v>317</v>
      </c>
      <c r="C4566" s="4" t="s">
        <v>502</v>
      </c>
      <c r="D4566" s="4" t="s">
        <v>503</v>
      </c>
      <c r="E4566" s="4">
        <v>2.17</v>
      </c>
    </row>
    <row r="4567">
      <c r="A4567" s="5">
        <v>111154.0</v>
      </c>
      <c r="B4567" s="6" t="s">
        <v>317</v>
      </c>
      <c r="C4567" s="6" t="s">
        <v>502</v>
      </c>
      <c r="D4567" s="6" t="s">
        <v>503</v>
      </c>
      <c r="E4567" s="6">
        <v>4.62</v>
      </c>
    </row>
    <row r="4568">
      <c r="A4568" s="3">
        <v>119117.0</v>
      </c>
      <c r="B4568" s="4" t="s">
        <v>317</v>
      </c>
      <c r="C4568" s="4" t="s">
        <v>502</v>
      </c>
      <c r="D4568" s="4" t="s">
        <v>503</v>
      </c>
      <c r="E4568" s="4">
        <v>4.62</v>
      </c>
    </row>
    <row r="4569">
      <c r="A4569" s="5">
        <v>20419.0</v>
      </c>
      <c r="B4569" s="6" t="s">
        <v>317</v>
      </c>
      <c r="C4569" s="6" t="s">
        <v>502</v>
      </c>
      <c r="D4569" s="6" t="s">
        <v>503</v>
      </c>
      <c r="E4569" s="6">
        <v>1.92</v>
      </c>
    </row>
    <row r="4570">
      <c r="A4570" s="3">
        <v>122220.0</v>
      </c>
      <c r="B4570" s="4" t="s">
        <v>317</v>
      </c>
      <c r="C4570" s="4" t="s">
        <v>502</v>
      </c>
      <c r="D4570" s="4" t="s">
        <v>503</v>
      </c>
      <c r="E4570" s="4">
        <v>2.62</v>
      </c>
    </row>
    <row r="4571">
      <c r="A4571" s="5">
        <v>122214.0</v>
      </c>
      <c r="B4571" s="6" t="s">
        <v>317</v>
      </c>
      <c r="C4571" s="6" t="s">
        <v>502</v>
      </c>
      <c r="D4571" s="6" t="s">
        <v>503</v>
      </c>
      <c r="E4571" s="6">
        <v>2.62</v>
      </c>
    </row>
    <row r="4572">
      <c r="A4572" s="3">
        <v>46936.0</v>
      </c>
      <c r="B4572" s="4" t="s">
        <v>317</v>
      </c>
      <c r="C4572" s="4" t="s">
        <v>502</v>
      </c>
      <c r="D4572" s="4" t="s">
        <v>503</v>
      </c>
      <c r="E4572" s="4">
        <v>1.92</v>
      </c>
    </row>
    <row r="4573">
      <c r="A4573" s="5">
        <v>112122.0</v>
      </c>
      <c r="B4573" s="6" t="s">
        <v>317</v>
      </c>
      <c r="C4573" s="6" t="s">
        <v>502</v>
      </c>
      <c r="D4573" s="6" t="s">
        <v>503</v>
      </c>
      <c r="E4573" s="6">
        <v>3.84</v>
      </c>
    </row>
    <row r="4574">
      <c r="A4574" s="3">
        <v>71055.0</v>
      </c>
      <c r="B4574" s="4" t="s">
        <v>317</v>
      </c>
      <c r="C4574" s="4" t="s">
        <v>502</v>
      </c>
      <c r="D4574" s="4" t="s">
        <v>503</v>
      </c>
      <c r="E4574" s="4">
        <v>1.0</v>
      </c>
    </row>
    <row r="4575">
      <c r="A4575" s="5">
        <v>41034.0</v>
      </c>
      <c r="B4575" s="6" t="s">
        <v>317</v>
      </c>
      <c r="C4575" s="6" t="s">
        <v>502</v>
      </c>
      <c r="D4575" s="6" t="s">
        <v>503</v>
      </c>
      <c r="E4575" s="6">
        <v>1.92</v>
      </c>
    </row>
    <row r="4576">
      <c r="A4576" s="3">
        <v>111153.0</v>
      </c>
      <c r="B4576" s="4" t="s">
        <v>317</v>
      </c>
      <c r="C4576" s="4" t="s">
        <v>502</v>
      </c>
      <c r="D4576" s="4" t="s">
        <v>503</v>
      </c>
      <c r="E4576" s="4">
        <v>4.62</v>
      </c>
    </row>
    <row r="4577">
      <c r="A4577" s="5">
        <v>119120.0</v>
      </c>
      <c r="B4577" s="6" t="s">
        <v>317</v>
      </c>
      <c r="C4577" s="6" t="s">
        <v>502</v>
      </c>
      <c r="D4577" s="6" t="s">
        <v>503</v>
      </c>
      <c r="E4577" s="6">
        <v>3.84</v>
      </c>
    </row>
    <row r="4578">
      <c r="A4578" s="3">
        <v>139297.0</v>
      </c>
      <c r="B4578" s="4" t="s">
        <v>317</v>
      </c>
      <c r="C4578" s="4" t="s">
        <v>502</v>
      </c>
      <c r="D4578" s="4" t="s">
        <v>504</v>
      </c>
      <c r="E4578" s="4">
        <v>3.86</v>
      </c>
    </row>
    <row r="4579">
      <c r="A4579" s="5">
        <v>48476.0</v>
      </c>
      <c r="B4579" s="6" t="s">
        <v>317</v>
      </c>
      <c r="C4579" s="6" t="s">
        <v>502</v>
      </c>
      <c r="D4579" s="6" t="s">
        <v>504</v>
      </c>
      <c r="E4579" s="6">
        <v>3.11</v>
      </c>
    </row>
    <row r="4580">
      <c r="A4580" s="3">
        <v>103454.0</v>
      </c>
      <c r="B4580" s="4" t="s">
        <v>317</v>
      </c>
      <c r="C4580" s="4" t="s">
        <v>502</v>
      </c>
      <c r="D4580" s="4" t="s">
        <v>504</v>
      </c>
      <c r="E4580" s="4">
        <v>2.86</v>
      </c>
    </row>
    <row r="4581">
      <c r="A4581" s="5">
        <v>103456.0</v>
      </c>
      <c r="B4581" s="6" t="s">
        <v>317</v>
      </c>
      <c r="C4581" s="6" t="s">
        <v>502</v>
      </c>
      <c r="D4581" s="6" t="s">
        <v>504</v>
      </c>
      <c r="E4581" s="6">
        <v>2.86</v>
      </c>
    </row>
    <row r="4582">
      <c r="A4582" s="3">
        <v>139304.0</v>
      </c>
      <c r="B4582" s="4" t="s">
        <v>317</v>
      </c>
      <c r="C4582" s="4" t="s">
        <v>502</v>
      </c>
      <c r="D4582" s="4" t="s">
        <v>504</v>
      </c>
      <c r="E4582" s="4">
        <v>3.86</v>
      </c>
    </row>
    <row r="4583">
      <c r="A4583" s="5">
        <v>158661.0</v>
      </c>
      <c r="B4583" s="6" t="s">
        <v>60</v>
      </c>
      <c r="C4583" s="6" t="s">
        <v>505</v>
      </c>
      <c r="D4583" s="6" t="s">
        <v>506</v>
      </c>
      <c r="E4583" s="6">
        <v>7.96</v>
      </c>
    </row>
    <row r="4584">
      <c r="A4584" s="3">
        <v>162441.0</v>
      </c>
      <c r="B4584" s="4" t="s">
        <v>60</v>
      </c>
      <c r="C4584" s="4" t="s">
        <v>505</v>
      </c>
      <c r="D4584" s="4" t="s">
        <v>506</v>
      </c>
      <c r="E4584" s="4">
        <v>8.0</v>
      </c>
    </row>
    <row r="4585">
      <c r="A4585" s="5">
        <v>102695.0</v>
      </c>
      <c r="B4585" s="6" t="s">
        <v>60</v>
      </c>
      <c r="C4585" s="6" t="s">
        <v>505</v>
      </c>
      <c r="D4585" s="6" t="s">
        <v>506</v>
      </c>
      <c r="E4585" s="6">
        <v>5.2</v>
      </c>
    </row>
    <row r="4586">
      <c r="A4586" s="3">
        <v>78913.0</v>
      </c>
      <c r="B4586" s="4" t="s">
        <v>60</v>
      </c>
      <c r="C4586" s="4" t="s">
        <v>505</v>
      </c>
      <c r="D4586" s="4" t="s">
        <v>507</v>
      </c>
      <c r="E4586" s="4">
        <v>4.07</v>
      </c>
    </row>
    <row r="4587">
      <c r="A4587" s="5">
        <v>71397.0</v>
      </c>
      <c r="B4587" s="6" t="s">
        <v>60</v>
      </c>
      <c r="C4587" s="6" t="s">
        <v>505</v>
      </c>
      <c r="D4587" s="6" t="s">
        <v>507</v>
      </c>
      <c r="E4587" s="6">
        <v>2.92</v>
      </c>
    </row>
    <row r="4588">
      <c r="A4588" s="3">
        <v>17596.0</v>
      </c>
      <c r="B4588" s="4" t="s">
        <v>60</v>
      </c>
      <c r="C4588" s="4" t="s">
        <v>505</v>
      </c>
      <c r="D4588" s="4" t="s">
        <v>507</v>
      </c>
      <c r="E4588" s="4">
        <v>4.38</v>
      </c>
    </row>
    <row r="4589">
      <c r="A4589" s="5">
        <v>71398.0</v>
      </c>
      <c r="B4589" s="6" t="s">
        <v>60</v>
      </c>
      <c r="C4589" s="6" t="s">
        <v>505</v>
      </c>
      <c r="D4589" s="6" t="s">
        <v>507</v>
      </c>
      <c r="E4589" s="6">
        <v>3.52</v>
      </c>
    </row>
    <row r="4590">
      <c r="A4590" s="3">
        <v>17627.0</v>
      </c>
      <c r="B4590" s="4" t="s">
        <v>60</v>
      </c>
      <c r="C4590" s="4" t="s">
        <v>505</v>
      </c>
      <c r="D4590" s="4" t="s">
        <v>508</v>
      </c>
      <c r="E4590" s="4">
        <v>10.12</v>
      </c>
    </row>
    <row r="4591">
      <c r="A4591" s="5">
        <v>86166.0</v>
      </c>
      <c r="B4591" s="6" t="s">
        <v>60</v>
      </c>
      <c r="C4591" s="6" t="s">
        <v>505</v>
      </c>
      <c r="D4591" s="6" t="s">
        <v>509</v>
      </c>
      <c r="E4591" s="6">
        <v>7.33</v>
      </c>
    </row>
    <row r="4592">
      <c r="A4592" s="3">
        <v>71409.0</v>
      </c>
      <c r="B4592" s="4" t="s">
        <v>60</v>
      </c>
      <c r="C4592" s="4" t="s">
        <v>505</v>
      </c>
      <c r="D4592" s="4" t="s">
        <v>509</v>
      </c>
      <c r="E4592" s="4">
        <v>22.31</v>
      </c>
    </row>
    <row r="4593">
      <c r="A4593" s="5">
        <v>12877.0</v>
      </c>
      <c r="B4593" s="6" t="s">
        <v>60</v>
      </c>
      <c r="C4593" s="6" t="s">
        <v>505</v>
      </c>
      <c r="D4593" s="6" t="s">
        <v>509</v>
      </c>
      <c r="E4593" s="6">
        <v>19.58</v>
      </c>
    </row>
    <row r="4594">
      <c r="A4594" s="3">
        <v>121868.0</v>
      </c>
      <c r="B4594" s="4" t="s">
        <v>60</v>
      </c>
      <c r="C4594" s="4" t="s">
        <v>505</v>
      </c>
      <c r="D4594" s="4" t="s">
        <v>509</v>
      </c>
      <c r="E4594" s="4">
        <v>3.99</v>
      </c>
    </row>
    <row r="4595">
      <c r="A4595" s="5">
        <v>17626.0</v>
      </c>
      <c r="B4595" s="6" t="s">
        <v>60</v>
      </c>
      <c r="C4595" s="6" t="s">
        <v>505</v>
      </c>
      <c r="D4595" s="6" t="s">
        <v>509</v>
      </c>
      <c r="E4595" s="6">
        <v>38.84</v>
      </c>
    </row>
    <row r="4596">
      <c r="A4596" s="3">
        <v>71394.0</v>
      </c>
      <c r="B4596" s="4" t="s">
        <v>60</v>
      </c>
      <c r="C4596" s="4" t="s">
        <v>505</v>
      </c>
      <c r="D4596" s="4" t="s">
        <v>509</v>
      </c>
      <c r="E4596" s="4">
        <v>5.93</v>
      </c>
    </row>
    <row r="4597">
      <c r="A4597" s="5">
        <v>17620.0</v>
      </c>
      <c r="B4597" s="6" t="s">
        <v>60</v>
      </c>
      <c r="C4597" s="6" t="s">
        <v>505</v>
      </c>
      <c r="D4597" s="6" t="s">
        <v>509</v>
      </c>
      <c r="E4597" s="6">
        <v>6.12</v>
      </c>
    </row>
    <row r="4598">
      <c r="A4598" s="3">
        <v>86186.0</v>
      </c>
      <c r="B4598" s="4" t="s">
        <v>60</v>
      </c>
      <c r="C4598" s="4" t="s">
        <v>505</v>
      </c>
      <c r="D4598" s="4" t="s">
        <v>509</v>
      </c>
      <c r="E4598" s="4">
        <v>6.76</v>
      </c>
    </row>
    <row r="4599">
      <c r="A4599" s="5">
        <v>71410.0</v>
      </c>
      <c r="B4599" s="6" t="s">
        <v>60</v>
      </c>
      <c r="C4599" s="6" t="s">
        <v>505</v>
      </c>
      <c r="D4599" s="6" t="s">
        <v>509</v>
      </c>
      <c r="E4599" s="6">
        <v>6.22</v>
      </c>
    </row>
    <row r="4600">
      <c r="A4600" s="3">
        <v>121869.0</v>
      </c>
      <c r="B4600" s="4" t="s">
        <v>60</v>
      </c>
      <c r="C4600" s="4" t="s">
        <v>505</v>
      </c>
      <c r="D4600" s="4" t="s">
        <v>509</v>
      </c>
      <c r="E4600" s="4">
        <v>12.32</v>
      </c>
    </row>
    <row r="4601">
      <c r="A4601" s="5">
        <v>17624.0</v>
      </c>
      <c r="B4601" s="6" t="s">
        <v>60</v>
      </c>
      <c r="C4601" s="6" t="s">
        <v>505</v>
      </c>
      <c r="D4601" s="6" t="s">
        <v>509</v>
      </c>
      <c r="E4601" s="6">
        <v>6.46</v>
      </c>
    </row>
    <row r="4602">
      <c r="A4602" s="3">
        <v>119737.0</v>
      </c>
      <c r="B4602" s="4" t="s">
        <v>60</v>
      </c>
      <c r="C4602" s="4" t="s">
        <v>505</v>
      </c>
      <c r="D4602" s="4" t="s">
        <v>509</v>
      </c>
      <c r="E4602" s="4">
        <v>16.36</v>
      </c>
    </row>
    <row r="4603">
      <c r="A4603" s="5">
        <v>17618.0</v>
      </c>
      <c r="B4603" s="6" t="s">
        <v>60</v>
      </c>
      <c r="C4603" s="6" t="s">
        <v>505</v>
      </c>
      <c r="D4603" s="6" t="s">
        <v>509</v>
      </c>
      <c r="E4603" s="6">
        <v>4.64</v>
      </c>
    </row>
    <row r="4604">
      <c r="A4604" s="3">
        <v>78741.0</v>
      </c>
      <c r="B4604" s="4" t="s">
        <v>60</v>
      </c>
      <c r="C4604" s="4" t="s">
        <v>505</v>
      </c>
      <c r="D4604" s="4" t="s">
        <v>509</v>
      </c>
      <c r="E4604" s="4">
        <v>7.39</v>
      </c>
    </row>
    <row r="4605">
      <c r="A4605" s="5">
        <v>86864.0</v>
      </c>
      <c r="B4605" s="6" t="s">
        <v>60</v>
      </c>
      <c r="C4605" s="6" t="s">
        <v>505</v>
      </c>
      <c r="D4605" s="6" t="s">
        <v>509</v>
      </c>
      <c r="E4605" s="6">
        <v>8.08</v>
      </c>
    </row>
    <row r="4606">
      <c r="A4606" s="3">
        <v>71421.0</v>
      </c>
      <c r="B4606" s="4" t="s">
        <v>60</v>
      </c>
      <c r="C4606" s="4" t="s">
        <v>505</v>
      </c>
      <c r="D4606" s="4" t="s">
        <v>509</v>
      </c>
      <c r="E4606" s="4">
        <v>7.55</v>
      </c>
    </row>
    <row r="4607">
      <c r="A4607" s="5">
        <v>115776.0</v>
      </c>
      <c r="B4607" s="6" t="s">
        <v>60</v>
      </c>
      <c r="C4607" s="6" t="s">
        <v>505</v>
      </c>
      <c r="D4607" s="6" t="s">
        <v>509</v>
      </c>
      <c r="E4607" s="6">
        <v>4.32</v>
      </c>
    </row>
    <row r="4608">
      <c r="A4608" s="3">
        <v>71393.0</v>
      </c>
      <c r="B4608" s="4" t="s">
        <v>60</v>
      </c>
      <c r="C4608" s="4" t="s">
        <v>505</v>
      </c>
      <c r="D4608" s="4" t="s">
        <v>509</v>
      </c>
      <c r="E4608" s="4">
        <v>5.93</v>
      </c>
    </row>
    <row r="4609">
      <c r="A4609" s="5">
        <v>78739.0</v>
      </c>
      <c r="B4609" s="6" t="s">
        <v>60</v>
      </c>
      <c r="C4609" s="6" t="s">
        <v>505</v>
      </c>
      <c r="D4609" s="6" t="s">
        <v>509</v>
      </c>
      <c r="E4609" s="6">
        <v>7.32</v>
      </c>
    </row>
    <row r="4610">
      <c r="A4610" s="3">
        <v>71408.0</v>
      </c>
      <c r="B4610" s="4" t="s">
        <v>60</v>
      </c>
      <c r="C4610" s="4" t="s">
        <v>505</v>
      </c>
      <c r="D4610" s="4" t="s">
        <v>509</v>
      </c>
      <c r="E4610" s="4">
        <v>6.86</v>
      </c>
    </row>
    <row r="4611">
      <c r="A4611" s="5">
        <v>109194.0</v>
      </c>
      <c r="B4611" s="6" t="s">
        <v>60</v>
      </c>
      <c r="C4611" s="6" t="s">
        <v>505</v>
      </c>
      <c r="D4611" s="6" t="s">
        <v>510</v>
      </c>
      <c r="E4611" s="6">
        <v>8.83</v>
      </c>
    </row>
    <row r="4612">
      <c r="A4612" s="3">
        <v>84448.0</v>
      </c>
      <c r="B4612" s="4" t="s">
        <v>60</v>
      </c>
      <c r="C4612" s="4" t="s">
        <v>505</v>
      </c>
      <c r="D4612" s="4" t="s">
        <v>510</v>
      </c>
      <c r="E4612" s="4">
        <v>20.08</v>
      </c>
    </row>
    <row r="4613">
      <c r="A4613" s="5">
        <v>140575.0</v>
      </c>
      <c r="B4613" s="6" t="s">
        <v>60</v>
      </c>
      <c r="C4613" s="6" t="s">
        <v>505</v>
      </c>
      <c r="D4613" s="6" t="s">
        <v>510</v>
      </c>
      <c r="E4613" s="6">
        <v>3.58</v>
      </c>
    </row>
    <row r="4614">
      <c r="A4614" s="3">
        <v>71420.0</v>
      </c>
      <c r="B4614" s="4" t="s">
        <v>60</v>
      </c>
      <c r="C4614" s="4" t="s">
        <v>505</v>
      </c>
      <c r="D4614" s="4" t="s">
        <v>510</v>
      </c>
      <c r="E4614" s="4">
        <v>2.55</v>
      </c>
    </row>
    <row r="4615">
      <c r="A4615" s="5">
        <v>71375.0</v>
      </c>
      <c r="B4615" s="6" t="s">
        <v>60</v>
      </c>
      <c r="C4615" s="6" t="s">
        <v>505</v>
      </c>
      <c r="D4615" s="6" t="s">
        <v>510</v>
      </c>
      <c r="E4615" s="6">
        <v>2.12</v>
      </c>
    </row>
    <row r="4616">
      <c r="A4616" s="3">
        <v>71376.0</v>
      </c>
      <c r="B4616" s="4" t="s">
        <v>60</v>
      </c>
      <c r="C4616" s="4" t="s">
        <v>505</v>
      </c>
      <c r="D4616" s="4" t="s">
        <v>510</v>
      </c>
      <c r="E4616" s="4">
        <v>3.94</v>
      </c>
    </row>
    <row r="4617">
      <c r="A4617" s="5">
        <v>110975.0</v>
      </c>
      <c r="B4617" s="6" t="s">
        <v>60</v>
      </c>
      <c r="C4617" s="6" t="s">
        <v>505</v>
      </c>
      <c r="D4617" s="6" t="s">
        <v>510</v>
      </c>
      <c r="E4617" s="6">
        <v>2.14</v>
      </c>
    </row>
    <row r="4618">
      <c r="A4618" s="3">
        <v>86170.0</v>
      </c>
      <c r="B4618" s="4" t="s">
        <v>60</v>
      </c>
      <c r="C4618" s="4" t="s">
        <v>505</v>
      </c>
      <c r="D4618" s="4" t="s">
        <v>510</v>
      </c>
      <c r="E4618" s="4">
        <v>7.79</v>
      </c>
    </row>
    <row r="4619">
      <c r="A4619" s="5">
        <v>142787.0</v>
      </c>
      <c r="B4619" s="6" t="s">
        <v>60</v>
      </c>
      <c r="C4619" s="6" t="s">
        <v>505</v>
      </c>
      <c r="D4619" s="6" t="s">
        <v>510</v>
      </c>
      <c r="E4619" s="6">
        <v>3.03</v>
      </c>
    </row>
    <row r="4620">
      <c r="A4620" s="3">
        <v>109185.0</v>
      </c>
      <c r="B4620" s="4" t="s">
        <v>60</v>
      </c>
      <c r="C4620" s="4" t="s">
        <v>505</v>
      </c>
      <c r="D4620" s="4" t="s">
        <v>510</v>
      </c>
      <c r="E4620" s="4">
        <v>7.23</v>
      </c>
    </row>
    <row r="4621">
      <c r="A4621" s="5">
        <v>109184.0</v>
      </c>
      <c r="B4621" s="6" t="s">
        <v>60</v>
      </c>
      <c r="C4621" s="6" t="s">
        <v>505</v>
      </c>
      <c r="D4621" s="6" t="s">
        <v>510</v>
      </c>
      <c r="E4621" s="6">
        <v>5.61</v>
      </c>
    </row>
    <row r="4622">
      <c r="A4622" s="3">
        <v>72575.0</v>
      </c>
      <c r="B4622" s="4" t="s">
        <v>60</v>
      </c>
      <c r="C4622" s="4" t="s">
        <v>505</v>
      </c>
      <c r="D4622" s="4" t="s">
        <v>510</v>
      </c>
      <c r="E4622" s="4">
        <v>3.82</v>
      </c>
    </row>
    <row r="4623">
      <c r="A4623" s="5">
        <v>78909.0</v>
      </c>
      <c r="B4623" s="6" t="s">
        <v>60</v>
      </c>
      <c r="C4623" s="6" t="s">
        <v>505</v>
      </c>
      <c r="D4623" s="6" t="s">
        <v>510</v>
      </c>
      <c r="E4623" s="6">
        <v>7.18</v>
      </c>
    </row>
    <row r="4624">
      <c r="A4624" s="3">
        <v>17630.0</v>
      </c>
      <c r="B4624" s="4" t="s">
        <v>60</v>
      </c>
      <c r="C4624" s="4" t="s">
        <v>505</v>
      </c>
      <c r="D4624" s="4" t="s">
        <v>511</v>
      </c>
      <c r="E4624" s="4">
        <v>10.48</v>
      </c>
    </row>
    <row r="4625">
      <c r="A4625" s="5">
        <v>78924.0</v>
      </c>
      <c r="B4625" s="6" t="s">
        <v>60</v>
      </c>
      <c r="C4625" s="6" t="s">
        <v>505</v>
      </c>
      <c r="D4625" s="6" t="s">
        <v>511</v>
      </c>
      <c r="E4625" s="6">
        <v>7.46</v>
      </c>
    </row>
    <row r="4626">
      <c r="A4626" s="3">
        <v>82196.0</v>
      </c>
      <c r="B4626" s="4" t="s">
        <v>60</v>
      </c>
      <c r="C4626" s="4" t="s">
        <v>505</v>
      </c>
      <c r="D4626" s="4" t="s">
        <v>511</v>
      </c>
      <c r="E4626" s="4">
        <v>6.0</v>
      </c>
    </row>
    <row r="4627">
      <c r="A4627" s="5">
        <v>86184.0</v>
      </c>
      <c r="B4627" s="6" t="s">
        <v>60</v>
      </c>
      <c r="C4627" s="6" t="s">
        <v>505</v>
      </c>
      <c r="D4627" s="6" t="s">
        <v>512</v>
      </c>
      <c r="E4627" s="6">
        <v>9.35</v>
      </c>
    </row>
    <row r="4628">
      <c r="A4628" s="3">
        <v>6219.0</v>
      </c>
      <c r="B4628" s="4" t="s">
        <v>60</v>
      </c>
      <c r="C4628" s="4" t="s">
        <v>505</v>
      </c>
      <c r="D4628" s="4" t="s">
        <v>512</v>
      </c>
      <c r="E4628" s="4">
        <v>9.5</v>
      </c>
    </row>
    <row r="4629">
      <c r="A4629" s="5">
        <v>116185.0</v>
      </c>
      <c r="B4629" s="6" t="s">
        <v>60</v>
      </c>
      <c r="C4629" s="6" t="s">
        <v>505</v>
      </c>
      <c r="D4629" s="6" t="s">
        <v>513</v>
      </c>
      <c r="E4629" s="6">
        <v>3.92</v>
      </c>
    </row>
    <row r="4630">
      <c r="A4630" s="3">
        <v>12873.0</v>
      </c>
      <c r="B4630" s="4" t="s">
        <v>60</v>
      </c>
      <c r="C4630" s="4" t="s">
        <v>505</v>
      </c>
      <c r="D4630" s="4" t="s">
        <v>513</v>
      </c>
      <c r="E4630" s="4">
        <v>13.55</v>
      </c>
    </row>
    <row r="4631">
      <c r="A4631" s="5">
        <v>71413.0</v>
      </c>
      <c r="B4631" s="6" t="s">
        <v>60</v>
      </c>
      <c r="C4631" s="6" t="s">
        <v>505</v>
      </c>
      <c r="D4631" s="6" t="s">
        <v>513</v>
      </c>
      <c r="E4631" s="6">
        <v>5.7</v>
      </c>
    </row>
    <row r="4632">
      <c r="A4632" s="3">
        <v>128352.0</v>
      </c>
      <c r="B4632" s="4" t="s">
        <v>60</v>
      </c>
      <c r="C4632" s="4" t="s">
        <v>505</v>
      </c>
      <c r="D4632" s="4" t="s">
        <v>513</v>
      </c>
      <c r="E4632" s="4">
        <v>2.67</v>
      </c>
    </row>
    <row r="4633">
      <c r="A4633" s="5">
        <v>17594.0</v>
      </c>
      <c r="B4633" s="6" t="s">
        <v>60</v>
      </c>
      <c r="C4633" s="6" t="s">
        <v>505</v>
      </c>
      <c r="D4633" s="6" t="s">
        <v>513</v>
      </c>
      <c r="E4633" s="6">
        <v>5.6</v>
      </c>
    </row>
    <row r="4634">
      <c r="A4634" s="3">
        <v>71404.0</v>
      </c>
      <c r="B4634" s="4" t="s">
        <v>60</v>
      </c>
      <c r="C4634" s="4" t="s">
        <v>505</v>
      </c>
      <c r="D4634" s="4" t="s">
        <v>513</v>
      </c>
      <c r="E4634" s="4">
        <v>4.79</v>
      </c>
    </row>
    <row r="4635">
      <c r="A4635" s="5">
        <v>129473.0</v>
      </c>
      <c r="B4635" s="6" t="s">
        <v>60</v>
      </c>
      <c r="C4635" s="6" t="s">
        <v>505</v>
      </c>
      <c r="D4635" s="6" t="s">
        <v>513</v>
      </c>
      <c r="E4635" s="6">
        <v>2.97</v>
      </c>
    </row>
    <row r="4636">
      <c r="A4636" s="3">
        <v>78904.0</v>
      </c>
      <c r="B4636" s="4" t="s">
        <v>60</v>
      </c>
      <c r="C4636" s="4" t="s">
        <v>505</v>
      </c>
      <c r="D4636" s="4" t="s">
        <v>513</v>
      </c>
      <c r="E4636" s="4">
        <v>5.97</v>
      </c>
    </row>
    <row r="4637">
      <c r="A4637" s="5">
        <v>122311.0</v>
      </c>
      <c r="B4637" s="6" t="s">
        <v>60</v>
      </c>
      <c r="C4637" s="6" t="s">
        <v>505</v>
      </c>
      <c r="D4637" s="6" t="s">
        <v>514</v>
      </c>
      <c r="E4637" s="6">
        <v>3.17</v>
      </c>
    </row>
    <row r="4638">
      <c r="A4638" s="3">
        <v>86172.0</v>
      </c>
      <c r="B4638" s="4" t="s">
        <v>60</v>
      </c>
      <c r="C4638" s="4" t="s">
        <v>505</v>
      </c>
      <c r="D4638" s="4" t="s">
        <v>515</v>
      </c>
      <c r="E4638" s="4">
        <v>5.0</v>
      </c>
    </row>
    <row r="4639">
      <c r="A4639" s="5">
        <v>17592.0</v>
      </c>
      <c r="B4639" s="6" t="s">
        <v>60</v>
      </c>
      <c r="C4639" s="6" t="s">
        <v>505</v>
      </c>
      <c r="D4639" s="6" t="s">
        <v>515</v>
      </c>
      <c r="E4639" s="6">
        <v>5.75</v>
      </c>
    </row>
    <row r="4640">
      <c r="A4640" s="3">
        <v>89981.0</v>
      </c>
      <c r="B4640" s="4" t="s">
        <v>60</v>
      </c>
      <c r="C4640" s="4" t="s">
        <v>505</v>
      </c>
      <c r="D4640" s="4" t="s">
        <v>515</v>
      </c>
      <c r="E4640" s="4">
        <v>4.06</v>
      </c>
    </row>
    <row r="4641">
      <c r="A4641" s="5">
        <v>71399.0</v>
      </c>
      <c r="B4641" s="6" t="s">
        <v>60</v>
      </c>
      <c r="C4641" s="6" t="s">
        <v>505</v>
      </c>
      <c r="D4641" s="6" t="s">
        <v>515</v>
      </c>
      <c r="E4641" s="6">
        <v>4.1</v>
      </c>
    </row>
    <row r="4642">
      <c r="A4642" s="3">
        <v>17587.0</v>
      </c>
      <c r="B4642" s="4" t="s">
        <v>60</v>
      </c>
      <c r="C4642" s="4" t="s">
        <v>505</v>
      </c>
      <c r="D4642" s="4" t="s">
        <v>515</v>
      </c>
      <c r="E4642" s="4">
        <v>3.94</v>
      </c>
    </row>
    <row r="4643">
      <c r="A4643" s="5">
        <v>17647.0</v>
      </c>
      <c r="B4643" s="6" t="s">
        <v>60</v>
      </c>
      <c r="C4643" s="6" t="s">
        <v>505</v>
      </c>
      <c r="D4643" s="6" t="s">
        <v>515</v>
      </c>
      <c r="E4643" s="6">
        <v>6.97</v>
      </c>
    </row>
    <row r="4644">
      <c r="A4644" s="3">
        <v>107364.0</v>
      </c>
      <c r="B4644" s="4" t="s">
        <v>60</v>
      </c>
      <c r="C4644" s="4" t="s">
        <v>505</v>
      </c>
      <c r="D4644" s="4" t="s">
        <v>515</v>
      </c>
      <c r="E4644" s="4">
        <v>7.12</v>
      </c>
    </row>
    <row r="4645">
      <c r="A4645" s="5">
        <v>24118.0</v>
      </c>
      <c r="B4645" s="6" t="s">
        <v>60</v>
      </c>
      <c r="C4645" s="6" t="s">
        <v>505</v>
      </c>
      <c r="D4645" s="6" t="s">
        <v>516</v>
      </c>
      <c r="E4645" s="6">
        <v>5.36</v>
      </c>
    </row>
    <row r="4646">
      <c r="A4646" s="3">
        <v>86181.0</v>
      </c>
      <c r="B4646" s="4" t="s">
        <v>60</v>
      </c>
      <c r="C4646" s="4" t="s">
        <v>505</v>
      </c>
      <c r="D4646" s="4" t="s">
        <v>517</v>
      </c>
      <c r="E4646" s="4">
        <v>5.92</v>
      </c>
    </row>
    <row r="4647">
      <c r="A4647" s="5">
        <v>129474.0</v>
      </c>
      <c r="B4647" s="6" t="s">
        <v>60</v>
      </c>
      <c r="C4647" s="6" t="s">
        <v>505</v>
      </c>
      <c r="D4647" s="6" t="s">
        <v>517</v>
      </c>
      <c r="E4647" s="6">
        <v>5.52</v>
      </c>
    </row>
    <row r="4648">
      <c r="A4648" s="3">
        <v>17601.0</v>
      </c>
      <c r="B4648" s="4" t="s">
        <v>60</v>
      </c>
      <c r="C4648" s="4" t="s">
        <v>505</v>
      </c>
      <c r="D4648" s="4" t="s">
        <v>517</v>
      </c>
      <c r="E4648" s="4">
        <v>4.84</v>
      </c>
    </row>
    <row r="4649">
      <c r="A4649" s="5">
        <v>78938.0</v>
      </c>
      <c r="B4649" s="6" t="s">
        <v>60</v>
      </c>
      <c r="C4649" s="6" t="s">
        <v>505</v>
      </c>
      <c r="D4649" s="6" t="s">
        <v>517</v>
      </c>
      <c r="E4649" s="6">
        <v>5.45</v>
      </c>
    </row>
    <row r="4650">
      <c r="A4650" s="3">
        <v>17609.0</v>
      </c>
      <c r="B4650" s="4" t="s">
        <v>60</v>
      </c>
      <c r="C4650" s="4" t="s">
        <v>505</v>
      </c>
      <c r="D4650" s="4" t="s">
        <v>517</v>
      </c>
      <c r="E4650" s="4">
        <v>7.33</v>
      </c>
    </row>
    <row r="4651">
      <c r="A4651" s="5">
        <v>129452.0</v>
      </c>
      <c r="B4651" s="6" t="s">
        <v>60</v>
      </c>
      <c r="C4651" s="6" t="s">
        <v>505</v>
      </c>
      <c r="D4651" s="6" t="s">
        <v>518</v>
      </c>
      <c r="E4651" s="6">
        <v>2.41</v>
      </c>
    </row>
    <row r="4652">
      <c r="A4652" s="3">
        <v>88587.0</v>
      </c>
      <c r="B4652" s="4" t="s">
        <v>60</v>
      </c>
      <c r="C4652" s="4" t="s">
        <v>505</v>
      </c>
      <c r="D4652" s="4" t="s">
        <v>518</v>
      </c>
      <c r="E4652" s="4">
        <v>3.69</v>
      </c>
    </row>
    <row r="4653">
      <c r="A4653" s="5">
        <v>17645.0</v>
      </c>
      <c r="B4653" s="6" t="s">
        <v>60</v>
      </c>
      <c r="C4653" s="6" t="s">
        <v>505</v>
      </c>
      <c r="D4653" s="6" t="s">
        <v>518</v>
      </c>
      <c r="E4653" s="6">
        <v>5.17</v>
      </c>
    </row>
    <row r="4654">
      <c r="A4654" s="3">
        <v>78899.0</v>
      </c>
      <c r="B4654" s="4" t="s">
        <v>60</v>
      </c>
      <c r="C4654" s="4" t="s">
        <v>505</v>
      </c>
      <c r="D4654" s="4" t="s">
        <v>518</v>
      </c>
      <c r="E4654" s="4">
        <v>4.63</v>
      </c>
    </row>
    <row r="4655">
      <c r="A4655" s="5">
        <v>71402.0</v>
      </c>
      <c r="B4655" s="6" t="s">
        <v>60</v>
      </c>
      <c r="C4655" s="6" t="s">
        <v>505</v>
      </c>
      <c r="D4655" s="6" t="s">
        <v>518</v>
      </c>
      <c r="E4655" s="6">
        <v>3.34</v>
      </c>
    </row>
    <row r="4656">
      <c r="A4656" s="3">
        <v>12875.0</v>
      </c>
      <c r="B4656" s="4" t="s">
        <v>60</v>
      </c>
      <c r="C4656" s="4" t="s">
        <v>505</v>
      </c>
      <c r="D4656" s="4" t="s">
        <v>518</v>
      </c>
      <c r="E4656" s="4">
        <v>11.8</v>
      </c>
    </row>
    <row r="4657">
      <c r="A4657" s="5">
        <v>17615.0</v>
      </c>
      <c r="B4657" s="6" t="s">
        <v>60</v>
      </c>
      <c r="C4657" s="6" t="s">
        <v>505</v>
      </c>
      <c r="D4657" s="6" t="s">
        <v>518</v>
      </c>
      <c r="E4657" s="6">
        <v>4.71</v>
      </c>
    </row>
    <row r="4658">
      <c r="A4658" s="3">
        <v>193116.0</v>
      </c>
      <c r="B4658" s="4" t="s">
        <v>60</v>
      </c>
      <c r="C4658" s="4" t="s">
        <v>505</v>
      </c>
      <c r="D4658" s="4" t="s">
        <v>518</v>
      </c>
      <c r="E4658" s="4">
        <v>4.04</v>
      </c>
    </row>
    <row r="4659">
      <c r="A4659" s="5">
        <v>72577.0</v>
      </c>
      <c r="B4659" s="6" t="s">
        <v>60</v>
      </c>
      <c r="C4659" s="6" t="s">
        <v>505</v>
      </c>
      <c r="D4659" s="6" t="s">
        <v>518</v>
      </c>
      <c r="E4659" s="6">
        <v>12.57</v>
      </c>
    </row>
    <row r="4660">
      <c r="A4660" s="3">
        <v>78916.0</v>
      </c>
      <c r="B4660" s="4" t="s">
        <v>60</v>
      </c>
      <c r="C4660" s="4" t="s">
        <v>505</v>
      </c>
      <c r="D4660" s="4" t="s">
        <v>519</v>
      </c>
      <c r="E4660" s="4">
        <v>9.56</v>
      </c>
    </row>
    <row r="4661">
      <c r="A4661" s="5">
        <v>71419.0</v>
      </c>
      <c r="B4661" s="6" t="s">
        <v>60</v>
      </c>
      <c r="C4661" s="6" t="s">
        <v>505</v>
      </c>
      <c r="D4661" s="6" t="s">
        <v>519</v>
      </c>
      <c r="E4661" s="6">
        <v>5.8</v>
      </c>
    </row>
    <row r="4662">
      <c r="A4662" s="3">
        <v>188223.0</v>
      </c>
      <c r="B4662" s="4" t="s">
        <v>60</v>
      </c>
      <c r="C4662" s="4" t="s">
        <v>505</v>
      </c>
      <c r="D4662" s="4" t="s">
        <v>519</v>
      </c>
      <c r="E4662" s="4">
        <v>3.19</v>
      </c>
    </row>
    <row r="4663">
      <c r="A4663" s="5">
        <v>71417.0</v>
      </c>
      <c r="B4663" s="6" t="s">
        <v>60</v>
      </c>
      <c r="C4663" s="6" t="s">
        <v>505</v>
      </c>
      <c r="D4663" s="6" t="s">
        <v>519</v>
      </c>
      <c r="E4663" s="6">
        <v>5.7</v>
      </c>
    </row>
    <row r="4664">
      <c r="A4664" s="3">
        <v>46895.0</v>
      </c>
      <c r="B4664" s="4" t="s">
        <v>60</v>
      </c>
      <c r="C4664" s="4" t="s">
        <v>505</v>
      </c>
      <c r="D4664" s="4" t="s">
        <v>519</v>
      </c>
      <c r="E4664" s="4">
        <v>5.8</v>
      </c>
    </row>
    <row r="4665">
      <c r="A4665" s="5">
        <v>86157.0</v>
      </c>
      <c r="B4665" s="6" t="s">
        <v>60</v>
      </c>
      <c r="C4665" s="6" t="s">
        <v>505</v>
      </c>
      <c r="D4665" s="6" t="s">
        <v>519</v>
      </c>
      <c r="E4665" s="6">
        <v>5.17</v>
      </c>
    </row>
    <row r="4666">
      <c r="A4666" s="3">
        <v>159110.0</v>
      </c>
      <c r="B4666" s="4" t="s">
        <v>60</v>
      </c>
      <c r="C4666" s="4" t="s">
        <v>505</v>
      </c>
      <c r="D4666" s="4" t="s">
        <v>519</v>
      </c>
      <c r="E4666" s="4">
        <v>3.73</v>
      </c>
    </row>
    <row r="4667">
      <c r="A4667" s="5">
        <v>46913.0</v>
      </c>
      <c r="B4667" s="6" t="s">
        <v>60</v>
      </c>
      <c r="C4667" s="6" t="s">
        <v>505</v>
      </c>
      <c r="D4667" s="6" t="s">
        <v>519</v>
      </c>
      <c r="E4667" s="6">
        <v>4.53</v>
      </c>
    </row>
    <row r="4668">
      <c r="A4668" s="3">
        <v>71400.0</v>
      </c>
      <c r="B4668" s="4" t="s">
        <v>60</v>
      </c>
      <c r="C4668" s="4" t="s">
        <v>505</v>
      </c>
      <c r="D4668" s="4" t="s">
        <v>519</v>
      </c>
      <c r="E4668" s="4">
        <v>5.54</v>
      </c>
    </row>
    <row r="4669">
      <c r="A4669" s="5">
        <v>46914.0</v>
      </c>
      <c r="B4669" s="6" t="s">
        <v>60</v>
      </c>
      <c r="C4669" s="6" t="s">
        <v>505</v>
      </c>
      <c r="D4669" s="6" t="s">
        <v>519</v>
      </c>
      <c r="E4669" s="6">
        <v>5.36</v>
      </c>
    </row>
    <row r="4670">
      <c r="A4670" s="3">
        <v>120300.0</v>
      </c>
      <c r="B4670" s="4" t="s">
        <v>60</v>
      </c>
      <c r="C4670" s="4" t="s">
        <v>505</v>
      </c>
      <c r="D4670" s="4" t="s">
        <v>519</v>
      </c>
      <c r="E4670" s="4">
        <v>7.08</v>
      </c>
    </row>
    <row r="4671">
      <c r="A4671" s="5">
        <v>71412.0</v>
      </c>
      <c r="B4671" s="6" t="s">
        <v>60</v>
      </c>
      <c r="C4671" s="6" t="s">
        <v>505</v>
      </c>
      <c r="D4671" s="6" t="s">
        <v>519</v>
      </c>
      <c r="E4671" s="6">
        <v>5.33</v>
      </c>
    </row>
    <row r="4672">
      <c r="A4672" s="3">
        <v>71415.0</v>
      </c>
      <c r="B4672" s="4" t="s">
        <v>60</v>
      </c>
      <c r="C4672" s="4" t="s">
        <v>505</v>
      </c>
      <c r="D4672" s="4" t="s">
        <v>519</v>
      </c>
      <c r="E4672" s="4">
        <v>3.64</v>
      </c>
    </row>
    <row r="4673">
      <c r="A4673" s="5">
        <v>71414.0</v>
      </c>
      <c r="B4673" s="6" t="s">
        <v>60</v>
      </c>
      <c r="C4673" s="6" t="s">
        <v>505</v>
      </c>
      <c r="D4673" s="6" t="s">
        <v>519</v>
      </c>
      <c r="E4673" s="6">
        <v>4.01</v>
      </c>
    </row>
    <row r="4674">
      <c r="A4674" s="3">
        <v>10336.0</v>
      </c>
      <c r="B4674" s="4" t="s">
        <v>128</v>
      </c>
      <c r="C4674" s="4" t="s">
        <v>520</v>
      </c>
      <c r="D4674" s="4" t="s">
        <v>521</v>
      </c>
      <c r="E4674" s="4">
        <v>4.98</v>
      </c>
    </row>
    <row r="4675">
      <c r="A4675" s="5">
        <v>125173.0</v>
      </c>
      <c r="B4675" s="6" t="s">
        <v>128</v>
      </c>
      <c r="C4675" s="6" t="s">
        <v>520</v>
      </c>
      <c r="D4675" s="6" t="s">
        <v>522</v>
      </c>
      <c r="E4675" s="6">
        <v>2.08</v>
      </c>
    </row>
    <row r="4676">
      <c r="A4676" s="3">
        <v>112994.0</v>
      </c>
      <c r="B4676" s="4" t="s">
        <v>128</v>
      </c>
      <c r="C4676" s="4" t="s">
        <v>520</v>
      </c>
      <c r="D4676" s="4" t="s">
        <v>522</v>
      </c>
      <c r="E4676" s="4">
        <v>7.98</v>
      </c>
    </row>
    <row r="4677">
      <c r="A4677" s="5">
        <v>125182.0</v>
      </c>
      <c r="B4677" s="6" t="s">
        <v>128</v>
      </c>
      <c r="C4677" s="6" t="s">
        <v>520</v>
      </c>
      <c r="D4677" s="6" t="s">
        <v>522</v>
      </c>
      <c r="E4677" s="6">
        <v>1.74</v>
      </c>
    </row>
    <row r="4678">
      <c r="A4678" s="3">
        <v>121112.0</v>
      </c>
      <c r="B4678" s="4" t="s">
        <v>128</v>
      </c>
      <c r="C4678" s="4" t="s">
        <v>520</v>
      </c>
      <c r="D4678" s="4" t="s">
        <v>522</v>
      </c>
      <c r="E4678" s="4">
        <v>9.18</v>
      </c>
    </row>
    <row r="4679">
      <c r="A4679" s="5">
        <v>125172.0</v>
      </c>
      <c r="B4679" s="6" t="s">
        <v>128</v>
      </c>
      <c r="C4679" s="6" t="s">
        <v>520</v>
      </c>
      <c r="D4679" s="6" t="s">
        <v>522</v>
      </c>
      <c r="E4679" s="6">
        <v>2.2</v>
      </c>
    </row>
    <row r="4680">
      <c r="A4680" s="3">
        <v>125196.0</v>
      </c>
      <c r="B4680" s="4" t="s">
        <v>128</v>
      </c>
      <c r="C4680" s="4" t="s">
        <v>520</v>
      </c>
      <c r="D4680" s="4" t="s">
        <v>522</v>
      </c>
      <c r="E4680" s="4">
        <v>2.15</v>
      </c>
    </row>
    <row r="4681">
      <c r="A4681" s="5">
        <v>125192.0</v>
      </c>
      <c r="B4681" s="6" t="s">
        <v>128</v>
      </c>
      <c r="C4681" s="6" t="s">
        <v>520</v>
      </c>
      <c r="D4681" s="6" t="s">
        <v>522</v>
      </c>
      <c r="E4681" s="6">
        <v>2.2</v>
      </c>
    </row>
    <row r="4682">
      <c r="A4682" s="3">
        <v>125194.0</v>
      </c>
      <c r="B4682" s="4" t="s">
        <v>128</v>
      </c>
      <c r="C4682" s="4" t="s">
        <v>520</v>
      </c>
      <c r="D4682" s="4" t="s">
        <v>522</v>
      </c>
      <c r="E4682" s="4">
        <v>2.15</v>
      </c>
    </row>
    <row r="4683">
      <c r="A4683" s="5">
        <v>125198.0</v>
      </c>
      <c r="B4683" s="6" t="s">
        <v>128</v>
      </c>
      <c r="C4683" s="6" t="s">
        <v>520</v>
      </c>
      <c r="D4683" s="6" t="s">
        <v>522</v>
      </c>
      <c r="E4683" s="6">
        <v>1.33</v>
      </c>
    </row>
    <row r="4684">
      <c r="A4684" s="3">
        <v>111220.0</v>
      </c>
      <c r="B4684" s="4" t="s">
        <v>128</v>
      </c>
      <c r="C4684" s="4" t="s">
        <v>520</v>
      </c>
      <c r="D4684" s="4" t="s">
        <v>522</v>
      </c>
      <c r="E4684" s="4">
        <v>12.74</v>
      </c>
    </row>
    <row r="4685">
      <c r="A4685" s="5">
        <v>105969.0</v>
      </c>
      <c r="B4685" s="6" t="s">
        <v>128</v>
      </c>
      <c r="C4685" s="6" t="s">
        <v>520</v>
      </c>
      <c r="D4685" s="6" t="s">
        <v>522</v>
      </c>
      <c r="E4685" s="6">
        <v>10.82</v>
      </c>
    </row>
    <row r="4686">
      <c r="A4686" s="3">
        <v>105981.0</v>
      </c>
      <c r="B4686" s="4" t="s">
        <v>128</v>
      </c>
      <c r="C4686" s="4" t="s">
        <v>520</v>
      </c>
      <c r="D4686" s="4" t="s">
        <v>522</v>
      </c>
      <c r="E4686" s="4">
        <v>7.57</v>
      </c>
    </row>
    <row r="4687">
      <c r="A4687" s="5">
        <v>125185.0</v>
      </c>
      <c r="B4687" s="6" t="s">
        <v>128</v>
      </c>
      <c r="C4687" s="6" t="s">
        <v>520</v>
      </c>
      <c r="D4687" s="6" t="s">
        <v>522</v>
      </c>
      <c r="E4687" s="6">
        <v>2.15</v>
      </c>
    </row>
    <row r="4688">
      <c r="A4688" s="3">
        <v>111605.0</v>
      </c>
      <c r="B4688" s="4" t="s">
        <v>9</v>
      </c>
      <c r="C4688" s="4" t="s">
        <v>523</v>
      </c>
      <c r="D4688" s="4"/>
      <c r="E4688" s="4">
        <v>1.33</v>
      </c>
    </row>
    <row r="4689">
      <c r="A4689" s="5">
        <v>111608.0</v>
      </c>
      <c r="B4689" s="6" t="s">
        <v>9</v>
      </c>
      <c r="C4689" s="6" t="s">
        <v>523</v>
      </c>
      <c r="D4689" s="6"/>
      <c r="E4689" s="6">
        <v>0.99</v>
      </c>
    </row>
    <row r="4690">
      <c r="A4690" s="3">
        <v>97023.0</v>
      </c>
      <c r="B4690" s="4" t="s">
        <v>9</v>
      </c>
      <c r="C4690" s="4" t="s">
        <v>523</v>
      </c>
      <c r="D4690" s="4"/>
      <c r="E4690" s="4">
        <v>1.13</v>
      </c>
    </row>
    <row r="4691">
      <c r="A4691" s="5">
        <v>111607.0</v>
      </c>
      <c r="B4691" s="6" t="s">
        <v>9</v>
      </c>
      <c r="C4691" s="6" t="s">
        <v>523</v>
      </c>
      <c r="D4691" s="6"/>
      <c r="E4691" s="6">
        <v>0.7</v>
      </c>
    </row>
    <row r="4692">
      <c r="A4692" s="3">
        <v>71083.0</v>
      </c>
      <c r="B4692" s="4" t="s">
        <v>60</v>
      </c>
      <c r="C4692" s="4" t="s">
        <v>524</v>
      </c>
      <c r="D4692" s="4" t="s">
        <v>525</v>
      </c>
      <c r="E4692" s="4">
        <v>2.28</v>
      </c>
    </row>
    <row r="4693">
      <c r="A4693" s="5">
        <v>118178.0</v>
      </c>
      <c r="B4693" s="6" t="s">
        <v>60</v>
      </c>
      <c r="C4693" s="6" t="s">
        <v>524</v>
      </c>
      <c r="D4693" s="6" t="s">
        <v>525</v>
      </c>
      <c r="E4693" s="6">
        <v>3.53</v>
      </c>
    </row>
    <row r="4694">
      <c r="A4694" s="3">
        <v>81767.0</v>
      </c>
      <c r="B4694" s="4" t="s">
        <v>60</v>
      </c>
      <c r="C4694" s="4" t="s">
        <v>524</v>
      </c>
      <c r="D4694" s="4" t="s">
        <v>525</v>
      </c>
      <c r="E4694" s="4">
        <v>2.38</v>
      </c>
    </row>
    <row r="4695">
      <c r="A4695" s="5">
        <v>118186.0</v>
      </c>
      <c r="B4695" s="6" t="s">
        <v>60</v>
      </c>
      <c r="C4695" s="6" t="s">
        <v>524</v>
      </c>
      <c r="D4695" s="6" t="s">
        <v>525</v>
      </c>
      <c r="E4695" s="6">
        <v>1.42</v>
      </c>
    </row>
    <row r="4696">
      <c r="A4696" s="3">
        <v>43228.0</v>
      </c>
      <c r="B4696" s="4" t="s">
        <v>60</v>
      </c>
      <c r="C4696" s="4" t="s">
        <v>524</v>
      </c>
      <c r="D4696" s="4" t="s">
        <v>525</v>
      </c>
      <c r="E4696" s="4">
        <v>2.75</v>
      </c>
    </row>
    <row r="4697">
      <c r="A4697" s="5">
        <v>199268.0</v>
      </c>
      <c r="B4697" s="6" t="s">
        <v>60</v>
      </c>
      <c r="C4697" s="6" t="s">
        <v>524</v>
      </c>
      <c r="D4697" s="6" t="s">
        <v>525</v>
      </c>
      <c r="E4697" s="6">
        <v>2.72</v>
      </c>
    </row>
    <row r="4698">
      <c r="A4698" s="3">
        <v>118196.0</v>
      </c>
      <c r="B4698" s="4" t="s">
        <v>60</v>
      </c>
      <c r="C4698" s="4" t="s">
        <v>524</v>
      </c>
      <c r="D4698" s="4" t="s">
        <v>525</v>
      </c>
      <c r="E4698" s="4">
        <v>2.48</v>
      </c>
    </row>
    <row r="4699">
      <c r="A4699" s="5">
        <v>71084.0</v>
      </c>
      <c r="B4699" s="6" t="s">
        <v>60</v>
      </c>
      <c r="C4699" s="6" t="s">
        <v>524</v>
      </c>
      <c r="D4699" s="6" t="s">
        <v>525</v>
      </c>
      <c r="E4699" s="6">
        <v>2.28</v>
      </c>
    </row>
    <row r="4700">
      <c r="A4700" s="3">
        <v>120587.0</v>
      </c>
      <c r="B4700" s="4" t="s">
        <v>60</v>
      </c>
      <c r="C4700" s="4" t="s">
        <v>524</v>
      </c>
      <c r="D4700" s="4" t="s">
        <v>525</v>
      </c>
      <c r="E4700" s="4">
        <v>2.17</v>
      </c>
    </row>
    <row r="4701">
      <c r="A4701" s="5">
        <v>80952.0</v>
      </c>
      <c r="B4701" s="6" t="s">
        <v>60</v>
      </c>
      <c r="C4701" s="6" t="s">
        <v>524</v>
      </c>
      <c r="D4701" s="6" t="s">
        <v>525</v>
      </c>
      <c r="E4701" s="6">
        <v>3.77</v>
      </c>
    </row>
    <row r="4702">
      <c r="A4702" s="3">
        <v>120575.0</v>
      </c>
      <c r="B4702" s="4" t="s">
        <v>60</v>
      </c>
      <c r="C4702" s="4" t="s">
        <v>524</v>
      </c>
      <c r="D4702" s="4" t="s">
        <v>525</v>
      </c>
      <c r="E4702" s="4">
        <v>2.15</v>
      </c>
    </row>
    <row r="4703">
      <c r="A4703" s="5">
        <v>43244.0</v>
      </c>
      <c r="B4703" s="6" t="s">
        <v>60</v>
      </c>
      <c r="C4703" s="6" t="s">
        <v>524</v>
      </c>
      <c r="D4703" s="6" t="s">
        <v>525</v>
      </c>
      <c r="E4703" s="6">
        <v>4.59</v>
      </c>
    </row>
    <row r="4704">
      <c r="A4704" s="3">
        <v>116477.0</v>
      </c>
      <c r="B4704" s="4" t="s">
        <v>60</v>
      </c>
      <c r="C4704" s="4" t="s">
        <v>524</v>
      </c>
      <c r="D4704" s="4" t="s">
        <v>525</v>
      </c>
      <c r="E4704" s="4">
        <v>1.59</v>
      </c>
    </row>
    <row r="4705">
      <c r="A4705" s="5">
        <v>110480.0</v>
      </c>
      <c r="B4705" s="6" t="s">
        <v>60</v>
      </c>
      <c r="C4705" s="6" t="s">
        <v>524</v>
      </c>
      <c r="D4705" s="6" t="s">
        <v>525</v>
      </c>
      <c r="E4705" s="6">
        <v>2.18</v>
      </c>
    </row>
    <row r="4706">
      <c r="A4706" s="3">
        <v>87548.0</v>
      </c>
      <c r="B4706" s="4" t="s">
        <v>60</v>
      </c>
      <c r="C4706" s="4" t="s">
        <v>524</v>
      </c>
      <c r="D4706" s="4" t="s">
        <v>525</v>
      </c>
      <c r="E4706" s="4">
        <v>1.59</v>
      </c>
    </row>
    <row r="4707">
      <c r="A4707" s="5">
        <v>77223.0</v>
      </c>
      <c r="B4707" s="6" t="s">
        <v>60</v>
      </c>
      <c r="C4707" s="6" t="s">
        <v>524</v>
      </c>
      <c r="D4707" s="6" t="s">
        <v>525</v>
      </c>
      <c r="E4707" s="6">
        <v>1.48</v>
      </c>
    </row>
    <row r="4708">
      <c r="A4708" s="3">
        <v>43241.0</v>
      </c>
      <c r="B4708" s="4" t="s">
        <v>60</v>
      </c>
      <c r="C4708" s="4" t="s">
        <v>524</v>
      </c>
      <c r="D4708" s="4" t="s">
        <v>525</v>
      </c>
      <c r="E4708" s="4">
        <v>2.13</v>
      </c>
    </row>
    <row r="4709">
      <c r="A4709" s="5">
        <v>71161.0</v>
      </c>
      <c r="B4709" s="6" t="s">
        <v>60</v>
      </c>
      <c r="C4709" s="6" t="s">
        <v>524</v>
      </c>
      <c r="D4709" s="6" t="s">
        <v>525</v>
      </c>
      <c r="E4709" s="6">
        <v>1.94</v>
      </c>
    </row>
    <row r="4710">
      <c r="A4710" s="3">
        <v>77224.0</v>
      </c>
      <c r="B4710" s="4" t="s">
        <v>60</v>
      </c>
      <c r="C4710" s="4" t="s">
        <v>524</v>
      </c>
      <c r="D4710" s="4" t="s">
        <v>525</v>
      </c>
      <c r="E4710" s="4">
        <v>1.73</v>
      </c>
    </row>
    <row r="4711">
      <c r="A4711" s="5">
        <v>113992.0</v>
      </c>
      <c r="B4711" s="6" t="s">
        <v>60</v>
      </c>
      <c r="C4711" s="6" t="s">
        <v>524</v>
      </c>
      <c r="D4711" s="6" t="s">
        <v>525</v>
      </c>
      <c r="E4711" s="6">
        <v>2.09</v>
      </c>
    </row>
    <row r="4712">
      <c r="A4712" s="3">
        <v>112611.0</v>
      </c>
      <c r="B4712" s="4" t="s">
        <v>60</v>
      </c>
      <c r="C4712" s="4" t="s">
        <v>524</v>
      </c>
      <c r="D4712" s="4" t="s">
        <v>525</v>
      </c>
      <c r="E4712" s="4">
        <v>2.21</v>
      </c>
    </row>
    <row r="4713">
      <c r="A4713" s="5">
        <v>116482.0</v>
      </c>
      <c r="B4713" s="6" t="s">
        <v>60</v>
      </c>
      <c r="C4713" s="6" t="s">
        <v>524</v>
      </c>
      <c r="D4713" s="6" t="s">
        <v>525</v>
      </c>
      <c r="E4713" s="6">
        <v>1.59</v>
      </c>
    </row>
    <row r="4714">
      <c r="A4714" s="3">
        <v>77246.0</v>
      </c>
      <c r="B4714" s="4" t="s">
        <v>60</v>
      </c>
      <c r="C4714" s="4" t="s">
        <v>524</v>
      </c>
      <c r="D4714" s="4" t="s">
        <v>525</v>
      </c>
      <c r="E4714" s="4">
        <v>3.71</v>
      </c>
    </row>
    <row r="4715">
      <c r="A4715" s="5">
        <v>122798.0</v>
      </c>
      <c r="B4715" s="6" t="s">
        <v>60</v>
      </c>
      <c r="C4715" s="6" t="s">
        <v>524</v>
      </c>
      <c r="D4715" s="6" t="s">
        <v>525</v>
      </c>
      <c r="E4715" s="6">
        <v>2.67</v>
      </c>
    </row>
    <row r="4716">
      <c r="A4716" s="3">
        <v>120590.0</v>
      </c>
      <c r="B4716" s="4" t="s">
        <v>60</v>
      </c>
      <c r="C4716" s="4" t="s">
        <v>524</v>
      </c>
      <c r="D4716" s="4" t="s">
        <v>525</v>
      </c>
      <c r="E4716" s="4">
        <v>2.44</v>
      </c>
    </row>
    <row r="4717">
      <c r="A4717" s="5">
        <v>71914.0</v>
      </c>
      <c r="B4717" s="6" t="s">
        <v>60</v>
      </c>
      <c r="C4717" s="6" t="s">
        <v>524</v>
      </c>
      <c r="D4717" s="6" t="s">
        <v>525</v>
      </c>
      <c r="E4717" s="6">
        <v>2.43</v>
      </c>
    </row>
    <row r="4718">
      <c r="A4718" s="3">
        <v>118206.0</v>
      </c>
      <c r="B4718" s="4" t="s">
        <v>60</v>
      </c>
      <c r="C4718" s="4" t="s">
        <v>524</v>
      </c>
      <c r="D4718" s="4" t="s">
        <v>525</v>
      </c>
      <c r="E4718" s="4">
        <v>1.6</v>
      </c>
    </row>
    <row r="4719">
      <c r="A4719" s="5">
        <v>118179.0</v>
      </c>
      <c r="B4719" s="6" t="s">
        <v>60</v>
      </c>
      <c r="C4719" s="6" t="s">
        <v>524</v>
      </c>
      <c r="D4719" s="6" t="s">
        <v>525</v>
      </c>
      <c r="E4719" s="6">
        <v>3.13</v>
      </c>
    </row>
    <row r="4720">
      <c r="A4720" s="3">
        <v>43247.0</v>
      </c>
      <c r="B4720" s="4" t="s">
        <v>60</v>
      </c>
      <c r="C4720" s="4" t="s">
        <v>524</v>
      </c>
      <c r="D4720" s="4" t="s">
        <v>525</v>
      </c>
      <c r="E4720" s="4">
        <v>3.19</v>
      </c>
    </row>
    <row r="4721">
      <c r="A4721" s="5">
        <v>71166.0</v>
      </c>
      <c r="B4721" s="6" t="s">
        <v>60</v>
      </c>
      <c r="C4721" s="6" t="s">
        <v>524</v>
      </c>
      <c r="D4721" s="6" t="s">
        <v>525</v>
      </c>
      <c r="E4721" s="6">
        <v>1.98</v>
      </c>
    </row>
    <row r="4722">
      <c r="A4722" s="3">
        <v>43238.0</v>
      </c>
      <c r="B4722" s="4" t="s">
        <v>60</v>
      </c>
      <c r="C4722" s="4" t="s">
        <v>524</v>
      </c>
      <c r="D4722" s="4" t="s">
        <v>525</v>
      </c>
      <c r="E4722" s="4">
        <v>5.61</v>
      </c>
    </row>
    <row r="4723">
      <c r="A4723" s="5">
        <v>114003.0</v>
      </c>
      <c r="B4723" s="6" t="s">
        <v>60</v>
      </c>
      <c r="C4723" s="6" t="s">
        <v>524</v>
      </c>
      <c r="D4723" s="6" t="s">
        <v>525</v>
      </c>
      <c r="E4723" s="6">
        <v>2.64</v>
      </c>
    </row>
    <row r="4724">
      <c r="A4724" s="3">
        <v>87540.0</v>
      </c>
      <c r="B4724" s="4" t="s">
        <v>60</v>
      </c>
      <c r="C4724" s="4" t="s">
        <v>524</v>
      </c>
      <c r="D4724" s="4" t="s">
        <v>525</v>
      </c>
      <c r="E4724" s="4">
        <v>1.89</v>
      </c>
    </row>
    <row r="4725">
      <c r="A4725" s="5">
        <v>77229.0</v>
      </c>
      <c r="B4725" s="6" t="s">
        <v>60</v>
      </c>
      <c r="C4725" s="6" t="s">
        <v>524</v>
      </c>
      <c r="D4725" s="6" t="s">
        <v>525</v>
      </c>
      <c r="E4725" s="6">
        <v>1.55</v>
      </c>
    </row>
    <row r="4726">
      <c r="A4726" s="3">
        <v>113994.0</v>
      </c>
      <c r="B4726" s="4" t="s">
        <v>60</v>
      </c>
      <c r="C4726" s="4" t="s">
        <v>524</v>
      </c>
      <c r="D4726" s="4" t="s">
        <v>525</v>
      </c>
      <c r="E4726" s="4">
        <v>2.44</v>
      </c>
    </row>
    <row r="4727">
      <c r="A4727" s="5">
        <v>106725.0</v>
      </c>
      <c r="B4727" s="6" t="s">
        <v>60</v>
      </c>
      <c r="C4727" s="6" t="s">
        <v>524</v>
      </c>
      <c r="D4727" s="6" t="s">
        <v>525</v>
      </c>
      <c r="E4727" s="6">
        <v>1.89</v>
      </c>
    </row>
    <row r="4728">
      <c r="A4728" s="3">
        <v>43235.0</v>
      </c>
      <c r="B4728" s="4" t="s">
        <v>60</v>
      </c>
      <c r="C4728" s="4" t="s">
        <v>524</v>
      </c>
      <c r="D4728" s="4" t="s">
        <v>525</v>
      </c>
      <c r="E4728" s="4">
        <v>2.93</v>
      </c>
    </row>
    <row r="4729">
      <c r="A4729" s="5">
        <v>118176.0</v>
      </c>
      <c r="B4729" s="6" t="s">
        <v>60</v>
      </c>
      <c r="C4729" s="6" t="s">
        <v>524</v>
      </c>
      <c r="D4729" s="6" t="s">
        <v>525</v>
      </c>
      <c r="E4729" s="6">
        <v>2.15</v>
      </c>
    </row>
    <row r="4730">
      <c r="A4730" s="3">
        <v>114018.0</v>
      </c>
      <c r="B4730" s="4" t="s">
        <v>60</v>
      </c>
      <c r="C4730" s="4" t="s">
        <v>524</v>
      </c>
      <c r="D4730" s="4" t="s">
        <v>525</v>
      </c>
      <c r="E4730" s="4">
        <v>1.91</v>
      </c>
    </row>
    <row r="4731">
      <c r="A4731" s="5">
        <v>116480.0</v>
      </c>
      <c r="B4731" s="6" t="s">
        <v>60</v>
      </c>
      <c r="C4731" s="6" t="s">
        <v>524</v>
      </c>
      <c r="D4731" s="6" t="s">
        <v>525</v>
      </c>
      <c r="E4731" s="6">
        <v>1.59</v>
      </c>
    </row>
    <row r="4732">
      <c r="A4732" s="3">
        <v>120577.0</v>
      </c>
      <c r="B4732" s="4" t="s">
        <v>60</v>
      </c>
      <c r="C4732" s="4" t="s">
        <v>524</v>
      </c>
      <c r="D4732" s="4" t="s">
        <v>525</v>
      </c>
      <c r="E4732" s="4">
        <v>2.15</v>
      </c>
    </row>
    <row r="4733">
      <c r="A4733" s="5">
        <v>118201.0</v>
      </c>
      <c r="B4733" s="6" t="s">
        <v>60</v>
      </c>
      <c r="C4733" s="6" t="s">
        <v>524</v>
      </c>
      <c r="D4733" s="6" t="s">
        <v>525</v>
      </c>
      <c r="E4733" s="6">
        <v>2.54</v>
      </c>
    </row>
    <row r="4734">
      <c r="A4734" s="3">
        <v>77245.0</v>
      </c>
      <c r="B4734" s="4" t="s">
        <v>60</v>
      </c>
      <c r="C4734" s="4" t="s">
        <v>524</v>
      </c>
      <c r="D4734" s="4" t="s">
        <v>525</v>
      </c>
      <c r="E4734" s="4">
        <v>1.33</v>
      </c>
    </row>
    <row r="4735">
      <c r="A4735" s="5">
        <v>118195.0</v>
      </c>
      <c r="B4735" s="6" t="s">
        <v>60</v>
      </c>
      <c r="C4735" s="6" t="s">
        <v>524</v>
      </c>
      <c r="D4735" s="6" t="s">
        <v>525</v>
      </c>
      <c r="E4735" s="6">
        <v>1.93</v>
      </c>
    </row>
    <row r="4736">
      <c r="A4736" s="3">
        <v>118197.0</v>
      </c>
      <c r="B4736" s="4" t="s">
        <v>60</v>
      </c>
      <c r="C4736" s="4" t="s">
        <v>524</v>
      </c>
      <c r="D4736" s="4" t="s">
        <v>525</v>
      </c>
      <c r="E4736" s="4">
        <v>2.02</v>
      </c>
    </row>
    <row r="4737">
      <c r="A4737" s="5">
        <v>187317.0</v>
      </c>
      <c r="B4737" s="6" t="s">
        <v>60</v>
      </c>
      <c r="C4737" s="6" t="s">
        <v>524</v>
      </c>
      <c r="D4737" s="6" t="s">
        <v>525</v>
      </c>
      <c r="E4737" s="6">
        <v>2.15</v>
      </c>
    </row>
    <row r="4738">
      <c r="A4738" s="3">
        <v>199484.0</v>
      </c>
      <c r="B4738" s="4" t="s">
        <v>60</v>
      </c>
      <c r="C4738" s="4" t="s">
        <v>524</v>
      </c>
      <c r="D4738" s="4" t="s">
        <v>525</v>
      </c>
      <c r="E4738" s="4">
        <v>2.98</v>
      </c>
    </row>
    <row r="4739">
      <c r="A4739" s="5">
        <v>113995.0</v>
      </c>
      <c r="B4739" s="6" t="s">
        <v>60</v>
      </c>
      <c r="C4739" s="6" t="s">
        <v>524</v>
      </c>
      <c r="D4739" s="6" t="s">
        <v>525</v>
      </c>
      <c r="E4739" s="6">
        <v>1.93</v>
      </c>
    </row>
    <row r="4740">
      <c r="A4740" s="3">
        <v>113669.0</v>
      </c>
      <c r="B4740" s="4" t="s">
        <v>60</v>
      </c>
      <c r="C4740" s="4" t="s">
        <v>524</v>
      </c>
      <c r="D4740" s="4" t="s">
        <v>526</v>
      </c>
      <c r="E4740" s="4">
        <v>3.08</v>
      </c>
    </row>
    <row r="4741">
      <c r="A4741" s="5">
        <v>111584.0</v>
      </c>
      <c r="B4741" s="6" t="s">
        <v>60</v>
      </c>
      <c r="C4741" s="6" t="s">
        <v>524</v>
      </c>
      <c r="D4741" s="6" t="s">
        <v>526</v>
      </c>
      <c r="E4741" s="6">
        <v>3.15</v>
      </c>
    </row>
    <row r="4742">
      <c r="A4742" s="3">
        <v>26123.0</v>
      </c>
      <c r="B4742" s="4" t="s">
        <v>60</v>
      </c>
      <c r="C4742" s="4" t="s">
        <v>524</v>
      </c>
      <c r="D4742" s="4" t="s">
        <v>526</v>
      </c>
      <c r="E4742" s="4">
        <v>3.79</v>
      </c>
    </row>
    <row r="4743">
      <c r="A4743" s="5">
        <v>113665.0</v>
      </c>
      <c r="B4743" s="6" t="s">
        <v>60</v>
      </c>
      <c r="C4743" s="6" t="s">
        <v>524</v>
      </c>
      <c r="D4743" s="6" t="s">
        <v>526</v>
      </c>
      <c r="E4743" s="6">
        <v>2.73</v>
      </c>
    </row>
    <row r="4744">
      <c r="A4744" s="3">
        <v>181241.0</v>
      </c>
      <c r="B4744" s="4" t="s">
        <v>60</v>
      </c>
      <c r="C4744" s="4" t="s">
        <v>524</v>
      </c>
      <c r="D4744" s="4" t="s">
        <v>526</v>
      </c>
      <c r="E4744" s="4">
        <v>4.14</v>
      </c>
    </row>
    <row r="4745">
      <c r="A4745" s="5">
        <v>113664.0</v>
      </c>
      <c r="B4745" s="6" t="s">
        <v>60</v>
      </c>
      <c r="C4745" s="6" t="s">
        <v>524</v>
      </c>
      <c r="D4745" s="6" t="s">
        <v>526</v>
      </c>
      <c r="E4745" s="6">
        <v>3.13</v>
      </c>
    </row>
    <row r="4746">
      <c r="A4746" s="3">
        <v>113677.0</v>
      </c>
      <c r="B4746" s="4" t="s">
        <v>60</v>
      </c>
      <c r="C4746" s="4" t="s">
        <v>524</v>
      </c>
      <c r="D4746" s="4" t="s">
        <v>526</v>
      </c>
      <c r="E4746" s="4">
        <v>2.78</v>
      </c>
    </row>
    <row r="4747">
      <c r="A4747" s="5">
        <v>120343.0</v>
      </c>
      <c r="B4747" s="6" t="s">
        <v>60</v>
      </c>
      <c r="C4747" s="6" t="s">
        <v>524</v>
      </c>
      <c r="D4747" s="6" t="s">
        <v>526</v>
      </c>
      <c r="E4747" s="6">
        <v>2.37</v>
      </c>
    </row>
    <row r="4748">
      <c r="A4748" s="3">
        <v>113666.0</v>
      </c>
      <c r="B4748" s="4" t="s">
        <v>60</v>
      </c>
      <c r="C4748" s="4" t="s">
        <v>524</v>
      </c>
      <c r="D4748" s="4" t="s">
        <v>526</v>
      </c>
      <c r="E4748" s="4">
        <v>4.49</v>
      </c>
    </row>
    <row r="4749">
      <c r="A4749" s="5">
        <v>113663.0</v>
      </c>
      <c r="B4749" s="6" t="s">
        <v>60</v>
      </c>
      <c r="C4749" s="6" t="s">
        <v>524</v>
      </c>
      <c r="D4749" s="6" t="s">
        <v>526</v>
      </c>
      <c r="E4749" s="6">
        <v>3.13</v>
      </c>
    </row>
    <row r="4750">
      <c r="A4750" s="3">
        <v>116983.0</v>
      </c>
      <c r="B4750" s="4" t="s">
        <v>54</v>
      </c>
      <c r="C4750" s="4" t="s">
        <v>527</v>
      </c>
      <c r="D4750" s="4" t="s">
        <v>528</v>
      </c>
      <c r="E4750" s="4">
        <v>9.04</v>
      </c>
    </row>
    <row r="4751">
      <c r="A4751" s="5">
        <v>94043.0</v>
      </c>
      <c r="B4751" s="6" t="s">
        <v>54</v>
      </c>
      <c r="C4751" s="6" t="s">
        <v>527</v>
      </c>
      <c r="D4751" s="6" t="s">
        <v>528</v>
      </c>
      <c r="E4751" s="6">
        <v>6.76</v>
      </c>
    </row>
    <row r="4752">
      <c r="A4752" s="3">
        <v>68216.0</v>
      </c>
      <c r="B4752" s="4" t="s">
        <v>54</v>
      </c>
      <c r="C4752" s="4" t="s">
        <v>527</v>
      </c>
      <c r="D4752" s="4" t="s">
        <v>528</v>
      </c>
      <c r="E4752" s="4">
        <v>8.16</v>
      </c>
    </row>
    <row r="4753">
      <c r="A4753" s="5">
        <v>80131.0</v>
      </c>
      <c r="B4753" s="6" t="s">
        <v>54</v>
      </c>
      <c r="C4753" s="6" t="s">
        <v>527</v>
      </c>
      <c r="D4753" s="6" t="s">
        <v>528</v>
      </c>
      <c r="E4753" s="6">
        <v>6.71</v>
      </c>
    </row>
    <row r="4754">
      <c r="A4754" s="3">
        <v>80998.0</v>
      </c>
      <c r="B4754" s="4" t="s">
        <v>54</v>
      </c>
      <c r="C4754" s="4" t="s">
        <v>527</v>
      </c>
      <c r="D4754" s="4" t="s">
        <v>528</v>
      </c>
      <c r="E4754" s="4">
        <v>17.92</v>
      </c>
    </row>
    <row r="4755">
      <c r="A4755" s="5">
        <v>87014.0</v>
      </c>
      <c r="B4755" s="6" t="s">
        <v>54</v>
      </c>
      <c r="C4755" s="6" t="s">
        <v>527</v>
      </c>
      <c r="D4755" s="6" t="s">
        <v>528</v>
      </c>
      <c r="E4755" s="6">
        <v>12.28</v>
      </c>
    </row>
    <row r="4756">
      <c r="A4756" s="3">
        <v>102900.0</v>
      </c>
      <c r="B4756" s="4" t="s">
        <v>54</v>
      </c>
      <c r="C4756" s="4" t="s">
        <v>527</v>
      </c>
      <c r="D4756" s="4" t="s">
        <v>528</v>
      </c>
      <c r="E4756" s="4">
        <v>10.14</v>
      </c>
    </row>
    <row r="4757">
      <c r="A4757" s="5">
        <v>80997.0</v>
      </c>
      <c r="B4757" s="6" t="s">
        <v>54</v>
      </c>
      <c r="C4757" s="6" t="s">
        <v>527</v>
      </c>
      <c r="D4757" s="6" t="s">
        <v>528</v>
      </c>
      <c r="E4757" s="6">
        <v>11.52</v>
      </c>
    </row>
    <row r="4758">
      <c r="A4758" s="3">
        <v>116989.0</v>
      </c>
      <c r="B4758" s="4" t="s">
        <v>54</v>
      </c>
      <c r="C4758" s="4" t="s">
        <v>527</v>
      </c>
      <c r="D4758" s="4" t="s">
        <v>528</v>
      </c>
      <c r="E4758" s="4">
        <v>13.02</v>
      </c>
    </row>
    <row r="4759">
      <c r="A4759" s="5">
        <v>43826.0</v>
      </c>
      <c r="B4759" s="6" t="s">
        <v>54</v>
      </c>
      <c r="C4759" s="6" t="s">
        <v>527</v>
      </c>
      <c r="D4759" s="6" t="s">
        <v>528</v>
      </c>
      <c r="E4759" s="6">
        <v>10.1</v>
      </c>
    </row>
    <row r="4760">
      <c r="A4760" s="3">
        <v>8769.0</v>
      </c>
      <c r="B4760" s="4" t="s">
        <v>54</v>
      </c>
      <c r="C4760" s="4" t="s">
        <v>527</v>
      </c>
      <c r="D4760" s="4" t="s">
        <v>528</v>
      </c>
      <c r="E4760" s="4">
        <v>21.94</v>
      </c>
    </row>
    <row r="4761">
      <c r="A4761" s="5">
        <v>104427.0</v>
      </c>
      <c r="B4761" s="6" t="s">
        <v>54</v>
      </c>
      <c r="C4761" s="6" t="s">
        <v>527</v>
      </c>
      <c r="D4761" s="6" t="s">
        <v>528</v>
      </c>
      <c r="E4761" s="6">
        <v>5.23</v>
      </c>
    </row>
    <row r="4762">
      <c r="A4762" s="3">
        <v>8770.0</v>
      </c>
      <c r="B4762" s="4" t="s">
        <v>54</v>
      </c>
      <c r="C4762" s="4" t="s">
        <v>527</v>
      </c>
      <c r="D4762" s="4" t="s">
        <v>528</v>
      </c>
      <c r="E4762" s="4">
        <v>8.96</v>
      </c>
    </row>
    <row r="4763">
      <c r="A4763" s="5">
        <v>94930.0</v>
      </c>
      <c r="B4763" s="6" t="s">
        <v>54</v>
      </c>
      <c r="C4763" s="6" t="s">
        <v>527</v>
      </c>
      <c r="D4763" s="6" t="s">
        <v>529</v>
      </c>
      <c r="E4763" s="6">
        <v>11.22</v>
      </c>
    </row>
    <row r="4764">
      <c r="A4764" s="3">
        <v>111576.0</v>
      </c>
      <c r="B4764" s="4" t="s">
        <v>54</v>
      </c>
      <c r="C4764" s="4" t="s">
        <v>527</v>
      </c>
      <c r="D4764" s="4" t="s">
        <v>529</v>
      </c>
      <c r="E4764" s="4">
        <v>6.29</v>
      </c>
    </row>
    <row r="4765">
      <c r="A4765" s="5">
        <v>71715.0</v>
      </c>
      <c r="B4765" s="6" t="s">
        <v>54</v>
      </c>
      <c r="C4765" s="6" t="s">
        <v>527</v>
      </c>
      <c r="D4765" s="6" t="s">
        <v>529</v>
      </c>
      <c r="E4765" s="6">
        <v>5.62</v>
      </c>
    </row>
    <row r="4766">
      <c r="A4766" s="3">
        <v>71710.0</v>
      </c>
      <c r="B4766" s="4" t="s">
        <v>54</v>
      </c>
      <c r="C4766" s="4" t="s">
        <v>527</v>
      </c>
      <c r="D4766" s="4" t="s">
        <v>529</v>
      </c>
      <c r="E4766" s="4">
        <v>2.71</v>
      </c>
    </row>
    <row r="4767">
      <c r="A4767" s="5">
        <v>102790.0</v>
      </c>
      <c r="B4767" s="6" t="s">
        <v>54</v>
      </c>
      <c r="C4767" s="6" t="s">
        <v>527</v>
      </c>
      <c r="D4767" s="6" t="s">
        <v>530</v>
      </c>
      <c r="E4767" s="6">
        <v>7.69</v>
      </c>
    </row>
    <row r="4768">
      <c r="A4768" s="3">
        <v>3518.0</v>
      </c>
      <c r="B4768" s="4" t="s">
        <v>54</v>
      </c>
      <c r="C4768" s="4" t="s">
        <v>527</v>
      </c>
      <c r="D4768" s="4" t="s">
        <v>530</v>
      </c>
      <c r="E4768" s="4">
        <v>12.96</v>
      </c>
    </row>
    <row r="4769">
      <c r="A4769" s="5">
        <v>18318.0</v>
      </c>
      <c r="B4769" s="6" t="s">
        <v>54</v>
      </c>
      <c r="C4769" s="6" t="s">
        <v>527</v>
      </c>
      <c r="D4769" s="6" t="s">
        <v>530</v>
      </c>
      <c r="E4769" s="6">
        <v>6.5</v>
      </c>
    </row>
    <row r="4770">
      <c r="A4770" s="3">
        <v>104220.0</v>
      </c>
      <c r="B4770" s="4" t="s">
        <v>54</v>
      </c>
      <c r="C4770" s="4" t="s">
        <v>527</v>
      </c>
      <c r="D4770" s="4" t="s">
        <v>531</v>
      </c>
      <c r="E4770" s="4">
        <v>8.37</v>
      </c>
    </row>
    <row r="4771">
      <c r="A4771" s="5">
        <v>106109.0</v>
      </c>
      <c r="B4771" s="6" t="s">
        <v>54</v>
      </c>
      <c r="C4771" s="6" t="s">
        <v>527</v>
      </c>
      <c r="D4771" s="6" t="s">
        <v>531</v>
      </c>
      <c r="E4771" s="6">
        <v>7.15</v>
      </c>
    </row>
    <row r="4772">
      <c r="A4772" s="3">
        <v>72162.0</v>
      </c>
      <c r="B4772" s="4" t="s">
        <v>54</v>
      </c>
      <c r="C4772" s="4" t="s">
        <v>527</v>
      </c>
      <c r="D4772" s="4" t="s">
        <v>531</v>
      </c>
      <c r="E4772" s="4">
        <v>17.63</v>
      </c>
    </row>
    <row r="4773">
      <c r="A4773" s="5">
        <v>104410.0</v>
      </c>
      <c r="B4773" s="6" t="s">
        <v>54</v>
      </c>
      <c r="C4773" s="6" t="s">
        <v>527</v>
      </c>
      <c r="D4773" s="6" t="s">
        <v>531</v>
      </c>
      <c r="E4773" s="6">
        <v>6.23</v>
      </c>
    </row>
    <row r="4774">
      <c r="A4774" s="3">
        <v>88825.0</v>
      </c>
      <c r="B4774" s="4" t="s">
        <v>54</v>
      </c>
      <c r="C4774" s="4" t="s">
        <v>527</v>
      </c>
      <c r="D4774" s="4" t="s">
        <v>531</v>
      </c>
      <c r="E4774" s="4">
        <v>10.18</v>
      </c>
    </row>
    <row r="4775">
      <c r="A4775" s="5">
        <v>13928.0</v>
      </c>
      <c r="B4775" s="6" t="s">
        <v>54</v>
      </c>
      <c r="C4775" s="6" t="s">
        <v>527</v>
      </c>
      <c r="D4775" s="6" t="s">
        <v>531</v>
      </c>
      <c r="E4775" s="6">
        <v>15.66</v>
      </c>
    </row>
    <row r="4776">
      <c r="A4776" s="3">
        <v>45368.0</v>
      </c>
      <c r="B4776" s="4" t="s">
        <v>54</v>
      </c>
      <c r="C4776" s="4" t="s">
        <v>527</v>
      </c>
      <c r="D4776" s="4" t="s">
        <v>531</v>
      </c>
      <c r="E4776" s="4">
        <v>28.79</v>
      </c>
    </row>
    <row r="4777">
      <c r="A4777" s="5">
        <v>119732.0</v>
      </c>
      <c r="B4777" s="6" t="s">
        <v>54</v>
      </c>
      <c r="C4777" s="6" t="s">
        <v>527</v>
      </c>
      <c r="D4777" s="6" t="s">
        <v>531</v>
      </c>
      <c r="E4777" s="6">
        <v>13.41</v>
      </c>
    </row>
    <row r="4778">
      <c r="A4778" s="3">
        <v>90467.0</v>
      </c>
      <c r="B4778" s="4" t="s">
        <v>54</v>
      </c>
      <c r="C4778" s="4" t="s">
        <v>527</v>
      </c>
      <c r="D4778" s="4" t="s">
        <v>531</v>
      </c>
      <c r="E4778" s="4">
        <v>4.42</v>
      </c>
    </row>
    <row r="4779">
      <c r="A4779" s="5">
        <v>119874.0</v>
      </c>
      <c r="B4779" s="6" t="s">
        <v>54</v>
      </c>
      <c r="C4779" s="6" t="s">
        <v>527</v>
      </c>
      <c r="D4779" s="6" t="s">
        <v>531</v>
      </c>
      <c r="E4779" s="6">
        <v>13.14</v>
      </c>
    </row>
    <row r="4780">
      <c r="A4780" s="3">
        <v>121316.0</v>
      </c>
      <c r="B4780" s="4" t="s">
        <v>54</v>
      </c>
      <c r="C4780" s="4" t="s">
        <v>527</v>
      </c>
      <c r="D4780" s="4" t="s">
        <v>531</v>
      </c>
      <c r="E4780" s="4">
        <v>5.69</v>
      </c>
    </row>
    <row r="4781">
      <c r="A4781" s="5">
        <v>77390.0</v>
      </c>
      <c r="B4781" s="6" t="s">
        <v>54</v>
      </c>
      <c r="C4781" s="6" t="s">
        <v>527</v>
      </c>
      <c r="D4781" s="6" t="s">
        <v>531</v>
      </c>
      <c r="E4781" s="6">
        <v>9.27</v>
      </c>
    </row>
    <row r="4782">
      <c r="A4782" s="3">
        <v>11444.0</v>
      </c>
      <c r="B4782" s="4" t="s">
        <v>54</v>
      </c>
      <c r="C4782" s="4" t="s">
        <v>527</v>
      </c>
      <c r="D4782" s="4" t="s">
        <v>532</v>
      </c>
      <c r="E4782" s="4">
        <v>7.06</v>
      </c>
    </row>
    <row r="4783">
      <c r="A4783" s="5">
        <v>74416.0</v>
      </c>
      <c r="B4783" s="6" t="s">
        <v>54</v>
      </c>
      <c r="C4783" s="6" t="s">
        <v>527</v>
      </c>
      <c r="D4783" s="6" t="s">
        <v>532</v>
      </c>
      <c r="E4783" s="6">
        <v>7.83</v>
      </c>
    </row>
    <row r="4784">
      <c r="A4784" s="3">
        <v>75323.0</v>
      </c>
      <c r="B4784" s="4" t="s">
        <v>54</v>
      </c>
      <c r="C4784" s="4" t="s">
        <v>527</v>
      </c>
      <c r="D4784" s="4" t="s">
        <v>532</v>
      </c>
      <c r="E4784" s="4">
        <v>6.07</v>
      </c>
    </row>
    <row r="4785">
      <c r="A4785" s="5">
        <v>86619.0</v>
      </c>
      <c r="B4785" s="6" t="s">
        <v>54</v>
      </c>
      <c r="C4785" s="6" t="s">
        <v>527</v>
      </c>
      <c r="D4785" s="6" t="s">
        <v>532</v>
      </c>
      <c r="E4785" s="6">
        <v>4.66</v>
      </c>
    </row>
    <row r="4786">
      <c r="A4786" s="3">
        <v>119801.0</v>
      </c>
      <c r="B4786" s="4" t="s">
        <v>54</v>
      </c>
      <c r="C4786" s="4" t="s">
        <v>527</v>
      </c>
      <c r="D4786" s="4" t="s">
        <v>532</v>
      </c>
      <c r="E4786" s="4">
        <v>11.56</v>
      </c>
    </row>
    <row r="4787">
      <c r="A4787" s="5">
        <v>126576.0</v>
      </c>
      <c r="B4787" s="6" t="s">
        <v>54</v>
      </c>
      <c r="C4787" s="6" t="s">
        <v>527</v>
      </c>
      <c r="D4787" s="6" t="s">
        <v>532</v>
      </c>
      <c r="E4787" s="6">
        <v>5.77</v>
      </c>
    </row>
    <row r="4788">
      <c r="A4788" s="3">
        <v>108841.0</v>
      </c>
      <c r="B4788" s="4" t="s">
        <v>54</v>
      </c>
      <c r="C4788" s="4" t="s">
        <v>527</v>
      </c>
      <c r="D4788" s="4" t="s">
        <v>532</v>
      </c>
      <c r="E4788" s="4">
        <v>4.04</v>
      </c>
    </row>
    <row r="4789">
      <c r="A4789" s="5">
        <v>82820.0</v>
      </c>
      <c r="B4789" s="6" t="s">
        <v>54</v>
      </c>
      <c r="C4789" s="6" t="s">
        <v>527</v>
      </c>
      <c r="D4789" s="6" t="s">
        <v>532</v>
      </c>
      <c r="E4789" s="6">
        <v>4.66</v>
      </c>
    </row>
    <row r="4790">
      <c r="A4790" s="3">
        <v>116826.0</v>
      </c>
      <c r="B4790" s="4" t="s">
        <v>54</v>
      </c>
      <c r="C4790" s="4" t="s">
        <v>527</v>
      </c>
      <c r="D4790" s="4" t="s">
        <v>532</v>
      </c>
      <c r="E4790" s="4">
        <v>5.37</v>
      </c>
    </row>
    <row r="4791">
      <c r="A4791" s="5">
        <v>126965.0</v>
      </c>
      <c r="B4791" s="6" t="s">
        <v>54</v>
      </c>
      <c r="C4791" s="6" t="s">
        <v>527</v>
      </c>
      <c r="D4791" s="6" t="s">
        <v>532</v>
      </c>
      <c r="E4791" s="6">
        <v>5.99</v>
      </c>
    </row>
    <row r="4792">
      <c r="A4792" s="3">
        <v>103795.0</v>
      </c>
      <c r="B4792" s="4" t="s">
        <v>54</v>
      </c>
      <c r="C4792" s="4" t="s">
        <v>527</v>
      </c>
      <c r="D4792" s="4" t="s">
        <v>532</v>
      </c>
      <c r="E4792" s="4">
        <v>5.39</v>
      </c>
    </row>
    <row r="4793">
      <c r="A4793" s="5">
        <v>116821.0</v>
      </c>
      <c r="B4793" s="6" t="s">
        <v>54</v>
      </c>
      <c r="C4793" s="6" t="s">
        <v>527</v>
      </c>
      <c r="D4793" s="6" t="s">
        <v>532</v>
      </c>
      <c r="E4793" s="6">
        <v>4.55</v>
      </c>
    </row>
    <row r="4794">
      <c r="A4794" s="3">
        <v>126577.0</v>
      </c>
      <c r="B4794" s="4" t="s">
        <v>54</v>
      </c>
      <c r="C4794" s="4" t="s">
        <v>527</v>
      </c>
      <c r="D4794" s="4" t="s">
        <v>532</v>
      </c>
      <c r="E4794" s="4">
        <v>4.54</v>
      </c>
    </row>
    <row r="4795">
      <c r="A4795" s="5">
        <v>82806.0</v>
      </c>
      <c r="B4795" s="6" t="s">
        <v>54</v>
      </c>
      <c r="C4795" s="6" t="s">
        <v>527</v>
      </c>
      <c r="D4795" s="6" t="s">
        <v>532</v>
      </c>
      <c r="E4795" s="6">
        <v>1.78</v>
      </c>
    </row>
    <row r="4796">
      <c r="A4796" s="3">
        <v>68099.0</v>
      </c>
      <c r="B4796" s="4" t="s">
        <v>54</v>
      </c>
      <c r="C4796" s="4" t="s">
        <v>527</v>
      </c>
      <c r="D4796" s="4" t="s">
        <v>532</v>
      </c>
      <c r="E4796" s="4">
        <v>3.99</v>
      </c>
    </row>
    <row r="4797">
      <c r="A4797" s="5">
        <v>82827.0</v>
      </c>
      <c r="B4797" s="6" t="s">
        <v>54</v>
      </c>
      <c r="C4797" s="6" t="s">
        <v>527</v>
      </c>
      <c r="D4797" s="6" t="s">
        <v>532</v>
      </c>
      <c r="E4797" s="6">
        <v>7.99</v>
      </c>
    </row>
    <row r="4798">
      <c r="A4798" s="3">
        <v>77127.0</v>
      </c>
      <c r="B4798" s="4" t="s">
        <v>54</v>
      </c>
      <c r="C4798" s="4" t="s">
        <v>527</v>
      </c>
      <c r="D4798" s="4" t="s">
        <v>532</v>
      </c>
      <c r="E4798" s="4">
        <v>6.17</v>
      </c>
    </row>
    <row r="4799">
      <c r="A4799" s="5">
        <v>69002.0</v>
      </c>
      <c r="B4799" s="6" t="s">
        <v>54</v>
      </c>
      <c r="C4799" s="6" t="s">
        <v>527</v>
      </c>
      <c r="D4799" s="6" t="s">
        <v>532</v>
      </c>
      <c r="E4799" s="6">
        <v>15.1</v>
      </c>
    </row>
    <row r="4800">
      <c r="A4800" s="3">
        <v>119847.0</v>
      </c>
      <c r="B4800" s="4" t="s">
        <v>54</v>
      </c>
      <c r="C4800" s="4" t="s">
        <v>527</v>
      </c>
      <c r="D4800" s="4" t="s">
        <v>532</v>
      </c>
      <c r="E4800" s="4">
        <v>9.39</v>
      </c>
    </row>
    <row r="4801">
      <c r="A4801" s="5">
        <v>11446.0</v>
      </c>
      <c r="B4801" s="6" t="s">
        <v>54</v>
      </c>
      <c r="C4801" s="6" t="s">
        <v>527</v>
      </c>
      <c r="D4801" s="6" t="s">
        <v>532</v>
      </c>
      <c r="E4801" s="6">
        <v>7.06</v>
      </c>
    </row>
    <row r="4802">
      <c r="A4802" s="3">
        <v>30628.0</v>
      </c>
      <c r="B4802" s="4" t="s">
        <v>54</v>
      </c>
      <c r="C4802" s="4" t="s">
        <v>527</v>
      </c>
      <c r="D4802" s="4" t="s">
        <v>532</v>
      </c>
      <c r="E4802" s="4">
        <v>6.33</v>
      </c>
    </row>
    <row r="4803">
      <c r="A4803" s="5">
        <v>113003.0</v>
      </c>
      <c r="B4803" s="6" t="s">
        <v>54</v>
      </c>
      <c r="C4803" s="6" t="s">
        <v>527</v>
      </c>
      <c r="D4803" s="6" t="s">
        <v>532</v>
      </c>
      <c r="E4803" s="6">
        <v>8.81</v>
      </c>
    </row>
    <row r="4804">
      <c r="A4804" s="3">
        <v>30631.0</v>
      </c>
      <c r="B4804" s="4" t="s">
        <v>54</v>
      </c>
      <c r="C4804" s="4" t="s">
        <v>527</v>
      </c>
      <c r="D4804" s="4" t="s">
        <v>532</v>
      </c>
      <c r="E4804" s="4">
        <v>6.66</v>
      </c>
    </row>
    <row r="4805">
      <c r="A4805" s="5">
        <v>188351.0</v>
      </c>
      <c r="B4805" s="6" t="s">
        <v>54</v>
      </c>
      <c r="C4805" s="6" t="s">
        <v>527</v>
      </c>
      <c r="D4805" s="6" t="s">
        <v>532</v>
      </c>
      <c r="E4805" s="6">
        <v>3.99</v>
      </c>
    </row>
    <row r="4806">
      <c r="A4806" s="3">
        <v>67025.0</v>
      </c>
      <c r="B4806" s="4" t="s">
        <v>54</v>
      </c>
      <c r="C4806" s="4" t="s">
        <v>527</v>
      </c>
      <c r="D4806" s="4" t="s">
        <v>533</v>
      </c>
      <c r="E4806" s="4">
        <v>5.93</v>
      </c>
    </row>
    <row r="4807">
      <c r="A4807" s="5">
        <v>119797.0</v>
      </c>
      <c r="B4807" s="6" t="s">
        <v>54</v>
      </c>
      <c r="C4807" s="6" t="s">
        <v>527</v>
      </c>
      <c r="D4807" s="6" t="s">
        <v>533</v>
      </c>
      <c r="E4807" s="6">
        <v>5.57</v>
      </c>
    </row>
    <row r="4808">
      <c r="A4808" s="3">
        <v>3592.0</v>
      </c>
      <c r="B4808" s="4" t="s">
        <v>54</v>
      </c>
      <c r="C4808" s="4" t="s">
        <v>527</v>
      </c>
      <c r="D4808" s="4" t="s">
        <v>533</v>
      </c>
      <c r="E4808" s="4">
        <v>11.01</v>
      </c>
    </row>
    <row r="4809">
      <c r="A4809" s="5">
        <v>3586.0</v>
      </c>
      <c r="B4809" s="6" t="s">
        <v>54</v>
      </c>
      <c r="C4809" s="6" t="s">
        <v>527</v>
      </c>
      <c r="D4809" s="6" t="s">
        <v>533</v>
      </c>
      <c r="E4809" s="6">
        <v>7.44</v>
      </c>
    </row>
    <row r="4810">
      <c r="A4810" s="3">
        <v>3591.0</v>
      </c>
      <c r="B4810" s="4" t="s">
        <v>54</v>
      </c>
      <c r="C4810" s="4" t="s">
        <v>527</v>
      </c>
      <c r="D4810" s="4" t="s">
        <v>533</v>
      </c>
      <c r="E4810" s="4">
        <v>23.38</v>
      </c>
    </row>
    <row r="4811">
      <c r="A4811" s="5">
        <v>73847.0</v>
      </c>
      <c r="B4811" s="6" t="s">
        <v>54</v>
      </c>
      <c r="C4811" s="6" t="s">
        <v>527</v>
      </c>
      <c r="D4811" s="6" t="s">
        <v>533</v>
      </c>
      <c r="E4811" s="6">
        <v>6.85</v>
      </c>
    </row>
    <row r="4812">
      <c r="A4812" s="3">
        <v>3590.0</v>
      </c>
      <c r="B4812" s="4" t="s">
        <v>54</v>
      </c>
      <c r="C4812" s="4" t="s">
        <v>527</v>
      </c>
      <c r="D4812" s="4" t="s">
        <v>533</v>
      </c>
      <c r="E4812" s="4">
        <v>11.46</v>
      </c>
    </row>
    <row r="4813">
      <c r="A4813" s="5">
        <v>116903.0</v>
      </c>
      <c r="B4813" s="6" t="s">
        <v>54</v>
      </c>
      <c r="C4813" s="6" t="s">
        <v>527</v>
      </c>
      <c r="D4813" s="6" t="s">
        <v>533</v>
      </c>
      <c r="E4813" s="6">
        <v>7.21</v>
      </c>
    </row>
    <row r="4814">
      <c r="A4814" s="3">
        <v>116780.0</v>
      </c>
      <c r="B4814" s="4" t="s">
        <v>54</v>
      </c>
      <c r="C4814" s="4" t="s">
        <v>527</v>
      </c>
      <c r="D4814" s="4" t="s">
        <v>533</v>
      </c>
      <c r="E4814" s="4">
        <v>12.9</v>
      </c>
    </row>
    <row r="4815">
      <c r="A4815" s="5">
        <v>114912.0</v>
      </c>
      <c r="B4815" s="6" t="s">
        <v>317</v>
      </c>
      <c r="C4815" s="6" t="s">
        <v>534</v>
      </c>
      <c r="D4815" s="6"/>
      <c r="E4815" s="6">
        <v>4.79</v>
      </c>
    </row>
    <row r="4816">
      <c r="A4816" s="3">
        <v>111970.0</v>
      </c>
      <c r="B4816" s="4" t="s">
        <v>128</v>
      </c>
      <c r="C4816" s="4" t="s">
        <v>535</v>
      </c>
      <c r="D4816" s="4" t="s">
        <v>536</v>
      </c>
      <c r="E4816" s="4">
        <v>38.44</v>
      </c>
    </row>
    <row r="4817">
      <c r="A4817" s="5">
        <v>126973.0</v>
      </c>
      <c r="B4817" s="6" t="s">
        <v>128</v>
      </c>
      <c r="C4817" s="6" t="s">
        <v>535</v>
      </c>
      <c r="D4817" s="6" t="s">
        <v>537</v>
      </c>
      <c r="E4817" s="6">
        <v>53.14</v>
      </c>
    </row>
    <row r="4818">
      <c r="A4818" s="3">
        <v>116964.0</v>
      </c>
      <c r="B4818" s="4" t="s">
        <v>54</v>
      </c>
      <c r="C4818" s="4" t="s">
        <v>538</v>
      </c>
      <c r="D4818" s="4" t="s">
        <v>539</v>
      </c>
      <c r="E4818" s="4">
        <v>13.64</v>
      </c>
    </row>
    <row r="4819">
      <c r="A4819" s="5">
        <v>122340.0</v>
      </c>
      <c r="B4819" s="6" t="s">
        <v>54</v>
      </c>
      <c r="C4819" s="6" t="s">
        <v>538</v>
      </c>
      <c r="D4819" s="6" t="s">
        <v>539</v>
      </c>
      <c r="E4819" s="6">
        <v>2.49</v>
      </c>
    </row>
    <row r="4820">
      <c r="A4820" s="3">
        <v>116963.0</v>
      </c>
      <c r="B4820" s="4" t="s">
        <v>54</v>
      </c>
      <c r="C4820" s="4" t="s">
        <v>538</v>
      </c>
      <c r="D4820" s="4" t="s">
        <v>539</v>
      </c>
      <c r="E4820" s="4">
        <v>13.52</v>
      </c>
    </row>
    <row r="4821">
      <c r="A4821" s="5">
        <v>120241.0</v>
      </c>
      <c r="B4821" s="6" t="s">
        <v>54</v>
      </c>
      <c r="C4821" s="6" t="s">
        <v>538</v>
      </c>
      <c r="D4821" s="6" t="s">
        <v>539</v>
      </c>
      <c r="E4821" s="6">
        <v>8.41</v>
      </c>
    </row>
    <row r="4822">
      <c r="A4822" s="3">
        <v>120205.0</v>
      </c>
      <c r="B4822" s="4" t="s">
        <v>54</v>
      </c>
      <c r="C4822" s="4" t="s">
        <v>538</v>
      </c>
      <c r="D4822" s="4" t="s">
        <v>539</v>
      </c>
      <c r="E4822" s="4">
        <v>5.78</v>
      </c>
    </row>
    <row r="4823">
      <c r="A4823" s="5">
        <v>104162.0</v>
      </c>
      <c r="B4823" s="6" t="s">
        <v>54</v>
      </c>
      <c r="C4823" s="6" t="s">
        <v>538</v>
      </c>
      <c r="D4823" s="6" t="s">
        <v>539</v>
      </c>
      <c r="E4823" s="6">
        <v>5.21</v>
      </c>
    </row>
    <row r="4824">
      <c r="A4824" s="3">
        <v>110792.0</v>
      </c>
      <c r="B4824" s="4" t="s">
        <v>54</v>
      </c>
      <c r="C4824" s="4" t="s">
        <v>538</v>
      </c>
      <c r="D4824" s="4" t="s">
        <v>539</v>
      </c>
      <c r="E4824" s="4">
        <v>10.55</v>
      </c>
    </row>
    <row r="4825">
      <c r="A4825" s="5">
        <v>104169.0</v>
      </c>
      <c r="B4825" s="6" t="s">
        <v>54</v>
      </c>
      <c r="C4825" s="6" t="s">
        <v>538</v>
      </c>
      <c r="D4825" s="6" t="s">
        <v>540</v>
      </c>
      <c r="E4825" s="6">
        <v>6.23</v>
      </c>
    </row>
    <row r="4826">
      <c r="A4826" s="3">
        <v>111957.0</v>
      </c>
      <c r="B4826" s="4" t="s">
        <v>54</v>
      </c>
      <c r="C4826" s="4" t="s">
        <v>538</v>
      </c>
      <c r="D4826" s="4" t="s">
        <v>541</v>
      </c>
      <c r="E4826" s="4">
        <v>11.41</v>
      </c>
    </row>
    <row r="4827">
      <c r="A4827" s="5">
        <v>89201.0</v>
      </c>
      <c r="B4827" s="6" t="s">
        <v>54</v>
      </c>
      <c r="C4827" s="6" t="s">
        <v>538</v>
      </c>
      <c r="D4827" s="6" t="s">
        <v>541</v>
      </c>
      <c r="E4827" s="6">
        <v>12.2</v>
      </c>
    </row>
    <row r="4828">
      <c r="A4828" s="3">
        <v>87305.0</v>
      </c>
      <c r="B4828" s="4" t="s">
        <v>54</v>
      </c>
      <c r="C4828" s="4" t="s">
        <v>538</v>
      </c>
      <c r="D4828" s="4" t="s">
        <v>541</v>
      </c>
      <c r="E4828" s="4">
        <v>2.97</v>
      </c>
    </row>
    <row r="4829">
      <c r="A4829" s="5">
        <v>3480.0</v>
      </c>
      <c r="B4829" s="6" t="s">
        <v>54</v>
      </c>
      <c r="C4829" s="6" t="s">
        <v>538</v>
      </c>
      <c r="D4829" s="6" t="s">
        <v>541</v>
      </c>
      <c r="E4829" s="6">
        <v>13.02</v>
      </c>
    </row>
    <row r="4830">
      <c r="A4830" s="3">
        <v>116817.0</v>
      </c>
      <c r="B4830" s="4" t="s">
        <v>54</v>
      </c>
      <c r="C4830" s="4" t="s">
        <v>538</v>
      </c>
      <c r="D4830" s="4" t="s">
        <v>541</v>
      </c>
      <c r="E4830" s="4">
        <v>10.82</v>
      </c>
    </row>
    <row r="4831">
      <c r="A4831" s="5">
        <v>47209.0</v>
      </c>
      <c r="B4831" s="6" t="s">
        <v>54</v>
      </c>
      <c r="C4831" s="6" t="s">
        <v>538</v>
      </c>
      <c r="D4831" s="6" t="s">
        <v>541</v>
      </c>
      <c r="E4831" s="6">
        <v>9.9</v>
      </c>
    </row>
    <row r="4832">
      <c r="A4832" s="3">
        <v>68213.0</v>
      </c>
      <c r="B4832" s="4" t="s">
        <v>54</v>
      </c>
      <c r="C4832" s="4" t="s">
        <v>538</v>
      </c>
      <c r="D4832" s="4" t="s">
        <v>542</v>
      </c>
      <c r="E4832" s="4">
        <v>6.15</v>
      </c>
    </row>
    <row r="4833">
      <c r="A4833" s="5">
        <v>100999.0</v>
      </c>
      <c r="B4833" s="6" t="s">
        <v>54</v>
      </c>
      <c r="C4833" s="6" t="s">
        <v>538</v>
      </c>
      <c r="D4833" s="6" t="s">
        <v>542</v>
      </c>
      <c r="E4833" s="6">
        <v>14.28</v>
      </c>
    </row>
    <row r="4834">
      <c r="A4834" s="3">
        <v>119241.0</v>
      </c>
      <c r="B4834" s="4" t="s">
        <v>54</v>
      </c>
      <c r="C4834" s="4" t="s">
        <v>538</v>
      </c>
      <c r="D4834" s="4" t="s">
        <v>542</v>
      </c>
      <c r="E4834" s="4">
        <v>1.85</v>
      </c>
    </row>
    <row r="4835">
      <c r="A4835" s="5">
        <v>133917.0</v>
      </c>
      <c r="B4835" s="6" t="s">
        <v>54</v>
      </c>
      <c r="C4835" s="6" t="s">
        <v>538</v>
      </c>
      <c r="D4835" s="6" t="s">
        <v>542</v>
      </c>
      <c r="E4835" s="6">
        <v>5.76</v>
      </c>
    </row>
    <row r="4836">
      <c r="A4836" s="3">
        <v>128334.0</v>
      </c>
      <c r="B4836" s="4" t="s">
        <v>54</v>
      </c>
      <c r="C4836" s="4" t="s">
        <v>538</v>
      </c>
      <c r="D4836" s="4" t="s">
        <v>542</v>
      </c>
      <c r="E4836" s="4">
        <v>23.55</v>
      </c>
    </row>
    <row r="4837">
      <c r="A4837" s="5">
        <v>113235.0</v>
      </c>
      <c r="B4837" s="6" t="s">
        <v>54</v>
      </c>
      <c r="C4837" s="6" t="s">
        <v>538</v>
      </c>
      <c r="D4837" s="6" t="s">
        <v>542</v>
      </c>
      <c r="E4837" s="6">
        <v>6.62</v>
      </c>
    </row>
    <row r="4838">
      <c r="A4838" s="3">
        <v>113249.0</v>
      </c>
      <c r="B4838" s="4" t="s">
        <v>54</v>
      </c>
      <c r="C4838" s="4" t="s">
        <v>538</v>
      </c>
      <c r="D4838" s="4" t="s">
        <v>543</v>
      </c>
      <c r="E4838" s="4">
        <v>7.27</v>
      </c>
    </row>
    <row r="4839">
      <c r="A4839" s="5">
        <v>89210.0</v>
      </c>
      <c r="B4839" s="6" t="s">
        <v>54</v>
      </c>
      <c r="C4839" s="6" t="s">
        <v>538</v>
      </c>
      <c r="D4839" s="6" t="s">
        <v>543</v>
      </c>
      <c r="E4839" s="6">
        <v>12.44</v>
      </c>
    </row>
    <row r="4840">
      <c r="A4840" s="3">
        <v>104170.0</v>
      </c>
      <c r="B4840" s="4" t="s">
        <v>54</v>
      </c>
      <c r="C4840" s="4" t="s">
        <v>538</v>
      </c>
      <c r="D4840" s="4" t="s">
        <v>544</v>
      </c>
      <c r="E4840" s="4">
        <v>6.23</v>
      </c>
    </row>
    <row r="4841">
      <c r="A4841" s="5">
        <v>18671.0</v>
      </c>
      <c r="B4841" s="6" t="s">
        <v>54</v>
      </c>
      <c r="C4841" s="6" t="s">
        <v>538</v>
      </c>
      <c r="D4841" s="6" t="s">
        <v>544</v>
      </c>
      <c r="E4841" s="6">
        <v>16.67</v>
      </c>
    </row>
    <row r="4842">
      <c r="A4842" s="3">
        <v>83804.0</v>
      </c>
      <c r="B4842" s="4" t="s">
        <v>54</v>
      </c>
      <c r="C4842" s="4" t="s">
        <v>538</v>
      </c>
      <c r="D4842" s="4" t="s">
        <v>544</v>
      </c>
      <c r="E4842" s="4">
        <v>10.54</v>
      </c>
    </row>
    <row r="4843">
      <c r="A4843" s="5">
        <v>104415.0</v>
      </c>
      <c r="B4843" s="6" t="s">
        <v>54</v>
      </c>
      <c r="C4843" s="6" t="s">
        <v>538</v>
      </c>
      <c r="D4843" s="6" t="s">
        <v>544</v>
      </c>
      <c r="E4843" s="6">
        <v>6.23</v>
      </c>
    </row>
    <row r="4844">
      <c r="A4844" s="3">
        <v>78351.0</v>
      </c>
      <c r="B4844" s="4" t="s">
        <v>54</v>
      </c>
      <c r="C4844" s="4" t="s">
        <v>538</v>
      </c>
      <c r="D4844" s="4" t="s">
        <v>544</v>
      </c>
      <c r="E4844" s="4">
        <v>11.41</v>
      </c>
    </row>
    <row r="4845">
      <c r="A4845" s="5">
        <v>112174.0</v>
      </c>
      <c r="B4845" s="6" t="s">
        <v>54</v>
      </c>
      <c r="C4845" s="6" t="s">
        <v>538</v>
      </c>
      <c r="D4845" s="6" t="s">
        <v>544</v>
      </c>
      <c r="E4845" s="6">
        <v>15.39</v>
      </c>
    </row>
    <row r="4846">
      <c r="A4846" s="3">
        <v>120248.0</v>
      </c>
      <c r="B4846" s="4" t="s">
        <v>54</v>
      </c>
      <c r="C4846" s="4" t="s">
        <v>538</v>
      </c>
      <c r="D4846" s="4" t="s">
        <v>544</v>
      </c>
      <c r="E4846" s="4">
        <v>6.98</v>
      </c>
    </row>
    <row r="4847">
      <c r="A4847" s="5">
        <v>18672.0</v>
      </c>
      <c r="B4847" s="6" t="s">
        <v>54</v>
      </c>
      <c r="C4847" s="6" t="s">
        <v>538</v>
      </c>
      <c r="D4847" s="6" t="s">
        <v>544</v>
      </c>
      <c r="E4847" s="6">
        <v>20.0</v>
      </c>
    </row>
    <row r="4848">
      <c r="A4848" s="3">
        <v>13517.0</v>
      </c>
      <c r="B4848" s="4" t="s">
        <v>54</v>
      </c>
      <c r="C4848" s="4" t="s">
        <v>538</v>
      </c>
      <c r="D4848" s="4" t="s">
        <v>544</v>
      </c>
      <c r="E4848" s="4">
        <v>3.57</v>
      </c>
    </row>
    <row r="4849">
      <c r="A4849" s="5">
        <v>119896.0</v>
      </c>
      <c r="B4849" s="6" t="s">
        <v>54</v>
      </c>
      <c r="C4849" s="6" t="s">
        <v>538</v>
      </c>
      <c r="D4849" s="6" t="s">
        <v>544</v>
      </c>
      <c r="E4849" s="6">
        <v>10.29</v>
      </c>
    </row>
    <row r="4850">
      <c r="A4850" s="3">
        <v>120249.0</v>
      </c>
      <c r="B4850" s="4" t="s">
        <v>54</v>
      </c>
      <c r="C4850" s="4" t="s">
        <v>538</v>
      </c>
      <c r="D4850" s="4" t="s">
        <v>544</v>
      </c>
      <c r="E4850" s="4">
        <v>7.47</v>
      </c>
    </row>
    <row r="4851">
      <c r="A4851" s="5">
        <v>78352.0</v>
      </c>
      <c r="B4851" s="6" t="s">
        <v>54</v>
      </c>
      <c r="C4851" s="6" t="s">
        <v>538</v>
      </c>
      <c r="D4851" s="6" t="s">
        <v>544</v>
      </c>
      <c r="E4851" s="6">
        <v>6.33</v>
      </c>
    </row>
    <row r="4852">
      <c r="A4852" s="3">
        <v>45630.0</v>
      </c>
      <c r="B4852" s="4" t="s">
        <v>54</v>
      </c>
      <c r="C4852" s="4" t="s">
        <v>538</v>
      </c>
      <c r="D4852" s="4" t="s">
        <v>545</v>
      </c>
      <c r="E4852" s="4">
        <v>4.18</v>
      </c>
    </row>
    <row r="4853">
      <c r="A4853" s="5">
        <v>99726.0</v>
      </c>
      <c r="B4853" s="6" t="s">
        <v>54</v>
      </c>
      <c r="C4853" s="6" t="s">
        <v>538</v>
      </c>
      <c r="D4853" s="6" t="s">
        <v>545</v>
      </c>
      <c r="E4853" s="6">
        <v>7.79</v>
      </c>
    </row>
    <row r="4854">
      <c r="A4854" s="3">
        <v>88619.0</v>
      </c>
      <c r="B4854" s="4" t="s">
        <v>54</v>
      </c>
      <c r="C4854" s="4" t="s">
        <v>538</v>
      </c>
      <c r="D4854" s="4" t="s">
        <v>545</v>
      </c>
      <c r="E4854" s="4">
        <v>4.77</v>
      </c>
    </row>
    <row r="4855">
      <c r="A4855" s="5">
        <v>73430.0</v>
      </c>
      <c r="B4855" s="6" t="s">
        <v>54</v>
      </c>
      <c r="C4855" s="6" t="s">
        <v>538</v>
      </c>
      <c r="D4855" s="6" t="s">
        <v>545</v>
      </c>
      <c r="E4855" s="6">
        <v>6.85</v>
      </c>
    </row>
    <row r="4856">
      <c r="A4856" s="3">
        <v>98939.0</v>
      </c>
      <c r="B4856" s="4" t="s">
        <v>54</v>
      </c>
      <c r="C4856" s="4" t="s">
        <v>538</v>
      </c>
      <c r="D4856" s="4" t="s">
        <v>546</v>
      </c>
      <c r="E4856" s="4">
        <v>11.34</v>
      </c>
    </row>
    <row r="4857">
      <c r="A4857" s="5">
        <v>45826.0</v>
      </c>
      <c r="B4857" s="6" t="s">
        <v>54</v>
      </c>
      <c r="C4857" s="6" t="s">
        <v>538</v>
      </c>
      <c r="D4857" s="6" t="s">
        <v>546</v>
      </c>
      <c r="E4857" s="6">
        <v>13.07</v>
      </c>
    </row>
    <row r="4858">
      <c r="A4858" s="3">
        <v>100797.0</v>
      </c>
      <c r="B4858" s="4" t="s">
        <v>54</v>
      </c>
      <c r="C4858" s="4" t="s">
        <v>538</v>
      </c>
      <c r="D4858" s="4" t="s">
        <v>546</v>
      </c>
      <c r="E4858" s="4">
        <v>5.65</v>
      </c>
    </row>
    <row r="4859">
      <c r="A4859" s="5">
        <v>104429.0</v>
      </c>
      <c r="B4859" s="6" t="s">
        <v>54</v>
      </c>
      <c r="C4859" s="6" t="s">
        <v>538</v>
      </c>
      <c r="D4859" s="6" t="s">
        <v>547</v>
      </c>
      <c r="E4859" s="6">
        <v>6.23</v>
      </c>
    </row>
    <row r="4860">
      <c r="A4860" s="3">
        <v>119806.0</v>
      </c>
      <c r="B4860" s="4" t="s">
        <v>54</v>
      </c>
      <c r="C4860" s="4" t="s">
        <v>538</v>
      </c>
      <c r="D4860" s="4" t="s">
        <v>547</v>
      </c>
      <c r="E4860" s="4">
        <v>8.64</v>
      </c>
    </row>
    <row r="4861">
      <c r="A4861" s="5">
        <v>120734.0</v>
      </c>
      <c r="B4861" s="6" t="s">
        <v>54</v>
      </c>
      <c r="C4861" s="6" t="s">
        <v>538</v>
      </c>
      <c r="D4861" s="6" t="s">
        <v>548</v>
      </c>
      <c r="E4861" s="6">
        <v>10.77</v>
      </c>
    </row>
    <row r="4862">
      <c r="A4862" s="3">
        <v>104423.0</v>
      </c>
      <c r="B4862" s="4" t="s">
        <v>54</v>
      </c>
      <c r="C4862" s="4" t="s">
        <v>538</v>
      </c>
      <c r="D4862" s="4" t="s">
        <v>548</v>
      </c>
      <c r="E4862" s="4">
        <v>7.84</v>
      </c>
    </row>
    <row r="4863">
      <c r="A4863" s="5">
        <v>120286.0</v>
      </c>
      <c r="B4863" s="6" t="s">
        <v>54</v>
      </c>
      <c r="C4863" s="6" t="s">
        <v>538</v>
      </c>
      <c r="D4863" s="6" t="s">
        <v>548</v>
      </c>
      <c r="E4863" s="6">
        <v>9.99</v>
      </c>
    </row>
    <row r="4864">
      <c r="A4864" s="3">
        <v>81838.0</v>
      </c>
      <c r="B4864" s="4" t="s">
        <v>54</v>
      </c>
      <c r="C4864" s="4" t="s">
        <v>538</v>
      </c>
      <c r="D4864" s="4" t="s">
        <v>548</v>
      </c>
      <c r="E4864" s="4">
        <v>6.97</v>
      </c>
    </row>
    <row r="4865">
      <c r="A4865" s="5">
        <v>117718.0</v>
      </c>
      <c r="B4865" s="6" t="s">
        <v>54</v>
      </c>
      <c r="C4865" s="6" t="s">
        <v>538</v>
      </c>
      <c r="D4865" s="6" t="s">
        <v>548</v>
      </c>
      <c r="E4865" s="6">
        <v>5.39</v>
      </c>
    </row>
    <row r="4866">
      <c r="A4866" s="3">
        <v>70611.0</v>
      </c>
      <c r="B4866" s="4" t="s">
        <v>54</v>
      </c>
      <c r="C4866" s="4" t="s">
        <v>538</v>
      </c>
      <c r="D4866" s="4" t="s">
        <v>549</v>
      </c>
      <c r="E4866" s="4">
        <v>5.8</v>
      </c>
    </row>
    <row r="4867">
      <c r="A4867" s="5">
        <v>110848.0</v>
      </c>
      <c r="B4867" s="6" t="s">
        <v>54</v>
      </c>
      <c r="C4867" s="6" t="s">
        <v>538</v>
      </c>
      <c r="D4867" s="6" t="s">
        <v>549</v>
      </c>
      <c r="E4867" s="6">
        <v>4.77</v>
      </c>
    </row>
    <row r="4868">
      <c r="A4868" s="3">
        <v>107925.0</v>
      </c>
      <c r="B4868" s="4" t="s">
        <v>54</v>
      </c>
      <c r="C4868" s="4" t="s">
        <v>538</v>
      </c>
      <c r="D4868" s="4" t="s">
        <v>549</v>
      </c>
      <c r="E4868" s="4">
        <v>10.88</v>
      </c>
    </row>
    <row r="4869">
      <c r="A4869" s="5">
        <v>156038.0</v>
      </c>
      <c r="B4869" s="6" t="s">
        <v>54</v>
      </c>
      <c r="C4869" s="6" t="s">
        <v>538</v>
      </c>
      <c r="D4869" s="6" t="s">
        <v>549</v>
      </c>
      <c r="E4869" s="6">
        <v>12.62</v>
      </c>
    </row>
    <row r="4870">
      <c r="A4870" s="3">
        <v>117392.0</v>
      </c>
      <c r="B4870" s="4" t="s">
        <v>54</v>
      </c>
      <c r="C4870" s="4" t="s">
        <v>538</v>
      </c>
      <c r="D4870" s="4" t="s">
        <v>549</v>
      </c>
      <c r="E4870" s="4">
        <v>6.22</v>
      </c>
    </row>
    <row r="4871">
      <c r="A4871" s="5">
        <v>86620.0</v>
      </c>
      <c r="B4871" s="6" t="s">
        <v>54</v>
      </c>
      <c r="C4871" s="6" t="s">
        <v>538</v>
      </c>
      <c r="D4871" s="6" t="s">
        <v>549</v>
      </c>
      <c r="E4871" s="6">
        <v>4.66</v>
      </c>
    </row>
    <row r="4872">
      <c r="A4872" s="3">
        <v>27871.0</v>
      </c>
      <c r="B4872" s="4" t="s">
        <v>54</v>
      </c>
      <c r="C4872" s="4" t="s">
        <v>538</v>
      </c>
      <c r="D4872" s="4" t="s">
        <v>549</v>
      </c>
      <c r="E4872" s="4">
        <v>7.7</v>
      </c>
    </row>
    <row r="4873">
      <c r="A4873" s="5">
        <v>82874.0</v>
      </c>
      <c r="B4873" s="6" t="s">
        <v>54</v>
      </c>
      <c r="C4873" s="6" t="s">
        <v>538</v>
      </c>
      <c r="D4873" s="6" t="s">
        <v>549</v>
      </c>
      <c r="E4873" s="6">
        <v>7.99</v>
      </c>
    </row>
    <row r="4874">
      <c r="A4874" s="3">
        <v>120292.0</v>
      </c>
      <c r="B4874" s="4" t="s">
        <v>54</v>
      </c>
      <c r="C4874" s="4" t="s">
        <v>538</v>
      </c>
      <c r="D4874" s="4" t="s">
        <v>549</v>
      </c>
      <c r="E4874" s="4">
        <v>6.31</v>
      </c>
    </row>
    <row r="4875">
      <c r="A4875" s="5">
        <v>120293.0</v>
      </c>
      <c r="B4875" s="6" t="s">
        <v>54</v>
      </c>
      <c r="C4875" s="6" t="s">
        <v>538</v>
      </c>
      <c r="D4875" s="6" t="s">
        <v>549</v>
      </c>
      <c r="E4875" s="6">
        <v>8.0</v>
      </c>
    </row>
    <row r="4876">
      <c r="A4876" s="3">
        <v>44522.0</v>
      </c>
      <c r="B4876" s="4" t="s">
        <v>54</v>
      </c>
      <c r="C4876" s="4" t="s">
        <v>538</v>
      </c>
      <c r="D4876" s="4" t="s">
        <v>549</v>
      </c>
      <c r="E4876" s="4">
        <v>5.8</v>
      </c>
    </row>
    <row r="4877">
      <c r="A4877" s="5">
        <v>143999.0</v>
      </c>
      <c r="B4877" s="6" t="s">
        <v>54</v>
      </c>
      <c r="C4877" s="6" t="s">
        <v>538</v>
      </c>
      <c r="D4877" s="6" t="s">
        <v>549</v>
      </c>
      <c r="E4877" s="6">
        <v>16.07</v>
      </c>
    </row>
    <row r="4878">
      <c r="A4878" s="3">
        <v>144000.0</v>
      </c>
      <c r="B4878" s="4" t="s">
        <v>54</v>
      </c>
      <c r="C4878" s="4" t="s">
        <v>538</v>
      </c>
      <c r="D4878" s="4" t="s">
        <v>549</v>
      </c>
      <c r="E4878" s="4">
        <v>25.57</v>
      </c>
    </row>
    <row r="4879">
      <c r="A4879" s="5">
        <v>91236.0</v>
      </c>
      <c r="B4879" s="6" t="s">
        <v>54</v>
      </c>
      <c r="C4879" s="6" t="s">
        <v>550</v>
      </c>
      <c r="D4879" s="6" t="s">
        <v>551</v>
      </c>
      <c r="E4879" s="6">
        <v>15.81</v>
      </c>
    </row>
    <row r="4880">
      <c r="A4880" s="3">
        <v>78213.0</v>
      </c>
      <c r="B4880" s="4" t="s">
        <v>54</v>
      </c>
      <c r="C4880" s="4" t="s">
        <v>550</v>
      </c>
      <c r="D4880" s="4" t="s">
        <v>551</v>
      </c>
      <c r="E4880" s="4">
        <v>10.32</v>
      </c>
    </row>
    <row r="4881">
      <c r="A4881" s="5">
        <v>119254.0</v>
      </c>
      <c r="B4881" s="6" t="s">
        <v>54</v>
      </c>
      <c r="C4881" s="6" t="s">
        <v>550</v>
      </c>
      <c r="D4881" s="6" t="s">
        <v>551</v>
      </c>
      <c r="E4881" s="6">
        <v>2.47</v>
      </c>
    </row>
    <row r="4882">
      <c r="A4882" s="3">
        <v>82149.0</v>
      </c>
      <c r="B4882" s="4" t="s">
        <v>54</v>
      </c>
      <c r="C4882" s="4" t="s">
        <v>550</v>
      </c>
      <c r="D4882" s="4" t="s">
        <v>551</v>
      </c>
      <c r="E4882" s="4">
        <v>10.4</v>
      </c>
    </row>
    <row r="4883">
      <c r="A4883" s="5">
        <v>30864.0</v>
      </c>
      <c r="B4883" s="6" t="s">
        <v>54</v>
      </c>
      <c r="C4883" s="6" t="s">
        <v>550</v>
      </c>
      <c r="D4883" s="6" t="s">
        <v>551</v>
      </c>
      <c r="E4883" s="6">
        <v>4.69</v>
      </c>
    </row>
    <row r="4884">
      <c r="A4884" s="3">
        <v>82148.0</v>
      </c>
      <c r="B4884" s="4" t="s">
        <v>54</v>
      </c>
      <c r="C4884" s="4" t="s">
        <v>550</v>
      </c>
      <c r="D4884" s="4" t="s">
        <v>551</v>
      </c>
      <c r="E4884" s="4">
        <v>4.41</v>
      </c>
    </row>
    <row r="4885">
      <c r="A4885" s="5">
        <v>78069.0</v>
      </c>
      <c r="B4885" s="6" t="s">
        <v>54</v>
      </c>
      <c r="C4885" s="6" t="s">
        <v>550</v>
      </c>
      <c r="D4885" s="6" t="s">
        <v>551</v>
      </c>
      <c r="E4885" s="6">
        <v>6.08</v>
      </c>
    </row>
    <row r="4886">
      <c r="A4886" s="3">
        <v>68623.0</v>
      </c>
      <c r="B4886" s="4" t="s">
        <v>54</v>
      </c>
      <c r="C4886" s="4" t="s">
        <v>550</v>
      </c>
      <c r="D4886" s="4" t="s">
        <v>551</v>
      </c>
      <c r="E4886" s="4">
        <v>11.15</v>
      </c>
    </row>
    <row r="4887">
      <c r="A4887" s="5">
        <v>108904.0</v>
      </c>
      <c r="B4887" s="6" t="s">
        <v>54</v>
      </c>
      <c r="C4887" s="6" t="s">
        <v>550</v>
      </c>
      <c r="D4887" s="6" t="s">
        <v>551</v>
      </c>
      <c r="E4887" s="6">
        <v>6.21</v>
      </c>
    </row>
    <row r="4888">
      <c r="A4888" s="3">
        <v>113967.0</v>
      </c>
      <c r="B4888" s="4" t="s">
        <v>54</v>
      </c>
      <c r="C4888" s="4" t="s">
        <v>550</v>
      </c>
      <c r="D4888" s="4" t="s">
        <v>551</v>
      </c>
      <c r="E4888" s="4">
        <v>9.2</v>
      </c>
    </row>
    <row r="4889">
      <c r="A4889" s="5">
        <v>10145.0</v>
      </c>
      <c r="B4889" s="6" t="s">
        <v>54</v>
      </c>
      <c r="C4889" s="6" t="s">
        <v>550</v>
      </c>
      <c r="D4889" s="6" t="s">
        <v>552</v>
      </c>
      <c r="E4889" s="6">
        <v>5.49</v>
      </c>
    </row>
    <row r="4890">
      <c r="A4890" s="3">
        <v>116960.0</v>
      </c>
      <c r="B4890" s="4" t="s">
        <v>54</v>
      </c>
      <c r="C4890" s="4" t="s">
        <v>550</v>
      </c>
      <c r="D4890" s="4" t="s">
        <v>552</v>
      </c>
      <c r="E4890" s="4">
        <v>7.72</v>
      </c>
    </row>
    <row r="4891">
      <c r="A4891" s="5">
        <v>103663.0</v>
      </c>
      <c r="B4891" s="6" t="s">
        <v>54</v>
      </c>
      <c r="C4891" s="6" t="s">
        <v>550</v>
      </c>
      <c r="D4891" s="6" t="s">
        <v>552</v>
      </c>
      <c r="E4891" s="6">
        <v>7.68</v>
      </c>
    </row>
    <row r="4892">
      <c r="A4892" s="3">
        <v>45983.0</v>
      </c>
      <c r="B4892" s="4" t="s">
        <v>54</v>
      </c>
      <c r="C4892" s="4" t="s">
        <v>550</v>
      </c>
      <c r="D4892" s="4" t="s">
        <v>552</v>
      </c>
      <c r="E4892" s="4">
        <v>7.06</v>
      </c>
    </row>
    <row r="4893">
      <c r="A4893" s="5">
        <v>103662.0</v>
      </c>
      <c r="B4893" s="6" t="s">
        <v>54</v>
      </c>
      <c r="C4893" s="6" t="s">
        <v>550</v>
      </c>
      <c r="D4893" s="6" t="s">
        <v>552</v>
      </c>
      <c r="E4893" s="6">
        <v>6.4</v>
      </c>
    </row>
    <row r="4894">
      <c r="A4894" s="3">
        <v>78318.0</v>
      </c>
      <c r="B4894" s="4" t="s">
        <v>54</v>
      </c>
      <c r="C4894" s="4" t="s">
        <v>550</v>
      </c>
      <c r="D4894" s="4" t="s">
        <v>552</v>
      </c>
      <c r="E4894" s="4">
        <v>6.72</v>
      </c>
    </row>
    <row r="4895">
      <c r="A4895" s="5">
        <v>120179.0</v>
      </c>
      <c r="B4895" s="6" t="s">
        <v>54</v>
      </c>
      <c r="C4895" s="6" t="s">
        <v>550</v>
      </c>
      <c r="D4895" s="6" t="s">
        <v>552</v>
      </c>
      <c r="E4895" s="6">
        <v>6.06</v>
      </c>
    </row>
    <row r="4896">
      <c r="A4896" s="3">
        <v>10144.0</v>
      </c>
      <c r="B4896" s="4" t="s">
        <v>54</v>
      </c>
      <c r="C4896" s="4" t="s">
        <v>550</v>
      </c>
      <c r="D4896" s="4" t="s">
        <v>552</v>
      </c>
      <c r="E4896" s="4">
        <v>6.73</v>
      </c>
    </row>
    <row r="4897">
      <c r="A4897" s="5">
        <v>78304.0</v>
      </c>
      <c r="B4897" s="6" t="s">
        <v>54</v>
      </c>
      <c r="C4897" s="6" t="s">
        <v>550</v>
      </c>
      <c r="D4897" s="6" t="s">
        <v>552</v>
      </c>
      <c r="E4897" s="6">
        <v>6.06</v>
      </c>
    </row>
    <row r="4898">
      <c r="A4898" s="3">
        <v>86598.0</v>
      </c>
      <c r="B4898" s="4" t="s">
        <v>54</v>
      </c>
      <c r="C4898" s="4" t="s">
        <v>550</v>
      </c>
      <c r="D4898" s="4" t="s">
        <v>552</v>
      </c>
      <c r="E4898" s="4">
        <v>5.96</v>
      </c>
    </row>
    <row r="4899">
      <c r="A4899" s="5">
        <v>103665.0</v>
      </c>
      <c r="B4899" s="6" t="s">
        <v>54</v>
      </c>
      <c r="C4899" s="6" t="s">
        <v>550</v>
      </c>
      <c r="D4899" s="6" t="s">
        <v>552</v>
      </c>
      <c r="E4899" s="6">
        <v>7.68</v>
      </c>
    </row>
    <row r="4900">
      <c r="A4900" s="3">
        <v>77771.0</v>
      </c>
      <c r="B4900" s="4" t="s">
        <v>54</v>
      </c>
      <c r="C4900" s="4" t="s">
        <v>550</v>
      </c>
      <c r="D4900" s="4" t="s">
        <v>553</v>
      </c>
      <c r="E4900" s="4">
        <v>2.21</v>
      </c>
    </row>
    <row r="4901">
      <c r="A4901" s="5">
        <v>116798.0</v>
      </c>
      <c r="B4901" s="6" t="s">
        <v>54</v>
      </c>
      <c r="C4901" s="6" t="s">
        <v>550</v>
      </c>
      <c r="D4901" s="6" t="s">
        <v>553</v>
      </c>
      <c r="E4901" s="6">
        <v>11.41</v>
      </c>
    </row>
    <row r="4902">
      <c r="A4902" s="3">
        <v>100610.0</v>
      </c>
      <c r="B4902" s="4" t="s">
        <v>54</v>
      </c>
      <c r="C4902" s="4" t="s">
        <v>550</v>
      </c>
      <c r="D4902" s="4" t="s">
        <v>553</v>
      </c>
      <c r="E4902" s="4">
        <v>7.6</v>
      </c>
    </row>
    <row r="4903">
      <c r="A4903" s="5">
        <v>77772.0</v>
      </c>
      <c r="B4903" s="6" t="s">
        <v>54</v>
      </c>
      <c r="C4903" s="6" t="s">
        <v>550</v>
      </c>
      <c r="D4903" s="6" t="s">
        <v>553</v>
      </c>
      <c r="E4903" s="6">
        <v>10.14</v>
      </c>
    </row>
    <row r="4904">
      <c r="A4904" s="3">
        <v>119914.0</v>
      </c>
      <c r="B4904" s="4" t="s">
        <v>54</v>
      </c>
      <c r="C4904" s="4" t="s">
        <v>550</v>
      </c>
      <c r="D4904" s="4" t="s">
        <v>553</v>
      </c>
      <c r="E4904" s="4">
        <v>6.08</v>
      </c>
    </row>
    <row r="4905">
      <c r="A4905" s="5">
        <v>88495.0</v>
      </c>
      <c r="B4905" s="6" t="s">
        <v>54</v>
      </c>
      <c r="C4905" s="6" t="s">
        <v>550</v>
      </c>
      <c r="D4905" s="6" t="s">
        <v>554</v>
      </c>
      <c r="E4905" s="6">
        <v>7.97</v>
      </c>
    </row>
    <row r="4906">
      <c r="A4906" s="3">
        <v>88487.0</v>
      </c>
      <c r="B4906" s="4" t="s">
        <v>54</v>
      </c>
      <c r="C4906" s="4" t="s">
        <v>550</v>
      </c>
      <c r="D4906" s="4" t="s">
        <v>554</v>
      </c>
      <c r="E4906" s="4">
        <v>7.82</v>
      </c>
    </row>
    <row r="4907">
      <c r="A4907" s="5">
        <v>109488.0</v>
      </c>
      <c r="B4907" s="6" t="s">
        <v>54</v>
      </c>
      <c r="C4907" s="6" t="s">
        <v>550</v>
      </c>
      <c r="D4907" s="6" t="s">
        <v>554</v>
      </c>
      <c r="E4907" s="6">
        <v>4.41</v>
      </c>
    </row>
    <row r="4908">
      <c r="A4908" s="3">
        <v>11401.0</v>
      </c>
      <c r="B4908" s="4" t="s">
        <v>54</v>
      </c>
      <c r="C4908" s="4" t="s">
        <v>550</v>
      </c>
      <c r="D4908" s="4" t="s">
        <v>555</v>
      </c>
      <c r="E4908" s="4">
        <v>8.36</v>
      </c>
    </row>
    <row r="4909">
      <c r="A4909" s="5">
        <v>45530.0</v>
      </c>
      <c r="B4909" s="6" t="s">
        <v>54</v>
      </c>
      <c r="C4909" s="6" t="s">
        <v>550</v>
      </c>
      <c r="D4909" s="6" t="s">
        <v>555</v>
      </c>
      <c r="E4909" s="6">
        <v>5.49</v>
      </c>
    </row>
    <row r="4910">
      <c r="A4910" s="3">
        <v>104426.0</v>
      </c>
      <c r="B4910" s="4" t="s">
        <v>54</v>
      </c>
      <c r="C4910" s="4" t="s">
        <v>550</v>
      </c>
      <c r="D4910" s="4" t="s">
        <v>555</v>
      </c>
      <c r="E4910" s="4">
        <v>6.23</v>
      </c>
    </row>
    <row r="4911">
      <c r="A4911" s="5">
        <v>119827.0</v>
      </c>
      <c r="B4911" s="6" t="s">
        <v>54</v>
      </c>
      <c r="C4911" s="6" t="s">
        <v>550</v>
      </c>
      <c r="D4911" s="6" t="s">
        <v>555</v>
      </c>
      <c r="E4911" s="6">
        <v>8.94</v>
      </c>
    </row>
    <row r="4912">
      <c r="A4912" s="3">
        <v>104384.0</v>
      </c>
      <c r="B4912" s="4" t="s">
        <v>54</v>
      </c>
      <c r="C4912" s="4" t="s">
        <v>550</v>
      </c>
      <c r="D4912" s="4" t="s">
        <v>555</v>
      </c>
      <c r="E4912" s="4">
        <v>8.08</v>
      </c>
    </row>
    <row r="4913">
      <c r="A4913" s="5">
        <v>121966.0</v>
      </c>
      <c r="B4913" s="6" t="s">
        <v>54</v>
      </c>
      <c r="C4913" s="6" t="s">
        <v>550</v>
      </c>
      <c r="D4913" s="6" t="s">
        <v>555</v>
      </c>
      <c r="E4913" s="6">
        <v>4.77</v>
      </c>
    </row>
    <row r="4914">
      <c r="A4914" s="3">
        <v>120183.0</v>
      </c>
      <c r="B4914" s="4" t="s">
        <v>54</v>
      </c>
      <c r="C4914" s="4" t="s">
        <v>550</v>
      </c>
      <c r="D4914" s="4" t="s">
        <v>556</v>
      </c>
      <c r="E4914" s="4">
        <v>8.03</v>
      </c>
    </row>
    <row r="4915">
      <c r="A4915" s="5">
        <v>82832.0</v>
      </c>
      <c r="B4915" s="6" t="s">
        <v>54</v>
      </c>
      <c r="C4915" s="6" t="s">
        <v>550</v>
      </c>
      <c r="D4915" s="6" t="s">
        <v>557</v>
      </c>
      <c r="E4915" s="6">
        <v>4.66</v>
      </c>
    </row>
    <row r="4916">
      <c r="A4916" s="3">
        <v>117607.0</v>
      </c>
      <c r="B4916" s="4" t="s">
        <v>54</v>
      </c>
      <c r="C4916" s="4" t="s">
        <v>550</v>
      </c>
      <c r="D4916" s="4" t="s">
        <v>557</v>
      </c>
      <c r="E4916" s="4">
        <v>4.92</v>
      </c>
    </row>
    <row r="4917">
      <c r="A4917" s="5">
        <v>116244.0</v>
      </c>
      <c r="B4917" s="6" t="s">
        <v>54</v>
      </c>
      <c r="C4917" s="6" t="s">
        <v>550</v>
      </c>
      <c r="D4917" s="6" t="s">
        <v>557</v>
      </c>
      <c r="E4917" s="6">
        <v>19.92</v>
      </c>
    </row>
    <row r="4918">
      <c r="A4918" s="3">
        <v>81045.0</v>
      </c>
      <c r="B4918" s="4" t="s">
        <v>54</v>
      </c>
      <c r="C4918" s="4" t="s">
        <v>550</v>
      </c>
      <c r="D4918" s="4" t="s">
        <v>557</v>
      </c>
      <c r="E4918" s="4">
        <v>7.16</v>
      </c>
    </row>
    <row r="4919">
      <c r="A4919" s="5">
        <v>106021.0</v>
      </c>
      <c r="B4919" s="6" t="s">
        <v>54</v>
      </c>
      <c r="C4919" s="6" t="s">
        <v>550</v>
      </c>
      <c r="D4919" s="6" t="s">
        <v>557</v>
      </c>
      <c r="E4919" s="6">
        <v>4.77</v>
      </c>
    </row>
    <row r="4920">
      <c r="A4920" s="3">
        <v>86622.0</v>
      </c>
      <c r="B4920" s="4" t="s">
        <v>54</v>
      </c>
      <c r="C4920" s="4" t="s">
        <v>550</v>
      </c>
      <c r="D4920" s="4" t="s">
        <v>557</v>
      </c>
      <c r="E4920" s="4">
        <v>4.66</v>
      </c>
    </row>
    <row r="4921">
      <c r="A4921" s="5">
        <v>82834.0</v>
      </c>
      <c r="B4921" s="6" t="s">
        <v>54</v>
      </c>
      <c r="C4921" s="6" t="s">
        <v>550</v>
      </c>
      <c r="D4921" s="6" t="s">
        <v>557</v>
      </c>
      <c r="E4921" s="6">
        <v>6.65</v>
      </c>
    </row>
    <row r="4922">
      <c r="A4922" s="3">
        <v>81008.0</v>
      </c>
      <c r="B4922" s="4" t="s">
        <v>54</v>
      </c>
      <c r="C4922" s="4" t="s">
        <v>550</v>
      </c>
      <c r="D4922" s="4" t="s">
        <v>557</v>
      </c>
      <c r="E4922" s="4">
        <v>9.48</v>
      </c>
    </row>
    <row r="4923">
      <c r="A4923" s="5">
        <v>83167.0</v>
      </c>
      <c r="B4923" s="6" t="s">
        <v>54</v>
      </c>
      <c r="C4923" s="6" t="s">
        <v>550</v>
      </c>
      <c r="D4923" s="6" t="s">
        <v>557</v>
      </c>
      <c r="E4923" s="6">
        <v>11.71</v>
      </c>
    </row>
    <row r="4924">
      <c r="A4924" s="3">
        <v>86584.0</v>
      </c>
      <c r="B4924" s="4" t="s">
        <v>54</v>
      </c>
      <c r="C4924" s="4" t="s">
        <v>550</v>
      </c>
      <c r="D4924" s="4" t="s">
        <v>558</v>
      </c>
      <c r="E4924" s="4">
        <v>4.59</v>
      </c>
    </row>
    <row r="4925">
      <c r="A4925" s="5">
        <v>79902.0</v>
      </c>
      <c r="B4925" s="6" t="s">
        <v>317</v>
      </c>
      <c r="C4925" s="6" t="s">
        <v>559</v>
      </c>
      <c r="D4925" s="6"/>
      <c r="E4925" s="6">
        <v>1.18</v>
      </c>
    </row>
    <row r="4926">
      <c r="A4926" s="3">
        <v>41328.0</v>
      </c>
      <c r="B4926" s="4" t="s">
        <v>317</v>
      </c>
      <c r="C4926" s="4" t="s">
        <v>559</v>
      </c>
      <c r="D4926" s="4"/>
      <c r="E4926" s="4">
        <v>2.2</v>
      </c>
    </row>
    <row r="4927">
      <c r="A4927" s="5">
        <v>79907.0</v>
      </c>
      <c r="B4927" s="6" t="s">
        <v>317</v>
      </c>
      <c r="C4927" s="6" t="s">
        <v>559</v>
      </c>
      <c r="D4927" s="6"/>
      <c r="E4927" s="6">
        <v>0.64</v>
      </c>
    </row>
    <row r="4928">
      <c r="A4928" s="3">
        <v>70588.0</v>
      </c>
      <c r="B4928" s="4" t="s">
        <v>317</v>
      </c>
      <c r="C4928" s="4" t="s">
        <v>559</v>
      </c>
      <c r="D4928" s="4"/>
      <c r="E4928" s="4">
        <v>0.64</v>
      </c>
    </row>
    <row r="4929">
      <c r="A4929" s="5">
        <v>70587.0</v>
      </c>
      <c r="B4929" s="6" t="s">
        <v>317</v>
      </c>
      <c r="C4929" s="6" t="s">
        <v>559</v>
      </c>
      <c r="D4929" s="6"/>
      <c r="E4929" s="6">
        <v>0.64</v>
      </c>
    </row>
    <row r="4930">
      <c r="A4930" s="3">
        <v>109356.0</v>
      </c>
      <c r="B4930" s="4" t="s">
        <v>317</v>
      </c>
      <c r="C4930" s="4" t="s">
        <v>559</v>
      </c>
      <c r="D4930" s="4"/>
      <c r="E4930" s="4">
        <v>2.99</v>
      </c>
    </row>
    <row r="4931">
      <c r="A4931" s="5">
        <v>47892.0</v>
      </c>
      <c r="B4931" s="6" t="s">
        <v>317</v>
      </c>
      <c r="C4931" s="6" t="s">
        <v>559</v>
      </c>
      <c r="D4931" s="6"/>
      <c r="E4931" s="6">
        <v>1.86</v>
      </c>
    </row>
    <row r="4932">
      <c r="A4932" s="3">
        <v>79901.0</v>
      </c>
      <c r="B4932" s="4" t="s">
        <v>317</v>
      </c>
      <c r="C4932" s="4" t="s">
        <v>559</v>
      </c>
      <c r="D4932" s="4"/>
      <c r="E4932" s="4">
        <v>1.18</v>
      </c>
    </row>
    <row r="4933">
      <c r="A4933" s="5">
        <v>70585.0</v>
      </c>
      <c r="B4933" s="6" t="s">
        <v>317</v>
      </c>
      <c r="C4933" s="6" t="s">
        <v>559</v>
      </c>
      <c r="D4933" s="6"/>
      <c r="E4933" s="6">
        <v>1.65</v>
      </c>
    </row>
    <row r="4934">
      <c r="A4934" s="3">
        <v>4375.0</v>
      </c>
      <c r="B4934" s="4" t="s">
        <v>317</v>
      </c>
      <c r="C4934" s="4" t="s">
        <v>559</v>
      </c>
      <c r="D4934" s="4" t="s">
        <v>560</v>
      </c>
      <c r="E4934" s="4">
        <v>1.92</v>
      </c>
    </row>
    <row r="4935">
      <c r="A4935" s="5">
        <v>4380.0</v>
      </c>
      <c r="B4935" s="6" t="s">
        <v>317</v>
      </c>
      <c r="C4935" s="6" t="s">
        <v>559</v>
      </c>
      <c r="D4935" s="6" t="s">
        <v>560</v>
      </c>
      <c r="E4935" s="6">
        <v>1.92</v>
      </c>
    </row>
    <row r="4936">
      <c r="A4936" s="3">
        <v>84967.0</v>
      </c>
      <c r="B4936" s="4" t="s">
        <v>317</v>
      </c>
      <c r="C4936" s="4" t="s">
        <v>559</v>
      </c>
      <c r="D4936" s="4" t="s">
        <v>560</v>
      </c>
      <c r="E4936" s="4">
        <v>1.2</v>
      </c>
    </row>
    <row r="4937">
      <c r="A4937" s="5">
        <v>4381.0</v>
      </c>
      <c r="B4937" s="6" t="s">
        <v>317</v>
      </c>
      <c r="C4937" s="6" t="s">
        <v>559</v>
      </c>
      <c r="D4937" s="6" t="s">
        <v>560</v>
      </c>
      <c r="E4937" s="6">
        <v>1.92</v>
      </c>
    </row>
    <row r="4938">
      <c r="A4938" s="3">
        <v>4379.0</v>
      </c>
      <c r="B4938" s="4" t="s">
        <v>317</v>
      </c>
      <c r="C4938" s="4" t="s">
        <v>559</v>
      </c>
      <c r="D4938" s="4" t="s">
        <v>560</v>
      </c>
      <c r="E4938" s="4">
        <v>1.92</v>
      </c>
    </row>
    <row r="4939">
      <c r="A4939" s="5">
        <v>4383.0</v>
      </c>
      <c r="B4939" s="6" t="s">
        <v>317</v>
      </c>
      <c r="C4939" s="6" t="s">
        <v>559</v>
      </c>
      <c r="D4939" s="6" t="s">
        <v>560</v>
      </c>
      <c r="E4939" s="6">
        <v>1.92</v>
      </c>
    </row>
    <row r="4940">
      <c r="A4940" s="3">
        <v>110770.0</v>
      </c>
      <c r="B4940" s="4" t="s">
        <v>317</v>
      </c>
      <c r="C4940" s="4" t="s">
        <v>559</v>
      </c>
      <c r="D4940" s="4" t="s">
        <v>561</v>
      </c>
      <c r="E4940" s="4">
        <v>0.79</v>
      </c>
    </row>
    <row r="4941">
      <c r="A4941" s="5">
        <v>110764.0</v>
      </c>
      <c r="B4941" s="6" t="s">
        <v>317</v>
      </c>
      <c r="C4941" s="6" t="s">
        <v>559</v>
      </c>
      <c r="D4941" s="6" t="s">
        <v>561</v>
      </c>
      <c r="E4941" s="6">
        <v>0.79</v>
      </c>
    </row>
    <row r="4942">
      <c r="A4942" s="3">
        <v>109355.0</v>
      </c>
      <c r="B4942" s="4" t="s">
        <v>317</v>
      </c>
      <c r="C4942" s="4" t="s">
        <v>559</v>
      </c>
      <c r="D4942" s="4" t="s">
        <v>561</v>
      </c>
      <c r="E4942" s="4">
        <v>1.07</v>
      </c>
    </row>
    <row r="4943">
      <c r="A4943" s="5">
        <v>110765.0</v>
      </c>
      <c r="B4943" s="6" t="s">
        <v>317</v>
      </c>
      <c r="C4943" s="6" t="s">
        <v>559</v>
      </c>
      <c r="D4943" s="6" t="s">
        <v>561</v>
      </c>
      <c r="E4943" s="6">
        <v>0.79</v>
      </c>
    </row>
    <row r="4944">
      <c r="A4944" s="3">
        <v>103510.0</v>
      </c>
      <c r="B4944" s="4" t="s">
        <v>317</v>
      </c>
      <c r="C4944" s="4" t="s">
        <v>559</v>
      </c>
      <c r="D4944" s="4" t="s">
        <v>561</v>
      </c>
      <c r="E4944" s="4">
        <v>7.22</v>
      </c>
    </row>
    <row r="4945">
      <c r="A4945" s="5">
        <v>114936.0</v>
      </c>
      <c r="B4945" s="6" t="s">
        <v>317</v>
      </c>
      <c r="C4945" s="6" t="s">
        <v>559</v>
      </c>
      <c r="D4945" s="6" t="s">
        <v>561</v>
      </c>
      <c r="E4945" s="6">
        <v>0.79</v>
      </c>
    </row>
    <row r="4946">
      <c r="A4946" s="3">
        <v>114935.0</v>
      </c>
      <c r="B4946" s="4" t="s">
        <v>317</v>
      </c>
      <c r="C4946" s="4" t="s">
        <v>559</v>
      </c>
      <c r="D4946" s="4" t="s">
        <v>561</v>
      </c>
      <c r="E4946" s="4">
        <v>0.79</v>
      </c>
    </row>
    <row r="4947">
      <c r="A4947" s="5">
        <v>110768.0</v>
      </c>
      <c r="B4947" s="6" t="s">
        <v>317</v>
      </c>
      <c r="C4947" s="6" t="s">
        <v>559</v>
      </c>
      <c r="D4947" s="6" t="s">
        <v>561</v>
      </c>
      <c r="E4947" s="6">
        <v>0.79</v>
      </c>
    </row>
    <row r="4948">
      <c r="A4948" s="3">
        <v>120256.0</v>
      </c>
      <c r="B4948" s="4" t="s">
        <v>317</v>
      </c>
      <c r="C4948" s="4" t="s">
        <v>559</v>
      </c>
      <c r="D4948" s="4" t="s">
        <v>562</v>
      </c>
      <c r="E4948" s="4">
        <v>1.13</v>
      </c>
    </row>
    <row r="4949">
      <c r="A4949" s="5">
        <v>101783.0</v>
      </c>
      <c r="B4949" s="6" t="s">
        <v>317</v>
      </c>
      <c r="C4949" s="6" t="s">
        <v>559</v>
      </c>
      <c r="D4949" s="6" t="s">
        <v>562</v>
      </c>
      <c r="E4949" s="6">
        <v>0.95</v>
      </c>
    </row>
    <row r="4950">
      <c r="A4950" s="3">
        <v>75766.0</v>
      </c>
      <c r="B4950" s="4" t="s">
        <v>317</v>
      </c>
      <c r="C4950" s="4" t="s">
        <v>559</v>
      </c>
      <c r="D4950" s="4" t="s">
        <v>562</v>
      </c>
      <c r="E4950" s="4">
        <v>0.83</v>
      </c>
    </row>
    <row r="4951">
      <c r="A4951" s="5">
        <v>69756.0</v>
      </c>
      <c r="B4951" s="6" t="s">
        <v>317</v>
      </c>
      <c r="C4951" s="6" t="s">
        <v>559</v>
      </c>
      <c r="D4951" s="6" t="s">
        <v>562</v>
      </c>
      <c r="E4951" s="6">
        <v>0.95</v>
      </c>
    </row>
    <row r="4952">
      <c r="A4952" s="3">
        <v>112471.0</v>
      </c>
      <c r="B4952" s="4" t="s">
        <v>317</v>
      </c>
      <c r="C4952" s="4" t="s">
        <v>559</v>
      </c>
      <c r="D4952" s="4" t="s">
        <v>562</v>
      </c>
      <c r="E4952" s="4">
        <v>0.79</v>
      </c>
    </row>
    <row r="4953">
      <c r="A4953" s="5">
        <v>99040.0</v>
      </c>
      <c r="B4953" s="6" t="s">
        <v>317</v>
      </c>
      <c r="C4953" s="6" t="s">
        <v>559</v>
      </c>
      <c r="D4953" s="6" t="s">
        <v>562</v>
      </c>
      <c r="E4953" s="6">
        <v>2.44</v>
      </c>
    </row>
    <row r="4954">
      <c r="A4954" s="3">
        <v>112321.0</v>
      </c>
      <c r="B4954" s="4" t="s">
        <v>317</v>
      </c>
      <c r="C4954" s="4" t="s">
        <v>559</v>
      </c>
      <c r="D4954" s="4" t="s">
        <v>562</v>
      </c>
      <c r="E4954" s="4">
        <v>0.79</v>
      </c>
    </row>
    <row r="4955">
      <c r="A4955" s="5">
        <v>139296.0</v>
      </c>
      <c r="B4955" s="6" t="s">
        <v>317</v>
      </c>
      <c r="C4955" s="6" t="s">
        <v>559</v>
      </c>
      <c r="D4955" s="6" t="s">
        <v>562</v>
      </c>
      <c r="E4955" s="6">
        <v>0.95</v>
      </c>
    </row>
    <row r="4956">
      <c r="A4956" s="3">
        <v>112318.0</v>
      </c>
      <c r="B4956" s="4" t="s">
        <v>317</v>
      </c>
      <c r="C4956" s="4" t="s">
        <v>559</v>
      </c>
      <c r="D4956" s="4" t="s">
        <v>562</v>
      </c>
      <c r="E4956" s="4">
        <v>0.79</v>
      </c>
    </row>
    <row r="4957">
      <c r="A4957" s="5">
        <v>86119.0</v>
      </c>
      <c r="B4957" s="6" t="s">
        <v>317</v>
      </c>
      <c r="C4957" s="6" t="s">
        <v>559</v>
      </c>
      <c r="D4957" s="6" t="s">
        <v>562</v>
      </c>
      <c r="E4957" s="6">
        <v>2.44</v>
      </c>
    </row>
    <row r="4958">
      <c r="A4958" s="3">
        <v>79895.0</v>
      </c>
      <c r="B4958" s="4" t="s">
        <v>317</v>
      </c>
      <c r="C4958" s="4" t="s">
        <v>559</v>
      </c>
      <c r="D4958" s="4" t="s">
        <v>562</v>
      </c>
      <c r="E4958" s="4">
        <v>6.46</v>
      </c>
    </row>
    <row r="4959">
      <c r="A4959" s="5">
        <v>133909.0</v>
      </c>
      <c r="B4959" s="6" t="s">
        <v>317</v>
      </c>
      <c r="C4959" s="6" t="s">
        <v>559</v>
      </c>
      <c r="D4959" s="6" t="s">
        <v>562</v>
      </c>
      <c r="E4959" s="6">
        <v>2.68</v>
      </c>
    </row>
    <row r="4960">
      <c r="A4960" s="3">
        <v>128338.0</v>
      </c>
      <c r="B4960" s="4" t="s">
        <v>317</v>
      </c>
      <c r="C4960" s="4" t="s">
        <v>559</v>
      </c>
      <c r="D4960" s="4" t="s">
        <v>562</v>
      </c>
      <c r="E4960" s="4">
        <v>3.73</v>
      </c>
    </row>
    <row r="4961">
      <c r="A4961" s="5">
        <v>42990.0</v>
      </c>
      <c r="B4961" s="6" t="s">
        <v>317</v>
      </c>
      <c r="C4961" s="6" t="s">
        <v>559</v>
      </c>
      <c r="D4961" s="6" t="s">
        <v>562</v>
      </c>
      <c r="E4961" s="6">
        <v>0.95</v>
      </c>
    </row>
    <row r="4962">
      <c r="A4962" s="3">
        <v>128339.0</v>
      </c>
      <c r="B4962" s="4" t="s">
        <v>317</v>
      </c>
      <c r="C4962" s="4" t="s">
        <v>559</v>
      </c>
      <c r="D4962" s="4" t="s">
        <v>562</v>
      </c>
      <c r="E4962" s="4">
        <v>3.73</v>
      </c>
    </row>
    <row r="4963">
      <c r="A4963" s="5">
        <v>42008.0</v>
      </c>
      <c r="B4963" s="6" t="s">
        <v>317</v>
      </c>
      <c r="C4963" s="6" t="s">
        <v>559</v>
      </c>
      <c r="D4963" s="6" t="s">
        <v>562</v>
      </c>
      <c r="E4963" s="6">
        <v>2.44</v>
      </c>
    </row>
    <row r="4964">
      <c r="A4964" s="3">
        <v>112320.0</v>
      </c>
      <c r="B4964" s="4" t="s">
        <v>317</v>
      </c>
      <c r="C4964" s="4" t="s">
        <v>559</v>
      </c>
      <c r="D4964" s="4" t="s">
        <v>562</v>
      </c>
      <c r="E4964" s="4">
        <v>0.79</v>
      </c>
    </row>
    <row r="4965">
      <c r="A4965" s="5">
        <v>111150.0</v>
      </c>
      <c r="B4965" s="6" t="s">
        <v>317</v>
      </c>
      <c r="C4965" s="6" t="s">
        <v>559</v>
      </c>
      <c r="D4965" s="6" t="s">
        <v>562</v>
      </c>
      <c r="E4965" s="6">
        <v>2.58</v>
      </c>
    </row>
    <row r="4966">
      <c r="A4966" s="3">
        <v>101782.0</v>
      </c>
      <c r="B4966" s="4" t="s">
        <v>317</v>
      </c>
      <c r="C4966" s="4" t="s">
        <v>559</v>
      </c>
      <c r="D4966" s="4" t="s">
        <v>562</v>
      </c>
      <c r="E4966" s="4">
        <v>1.13</v>
      </c>
    </row>
    <row r="4967">
      <c r="A4967" s="5">
        <v>128402.0</v>
      </c>
      <c r="B4967" s="6" t="s">
        <v>317</v>
      </c>
      <c r="C4967" s="6" t="s">
        <v>559</v>
      </c>
      <c r="D4967" s="6" t="s">
        <v>562</v>
      </c>
      <c r="E4967" s="6">
        <v>2.68</v>
      </c>
    </row>
    <row r="4968">
      <c r="A4968" s="3">
        <v>112322.0</v>
      </c>
      <c r="B4968" s="4" t="s">
        <v>317</v>
      </c>
      <c r="C4968" s="4" t="s">
        <v>559</v>
      </c>
      <c r="D4968" s="4" t="s">
        <v>562</v>
      </c>
      <c r="E4968" s="4">
        <v>0.79</v>
      </c>
    </row>
    <row r="4969">
      <c r="A4969" s="5">
        <v>41994.0</v>
      </c>
      <c r="B4969" s="6" t="s">
        <v>317</v>
      </c>
      <c r="C4969" s="6" t="s">
        <v>559</v>
      </c>
      <c r="D4969" s="6" t="s">
        <v>562</v>
      </c>
      <c r="E4969" s="6">
        <v>2.44</v>
      </c>
    </row>
    <row r="4970">
      <c r="A4970" s="3">
        <v>112319.0</v>
      </c>
      <c r="B4970" s="4" t="s">
        <v>317</v>
      </c>
      <c r="C4970" s="4" t="s">
        <v>559</v>
      </c>
      <c r="D4970" s="4" t="s">
        <v>562</v>
      </c>
      <c r="E4970" s="4">
        <v>0.79</v>
      </c>
    </row>
    <row r="4971">
      <c r="A4971" s="5">
        <v>42002.0</v>
      </c>
      <c r="B4971" s="6" t="s">
        <v>317</v>
      </c>
      <c r="C4971" s="6" t="s">
        <v>559</v>
      </c>
      <c r="D4971" s="6" t="s">
        <v>562</v>
      </c>
      <c r="E4971" s="6">
        <v>2.44</v>
      </c>
    </row>
    <row r="4972">
      <c r="A4972" s="3">
        <v>120263.0</v>
      </c>
      <c r="B4972" s="4" t="s">
        <v>317</v>
      </c>
      <c r="C4972" s="4" t="s">
        <v>559</v>
      </c>
      <c r="D4972" s="4" t="s">
        <v>562</v>
      </c>
      <c r="E4972" s="4">
        <v>0.9</v>
      </c>
    </row>
    <row r="4973">
      <c r="A4973" s="5">
        <v>112855.0</v>
      </c>
      <c r="B4973" s="6" t="s">
        <v>317</v>
      </c>
      <c r="C4973" s="6" t="s">
        <v>559</v>
      </c>
      <c r="D4973" s="6" t="s">
        <v>562</v>
      </c>
      <c r="E4973" s="6">
        <v>0.79</v>
      </c>
    </row>
    <row r="4974">
      <c r="A4974" s="3">
        <v>111151.0</v>
      </c>
      <c r="B4974" s="4" t="s">
        <v>317</v>
      </c>
      <c r="C4974" s="4" t="s">
        <v>559</v>
      </c>
      <c r="D4974" s="4" t="s">
        <v>562</v>
      </c>
      <c r="E4974" s="4">
        <v>2.58</v>
      </c>
    </row>
    <row r="4975">
      <c r="A4975" s="5">
        <v>111152.0</v>
      </c>
      <c r="B4975" s="6" t="s">
        <v>317</v>
      </c>
      <c r="C4975" s="6" t="s">
        <v>559</v>
      </c>
      <c r="D4975" s="6" t="s">
        <v>562</v>
      </c>
      <c r="E4975" s="6">
        <v>2.58</v>
      </c>
    </row>
    <row r="4976">
      <c r="A4976" s="3">
        <v>122224.0</v>
      </c>
      <c r="B4976" s="4" t="s">
        <v>317</v>
      </c>
      <c r="C4976" s="4" t="s">
        <v>559</v>
      </c>
      <c r="D4976" s="4" t="s">
        <v>562</v>
      </c>
      <c r="E4976" s="4">
        <v>0.97</v>
      </c>
    </row>
    <row r="4977">
      <c r="A4977" s="5">
        <v>124709.0</v>
      </c>
      <c r="B4977" s="6" t="s">
        <v>317</v>
      </c>
      <c r="C4977" s="6" t="s">
        <v>559</v>
      </c>
      <c r="D4977" s="6" t="s">
        <v>562</v>
      </c>
      <c r="E4977" s="6">
        <v>0.92</v>
      </c>
    </row>
    <row r="4978">
      <c r="A4978" s="3">
        <v>99039.0</v>
      </c>
      <c r="B4978" s="4" t="s">
        <v>317</v>
      </c>
      <c r="C4978" s="4" t="s">
        <v>559</v>
      </c>
      <c r="D4978" s="4" t="s">
        <v>562</v>
      </c>
      <c r="E4978" s="4">
        <v>2.33</v>
      </c>
    </row>
    <row r="4979">
      <c r="A4979" s="5">
        <v>82928.0</v>
      </c>
      <c r="B4979" s="6" t="s">
        <v>317</v>
      </c>
      <c r="C4979" s="6" t="s">
        <v>559</v>
      </c>
      <c r="D4979" s="6" t="s">
        <v>562</v>
      </c>
      <c r="E4979" s="6">
        <v>0.95</v>
      </c>
    </row>
    <row r="4980">
      <c r="A4980" s="3">
        <v>111149.0</v>
      </c>
      <c r="B4980" s="4" t="s">
        <v>317</v>
      </c>
      <c r="C4980" s="4" t="s">
        <v>559</v>
      </c>
      <c r="D4980" s="4" t="s">
        <v>562</v>
      </c>
      <c r="E4980" s="4">
        <v>3.03</v>
      </c>
    </row>
    <row r="4981">
      <c r="A4981" s="5">
        <v>82927.0</v>
      </c>
      <c r="B4981" s="6" t="s">
        <v>317</v>
      </c>
      <c r="C4981" s="6" t="s">
        <v>559</v>
      </c>
      <c r="D4981" s="6" t="s">
        <v>562</v>
      </c>
      <c r="E4981" s="6">
        <v>0.95</v>
      </c>
    </row>
    <row r="4982">
      <c r="A4982" s="3">
        <v>112317.0</v>
      </c>
      <c r="B4982" s="4" t="s">
        <v>317</v>
      </c>
      <c r="C4982" s="4" t="s">
        <v>559</v>
      </c>
      <c r="D4982" s="4" t="s">
        <v>562</v>
      </c>
      <c r="E4982" s="4">
        <v>0.79</v>
      </c>
    </row>
    <row r="4983">
      <c r="A4983" s="5">
        <v>140597.0</v>
      </c>
      <c r="B4983" s="6" t="s">
        <v>317</v>
      </c>
      <c r="C4983" s="6" t="s">
        <v>559</v>
      </c>
      <c r="D4983" s="6" t="s">
        <v>562</v>
      </c>
      <c r="E4983" s="6">
        <v>1.13</v>
      </c>
    </row>
    <row r="4984">
      <c r="A4984" s="3">
        <v>122229.0</v>
      </c>
      <c r="B4984" s="4" t="s">
        <v>317</v>
      </c>
      <c r="C4984" s="4" t="s">
        <v>559</v>
      </c>
      <c r="D4984" s="4" t="s">
        <v>562</v>
      </c>
      <c r="E4984" s="4">
        <v>0.97</v>
      </c>
    </row>
    <row r="4985">
      <c r="A4985" s="5">
        <v>112473.0</v>
      </c>
      <c r="B4985" s="6" t="s">
        <v>317</v>
      </c>
      <c r="C4985" s="6" t="s">
        <v>559</v>
      </c>
      <c r="D4985" s="6" t="s">
        <v>562</v>
      </c>
      <c r="E4985" s="6">
        <v>0.79</v>
      </c>
    </row>
    <row r="4986">
      <c r="A4986" s="3">
        <v>122226.0</v>
      </c>
      <c r="B4986" s="4" t="s">
        <v>317</v>
      </c>
      <c r="C4986" s="4" t="s">
        <v>559</v>
      </c>
      <c r="D4986" s="4" t="s">
        <v>562</v>
      </c>
      <c r="E4986" s="4">
        <v>0.97</v>
      </c>
    </row>
    <row r="4987">
      <c r="A4987" s="5">
        <v>4385.0</v>
      </c>
      <c r="B4987" s="6" t="s">
        <v>317</v>
      </c>
      <c r="C4987" s="6" t="s">
        <v>559</v>
      </c>
      <c r="D4987" s="6" t="s">
        <v>563</v>
      </c>
      <c r="E4987" s="6">
        <v>1.92</v>
      </c>
    </row>
    <row r="4988">
      <c r="A4988" s="3">
        <v>41029.0</v>
      </c>
      <c r="B4988" s="4" t="s">
        <v>317</v>
      </c>
      <c r="C4988" s="4" t="s">
        <v>559</v>
      </c>
      <c r="D4988" s="4" t="s">
        <v>563</v>
      </c>
      <c r="E4988" s="4">
        <v>1.92</v>
      </c>
    </row>
    <row r="4989">
      <c r="A4989" s="5">
        <v>4386.0</v>
      </c>
      <c r="B4989" s="6" t="s">
        <v>317</v>
      </c>
      <c r="C4989" s="6" t="s">
        <v>559</v>
      </c>
      <c r="D4989" s="6" t="s">
        <v>563</v>
      </c>
      <c r="E4989" s="6">
        <v>1.92</v>
      </c>
    </row>
    <row r="4990">
      <c r="A4990" s="3">
        <v>41030.0</v>
      </c>
      <c r="B4990" s="4" t="s">
        <v>317</v>
      </c>
      <c r="C4990" s="4" t="s">
        <v>559</v>
      </c>
      <c r="D4990" s="4" t="s">
        <v>563</v>
      </c>
      <c r="E4990" s="4">
        <v>1.92</v>
      </c>
    </row>
    <row r="4991">
      <c r="A4991" s="5">
        <v>84950.0</v>
      </c>
      <c r="B4991" s="6" t="s">
        <v>317</v>
      </c>
      <c r="C4991" s="6" t="s">
        <v>559</v>
      </c>
      <c r="D4991" s="6" t="s">
        <v>563</v>
      </c>
      <c r="E4991" s="6">
        <v>1.92</v>
      </c>
    </row>
    <row r="4992">
      <c r="A4992" s="3">
        <v>45255.0</v>
      </c>
      <c r="B4992" s="4" t="s">
        <v>317</v>
      </c>
      <c r="C4992" s="4" t="s">
        <v>559</v>
      </c>
      <c r="D4992" s="4" t="s">
        <v>564</v>
      </c>
      <c r="E4992" s="4">
        <v>1.02</v>
      </c>
    </row>
    <row r="4993">
      <c r="A4993" s="5">
        <v>108070.0</v>
      </c>
      <c r="B4993" s="6" t="s">
        <v>317</v>
      </c>
      <c r="C4993" s="6" t="s">
        <v>559</v>
      </c>
      <c r="D4993" s="6" t="s">
        <v>564</v>
      </c>
      <c r="E4993" s="6">
        <v>0.74</v>
      </c>
    </row>
    <row r="4994">
      <c r="A4994" s="3">
        <v>108069.0</v>
      </c>
      <c r="B4994" s="4" t="s">
        <v>317</v>
      </c>
      <c r="C4994" s="4" t="s">
        <v>559</v>
      </c>
      <c r="D4994" s="4" t="s">
        <v>564</v>
      </c>
      <c r="E4994" s="4">
        <v>0.74</v>
      </c>
    </row>
    <row r="4995">
      <c r="A4995" s="5">
        <v>9668.0</v>
      </c>
      <c r="B4995" s="6" t="s">
        <v>317</v>
      </c>
      <c r="C4995" s="6" t="s">
        <v>559</v>
      </c>
      <c r="D4995" s="6" t="s">
        <v>565</v>
      </c>
      <c r="E4995" s="6">
        <v>1.46</v>
      </c>
    </row>
    <row r="4996">
      <c r="A4996" s="3">
        <v>26322.0</v>
      </c>
      <c r="B4996" s="4" t="s">
        <v>317</v>
      </c>
      <c r="C4996" s="4" t="s">
        <v>559</v>
      </c>
      <c r="D4996" s="4" t="s">
        <v>565</v>
      </c>
      <c r="E4996" s="4">
        <v>2.76</v>
      </c>
    </row>
    <row r="4997">
      <c r="A4997" s="5">
        <v>70413.0</v>
      </c>
      <c r="B4997" s="6" t="s">
        <v>317</v>
      </c>
      <c r="C4997" s="6" t="s">
        <v>559</v>
      </c>
      <c r="D4997" s="6" t="s">
        <v>565</v>
      </c>
      <c r="E4997" s="6">
        <v>1.51</v>
      </c>
    </row>
    <row r="4998">
      <c r="A4998" s="3">
        <v>4389.0</v>
      </c>
      <c r="B4998" s="4" t="s">
        <v>317</v>
      </c>
      <c r="C4998" s="4" t="s">
        <v>559</v>
      </c>
      <c r="D4998" s="4" t="s">
        <v>565</v>
      </c>
      <c r="E4998" s="4">
        <v>2.1</v>
      </c>
    </row>
    <row r="4999">
      <c r="A4999" s="5">
        <v>128340.0</v>
      </c>
      <c r="B4999" s="6" t="s">
        <v>317</v>
      </c>
      <c r="C4999" s="6" t="s">
        <v>559</v>
      </c>
      <c r="D4999" s="6" t="s">
        <v>565</v>
      </c>
      <c r="E4999" s="6">
        <v>2.81</v>
      </c>
    </row>
    <row r="5000">
      <c r="A5000" s="3">
        <v>108071.0</v>
      </c>
      <c r="B5000" s="4" t="s">
        <v>317</v>
      </c>
      <c r="C5000" s="4" t="s">
        <v>559</v>
      </c>
      <c r="D5000" s="4" t="s">
        <v>565</v>
      </c>
      <c r="E5000" s="4">
        <v>1.0</v>
      </c>
    </row>
    <row r="5001">
      <c r="A5001" s="5">
        <v>108068.0</v>
      </c>
      <c r="B5001" s="6" t="s">
        <v>317</v>
      </c>
      <c r="C5001" s="6" t="s">
        <v>559</v>
      </c>
      <c r="D5001" s="6" t="s">
        <v>565</v>
      </c>
      <c r="E5001" s="6">
        <v>0.8</v>
      </c>
    </row>
    <row r="5002">
      <c r="A5002" s="3">
        <v>9662.0</v>
      </c>
      <c r="B5002" s="4" t="s">
        <v>317</v>
      </c>
      <c r="C5002" s="4" t="s">
        <v>559</v>
      </c>
      <c r="D5002" s="4" t="s">
        <v>565</v>
      </c>
      <c r="E5002" s="4">
        <v>1.46</v>
      </c>
    </row>
    <row r="5003">
      <c r="A5003" s="5">
        <v>117611.0</v>
      </c>
      <c r="B5003" s="6" t="s">
        <v>317</v>
      </c>
      <c r="C5003" s="6" t="s">
        <v>559</v>
      </c>
      <c r="D5003" s="6" t="s">
        <v>565</v>
      </c>
      <c r="E5003" s="6">
        <v>1.03</v>
      </c>
    </row>
    <row r="5004">
      <c r="A5004" s="3">
        <v>111148.0</v>
      </c>
      <c r="B5004" s="4" t="s">
        <v>317</v>
      </c>
      <c r="C5004" s="4" t="s">
        <v>559</v>
      </c>
      <c r="D5004" s="4" t="s">
        <v>565</v>
      </c>
      <c r="E5004" s="4">
        <v>1.62</v>
      </c>
    </row>
    <row r="5005">
      <c r="A5005" s="5">
        <v>9680.0</v>
      </c>
      <c r="B5005" s="6" t="s">
        <v>317</v>
      </c>
      <c r="C5005" s="6" t="s">
        <v>559</v>
      </c>
      <c r="D5005" s="6" t="s">
        <v>565</v>
      </c>
      <c r="E5005" s="6">
        <v>1.46</v>
      </c>
    </row>
    <row r="5006">
      <c r="A5006" s="3">
        <v>117605.0</v>
      </c>
      <c r="B5006" s="4" t="s">
        <v>317</v>
      </c>
      <c r="C5006" s="4" t="s">
        <v>559</v>
      </c>
      <c r="D5006" s="4" t="s">
        <v>565</v>
      </c>
      <c r="E5006" s="4">
        <v>1.03</v>
      </c>
    </row>
    <row r="5007">
      <c r="A5007" s="5">
        <v>108077.0</v>
      </c>
      <c r="B5007" s="6" t="s">
        <v>317</v>
      </c>
      <c r="C5007" s="6" t="s">
        <v>559</v>
      </c>
      <c r="D5007" s="6" t="s">
        <v>565</v>
      </c>
      <c r="E5007" s="6">
        <v>0.74</v>
      </c>
    </row>
    <row r="5008">
      <c r="A5008" s="3">
        <v>9681.0</v>
      </c>
      <c r="B5008" s="4" t="s">
        <v>317</v>
      </c>
      <c r="C5008" s="4" t="s">
        <v>559</v>
      </c>
      <c r="D5008" s="4" t="s">
        <v>565</v>
      </c>
      <c r="E5008" s="4">
        <v>1.46</v>
      </c>
    </row>
    <row r="5009">
      <c r="A5009" s="5">
        <v>4388.0</v>
      </c>
      <c r="B5009" s="6" t="s">
        <v>317</v>
      </c>
      <c r="C5009" s="6" t="s">
        <v>559</v>
      </c>
      <c r="D5009" s="6" t="s">
        <v>565</v>
      </c>
      <c r="E5009" s="6">
        <v>2.1</v>
      </c>
    </row>
    <row r="5010">
      <c r="A5010" s="3">
        <v>99036.0</v>
      </c>
      <c r="B5010" s="4" t="s">
        <v>317</v>
      </c>
      <c r="C5010" s="4" t="s">
        <v>559</v>
      </c>
      <c r="D5010" s="4" t="s">
        <v>565</v>
      </c>
      <c r="E5010" s="4">
        <v>1.8</v>
      </c>
    </row>
    <row r="5011">
      <c r="A5011" s="5">
        <v>109344.0</v>
      </c>
      <c r="B5011" s="6" t="s">
        <v>317</v>
      </c>
      <c r="C5011" s="6" t="s">
        <v>559</v>
      </c>
      <c r="D5011" s="6" t="s">
        <v>565</v>
      </c>
      <c r="E5011" s="6">
        <v>2.23</v>
      </c>
    </row>
    <row r="5012">
      <c r="A5012" s="3">
        <v>9663.0</v>
      </c>
      <c r="B5012" s="4" t="s">
        <v>317</v>
      </c>
      <c r="C5012" s="4" t="s">
        <v>559</v>
      </c>
      <c r="D5012" s="4" t="s">
        <v>565</v>
      </c>
      <c r="E5012" s="4">
        <v>1.51</v>
      </c>
    </row>
    <row r="5013">
      <c r="A5013" s="5">
        <v>119106.0</v>
      </c>
      <c r="B5013" s="6" t="s">
        <v>317</v>
      </c>
      <c r="C5013" s="6" t="s">
        <v>559</v>
      </c>
      <c r="D5013" s="6" t="s">
        <v>565</v>
      </c>
      <c r="E5013" s="6">
        <v>2.25</v>
      </c>
    </row>
    <row r="5014">
      <c r="A5014" s="3">
        <v>9664.0</v>
      </c>
      <c r="B5014" s="4" t="s">
        <v>317</v>
      </c>
      <c r="C5014" s="4" t="s">
        <v>559</v>
      </c>
      <c r="D5014" s="4" t="s">
        <v>565</v>
      </c>
      <c r="E5014" s="4">
        <v>1.46</v>
      </c>
    </row>
    <row r="5015">
      <c r="A5015" s="5">
        <v>108064.0</v>
      </c>
      <c r="B5015" s="6" t="s">
        <v>317</v>
      </c>
      <c r="C5015" s="6" t="s">
        <v>559</v>
      </c>
      <c r="D5015" s="6" t="s">
        <v>565</v>
      </c>
      <c r="E5015" s="6">
        <v>1.46</v>
      </c>
    </row>
    <row r="5016">
      <c r="A5016" s="3">
        <v>70414.0</v>
      </c>
      <c r="B5016" s="4" t="s">
        <v>317</v>
      </c>
      <c r="C5016" s="4" t="s">
        <v>559</v>
      </c>
      <c r="D5016" s="4" t="s">
        <v>565</v>
      </c>
      <c r="E5016" s="4">
        <v>1.51</v>
      </c>
    </row>
    <row r="5017">
      <c r="A5017" s="5">
        <v>9673.0</v>
      </c>
      <c r="B5017" s="6" t="s">
        <v>317</v>
      </c>
      <c r="C5017" s="6" t="s">
        <v>559</v>
      </c>
      <c r="D5017" s="6" t="s">
        <v>565</v>
      </c>
      <c r="E5017" s="6">
        <v>1.51</v>
      </c>
    </row>
    <row r="5018">
      <c r="A5018" s="3">
        <v>117604.0</v>
      </c>
      <c r="B5018" s="4" t="s">
        <v>317</v>
      </c>
      <c r="C5018" s="4" t="s">
        <v>559</v>
      </c>
      <c r="D5018" s="4" t="s">
        <v>565</v>
      </c>
      <c r="E5018" s="4">
        <v>1.03</v>
      </c>
    </row>
    <row r="5019">
      <c r="A5019" s="5">
        <v>45165.0</v>
      </c>
      <c r="B5019" s="6" t="s">
        <v>317</v>
      </c>
      <c r="C5019" s="6" t="s">
        <v>559</v>
      </c>
      <c r="D5019" s="6" t="s">
        <v>565</v>
      </c>
      <c r="E5019" s="6">
        <v>1.0</v>
      </c>
    </row>
    <row r="5020">
      <c r="A5020" s="3">
        <v>128341.0</v>
      </c>
      <c r="B5020" s="4" t="s">
        <v>317</v>
      </c>
      <c r="C5020" s="4" t="s">
        <v>559</v>
      </c>
      <c r="D5020" s="4" t="s">
        <v>565</v>
      </c>
      <c r="E5020" s="4">
        <v>2.81</v>
      </c>
    </row>
    <row r="5021">
      <c r="A5021" s="5">
        <v>101917.0</v>
      </c>
      <c r="B5021" s="6" t="s">
        <v>317</v>
      </c>
      <c r="C5021" s="6" t="s">
        <v>559</v>
      </c>
      <c r="D5021" s="6" t="s">
        <v>565</v>
      </c>
      <c r="E5021" s="6">
        <v>1.62</v>
      </c>
    </row>
    <row r="5022">
      <c r="A5022" s="3">
        <v>79419.0</v>
      </c>
      <c r="B5022" s="4" t="s">
        <v>317</v>
      </c>
      <c r="C5022" s="4" t="s">
        <v>559</v>
      </c>
      <c r="D5022" s="4" t="s">
        <v>565</v>
      </c>
      <c r="E5022" s="4">
        <v>1.55</v>
      </c>
    </row>
    <row r="5023">
      <c r="A5023" s="5">
        <v>9675.0</v>
      </c>
      <c r="B5023" s="6" t="s">
        <v>317</v>
      </c>
      <c r="C5023" s="6" t="s">
        <v>559</v>
      </c>
      <c r="D5023" s="6" t="s">
        <v>565</v>
      </c>
      <c r="E5023" s="6">
        <v>1.51</v>
      </c>
    </row>
    <row r="5024">
      <c r="A5024" s="3">
        <v>9671.0</v>
      </c>
      <c r="B5024" s="4" t="s">
        <v>317</v>
      </c>
      <c r="C5024" s="4" t="s">
        <v>559</v>
      </c>
      <c r="D5024" s="4" t="s">
        <v>565</v>
      </c>
      <c r="E5024" s="4">
        <v>1.62</v>
      </c>
    </row>
    <row r="5025">
      <c r="A5025" s="5">
        <v>20247.0</v>
      </c>
      <c r="B5025" s="6" t="s">
        <v>140</v>
      </c>
      <c r="C5025" s="6" t="s">
        <v>566</v>
      </c>
      <c r="D5025" s="6" t="s">
        <v>567</v>
      </c>
      <c r="E5025" s="6">
        <v>10.76</v>
      </c>
    </row>
    <row r="5026">
      <c r="A5026" s="3">
        <v>109240.0</v>
      </c>
      <c r="B5026" s="4" t="s">
        <v>140</v>
      </c>
      <c r="C5026" s="4" t="s">
        <v>566</v>
      </c>
      <c r="D5026" s="4" t="s">
        <v>567</v>
      </c>
      <c r="E5026" s="4">
        <v>3.03</v>
      </c>
    </row>
    <row r="5027">
      <c r="A5027" s="5">
        <v>104079.0</v>
      </c>
      <c r="B5027" s="6" t="s">
        <v>140</v>
      </c>
      <c r="C5027" s="6" t="s">
        <v>566</v>
      </c>
      <c r="D5027" s="6" t="s">
        <v>567</v>
      </c>
      <c r="E5027" s="6">
        <v>1.83</v>
      </c>
    </row>
    <row r="5028">
      <c r="A5028" s="3">
        <v>126567.0</v>
      </c>
      <c r="B5028" s="4" t="s">
        <v>140</v>
      </c>
      <c r="C5028" s="4" t="s">
        <v>566</v>
      </c>
      <c r="D5028" s="4" t="s">
        <v>567</v>
      </c>
      <c r="E5028" s="4">
        <v>2.23</v>
      </c>
    </row>
    <row r="5029">
      <c r="A5029" s="5">
        <v>45567.0</v>
      </c>
      <c r="B5029" s="6" t="s">
        <v>140</v>
      </c>
      <c r="C5029" s="6" t="s">
        <v>566</v>
      </c>
      <c r="D5029" s="6" t="s">
        <v>567</v>
      </c>
      <c r="E5029" s="6">
        <v>18.51</v>
      </c>
    </row>
    <row r="5030">
      <c r="A5030" s="3">
        <v>109241.0</v>
      </c>
      <c r="B5030" s="4" t="s">
        <v>140</v>
      </c>
      <c r="C5030" s="4" t="s">
        <v>566</v>
      </c>
      <c r="D5030" s="4" t="s">
        <v>567</v>
      </c>
      <c r="E5030" s="4">
        <v>3.03</v>
      </c>
    </row>
    <row r="5031">
      <c r="A5031" s="5">
        <v>126564.0</v>
      </c>
      <c r="B5031" s="6" t="s">
        <v>140</v>
      </c>
      <c r="C5031" s="6" t="s">
        <v>566</v>
      </c>
      <c r="D5031" s="6" t="s">
        <v>567</v>
      </c>
      <c r="E5031" s="6">
        <v>2.23</v>
      </c>
    </row>
    <row r="5032">
      <c r="A5032" s="3">
        <v>20246.0</v>
      </c>
      <c r="B5032" s="4" t="s">
        <v>140</v>
      </c>
      <c r="C5032" s="4" t="s">
        <v>566</v>
      </c>
      <c r="D5032" s="4" t="s">
        <v>567</v>
      </c>
      <c r="E5032" s="4">
        <v>5.92</v>
      </c>
    </row>
    <row r="5033">
      <c r="A5033" s="5">
        <v>99321.0</v>
      </c>
      <c r="B5033" s="6" t="s">
        <v>140</v>
      </c>
      <c r="C5033" s="6" t="s">
        <v>566</v>
      </c>
      <c r="D5033" s="6" t="s">
        <v>567</v>
      </c>
      <c r="E5033" s="6">
        <v>1.83</v>
      </c>
    </row>
    <row r="5034">
      <c r="A5034" s="3">
        <v>99322.0</v>
      </c>
      <c r="B5034" s="4" t="s">
        <v>140</v>
      </c>
      <c r="C5034" s="4" t="s">
        <v>566</v>
      </c>
      <c r="D5034" s="4" t="s">
        <v>567</v>
      </c>
      <c r="E5034" s="4">
        <v>1.83</v>
      </c>
    </row>
    <row r="5035">
      <c r="A5035" s="5">
        <v>126561.0</v>
      </c>
      <c r="B5035" s="6" t="s">
        <v>140</v>
      </c>
      <c r="C5035" s="6" t="s">
        <v>566</v>
      </c>
      <c r="D5035" s="6" t="s">
        <v>567</v>
      </c>
      <c r="E5035" s="6">
        <v>2.23</v>
      </c>
    </row>
    <row r="5036">
      <c r="A5036" s="3">
        <v>113871.0</v>
      </c>
      <c r="B5036" s="4" t="s">
        <v>140</v>
      </c>
      <c r="C5036" s="4" t="s">
        <v>566</v>
      </c>
      <c r="D5036" s="4" t="s">
        <v>568</v>
      </c>
      <c r="E5036" s="4">
        <v>4.0</v>
      </c>
    </row>
    <row r="5037">
      <c r="A5037" s="5">
        <v>68332.0</v>
      </c>
      <c r="B5037" s="6" t="s">
        <v>140</v>
      </c>
      <c r="C5037" s="6" t="s">
        <v>566</v>
      </c>
      <c r="D5037" s="6" t="s">
        <v>568</v>
      </c>
      <c r="E5037" s="6">
        <v>1.62</v>
      </c>
    </row>
    <row r="5038">
      <c r="A5038" s="3">
        <v>102081.0</v>
      </c>
      <c r="B5038" s="4" t="s">
        <v>140</v>
      </c>
      <c r="C5038" s="4" t="s">
        <v>566</v>
      </c>
      <c r="D5038" s="4" t="s">
        <v>568</v>
      </c>
      <c r="E5038" s="4">
        <v>7.47</v>
      </c>
    </row>
    <row r="5039">
      <c r="A5039" s="5">
        <v>84213.0</v>
      </c>
      <c r="B5039" s="6" t="s">
        <v>140</v>
      </c>
      <c r="C5039" s="6" t="s">
        <v>566</v>
      </c>
      <c r="D5039" s="6" t="s">
        <v>568</v>
      </c>
      <c r="E5039" s="6">
        <v>3.76</v>
      </c>
    </row>
    <row r="5040">
      <c r="A5040" s="3">
        <v>68302.0</v>
      </c>
      <c r="B5040" s="4" t="s">
        <v>140</v>
      </c>
      <c r="C5040" s="4" t="s">
        <v>566</v>
      </c>
      <c r="D5040" s="4" t="s">
        <v>568</v>
      </c>
      <c r="E5040" s="4">
        <v>2.2</v>
      </c>
    </row>
    <row r="5041">
      <c r="A5041" s="5">
        <v>88238.0</v>
      </c>
      <c r="B5041" s="6" t="s">
        <v>140</v>
      </c>
      <c r="C5041" s="6" t="s">
        <v>566</v>
      </c>
      <c r="D5041" s="6" t="s">
        <v>568</v>
      </c>
      <c r="E5041" s="6">
        <v>1.95</v>
      </c>
    </row>
    <row r="5042">
      <c r="A5042" s="3">
        <v>84202.0</v>
      </c>
      <c r="B5042" s="4" t="s">
        <v>140</v>
      </c>
      <c r="C5042" s="4" t="s">
        <v>566</v>
      </c>
      <c r="D5042" s="4" t="s">
        <v>568</v>
      </c>
      <c r="E5042" s="4">
        <v>2.15</v>
      </c>
    </row>
    <row r="5043">
      <c r="A5043" s="5">
        <v>84226.0</v>
      </c>
      <c r="B5043" s="6" t="s">
        <v>140</v>
      </c>
      <c r="C5043" s="6" t="s">
        <v>566</v>
      </c>
      <c r="D5043" s="6" t="s">
        <v>569</v>
      </c>
      <c r="E5043" s="6">
        <v>3.21</v>
      </c>
    </row>
    <row r="5044">
      <c r="A5044" s="3">
        <v>104071.0</v>
      </c>
      <c r="B5044" s="4" t="s">
        <v>140</v>
      </c>
      <c r="C5044" s="4" t="s">
        <v>566</v>
      </c>
      <c r="D5044" s="4" t="s">
        <v>569</v>
      </c>
      <c r="E5044" s="4">
        <v>1.87</v>
      </c>
    </row>
    <row r="5045">
      <c r="A5045" s="5">
        <v>104075.0</v>
      </c>
      <c r="B5045" s="6" t="s">
        <v>140</v>
      </c>
      <c r="C5045" s="6" t="s">
        <v>566</v>
      </c>
      <c r="D5045" s="6" t="s">
        <v>569</v>
      </c>
      <c r="E5045" s="6">
        <v>3.22</v>
      </c>
    </row>
    <row r="5046">
      <c r="A5046" s="3">
        <v>91042.0</v>
      </c>
      <c r="B5046" s="4" t="s">
        <v>140</v>
      </c>
      <c r="C5046" s="4" t="s">
        <v>566</v>
      </c>
      <c r="D5046" s="4" t="s">
        <v>569</v>
      </c>
      <c r="E5046" s="4">
        <v>2.31</v>
      </c>
    </row>
    <row r="5047">
      <c r="A5047" s="5">
        <v>108047.0</v>
      </c>
      <c r="B5047" s="6" t="s">
        <v>140</v>
      </c>
      <c r="C5047" s="6" t="s">
        <v>566</v>
      </c>
      <c r="D5047" s="6" t="s">
        <v>569</v>
      </c>
      <c r="E5047" s="6">
        <v>31.83</v>
      </c>
    </row>
    <row r="5048">
      <c r="A5048" s="3">
        <v>90993.0</v>
      </c>
      <c r="B5048" s="4" t="s">
        <v>140</v>
      </c>
      <c r="C5048" s="4" t="s">
        <v>566</v>
      </c>
      <c r="D5048" s="4" t="s">
        <v>569</v>
      </c>
      <c r="E5048" s="4">
        <v>9.61</v>
      </c>
    </row>
    <row r="5049">
      <c r="A5049" s="5">
        <v>19277.0</v>
      </c>
      <c r="B5049" s="6" t="s">
        <v>140</v>
      </c>
      <c r="C5049" s="6" t="s">
        <v>566</v>
      </c>
      <c r="D5049" s="6" t="s">
        <v>569</v>
      </c>
      <c r="E5049" s="6">
        <v>3.25</v>
      </c>
    </row>
    <row r="5050">
      <c r="A5050" s="3">
        <v>84223.0</v>
      </c>
      <c r="B5050" s="4" t="s">
        <v>140</v>
      </c>
      <c r="C5050" s="4" t="s">
        <v>566</v>
      </c>
      <c r="D5050" s="4" t="s">
        <v>569</v>
      </c>
      <c r="E5050" s="4">
        <v>3.47</v>
      </c>
    </row>
    <row r="5051">
      <c r="A5051" s="5">
        <v>84225.0</v>
      </c>
      <c r="B5051" s="6" t="s">
        <v>140</v>
      </c>
      <c r="C5051" s="6" t="s">
        <v>566</v>
      </c>
      <c r="D5051" s="6" t="s">
        <v>569</v>
      </c>
      <c r="E5051" s="6">
        <v>2.95</v>
      </c>
    </row>
    <row r="5052">
      <c r="A5052" s="3">
        <v>113865.0</v>
      </c>
      <c r="B5052" s="4" t="s">
        <v>140</v>
      </c>
      <c r="C5052" s="4" t="s">
        <v>566</v>
      </c>
      <c r="D5052" s="4" t="s">
        <v>569</v>
      </c>
      <c r="E5052" s="4">
        <v>2.88</v>
      </c>
    </row>
    <row r="5053">
      <c r="A5053" s="5">
        <v>94645.0</v>
      </c>
      <c r="B5053" s="6" t="s">
        <v>140</v>
      </c>
      <c r="C5053" s="6" t="s">
        <v>566</v>
      </c>
      <c r="D5053" s="6" t="s">
        <v>569</v>
      </c>
      <c r="E5053" s="6">
        <v>3.66</v>
      </c>
    </row>
    <row r="5054">
      <c r="A5054" s="3">
        <v>104073.0</v>
      </c>
      <c r="B5054" s="4" t="s">
        <v>140</v>
      </c>
      <c r="C5054" s="4" t="s">
        <v>566</v>
      </c>
      <c r="D5054" s="4" t="s">
        <v>569</v>
      </c>
      <c r="E5054" s="4">
        <v>2.99</v>
      </c>
    </row>
    <row r="5055">
      <c r="A5055" s="5">
        <v>113880.0</v>
      </c>
      <c r="B5055" s="6" t="s">
        <v>140</v>
      </c>
      <c r="C5055" s="6" t="s">
        <v>566</v>
      </c>
      <c r="D5055" s="6" t="s">
        <v>569</v>
      </c>
      <c r="E5055" s="6">
        <v>4.55</v>
      </c>
    </row>
    <row r="5056">
      <c r="A5056" s="3">
        <v>91045.0</v>
      </c>
      <c r="B5056" s="4" t="s">
        <v>140</v>
      </c>
      <c r="C5056" s="4" t="s">
        <v>566</v>
      </c>
      <c r="D5056" s="4" t="s">
        <v>569</v>
      </c>
      <c r="E5056" s="4">
        <v>2.63</v>
      </c>
    </row>
    <row r="5057">
      <c r="A5057" s="5">
        <v>84231.0</v>
      </c>
      <c r="B5057" s="6" t="s">
        <v>140</v>
      </c>
      <c r="C5057" s="6" t="s">
        <v>566</v>
      </c>
      <c r="D5057" s="6" t="s">
        <v>569</v>
      </c>
      <c r="E5057" s="6">
        <v>3.17</v>
      </c>
    </row>
    <row r="5058">
      <c r="A5058" s="3">
        <v>68321.0</v>
      </c>
      <c r="B5058" s="4" t="s">
        <v>140</v>
      </c>
      <c r="C5058" s="4" t="s">
        <v>566</v>
      </c>
      <c r="D5058" s="4" t="s">
        <v>569</v>
      </c>
      <c r="E5058" s="4">
        <v>1.8</v>
      </c>
    </row>
    <row r="5059">
      <c r="A5059" s="5">
        <v>84211.0</v>
      </c>
      <c r="B5059" s="6" t="s">
        <v>140</v>
      </c>
      <c r="C5059" s="6" t="s">
        <v>566</v>
      </c>
      <c r="D5059" s="6" t="s">
        <v>570</v>
      </c>
      <c r="E5059" s="6">
        <v>3.25</v>
      </c>
    </row>
    <row r="5060">
      <c r="A5060" s="3">
        <v>158663.0</v>
      </c>
      <c r="B5060" s="4" t="s">
        <v>140</v>
      </c>
      <c r="C5060" s="4" t="s">
        <v>566</v>
      </c>
      <c r="D5060" s="4" t="s">
        <v>570</v>
      </c>
      <c r="E5060" s="4">
        <v>1.09</v>
      </c>
    </row>
    <row r="5061">
      <c r="A5061" s="5">
        <v>113874.0</v>
      </c>
      <c r="B5061" s="6" t="s">
        <v>140</v>
      </c>
      <c r="C5061" s="6" t="s">
        <v>566</v>
      </c>
      <c r="D5061" s="6" t="s">
        <v>570</v>
      </c>
      <c r="E5061" s="6">
        <v>5.28</v>
      </c>
    </row>
    <row r="5062">
      <c r="A5062" s="3">
        <v>84234.0</v>
      </c>
      <c r="B5062" s="4" t="s">
        <v>140</v>
      </c>
      <c r="C5062" s="4" t="s">
        <v>566</v>
      </c>
      <c r="D5062" s="4" t="s">
        <v>570</v>
      </c>
      <c r="E5062" s="4">
        <v>2.67</v>
      </c>
    </row>
    <row r="5063">
      <c r="A5063" s="5">
        <v>76642.0</v>
      </c>
      <c r="B5063" s="6" t="s">
        <v>140</v>
      </c>
      <c r="C5063" s="6" t="s">
        <v>566</v>
      </c>
      <c r="D5063" s="6" t="s">
        <v>570</v>
      </c>
      <c r="E5063" s="6">
        <v>2.1</v>
      </c>
    </row>
    <row r="5064">
      <c r="A5064" s="3">
        <v>126573.0</v>
      </c>
      <c r="B5064" s="4" t="s">
        <v>140</v>
      </c>
      <c r="C5064" s="4" t="s">
        <v>566</v>
      </c>
      <c r="D5064" s="4" t="s">
        <v>570</v>
      </c>
      <c r="E5064" s="4">
        <v>1.76</v>
      </c>
    </row>
    <row r="5065">
      <c r="A5065" s="5">
        <v>113877.0</v>
      </c>
      <c r="B5065" s="6" t="s">
        <v>140</v>
      </c>
      <c r="C5065" s="6" t="s">
        <v>566</v>
      </c>
      <c r="D5065" s="6" t="s">
        <v>570</v>
      </c>
      <c r="E5065" s="6">
        <v>5.83</v>
      </c>
    </row>
    <row r="5066">
      <c r="A5066" s="3">
        <v>84212.0</v>
      </c>
      <c r="B5066" s="4" t="s">
        <v>140</v>
      </c>
      <c r="C5066" s="4" t="s">
        <v>566</v>
      </c>
      <c r="D5066" s="4" t="s">
        <v>570</v>
      </c>
      <c r="E5066" s="4">
        <v>3.28</v>
      </c>
    </row>
    <row r="5067">
      <c r="A5067" s="5">
        <v>84203.0</v>
      </c>
      <c r="B5067" s="6" t="s">
        <v>140</v>
      </c>
      <c r="C5067" s="6" t="s">
        <v>566</v>
      </c>
      <c r="D5067" s="6" t="s">
        <v>570</v>
      </c>
      <c r="E5067" s="6">
        <v>2.88</v>
      </c>
    </row>
    <row r="5068">
      <c r="A5068" s="3">
        <v>91038.0</v>
      </c>
      <c r="B5068" s="4" t="s">
        <v>140</v>
      </c>
      <c r="C5068" s="4" t="s">
        <v>566</v>
      </c>
      <c r="D5068" s="4" t="s">
        <v>571</v>
      </c>
      <c r="E5068" s="4">
        <v>2.46</v>
      </c>
    </row>
    <row r="5069">
      <c r="A5069" s="5">
        <v>19335.0</v>
      </c>
      <c r="B5069" s="6" t="s">
        <v>140</v>
      </c>
      <c r="C5069" s="6" t="s">
        <v>566</v>
      </c>
      <c r="D5069" s="6" t="s">
        <v>571</v>
      </c>
      <c r="E5069" s="6">
        <v>1.61</v>
      </c>
    </row>
    <row r="5070">
      <c r="A5070" s="3">
        <v>103073.0</v>
      </c>
      <c r="B5070" s="4" t="s">
        <v>140</v>
      </c>
      <c r="C5070" s="4" t="s">
        <v>566</v>
      </c>
      <c r="D5070" s="4" t="s">
        <v>571</v>
      </c>
      <c r="E5070" s="4">
        <v>1.83</v>
      </c>
    </row>
    <row r="5071">
      <c r="A5071" s="5">
        <v>122261.0</v>
      </c>
      <c r="B5071" s="6" t="s">
        <v>140</v>
      </c>
      <c r="C5071" s="6" t="s">
        <v>566</v>
      </c>
      <c r="D5071" s="6" t="s">
        <v>572</v>
      </c>
      <c r="E5071" s="6">
        <v>0.94</v>
      </c>
    </row>
    <row r="5072">
      <c r="A5072" s="3">
        <v>68315.0</v>
      </c>
      <c r="B5072" s="4" t="s">
        <v>140</v>
      </c>
      <c r="C5072" s="4" t="s">
        <v>566</v>
      </c>
      <c r="D5072" s="4" t="s">
        <v>572</v>
      </c>
      <c r="E5072" s="4">
        <v>1.59</v>
      </c>
    </row>
    <row r="5073">
      <c r="A5073" s="5">
        <v>110229.0</v>
      </c>
      <c r="B5073" s="6" t="s">
        <v>140</v>
      </c>
      <c r="C5073" s="6" t="s">
        <v>566</v>
      </c>
      <c r="D5073" s="6" t="s">
        <v>572</v>
      </c>
      <c r="E5073" s="6">
        <v>1.31</v>
      </c>
    </row>
    <row r="5074">
      <c r="A5074" s="3">
        <v>5548.0</v>
      </c>
      <c r="B5074" s="4" t="s">
        <v>140</v>
      </c>
      <c r="C5074" s="4" t="s">
        <v>566</v>
      </c>
      <c r="D5074" s="4" t="s">
        <v>572</v>
      </c>
      <c r="E5074" s="4">
        <v>1.73</v>
      </c>
    </row>
    <row r="5075">
      <c r="A5075" s="5">
        <v>126544.0</v>
      </c>
      <c r="B5075" s="6" t="s">
        <v>140</v>
      </c>
      <c r="C5075" s="6" t="s">
        <v>566</v>
      </c>
      <c r="D5075" s="6" t="s">
        <v>572</v>
      </c>
      <c r="E5075" s="6">
        <v>4.35</v>
      </c>
    </row>
    <row r="5076">
      <c r="A5076" s="3">
        <v>90792.0</v>
      </c>
      <c r="B5076" s="4" t="s">
        <v>140</v>
      </c>
      <c r="C5076" s="4" t="s">
        <v>566</v>
      </c>
      <c r="D5076" s="4" t="s">
        <v>572</v>
      </c>
      <c r="E5076" s="4">
        <v>1.98</v>
      </c>
    </row>
    <row r="5077">
      <c r="A5077" s="5">
        <v>126541.0</v>
      </c>
      <c r="B5077" s="6" t="s">
        <v>140</v>
      </c>
      <c r="C5077" s="6" t="s">
        <v>566</v>
      </c>
      <c r="D5077" s="6" t="s">
        <v>572</v>
      </c>
      <c r="E5077" s="6">
        <v>2.11</v>
      </c>
    </row>
    <row r="5078">
      <c r="A5078" s="3">
        <v>71190.0</v>
      </c>
      <c r="B5078" s="4" t="s">
        <v>140</v>
      </c>
      <c r="C5078" s="4" t="s">
        <v>566</v>
      </c>
      <c r="D5078" s="4" t="s">
        <v>572</v>
      </c>
      <c r="E5078" s="4">
        <v>1.24</v>
      </c>
    </row>
    <row r="5079">
      <c r="A5079" s="5">
        <v>76425.0</v>
      </c>
      <c r="B5079" s="6" t="s">
        <v>140</v>
      </c>
      <c r="C5079" s="6" t="s">
        <v>566</v>
      </c>
      <c r="D5079" s="6" t="s">
        <v>572</v>
      </c>
      <c r="E5079" s="6">
        <v>1.68</v>
      </c>
    </row>
    <row r="5080">
      <c r="A5080" s="3">
        <v>76422.0</v>
      </c>
      <c r="B5080" s="4" t="s">
        <v>140</v>
      </c>
      <c r="C5080" s="4" t="s">
        <v>566</v>
      </c>
      <c r="D5080" s="4" t="s">
        <v>572</v>
      </c>
      <c r="E5080" s="4">
        <v>1.19</v>
      </c>
    </row>
    <row r="5081">
      <c r="A5081" s="5">
        <v>159201.0</v>
      </c>
      <c r="B5081" s="6" t="s">
        <v>140</v>
      </c>
      <c r="C5081" s="6" t="s">
        <v>566</v>
      </c>
      <c r="D5081" s="6" t="s">
        <v>572</v>
      </c>
      <c r="E5081" s="6">
        <v>1.63</v>
      </c>
    </row>
    <row r="5082">
      <c r="A5082" s="3">
        <v>76421.0</v>
      </c>
      <c r="B5082" s="4" t="s">
        <v>140</v>
      </c>
      <c r="C5082" s="4" t="s">
        <v>566</v>
      </c>
      <c r="D5082" s="4" t="s">
        <v>572</v>
      </c>
      <c r="E5082" s="4">
        <v>4.52</v>
      </c>
    </row>
    <row r="5083">
      <c r="A5083" s="5">
        <v>76424.0</v>
      </c>
      <c r="B5083" s="6" t="s">
        <v>140</v>
      </c>
      <c r="C5083" s="6" t="s">
        <v>566</v>
      </c>
      <c r="D5083" s="6" t="s">
        <v>572</v>
      </c>
      <c r="E5083" s="6">
        <v>1.07</v>
      </c>
    </row>
    <row r="5084">
      <c r="A5084" s="3">
        <v>90766.0</v>
      </c>
      <c r="B5084" s="4" t="s">
        <v>140</v>
      </c>
      <c r="C5084" s="4" t="s">
        <v>566</v>
      </c>
      <c r="D5084" s="4" t="s">
        <v>572</v>
      </c>
      <c r="E5084" s="4">
        <v>8.66</v>
      </c>
    </row>
    <row r="5085">
      <c r="A5085" s="5">
        <v>5538.0</v>
      </c>
      <c r="B5085" s="6" t="s">
        <v>140</v>
      </c>
      <c r="C5085" s="6" t="s">
        <v>566</v>
      </c>
      <c r="D5085" s="6" t="s">
        <v>572</v>
      </c>
      <c r="E5085" s="6">
        <v>1.12</v>
      </c>
    </row>
    <row r="5086">
      <c r="A5086" s="3">
        <v>68371.0</v>
      </c>
      <c r="B5086" s="4" t="s">
        <v>140</v>
      </c>
      <c r="C5086" s="4" t="s">
        <v>566</v>
      </c>
      <c r="D5086" s="4" t="s">
        <v>572</v>
      </c>
      <c r="E5086" s="4">
        <v>1.76</v>
      </c>
    </row>
    <row r="5087">
      <c r="A5087" s="5">
        <v>90808.0</v>
      </c>
      <c r="B5087" s="6" t="s">
        <v>140</v>
      </c>
      <c r="C5087" s="6" t="s">
        <v>566</v>
      </c>
      <c r="D5087" s="6" t="s">
        <v>572</v>
      </c>
      <c r="E5087" s="6">
        <v>10.75</v>
      </c>
    </row>
    <row r="5088">
      <c r="A5088" s="3">
        <v>5543.0</v>
      </c>
      <c r="B5088" s="4" t="s">
        <v>140</v>
      </c>
      <c r="C5088" s="4" t="s">
        <v>566</v>
      </c>
      <c r="D5088" s="4" t="s">
        <v>572</v>
      </c>
      <c r="E5088" s="4">
        <v>2.03</v>
      </c>
    </row>
    <row r="5089">
      <c r="A5089" s="5">
        <v>76420.0</v>
      </c>
      <c r="B5089" s="6" t="s">
        <v>140</v>
      </c>
      <c r="C5089" s="6" t="s">
        <v>566</v>
      </c>
      <c r="D5089" s="6" t="s">
        <v>572</v>
      </c>
      <c r="E5089" s="6">
        <v>0.93</v>
      </c>
    </row>
    <row r="5090">
      <c r="A5090" s="3">
        <v>68364.0</v>
      </c>
      <c r="B5090" s="4" t="s">
        <v>140</v>
      </c>
      <c r="C5090" s="4" t="s">
        <v>566</v>
      </c>
      <c r="D5090" s="4" t="s">
        <v>572</v>
      </c>
      <c r="E5090" s="4">
        <v>1.22</v>
      </c>
    </row>
    <row r="5091">
      <c r="A5091" s="5">
        <v>5541.0</v>
      </c>
      <c r="B5091" s="6" t="s">
        <v>140</v>
      </c>
      <c r="C5091" s="6" t="s">
        <v>566</v>
      </c>
      <c r="D5091" s="6" t="s">
        <v>572</v>
      </c>
      <c r="E5091" s="6">
        <v>1.31</v>
      </c>
    </row>
    <row r="5092">
      <c r="A5092" s="3">
        <v>5544.0</v>
      </c>
      <c r="B5092" s="4" t="s">
        <v>140</v>
      </c>
      <c r="C5092" s="4" t="s">
        <v>566</v>
      </c>
      <c r="D5092" s="4" t="s">
        <v>572</v>
      </c>
      <c r="E5092" s="4">
        <v>1.07</v>
      </c>
    </row>
    <row r="5093">
      <c r="A5093" s="5">
        <v>122257.0</v>
      </c>
      <c r="B5093" s="6" t="s">
        <v>140</v>
      </c>
      <c r="C5093" s="6" t="s">
        <v>566</v>
      </c>
      <c r="D5093" s="6" t="s">
        <v>572</v>
      </c>
      <c r="E5093" s="6">
        <v>0.99</v>
      </c>
    </row>
    <row r="5094">
      <c r="A5094" s="3">
        <v>90740.0</v>
      </c>
      <c r="B5094" s="4" t="s">
        <v>140</v>
      </c>
      <c r="C5094" s="4" t="s">
        <v>566</v>
      </c>
      <c r="D5094" s="4" t="s">
        <v>572</v>
      </c>
      <c r="E5094" s="4">
        <v>6.89</v>
      </c>
    </row>
    <row r="5095">
      <c r="A5095" s="5">
        <v>48280.0</v>
      </c>
      <c r="B5095" s="6" t="s">
        <v>140</v>
      </c>
      <c r="C5095" s="6" t="s">
        <v>566</v>
      </c>
      <c r="D5095" s="6" t="s">
        <v>572</v>
      </c>
      <c r="E5095" s="6">
        <v>1.1</v>
      </c>
    </row>
    <row r="5096">
      <c r="A5096" s="3">
        <v>71191.0</v>
      </c>
      <c r="B5096" s="4" t="s">
        <v>140</v>
      </c>
      <c r="C5096" s="4" t="s">
        <v>566</v>
      </c>
      <c r="D5096" s="4" t="s">
        <v>572</v>
      </c>
      <c r="E5096" s="4">
        <v>2.23</v>
      </c>
    </row>
    <row r="5097">
      <c r="A5097" s="5">
        <v>76418.0</v>
      </c>
      <c r="B5097" s="6" t="s">
        <v>140</v>
      </c>
      <c r="C5097" s="6" t="s">
        <v>566</v>
      </c>
      <c r="D5097" s="6" t="s">
        <v>572</v>
      </c>
      <c r="E5097" s="6">
        <v>0.93</v>
      </c>
    </row>
    <row r="5098">
      <c r="A5098" s="3">
        <v>87161.0</v>
      </c>
      <c r="B5098" s="4" t="s">
        <v>140</v>
      </c>
      <c r="C5098" s="4" t="s">
        <v>566</v>
      </c>
      <c r="D5098" s="4" t="s">
        <v>572</v>
      </c>
      <c r="E5098" s="4">
        <v>0.82</v>
      </c>
    </row>
    <row r="5099">
      <c r="A5099" s="5">
        <v>68323.0</v>
      </c>
      <c r="B5099" s="6" t="s">
        <v>140</v>
      </c>
      <c r="C5099" s="6" t="s">
        <v>566</v>
      </c>
      <c r="D5099" s="6" t="s">
        <v>572</v>
      </c>
      <c r="E5099" s="6">
        <v>1.7</v>
      </c>
    </row>
    <row r="5100">
      <c r="A5100" s="3">
        <v>72847.0</v>
      </c>
      <c r="B5100" s="4" t="s">
        <v>140</v>
      </c>
      <c r="C5100" s="4" t="s">
        <v>566</v>
      </c>
      <c r="D5100" s="4" t="s">
        <v>572</v>
      </c>
      <c r="E5100" s="4">
        <v>2.35</v>
      </c>
    </row>
    <row r="5101">
      <c r="A5101" s="5">
        <v>90799.0</v>
      </c>
      <c r="B5101" s="6" t="s">
        <v>140</v>
      </c>
      <c r="C5101" s="6" t="s">
        <v>566</v>
      </c>
      <c r="D5101" s="6" t="s">
        <v>572</v>
      </c>
      <c r="E5101" s="6">
        <v>0.79</v>
      </c>
    </row>
    <row r="5102">
      <c r="A5102" s="3">
        <v>71194.0</v>
      </c>
      <c r="B5102" s="4" t="s">
        <v>140</v>
      </c>
      <c r="C5102" s="4" t="s">
        <v>566</v>
      </c>
      <c r="D5102" s="4" t="s">
        <v>572</v>
      </c>
      <c r="E5102" s="4">
        <v>1.24</v>
      </c>
    </row>
    <row r="5103">
      <c r="A5103" s="5">
        <v>68378.0</v>
      </c>
      <c r="B5103" s="6" t="s">
        <v>140</v>
      </c>
      <c r="C5103" s="6" t="s">
        <v>566</v>
      </c>
      <c r="D5103" s="6" t="s">
        <v>572</v>
      </c>
      <c r="E5103" s="6">
        <v>1.09</v>
      </c>
    </row>
    <row r="5104">
      <c r="A5104" s="3">
        <v>76426.0</v>
      </c>
      <c r="B5104" s="4" t="s">
        <v>140</v>
      </c>
      <c r="C5104" s="4" t="s">
        <v>566</v>
      </c>
      <c r="D5104" s="4" t="s">
        <v>572</v>
      </c>
      <c r="E5104" s="4">
        <v>2.02</v>
      </c>
    </row>
    <row r="5105">
      <c r="A5105" s="5">
        <v>76413.0</v>
      </c>
      <c r="B5105" s="6" t="s">
        <v>140</v>
      </c>
      <c r="C5105" s="6" t="s">
        <v>566</v>
      </c>
      <c r="D5105" s="6" t="s">
        <v>572</v>
      </c>
      <c r="E5105" s="6">
        <v>1.1</v>
      </c>
    </row>
    <row r="5106">
      <c r="A5106" s="3">
        <v>68306.0</v>
      </c>
      <c r="B5106" s="4" t="s">
        <v>140</v>
      </c>
      <c r="C5106" s="4" t="s">
        <v>566</v>
      </c>
      <c r="D5106" s="4" t="s">
        <v>572</v>
      </c>
      <c r="E5106" s="4">
        <v>0.94</v>
      </c>
    </row>
    <row r="5107">
      <c r="A5107" s="5">
        <v>48283.0</v>
      </c>
      <c r="B5107" s="6" t="s">
        <v>140</v>
      </c>
      <c r="C5107" s="6" t="s">
        <v>566</v>
      </c>
      <c r="D5107" s="6" t="s">
        <v>572</v>
      </c>
      <c r="E5107" s="6">
        <v>1.07</v>
      </c>
    </row>
    <row r="5108">
      <c r="A5108" s="3">
        <v>81172.0</v>
      </c>
      <c r="B5108" s="4" t="s">
        <v>140</v>
      </c>
      <c r="C5108" s="4" t="s">
        <v>566</v>
      </c>
      <c r="D5108" s="4" t="s">
        <v>572</v>
      </c>
      <c r="E5108" s="4">
        <v>1.6</v>
      </c>
    </row>
    <row r="5109">
      <c r="A5109" s="5">
        <v>68328.0</v>
      </c>
      <c r="B5109" s="6" t="s">
        <v>140</v>
      </c>
      <c r="C5109" s="6" t="s">
        <v>566</v>
      </c>
      <c r="D5109" s="6" t="s">
        <v>572</v>
      </c>
      <c r="E5109" s="6">
        <v>5.27</v>
      </c>
    </row>
    <row r="5110">
      <c r="A5110" s="3">
        <v>158667.0</v>
      </c>
      <c r="B5110" s="4" t="s">
        <v>140</v>
      </c>
      <c r="C5110" s="4" t="s">
        <v>566</v>
      </c>
      <c r="D5110" s="4" t="s">
        <v>572</v>
      </c>
      <c r="E5110" s="4">
        <v>2.42</v>
      </c>
    </row>
    <row r="5111">
      <c r="A5111" s="5">
        <v>5539.0</v>
      </c>
      <c r="B5111" s="6" t="s">
        <v>140</v>
      </c>
      <c r="C5111" s="6" t="s">
        <v>566</v>
      </c>
      <c r="D5111" s="6" t="s">
        <v>572</v>
      </c>
      <c r="E5111" s="6">
        <v>1.16</v>
      </c>
    </row>
    <row r="5112">
      <c r="A5112" s="3">
        <v>68413.0</v>
      </c>
      <c r="B5112" s="4" t="s">
        <v>140</v>
      </c>
      <c r="C5112" s="4" t="s">
        <v>566</v>
      </c>
      <c r="D5112" s="4" t="s">
        <v>572</v>
      </c>
      <c r="E5112" s="4">
        <v>1.62</v>
      </c>
    </row>
    <row r="5113">
      <c r="A5113" s="5">
        <v>68345.0</v>
      </c>
      <c r="B5113" s="6" t="s">
        <v>140</v>
      </c>
      <c r="C5113" s="6" t="s">
        <v>566</v>
      </c>
      <c r="D5113" s="6" t="s">
        <v>572</v>
      </c>
      <c r="E5113" s="6">
        <v>1.71</v>
      </c>
    </row>
    <row r="5114">
      <c r="A5114" s="3">
        <v>70377.0</v>
      </c>
      <c r="B5114" s="4" t="s">
        <v>140</v>
      </c>
      <c r="C5114" s="4" t="s">
        <v>566</v>
      </c>
      <c r="D5114" s="4" t="s">
        <v>572</v>
      </c>
      <c r="E5114" s="4">
        <v>1.34</v>
      </c>
    </row>
    <row r="5115">
      <c r="A5115" s="5">
        <v>126547.0</v>
      </c>
      <c r="B5115" s="6" t="s">
        <v>140</v>
      </c>
      <c r="C5115" s="6" t="s">
        <v>566</v>
      </c>
      <c r="D5115" s="6" t="s">
        <v>572</v>
      </c>
      <c r="E5115" s="6">
        <v>1.43</v>
      </c>
    </row>
    <row r="5116">
      <c r="A5116" s="3">
        <v>117218.0</v>
      </c>
      <c r="B5116" s="4" t="s">
        <v>140</v>
      </c>
      <c r="C5116" s="4" t="s">
        <v>566</v>
      </c>
      <c r="D5116" s="4" t="s">
        <v>572</v>
      </c>
      <c r="E5116" s="4">
        <v>2.08</v>
      </c>
    </row>
    <row r="5117">
      <c r="A5117" s="5">
        <v>158668.0</v>
      </c>
      <c r="B5117" s="6" t="s">
        <v>140</v>
      </c>
      <c r="C5117" s="6" t="s">
        <v>566</v>
      </c>
      <c r="D5117" s="6" t="s">
        <v>572</v>
      </c>
      <c r="E5117" s="6">
        <v>2.38</v>
      </c>
    </row>
    <row r="5118">
      <c r="A5118" s="3">
        <v>19314.0</v>
      </c>
      <c r="B5118" s="4" t="s">
        <v>140</v>
      </c>
      <c r="C5118" s="4" t="s">
        <v>566</v>
      </c>
      <c r="D5118" s="4" t="s">
        <v>573</v>
      </c>
      <c r="E5118" s="4">
        <v>3.24</v>
      </c>
    </row>
    <row r="5119">
      <c r="A5119" s="5">
        <v>113867.0</v>
      </c>
      <c r="B5119" s="6" t="s">
        <v>140</v>
      </c>
      <c r="C5119" s="6" t="s">
        <v>566</v>
      </c>
      <c r="D5119" s="6" t="s">
        <v>573</v>
      </c>
      <c r="E5119" s="6">
        <v>2.8</v>
      </c>
    </row>
    <row r="5120">
      <c r="A5120" s="3">
        <v>19294.0</v>
      </c>
      <c r="B5120" s="4" t="s">
        <v>140</v>
      </c>
      <c r="C5120" s="4" t="s">
        <v>566</v>
      </c>
      <c r="D5120" s="4" t="s">
        <v>573</v>
      </c>
      <c r="E5120" s="4">
        <v>2.98</v>
      </c>
    </row>
    <row r="5121">
      <c r="A5121" s="5">
        <v>90961.0</v>
      </c>
      <c r="B5121" s="6" t="s">
        <v>140</v>
      </c>
      <c r="C5121" s="6" t="s">
        <v>566</v>
      </c>
      <c r="D5121" s="6" t="s">
        <v>573</v>
      </c>
      <c r="E5121" s="6">
        <v>13.05</v>
      </c>
    </row>
    <row r="5122">
      <c r="A5122" s="3">
        <v>118480.0</v>
      </c>
      <c r="B5122" s="4" t="s">
        <v>140</v>
      </c>
      <c r="C5122" s="4" t="s">
        <v>566</v>
      </c>
      <c r="D5122" s="4" t="s">
        <v>573</v>
      </c>
      <c r="E5122" s="4">
        <v>2.33</v>
      </c>
    </row>
    <row r="5123">
      <c r="A5123" s="5">
        <v>98337.0</v>
      </c>
      <c r="B5123" s="6" t="s">
        <v>140</v>
      </c>
      <c r="C5123" s="6" t="s">
        <v>566</v>
      </c>
      <c r="D5123" s="6" t="s">
        <v>573</v>
      </c>
      <c r="E5123" s="6">
        <v>2.93</v>
      </c>
    </row>
    <row r="5124">
      <c r="A5124" s="3">
        <v>90955.0</v>
      </c>
      <c r="B5124" s="4" t="s">
        <v>140</v>
      </c>
      <c r="C5124" s="4" t="s">
        <v>566</v>
      </c>
      <c r="D5124" s="4" t="s">
        <v>573</v>
      </c>
      <c r="E5124" s="4">
        <v>2.98</v>
      </c>
    </row>
    <row r="5125">
      <c r="A5125" s="5">
        <v>19303.0</v>
      </c>
      <c r="B5125" s="6" t="s">
        <v>140</v>
      </c>
      <c r="C5125" s="6" t="s">
        <v>566</v>
      </c>
      <c r="D5125" s="6" t="s">
        <v>573</v>
      </c>
      <c r="E5125" s="6">
        <v>2.83</v>
      </c>
    </row>
    <row r="5126">
      <c r="A5126" s="3">
        <v>98338.0</v>
      </c>
      <c r="B5126" s="4" t="s">
        <v>140</v>
      </c>
      <c r="C5126" s="4" t="s">
        <v>566</v>
      </c>
      <c r="D5126" s="4" t="s">
        <v>573</v>
      </c>
      <c r="E5126" s="4">
        <v>3.62</v>
      </c>
    </row>
    <row r="5127">
      <c r="A5127" s="5">
        <v>98339.0</v>
      </c>
      <c r="B5127" s="6" t="s">
        <v>140</v>
      </c>
      <c r="C5127" s="6" t="s">
        <v>566</v>
      </c>
      <c r="D5127" s="6" t="s">
        <v>573</v>
      </c>
      <c r="E5127" s="6">
        <v>3.59</v>
      </c>
    </row>
    <row r="5128">
      <c r="A5128" s="3">
        <v>19296.0</v>
      </c>
      <c r="B5128" s="4" t="s">
        <v>140</v>
      </c>
      <c r="C5128" s="4" t="s">
        <v>566</v>
      </c>
      <c r="D5128" s="4" t="s">
        <v>573</v>
      </c>
      <c r="E5128" s="4">
        <v>4.52</v>
      </c>
    </row>
    <row r="5129">
      <c r="A5129" s="5">
        <v>19306.0</v>
      </c>
      <c r="B5129" s="6" t="s">
        <v>140</v>
      </c>
      <c r="C5129" s="6" t="s">
        <v>566</v>
      </c>
      <c r="D5129" s="6" t="s">
        <v>573</v>
      </c>
      <c r="E5129" s="6">
        <v>2.69</v>
      </c>
    </row>
    <row r="5130">
      <c r="A5130" s="3">
        <v>90969.0</v>
      </c>
      <c r="B5130" s="4" t="s">
        <v>140</v>
      </c>
      <c r="C5130" s="4" t="s">
        <v>566</v>
      </c>
      <c r="D5130" s="4" t="s">
        <v>573</v>
      </c>
      <c r="E5130" s="4">
        <v>2.41</v>
      </c>
    </row>
    <row r="5131">
      <c r="A5131" s="5">
        <v>19299.0</v>
      </c>
      <c r="B5131" s="6" t="s">
        <v>140</v>
      </c>
      <c r="C5131" s="6" t="s">
        <v>566</v>
      </c>
      <c r="D5131" s="6" t="s">
        <v>573</v>
      </c>
      <c r="E5131" s="6">
        <v>3.76</v>
      </c>
    </row>
    <row r="5132">
      <c r="A5132" s="3">
        <v>5764.0</v>
      </c>
      <c r="B5132" s="4" t="s">
        <v>140</v>
      </c>
      <c r="C5132" s="4" t="s">
        <v>566</v>
      </c>
      <c r="D5132" s="4" t="s">
        <v>573</v>
      </c>
      <c r="E5132" s="4">
        <v>3.05</v>
      </c>
    </row>
    <row r="5133">
      <c r="A5133" s="5">
        <v>114667.0</v>
      </c>
      <c r="B5133" s="6" t="s">
        <v>140</v>
      </c>
      <c r="C5133" s="6" t="s">
        <v>566</v>
      </c>
      <c r="D5133" s="6" t="s">
        <v>573</v>
      </c>
      <c r="E5133" s="6">
        <v>4.91</v>
      </c>
    </row>
    <row r="5134">
      <c r="A5134" s="3">
        <v>113870.0</v>
      </c>
      <c r="B5134" s="4" t="s">
        <v>140</v>
      </c>
      <c r="C5134" s="4" t="s">
        <v>566</v>
      </c>
      <c r="D5134" s="4" t="s">
        <v>573</v>
      </c>
      <c r="E5134" s="4">
        <v>2.88</v>
      </c>
    </row>
    <row r="5135">
      <c r="A5135" s="5">
        <v>127918.0</v>
      </c>
      <c r="B5135" s="6" t="s">
        <v>140</v>
      </c>
      <c r="C5135" s="6" t="s">
        <v>566</v>
      </c>
      <c r="D5135" s="6" t="s">
        <v>573</v>
      </c>
      <c r="E5135" s="6">
        <v>2.84</v>
      </c>
    </row>
    <row r="5136">
      <c r="A5136" s="3">
        <v>127917.0</v>
      </c>
      <c r="B5136" s="4" t="s">
        <v>140</v>
      </c>
      <c r="C5136" s="4" t="s">
        <v>566</v>
      </c>
      <c r="D5136" s="4" t="s">
        <v>573</v>
      </c>
      <c r="E5136" s="4">
        <v>3.1</v>
      </c>
    </row>
    <row r="5137">
      <c r="A5137" s="5">
        <v>19297.0</v>
      </c>
      <c r="B5137" s="6" t="s">
        <v>140</v>
      </c>
      <c r="C5137" s="6" t="s">
        <v>566</v>
      </c>
      <c r="D5137" s="6" t="s">
        <v>573</v>
      </c>
      <c r="E5137" s="6">
        <v>4.17</v>
      </c>
    </row>
    <row r="5138">
      <c r="A5138" s="3">
        <v>19316.0</v>
      </c>
      <c r="B5138" s="4" t="s">
        <v>140</v>
      </c>
      <c r="C5138" s="4" t="s">
        <v>566</v>
      </c>
      <c r="D5138" s="4" t="s">
        <v>573</v>
      </c>
      <c r="E5138" s="4">
        <v>3.47</v>
      </c>
    </row>
    <row r="5139">
      <c r="A5139" s="5">
        <v>118481.0</v>
      </c>
      <c r="B5139" s="6" t="s">
        <v>140</v>
      </c>
      <c r="C5139" s="6" t="s">
        <v>566</v>
      </c>
      <c r="D5139" s="6" t="s">
        <v>573</v>
      </c>
      <c r="E5139" s="6">
        <v>3.71</v>
      </c>
    </row>
    <row r="5140">
      <c r="A5140" s="3">
        <v>118366.0</v>
      </c>
      <c r="B5140" s="4" t="s">
        <v>140</v>
      </c>
      <c r="C5140" s="4" t="s">
        <v>566</v>
      </c>
      <c r="D5140" s="4" t="s">
        <v>573</v>
      </c>
      <c r="E5140" s="4">
        <v>3.73</v>
      </c>
    </row>
    <row r="5141">
      <c r="A5141" s="5">
        <v>111183.0</v>
      </c>
      <c r="B5141" s="6" t="s">
        <v>140</v>
      </c>
      <c r="C5141" s="6" t="s">
        <v>566</v>
      </c>
      <c r="D5141" s="6" t="s">
        <v>574</v>
      </c>
      <c r="E5141" s="6">
        <v>4.86</v>
      </c>
    </row>
    <row r="5142">
      <c r="A5142" s="3">
        <v>124735.0</v>
      </c>
      <c r="B5142" s="4" t="s">
        <v>140</v>
      </c>
      <c r="C5142" s="4" t="s">
        <v>566</v>
      </c>
      <c r="D5142" s="4" t="s">
        <v>574</v>
      </c>
      <c r="E5142" s="4">
        <v>6.06</v>
      </c>
    </row>
    <row r="5143">
      <c r="A5143" s="5">
        <v>78727.0</v>
      </c>
      <c r="B5143" s="6" t="s">
        <v>140</v>
      </c>
      <c r="C5143" s="6" t="s">
        <v>566</v>
      </c>
      <c r="D5143" s="6" t="s">
        <v>574</v>
      </c>
      <c r="E5143" s="6">
        <v>6.31</v>
      </c>
    </row>
    <row r="5144">
      <c r="A5144" s="3">
        <v>111182.0</v>
      </c>
      <c r="B5144" s="4" t="s">
        <v>140</v>
      </c>
      <c r="C5144" s="4" t="s">
        <v>566</v>
      </c>
      <c r="D5144" s="4" t="s">
        <v>574</v>
      </c>
      <c r="E5144" s="4">
        <v>4.36</v>
      </c>
    </row>
    <row r="5145">
      <c r="A5145" s="5">
        <v>78734.0</v>
      </c>
      <c r="B5145" s="6" t="s">
        <v>140</v>
      </c>
      <c r="C5145" s="6" t="s">
        <v>566</v>
      </c>
      <c r="D5145" s="6" t="s">
        <v>574</v>
      </c>
      <c r="E5145" s="6">
        <v>6.31</v>
      </c>
    </row>
    <row r="5146">
      <c r="A5146" s="3">
        <v>78729.0</v>
      </c>
      <c r="B5146" s="4" t="s">
        <v>140</v>
      </c>
      <c r="C5146" s="4" t="s">
        <v>566</v>
      </c>
      <c r="D5146" s="4" t="s">
        <v>574</v>
      </c>
      <c r="E5146" s="4">
        <v>6.31</v>
      </c>
    </row>
    <row r="5147">
      <c r="A5147" s="5">
        <v>111662.0</v>
      </c>
      <c r="B5147" s="6" t="s">
        <v>140</v>
      </c>
      <c r="C5147" s="6" t="s">
        <v>566</v>
      </c>
      <c r="D5147" s="6" t="s">
        <v>574</v>
      </c>
      <c r="E5147" s="6">
        <v>4.37</v>
      </c>
    </row>
    <row r="5148">
      <c r="A5148" s="3">
        <v>78728.0</v>
      </c>
      <c r="B5148" s="4" t="s">
        <v>140</v>
      </c>
      <c r="C5148" s="4" t="s">
        <v>566</v>
      </c>
      <c r="D5148" s="4" t="s">
        <v>574</v>
      </c>
      <c r="E5148" s="4">
        <v>6.31</v>
      </c>
    </row>
    <row r="5149">
      <c r="A5149" s="5">
        <v>119082.0</v>
      </c>
      <c r="B5149" s="6" t="s">
        <v>140</v>
      </c>
      <c r="C5149" s="6" t="s">
        <v>566</v>
      </c>
      <c r="D5149" s="6" t="s">
        <v>575</v>
      </c>
      <c r="E5149" s="6">
        <v>0.87</v>
      </c>
    </row>
    <row r="5150">
      <c r="A5150" s="3">
        <v>5770.0</v>
      </c>
      <c r="B5150" s="4" t="s">
        <v>140</v>
      </c>
      <c r="C5150" s="4" t="s">
        <v>566</v>
      </c>
      <c r="D5150" s="4" t="s">
        <v>575</v>
      </c>
      <c r="E5150" s="4">
        <v>2.24</v>
      </c>
    </row>
    <row r="5151">
      <c r="A5151" s="5">
        <v>103072.0</v>
      </c>
      <c r="B5151" s="6" t="s">
        <v>140</v>
      </c>
      <c r="C5151" s="6" t="s">
        <v>566</v>
      </c>
      <c r="D5151" s="6" t="s">
        <v>575</v>
      </c>
      <c r="E5151" s="6">
        <v>2.0</v>
      </c>
    </row>
    <row r="5152">
      <c r="A5152" s="3">
        <v>19344.0</v>
      </c>
      <c r="B5152" s="4" t="s">
        <v>140</v>
      </c>
      <c r="C5152" s="4" t="s">
        <v>566</v>
      </c>
      <c r="D5152" s="4" t="s">
        <v>575</v>
      </c>
      <c r="E5152" s="4">
        <v>1.75</v>
      </c>
    </row>
    <row r="5153">
      <c r="A5153" s="5">
        <v>84219.0</v>
      </c>
      <c r="B5153" s="6" t="s">
        <v>140</v>
      </c>
      <c r="C5153" s="6" t="s">
        <v>566</v>
      </c>
      <c r="D5153" s="6" t="s">
        <v>575</v>
      </c>
      <c r="E5153" s="6">
        <v>3.02</v>
      </c>
    </row>
    <row r="5154">
      <c r="A5154" s="3">
        <v>19345.0</v>
      </c>
      <c r="B5154" s="4" t="s">
        <v>140</v>
      </c>
      <c r="C5154" s="4" t="s">
        <v>566</v>
      </c>
      <c r="D5154" s="4" t="s">
        <v>575</v>
      </c>
      <c r="E5154" s="4">
        <v>1.7</v>
      </c>
    </row>
    <row r="5155">
      <c r="A5155" s="5">
        <v>90816.0</v>
      </c>
      <c r="B5155" s="6" t="s">
        <v>140</v>
      </c>
      <c r="C5155" s="6" t="s">
        <v>566</v>
      </c>
      <c r="D5155" s="6" t="s">
        <v>575</v>
      </c>
      <c r="E5155" s="6">
        <v>1.51</v>
      </c>
    </row>
    <row r="5156">
      <c r="A5156" s="3">
        <v>23198.0</v>
      </c>
      <c r="B5156" s="4" t="s">
        <v>140</v>
      </c>
      <c r="C5156" s="4" t="s">
        <v>566</v>
      </c>
      <c r="D5156" s="4" t="s">
        <v>575</v>
      </c>
      <c r="E5156" s="4">
        <v>2.68</v>
      </c>
    </row>
    <row r="5157">
      <c r="A5157" s="5">
        <v>87207.0</v>
      </c>
      <c r="B5157" s="6" t="s">
        <v>140</v>
      </c>
      <c r="C5157" s="6" t="s">
        <v>566</v>
      </c>
      <c r="D5157" s="6" t="s">
        <v>575</v>
      </c>
      <c r="E5157" s="6">
        <v>1.0</v>
      </c>
    </row>
    <row r="5158">
      <c r="A5158" s="3">
        <v>5694.0</v>
      </c>
      <c r="B5158" s="4" t="s">
        <v>140</v>
      </c>
      <c r="C5158" s="4" t="s">
        <v>566</v>
      </c>
      <c r="D5158" s="4" t="s">
        <v>575</v>
      </c>
      <c r="E5158" s="4">
        <v>1.59</v>
      </c>
    </row>
    <row r="5159">
      <c r="A5159" s="5">
        <v>119084.0</v>
      </c>
      <c r="B5159" s="6" t="s">
        <v>140</v>
      </c>
      <c r="C5159" s="6" t="s">
        <v>566</v>
      </c>
      <c r="D5159" s="6" t="s">
        <v>575</v>
      </c>
      <c r="E5159" s="6">
        <v>2.82</v>
      </c>
    </row>
    <row r="5160">
      <c r="A5160" s="3">
        <v>127927.0</v>
      </c>
      <c r="B5160" s="4" t="s">
        <v>140</v>
      </c>
      <c r="C5160" s="4" t="s">
        <v>566</v>
      </c>
      <c r="D5160" s="4" t="s">
        <v>575</v>
      </c>
      <c r="E5160" s="4">
        <v>2.39</v>
      </c>
    </row>
    <row r="5161">
      <c r="A5161" s="5">
        <v>111184.0</v>
      </c>
      <c r="B5161" s="6" t="s">
        <v>140</v>
      </c>
      <c r="C5161" s="6" t="s">
        <v>566</v>
      </c>
      <c r="D5161" s="6" t="s">
        <v>575</v>
      </c>
      <c r="E5161" s="6">
        <v>1.6</v>
      </c>
    </row>
    <row r="5162">
      <c r="A5162" s="3">
        <v>19341.0</v>
      </c>
      <c r="B5162" s="4" t="s">
        <v>140</v>
      </c>
      <c r="C5162" s="4" t="s">
        <v>566</v>
      </c>
      <c r="D5162" s="4" t="s">
        <v>575</v>
      </c>
      <c r="E5162" s="4">
        <v>2.02</v>
      </c>
    </row>
    <row r="5163">
      <c r="A5163" s="5">
        <v>118485.0</v>
      </c>
      <c r="B5163" s="6" t="s">
        <v>140</v>
      </c>
      <c r="C5163" s="6" t="s">
        <v>566</v>
      </c>
      <c r="D5163" s="6" t="s">
        <v>576</v>
      </c>
      <c r="E5163" s="6">
        <v>2.15</v>
      </c>
    </row>
    <row r="5164">
      <c r="A5164" s="3">
        <v>110565.0</v>
      </c>
      <c r="B5164" s="4" t="s">
        <v>140</v>
      </c>
      <c r="C5164" s="4" t="s">
        <v>566</v>
      </c>
      <c r="D5164" s="4" t="s">
        <v>576</v>
      </c>
      <c r="E5164" s="4">
        <v>1.12</v>
      </c>
    </row>
    <row r="5165">
      <c r="A5165" s="5">
        <v>118484.0</v>
      </c>
      <c r="B5165" s="6" t="s">
        <v>140</v>
      </c>
      <c r="C5165" s="6" t="s">
        <v>566</v>
      </c>
      <c r="D5165" s="6" t="s">
        <v>576</v>
      </c>
      <c r="E5165" s="6">
        <v>3.05</v>
      </c>
    </row>
    <row r="5166">
      <c r="A5166" s="3">
        <v>107652.0</v>
      </c>
      <c r="B5166" s="4" t="s">
        <v>140</v>
      </c>
      <c r="C5166" s="4" t="s">
        <v>566</v>
      </c>
      <c r="D5166" s="4" t="s">
        <v>576</v>
      </c>
      <c r="E5166" s="4">
        <v>2.86</v>
      </c>
    </row>
    <row r="5167">
      <c r="A5167" s="5">
        <v>107673.0</v>
      </c>
      <c r="B5167" s="6" t="s">
        <v>140</v>
      </c>
      <c r="C5167" s="6" t="s">
        <v>566</v>
      </c>
      <c r="D5167" s="6" t="s">
        <v>576</v>
      </c>
      <c r="E5167" s="6">
        <v>2.47</v>
      </c>
    </row>
    <row r="5168">
      <c r="A5168" s="3">
        <v>107902.0</v>
      </c>
      <c r="B5168" s="4" t="s">
        <v>140</v>
      </c>
      <c r="C5168" s="4" t="s">
        <v>566</v>
      </c>
      <c r="D5168" s="4" t="s">
        <v>576</v>
      </c>
      <c r="E5168" s="4">
        <v>1.66</v>
      </c>
    </row>
    <row r="5169">
      <c r="A5169" s="5">
        <v>19340.0</v>
      </c>
      <c r="B5169" s="6" t="s">
        <v>140</v>
      </c>
      <c r="C5169" s="6" t="s">
        <v>566</v>
      </c>
      <c r="D5169" s="6" t="s">
        <v>576</v>
      </c>
      <c r="E5169" s="6">
        <v>2.17</v>
      </c>
    </row>
    <row r="5170">
      <c r="A5170" s="3">
        <v>69190.0</v>
      </c>
      <c r="B5170" s="4" t="s">
        <v>140</v>
      </c>
      <c r="C5170" s="4" t="s">
        <v>566</v>
      </c>
      <c r="D5170" s="4" t="s">
        <v>576</v>
      </c>
      <c r="E5170" s="4">
        <v>2.43</v>
      </c>
    </row>
    <row r="5171">
      <c r="A5171" s="5">
        <v>48451.0</v>
      </c>
      <c r="B5171" s="6" t="s">
        <v>140</v>
      </c>
      <c r="C5171" s="6" t="s">
        <v>566</v>
      </c>
      <c r="D5171" s="6" t="s">
        <v>576</v>
      </c>
      <c r="E5171" s="6">
        <v>3.29</v>
      </c>
    </row>
    <row r="5172">
      <c r="A5172" s="3">
        <v>19339.0</v>
      </c>
      <c r="B5172" s="4" t="s">
        <v>140</v>
      </c>
      <c r="C5172" s="4" t="s">
        <v>566</v>
      </c>
      <c r="D5172" s="4" t="s">
        <v>576</v>
      </c>
      <c r="E5172" s="4">
        <v>2.3</v>
      </c>
    </row>
    <row r="5173">
      <c r="A5173" s="5">
        <v>69195.0</v>
      </c>
      <c r="B5173" s="6" t="s">
        <v>140</v>
      </c>
      <c r="C5173" s="6" t="s">
        <v>566</v>
      </c>
      <c r="D5173" s="6" t="s">
        <v>576</v>
      </c>
      <c r="E5173" s="6">
        <v>2.93</v>
      </c>
    </row>
    <row r="5174">
      <c r="A5174" s="3">
        <v>77192.0</v>
      </c>
      <c r="B5174" s="4" t="s">
        <v>140</v>
      </c>
      <c r="C5174" s="4" t="s">
        <v>566</v>
      </c>
      <c r="D5174" s="4" t="s">
        <v>576</v>
      </c>
      <c r="E5174" s="4">
        <v>1.2</v>
      </c>
    </row>
    <row r="5175">
      <c r="A5175" s="5">
        <v>95922.0</v>
      </c>
      <c r="B5175" s="6" t="s">
        <v>140</v>
      </c>
      <c r="C5175" s="6" t="s">
        <v>566</v>
      </c>
      <c r="D5175" s="6" t="s">
        <v>576</v>
      </c>
      <c r="E5175" s="6">
        <v>2.77</v>
      </c>
    </row>
    <row r="5176">
      <c r="A5176" s="3">
        <v>116779.0</v>
      </c>
      <c r="B5176" s="4" t="s">
        <v>140</v>
      </c>
      <c r="C5176" s="4" t="s">
        <v>566</v>
      </c>
      <c r="D5176" s="4" t="s">
        <v>576</v>
      </c>
      <c r="E5176" s="4">
        <v>2.99</v>
      </c>
    </row>
    <row r="5177">
      <c r="A5177" s="5">
        <v>69238.0</v>
      </c>
      <c r="B5177" s="6" t="s">
        <v>140</v>
      </c>
      <c r="C5177" s="6" t="s">
        <v>566</v>
      </c>
      <c r="D5177" s="6" t="s">
        <v>576</v>
      </c>
      <c r="E5177" s="6">
        <v>3.68</v>
      </c>
    </row>
    <row r="5178">
      <c r="A5178" s="3">
        <v>19337.0</v>
      </c>
      <c r="B5178" s="4" t="s">
        <v>140</v>
      </c>
      <c r="C5178" s="4" t="s">
        <v>566</v>
      </c>
      <c r="D5178" s="4" t="s">
        <v>576</v>
      </c>
      <c r="E5178" s="4">
        <v>1.3</v>
      </c>
    </row>
    <row r="5179">
      <c r="A5179" s="5">
        <v>19326.0</v>
      </c>
      <c r="B5179" s="6" t="s">
        <v>140</v>
      </c>
      <c r="C5179" s="6" t="s">
        <v>566</v>
      </c>
      <c r="D5179" s="6" t="s">
        <v>576</v>
      </c>
      <c r="E5179" s="6">
        <v>3.23</v>
      </c>
    </row>
    <row r="5180">
      <c r="A5180" s="3">
        <v>69251.0</v>
      </c>
      <c r="B5180" s="4" t="s">
        <v>140</v>
      </c>
      <c r="C5180" s="4" t="s">
        <v>566</v>
      </c>
      <c r="D5180" s="4" t="s">
        <v>576</v>
      </c>
      <c r="E5180" s="4">
        <v>3.83</v>
      </c>
    </row>
    <row r="5181">
      <c r="A5181" s="5">
        <v>81871.0</v>
      </c>
      <c r="B5181" s="6" t="s">
        <v>140</v>
      </c>
      <c r="C5181" s="6" t="s">
        <v>566</v>
      </c>
      <c r="D5181" s="6" t="s">
        <v>576</v>
      </c>
      <c r="E5181" s="6">
        <v>3.69</v>
      </c>
    </row>
    <row r="5182">
      <c r="A5182" s="3">
        <v>19321.0</v>
      </c>
      <c r="B5182" s="4" t="s">
        <v>140</v>
      </c>
      <c r="C5182" s="4" t="s">
        <v>566</v>
      </c>
      <c r="D5182" s="4" t="s">
        <v>576</v>
      </c>
      <c r="E5182" s="4">
        <v>3.17</v>
      </c>
    </row>
    <row r="5183">
      <c r="A5183" s="5">
        <v>117618.0</v>
      </c>
      <c r="B5183" s="6" t="s">
        <v>317</v>
      </c>
      <c r="C5183" s="6" t="s">
        <v>577</v>
      </c>
      <c r="D5183" s="6"/>
      <c r="E5183" s="6">
        <v>2.74</v>
      </c>
    </row>
    <row r="5184">
      <c r="A5184" s="3">
        <v>117623.0</v>
      </c>
      <c r="B5184" s="4" t="s">
        <v>317</v>
      </c>
      <c r="C5184" s="4" t="s">
        <v>577</v>
      </c>
      <c r="D5184" s="4"/>
      <c r="E5184" s="4">
        <v>2.74</v>
      </c>
    </row>
    <row r="5185">
      <c r="A5185" s="5">
        <v>117614.0</v>
      </c>
      <c r="B5185" s="6" t="s">
        <v>317</v>
      </c>
      <c r="C5185" s="6" t="s">
        <v>577</v>
      </c>
      <c r="D5185" s="6"/>
      <c r="E5185" s="6">
        <v>2.74</v>
      </c>
    </row>
    <row r="5186">
      <c r="A5186" s="3">
        <v>14393.0</v>
      </c>
      <c r="B5186" s="4" t="s">
        <v>317</v>
      </c>
      <c r="C5186" s="4" t="s">
        <v>577</v>
      </c>
      <c r="D5186" s="4" t="s">
        <v>578</v>
      </c>
      <c r="E5186" s="4">
        <v>2.1</v>
      </c>
    </row>
    <row r="5187">
      <c r="A5187" s="5">
        <v>70419.0</v>
      </c>
      <c r="B5187" s="6" t="s">
        <v>317</v>
      </c>
      <c r="C5187" s="6" t="s">
        <v>577</v>
      </c>
      <c r="D5187" s="6" t="s">
        <v>578</v>
      </c>
      <c r="E5187" s="6">
        <v>2.3</v>
      </c>
    </row>
    <row r="5188">
      <c r="A5188" s="3">
        <v>111147.0</v>
      </c>
      <c r="B5188" s="4" t="s">
        <v>317</v>
      </c>
      <c r="C5188" s="4" t="s">
        <v>577</v>
      </c>
      <c r="D5188" s="4" t="s">
        <v>578</v>
      </c>
      <c r="E5188" s="4">
        <v>1.46</v>
      </c>
    </row>
    <row r="5189">
      <c r="A5189" s="5">
        <v>4325.0</v>
      </c>
      <c r="B5189" s="6" t="s">
        <v>317</v>
      </c>
      <c r="C5189" s="6" t="s">
        <v>577</v>
      </c>
      <c r="D5189" s="6" t="s">
        <v>578</v>
      </c>
      <c r="E5189" s="6">
        <v>2.1</v>
      </c>
    </row>
    <row r="5190">
      <c r="A5190" s="3">
        <v>4321.0</v>
      </c>
      <c r="B5190" s="4" t="s">
        <v>317</v>
      </c>
      <c r="C5190" s="4" t="s">
        <v>577</v>
      </c>
      <c r="D5190" s="4" t="s">
        <v>578</v>
      </c>
      <c r="E5190" s="4">
        <v>2.1</v>
      </c>
    </row>
    <row r="5191">
      <c r="A5191" s="5">
        <v>70418.0</v>
      </c>
      <c r="B5191" s="6" t="s">
        <v>317</v>
      </c>
      <c r="C5191" s="6" t="s">
        <v>577</v>
      </c>
      <c r="D5191" s="6" t="s">
        <v>578</v>
      </c>
      <c r="E5191" s="6">
        <v>2.3</v>
      </c>
    </row>
    <row r="5192">
      <c r="A5192" s="3">
        <v>80648.0</v>
      </c>
      <c r="B5192" s="4" t="s">
        <v>317</v>
      </c>
      <c r="C5192" s="4" t="s">
        <v>577</v>
      </c>
      <c r="D5192" s="4" t="s">
        <v>578</v>
      </c>
      <c r="E5192" s="4">
        <v>2.3</v>
      </c>
    </row>
    <row r="5193">
      <c r="A5193" s="5">
        <v>70417.0</v>
      </c>
      <c r="B5193" s="6" t="s">
        <v>317</v>
      </c>
      <c r="C5193" s="6" t="s">
        <v>577</v>
      </c>
      <c r="D5193" s="6" t="s">
        <v>578</v>
      </c>
      <c r="E5193" s="6">
        <v>2.3</v>
      </c>
    </row>
    <row r="5194">
      <c r="A5194" s="3">
        <v>79420.0</v>
      </c>
      <c r="B5194" s="4" t="s">
        <v>317</v>
      </c>
      <c r="C5194" s="4" t="s">
        <v>577</v>
      </c>
      <c r="D5194" s="4" t="s">
        <v>578</v>
      </c>
      <c r="E5194" s="4">
        <v>2.3</v>
      </c>
    </row>
    <row r="5195">
      <c r="A5195" s="5">
        <v>4327.0</v>
      </c>
      <c r="B5195" s="6" t="s">
        <v>317</v>
      </c>
      <c r="C5195" s="6" t="s">
        <v>577</v>
      </c>
      <c r="D5195" s="6" t="s">
        <v>578</v>
      </c>
      <c r="E5195" s="6">
        <v>2.1</v>
      </c>
    </row>
    <row r="5196">
      <c r="A5196" s="3">
        <v>89505.0</v>
      </c>
      <c r="B5196" s="4" t="s">
        <v>317</v>
      </c>
      <c r="C5196" s="4" t="s">
        <v>577</v>
      </c>
      <c r="D5196" s="4" t="s">
        <v>578</v>
      </c>
      <c r="E5196" s="4">
        <v>2.44</v>
      </c>
    </row>
    <row r="5197">
      <c r="A5197" s="5">
        <v>128344.0</v>
      </c>
      <c r="B5197" s="6" t="s">
        <v>317</v>
      </c>
      <c r="C5197" s="6" t="s">
        <v>577</v>
      </c>
      <c r="D5197" s="6" t="s">
        <v>578</v>
      </c>
      <c r="E5197" s="6">
        <v>2.18</v>
      </c>
    </row>
    <row r="5198">
      <c r="A5198" s="3">
        <v>79421.0</v>
      </c>
      <c r="B5198" s="4" t="s">
        <v>317</v>
      </c>
      <c r="C5198" s="4" t="s">
        <v>577</v>
      </c>
      <c r="D5198" s="4" t="s">
        <v>578</v>
      </c>
      <c r="E5198" s="4">
        <v>1.46</v>
      </c>
    </row>
    <row r="5199">
      <c r="A5199" s="5">
        <v>128336.0</v>
      </c>
      <c r="B5199" s="6" t="s">
        <v>317</v>
      </c>
      <c r="C5199" s="6" t="s">
        <v>577</v>
      </c>
      <c r="D5199" s="6" t="s">
        <v>578</v>
      </c>
      <c r="E5199" s="6">
        <v>2.18</v>
      </c>
    </row>
    <row r="5200">
      <c r="A5200" s="3">
        <v>5081.0</v>
      </c>
      <c r="B5200" s="4" t="s">
        <v>317</v>
      </c>
      <c r="C5200" s="4" t="s">
        <v>577</v>
      </c>
      <c r="D5200" s="4" t="s">
        <v>578</v>
      </c>
      <c r="E5200" s="4">
        <v>2.1</v>
      </c>
    </row>
    <row r="5201">
      <c r="A5201" s="5">
        <v>79423.0</v>
      </c>
      <c r="B5201" s="6" t="s">
        <v>317</v>
      </c>
      <c r="C5201" s="6" t="s">
        <v>577</v>
      </c>
      <c r="D5201" s="6" t="s">
        <v>578</v>
      </c>
      <c r="E5201" s="6">
        <v>1.46</v>
      </c>
    </row>
    <row r="5202">
      <c r="A5202" s="3">
        <v>116481.0</v>
      </c>
      <c r="B5202" s="4" t="s">
        <v>317</v>
      </c>
      <c r="C5202" s="4" t="s">
        <v>577</v>
      </c>
      <c r="D5202" s="4" t="s">
        <v>579</v>
      </c>
      <c r="E5202" s="4">
        <v>2.16</v>
      </c>
    </row>
    <row r="5203">
      <c r="A5203" s="5">
        <v>118278.0</v>
      </c>
      <c r="B5203" s="6" t="s">
        <v>317</v>
      </c>
      <c r="C5203" s="6" t="s">
        <v>577</v>
      </c>
      <c r="D5203" s="6" t="s">
        <v>579</v>
      </c>
      <c r="E5203" s="6">
        <v>1.34</v>
      </c>
    </row>
    <row r="5204">
      <c r="A5204" s="3">
        <v>116440.0</v>
      </c>
      <c r="B5204" s="4" t="s">
        <v>317</v>
      </c>
      <c r="C5204" s="4" t="s">
        <v>577</v>
      </c>
      <c r="D5204" s="4" t="s">
        <v>579</v>
      </c>
      <c r="E5204" s="4">
        <v>2.65</v>
      </c>
    </row>
    <row r="5205">
      <c r="A5205" s="5">
        <v>116478.0</v>
      </c>
      <c r="B5205" s="6" t="s">
        <v>317</v>
      </c>
      <c r="C5205" s="6" t="s">
        <v>577</v>
      </c>
      <c r="D5205" s="6" t="s">
        <v>579</v>
      </c>
      <c r="E5205" s="6">
        <v>2.16</v>
      </c>
    </row>
    <row r="5206">
      <c r="A5206" s="3">
        <v>139305.0</v>
      </c>
      <c r="B5206" s="4" t="s">
        <v>317</v>
      </c>
      <c r="C5206" s="4" t="s">
        <v>577</v>
      </c>
      <c r="D5206" s="4" t="s">
        <v>579</v>
      </c>
      <c r="E5206" s="4">
        <v>1.81</v>
      </c>
    </row>
    <row r="5207">
      <c r="A5207" s="5">
        <v>118280.0</v>
      </c>
      <c r="B5207" s="6" t="s">
        <v>317</v>
      </c>
      <c r="C5207" s="6" t="s">
        <v>577</v>
      </c>
      <c r="D5207" s="6" t="s">
        <v>579</v>
      </c>
      <c r="E5207" s="6">
        <v>1.34</v>
      </c>
    </row>
    <row r="5208">
      <c r="A5208" s="3">
        <v>116506.0</v>
      </c>
      <c r="B5208" s="4" t="s">
        <v>317</v>
      </c>
      <c r="C5208" s="4" t="s">
        <v>577</v>
      </c>
      <c r="D5208" s="4" t="s">
        <v>579</v>
      </c>
      <c r="E5208" s="4">
        <v>2.15</v>
      </c>
    </row>
    <row r="5209">
      <c r="A5209" s="5">
        <v>116504.0</v>
      </c>
      <c r="B5209" s="6" t="s">
        <v>317</v>
      </c>
      <c r="C5209" s="6" t="s">
        <v>577</v>
      </c>
      <c r="D5209" s="6" t="s">
        <v>579</v>
      </c>
      <c r="E5209" s="6">
        <v>2.15</v>
      </c>
    </row>
    <row r="5210">
      <c r="A5210" s="3">
        <v>116435.0</v>
      </c>
      <c r="B5210" s="4" t="s">
        <v>317</v>
      </c>
      <c r="C5210" s="4" t="s">
        <v>577</v>
      </c>
      <c r="D5210" s="4" t="s">
        <v>579</v>
      </c>
      <c r="E5210" s="4">
        <v>2.65</v>
      </c>
    </row>
    <row r="5211">
      <c r="A5211" s="5">
        <v>70575.0</v>
      </c>
      <c r="B5211" s="6" t="s">
        <v>317</v>
      </c>
      <c r="C5211" s="6" t="s">
        <v>577</v>
      </c>
      <c r="D5211" s="6" t="s">
        <v>579</v>
      </c>
      <c r="E5211" s="6">
        <v>1.7</v>
      </c>
    </row>
    <row r="5212">
      <c r="A5212" s="3">
        <v>128343.0</v>
      </c>
      <c r="B5212" s="4" t="s">
        <v>317</v>
      </c>
      <c r="C5212" s="4" t="s">
        <v>577</v>
      </c>
      <c r="D5212" s="4" t="s">
        <v>580</v>
      </c>
      <c r="E5212" s="4">
        <v>3.71</v>
      </c>
    </row>
    <row r="5213">
      <c r="A5213" s="5">
        <v>112099.0</v>
      </c>
      <c r="B5213" s="6" t="s">
        <v>317</v>
      </c>
      <c r="C5213" s="6" t="s">
        <v>577</v>
      </c>
      <c r="D5213" s="6" t="s">
        <v>580</v>
      </c>
      <c r="E5213" s="6">
        <v>2.44</v>
      </c>
    </row>
    <row r="5214">
      <c r="A5214" s="3">
        <v>128337.0</v>
      </c>
      <c r="B5214" s="4" t="s">
        <v>317</v>
      </c>
      <c r="C5214" s="4" t="s">
        <v>577</v>
      </c>
      <c r="D5214" s="4" t="s">
        <v>580</v>
      </c>
      <c r="E5214" s="4">
        <v>3.71</v>
      </c>
    </row>
    <row r="5215">
      <c r="A5215" s="5">
        <v>4339.0</v>
      </c>
      <c r="B5215" s="6" t="s">
        <v>317</v>
      </c>
      <c r="C5215" s="6" t="s">
        <v>577</v>
      </c>
      <c r="D5215" s="6" t="s">
        <v>580</v>
      </c>
      <c r="E5215" s="6">
        <v>3.04</v>
      </c>
    </row>
    <row r="5216">
      <c r="A5216" s="3">
        <v>14399.0</v>
      </c>
      <c r="B5216" s="4" t="s">
        <v>317</v>
      </c>
      <c r="C5216" s="4" t="s">
        <v>577</v>
      </c>
      <c r="D5216" s="4" t="s">
        <v>580</v>
      </c>
      <c r="E5216" s="4">
        <v>2.1</v>
      </c>
    </row>
    <row r="5217">
      <c r="A5217" s="5">
        <v>4340.0</v>
      </c>
      <c r="B5217" s="6" t="s">
        <v>317</v>
      </c>
      <c r="C5217" s="6" t="s">
        <v>577</v>
      </c>
      <c r="D5217" s="6" t="s">
        <v>580</v>
      </c>
      <c r="E5217" s="6">
        <v>2.95</v>
      </c>
    </row>
    <row r="5218">
      <c r="A5218" s="3">
        <v>45250.0</v>
      </c>
      <c r="B5218" s="4" t="s">
        <v>317</v>
      </c>
      <c r="C5218" s="4" t="s">
        <v>577</v>
      </c>
      <c r="D5218" s="4" t="s">
        <v>580</v>
      </c>
      <c r="E5218" s="4">
        <v>1.24</v>
      </c>
    </row>
    <row r="5219">
      <c r="A5219" s="5">
        <v>9651.0</v>
      </c>
      <c r="B5219" s="6" t="s">
        <v>317</v>
      </c>
      <c r="C5219" s="6" t="s">
        <v>577</v>
      </c>
      <c r="D5219" s="6" t="s">
        <v>580</v>
      </c>
      <c r="E5219" s="6">
        <v>2.3</v>
      </c>
    </row>
    <row r="5220">
      <c r="A5220" s="3">
        <v>4329.0</v>
      </c>
      <c r="B5220" s="4" t="s">
        <v>317</v>
      </c>
      <c r="C5220" s="4" t="s">
        <v>577</v>
      </c>
      <c r="D5220" s="4" t="s">
        <v>580</v>
      </c>
      <c r="E5220" s="4">
        <v>2.1</v>
      </c>
    </row>
    <row r="5221">
      <c r="A5221" s="5">
        <v>4338.0</v>
      </c>
      <c r="B5221" s="6" t="s">
        <v>317</v>
      </c>
      <c r="C5221" s="6" t="s">
        <v>577</v>
      </c>
      <c r="D5221" s="6" t="s">
        <v>580</v>
      </c>
      <c r="E5221" s="6">
        <v>2.95</v>
      </c>
    </row>
    <row r="5222">
      <c r="A5222" s="3">
        <v>112100.0</v>
      </c>
      <c r="B5222" s="4" t="s">
        <v>317</v>
      </c>
      <c r="C5222" s="4" t="s">
        <v>577</v>
      </c>
      <c r="D5222" s="4" t="s">
        <v>580</v>
      </c>
      <c r="E5222" s="4">
        <v>2.32</v>
      </c>
    </row>
    <row r="5223">
      <c r="A5223" s="5">
        <v>9650.0</v>
      </c>
      <c r="B5223" s="6" t="s">
        <v>317</v>
      </c>
      <c r="C5223" s="6" t="s">
        <v>577</v>
      </c>
      <c r="D5223" s="6" t="s">
        <v>580</v>
      </c>
      <c r="E5223" s="6">
        <v>2.3</v>
      </c>
    </row>
    <row r="5224">
      <c r="A5224" s="3">
        <v>9649.0</v>
      </c>
      <c r="B5224" s="4" t="s">
        <v>317</v>
      </c>
      <c r="C5224" s="4" t="s">
        <v>577</v>
      </c>
      <c r="D5224" s="4" t="s">
        <v>580</v>
      </c>
      <c r="E5224" s="4">
        <v>2.62</v>
      </c>
    </row>
    <row r="5225">
      <c r="A5225" s="5">
        <v>9652.0</v>
      </c>
      <c r="B5225" s="6" t="s">
        <v>317</v>
      </c>
      <c r="C5225" s="6" t="s">
        <v>577</v>
      </c>
      <c r="D5225" s="6" t="s">
        <v>580</v>
      </c>
      <c r="E5225" s="6">
        <v>2.3</v>
      </c>
    </row>
    <row r="5226">
      <c r="A5226" s="3">
        <v>79426.0</v>
      </c>
      <c r="B5226" s="4" t="s">
        <v>317</v>
      </c>
      <c r="C5226" s="4" t="s">
        <v>577</v>
      </c>
      <c r="D5226" s="4" t="s">
        <v>580</v>
      </c>
      <c r="E5226" s="4">
        <v>2.62</v>
      </c>
    </row>
    <row r="5227">
      <c r="A5227" s="5">
        <v>79425.0</v>
      </c>
      <c r="B5227" s="6" t="s">
        <v>317</v>
      </c>
      <c r="C5227" s="6" t="s">
        <v>577</v>
      </c>
      <c r="D5227" s="6" t="s">
        <v>580</v>
      </c>
      <c r="E5227" s="6">
        <v>2.44</v>
      </c>
    </row>
    <row r="5228">
      <c r="A5228" s="3">
        <v>4335.0</v>
      </c>
      <c r="B5228" s="4" t="s">
        <v>317</v>
      </c>
      <c r="C5228" s="4" t="s">
        <v>577</v>
      </c>
      <c r="D5228" s="4" t="s">
        <v>580</v>
      </c>
      <c r="E5228" s="4">
        <v>2.95</v>
      </c>
    </row>
    <row r="5229">
      <c r="A5229" s="5">
        <v>70420.0</v>
      </c>
      <c r="B5229" s="6" t="s">
        <v>317</v>
      </c>
      <c r="C5229" s="6" t="s">
        <v>577</v>
      </c>
      <c r="D5229" s="6" t="s">
        <v>580</v>
      </c>
      <c r="E5229" s="6">
        <v>2.3</v>
      </c>
    </row>
    <row r="5230">
      <c r="A5230" s="3">
        <v>9655.0</v>
      </c>
      <c r="B5230" s="4" t="s">
        <v>317</v>
      </c>
      <c r="C5230" s="4" t="s">
        <v>577</v>
      </c>
      <c r="D5230" s="4" t="s">
        <v>580</v>
      </c>
      <c r="E5230" s="4">
        <v>2.3</v>
      </c>
    </row>
    <row r="5231">
      <c r="A5231" s="5">
        <v>68510.0</v>
      </c>
      <c r="B5231" s="6" t="s">
        <v>317</v>
      </c>
      <c r="C5231" s="6" t="s">
        <v>577</v>
      </c>
      <c r="D5231" s="6" t="s">
        <v>581</v>
      </c>
      <c r="E5231" s="6">
        <v>1.42</v>
      </c>
    </row>
    <row r="5232">
      <c r="A5232" s="3">
        <v>11068.0</v>
      </c>
      <c r="B5232" s="4" t="s">
        <v>317</v>
      </c>
      <c r="C5232" s="4" t="s">
        <v>577</v>
      </c>
      <c r="D5232" s="4" t="s">
        <v>581</v>
      </c>
      <c r="E5232" s="4">
        <v>1.63</v>
      </c>
    </row>
    <row r="5233">
      <c r="A5233" s="5">
        <v>79888.0</v>
      </c>
      <c r="B5233" s="6" t="s">
        <v>317</v>
      </c>
      <c r="C5233" s="6" t="s">
        <v>577</v>
      </c>
      <c r="D5233" s="6" t="s">
        <v>581</v>
      </c>
      <c r="E5233" s="6">
        <v>1.74</v>
      </c>
    </row>
    <row r="5234">
      <c r="A5234" s="3">
        <v>108982.0</v>
      </c>
      <c r="B5234" s="4" t="s">
        <v>317</v>
      </c>
      <c r="C5234" s="4" t="s">
        <v>577</v>
      </c>
      <c r="D5234" s="4" t="s">
        <v>581</v>
      </c>
      <c r="E5234" s="4">
        <v>2.5</v>
      </c>
    </row>
    <row r="5235">
      <c r="A5235" s="5">
        <v>88020.0</v>
      </c>
      <c r="B5235" s="6" t="s">
        <v>317</v>
      </c>
      <c r="C5235" s="6" t="s">
        <v>577</v>
      </c>
      <c r="D5235" s="6" t="s">
        <v>581</v>
      </c>
      <c r="E5235" s="6">
        <v>2.32</v>
      </c>
    </row>
    <row r="5236">
      <c r="A5236" s="3">
        <v>44824.0</v>
      </c>
      <c r="B5236" s="4" t="s">
        <v>317</v>
      </c>
      <c r="C5236" s="4" t="s">
        <v>577</v>
      </c>
      <c r="D5236" s="4" t="s">
        <v>581</v>
      </c>
      <c r="E5236" s="4">
        <v>1.55</v>
      </c>
    </row>
    <row r="5237">
      <c r="A5237" s="5">
        <v>46900.0</v>
      </c>
      <c r="B5237" s="6" t="s">
        <v>317</v>
      </c>
      <c r="C5237" s="6" t="s">
        <v>577</v>
      </c>
      <c r="D5237" s="6" t="s">
        <v>581</v>
      </c>
      <c r="E5237" s="6">
        <v>1.42</v>
      </c>
    </row>
    <row r="5238">
      <c r="A5238" s="3">
        <v>41981.0</v>
      </c>
      <c r="B5238" s="4" t="s">
        <v>317</v>
      </c>
      <c r="C5238" s="4" t="s">
        <v>577</v>
      </c>
      <c r="D5238" s="4" t="s">
        <v>581</v>
      </c>
      <c r="E5238" s="4">
        <v>2.32</v>
      </c>
    </row>
    <row r="5239">
      <c r="A5239" s="5">
        <v>44825.0</v>
      </c>
      <c r="B5239" s="6" t="s">
        <v>317</v>
      </c>
      <c r="C5239" s="6" t="s">
        <v>577</v>
      </c>
      <c r="D5239" s="6" t="s">
        <v>581</v>
      </c>
      <c r="E5239" s="6">
        <v>1.72</v>
      </c>
    </row>
    <row r="5240">
      <c r="A5240" s="3">
        <v>6875.0</v>
      </c>
      <c r="B5240" s="4" t="s">
        <v>317</v>
      </c>
      <c r="C5240" s="4" t="s">
        <v>577</v>
      </c>
      <c r="D5240" s="4" t="s">
        <v>581</v>
      </c>
      <c r="E5240" s="4">
        <v>2.32</v>
      </c>
    </row>
    <row r="5241">
      <c r="A5241" s="5">
        <v>108981.0</v>
      </c>
      <c r="B5241" s="6" t="s">
        <v>317</v>
      </c>
      <c r="C5241" s="6" t="s">
        <v>577</v>
      </c>
      <c r="D5241" s="6" t="s">
        <v>581</v>
      </c>
      <c r="E5241" s="6">
        <v>2.53</v>
      </c>
    </row>
    <row r="5242">
      <c r="A5242" s="3">
        <v>110931.0</v>
      </c>
      <c r="B5242" s="4" t="s">
        <v>317</v>
      </c>
      <c r="C5242" s="4" t="s">
        <v>577</v>
      </c>
      <c r="D5242" s="4" t="s">
        <v>581</v>
      </c>
      <c r="E5242" s="4">
        <v>2.32</v>
      </c>
    </row>
    <row r="5243">
      <c r="A5243" s="5">
        <v>99037.0</v>
      </c>
      <c r="B5243" s="6" t="s">
        <v>317</v>
      </c>
      <c r="C5243" s="6" t="s">
        <v>577</v>
      </c>
      <c r="D5243" s="6" t="s">
        <v>581</v>
      </c>
      <c r="E5243" s="6">
        <v>1.84</v>
      </c>
    </row>
    <row r="5244">
      <c r="A5244" s="3">
        <v>99096.0</v>
      </c>
      <c r="B5244" s="4" t="s">
        <v>317</v>
      </c>
      <c r="C5244" s="4" t="s">
        <v>577</v>
      </c>
      <c r="D5244" s="4" t="s">
        <v>581</v>
      </c>
      <c r="E5244" s="4">
        <v>1.87</v>
      </c>
    </row>
    <row r="5245">
      <c r="A5245" s="5">
        <v>41986.0</v>
      </c>
      <c r="B5245" s="6" t="s">
        <v>317</v>
      </c>
      <c r="C5245" s="6" t="s">
        <v>577</v>
      </c>
      <c r="D5245" s="6" t="s">
        <v>581</v>
      </c>
      <c r="E5245" s="6">
        <v>2.44</v>
      </c>
    </row>
    <row r="5246">
      <c r="A5246" s="3">
        <v>79430.0</v>
      </c>
      <c r="B5246" s="4" t="s">
        <v>317</v>
      </c>
      <c r="C5246" s="4" t="s">
        <v>577</v>
      </c>
      <c r="D5246" s="4" t="s">
        <v>581</v>
      </c>
      <c r="E5246" s="4">
        <v>1.55</v>
      </c>
    </row>
    <row r="5247">
      <c r="A5247" s="5">
        <v>41921.0</v>
      </c>
      <c r="B5247" s="6" t="s">
        <v>317</v>
      </c>
      <c r="C5247" s="6" t="s">
        <v>577</v>
      </c>
      <c r="D5247" s="6" t="s">
        <v>582</v>
      </c>
      <c r="E5247" s="6">
        <v>2.44</v>
      </c>
    </row>
    <row r="5248">
      <c r="A5248" s="3">
        <v>41910.0</v>
      </c>
      <c r="B5248" s="4" t="s">
        <v>317</v>
      </c>
      <c r="C5248" s="4" t="s">
        <v>577</v>
      </c>
      <c r="D5248" s="4" t="s">
        <v>582</v>
      </c>
      <c r="E5248" s="4">
        <v>2.32</v>
      </c>
    </row>
    <row r="5249">
      <c r="A5249" s="5">
        <v>11069.0</v>
      </c>
      <c r="B5249" s="6" t="s">
        <v>317</v>
      </c>
      <c r="C5249" s="6" t="s">
        <v>577</v>
      </c>
      <c r="D5249" s="6" t="s">
        <v>582</v>
      </c>
      <c r="E5249" s="6">
        <v>1.74</v>
      </c>
    </row>
    <row r="5250">
      <c r="A5250" s="3">
        <v>41924.0</v>
      </c>
      <c r="B5250" s="4" t="s">
        <v>317</v>
      </c>
      <c r="C5250" s="4" t="s">
        <v>577</v>
      </c>
      <c r="D5250" s="4" t="s">
        <v>582</v>
      </c>
      <c r="E5250" s="4">
        <v>2.62</v>
      </c>
    </row>
    <row r="5251">
      <c r="A5251" s="5">
        <v>133913.0</v>
      </c>
      <c r="B5251" s="6" t="s">
        <v>317</v>
      </c>
      <c r="C5251" s="6" t="s">
        <v>577</v>
      </c>
      <c r="D5251" s="6" t="s">
        <v>582</v>
      </c>
      <c r="E5251" s="6">
        <v>2.45</v>
      </c>
    </row>
    <row r="5252">
      <c r="A5252" s="3">
        <v>70422.0</v>
      </c>
      <c r="B5252" s="4" t="s">
        <v>317</v>
      </c>
      <c r="C5252" s="4" t="s">
        <v>577</v>
      </c>
      <c r="D5252" s="4" t="s">
        <v>582</v>
      </c>
      <c r="E5252" s="4">
        <v>2.2</v>
      </c>
    </row>
    <row r="5253">
      <c r="A5253" s="5">
        <v>17812.0</v>
      </c>
      <c r="B5253" s="6" t="s">
        <v>317</v>
      </c>
      <c r="C5253" s="6" t="s">
        <v>577</v>
      </c>
      <c r="D5253" s="6" t="s">
        <v>583</v>
      </c>
      <c r="E5253" s="6">
        <v>1.92</v>
      </c>
    </row>
    <row r="5254">
      <c r="A5254" s="3">
        <v>70429.0</v>
      </c>
      <c r="B5254" s="4" t="s">
        <v>317</v>
      </c>
      <c r="C5254" s="4" t="s">
        <v>577</v>
      </c>
      <c r="D5254" s="4" t="s">
        <v>583</v>
      </c>
      <c r="E5254" s="4">
        <v>1.66</v>
      </c>
    </row>
    <row r="5255">
      <c r="A5255" s="5">
        <v>70428.0</v>
      </c>
      <c r="B5255" s="6" t="s">
        <v>317</v>
      </c>
      <c r="C5255" s="6" t="s">
        <v>577</v>
      </c>
      <c r="D5255" s="6" t="s">
        <v>583</v>
      </c>
      <c r="E5255" s="6">
        <v>1.92</v>
      </c>
    </row>
    <row r="5256">
      <c r="A5256" s="3">
        <v>99038.0</v>
      </c>
      <c r="B5256" s="4" t="s">
        <v>317</v>
      </c>
      <c r="C5256" s="4" t="s">
        <v>577</v>
      </c>
      <c r="D5256" s="4" t="s">
        <v>583</v>
      </c>
      <c r="E5256" s="4">
        <v>1.68</v>
      </c>
    </row>
    <row r="5257">
      <c r="A5257" s="5">
        <v>11071.0</v>
      </c>
      <c r="B5257" s="6" t="s">
        <v>317</v>
      </c>
      <c r="C5257" s="6" t="s">
        <v>577</v>
      </c>
      <c r="D5257" s="6" t="s">
        <v>583</v>
      </c>
      <c r="E5257" s="6">
        <v>1.75</v>
      </c>
    </row>
    <row r="5258">
      <c r="A5258" s="3">
        <v>17066.0</v>
      </c>
      <c r="B5258" s="4" t="s">
        <v>317</v>
      </c>
      <c r="C5258" s="4" t="s">
        <v>577</v>
      </c>
      <c r="D5258" s="4" t="s">
        <v>583</v>
      </c>
      <c r="E5258" s="4">
        <v>1.68</v>
      </c>
    </row>
    <row r="5259">
      <c r="A5259" s="5">
        <v>117649.0</v>
      </c>
      <c r="B5259" s="6" t="s">
        <v>317</v>
      </c>
      <c r="C5259" s="6" t="s">
        <v>577</v>
      </c>
      <c r="D5259" s="6" t="s">
        <v>583</v>
      </c>
      <c r="E5259" s="6">
        <v>2.43</v>
      </c>
    </row>
    <row r="5260">
      <c r="A5260" s="3">
        <v>70426.0</v>
      </c>
      <c r="B5260" s="4" t="s">
        <v>317</v>
      </c>
      <c r="C5260" s="4" t="s">
        <v>577</v>
      </c>
      <c r="D5260" s="4" t="s">
        <v>583</v>
      </c>
      <c r="E5260" s="4">
        <v>1.92</v>
      </c>
    </row>
    <row r="5261">
      <c r="A5261" s="5">
        <v>75750.0</v>
      </c>
      <c r="B5261" s="6" t="s">
        <v>317</v>
      </c>
      <c r="C5261" s="6" t="s">
        <v>577</v>
      </c>
      <c r="D5261" s="6" t="s">
        <v>583</v>
      </c>
      <c r="E5261" s="6">
        <v>2.08</v>
      </c>
    </row>
    <row r="5262">
      <c r="A5262" s="3">
        <v>117644.0</v>
      </c>
      <c r="B5262" s="4" t="s">
        <v>317</v>
      </c>
      <c r="C5262" s="4" t="s">
        <v>577</v>
      </c>
      <c r="D5262" s="4" t="s">
        <v>583</v>
      </c>
      <c r="E5262" s="4">
        <v>2.43</v>
      </c>
    </row>
    <row r="5263">
      <c r="A5263" s="5">
        <v>68512.0</v>
      </c>
      <c r="B5263" s="6" t="s">
        <v>317</v>
      </c>
      <c r="C5263" s="6" t="s">
        <v>577</v>
      </c>
      <c r="D5263" s="6" t="s">
        <v>583</v>
      </c>
      <c r="E5263" s="6">
        <v>1.75</v>
      </c>
    </row>
    <row r="5264">
      <c r="A5264" s="3">
        <v>12792.0</v>
      </c>
      <c r="B5264" s="4" t="s">
        <v>317</v>
      </c>
      <c r="C5264" s="4" t="s">
        <v>577</v>
      </c>
      <c r="D5264" s="4" t="s">
        <v>584</v>
      </c>
      <c r="E5264" s="4">
        <v>2.31</v>
      </c>
    </row>
    <row r="5265">
      <c r="A5265" s="5">
        <v>46684.0</v>
      </c>
      <c r="B5265" s="6" t="s">
        <v>317</v>
      </c>
      <c r="C5265" s="6" t="s">
        <v>577</v>
      </c>
      <c r="D5265" s="6" t="s">
        <v>584</v>
      </c>
      <c r="E5265" s="6">
        <v>2.31</v>
      </c>
    </row>
    <row r="5266">
      <c r="A5266" s="3">
        <v>12795.0</v>
      </c>
      <c r="B5266" s="4" t="s">
        <v>317</v>
      </c>
      <c r="C5266" s="4" t="s">
        <v>577</v>
      </c>
      <c r="D5266" s="4" t="s">
        <v>584</v>
      </c>
      <c r="E5266" s="4">
        <v>2.31</v>
      </c>
    </row>
    <row r="5267">
      <c r="A5267" s="5">
        <v>46686.0</v>
      </c>
      <c r="B5267" s="6" t="s">
        <v>317</v>
      </c>
      <c r="C5267" s="6" t="s">
        <v>577</v>
      </c>
      <c r="D5267" s="6" t="s">
        <v>584</v>
      </c>
      <c r="E5267" s="6">
        <v>2.31</v>
      </c>
    </row>
    <row r="5268">
      <c r="A5268" s="3">
        <v>12804.0</v>
      </c>
      <c r="B5268" s="4" t="s">
        <v>317</v>
      </c>
      <c r="C5268" s="4" t="s">
        <v>577</v>
      </c>
      <c r="D5268" s="4" t="s">
        <v>584</v>
      </c>
      <c r="E5268" s="4">
        <v>1.93</v>
      </c>
    </row>
    <row r="5269">
      <c r="A5269" s="5">
        <v>12799.0</v>
      </c>
      <c r="B5269" s="6" t="s">
        <v>317</v>
      </c>
      <c r="C5269" s="6" t="s">
        <v>577</v>
      </c>
      <c r="D5269" s="6" t="s">
        <v>584</v>
      </c>
      <c r="E5269" s="6">
        <v>2.17</v>
      </c>
    </row>
    <row r="5270">
      <c r="A5270" s="3">
        <v>100914.0</v>
      </c>
      <c r="B5270" s="4" t="s">
        <v>317</v>
      </c>
      <c r="C5270" s="4" t="s">
        <v>577</v>
      </c>
      <c r="D5270" s="4" t="s">
        <v>584</v>
      </c>
      <c r="E5270" s="4">
        <v>2.29</v>
      </c>
    </row>
    <row r="5271">
      <c r="A5271" s="5">
        <v>12802.0</v>
      </c>
      <c r="B5271" s="6" t="s">
        <v>317</v>
      </c>
      <c r="C5271" s="6" t="s">
        <v>577</v>
      </c>
      <c r="D5271" s="6" t="s">
        <v>584</v>
      </c>
      <c r="E5271" s="6">
        <v>1.95</v>
      </c>
    </row>
    <row r="5272">
      <c r="A5272" s="3">
        <v>100907.0</v>
      </c>
      <c r="B5272" s="4" t="s">
        <v>317</v>
      </c>
      <c r="C5272" s="4" t="s">
        <v>577</v>
      </c>
      <c r="D5272" s="4" t="s">
        <v>584</v>
      </c>
      <c r="E5272" s="4">
        <v>2.31</v>
      </c>
    </row>
    <row r="5273">
      <c r="A5273" s="5">
        <v>12794.0</v>
      </c>
      <c r="B5273" s="6" t="s">
        <v>317</v>
      </c>
      <c r="C5273" s="6" t="s">
        <v>577</v>
      </c>
      <c r="D5273" s="6" t="s">
        <v>584</v>
      </c>
      <c r="E5273" s="6">
        <v>1.95</v>
      </c>
    </row>
    <row r="5274">
      <c r="A5274" s="3">
        <v>4261.0</v>
      </c>
      <c r="B5274" s="4" t="s">
        <v>317</v>
      </c>
      <c r="C5274" s="4" t="s">
        <v>585</v>
      </c>
      <c r="D5274" s="4" t="s">
        <v>586</v>
      </c>
      <c r="E5274" s="4">
        <v>2.26</v>
      </c>
    </row>
    <row r="5275">
      <c r="A5275" s="5">
        <v>9656.0</v>
      </c>
      <c r="B5275" s="6" t="s">
        <v>317</v>
      </c>
      <c r="C5275" s="6" t="s">
        <v>585</v>
      </c>
      <c r="D5275" s="6" t="s">
        <v>586</v>
      </c>
      <c r="E5275" s="6">
        <v>2.1</v>
      </c>
    </row>
    <row r="5276">
      <c r="A5276" s="3">
        <v>9657.0</v>
      </c>
      <c r="B5276" s="4" t="s">
        <v>317</v>
      </c>
      <c r="C5276" s="4" t="s">
        <v>585</v>
      </c>
      <c r="D5276" s="4" t="s">
        <v>586</v>
      </c>
      <c r="E5276" s="4">
        <v>2.1</v>
      </c>
    </row>
    <row r="5277">
      <c r="A5277" s="5">
        <v>9660.0</v>
      </c>
      <c r="B5277" s="6" t="s">
        <v>317</v>
      </c>
      <c r="C5277" s="6" t="s">
        <v>585</v>
      </c>
      <c r="D5277" s="6" t="s">
        <v>586</v>
      </c>
      <c r="E5277" s="6">
        <v>2.1</v>
      </c>
    </row>
    <row r="5278">
      <c r="A5278" s="3">
        <v>9648.0</v>
      </c>
      <c r="B5278" s="4" t="s">
        <v>317</v>
      </c>
      <c r="C5278" s="4" t="s">
        <v>585</v>
      </c>
      <c r="D5278" s="4" t="s">
        <v>587</v>
      </c>
      <c r="E5278" s="4">
        <v>2.1</v>
      </c>
    </row>
    <row r="5279">
      <c r="A5279" s="5">
        <v>79424.0</v>
      </c>
      <c r="B5279" s="6" t="s">
        <v>317</v>
      </c>
      <c r="C5279" s="6" t="s">
        <v>585</v>
      </c>
      <c r="D5279" s="6" t="s">
        <v>587</v>
      </c>
      <c r="E5279" s="6">
        <v>2.1</v>
      </c>
    </row>
    <row r="5280">
      <c r="A5280" s="3">
        <v>4267.0</v>
      </c>
      <c r="B5280" s="4" t="s">
        <v>317</v>
      </c>
      <c r="C5280" s="4" t="s">
        <v>585</v>
      </c>
      <c r="D5280" s="4" t="s">
        <v>587</v>
      </c>
      <c r="E5280" s="4">
        <v>2.26</v>
      </c>
    </row>
    <row r="5281">
      <c r="A5281" s="5">
        <v>9647.0</v>
      </c>
      <c r="B5281" s="6" t="s">
        <v>317</v>
      </c>
      <c r="C5281" s="6" t="s">
        <v>585</v>
      </c>
      <c r="D5281" s="6" t="s">
        <v>587</v>
      </c>
      <c r="E5281" s="6">
        <v>2.1</v>
      </c>
    </row>
    <row r="5282">
      <c r="A5282" s="3">
        <v>110772.0</v>
      </c>
      <c r="B5282" s="4" t="s">
        <v>317</v>
      </c>
      <c r="C5282" s="4" t="s">
        <v>585</v>
      </c>
      <c r="D5282" s="4" t="s">
        <v>587</v>
      </c>
      <c r="E5282" s="4">
        <v>1.12</v>
      </c>
    </row>
    <row r="5283">
      <c r="A5283" s="5">
        <v>4255.0</v>
      </c>
      <c r="B5283" s="6" t="s">
        <v>317</v>
      </c>
      <c r="C5283" s="6" t="s">
        <v>585</v>
      </c>
      <c r="D5283" s="6" t="s">
        <v>587</v>
      </c>
      <c r="E5283" s="6">
        <v>1.99</v>
      </c>
    </row>
    <row r="5284">
      <c r="A5284" s="3">
        <v>4270.0</v>
      </c>
      <c r="B5284" s="4" t="s">
        <v>317</v>
      </c>
      <c r="C5284" s="4" t="s">
        <v>585</v>
      </c>
      <c r="D5284" s="4" t="s">
        <v>587</v>
      </c>
      <c r="E5284" s="4">
        <v>3.19</v>
      </c>
    </row>
    <row r="5285">
      <c r="A5285" s="5">
        <v>4264.0</v>
      </c>
      <c r="B5285" s="6" t="s">
        <v>317</v>
      </c>
      <c r="C5285" s="6" t="s">
        <v>585</v>
      </c>
      <c r="D5285" s="6" t="s">
        <v>587</v>
      </c>
      <c r="E5285" s="6">
        <v>2.26</v>
      </c>
    </row>
    <row r="5286">
      <c r="A5286" s="3">
        <v>4271.0</v>
      </c>
      <c r="B5286" s="4" t="s">
        <v>317</v>
      </c>
      <c r="C5286" s="4" t="s">
        <v>585</v>
      </c>
      <c r="D5286" s="4" t="s">
        <v>587</v>
      </c>
      <c r="E5286" s="4">
        <v>3.19</v>
      </c>
    </row>
    <row r="5287">
      <c r="A5287" s="5">
        <v>79428.0</v>
      </c>
      <c r="B5287" s="6" t="s">
        <v>317</v>
      </c>
      <c r="C5287" s="6" t="s">
        <v>585</v>
      </c>
      <c r="D5287" s="6" t="s">
        <v>587</v>
      </c>
      <c r="E5287" s="6">
        <v>2.2</v>
      </c>
    </row>
    <row r="5288">
      <c r="A5288" s="3">
        <v>68509.0</v>
      </c>
      <c r="B5288" s="4" t="s">
        <v>317</v>
      </c>
      <c r="C5288" s="4" t="s">
        <v>585</v>
      </c>
      <c r="D5288" s="4" t="s">
        <v>588</v>
      </c>
      <c r="E5288" s="4">
        <v>1.74</v>
      </c>
    </row>
    <row r="5289">
      <c r="A5289" s="5">
        <v>112104.0</v>
      </c>
      <c r="B5289" s="6" t="s">
        <v>317</v>
      </c>
      <c r="C5289" s="6" t="s">
        <v>585</v>
      </c>
      <c r="D5289" s="6" t="s">
        <v>588</v>
      </c>
      <c r="E5289" s="6">
        <v>1.72</v>
      </c>
    </row>
    <row r="5290">
      <c r="A5290" s="3">
        <v>79885.0</v>
      </c>
      <c r="B5290" s="4" t="s">
        <v>317</v>
      </c>
      <c r="C5290" s="4" t="s">
        <v>585</v>
      </c>
      <c r="D5290" s="4" t="s">
        <v>588</v>
      </c>
      <c r="E5290" s="4">
        <v>1.74</v>
      </c>
    </row>
    <row r="5291">
      <c r="A5291" s="5">
        <v>6876.0</v>
      </c>
      <c r="B5291" s="6" t="s">
        <v>317</v>
      </c>
      <c r="C5291" s="6" t="s">
        <v>585</v>
      </c>
      <c r="D5291" s="6" t="s">
        <v>588</v>
      </c>
      <c r="E5291" s="6">
        <v>2.2</v>
      </c>
    </row>
    <row r="5292">
      <c r="A5292" s="3">
        <v>79427.0</v>
      </c>
      <c r="B5292" s="4" t="s">
        <v>317</v>
      </c>
      <c r="C5292" s="4" t="s">
        <v>585</v>
      </c>
      <c r="D5292" s="4" t="s">
        <v>588</v>
      </c>
      <c r="E5292" s="4">
        <v>1.43</v>
      </c>
    </row>
    <row r="5293">
      <c r="A5293" s="5">
        <v>44828.0</v>
      </c>
      <c r="B5293" s="6" t="s">
        <v>317</v>
      </c>
      <c r="C5293" s="6" t="s">
        <v>585</v>
      </c>
      <c r="D5293" s="6" t="s">
        <v>588</v>
      </c>
      <c r="E5293" s="6">
        <v>1.43</v>
      </c>
    </row>
    <row r="5294">
      <c r="A5294" s="3">
        <v>122213.0</v>
      </c>
      <c r="B5294" s="4" t="s">
        <v>317</v>
      </c>
      <c r="C5294" s="4" t="s">
        <v>585</v>
      </c>
      <c r="D5294" s="4" t="s">
        <v>588</v>
      </c>
      <c r="E5294" s="4">
        <v>1.51</v>
      </c>
    </row>
    <row r="5295">
      <c r="A5295" s="5">
        <v>46903.0</v>
      </c>
      <c r="B5295" s="6" t="s">
        <v>317</v>
      </c>
      <c r="C5295" s="6" t="s">
        <v>585</v>
      </c>
      <c r="D5295" s="6" t="s">
        <v>588</v>
      </c>
      <c r="E5295" s="6">
        <v>1.42</v>
      </c>
    </row>
    <row r="5296">
      <c r="A5296" s="3">
        <v>80359.0</v>
      </c>
      <c r="B5296" s="4" t="s">
        <v>317</v>
      </c>
      <c r="C5296" s="4" t="s">
        <v>585</v>
      </c>
      <c r="D5296" s="4" t="s">
        <v>588</v>
      </c>
      <c r="E5296" s="4">
        <v>2.32</v>
      </c>
    </row>
    <row r="5297">
      <c r="A5297" s="5">
        <v>44827.0</v>
      </c>
      <c r="B5297" s="6" t="s">
        <v>317</v>
      </c>
      <c r="C5297" s="6" t="s">
        <v>585</v>
      </c>
      <c r="D5297" s="6" t="s">
        <v>588</v>
      </c>
      <c r="E5297" s="6">
        <v>1.43</v>
      </c>
    </row>
    <row r="5298">
      <c r="A5298" s="3">
        <v>79882.0</v>
      </c>
      <c r="B5298" s="4" t="s">
        <v>317</v>
      </c>
      <c r="C5298" s="4" t="s">
        <v>585</v>
      </c>
      <c r="D5298" s="4" t="s">
        <v>588</v>
      </c>
      <c r="E5298" s="4">
        <v>1.74</v>
      </c>
    </row>
    <row r="5299">
      <c r="A5299" s="5">
        <v>11065.0</v>
      </c>
      <c r="B5299" s="6" t="s">
        <v>317</v>
      </c>
      <c r="C5299" s="6" t="s">
        <v>585</v>
      </c>
      <c r="D5299" s="6" t="s">
        <v>588</v>
      </c>
      <c r="E5299" s="6">
        <v>1.74</v>
      </c>
    </row>
    <row r="5300">
      <c r="A5300" s="3">
        <v>41991.0</v>
      </c>
      <c r="B5300" s="4" t="s">
        <v>317</v>
      </c>
      <c r="C5300" s="4" t="s">
        <v>585</v>
      </c>
      <c r="D5300" s="4" t="s">
        <v>588</v>
      </c>
      <c r="E5300" s="4">
        <v>2.2</v>
      </c>
    </row>
    <row r="5301">
      <c r="A5301" s="5">
        <v>6877.0</v>
      </c>
      <c r="B5301" s="6" t="s">
        <v>317</v>
      </c>
      <c r="C5301" s="6" t="s">
        <v>585</v>
      </c>
      <c r="D5301" s="6" t="s">
        <v>588</v>
      </c>
      <c r="E5301" s="6">
        <v>2.2</v>
      </c>
    </row>
    <row r="5302">
      <c r="A5302" s="3">
        <v>4290.0</v>
      </c>
      <c r="B5302" s="4" t="s">
        <v>317</v>
      </c>
      <c r="C5302" s="4" t="s">
        <v>585</v>
      </c>
      <c r="D5302" s="4" t="s">
        <v>588</v>
      </c>
      <c r="E5302" s="4">
        <v>2.84</v>
      </c>
    </row>
    <row r="5303">
      <c r="A5303" s="5">
        <v>4905.0</v>
      </c>
      <c r="B5303" s="6" t="s">
        <v>317</v>
      </c>
      <c r="C5303" s="6" t="s">
        <v>585</v>
      </c>
      <c r="D5303" s="6" t="s">
        <v>588</v>
      </c>
      <c r="E5303" s="6">
        <v>1.43</v>
      </c>
    </row>
    <row r="5304">
      <c r="A5304" s="3">
        <v>41979.0</v>
      </c>
      <c r="B5304" s="4" t="s">
        <v>317</v>
      </c>
      <c r="C5304" s="4" t="s">
        <v>585</v>
      </c>
      <c r="D5304" s="4" t="s">
        <v>589</v>
      </c>
      <c r="E5304" s="4">
        <v>2.2</v>
      </c>
    </row>
    <row r="5305">
      <c r="A5305" s="5">
        <v>41925.0</v>
      </c>
      <c r="B5305" s="6" t="s">
        <v>317</v>
      </c>
      <c r="C5305" s="6" t="s">
        <v>585</v>
      </c>
      <c r="D5305" s="6" t="s">
        <v>589</v>
      </c>
      <c r="E5305" s="6">
        <v>2.2</v>
      </c>
    </row>
    <row r="5306">
      <c r="A5306" s="3">
        <v>17067.0</v>
      </c>
      <c r="B5306" s="4" t="s">
        <v>317</v>
      </c>
      <c r="C5306" s="4" t="s">
        <v>585</v>
      </c>
      <c r="D5306" s="4" t="s">
        <v>590</v>
      </c>
      <c r="E5306" s="4">
        <v>1.51</v>
      </c>
    </row>
    <row r="5307">
      <c r="A5307" s="5">
        <v>70425.0</v>
      </c>
      <c r="B5307" s="6" t="s">
        <v>317</v>
      </c>
      <c r="C5307" s="6" t="s">
        <v>585</v>
      </c>
      <c r="D5307" s="6" t="s">
        <v>590</v>
      </c>
      <c r="E5307" s="6">
        <v>1.51</v>
      </c>
    </row>
    <row r="5308">
      <c r="A5308" s="3">
        <v>17065.0</v>
      </c>
      <c r="B5308" s="4" t="s">
        <v>317</v>
      </c>
      <c r="C5308" s="4" t="s">
        <v>585</v>
      </c>
      <c r="D5308" s="4" t="s">
        <v>590</v>
      </c>
      <c r="E5308" s="4">
        <v>1.51</v>
      </c>
    </row>
    <row r="5309">
      <c r="A5309" s="5">
        <v>103514.0</v>
      </c>
      <c r="B5309" s="6" t="s">
        <v>317</v>
      </c>
      <c r="C5309" s="6" t="s">
        <v>585</v>
      </c>
      <c r="D5309" s="6" t="s">
        <v>590</v>
      </c>
      <c r="E5309" s="6">
        <v>2.08</v>
      </c>
    </row>
    <row r="5310">
      <c r="A5310" s="3">
        <v>4298.0</v>
      </c>
      <c r="B5310" s="4" t="s">
        <v>317</v>
      </c>
      <c r="C5310" s="4" t="s">
        <v>585</v>
      </c>
      <c r="D5310" s="4" t="s">
        <v>590</v>
      </c>
      <c r="E5310" s="4">
        <v>1.87</v>
      </c>
    </row>
    <row r="5311">
      <c r="A5311" s="5">
        <v>4301.0</v>
      </c>
      <c r="B5311" s="6" t="s">
        <v>317</v>
      </c>
      <c r="C5311" s="6" t="s">
        <v>585</v>
      </c>
      <c r="D5311" s="6" t="s">
        <v>590</v>
      </c>
      <c r="E5311" s="6">
        <v>1.75</v>
      </c>
    </row>
    <row r="5312">
      <c r="A5312" s="3">
        <v>75752.0</v>
      </c>
      <c r="B5312" s="4" t="s">
        <v>317</v>
      </c>
      <c r="C5312" s="4" t="s">
        <v>585</v>
      </c>
      <c r="D5312" s="4" t="s">
        <v>590</v>
      </c>
      <c r="E5312" s="4">
        <v>2.08</v>
      </c>
    </row>
    <row r="5313">
      <c r="A5313" s="5">
        <v>21520.0</v>
      </c>
      <c r="B5313" s="6" t="s">
        <v>60</v>
      </c>
      <c r="C5313" s="6" t="s">
        <v>591</v>
      </c>
      <c r="D5313" s="6" t="s">
        <v>592</v>
      </c>
      <c r="E5313" s="6">
        <v>1.59</v>
      </c>
    </row>
    <row r="5314">
      <c r="A5314" s="3">
        <v>82206.0</v>
      </c>
      <c r="B5314" s="4" t="s">
        <v>60</v>
      </c>
      <c r="C5314" s="4" t="s">
        <v>591</v>
      </c>
      <c r="D5314" s="4" t="s">
        <v>592</v>
      </c>
      <c r="E5314" s="4">
        <v>1.05</v>
      </c>
    </row>
    <row r="5315">
      <c r="A5315" s="5">
        <v>5599.0</v>
      </c>
      <c r="B5315" s="6" t="s">
        <v>60</v>
      </c>
      <c r="C5315" s="6" t="s">
        <v>591</v>
      </c>
      <c r="D5315" s="6" t="s">
        <v>592</v>
      </c>
      <c r="E5315" s="6">
        <v>1.08</v>
      </c>
    </row>
    <row r="5316">
      <c r="A5316" s="3">
        <v>87231.0</v>
      </c>
      <c r="B5316" s="4" t="s">
        <v>60</v>
      </c>
      <c r="C5316" s="4" t="s">
        <v>591</v>
      </c>
      <c r="D5316" s="4" t="s">
        <v>592</v>
      </c>
      <c r="E5316" s="4">
        <v>1.03</v>
      </c>
    </row>
    <row r="5317">
      <c r="A5317" s="5">
        <v>5861.0</v>
      </c>
      <c r="B5317" s="6" t="s">
        <v>60</v>
      </c>
      <c r="C5317" s="6" t="s">
        <v>591</v>
      </c>
      <c r="D5317" s="6" t="s">
        <v>592</v>
      </c>
      <c r="E5317" s="6">
        <v>1.47</v>
      </c>
    </row>
    <row r="5318">
      <c r="A5318" s="3">
        <v>90909.0</v>
      </c>
      <c r="B5318" s="4" t="s">
        <v>60</v>
      </c>
      <c r="C5318" s="4" t="s">
        <v>591</v>
      </c>
      <c r="D5318" s="4" t="s">
        <v>592</v>
      </c>
      <c r="E5318" s="4">
        <v>1.24</v>
      </c>
    </row>
    <row r="5319">
      <c r="A5319" s="5">
        <v>21523.0</v>
      </c>
      <c r="B5319" s="6" t="s">
        <v>60</v>
      </c>
      <c r="C5319" s="6" t="s">
        <v>591</v>
      </c>
      <c r="D5319" s="6" t="s">
        <v>592</v>
      </c>
      <c r="E5319" s="6">
        <v>2.05</v>
      </c>
    </row>
    <row r="5320">
      <c r="A5320" s="3">
        <v>5485.0</v>
      </c>
      <c r="B5320" s="4" t="s">
        <v>60</v>
      </c>
      <c r="C5320" s="4" t="s">
        <v>591</v>
      </c>
      <c r="D5320" s="4" t="s">
        <v>593</v>
      </c>
      <c r="E5320" s="4">
        <v>4.82</v>
      </c>
    </row>
    <row r="5321">
      <c r="A5321" s="5">
        <v>77294.0</v>
      </c>
      <c r="B5321" s="6" t="s">
        <v>60</v>
      </c>
      <c r="C5321" s="6" t="s">
        <v>591</v>
      </c>
      <c r="D5321" s="6" t="s">
        <v>593</v>
      </c>
      <c r="E5321" s="6">
        <v>2.42</v>
      </c>
    </row>
    <row r="5322">
      <c r="A5322" s="3">
        <v>5486.0</v>
      </c>
      <c r="B5322" s="4" t="s">
        <v>60</v>
      </c>
      <c r="C5322" s="4" t="s">
        <v>591</v>
      </c>
      <c r="D5322" s="4" t="s">
        <v>593</v>
      </c>
      <c r="E5322" s="4">
        <v>3.44</v>
      </c>
    </row>
    <row r="5323">
      <c r="A5323" s="5">
        <v>77293.0</v>
      </c>
      <c r="B5323" s="6" t="s">
        <v>60</v>
      </c>
      <c r="C5323" s="6" t="s">
        <v>591</v>
      </c>
      <c r="D5323" s="6" t="s">
        <v>593</v>
      </c>
      <c r="E5323" s="6">
        <v>2.26</v>
      </c>
    </row>
    <row r="5324">
      <c r="A5324" s="3">
        <v>112230.0</v>
      </c>
      <c r="B5324" s="4" t="s">
        <v>60</v>
      </c>
      <c r="C5324" s="4" t="s">
        <v>591</v>
      </c>
      <c r="D5324" s="4" t="s">
        <v>593</v>
      </c>
      <c r="E5324" s="4">
        <v>1.46</v>
      </c>
    </row>
    <row r="5325">
      <c r="A5325" s="5">
        <v>83607.0</v>
      </c>
      <c r="B5325" s="6" t="s">
        <v>60</v>
      </c>
      <c r="C5325" s="6" t="s">
        <v>591</v>
      </c>
      <c r="D5325" s="6" t="s">
        <v>593</v>
      </c>
      <c r="E5325" s="6">
        <v>27.38</v>
      </c>
    </row>
    <row r="5326">
      <c r="A5326" s="3">
        <v>117216.0</v>
      </c>
      <c r="B5326" s="4" t="s">
        <v>60</v>
      </c>
      <c r="C5326" s="4" t="s">
        <v>591</v>
      </c>
      <c r="D5326" s="4" t="s">
        <v>593</v>
      </c>
      <c r="E5326" s="4">
        <v>10.1</v>
      </c>
    </row>
    <row r="5327">
      <c r="A5327" s="5">
        <v>5487.0</v>
      </c>
      <c r="B5327" s="6" t="s">
        <v>60</v>
      </c>
      <c r="C5327" s="6" t="s">
        <v>591</v>
      </c>
      <c r="D5327" s="6" t="s">
        <v>593</v>
      </c>
      <c r="E5327" s="6">
        <v>3.39</v>
      </c>
    </row>
    <row r="5328">
      <c r="A5328" s="3">
        <v>77295.0</v>
      </c>
      <c r="B5328" s="4" t="s">
        <v>60</v>
      </c>
      <c r="C5328" s="4" t="s">
        <v>591</v>
      </c>
      <c r="D5328" s="4" t="s">
        <v>593</v>
      </c>
      <c r="E5328" s="4">
        <v>2.42</v>
      </c>
    </row>
    <row r="5329">
      <c r="A5329" s="5">
        <v>89774.0</v>
      </c>
      <c r="B5329" s="6" t="s">
        <v>60</v>
      </c>
      <c r="C5329" s="6" t="s">
        <v>591</v>
      </c>
      <c r="D5329" s="6" t="s">
        <v>593</v>
      </c>
      <c r="E5329" s="6">
        <v>3.5</v>
      </c>
    </row>
    <row r="5330">
      <c r="A5330" s="3">
        <v>5483.0</v>
      </c>
      <c r="B5330" s="4" t="s">
        <v>60</v>
      </c>
      <c r="C5330" s="4" t="s">
        <v>591</v>
      </c>
      <c r="D5330" s="4" t="s">
        <v>593</v>
      </c>
      <c r="E5330" s="4">
        <v>2.57</v>
      </c>
    </row>
    <row r="5331">
      <c r="A5331" s="5">
        <v>120541.0</v>
      </c>
      <c r="B5331" s="6" t="s">
        <v>60</v>
      </c>
      <c r="C5331" s="6" t="s">
        <v>591</v>
      </c>
      <c r="D5331" s="6" t="s">
        <v>593</v>
      </c>
      <c r="E5331" s="6">
        <v>3.99</v>
      </c>
    </row>
    <row r="5332">
      <c r="A5332" s="3">
        <v>100249.0</v>
      </c>
      <c r="B5332" s="4" t="s">
        <v>60</v>
      </c>
      <c r="C5332" s="4" t="s">
        <v>591</v>
      </c>
      <c r="D5332" s="4" t="s">
        <v>593</v>
      </c>
      <c r="E5332" s="4">
        <v>4.25</v>
      </c>
    </row>
    <row r="5333">
      <c r="A5333" s="5">
        <v>119242.0</v>
      </c>
      <c r="B5333" s="6" t="s">
        <v>60</v>
      </c>
      <c r="C5333" s="6" t="s">
        <v>591</v>
      </c>
      <c r="D5333" s="6" t="s">
        <v>593</v>
      </c>
      <c r="E5333" s="6">
        <v>1.62</v>
      </c>
    </row>
    <row r="5334">
      <c r="A5334" s="3">
        <v>90868.0</v>
      </c>
      <c r="B5334" s="4" t="s">
        <v>60</v>
      </c>
      <c r="C5334" s="4" t="s">
        <v>591</v>
      </c>
      <c r="D5334" s="4" t="s">
        <v>594</v>
      </c>
      <c r="E5334" s="4">
        <v>6.48</v>
      </c>
    </row>
    <row r="5335">
      <c r="A5335" s="5">
        <v>90854.0</v>
      </c>
      <c r="B5335" s="6" t="s">
        <v>60</v>
      </c>
      <c r="C5335" s="6" t="s">
        <v>591</v>
      </c>
      <c r="D5335" s="6" t="s">
        <v>594</v>
      </c>
      <c r="E5335" s="6">
        <v>2.42</v>
      </c>
    </row>
    <row r="5336">
      <c r="A5336" s="3">
        <v>76568.0</v>
      </c>
      <c r="B5336" s="4" t="s">
        <v>60</v>
      </c>
      <c r="C5336" s="4" t="s">
        <v>591</v>
      </c>
      <c r="D5336" s="4" t="s">
        <v>594</v>
      </c>
      <c r="E5336" s="4">
        <v>1.6</v>
      </c>
    </row>
    <row r="5337">
      <c r="A5337" s="5">
        <v>76589.0</v>
      </c>
      <c r="B5337" s="6" t="s">
        <v>60</v>
      </c>
      <c r="C5337" s="6" t="s">
        <v>591</v>
      </c>
      <c r="D5337" s="6" t="s">
        <v>594</v>
      </c>
      <c r="E5337" s="6">
        <v>1.84</v>
      </c>
    </row>
    <row r="5338">
      <c r="A5338" s="3">
        <v>76581.0</v>
      </c>
      <c r="B5338" s="4" t="s">
        <v>60</v>
      </c>
      <c r="C5338" s="4" t="s">
        <v>591</v>
      </c>
      <c r="D5338" s="4" t="s">
        <v>594</v>
      </c>
      <c r="E5338" s="4">
        <v>1.37</v>
      </c>
    </row>
    <row r="5339">
      <c r="A5339" s="5">
        <v>77250.0</v>
      </c>
      <c r="B5339" s="6" t="s">
        <v>60</v>
      </c>
      <c r="C5339" s="6" t="s">
        <v>591</v>
      </c>
      <c r="D5339" s="6" t="s">
        <v>594</v>
      </c>
      <c r="E5339" s="6">
        <v>1.37</v>
      </c>
    </row>
    <row r="5340">
      <c r="A5340" s="3">
        <v>87222.0</v>
      </c>
      <c r="B5340" s="4" t="s">
        <v>60</v>
      </c>
      <c r="C5340" s="4" t="s">
        <v>591</v>
      </c>
      <c r="D5340" s="4" t="s">
        <v>594</v>
      </c>
      <c r="E5340" s="4">
        <v>11.96</v>
      </c>
    </row>
    <row r="5341">
      <c r="A5341" s="5">
        <v>122120.0</v>
      </c>
      <c r="B5341" s="6" t="s">
        <v>60</v>
      </c>
      <c r="C5341" s="6" t="s">
        <v>591</v>
      </c>
      <c r="D5341" s="6" t="s">
        <v>594</v>
      </c>
      <c r="E5341" s="6">
        <v>2.34</v>
      </c>
    </row>
    <row r="5342">
      <c r="A5342" s="3">
        <v>122121.0</v>
      </c>
      <c r="B5342" s="4" t="s">
        <v>60</v>
      </c>
      <c r="C5342" s="4" t="s">
        <v>591</v>
      </c>
      <c r="D5342" s="4" t="s">
        <v>594</v>
      </c>
      <c r="E5342" s="4">
        <v>2.98</v>
      </c>
    </row>
    <row r="5343">
      <c r="A5343" s="5">
        <v>90880.0</v>
      </c>
      <c r="B5343" s="6" t="s">
        <v>60</v>
      </c>
      <c r="C5343" s="6" t="s">
        <v>591</v>
      </c>
      <c r="D5343" s="6" t="s">
        <v>594</v>
      </c>
      <c r="E5343" s="6">
        <v>2.46</v>
      </c>
    </row>
    <row r="5344">
      <c r="A5344" s="3">
        <v>122088.0</v>
      </c>
      <c r="B5344" s="4" t="s">
        <v>60</v>
      </c>
      <c r="C5344" s="4" t="s">
        <v>591</v>
      </c>
      <c r="D5344" s="4" t="s">
        <v>594</v>
      </c>
      <c r="E5344" s="4">
        <v>1.06</v>
      </c>
    </row>
    <row r="5345">
      <c r="A5345" s="5">
        <v>90886.0</v>
      </c>
      <c r="B5345" s="6" t="s">
        <v>60</v>
      </c>
      <c r="C5345" s="6" t="s">
        <v>591</v>
      </c>
      <c r="D5345" s="6" t="s">
        <v>594</v>
      </c>
      <c r="E5345" s="6">
        <v>1.28</v>
      </c>
    </row>
    <row r="5346">
      <c r="A5346" s="3">
        <v>90755.0</v>
      </c>
      <c r="B5346" s="4" t="s">
        <v>60</v>
      </c>
      <c r="C5346" s="4" t="s">
        <v>591</v>
      </c>
      <c r="D5346" s="4" t="s">
        <v>594</v>
      </c>
      <c r="E5346" s="4">
        <v>1.84</v>
      </c>
    </row>
    <row r="5347">
      <c r="A5347" s="5">
        <v>111045.0</v>
      </c>
      <c r="B5347" s="6" t="s">
        <v>60</v>
      </c>
      <c r="C5347" s="6" t="s">
        <v>591</v>
      </c>
      <c r="D5347" s="6" t="s">
        <v>594</v>
      </c>
      <c r="E5347" s="6">
        <v>1.76</v>
      </c>
    </row>
    <row r="5348">
      <c r="A5348" s="3">
        <v>76582.0</v>
      </c>
      <c r="B5348" s="4" t="s">
        <v>60</v>
      </c>
      <c r="C5348" s="4" t="s">
        <v>591</v>
      </c>
      <c r="D5348" s="4" t="s">
        <v>594</v>
      </c>
      <c r="E5348" s="4">
        <v>1.78</v>
      </c>
    </row>
    <row r="5349">
      <c r="A5349" s="5">
        <v>76570.0</v>
      </c>
      <c r="B5349" s="6" t="s">
        <v>60</v>
      </c>
      <c r="C5349" s="6" t="s">
        <v>591</v>
      </c>
      <c r="D5349" s="6" t="s">
        <v>594</v>
      </c>
      <c r="E5349" s="6">
        <v>1.15</v>
      </c>
    </row>
    <row r="5350">
      <c r="A5350" s="3">
        <v>87099.0</v>
      </c>
      <c r="B5350" s="4" t="s">
        <v>60</v>
      </c>
      <c r="C5350" s="4" t="s">
        <v>591</v>
      </c>
      <c r="D5350" s="4" t="s">
        <v>594</v>
      </c>
      <c r="E5350" s="4">
        <v>1.4</v>
      </c>
    </row>
    <row r="5351">
      <c r="A5351" s="5">
        <v>76569.0</v>
      </c>
      <c r="B5351" s="6" t="s">
        <v>60</v>
      </c>
      <c r="C5351" s="6" t="s">
        <v>591</v>
      </c>
      <c r="D5351" s="6" t="s">
        <v>594</v>
      </c>
      <c r="E5351" s="6">
        <v>1.7</v>
      </c>
    </row>
    <row r="5352">
      <c r="A5352" s="3">
        <v>5586.0</v>
      </c>
      <c r="B5352" s="4" t="s">
        <v>60</v>
      </c>
      <c r="C5352" s="4" t="s">
        <v>591</v>
      </c>
      <c r="D5352" s="4" t="s">
        <v>594</v>
      </c>
      <c r="E5352" s="4">
        <v>1.64</v>
      </c>
    </row>
    <row r="5353">
      <c r="A5353" s="5">
        <v>5600.0</v>
      </c>
      <c r="B5353" s="6" t="s">
        <v>60</v>
      </c>
      <c r="C5353" s="6" t="s">
        <v>591</v>
      </c>
      <c r="D5353" s="6" t="s">
        <v>594</v>
      </c>
      <c r="E5353" s="6">
        <v>1.52</v>
      </c>
    </row>
    <row r="5354">
      <c r="A5354" s="3">
        <v>120390.0</v>
      </c>
      <c r="B5354" s="4" t="s">
        <v>60</v>
      </c>
      <c r="C5354" s="4" t="s">
        <v>591</v>
      </c>
      <c r="D5354" s="4" t="s">
        <v>594</v>
      </c>
      <c r="E5354" s="4">
        <v>2.37</v>
      </c>
    </row>
    <row r="5355">
      <c r="A5355" s="5">
        <v>76389.0</v>
      </c>
      <c r="B5355" s="6" t="s">
        <v>60</v>
      </c>
      <c r="C5355" s="6" t="s">
        <v>591</v>
      </c>
      <c r="D5355" s="6" t="s">
        <v>594</v>
      </c>
      <c r="E5355" s="6">
        <v>2.57</v>
      </c>
    </row>
    <row r="5356">
      <c r="A5356" s="3">
        <v>5601.0</v>
      </c>
      <c r="B5356" s="4" t="s">
        <v>60</v>
      </c>
      <c r="C5356" s="4" t="s">
        <v>591</v>
      </c>
      <c r="D5356" s="4" t="s">
        <v>594</v>
      </c>
      <c r="E5356" s="4">
        <v>1.75</v>
      </c>
    </row>
    <row r="5357">
      <c r="A5357" s="5">
        <v>202579.0</v>
      </c>
      <c r="B5357" s="6" t="s">
        <v>60</v>
      </c>
      <c r="C5357" s="6" t="s">
        <v>591</v>
      </c>
      <c r="D5357" s="6" t="s">
        <v>594</v>
      </c>
      <c r="E5357" s="6">
        <v>2.26</v>
      </c>
    </row>
    <row r="5358">
      <c r="A5358" s="3">
        <v>5584.0</v>
      </c>
      <c r="B5358" s="4" t="s">
        <v>60</v>
      </c>
      <c r="C5358" s="4" t="s">
        <v>591</v>
      </c>
      <c r="D5358" s="4" t="s">
        <v>594</v>
      </c>
      <c r="E5358" s="4">
        <v>3.31</v>
      </c>
    </row>
    <row r="5359">
      <c r="A5359" s="5">
        <v>90888.0</v>
      </c>
      <c r="B5359" s="6" t="s">
        <v>60</v>
      </c>
      <c r="C5359" s="6" t="s">
        <v>591</v>
      </c>
      <c r="D5359" s="6" t="s">
        <v>594</v>
      </c>
      <c r="E5359" s="6">
        <v>6.06</v>
      </c>
    </row>
    <row r="5360">
      <c r="A5360" s="3">
        <v>76584.0</v>
      </c>
      <c r="B5360" s="4" t="s">
        <v>60</v>
      </c>
      <c r="C5360" s="4" t="s">
        <v>591</v>
      </c>
      <c r="D5360" s="4" t="s">
        <v>594</v>
      </c>
      <c r="E5360" s="4">
        <v>1.14</v>
      </c>
    </row>
    <row r="5361">
      <c r="A5361" s="5">
        <v>87171.0</v>
      </c>
      <c r="B5361" s="6" t="s">
        <v>60</v>
      </c>
      <c r="C5361" s="6" t="s">
        <v>591</v>
      </c>
      <c r="D5361" s="6" t="s">
        <v>594</v>
      </c>
      <c r="E5361" s="6">
        <v>2.5</v>
      </c>
    </row>
    <row r="5362">
      <c r="A5362" s="3">
        <v>110569.0</v>
      </c>
      <c r="B5362" s="4" t="s">
        <v>60</v>
      </c>
      <c r="C5362" s="4" t="s">
        <v>591</v>
      </c>
      <c r="D5362" s="4" t="s">
        <v>594</v>
      </c>
      <c r="E5362" s="4">
        <v>1.2</v>
      </c>
    </row>
    <row r="5363">
      <c r="A5363" s="5">
        <v>5588.0</v>
      </c>
      <c r="B5363" s="6" t="s">
        <v>60</v>
      </c>
      <c r="C5363" s="6" t="s">
        <v>591</v>
      </c>
      <c r="D5363" s="6" t="s">
        <v>594</v>
      </c>
      <c r="E5363" s="6">
        <v>3.03</v>
      </c>
    </row>
    <row r="5364">
      <c r="A5364" s="3">
        <v>117165.0</v>
      </c>
      <c r="B5364" s="4" t="s">
        <v>60</v>
      </c>
      <c r="C5364" s="4" t="s">
        <v>591</v>
      </c>
      <c r="D5364" s="4" t="s">
        <v>594</v>
      </c>
      <c r="E5364" s="4">
        <v>1.16</v>
      </c>
    </row>
    <row r="5365">
      <c r="A5365" s="5">
        <v>5587.0</v>
      </c>
      <c r="B5365" s="6" t="s">
        <v>60</v>
      </c>
      <c r="C5365" s="6" t="s">
        <v>591</v>
      </c>
      <c r="D5365" s="6" t="s">
        <v>594</v>
      </c>
      <c r="E5365" s="6">
        <v>1.68</v>
      </c>
    </row>
    <row r="5366">
      <c r="A5366" s="3">
        <v>68359.0</v>
      </c>
      <c r="B5366" s="4" t="s">
        <v>60</v>
      </c>
      <c r="C5366" s="4" t="s">
        <v>591</v>
      </c>
      <c r="D5366" s="4" t="s">
        <v>594</v>
      </c>
      <c r="E5366" s="4">
        <v>2.21</v>
      </c>
    </row>
    <row r="5367">
      <c r="A5367" s="5">
        <v>5590.0</v>
      </c>
      <c r="B5367" s="6" t="s">
        <v>60</v>
      </c>
      <c r="C5367" s="6" t="s">
        <v>591</v>
      </c>
      <c r="D5367" s="6" t="s">
        <v>594</v>
      </c>
      <c r="E5367" s="6">
        <v>2.33</v>
      </c>
    </row>
    <row r="5368">
      <c r="A5368" s="3">
        <v>76475.0</v>
      </c>
      <c r="B5368" s="4" t="s">
        <v>60</v>
      </c>
      <c r="C5368" s="4" t="s">
        <v>591</v>
      </c>
      <c r="D5368" s="4" t="s">
        <v>594</v>
      </c>
      <c r="E5368" s="4">
        <v>1.6</v>
      </c>
    </row>
    <row r="5369">
      <c r="A5369" s="5">
        <v>147309.0</v>
      </c>
      <c r="B5369" s="6" t="s">
        <v>60</v>
      </c>
      <c r="C5369" s="6" t="s">
        <v>591</v>
      </c>
      <c r="D5369" s="6" t="s">
        <v>594</v>
      </c>
      <c r="E5369" s="6">
        <v>1.71</v>
      </c>
    </row>
    <row r="5370">
      <c r="A5370" s="3">
        <v>120533.0</v>
      </c>
      <c r="B5370" s="4" t="s">
        <v>60</v>
      </c>
      <c r="C5370" s="4" t="s">
        <v>591</v>
      </c>
      <c r="D5370" s="4" t="s">
        <v>594</v>
      </c>
      <c r="E5370" s="4">
        <v>2.83</v>
      </c>
    </row>
    <row r="5371">
      <c r="A5371" s="5">
        <v>5591.0</v>
      </c>
      <c r="B5371" s="6" t="s">
        <v>60</v>
      </c>
      <c r="C5371" s="6" t="s">
        <v>591</v>
      </c>
      <c r="D5371" s="6" t="s">
        <v>594</v>
      </c>
      <c r="E5371" s="6">
        <v>2.15</v>
      </c>
    </row>
    <row r="5372">
      <c r="A5372" s="3">
        <v>77248.0</v>
      </c>
      <c r="B5372" s="4" t="s">
        <v>60</v>
      </c>
      <c r="C5372" s="4" t="s">
        <v>591</v>
      </c>
      <c r="D5372" s="4" t="s">
        <v>594</v>
      </c>
      <c r="E5372" s="4">
        <v>1.42</v>
      </c>
    </row>
    <row r="5373">
      <c r="A5373" s="5">
        <v>90819.0</v>
      </c>
      <c r="B5373" s="6" t="s">
        <v>60</v>
      </c>
      <c r="C5373" s="6" t="s">
        <v>591</v>
      </c>
      <c r="D5373" s="6" t="s">
        <v>594</v>
      </c>
      <c r="E5373" s="6">
        <v>8.01</v>
      </c>
    </row>
    <row r="5374">
      <c r="A5374" s="3">
        <v>90820.0</v>
      </c>
      <c r="B5374" s="4" t="s">
        <v>60</v>
      </c>
      <c r="C5374" s="4" t="s">
        <v>591</v>
      </c>
      <c r="D5374" s="4" t="s">
        <v>594</v>
      </c>
      <c r="E5374" s="4">
        <v>1.55</v>
      </c>
    </row>
    <row r="5375">
      <c r="A5375" s="5">
        <v>90839.0</v>
      </c>
      <c r="B5375" s="6" t="s">
        <v>60</v>
      </c>
      <c r="C5375" s="6" t="s">
        <v>591</v>
      </c>
      <c r="D5375" s="6" t="s">
        <v>594</v>
      </c>
      <c r="E5375" s="6">
        <v>2.6</v>
      </c>
    </row>
    <row r="5376">
      <c r="A5376" s="3">
        <v>90858.0</v>
      </c>
      <c r="B5376" s="4" t="s">
        <v>60</v>
      </c>
      <c r="C5376" s="4" t="s">
        <v>591</v>
      </c>
      <c r="D5376" s="4" t="s">
        <v>594</v>
      </c>
      <c r="E5376" s="4">
        <v>11.18</v>
      </c>
    </row>
    <row r="5377">
      <c r="A5377" s="5">
        <v>76588.0</v>
      </c>
      <c r="B5377" s="6" t="s">
        <v>60</v>
      </c>
      <c r="C5377" s="6" t="s">
        <v>591</v>
      </c>
      <c r="D5377" s="6" t="s">
        <v>594</v>
      </c>
      <c r="E5377" s="6">
        <v>3.36</v>
      </c>
    </row>
    <row r="5378">
      <c r="A5378" s="3">
        <v>90671.0</v>
      </c>
      <c r="B5378" s="4" t="s">
        <v>60</v>
      </c>
      <c r="C5378" s="4" t="s">
        <v>591</v>
      </c>
      <c r="D5378" s="4" t="s">
        <v>595</v>
      </c>
      <c r="E5378" s="4">
        <v>1.19</v>
      </c>
    </row>
    <row r="5379">
      <c r="A5379" s="5">
        <v>77194.0</v>
      </c>
      <c r="B5379" s="6" t="s">
        <v>60</v>
      </c>
      <c r="C5379" s="6" t="s">
        <v>591</v>
      </c>
      <c r="D5379" s="6" t="s">
        <v>595</v>
      </c>
      <c r="E5379" s="6">
        <v>1.67</v>
      </c>
    </row>
    <row r="5380">
      <c r="A5380" s="3">
        <v>5504.0</v>
      </c>
      <c r="B5380" s="4" t="s">
        <v>60</v>
      </c>
      <c r="C5380" s="4" t="s">
        <v>591</v>
      </c>
      <c r="D5380" s="4" t="s">
        <v>595</v>
      </c>
      <c r="E5380" s="4">
        <v>1.21</v>
      </c>
    </row>
    <row r="5381">
      <c r="A5381" s="5">
        <v>90662.0</v>
      </c>
      <c r="B5381" s="6" t="s">
        <v>60</v>
      </c>
      <c r="C5381" s="6" t="s">
        <v>591</v>
      </c>
      <c r="D5381" s="6" t="s">
        <v>595</v>
      </c>
      <c r="E5381" s="6">
        <v>1.14</v>
      </c>
    </row>
    <row r="5382">
      <c r="A5382" s="3">
        <v>87288.0</v>
      </c>
      <c r="B5382" s="4" t="s">
        <v>60</v>
      </c>
      <c r="C5382" s="4" t="s">
        <v>591</v>
      </c>
      <c r="D5382" s="4" t="s">
        <v>595</v>
      </c>
      <c r="E5382" s="4">
        <v>0.83</v>
      </c>
    </row>
    <row r="5383">
      <c r="A5383" s="5">
        <v>5494.0</v>
      </c>
      <c r="B5383" s="6" t="s">
        <v>60</v>
      </c>
      <c r="C5383" s="6" t="s">
        <v>591</v>
      </c>
      <c r="D5383" s="6" t="s">
        <v>595</v>
      </c>
      <c r="E5383" s="6">
        <v>2.18</v>
      </c>
    </row>
    <row r="5384">
      <c r="A5384" s="3">
        <v>76637.0</v>
      </c>
      <c r="B5384" s="4" t="s">
        <v>60</v>
      </c>
      <c r="C5384" s="4" t="s">
        <v>591</v>
      </c>
      <c r="D5384" s="4" t="s">
        <v>595</v>
      </c>
      <c r="E5384" s="4">
        <v>1.19</v>
      </c>
    </row>
    <row r="5385">
      <c r="A5385" s="5">
        <v>76601.0</v>
      </c>
      <c r="B5385" s="6" t="s">
        <v>60</v>
      </c>
      <c r="C5385" s="6" t="s">
        <v>591</v>
      </c>
      <c r="D5385" s="6" t="s">
        <v>595</v>
      </c>
      <c r="E5385" s="6">
        <v>1.21</v>
      </c>
    </row>
    <row r="5386">
      <c r="A5386" s="3">
        <v>87202.0</v>
      </c>
      <c r="B5386" s="4" t="s">
        <v>60</v>
      </c>
      <c r="C5386" s="4" t="s">
        <v>591</v>
      </c>
      <c r="D5386" s="4" t="s">
        <v>595</v>
      </c>
      <c r="E5386" s="4">
        <v>0.9</v>
      </c>
    </row>
    <row r="5387">
      <c r="A5387" s="5">
        <v>122244.0</v>
      </c>
      <c r="B5387" s="6" t="s">
        <v>60</v>
      </c>
      <c r="C5387" s="6" t="s">
        <v>591</v>
      </c>
      <c r="D5387" s="6" t="s">
        <v>595</v>
      </c>
      <c r="E5387" s="6">
        <v>2.75</v>
      </c>
    </row>
    <row r="5388">
      <c r="A5388" s="3">
        <v>122075.0</v>
      </c>
      <c r="B5388" s="4" t="s">
        <v>60</v>
      </c>
      <c r="C5388" s="4" t="s">
        <v>591</v>
      </c>
      <c r="D5388" s="4" t="s">
        <v>595</v>
      </c>
      <c r="E5388" s="4">
        <v>1.06</v>
      </c>
    </row>
    <row r="5389">
      <c r="A5389" s="5">
        <v>90735.0</v>
      </c>
      <c r="B5389" s="6" t="s">
        <v>60</v>
      </c>
      <c r="C5389" s="6" t="s">
        <v>591</v>
      </c>
      <c r="D5389" s="6" t="s">
        <v>595</v>
      </c>
      <c r="E5389" s="6">
        <v>7.8</v>
      </c>
    </row>
    <row r="5390">
      <c r="A5390" s="3">
        <v>20951.0</v>
      </c>
      <c r="B5390" s="4" t="s">
        <v>60</v>
      </c>
      <c r="C5390" s="4" t="s">
        <v>591</v>
      </c>
      <c r="D5390" s="4" t="s">
        <v>595</v>
      </c>
      <c r="E5390" s="4">
        <v>2.22</v>
      </c>
    </row>
    <row r="5391">
      <c r="A5391" s="5">
        <v>5502.0</v>
      </c>
      <c r="B5391" s="6" t="s">
        <v>60</v>
      </c>
      <c r="C5391" s="6" t="s">
        <v>591</v>
      </c>
      <c r="D5391" s="6" t="s">
        <v>595</v>
      </c>
      <c r="E5391" s="6">
        <v>3.13</v>
      </c>
    </row>
    <row r="5392">
      <c r="A5392" s="3">
        <v>90669.0</v>
      </c>
      <c r="B5392" s="4" t="s">
        <v>60</v>
      </c>
      <c r="C5392" s="4" t="s">
        <v>591</v>
      </c>
      <c r="D5392" s="4" t="s">
        <v>595</v>
      </c>
      <c r="E5392" s="4">
        <v>2.47</v>
      </c>
    </row>
    <row r="5393">
      <c r="A5393" s="5">
        <v>90673.0</v>
      </c>
      <c r="B5393" s="6" t="s">
        <v>60</v>
      </c>
      <c r="C5393" s="6" t="s">
        <v>591</v>
      </c>
      <c r="D5393" s="6" t="s">
        <v>595</v>
      </c>
      <c r="E5393" s="6">
        <v>5.77</v>
      </c>
    </row>
    <row r="5394">
      <c r="A5394" s="3">
        <v>68403.0</v>
      </c>
      <c r="B5394" s="4" t="s">
        <v>60</v>
      </c>
      <c r="C5394" s="4" t="s">
        <v>591</v>
      </c>
      <c r="D5394" s="4" t="s">
        <v>595</v>
      </c>
      <c r="E5394" s="4">
        <v>1.63</v>
      </c>
    </row>
    <row r="5395">
      <c r="A5395" s="5">
        <v>76636.0</v>
      </c>
      <c r="B5395" s="6" t="s">
        <v>60</v>
      </c>
      <c r="C5395" s="6" t="s">
        <v>591</v>
      </c>
      <c r="D5395" s="6" t="s">
        <v>595</v>
      </c>
      <c r="E5395" s="6">
        <v>2.14</v>
      </c>
    </row>
    <row r="5396">
      <c r="A5396" s="3">
        <v>77397.0</v>
      </c>
      <c r="B5396" s="4" t="s">
        <v>60</v>
      </c>
      <c r="C5396" s="4" t="s">
        <v>591</v>
      </c>
      <c r="D5396" s="4" t="s">
        <v>595</v>
      </c>
      <c r="E5396" s="4">
        <v>1.59</v>
      </c>
    </row>
    <row r="5397">
      <c r="A5397" s="5">
        <v>76195.0</v>
      </c>
      <c r="B5397" s="6" t="s">
        <v>60</v>
      </c>
      <c r="C5397" s="6" t="s">
        <v>591</v>
      </c>
      <c r="D5397" s="6" t="s">
        <v>595</v>
      </c>
      <c r="E5397" s="6">
        <v>1.02</v>
      </c>
    </row>
    <row r="5398">
      <c r="A5398" s="3">
        <v>90710.0</v>
      </c>
      <c r="B5398" s="4" t="s">
        <v>60</v>
      </c>
      <c r="C5398" s="4" t="s">
        <v>591</v>
      </c>
      <c r="D5398" s="4" t="s">
        <v>595</v>
      </c>
      <c r="E5398" s="4">
        <v>0.73</v>
      </c>
    </row>
    <row r="5399">
      <c r="A5399" s="5">
        <v>117148.0</v>
      </c>
      <c r="B5399" s="6" t="s">
        <v>60</v>
      </c>
      <c r="C5399" s="6" t="s">
        <v>591</v>
      </c>
      <c r="D5399" s="6" t="s">
        <v>595</v>
      </c>
      <c r="E5399" s="6">
        <v>1.2</v>
      </c>
    </row>
    <row r="5400">
      <c r="A5400" s="3">
        <v>5493.0</v>
      </c>
      <c r="B5400" s="4" t="s">
        <v>60</v>
      </c>
      <c r="C5400" s="4" t="s">
        <v>591</v>
      </c>
      <c r="D5400" s="4" t="s">
        <v>595</v>
      </c>
      <c r="E5400" s="4">
        <v>2.02</v>
      </c>
    </row>
    <row r="5401">
      <c r="A5401" s="5">
        <v>76671.0</v>
      </c>
      <c r="B5401" s="6" t="s">
        <v>60</v>
      </c>
      <c r="C5401" s="6" t="s">
        <v>591</v>
      </c>
      <c r="D5401" s="6" t="s">
        <v>595</v>
      </c>
      <c r="E5401" s="6">
        <v>0.91</v>
      </c>
    </row>
    <row r="5402">
      <c r="A5402" s="3">
        <v>90678.0</v>
      </c>
      <c r="B5402" s="4" t="s">
        <v>60</v>
      </c>
      <c r="C5402" s="4" t="s">
        <v>591</v>
      </c>
      <c r="D5402" s="4" t="s">
        <v>595</v>
      </c>
      <c r="E5402" s="4">
        <v>1.32</v>
      </c>
    </row>
    <row r="5403">
      <c r="A5403" s="5">
        <v>76207.0</v>
      </c>
      <c r="B5403" s="6" t="s">
        <v>60</v>
      </c>
      <c r="C5403" s="6" t="s">
        <v>591</v>
      </c>
      <c r="D5403" s="6" t="s">
        <v>595</v>
      </c>
      <c r="E5403" s="6">
        <v>0.69</v>
      </c>
    </row>
    <row r="5404">
      <c r="A5404" s="3">
        <v>5500.0</v>
      </c>
      <c r="B5404" s="4" t="s">
        <v>60</v>
      </c>
      <c r="C5404" s="4" t="s">
        <v>591</v>
      </c>
      <c r="D5404" s="4" t="s">
        <v>595</v>
      </c>
      <c r="E5404" s="4">
        <v>1.49</v>
      </c>
    </row>
    <row r="5405">
      <c r="A5405" s="5">
        <v>122081.0</v>
      </c>
      <c r="B5405" s="6" t="s">
        <v>60</v>
      </c>
      <c r="C5405" s="6" t="s">
        <v>591</v>
      </c>
      <c r="D5405" s="6" t="s">
        <v>595</v>
      </c>
      <c r="E5405" s="6">
        <v>0.99</v>
      </c>
    </row>
    <row r="5406">
      <c r="A5406" s="3">
        <v>77396.0</v>
      </c>
      <c r="B5406" s="4" t="s">
        <v>60</v>
      </c>
      <c r="C5406" s="4" t="s">
        <v>591</v>
      </c>
      <c r="D5406" s="4" t="s">
        <v>595</v>
      </c>
      <c r="E5406" s="4">
        <v>2.92</v>
      </c>
    </row>
    <row r="5407">
      <c r="A5407" s="5">
        <v>77398.0</v>
      </c>
      <c r="B5407" s="6" t="s">
        <v>60</v>
      </c>
      <c r="C5407" s="6" t="s">
        <v>591</v>
      </c>
      <c r="D5407" s="6" t="s">
        <v>595</v>
      </c>
      <c r="E5407" s="6">
        <v>2.21</v>
      </c>
    </row>
    <row r="5408">
      <c r="A5408" s="3">
        <v>90716.0</v>
      </c>
      <c r="B5408" s="4" t="s">
        <v>60</v>
      </c>
      <c r="C5408" s="4" t="s">
        <v>591</v>
      </c>
      <c r="D5408" s="4" t="s">
        <v>595</v>
      </c>
      <c r="E5408" s="4">
        <v>1.35</v>
      </c>
    </row>
    <row r="5409">
      <c r="A5409" s="5">
        <v>122846.0</v>
      </c>
      <c r="B5409" s="6" t="s">
        <v>60</v>
      </c>
      <c r="C5409" s="6" t="s">
        <v>591</v>
      </c>
      <c r="D5409" s="6" t="s">
        <v>596</v>
      </c>
      <c r="E5409" s="6">
        <v>2.82</v>
      </c>
    </row>
    <row r="5410">
      <c r="A5410" s="3">
        <v>77410.0</v>
      </c>
      <c r="B5410" s="4" t="s">
        <v>60</v>
      </c>
      <c r="C5410" s="4" t="s">
        <v>591</v>
      </c>
      <c r="D5410" s="4" t="s">
        <v>596</v>
      </c>
      <c r="E5410" s="4">
        <v>0.86</v>
      </c>
    </row>
    <row r="5411">
      <c r="A5411" s="5">
        <v>87083.0</v>
      </c>
      <c r="B5411" s="6" t="s">
        <v>60</v>
      </c>
      <c r="C5411" s="6" t="s">
        <v>591</v>
      </c>
      <c r="D5411" s="6" t="s">
        <v>596</v>
      </c>
      <c r="E5411" s="6">
        <v>2.17</v>
      </c>
    </row>
    <row r="5412">
      <c r="A5412" s="3">
        <v>73630.0</v>
      </c>
      <c r="B5412" s="4" t="s">
        <v>60</v>
      </c>
      <c r="C5412" s="4" t="s">
        <v>591</v>
      </c>
      <c r="D5412" s="4" t="s">
        <v>596</v>
      </c>
      <c r="E5412" s="4">
        <v>2.71</v>
      </c>
    </row>
    <row r="5413">
      <c r="A5413" s="5">
        <v>90659.0</v>
      </c>
      <c r="B5413" s="6" t="s">
        <v>60</v>
      </c>
      <c r="C5413" s="6" t="s">
        <v>591</v>
      </c>
      <c r="D5413" s="6" t="s">
        <v>596</v>
      </c>
      <c r="E5413" s="6">
        <v>1.03</v>
      </c>
    </row>
    <row r="5414">
      <c r="A5414" s="3">
        <v>122079.0</v>
      </c>
      <c r="B5414" s="4" t="s">
        <v>60</v>
      </c>
      <c r="C5414" s="4" t="s">
        <v>591</v>
      </c>
      <c r="D5414" s="4" t="s">
        <v>596</v>
      </c>
      <c r="E5414" s="4">
        <v>1.01</v>
      </c>
    </row>
    <row r="5415">
      <c r="A5415" s="5">
        <v>5551.0</v>
      </c>
      <c r="B5415" s="6" t="s">
        <v>60</v>
      </c>
      <c r="C5415" s="6" t="s">
        <v>591</v>
      </c>
      <c r="D5415" s="6" t="s">
        <v>596</v>
      </c>
      <c r="E5415" s="6">
        <v>3.6</v>
      </c>
    </row>
    <row r="5416">
      <c r="A5416" s="3">
        <v>90624.0</v>
      </c>
      <c r="B5416" s="4" t="s">
        <v>60</v>
      </c>
      <c r="C5416" s="4" t="s">
        <v>591</v>
      </c>
      <c r="D5416" s="4" t="s">
        <v>596</v>
      </c>
      <c r="E5416" s="4">
        <v>2.54</v>
      </c>
    </row>
    <row r="5417">
      <c r="A5417" s="5">
        <v>29100.0</v>
      </c>
      <c r="B5417" s="6" t="s">
        <v>60</v>
      </c>
      <c r="C5417" s="6" t="s">
        <v>591</v>
      </c>
      <c r="D5417" s="6" t="s">
        <v>596</v>
      </c>
      <c r="E5417" s="6">
        <v>1.76</v>
      </c>
    </row>
    <row r="5418">
      <c r="A5418" s="3">
        <v>46330.0</v>
      </c>
      <c r="B5418" s="4" t="s">
        <v>60</v>
      </c>
      <c r="C5418" s="4" t="s">
        <v>591</v>
      </c>
      <c r="D5418" s="4" t="s">
        <v>596</v>
      </c>
      <c r="E5418" s="4">
        <v>0.96</v>
      </c>
    </row>
    <row r="5419">
      <c r="A5419" s="5">
        <v>117659.0</v>
      </c>
      <c r="B5419" s="6" t="s">
        <v>60</v>
      </c>
      <c r="C5419" s="6" t="s">
        <v>591</v>
      </c>
      <c r="D5419" s="6" t="s">
        <v>596</v>
      </c>
      <c r="E5419" s="6">
        <v>1.93</v>
      </c>
    </row>
    <row r="5420">
      <c r="A5420" s="3">
        <v>48149.0</v>
      </c>
      <c r="B5420" s="4" t="s">
        <v>60</v>
      </c>
      <c r="C5420" s="4" t="s">
        <v>591</v>
      </c>
      <c r="D5420" s="4" t="s">
        <v>596</v>
      </c>
      <c r="E5420" s="4">
        <v>2.07</v>
      </c>
    </row>
    <row r="5421">
      <c r="A5421" s="5">
        <v>113739.0</v>
      </c>
      <c r="B5421" s="6" t="s">
        <v>60</v>
      </c>
      <c r="C5421" s="6" t="s">
        <v>591</v>
      </c>
      <c r="D5421" s="6" t="s">
        <v>596</v>
      </c>
      <c r="E5421" s="6">
        <v>2.62</v>
      </c>
    </row>
    <row r="5422">
      <c r="A5422" s="3">
        <v>147316.0</v>
      </c>
      <c r="B5422" s="4" t="s">
        <v>60</v>
      </c>
      <c r="C5422" s="4" t="s">
        <v>591</v>
      </c>
      <c r="D5422" s="4" t="s">
        <v>596</v>
      </c>
      <c r="E5422" s="4">
        <v>2.28</v>
      </c>
    </row>
    <row r="5423">
      <c r="A5423" s="5">
        <v>76297.0</v>
      </c>
      <c r="B5423" s="6" t="s">
        <v>60</v>
      </c>
      <c r="C5423" s="6" t="s">
        <v>591</v>
      </c>
      <c r="D5423" s="6" t="s">
        <v>596</v>
      </c>
      <c r="E5423" s="6">
        <v>2.09</v>
      </c>
    </row>
    <row r="5424">
      <c r="A5424" s="3">
        <v>102698.0</v>
      </c>
      <c r="B5424" s="4" t="s">
        <v>60</v>
      </c>
      <c r="C5424" s="4" t="s">
        <v>591</v>
      </c>
      <c r="D5424" s="4" t="s">
        <v>596</v>
      </c>
      <c r="E5424" s="4">
        <v>2.4</v>
      </c>
    </row>
    <row r="5425">
      <c r="A5425" s="5">
        <v>102699.0</v>
      </c>
      <c r="B5425" s="6" t="s">
        <v>60</v>
      </c>
      <c r="C5425" s="6" t="s">
        <v>591</v>
      </c>
      <c r="D5425" s="6" t="s">
        <v>596</v>
      </c>
      <c r="E5425" s="6">
        <v>2.4</v>
      </c>
    </row>
    <row r="5426">
      <c r="A5426" s="3">
        <v>5556.0</v>
      </c>
      <c r="B5426" s="4" t="s">
        <v>60</v>
      </c>
      <c r="C5426" s="4" t="s">
        <v>591</v>
      </c>
      <c r="D5426" s="4" t="s">
        <v>596</v>
      </c>
      <c r="E5426" s="4">
        <v>1.14</v>
      </c>
    </row>
    <row r="5427">
      <c r="A5427" s="5">
        <v>73629.0</v>
      </c>
      <c r="B5427" s="6" t="s">
        <v>60</v>
      </c>
      <c r="C5427" s="6" t="s">
        <v>591</v>
      </c>
      <c r="D5427" s="6" t="s">
        <v>596</v>
      </c>
      <c r="E5427" s="6">
        <v>2.76</v>
      </c>
    </row>
    <row r="5428">
      <c r="A5428" s="3">
        <v>77253.0</v>
      </c>
      <c r="B5428" s="4" t="s">
        <v>60</v>
      </c>
      <c r="C5428" s="4" t="s">
        <v>591</v>
      </c>
      <c r="D5428" s="4" t="s">
        <v>596</v>
      </c>
      <c r="E5428" s="4">
        <v>0.94</v>
      </c>
    </row>
    <row r="5429">
      <c r="A5429" s="5">
        <v>5552.0</v>
      </c>
      <c r="B5429" s="6" t="s">
        <v>60</v>
      </c>
      <c r="C5429" s="6" t="s">
        <v>591</v>
      </c>
      <c r="D5429" s="6" t="s">
        <v>596</v>
      </c>
      <c r="E5429" s="6">
        <v>1.37</v>
      </c>
    </row>
    <row r="5430">
      <c r="A5430" s="3">
        <v>73805.0</v>
      </c>
      <c r="B5430" s="4" t="s">
        <v>60</v>
      </c>
      <c r="C5430" s="4" t="s">
        <v>591</v>
      </c>
      <c r="D5430" s="4" t="s">
        <v>596</v>
      </c>
      <c r="E5430" s="4">
        <v>3.0</v>
      </c>
    </row>
    <row r="5431">
      <c r="A5431" s="5">
        <v>48403.0</v>
      </c>
      <c r="B5431" s="6" t="s">
        <v>60</v>
      </c>
      <c r="C5431" s="6" t="s">
        <v>591</v>
      </c>
      <c r="D5431" s="6" t="s">
        <v>596</v>
      </c>
      <c r="E5431" s="6">
        <v>2.34</v>
      </c>
    </row>
    <row r="5432">
      <c r="A5432" s="3">
        <v>90626.0</v>
      </c>
      <c r="B5432" s="4" t="s">
        <v>60</v>
      </c>
      <c r="C5432" s="4" t="s">
        <v>591</v>
      </c>
      <c r="D5432" s="4" t="s">
        <v>596</v>
      </c>
      <c r="E5432" s="4">
        <v>6.74</v>
      </c>
    </row>
    <row r="5433">
      <c r="A5433" s="5">
        <v>147324.0</v>
      </c>
      <c r="B5433" s="6" t="s">
        <v>60</v>
      </c>
      <c r="C5433" s="6" t="s">
        <v>591</v>
      </c>
      <c r="D5433" s="6" t="s">
        <v>596</v>
      </c>
      <c r="E5433" s="6">
        <v>3.15</v>
      </c>
    </row>
    <row r="5434">
      <c r="A5434" s="3">
        <v>77411.0</v>
      </c>
      <c r="B5434" s="4" t="s">
        <v>60</v>
      </c>
      <c r="C5434" s="4" t="s">
        <v>591</v>
      </c>
      <c r="D5434" s="4" t="s">
        <v>596</v>
      </c>
      <c r="E5434" s="4">
        <v>0.84</v>
      </c>
    </row>
    <row r="5435">
      <c r="A5435" s="5">
        <v>87085.0</v>
      </c>
      <c r="B5435" s="6" t="s">
        <v>60</v>
      </c>
      <c r="C5435" s="6" t="s">
        <v>591</v>
      </c>
      <c r="D5435" s="6" t="s">
        <v>596</v>
      </c>
      <c r="E5435" s="6">
        <v>1.07</v>
      </c>
    </row>
    <row r="5436">
      <c r="A5436" s="3">
        <v>76212.0</v>
      </c>
      <c r="B5436" s="4" t="s">
        <v>60</v>
      </c>
      <c r="C5436" s="4" t="s">
        <v>591</v>
      </c>
      <c r="D5436" s="4" t="s">
        <v>596</v>
      </c>
      <c r="E5436" s="4">
        <v>1.81</v>
      </c>
    </row>
    <row r="5437">
      <c r="A5437" s="5">
        <v>117655.0</v>
      </c>
      <c r="B5437" s="6" t="s">
        <v>60</v>
      </c>
      <c r="C5437" s="6" t="s">
        <v>591</v>
      </c>
      <c r="D5437" s="6" t="s">
        <v>596</v>
      </c>
      <c r="E5437" s="6">
        <v>1.93</v>
      </c>
    </row>
    <row r="5438">
      <c r="A5438" s="3">
        <v>83596.0</v>
      </c>
      <c r="B5438" s="4" t="s">
        <v>60</v>
      </c>
      <c r="C5438" s="4" t="s">
        <v>591</v>
      </c>
      <c r="D5438" s="4" t="s">
        <v>596</v>
      </c>
      <c r="E5438" s="4">
        <v>2.69</v>
      </c>
    </row>
    <row r="5439">
      <c r="A5439" s="5">
        <v>5561.0</v>
      </c>
      <c r="B5439" s="6" t="s">
        <v>60</v>
      </c>
      <c r="C5439" s="6" t="s">
        <v>591</v>
      </c>
      <c r="D5439" s="6" t="s">
        <v>596</v>
      </c>
      <c r="E5439" s="6">
        <v>3.44</v>
      </c>
    </row>
    <row r="5440">
      <c r="A5440" s="3">
        <v>87304.0</v>
      </c>
      <c r="B5440" s="4" t="s">
        <v>60</v>
      </c>
      <c r="C5440" s="4" t="s">
        <v>591</v>
      </c>
      <c r="D5440" s="4" t="s">
        <v>596</v>
      </c>
      <c r="E5440" s="4">
        <v>1.44</v>
      </c>
    </row>
    <row r="5441">
      <c r="A5441" s="5">
        <v>113735.0</v>
      </c>
      <c r="B5441" s="6" t="s">
        <v>60</v>
      </c>
      <c r="C5441" s="6" t="s">
        <v>591</v>
      </c>
      <c r="D5441" s="6" t="s">
        <v>596</v>
      </c>
      <c r="E5441" s="6">
        <v>2.54</v>
      </c>
    </row>
    <row r="5442">
      <c r="A5442" s="3">
        <v>90661.0</v>
      </c>
      <c r="B5442" s="4" t="s">
        <v>60</v>
      </c>
      <c r="C5442" s="4" t="s">
        <v>591</v>
      </c>
      <c r="D5442" s="4" t="s">
        <v>596</v>
      </c>
      <c r="E5442" s="4">
        <v>4.5</v>
      </c>
    </row>
    <row r="5443">
      <c r="A5443" s="5">
        <v>76281.0</v>
      </c>
      <c r="B5443" s="6" t="s">
        <v>60</v>
      </c>
      <c r="C5443" s="6" t="s">
        <v>591</v>
      </c>
      <c r="D5443" s="6" t="s">
        <v>596</v>
      </c>
      <c r="E5443" s="6">
        <v>1.88</v>
      </c>
    </row>
    <row r="5444">
      <c r="A5444" s="3">
        <v>90622.0</v>
      </c>
      <c r="B5444" s="4" t="s">
        <v>60</v>
      </c>
      <c r="C5444" s="4" t="s">
        <v>591</v>
      </c>
      <c r="D5444" s="4" t="s">
        <v>596</v>
      </c>
      <c r="E5444" s="4">
        <v>7.73</v>
      </c>
    </row>
    <row r="5445">
      <c r="A5445" s="5">
        <v>90637.0</v>
      </c>
      <c r="B5445" s="6" t="s">
        <v>60</v>
      </c>
      <c r="C5445" s="6" t="s">
        <v>591</v>
      </c>
      <c r="D5445" s="6" t="s">
        <v>596</v>
      </c>
      <c r="E5445" s="6">
        <v>1.43</v>
      </c>
    </row>
    <row r="5446">
      <c r="A5446" s="3">
        <v>76208.0</v>
      </c>
      <c r="B5446" s="4" t="s">
        <v>60</v>
      </c>
      <c r="C5446" s="4" t="s">
        <v>591</v>
      </c>
      <c r="D5446" s="4" t="s">
        <v>596</v>
      </c>
      <c r="E5446" s="4">
        <v>1.81</v>
      </c>
    </row>
    <row r="5447">
      <c r="A5447" s="5">
        <v>91355.0</v>
      </c>
      <c r="B5447" s="6" t="s">
        <v>60</v>
      </c>
      <c r="C5447" s="6" t="s">
        <v>591</v>
      </c>
      <c r="D5447" s="6" t="s">
        <v>596</v>
      </c>
      <c r="E5447" s="6">
        <v>1.03</v>
      </c>
    </row>
    <row r="5448">
      <c r="A5448" s="3">
        <v>122068.0</v>
      </c>
      <c r="B5448" s="4" t="s">
        <v>60</v>
      </c>
      <c r="C5448" s="4" t="s">
        <v>591</v>
      </c>
      <c r="D5448" s="4" t="s">
        <v>596</v>
      </c>
      <c r="E5448" s="4">
        <v>1.06</v>
      </c>
    </row>
    <row r="5449">
      <c r="A5449" s="5">
        <v>48404.0</v>
      </c>
      <c r="B5449" s="6" t="s">
        <v>60</v>
      </c>
      <c r="C5449" s="6" t="s">
        <v>591</v>
      </c>
      <c r="D5449" s="6" t="s">
        <v>596</v>
      </c>
      <c r="E5449" s="6">
        <v>2.01</v>
      </c>
    </row>
    <row r="5450">
      <c r="A5450" s="3">
        <v>5553.0</v>
      </c>
      <c r="B5450" s="4" t="s">
        <v>60</v>
      </c>
      <c r="C5450" s="4" t="s">
        <v>591</v>
      </c>
      <c r="D5450" s="4" t="s">
        <v>596</v>
      </c>
      <c r="E5450" s="4">
        <v>2.34</v>
      </c>
    </row>
    <row r="5451">
      <c r="A5451" s="5">
        <v>76282.0</v>
      </c>
      <c r="B5451" s="6" t="s">
        <v>60</v>
      </c>
      <c r="C5451" s="6" t="s">
        <v>591</v>
      </c>
      <c r="D5451" s="6" t="s">
        <v>596</v>
      </c>
      <c r="E5451" s="6">
        <v>1.08</v>
      </c>
    </row>
    <row r="5452">
      <c r="A5452" s="3">
        <v>5554.0</v>
      </c>
      <c r="B5452" s="4" t="s">
        <v>60</v>
      </c>
      <c r="C5452" s="4" t="s">
        <v>591</v>
      </c>
      <c r="D5452" s="4" t="s">
        <v>596</v>
      </c>
      <c r="E5452" s="4">
        <v>2.43</v>
      </c>
    </row>
    <row r="5453">
      <c r="A5453" s="5">
        <v>77408.0</v>
      </c>
      <c r="B5453" s="6" t="s">
        <v>60</v>
      </c>
      <c r="C5453" s="6" t="s">
        <v>591</v>
      </c>
      <c r="D5453" s="6" t="s">
        <v>596</v>
      </c>
      <c r="E5453" s="6">
        <v>0.97</v>
      </c>
    </row>
    <row r="5454">
      <c r="A5454" s="3">
        <v>147312.0</v>
      </c>
      <c r="B5454" s="4" t="s">
        <v>60</v>
      </c>
      <c r="C5454" s="4" t="s">
        <v>591</v>
      </c>
      <c r="D5454" s="4" t="s">
        <v>596</v>
      </c>
      <c r="E5454" s="4">
        <v>2.03</v>
      </c>
    </row>
    <row r="5455">
      <c r="A5455" s="5">
        <v>113741.0</v>
      </c>
      <c r="B5455" s="6" t="s">
        <v>60</v>
      </c>
      <c r="C5455" s="6" t="s">
        <v>591</v>
      </c>
      <c r="D5455" s="6" t="s">
        <v>596</v>
      </c>
      <c r="E5455" s="6">
        <v>2.62</v>
      </c>
    </row>
    <row r="5456">
      <c r="A5456" s="3">
        <v>76290.0</v>
      </c>
      <c r="B5456" s="4" t="s">
        <v>60</v>
      </c>
      <c r="C5456" s="4" t="s">
        <v>591</v>
      </c>
      <c r="D5456" s="4" t="s">
        <v>596</v>
      </c>
      <c r="E5456" s="4">
        <v>1.09</v>
      </c>
    </row>
    <row r="5457">
      <c r="A5457" s="5">
        <v>5559.0</v>
      </c>
      <c r="B5457" s="6" t="s">
        <v>60</v>
      </c>
      <c r="C5457" s="6" t="s">
        <v>591</v>
      </c>
      <c r="D5457" s="6" t="s">
        <v>596</v>
      </c>
      <c r="E5457" s="6">
        <v>1.09</v>
      </c>
    </row>
    <row r="5458">
      <c r="A5458" s="3">
        <v>68351.0</v>
      </c>
      <c r="B5458" s="4" t="s">
        <v>60</v>
      </c>
      <c r="C5458" s="4" t="s">
        <v>591</v>
      </c>
      <c r="D5458" s="4" t="s">
        <v>596</v>
      </c>
      <c r="E5458" s="4">
        <v>1.49</v>
      </c>
    </row>
    <row r="5459">
      <c r="A5459" s="5">
        <v>113736.0</v>
      </c>
      <c r="B5459" s="6" t="s">
        <v>60</v>
      </c>
      <c r="C5459" s="6" t="s">
        <v>591</v>
      </c>
      <c r="D5459" s="6" t="s">
        <v>596</v>
      </c>
      <c r="E5459" s="6">
        <v>2.54</v>
      </c>
    </row>
    <row r="5460">
      <c r="A5460" s="3">
        <v>113738.0</v>
      </c>
      <c r="B5460" s="4" t="s">
        <v>60</v>
      </c>
      <c r="C5460" s="4" t="s">
        <v>591</v>
      </c>
      <c r="D5460" s="4" t="s">
        <v>596</v>
      </c>
      <c r="E5460" s="4">
        <v>2.62</v>
      </c>
    </row>
    <row r="5461">
      <c r="A5461" s="5">
        <v>113737.0</v>
      </c>
      <c r="B5461" s="6" t="s">
        <v>60</v>
      </c>
      <c r="C5461" s="6" t="s">
        <v>591</v>
      </c>
      <c r="D5461" s="6" t="s">
        <v>596</v>
      </c>
      <c r="E5461" s="6">
        <v>2.62</v>
      </c>
    </row>
    <row r="5462">
      <c r="A5462" s="3">
        <v>73767.0</v>
      </c>
      <c r="B5462" s="4" t="s">
        <v>60</v>
      </c>
      <c r="C5462" s="4" t="s">
        <v>591</v>
      </c>
      <c r="D5462" s="4" t="s">
        <v>596</v>
      </c>
      <c r="E5462" s="4">
        <v>1.79</v>
      </c>
    </row>
    <row r="5463">
      <c r="A5463" s="5">
        <v>89559.0</v>
      </c>
      <c r="B5463" s="6" t="s">
        <v>60</v>
      </c>
      <c r="C5463" s="6" t="s">
        <v>591</v>
      </c>
      <c r="D5463" s="6" t="s">
        <v>597</v>
      </c>
      <c r="E5463" s="6">
        <v>2.61</v>
      </c>
    </row>
    <row r="5464">
      <c r="A5464" s="3">
        <v>102720.0</v>
      </c>
      <c r="B5464" s="4" t="s">
        <v>60</v>
      </c>
      <c r="C5464" s="4" t="s">
        <v>591</v>
      </c>
      <c r="D5464" s="4" t="s">
        <v>597</v>
      </c>
      <c r="E5464" s="4">
        <v>2.42</v>
      </c>
    </row>
    <row r="5465">
      <c r="A5465" s="5">
        <v>114668.0</v>
      </c>
      <c r="B5465" s="6" t="s">
        <v>60</v>
      </c>
      <c r="C5465" s="6" t="s">
        <v>591</v>
      </c>
      <c r="D5465" s="6" t="s">
        <v>597</v>
      </c>
      <c r="E5465" s="6">
        <v>1.93</v>
      </c>
    </row>
    <row r="5466">
      <c r="A5466" s="3">
        <v>159208.0</v>
      </c>
      <c r="B5466" s="4" t="s">
        <v>60</v>
      </c>
      <c r="C5466" s="4" t="s">
        <v>591</v>
      </c>
      <c r="D5466" s="4" t="s">
        <v>597</v>
      </c>
      <c r="E5466" s="4">
        <v>1.2</v>
      </c>
    </row>
    <row r="5467">
      <c r="A5467" s="5">
        <v>108476.0</v>
      </c>
      <c r="B5467" s="6" t="s">
        <v>60</v>
      </c>
      <c r="C5467" s="6" t="s">
        <v>591</v>
      </c>
      <c r="D5467" s="6" t="s">
        <v>597</v>
      </c>
      <c r="E5467" s="6">
        <v>2.17</v>
      </c>
    </row>
    <row r="5468">
      <c r="A5468" s="3">
        <v>76603.0</v>
      </c>
      <c r="B5468" s="4" t="s">
        <v>60</v>
      </c>
      <c r="C5468" s="4" t="s">
        <v>591</v>
      </c>
      <c r="D5468" s="4" t="s">
        <v>597</v>
      </c>
      <c r="E5468" s="4">
        <v>1.46</v>
      </c>
    </row>
    <row r="5469">
      <c r="A5469" s="5">
        <v>117672.0</v>
      </c>
      <c r="B5469" s="6" t="s">
        <v>60</v>
      </c>
      <c r="C5469" s="6" t="s">
        <v>591</v>
      </c>
      <c r="D5469" s="6" t="s">
        <v>597</v>
      </c>
      <c r="E5469" s="6">
        <v>2.0</v>
      </c>
    </row>
    <row r="5470">
      <c r="A5470" s="3">
        <v>73968.0</v>
      </c>
      <c r="B5470" s="4" t="s">
        <v>60</v>
      </c>
      <c r="C5470" s="4" t="s">
        <v>591</v>
      </c>
      <c r="D5470" s="4" t="s">
        <v>597</v>
      </c>
      <c r="E5470" s="4">
        <v>2.39</v>
      </c>
    </row>
    <row r="5471">
      <c r="A5471" s="5">
        <v>73967.0</v>
      </c>
      <c r="B5471" s="6" t="s">
        <v>60</v>
      </c>
      <c r="C5471" s="6" t="s">
        <v>591</v>
      </c>
      <c r="D5471" s="6" t="s">
        <v>597</v>
      </c>
      <c r="E5471" s="6">
        <v>2.23</v>
      </c>
    </row>
    <row r="5472">
      <c r="A5472" s="3">
        <v>159209.0</v>
      </c>
      <c r="B5472" s="4" t="s">
        <v>60</v>
      </c>
      <c r="C5472" s="4" t="s">
        <v>591</v>
      </c>
      <c r="D5472" s="4" t="s">
        <v>597</v>
      </c>
      <c r="E5472" s="4">
        <v>1.2</v>
      </c>
    </row>
    <row r="5473">
      <c r="A5473" s="5">
        <v>90675.0</v>
      </c>
      <c r="B5473" s="6" t="s">
        <v>60</v>
      </c>
      <c r="C5473" s="6" t="s">
        <v>591</v>
      </c>
      <c r="D5473" s="6" t="s">
        <v>597</v>
      </c>
      <c r="E5473" s="6">
        <v>1.72</v>
      </c>
    </row>
    <row r="5474">
      <c r="A5474" s="3">
        <v>117671.0</v>
      </c>
      <c r="B5474" s="4" t="s">
        <v>60</v>
      </c>
      <c r="C5474" s="4" t="s">
        <v>591</v>
      </c>
      <c r="D5474" s="4" t="s">
        <v>597</v>
      </c>
      <c r="E5474" s="4">
        <v>2.0</v>
      </c>
    </row>
    <row r="5475">
      <c r="A5475" s="5">
        <v>100015.0</v>
      </c>
      <c r="B5475" s="6" t="s">
        <v>60</v>
      </c>
      <c r="C5475" s="6" t="s">
        <v>591</v>
      </c>
      <c r="D5475" s="6" t="s">
        <v>597</v>
      </c>
      <c r="E5475" s="6">
        <v>2.57</v>
      </c>
    </row>
    <row r="5476">
      <c r="A5476" s="3">
        <v>90680.0</v>
      </c>
      <c r="B5476" s="4" t="s">
        <v>60</v>
      </c>
      <c r="C5476" s="4" t="s">
        <v>591</v>
      </c>
      <c r="D5476" s="4" t="s">
        <v>597</v>
      </c>
      <c r="E5476" s="4">
        <v>1.9</v>
      </c>
    </row>
    <row r="5477">
      <c r="A5477" s="5">
        <v>88351.0</v>
      </c>
      <c r="B5477" s="6" t="s">
        <v>60</v>
      </c>
      <c r="C5477" s="6" t="s">
        <v>591</v>
      </c>
      <c r="D5477" s="6" t="s">
        <v>597</v>
      </c>
      <c r="E5477" s="6">
        <v>2.25</v>
      </c>
    </row>
    <row r="5478">
      <c r="A5478" s="3">
        <v>108475.0</v>
      </c>
      <c r="B5478" s="4" t="s">
        <v>60</v>
      </c>
      <c r="C5478" s="4" t="s">
        <v>591</v>
      </c>
      <c r="D5478" s="4" t="s">
        <v>597</v>
      </c>
      <c r="E5478" s="4">
        <v>2.15</v>
      </c>
    </row>
    <row r="5479">
      <c r="A5479" s="5">
        <v>90676.0</v>
      </c>
      <c r="B5479" s="6" t="s">
        <v>60</v>
      </c>
      <c r="C5479" s="6" t="s">
        <v>591</v>
      </c>
      <c r="D5479" s="6" t="s">
        <v>597</v>
      </c>
      <c r="E5479" s="6">
        <v>1.9</v>
      </c>
    </row>
    <row r="5480">
      <c r="A5480" s="3">
        <v>43118.0</v>
      </c>
      <c r="B5480" s="4" t="s">
        <v>317</v>
      </c>
      <c r="C5480" s="4" t="s">
        <v>598</v>
      </c>
      <c r="D5480" s="4" t="s">
        <v>599</v>
      </c>
      <c r="E5480" s="4">
        <v>0.98</v>
      </c>
    </row>
    <row r="5481">
      <c r="A5481" s="5">
        <v>112472.0</v>
      </c>
      <c r="B5481" s="6" t="s">
        <v>317</v>
      </c>
      <c r="C5481" s="6" t="s">
        <v>598</v>
      </c>
      <c r="D5481" s="6" t="s">
        <v>599</v>
      </c>
      <c r="E5481" s="6">
        <v>0.79</v>
      </c>
    </row>
    <row r="5482">
      <c r="A5482" s="3">
        <v>108083.0</v>
      </c>
      <c r="B5482" s="4" t="s">
        <v>317</v>
      </c>
      <c r="C5482" s="4" t="s">
        <v>598</v>
      </c>
      <c r="D5482" s="4" t="s">
        <v>600</v>
      </c>
      <c r="E5482" s="4">
        <v>1.46</v>
      </c>
    </row>
    <row r="5483">
      <c r="A5483" s="5">
        <v>133907.0</v>
      </c>
      <c r="B5483" s="6" t="s">
        <v>317</v>
      </c>
      <c r="C5483" s="6" t="s">
        <v>598</v>
      </c>
      <c r="D5483" s="6" t="s">
        <v>600</v>
      </c>
      <c r="E5483" s="6">
        <v>2.29</v>
      </c>
    </row>
    <row r="5484">
      <c r="A5484" s="3">
        <v>45176.0</v>
      </c>
      <c r="B5484" s="4" t="s">
        <v>317</v>
      </c>
      <c r="C5484" s="4" t="s">
        <v>598</v>
      </c>
      <c r="D5484" s="4" t="s">
        <v>600</v>
      </c>
      <c r="E5484" s="4">
        <v>0.81</v>
      </c>
    </row>
    <row r="5485">
      <c r="A5485" s="5">
        <v>5480.0</v>
      </c>
      <c r="B5485" s="6" t="s">
        <v>317</v>
      </c>
      <c r="C5485" s="6" t="s">
        <v>598</v>
      </c>
      <c r="D5485" s="6" t="s">
        <v>600</v>
      </c>
      <c r="E5485" s="6">
        <v>1.99</v>
      </c>
    </row>
    <row r="5486">
      <c r="A5486" s="3">
        <v>119086.0</v>
      </c>
      <c r="B5486" s="4" t="s">
        <v>317</v>
      </c>
      <c r="C5486" s="4" t="s">
        <v>598</v>
      </c>
      <c r="D5486" s="4" t="s">
        <v>600</v>
      </c>
      <c r="E5486" s="4">
        <v>1.54</v>
      </c>
    </row>
    <row r="5487">
      <c r="A5487" s="5">
        <v>108084.0</v>
      </c>
      <c r="B5487" s="6" t="s">
        <v>317</v>
      </c>
      <c r="C5487" s="6" t="s">
        <v>598</v>
      </c>
      <c r="D5487" s="6" t="s">
        <v>600</v>
      </c>
      <c r="E5487" s="6">
        <v>0.92</v>
      </c>
    </row>
    <row r="5488">
      <c r="A5488" s="3">
        <v>45192.0</v>
      </c>
      <c r="B5488" s="4" t="s">
        <v>317</v>
      </c>
      <c r="C5488" s="4" t="s">
        <v>598</v>
      </c>
      <c r="D5488" s="4" t="s">
        <v>600</v>
      </c>
      <c r="E5488" s="4">
        <v>0.81</v>
      </c>
    </row>
    <row r="5489">
      <c r="A5489" s="5">
        <v>26320.0</v>
      </c>
      <c r="B5489" s="6" t="s">
        <v>317</v>
      </c>
      <c r="C5489" s="6" t="s">
        <v>598</v>
      </c>
      <c r="D5489" s="6" t="s">
        <v>600</v>
      </c>
      <c r="E5489" s="6">
        <v>2.76</v>
      </c>
    </row>
    <row r="5490">
      <c r="A5490" s="3">
        <v>133910.0</v>
      </c>
      <c r="B5490" s="4" t="s">
        <v>317</v>
      </c>
      <c r="C5490" s="4" t="s">
        <v>598</v>
      </c>
      <c r="D5490" s="4" t="s">
        <v>600</v>
      </c>
      <c r="E5490" s="4">
        <v>2.29</v>
      </c>
    </row>
    <row r="5491">
      <c r="A5491" s="5">
        <v>133908.0</v>
      </c>
      <c r="B5491" s="6" t="s">
        <v>317</v>
      </c>
      <c r="C5491" s="6" t="s">
        <v>598</v>
      </c>
      <c r="D5491" s="6" t="s">
        <v>600</v>
      </c>
      <c r="E5491" s="6">
        <v>2.29</v>
      </c>
    </row>
    <row r="5492">
      <c r="A5492" s="3">
        <v>9646.0</v>
      </c>
      <c r="B5492" s="4" t="s">
        <v>317</v>
      </c>
      <c r="C5492" s="4" t="s">
        <v>598</v>
      </c>
      <c r="D5492" s="4" t="s">
        <v>600</v>
      </c>
      <c r="E5492" s="4">
        <v>1.46</v>
      </c>
    </row>
    <row r="5493">
      <c r="A5493" s="5">
        <v>108091.0</v>
      </c>
      <c r="B5493" s="6" t="s">
        <v>317</v>
      </c>
      <c r="C5493" s="6" t="s">
        <v>598</v>
      </c>
      <c r="D5493" s="6" t="s">
        <v>600</v>
      </c>
      <c r="E5493" s="6">
        <v>0.92</v>
      </c>
    </row>
    <row r="5494">
      <c r="A5494" s="3">
        <v>108114.0</v>
      </c>
      <c r="B5494" s="4" t="s">
        <v>317</v>
      </c>
      <c r="C5494" s="4" t="s">
        <v>598</v>
      </c>
      <c r="D5494" s="4" t="s">
        <v>600</v>
      </c>
      <c r="E5494" s="4">
        <v>1.2</v>
      </c>
    </row>
    <row r="5495">
      <c r="A5495" s="5">
        <v>9639.0</v>
      </c>
      <c r="B5495" s="6" t="s">
        <v>317</v>
      </c>
      <c r="C5495" s="6" t="s">
        <v>598</v>
      </c>
      <c r="D5495" s="6" t="s">
        <v>600</v>
      </c>
      <c r="E5495" s="6">
        <v>1.46</v>
      </c>
    </row>
    <row r="5496">
      <c r="A5496" s="3">
        <v>108108.0</v>
      </c>
      <c r="B5496" s="4" t="s">
        <v>317</v>
      </c>
      <c r="C5496" s="4" t="s">
        <v>598</v>
      </c>
      <c r="D5496" s="4" t="s">
        <v>600</v>
      </c>
      <c r="E5496" s="4">
        <v>0.92</v>
      </c>
    </row>
    <row r="5497">
      <c r="A5497" s="5">
        <v>108081.0</v>
      </c>
      <c r="B5497" s="6" t="s">
        <v>317</v>
      </c>
      <c r="C5497" s="6" t="s">
        <v>598</v>
      </c>
      <c r="D5497" s="6" t="s">
        <v>600</v>
      </c>
      <c r="E5497" s="6">
        <v>1.46</v>
      </c>
    </row>
    <row r="5498">
      <c r="A5498" s="3">
        <v>4243.0</v>
      </c>
      <c r="B5498" s="4" t="s">
        <v>317</v>
      </c>
      <c r="C5498" s="4" t="s">
        <v>598</v>
      </c>
      <c r="D5498" s="4" t="s">
        <v>600</v>
      </c>
      <c r="E5498" s="4">
        <v>1.99</v>
      </c>
    </row>
    <row r="5499">
      <c r="A5499" s="5">
        <v>108090.0</v>
      </c>
      <c r="B5499" s="6" t="s">
        <v>317</v>
      </c>
      <c r="C5499" s="6" t="s">
        <v>598</v>
      </c>
      <c r="D5499" s="6" t="s">
        <v>600</v>
      </c>
      <c r="E5499" s="6">
        <v>0.99</v>
      </c>
    </row>
    <row r="5500">
      <c r="A5500" s="3">
        <v>133912.0</v>
      </c>
      <c r="B5500" s="4" t="s">
        <v>317</v>
      </c>
      <c r="C5500" s="4" t="s">
        <v>598</v>
      </c>
      <c r="D5500" s="4" t="s">
        <v>600</v>
      </c>
      <c r="E5500" s="4">
        <v>2.45</v>
      </c>
    </row>
    <row r="5501">
      <c r="A5501" s="5">
        <v>108087.0</v>
      </c>
      <c r="B5501" s="6" t="s">
        <v>317</v>
      </c>
      <c r="C5501" s="6" t="s">
        <v>598</v>
      </c>
      <c r="D5501" s="6" t="s">
        <v>600</v>
      </c>
      <c r="E5501" s="6">
        <v>0.92</v>
      </c>
    </row>
    <row r="5502">
      <c r="A5502" s="3">
        <v>78866.0</v>
      </c>
      <c r="B5502" s="4" t="s">
        <v>317</v>
      </c>
      <c r="C5502" s="4" t="s">
        <v>598</v>
      </c>
      <c r="D5502" s="4" t="s">
        <v>600</v>
      </c>
      <c r="E5502" s="4">
        <v>1.46</v>
      </c>
    </row>
    <row r="5503">
      <c r="A5503" s="5">
        <v>70415.0</v>
      </c>
      <c r="B5503" s="6" t="s">
        <v>317</v>
      </c>
      <c r="C5503" s="6" t="s">
        <v>598</v>
      </c>
      <c r="D5503" s="6" t="s">
        <v>600</v>
      </c>
      <c r="E5503" s="6">
        <v>1.46</v>
      </c>
    </row>
    <row r="5504">
      <c r="A5504" s="3">
        <v>9644.0</v>
      </c>
      <c r="B5504" s="4" t="s">
        <v>317</v>
      </c>
      <c r="C5504" s="4" t="s">
        <v>598</v>
      </c>
      <c r="D5504" s="4" t="s">
        <v>600</v>
      </c>
      <c r="E5504" s="4">
        <v>1.46</v>
      </c>
    </row>
    <row r="5505">
      <c r="A5505" s="5">
        <v>4247.0</v>
      </c>
      <c r="B5505" s="6" t="s">
        <v>317</v>
      </c>
      <c r="C5505" s="6" t="s">
        <v>598</v>
      </c>
      <c r="D5505" s="6" t="s">
        <v>600</v>
      </c>
      <c r="E5505" s="6">
        <v>1.99</v>
      </c>
    </row>
    <row r="5506">
      <c r="A5506" s="3">
        <v>119087.0</v>
      </c>
      <c r="B5506" s="4" t="s">
        <v>317</v>
      </c>
      <c r="C5506" s="4" t="s">
        <v>598</v>
      </c>
      <c r="D5506" s="4" t="s">
        <v>600</v>
      </c>
      <c r="E5506" s="4">
        <v>1.54</v>
      </c>
    </row>
    <row r="5507">
      <c r="A5507" s="5">
        <v>9635.0</v>
      </c>
      <c r="B5507" s="6" t="s">
        <v>317</v>
      </c>
      <c r="C5507" s="6" t="s">
        <v>598</v>
      </c>
      <c r="D5507" s="6" t="s">
        <v>600</v>
      </c>
      <c r="E5507" s="6">
        <v>1.46</v>
      </c>
    </row>
    <row r="5508">
      <c r="A5508" s="3">
        <v>108082.0</v>
      </c>
      <c r="B5508" s="4" t="s">
        <v>317</v>
      </c>
      <c r="C5508" s="4" t="s">
        <v>598</v>
      </c>
      <c r="D5508" s="4" t="s">
        <v>600</v>
      </c>
      <c r="E5508" s="4">
        <v>1.35</v>
      </c>
    </row>
    <row r="5509">
      <c r="A5509" s="5">
        <v>9643.0</v>
      </c>
      <c r="B5509" s="6" t="s">
        <v>317</v>
      </c>
      <c r="C5509" s="6" t="s">
        <v>598</v>
      </c>
      <c r="D5509" s="6" t="s">
        <v>600</v>
      </c>
      <c r="E5509" s="6">
        <v>1.46</v>
      </c>
    </row>
    <row r="5510">
      <c r="A5510" s="3">
        <v>117601.0</v>
      </c>
      <c r="B5510" s="4" t="s">
        <v>317</v>
      </c>
      <c r="C5510" s="4" t="s">
        <v>598</v>
      </c>
      <c r="D5510" s="4" t="s">
        <v>600</v>
      </c>
      <c r="E5510" s="4">
        <v>1.03</v>
      </c>
    </row>
    <row r="5511">
      <c r="A5511" s="5">
        <v>108085.0</v>
      </c>
      <c r="B5511" s="6" t="s">
        <v>317</v>
      </c>
      <c r="C5511" s="6" t="s">
        <v>598</v>
      </c>
      <c r="D5511" s="6" t="s">
        <v>600</v>
      </c>
      <c r="E5511" s="6">
        <v>1.0</v>
      </c>
    </row>
    <row r="5512">
      <c r="A5512" s="3">
        <v>133914.0</v>
      </c>
      <c r="B5512" s="4" t="s">
        <v>317</v>
      </c>
      <c r="C5512" s="4" t="s">
        <v>598</v>
      </c>
      <c r="D5512" s="4" t="s">
        <v>600</v>
      </c>
      <c r="E5512" s="4">
        <v>2.29</v>
      </c>
    </row>
    <row r="5513">
      <c r="A5513" s="5">
        <v>103503.0</v>
      </c>
      <c r="B5513" s="6" t="s">
        <v>5</v>
      </c>
      <c r="C5513" s="6" t="s">
        <v>601</v>
      </c>
      <c r="D5513" s="6" t="s">
        <v>602</v>
      </c>
      <c r="E5513" s="6">
        <v>17.13</v>
      </c>
    </row>
    <row r="5514">
      <c r="A5514" s="3">
        <v>128363.0</v>
      </c>
      <c r="B5514" s="4" t="s">
        <v>5</v>
      </c>
      <c r="C5514" s="4" t="s">
        <v>601</v>
      </c>
      <c r="D5514" s="4" t="s">
        <v>602</v>
      </c>
      <c r="E5514" s="4">
        <v>7.34</v>
      </c>
    </row>
    <row r="5515">
      <c r="A5515" s="5">
        <v>13863.0</v>
      </c>
      <c r="B5515" s="6" t="s">
        <v>60</v>
      </c>
      <c r="C5515" s="6" t="s">
        <v>603</v>
      </c>
      <c r="D5515" s="6" t="s">
        <v>604</v>
      </c>
      <c r="E5515" s="6">
        <v>2.8</v>
      </c>
    </row>
    <row r="5516">
      <c r="A5516" s="3">
        <v>74454.0</v>
      </c>
      <c r="B5516" s="4" t="s">
        <v>60</v>
      </c>
      <c r="C5516" s="4" t="s">
        <v>603</v>
      </c>
      <c r="D5516" s="4" t="s">
        <v>604</v>
      </c>
      <c r="E5516" s="4">
        <v>2.51</v>
      </c>
    </row>
    <row r="5517">
      <c r="A5517" s="5">
        <v>12500.0</v>
      </c>
      <c r="B5517" s="6" t="s">
        <v>60</v>
      </c>
      <c r="C5517" s="6" t="s">
        <v>603</v>
      </c>
      <c r="D5517" s="6" t="s">
        <v>604</v>
      </c>
      <c r="E5517" s="6">
        <v>1.77</v>
      </c>
    </row>
    <row r="5518">
      <c r="A5518" s="3">
        <v>116555.0</v>
      </c>
      <c r="B5518" s="4" t="s">
        <v>60</v>
      </c>
      <c r="C5518" s="4" t="s">
        <v>603</v>
      </c>
      <c r="D5518" s="4" t="s">
        <v>604</v>
      </c>
      <c r="E5518" s="4">
        <v>3.41</v>
      </c>
    </row>
    <row r="5519">
      <c r="A5519" s="5">
        <v>77622.0</v>
      </c>
      <c r="B5519" s="6" t="s">
        <v>60</v>
      </c>
      <c r="C5519" s="6" t="s">
        <v>603</v>
      </c>
      <c r="D5519" s="6" t="s">
        <v>604</v>
      </c>
      <c r="E5519" s="6">
        <v>2.14</v>
      </c>
    </row>
    <row r="5520">
      <c r="A5520" s="3">
        <v>68294.0</v>
      </c>
      <c r="B5520" s="4" t="s">
        <v>60</v>
      </c>
      <c r="C5520" s="4" t="s">
        <v>603</v>
      </c>
      <c r="D5520" s="4" t="s">
        <v>604</v>
      </c>
      <c r="E5520" s="4">
        <v>1.03</v>
      </c>
    </row>
    <row r="5521">
      <c r="A5521" s="5">
        <v>12497.0</v>
      </c>
      <c r="B5521" s="6" t="s">
        <v>60</v>
      </c>
      <c r="C5521" s="6" t="s">
        <v>603</v>
      </c>
      <c r="D5521" s="6" t="s">
        <v>604</v>
      </c>
      <c r="E5521" s="6">
        <v>1.83</v>
      </c>
    </row>
    <row r="5522">
      <c r="A5522" s="3">
        <v>74453.0</v>
      </c>
      <c r="B5522" s="4" t="s">
        <v>60</v>
      </c>
      <c r="C5522" s="4" t="s">
        <v>603</v>
      </c>
      <c r="D5522" s="4" t="s">
        <v>604</v>
      </c>
      <c r="E5522" s="4">
        <v>3.83</v>
      </c>
    </row>
    <row r="5523">
      <c r="A5523" s="5">
        <v>112246.0</v>
      </c>
      <c r="B5523" s="6" t="s">
        <v>60</v>
      </c>
      <c r="C5523" s="6" t="s">
        <v>603</v>
      </c>
      <c r="D5523" s="6" t="s">
        <v>604</v>
      </c>
      <c r="E5523" s="6">
        <v>0.86</v>
      </c>
    </row>
    <row r="5524">
      <c r="A5524" s="3">
        <v>110776.0</v>
      </c>
      <c r="B5524" s="4" t="s">
        <v>60</v>
      </c>
      <c r="C5524" s="4" t="s">
        <v>603</v>
      </c>
      <c r="D5524" s="4" t="s">
        <v>604</v>
      </c>
      <c r="E5524" s="4">
        <v>1.72</v>
      </c>
    </row>
    <row r="5525">
      <c r="A5525" s="5">
        <v>92846.0</v>
      </c>
      <c r="B5525" s="6" t="s">
        <v>60</v>
      </c>
      <c r="C5525" s="6" t="s">
        <v>603</v>
      </c>
      <c r="D5525" s="6" t="s">
        <v>604</v>
      </c>
      <c r="E5525" s="6">
        <v>2.7</v>
      </c>
    </row>
    <row r="5526">
      <c r="A5526" s="3">
        <v>119257.0</v>
      </c>
      <c r="B5526" s="4" t="s">
        <v>60</v>
      </c>
      <c r="C5526" s="4" t="s">
        <v>603</v>
      </c>
      <c r="D5526" s="4" t="s">
        <v>604</v>
      </c>
      <c r="E5526" s="4">
        <v>0.96</v>
      </c>
    </row>
    <row r="5527">
      <c r="A5527" s="5">
        <v>68313.0</v>
      </c>
      <c r="B5527" s="6" t="s">
        <v>60</v>
      </c>
      <c r="C5527" s="6" t="s">
        <v>603</v>
      </c>
      <c r="D5527" s="6" t="s">
        <v>604</v>
      </c>
      <c r="E5527" s="6">
        <v>2.46</v>
      </c>
    </row>
    <row r="5528">
      <c r="A5528" s="3">
        <v>12503.0</v>
      </c>
      <c r="B5528" s="4" t="s">
        <v>60</v>
      </c>
      <c r="C5528" s="4" t="s">
        <v>603</v>
      </c>
      <c r="D5528" s="4" t="s">
        <v>604</v>
      </c>
      <c r="E5528" s="4">
        <v>2.28</v>
      </c>
    </row>
    <row r="5529">
      <c r="A5529" s="5">
        <v>77624.0</v>
      </c>
      <c r="B5529" s="6" t="s">
        <v>60</v>
      </c>
      <c r="C5529" s="6" t="s">
        <v>603</v>
      </c>
      <c r="D5529" s="6" t="s">
        <v>604</v>
      </c>
      <c r="E5529" s="6">
        <v>1.67</v>
      </c>
    </row>
    <row r="5530">
      <c r="A5530" s="3">
        <v>77432.0</v>
      </c>
      <c r="B5530" s="4" t="s">
        <v>60</v>
      </c>
      <c r="C5530" s="4" t="s">
        <v>603</v>
      </c>
      <c r="D5530" s="4" t="s">
        <v>605</v>
      </c>
      <c r="E5530" s="4">
        <v>1.41</v>
      </c>
    </row>
    <row r="5531">
      <c r="A5531" s="5">
        <v>77429.0</v>
      </c>
      <c r="B5531" s="6" t="s">
        <v>60</v>
      </c>
      <c r="C5531" s="6" t="s">
        <v>603</v>
      </c>
      <c r="D5531" s="6" t="s">
        <v>605</v>
      </c>
      <c r="E5531" s="6">
        <v>1.76</v>
      </c>
    </row>
    <row r="5532">
      <c r="A5532" s="3">
        <v>93995.0</v>
      </c>
      <c r="B5532" s="4" t="s">
        <v>60</v>
      </c>
      <c r="C5532" s="4" t="s">
        <v>603</v>
      </c>
      <c r="D5532" s="4" t="s">
        <v>605</v>
      </c>
      <c r="E5532" s="4">
        <v>2.17</v>
      </c>
    </row>
    <row r="5533">
      <c r="A5533" s="5">
        <v>103185.0</v>
      </c>
      <c r="B5533" s="6" t="s">
        <v>60</v>
      </c>
      <c r="C5533" s="6" t="s">
        <v>603</v>
      </c>
      <c r="D5533" s="6" t="s">
        <v>605</v>
      </c>
      <c r="E5533" s="6">
        <v>2.48</v>
      </c>
    </row>
    <row r="5534">
      <c r="A5534" s="3">
        <v>13868.0</v>
      </c>
      <c r="B5534" s="4" t="s">
        <v>60</v>
      </c>
      <c r="C5534" s="4" t="s">
        <v>603</v>
      </c>
      <c r="D5534" s="4" t="s">
        <v>605</v>
      </c>
      <c r="E5534" s="4">
        <v>4.39</v>
      </c>
    </row>
    <row r="5535">
      <c r="A5535" s="5">
        <v>9504.0</v>
      </c>
      <c r="B5535" s="6" t="s">
        <v>60</v>
      </c>
      <c r="C5535" s="6" t="s">
        <v>603</v>
      </c>
      <c r="D5535" s="6" t="s">
        <v>605</v>
      </c>
      <c r="E5535" s="6">
        <v>1.75</v>
      </c>
    </row>
    <row r="5536">
      <c r="A5536" s="3">
        <v>77446.0</v>
      </c>
      <c r="B5536" s="4" t="s">
        <v>60</v>
      </c>
      <c r="C5536" s="4" t="s">
        <v>603</v>
      </c>
      <c r="D5536" s="4" t="s">
        <v>605</v>
      </c>
      <c r="E5536" s="4">
        <v>2.08</v>
      </c>
    </row>
    <row r="5537">
      <c r="A5537" s="5">
        <v>77498.0</v>
      </c>
      <c r="B5537" s="6" t="s">
        <v>60</v>
      </c>
      <c r="C5537" s="6" t="s">
        <v>603</v>
      </c>
      <c r="D5537" s="6" t="s">
        <v>605</v>
      </c>
      <c r="E5537" s="6">
        <v>1.65</v>
      </c>
    </row>
    <row r="5538">
      <c r="A5538" s="3">
        <v>77488.0</v>
      </c>
      <c r="B5538" s="4" t="s">
        <v>60</v>
      </c>
      <c r="C5538" s="4" t="s">
        <v>603</v>
      </c>
      <c r="D5538" s="4" t="s">
        <v>605</v>
      </c>
      <c r="E5538" s="4">
        <v>2.46</v>
      </c>
    </row>
    <row r="5539">
      <c r="A5539" s="5">
        <v>82203.0</v>
      </c>
      <c r="B5539" s="6" t="s">
        <v>60</v>
      </c>
      <c r="C5539" s="6" t="s">
        <v>603</v>
      </c>
      <c r="D5539" s="6" t="s">
        <v>605</v>
      </c>
      <c r="E5539" s="6">
        <v>7.27</v>
      </c>
    </row>
    <row r="5540">
      <c r="A5540" s="3">
        <v>82754.0</v>
      </c>
      <c r="B5540" s="4" t="s">
        <v>60</v>
      </c>
      <c r="C5540" s="4" t="s">
        <v>603</v>
      </c>
      <c r="D5540" s="4" t="s">
        <v>605</v>
      </c>
      <c r="E5540" s="4">
        <v>5.91</v>
      </c>
    </row>
    <row r="5541">
      <c r="A5541" s="5">
        <v>110837.0</v>
      </c>
      <c r="B5541" s="6" t="s">
        <v>60</v>
      </c>
      <c r="C5541" s="6" t="s">
        <v>603</v>
      </c>
      <c r="D5541" s="6" t="s">
        <v>605</v>
      </c>
      <c r="E5541" s="6">
        <v>2.53</v>
      </c>
    </row>
    <row r="5542">
      <c r="A5542" s="3">
        <v>9591.0</v>
      </c>
      <c r="B5542" s="4" t="s">
        <v>60</v>
      </c>
      <c r="C5542" s="4" t="s">
        <v>603</v>
      </c>
      <c r="D5542" s="4" t="s">
        <v>605</v>
      </c>
      <c r="E5542" s="4">
        <v>1.49</v>
      </c>
    </row>
    <row r="5543">
      <c r="A5543" s="5">
        <v>94040.0</v>
      </c>
      <c r="B5543" s="6" t="s">
        <v>60</v>
      </c>
      <c r="C5543" s="6" t="s">
        <v>603</v>
      </c>
      <c r="D5543" s="6" t="s">
        <v>605</v>
      </c>
      <c r="E5543" s="6">
        <v>3.21</v>
      </c>
    </row>
    <row r="5544">
      <c r="A5544" s="3">
        <v>9513.0</v>
      </c>
      <c r="B5544" s="4" t="s">
        <v>60</v>
      </c>
      <c r="C5544" s="4" t="s">
        <v>603</v>
      </c>
      <c r="D5544" s="4" t="s">
        <v>605</v>
      </c>
      <c r="E5544" s="4">
        <v>1.76</v>
      </c>
    </row>
    <row r="5545">
      <c r="A5545" s="5">
        <v>121543.0</v>
      </c>
      <c r="B5545" s="6" t="s">
        <v>60</v>
      </c>
      <c r="C5545" s="6" t="s">
        <v>603</v>
      </c>
      <c r="D5545" s="6" t="s">
        <v>605</v>
      </c>
      <c r="E5545" s="6">
        <v>1.02</v>
      </c>
    </row>
    <row r="5546">
      <c r="A5546" s="3">
        <v>164638.0</v>
      </c>
      <c r="B5546" s="4" t="s">
        <v>60</v>
      </c>
      <c r="C5546" s="4" t="s">
        <v>603</v>
      </c>
      <c r="D5546" s="4" t="s">
        <v>605</v>
      </c>
      <c r="E5546" s="4">
        <v>1.74</v>
      </c>
    </row>
    <row r="5547">
      <c r="A5547" s="5">
        <v>9554.0</v>
      </c>
      <c r="B5547" s="6" t="s">
        <v>60</v>
      </c>
      <c r="C5547" s="6" t="s">
        <v>603</v>
      </c>
      <c r="D5547" s="6" t="s">
        <v>605</v>
      </c>
      <c r="E5547" s="6">
        <v>3.07</v>
      </c>
    </row>
    <row r="5548">
      <c r="A5548" s="3">
        <v>117798.0</v>
      </c>
      <c r="B5548" s="4" t="s">
        <v>60</v>
      </c>
      <c r="C5548" s="4" t="s">
        <v>603</v>
      </c>
      <c r="D5548" s="4" t="s">
        <v>605</v>
      </c>
      <c r="E5548" s="4">
        <v>1.89</v>
      </c>
    </row>
    <row r="5549">
      <c r="A5549" s="5">
        <v>77480.0</v>
      </c>
      <c r="B5549" s="6" t="s">
        <v>60</v>
      </c>
      <c r="C5549" s="6" t="s">
        <v>603</v>
      </c>
      <c r="D5549" s="6" t="s">
        <v>605</v>
      </c>
      <c r="E5549" s="6">
        <v>1.7</v>
      </c>
    </row>
    <row r="5550">
      <c r="A5550" s="3">
        <v>9547.0</v>
      </c>
      <c r="B5550" s="4" t="s">
        <v>60</v>
      </c>
      <c r="C5550" s="4" t="s">
        <v>603</v>
      </c>
      <c r="D5550" s="4" t="s">
        <v>605</v>
      </c>
      <c r="E5550" s="4">
        <v>2.15</v>
      </c>
    </row>
    <row r="5551">
      <c r="A5551" s="5">
        <v>9551.0</v>
      </c>
      <c r="B5551" s="6" t="s">
        <v>60</v>
      </c>
      <c r="C5551" s="6" t="s">
        <v>603</v>
      </c>
      <c r="D5551" s="6" t="s">
        <v>605</v>
      </c>
      <c r="E5551" s="6">
        <v>1.71</v>
      </c>
    </row>
    <row r="5552">
      <c r="A5552" s="3">
        <v>9514.0</v>
      </c>
      <c r="B5552" s="4" t="s">
        <v>60</v>
      </c>
      <c r="C5552" s="4" t="s">
        <v>603</v>
      </c>
      <c r="D5552" s="4" t="s">
        <v>605</v>
      </c>
      <c r="E5552" s="4">
        <v>3.25</v>
      </c>
    </row>
    <row r="5553">
      <c r="A5553" s="5">
        <v>147310.0</v>
      </c>
      <c r="B5553" s="6" t="s">
        <v>60</v>
      </c>
      <c r="C5553" s="6" t="s">
        <v>603</v>
      </c>
      <c r="D5553" s="6" t="s">
        <v>605</v>
      </c>
      <c r="E5553" s="6">
        <v>10.5</v>
      </c>
    </row>
    <row r="5554">
      <c r="A5554" s="3">
        <v>13865.0</v>
      </c>
      <c r="B5554" s="4" t="s">
        <v>60</v>
      </c>
      <c r="C5554" s="4" t="s">
        <v>603</v>
      </c>
      <c r="D5554" s="4" t="s">
        <v>605</v>
      </c>
      <c r="E5554" s="4">
        <v>4.4</v>
      </c>
    </row>
    <row r="5555">
      <c r="A5555" s="5">
        <v>9521.0</v>
      </c>
      <c r="B5555" s="6" t="s">
        <v>60</v>
      </c>
      <c r="C5555" s="6" t="s">
        <v>603</v>
      </c>
      <c r="D5555" s="6" t="s">
        <v>605</v>
      </c>
      <c r="E5555" s="6">
        <v>3.25</v>
      </c>
    </row>
    <row r="5556">
      <c r="A5556" s="3">
        <v>9522.0</v>
      </c>
      <c r="B5556" s="4" t="s">
        <v>60</v>
      </c>
      <c r="C5556" s="4" t="s">
        <v>603</v>
      </c>
      <c r="D5556" s="4" t="s">
        <v>605</v>
      </c>
      <c r="E5556" s="4">
        <v>2.92</v>
      </c>
    </row>
    <row r="5557">
      <c r="A5557" s="5">
        <v>94048.0</v>
      </c>
      <c r="B5557" s="6" t="s">
        <v>60</v>
      </c>
      <c r="C5557" s="6" t="s">
        <v>603</v>
      </c>
      <c r="D5557" s="6" t="s">
        <v>605</v>
      </c>
      <c r="E5557" s="6">
        <v>2.34</v>
      </c>
    </row>
    <row r="5558">
      <c r="A5558" s="3">
        <v>121549.0</v>
      </c>
      <c r="B5558" s="4" t="s">
        <v>60</v>
      </c>
      <c r="C5558" s="4" t="s">
        <v>603</v>
      </c>
      <c r="D5558" s="4" t="s">
        <v>605</v>
      </c>
      <c r="E5558" s="4">
        <v>1.73</v>
      </c>
    </row>
    <row r="5559">
      <c r="A5559" s="5">
        <v>9593.0</v>
      </c>
      <c r="B5559" s="6" t="s">
        <v>60</v>
      </c>
      <c r="C5559" s="6" t="s">
        <v>603</v>
      </c>
      <c r="D5559" s="6" t="s">
        <v>605</v>
      </c>
      <c r="E5559" s="6">
        <v>2.16</v>
      </c>
    </row>
    <row r="5560">
      <c r="A5560" s="3">
        <v>119247.0</v>
      </c>
      <c r="B5560" s="4" t="s">
        <v>60</v>
      </c>
      <c r="C5560" s="4" t="s">
        <v>603</v>
      </c>
      <c r="D5560" s="4" t="s">
        <v>605</v>
      </c>
      <c r="E5560" s="4">
        <v>1.92</v>
      </c>
    </row>
    <row r="5561">
      <c r="A5561" s="5">
        <v>9516.0</v>
      </c>
      <c r="B5561" s="6" t="s">
        <v>60</v>
      </c>
      <c r="C5561" s="6" t="s">
        <v>603</v>
      </c>
      <c r="D5561" s="6" t="s">
        <v>605</v>
      </c>
      <c r="E5561" s="6">
        <v>1.81</v>
      </c>
    </row>
    <row r="5562">
      <c r="A5562" s="3">
        <v>193265.0</v>
      </c>
      <c r="B5562" s="4" t="s">
        <v>60</v>
      </c>
      <c r="C5562" s="4" t="s">
        <v>603</v>
      </c>
      <c r="D5562" s="4" t="s">
        <v>605</v>
      </c>
      <c r="E5562" s="4">
        <v>1.97</v>
      </c>
    </row>
    <row r="5563">
      <c r="A5563" s="5">
        <v>13869.0</v>
      </c>
      <c r="B5563" s="6" t="s">
        <v>60</v>
      </c>
      <c r="C5563" s="6" t="s">
        <v>603</v>
      </c>
      <c r="D5563" s="6" t="s">
        <v>605</v>
      </c>
      <c r="E5563" s="6">
        <v>4.4</v>
      </c>
    </row>
    <row r="5564">
      <c r="A5564" s="3">
        <v>13877.0</v>
      </c>
      <c r="B5564" s="4" t="s">
        <v>60</v>
      </c>
      <c r="C5564" s="4" t="s">
        <v>603</v>
      </c>
      <c r="D5564" s="4" t="s">
        <v>605</v>
      </c>
      <c r="E5564" s="4">
        <v>4.67</v>
      </c>
    </row>
    <row r="5565">
      <c r="A5565" s="5">
        <v>9493.0</v>
      </c>
      <c r="B5565" s="6" t="s">
        <v>60</v>
      </c>
      <c r="C5565" s="6" t="s">
        <v>603</v>
      </c>
      <c r="D5565" s="6" t="s">
        <v>605</v>
      </c>
      <c r="E5565" s="6">
        <v>2.77</v>
      </c>
    </row>
    <row r="5566">
      <c r="A5566" s="3">
        <v>9502.0</v>
      </c>
      <c r="B5566" s="4" t="s">
        <v>60</v>
      </c>
      <c r="C5566" s="4" t="s">
        <v>603</v>
      </c>
      <c r="D5566" s="4" t="s">
        <v>605</v>
      </c>
      <c r="E5566" s="4">
        <v>1.2</v>
      </c>
    </row>
    <row r="5567">
      <c r="A5567" s="5">
        <v>147301.0</v>
      </c>
      <c r="B5567" s="6" t="s">
        <v>60</v>
      </c>
      <c r="C5567" s="6" t="s">
        <v>603</v>
      </c>
      <c r="D5567" s="6" t="s">
        <v>605</v>
      </c>
      <c r="E5567" s="6">
        <v>0.99</v>
      </c>
    </row>
    <row r="5568">
      <c r="A5568" s="3">
        <v>30569.0</v>
      </c>
      <c r="B5568" s="4" t="s">
        <v>60</v>
      </c>
      <c r="C5568" s="4" t="s">
        <v>603</v>
      </c>
      <c r="D5568" s="4" t="s">
        <v>605</v>
      </c>
      <c r="E5568" s="4">
        <v>6.82</v>
      </c>
    </row>
    <row r="5569">
      <c r="A5569" s="5">
        <v>112190.0</v>
      </c>
      <c r="B5569" s="6" t="s">
        <v>60</v>
      </c>
      <c r="C5569" s="6" t="s">
        <v>603</v>
      </c>
      <c r="D5569" s="6" t="s">
        <v>605</v>
      </c>
      <c r="E5569" s="6">
        <v>1.69</v>
      </c>
    </row>
    <row r="5570">
      <c r="A5570" s="3">
        <v>110833.0</v>
      </c>
      <c r="B5570" s="4" t="s">
        <v>60</v>
      </c>
      <c r="C5570" s="4" t="s">
        <v>603</v>
      </c>
      <c r="D5570" s="4" t="s">
        <v>605</v>
      </c>
      <c r="E5570" s="4">
        <v>4.46</v>
      </c>
    </row>
    <row r="5571">
      <c r="A5571" s="5">
        <v>9505.0</v>
      </c>
      <c r="B5571" s="6" t="s">
        <v>60</v>
      </c>
      <c r="C5571" s="6" t="s">
        <v>603</v>
      </c>
      <c r="D5571" s="6" t="s">
        <v>605</v>
      </c>
      <c r="E5571" s="6">
        <v>1.48</v>
      </c>
    </row>
    <row r="5572">
      <c r="A5572" s="3">
        <v>119248.0</v>
      </c>
      <c r="B5572" s="4" t="s">
        <v>60</v>
      </c>
      <c r="C5572" s="4" t="s">
        <v>603</v>
      </c>
      <c r="D5572" s="4" t="s">
        <v>605</v>
      </c>
      <c r="E5572" s="4">
        <v>2.22</v>
      </c>
    </row>
    <row r="5573">
      <c r="A5573" s="5">
        <v>147306.0</v>
      </c>
      <c r="B5573" s="6" t="s">
        <v>60</v>
      </c>
      <c r="C5573" s="6" t="s">
        <v>603</v>
      </c>
      <c r="D5573" s="6" t="s">
        <v>605</v>
      </c>
      <c r="E5573" s="6">
        <v>6.91</v>
      </c>
    </row>
    <row r="5574">
      <c r="A5574" s="3">
        <v>77425.0</v>
      </c>
      <c r="B5574" s="4" t="s">
        <v>60</v>
      </c>
      <c r="C5574" s="4" t="s">
        <v>603</v>
      </c>
      <c r="D5574" s="4" t="s">
        <v>605</v>
      </c>
      <c r="E5574" s="4">
        <v>1.35</v>
      </c>
    </row>
    <row r="5575">
      <c r="A5575" s="5">
        <v>9497.0</v>
      </c>
      <c r="B5575" s="6" t="s">
        <v>60</v>
      </c>
      <c r="C5575" s="6" t="s">
        <v>603</v>
      </c>
      <c r="D5575" s="6" t="s">
        <v>605</v>
      </c>
      <c r="E5575" s="6">
        <v>1.38</v>
      </c>
    </row>
    <row r="5576">
      <c r="A5576" s="3">
        <v>9601.0</v>
      </c>
      <c r="B5576" s="4" t="s">
        <v>60</v>
      </c>
      <c r="C5576" s="4" t="s">
        <v>603</v>
      </c>
      <c r="D5576" s="4" t="s">
        <v>605</v>
      </c>
      <c r="E5576" s="4">
        <v>2.16</v>
      </c>
    </row>
    <row r="5577">
      <c r="A5577" s="5">
        <v>117799.0</v>
      </c>
      <c r="B5577" s="6" t="s">
        <v>60</v>
      </c>
      <c r="C5577" s="6" t="s">
        <v>603</v>
      </c>
      <c r="D5577" s="6" t="s">
        <v>605</v>
      </c>
      <c r="E5577" s="6">
        <v>1.76</v>
      </c>
    </row>
    <row r="5578">
      <c r="A5578" s="3">
        <v>82770.0</v>
      </c>
      <c r="B5578" s="4" t="s">
        <v>60</v>
      </c>
      <c r="C5578" s="4" t="s">
        <v>603</v>
      </c>
      <c r="D5578" s="4" t="s">
        <v>605</v>
      </c>
      <c r="E5578" s="4">
        <v>4.4</v>
      </c>
    </row>
    <row r="5579">
      <c r="A5579" s="5">
        <v>119249.0</v>
      </c>
      <c r="B5579" s="6" t="s">
        <v>60</v>
      </c>
      <c r="C5579" s="6" t="s">
        <v>603</v>
      </c>
      <c r="D5579" s="6" t="s">
        <v>605</v>
      </c>
      <c r="E5579" s="6">
        <v>1.97</v>
      </c>
    </row>
    <row r="5580">
      <c r="A5580" s="3">
        <v>86191.0</v>
      </c>
      <c r="B5580" s="4" t="s">
        <v>60</v>
      </c>
      <c r="C5580" s="4" t="s">
        <v>603</v>
      </c>
      <c r="D5580" s="4" t="s">
        <v>605</v>
      </c>
      <c r="E5580" s="4">
        <v>1.84</v>
      </c>
    </row>
    <row r="5581">
      <c r="A5581" s="5">
        <v>9503.0</v>
      </c>
      <c r="B5581" s="6" t="s">
        <v>60</v>
      </c>
      <c r="C5581" s="6" t="s">
        <v>603</v>
      </c>
      <c r="D5581" s="6" t="s">
        <v>605</v>
      </c>
      <c r="E5581" s="6">
        <v>1.65</v>
      </c>
    </row>
    <row r="5582">
      <c r="A5582" s="3">
        <v>94007.0</v>
      </c>
      <c r="B5582" s="4" t="s">
        <v>60</v>
      </c>
      <c r="C5582" s="4" t="s">
        <v>603</v>
      </c>
      <c r="D5582" s="4" t="s">
        <v>605</v>
      </c>
      <c r="E5582" s="4">
        <v>1.56</v>
      </c>
    </row>
    <row r="5583">
      <c r="A5583" s="5">
        <v>82761.0</v>
      </c>
      <c r="B5583" s="6" t="s">
        <v>60</v>
      </c>
      <c r="C5583" s="6" t="s">
        <v>603</v>
      </c>
      <c r="D5583" s="6" t="s">
        <v>605</v>
      </c>
      <c r="E5583" s="6">
        <v>3.95</v>
      </c>
    </row>
    <row r="5584">
      <c r="A5584" s="3">
        <v>9599.0</v>
      </c>
      <c r="B5584" s="4" t="s">
        <v>60</v>
      </c>
      <c r="C5584" s="4" t="s">
        <v>603</v>
      </c>
      <c r="D5584" s="4" t="s">
        <v>605</v>
      </c>
      <c r="E5584" s="4">
        <v>2.5</v>
      </c>
    </row>
    <row r="5585">
      <c r="A5585" s="5">
        <v>9496.0</v>
      </c>
      <c r="B5585" s="6" t="s">
        <v>60</v>
      </c>
      <c r="C5585" s="6" t="s">
        <v>603</v>
      </c>
      <c r="D5585" s="6" t="s">
        <v>605</v>
      </c>
      <c r="E5585" s="6">
        <v>3.79</v>
      </c>
    </row>
    <row r="5586">
      <c r="A5586" s="3">
        <v>195072.0</v>
      </c>
      <c r="B5586" s="4" t="s">
        <v>60</v>
      </c>
      <c r="C5586" s="4" t="s">
        <v>603</v>
      </c>
      <c r="D5586" s="4" t="s">
        <v>605</v>
      </c>
      <c r="E5586" s="4">
        <v>2.16</v>
      </c>
    </row>
    <row r="5587">
      <c r="A5587" s="5">
        <v>119252.0</v>
      </c>
      <c r="B5587" s="6" t="s">
        <v>60</v>
      </c>
      <c r="C5587" s="6" t="s">
        <v>603</v>
      </c>
      <c r="D5587" s="6" t="s">
        <v>605</v>
      </c>
      <c r="E5587" s="6">
        <v>2.12</v>
      </c>
    </row>
    <row r="5588">
      <c r="A5588" s="3">
        <v>9501.0</v>
      </c>
      <c r="B5588" s="4" t="s">
        <v>60</v>
      </c>
      <c r="C5588" s="4" t="s">
        <v>603</v>
      </c>
      <c r="D5588" s="4" t="s">
        <v>605</v>
      </c>
      <c r="E5588" s="4">
        <v>1.26</v>
      </c>
    </row>
    <row r="5589">
      <c r="A5589" s="5">
        <v>9491.0</v>
      </c>
      <c r="B5589" s="6" t="s">
        <v>60</v>
      </c>
      <c r="C5589" s="6" t="s">
        <v>603</v>
      </c>
      <c r="D5589" s="6" t="s">
        <v>605</v>
      </c>
      <c r="E5589" s="6">
        <v>1.5</v>
      </c>
    </row>
    <row r="5590">
      <c r="A5590" s="3">
        <v>194058.0</v>
      </c>
      <c r="B5590" s="4" t="s">
        <v>60</v>
      </c>
      <c r="C5590" s="4" t="s">
        <v>603</v>
      </c>
      <c r="D5590" s="4" t="s">
        <v>605</v>
      </c>
      <c r="E5590" s="4">
        <v>2.16</v>
      </c>
    </row>
    <row r="5591">
      <c r="A5591" s="5">
        <v>111319.0</v>
      </c>
      <c r="B5591" s="6" t="s">
        <v>60</v>
      </c>
      <c r="C5591" s="6" t="s">
        <v>603</v>
      </c>
      <c r="D5591" s="6" t="s">
        <v>606</v>
      </c>
      <c r="E5591" s="6">
        <v>2.13</v>
      </c>
    </row>
    <row r="5592">
      <c r="A5592" s="3">
        <v>86655.0</v>
      </c>
      <c r="B5592" s="4" t="s">
        <v>60</v>
      </c>
      <c r="C5592" s="4" t="s">
        <v>603</v>
      </c>
      <c r="D5592" s="4" t="s">
        <v>606</v>
      </c>
      <c r="E5592" s="4">
        <v>9.1</v>
      </c>
    </row>
    <row r="5593">
      <c r="A5593" s="5">
        <v>147300.0</v>
      </c>
      <c r="B5593" s="6" t="s">
        <v>60</v>
      </c>
      <c r="C5593" s="6" t="s">
        <v>603</v>
      </c>
      <c r="D5593" s="6" t="s">
        <v>606</v>
      </c>
      <c r="E5593" s="6">
        <v>2.18</v>
      </c>
    </row>
    <row r="5594">
      <c r="A5594" s="3">
        <v>13861.0</v>
      </c>
      <c r="B5594" s="4" t="s">
        <v>60</v>
      </c>
      <c r="C5594" s="4" t="s">
        <v>603</v>
      </c>
      <c r="D5594" s="4" t="s">
        <v>606</v>
      </c>
      <c r="E5594" s="4">
        <v>3.51</v>
      </c>
    </row>
    <row r="5595">
      <c r="A5595" s="5">
        <v>81510.0</v>
      </c>
      <c r="B5595" s="6" t="s">
        <v>60</v>
      </c>
      <c r="C5595" s="6" t="s">
        <v>603</v>
      </c>
      <c r="D5595" s="6" t="s">
        <v>606</v>
      </c>
      <c r="E5595" s="6">
        <v>6.78</v>
      </c>
    </row>
    <row r="5596">
      <c r="A5596" s="3">
        <v>9560.0</v>
      </c>
      <c r="B5596" s="4" t="s">
        <v>60</v>
      </c>
      <c r="C5596" s="4" t="s">
        <v>603</v>
      </c>
      <c r="D5596" s="4" t="s">
        <v>606</v>
      </c>
      <c r="E5596" s="4">
        <v>2.3</v>
      </c>
    </row>
    <row r="5597">
      <c r="A5597" s="5">
        <v>72161.0</v>
      </c>
      <c r="B5597" s="6" t="s">
        <v>60</v>
      </c>
      <c r="C5597" s="6" t="s">
        <v>603</v>
      </c>
      <c r="D5597" s="6" t="s">
        <v>606</v>
      </c>
      <c r="E5597" s="6">
        <v>5.11</v>
      </c>
    </row>
    <row r="5598">
      <c r="A5598" s="3">
        <v>9561.0</v>
      </c>
      <c r="B5598" s="4" t="s">
        <v>60</v>
      </c>
      <c r="C5598" s="4" t="s">
        <v>603</v>
      </c>
      <c r="D5598" s="4" t="s">
        <v>606</v>
      </c>
      <c r="E5598" s="4">
        <v>6.8</v>
      </c>
    </row>
    <row r="5599">
      <c r="A5599" s="5">
        <v>9562.0</v>
      </c>
      <c r="B5599" s="6" t="s">
        <v>60</v>
      </c>
      <c r="C5599" s="6" t="s">
        <v>603</v>
      </c>
      <c r="D5599" s="6" t="s">
        <v>606</v>
      </c>
      <c r="E5599" s="6">
        <v>7.12</v>
      </c>
    </row>
    <row r="5600">
      <c r="A5600" s="3">
        <v>119250.0</v>
      </c>
      <c r="B5600" s="4" t="s">
        <v>60</v>
      </c>
      <c r="C5600" s="4" t="s">
        <v>603</v>
      </c>
      <c r="D5600" s="4" t="s">
        <v>606</v>
      </c>
      <c r="E5600" s="4">
        <v>3.23</v>
      </c>
    </row>
    <row r="5601">
      <c r="A5601" s="5">
        <v>122297.0</v>
      </c>
      <c r="B5601" s="6" t="s">
        <v>60</v>
      </c>
      <c r="C5601" s="6" t="s">
        <v>603</v>
      </c>
      <c r="D5601" s="6" t="s">
        <v>607</v>
      </c>
      <c r="E5601" s="6">
        <v>2.88</v>
      </c>
    </row>
    <row r="5602">
      <c r="A5602" s="3">
        <v>164879.0</v>
      </c>
      <c r="B5602" s="4" t="s">
        <v>60</v>
      </c>
      <c r="C5602" s="4" t="s">
        <v>603</v>
      </c>
      <c r="D5602" s="4" t="s">
        <v>607</v>
      </c>
      <c r="E5602" s="4">
        <v>2.04</v>
      </c>
    </row>
    <row r="5603">
      <c r="A5603" s="5">
        <v>48697.0</v>
      </c>
      <c r="B5603" s="6" t="s">
        <v>60</v>
      </c>
      <c r="C5603" s="6" t="s">
        <v>603</v>
      </c>
      <c r="D5603" s="6" t="s">
        <v>607</v>
      </c>
      <c r="E5603" s="6">
        <v>2.84</v>
      </c>
    </row>
    <row r="5604">
      <c r="A5604" s="3">
        <v>122299.0</v>
      </c>
      <c r="B5604" s="4" t="s">
        <v>60</v>
      </c>
      <c r="C5604" s="4" t="s">
        <v>603</v>
      </c>
      <c r="D5604" s="4" t="s">
        <v>607</v>
      </c>
      <c r="E5604" s="4">
        <v>2.76</v>
      </c>
    </row>
    <row r="5605">
      <c r="A5605" s="5">
        <v>82997.0</v>
      </c>
      <c r="B5605" s="6" t="s">
        <v>60</v>
      </c>
      <c r="C5605" s="6" t="s">
        <v>603</v>
      </c>
      <c r="D5605" s="6" t="s">
        <v>607</v>
      </c>
      <c r="E5605" s="6">
        <v>2.19</v>
      </c>
    </row>
    <row r="5606">
      <c r="A5606" s="3">
        <v>108350.0</v>
      </c>
      <c r="B5606" s="4" t="s">
        <v>60</v>
      </c>
      <c r="C5606" s="4" t="s">
        <v>603</v>
      </c>
      <c r="D5606" s="4" t="s">
        <v>607</v>
      </c>
      <c r="E5606" s="4">
        <v>3.69</v>
      </c>
    </row>
    <row r="5607">
      <c r="A5607" s="5">
        <v>48699.0</v>
      </c>
      <c r="B5607" s="6" t="s">
        <v>60</v>
      </c>
      <c r="C5607" s="6" t="s">
        <v>603</v>
      </c>
      <c r="D5607" s="6" t="s">
        <v>607</v>
      </c>
      <c r="E5607" s="6">
        <v>3.91</v>
      </c>
    </row>
    <row r="5608">
      <c r="A5608" s="3">
        <v>108364.0</v>
      </c>
      <c r="B5608" s="4" t="s">
        <v>60</v>
      </c>
      <c r="C5608" s="4" t="s">
        <v>603</v>
      </c>
      <c r="D5608" s="4" t="s">
        <v>607</v>
      </c>
      <c r="E5608" s="4">
        <v>3.97</v>
      </c>
    </row>
    <row r="5609">
      <c r="A5609" s="5">
        <v>5799.0</v>
      </c>
      <c r="B5609" s="6" t="s">
        <v>60</v>
      </c>
      <c r="C5609" s="6" t="s">
        <v>603</v>
      </c>
      <c r="D5609" s="6" t="s">
        <v>607</v>
      </c>
      <c r="E5609" s="6">
        <v>2.79</v>
      </c>
    </row>
    <row r="5610">
      <c r="A5610" s="3">
        <v>81501.0</v>
      </c>
      <c r="B5610" s="4" t="s">
        <v>60</v>
      </c>
      <c r="C5610" s="4" t="s">
        <v>603</v>
      </c>
      <c r="D5610" s="4" t="s">
        <v>608</v>
      </c>
      <c r="E5610" s="4">
        <v>5.04</v>
      </c>
    </row>
    <row r="5611">
      <c r="A5611" s="5">
        <v>47648.0</v>
      </c>
      <c r="B5611" s="6" t="s">
        <v>60</v>
      </c>
      <c r="C5611" s="6" t="s">
        <v>603</v>
      </c>
      <c r="D5611" s="6" t="s">
        <v>608</v>
      </c>
      <c r="E5611" s="6">
        <v>1.1</v>
      </c>
    </row>
    <row r="5612">
      <c r="A5612" s="3">
        <v>105328.0</v>
      </c>
      <c r="B5612" s="4" t="s">
        <v>60</v>
      </c>
      <c r="C5612" s="4" t="s">
        <v>603</v>
      </c>
      <c r="D5612" s="4" t="s">
        <v>608</v>
      </c>
      <c r="E5612" s="4">
        <v>0.79</v>
      </c>
    </row>
    <row r="5613">
      <c r="A5613" s="5">
        <v>47654.0</v>
      </c>
      <c r="B5613" s="6" t="s">
        <v>60</v>
      </c>
      <c r="C5613" s="6" t="s">
        <v>603</v>
      </c>
      <c r="D5613" s="6" t="s">
        <v>608</v>
      </c>
      <c r="E5613" s="6">
        <v>1.26</v>
      </c>
    </row>
    <row r="5614">
      <c r="A5614" s="3">
        <v>82371.0</v>
      </c>
      <c r="B5614" s="4" t="s">
        <v>60</v>
      </c>
      <c r="C5614" s="4" t="s">
        <v>603</v>
      </c>
      <c r="D5614" s="4" t="s">
        <v>608</v>
      </c>
      <c r="E5614" s="4">
        <v>1.33</v>
      </c>
    </row>
    <row r="5615">
      <c r="A5615" s="5">
        <v>81500.0</v>
      </c>
      <c r="B5615" s="6" t="s">
        <v>60</v>
      </c>
      <c r="C5615" s="6" t="s">
        <v>603</v>
      </c>
      <c r="D5615" s="6" t="s">
        <v>608</v>
      </c>
      <c r="E5615" s="6">
        <v>1.94</v>
      </c>
    </row>
    <row r="5616">
      <c r="A5616" s="3">
        <v>48501.0</v>
      </c>
      <c r="B5616" s="4" t="s">
        <v>60</v>
      </c>
      <c r="C5616" s="4" t="s">
        <v>603</v>
      </c>
      <c r="D5616" s="4" t="s">
        <v>608</v>
      </c>
      <c r="E5616" s="4">
        <v>1.32</v>
      </c>
    </row>
    <row r="5617">
      <c r="A5617" s="5">
        <v>81498.0</v>
      </c>
      <c r="B5617" s="6" t="s">
        <v>60</v>
      </c>
      <c r="C5617" s="6" t="s">
        <v>603</v>
      </c>
      <c r="D5617" s="6" t="s">
        <v>608</v>
      </c>
      <c r="E5617" s="6">
        <v>0.97</v>
      </c>
    </row>
    <row r="5618">
      <c r="A5618" s="3">
        <v>48498.0</v>
      </c>
      <c r="B5618" s="4" t="s">
        <v>60</v>
      </c>
      <c r="C5618" s="4" t="s">
        <v>603</v>
      </c>
      <c r="D5618" s="4" t="s">
        <v>608</v>
      </c>
      <c r="E5618" s="4">
        <v>1.28</v>
      </c>
    </row>
    <row r="5619">
      <c r="A5619" s="5">
        <v>88628.0</v>
      </c>
      <c r="B5619" s="6" t="s">
        <v>60</v>
      </c>
      <c r="C5619" s="6" t="s">
        <v>603</v>
      </c>
      <c r="D5619" s="6" t="s">
        <v>608</v>
      </c>
      <c r="E5619" s="6">
        <v>1.34</v>
      </c>
    </row>
    <row r="5620">
      <c r="A5620" s="3">
        <v>180340.0</v>
      </c>
      <c r="B5620" s="4" t="s">
        <v>60</v>
      </c>
      <c r="C5620" s="4" t="s">
        <v>603</v>
      </c>
      <c r="D5620" s="4" t="s">
        <v>608</v>
      </c>
      <c r="E5620" s="4">
        <v>2.46</v>
      </c>
    </row>
    <row r="5621">
      <c r="A5621" s="5">
        <v>48503.0</v>
      </c>
      <c r="B5621" s="6" t="s">
        <v>60</v>
      </c>
      <c r="C5621" s="6" t="s">
        <v>603</v>
      </c>
      <c r="D5621" s="6" t="s">
        <v>608</v>
      </c>
      <c r="E5621" s="6">
        <v>1.21</v>
      </c>
    </row>
    <row r="5622">
      <c r="A5622" s="3">
        <v>74819.0</v>
      </c>
      <c r="B5622" s="4" t="s">
        <v>60</v>
      </c>
      <c r="C5622" s="4" t="s">
        <v>603</v>
      </c>
      <c r="D5622" s="4" t="s">
        <v>608</v>
      </c>
      <c r="E5622" s="4">
        <v>3.24</v>
      </c>
    </row>
    <row r="5623">
      <c r="A5623" s="5">
        <v>48502.0</v>
      </c>
      <c r="B5623" s="6" t="s">
        <v>60</v>
      </c>
      <c r="C5623" s="6" t="s">
        <v>603</v>
      </c>
      <c r="D5623" s="6" t="s">
        <v>608</v>
      </c>
      <c r="E5623" s="6">
        <v>1.15</v>
      </c>
    </row>
    <row r="5624">
      <c r="A5624" s="3">
        <v>96001.0</v>
      </c>
      <c r="B5624" s="4" t="s">
        <v>60</v>
      </c>
      <c r="C5624" s="4" t="s">
        <v>603</v>
      </c>
      <c r="D5624" s="4" t="s">
        <v>608</v>
      </c>
      <c r="E5624" s="4">
        <v>1.54</v>
      </c>
    </row>
    <row r="5625">
      <c r="A5625" s="5">
        <v>103095.0</v>
      </c>
      <c r="B5625" s="6" t="s">
        <v>60</v>
      </c>
      <c r="C5625" s="6" t="s">
        <v>603</v>
      </c>
      <c r="D5625" s="6" t="s">
        <v>608</v>
      </c>
      <c r="E5625" s="6">
        <v>3.44</v>
      </c>
    </row>
    <row r="5626">
      <c r="A5626" s="3">
        <v>88627.0</v>
      </c>
      <c r="B5626" s="4" t="s">
        <v>60</v>
      </c>
      <c r="C5626" s="4" t="s">
        <v>603</v>
      </c>
      <c r="D5626" s="4" t="s">
        <v>608</v>
      </c>
      <c r="E5626" s="4">
        <v>1.16</v>
      </c>
    </row>
    <row r="5627">
      <c r="A5627" s="5">
        <v>105329.0</v>
      </c>
      <c r="B5627" s="6" t="s">
        <v>60</v>
      </c>
      <c r="C5627" s="6" t="s">
        <v>603</v>
      </c>
      <c r="D5627" s="6" t="s">
        <v>608</v>
      </c>
      <c r="E5627" s="6">
        <v>0.79</v>
      </c>
    </row>
    <row r="5628">
      <c r="A5628" s="3">
        <v>105330.0</v>
      </c>
      <c r="B5628" s="4" t="s">
        <v>60</v>
      </c>
      <c r="C5628" s="4" t="s">
        <v>603</v>
      </c>
      <c r="D5628" s="4" t="s">
        <v>608</v>
      </c>
      <c r="E5628" s="4">
        <v>0.79</v>
      </c>
    </row>
    <row r="5629">
      <c r="A5629" s="5">
        <v>80252.0</v>
      </c>
      <c r="B5629" s="6" t="s">
        <v>60</v>
      </c>
      <c r="C5629" s="6" t="s">
        <v>603</v>
      </c>
      <c r="D5629" s="6" t="s">
        <v>608</v>
      </c>
      <c r="E5629" s="6">
        <v>1.15</v>
      </c>
    </row>
    <row r="5630">
      <c r="A5630" s="3">
        <v>77468.0</v>
      </c>
      <c r="B5630" s="4" t="s">
        <v>60</v>
      </c>
      <c r="C5630" s="4" t="s">
        <v>603</v>
      </c>
      <c r="D5630" s="4" t="s">
        <v>609</v>
      </c>
      <c r="E5630" s="4">
        <v>1.72</v>
      </c>
    </row>
    <row r="5631">
      <c r="A5631" s="5">
        <v>24203.0</v>
      </c>
      <c r="B5631" s="6" t="s">
        <v>60</v>
      </c>
      <c r="C5631" s="6" t="s">
        <v>603</v>
      </c>
      <c r="D5631" s="6" t="s">
        <v>609</v>
      </c>
      <c r="E5631" s="6">
        <v>1.99</v>
      </c>
    </row>
    <row r="5632">
      <c r="A5632" s="3">
        <v>139291.0</v>
      </c>
      <c r="B5632" s="4" t="s">
        <v>60</v>
      </c>
      <c r="C5632" s="4" t="s">
        <v>603</v>
      </c>
      <c r="D5632" s="4" t="s">
        <v>609</v>
      </c>
      <c r="E5632" s="4">
        <v>4.1</v>
      </c>
    </row>
    <row r="5633">
      <c r="A5633" s="5">
        <v>77426.0</v>
      </c>
      <c r="B5633" s="6" t="s">
        <v>60</v>
      </c>
      <c r="C5633" s="6" t="s">
        <v>603</v>
      </c>
      <c r="D5633" s="6" t="s">
        <v>609</v>
      </c>
      <c r="E5633" s="6">
        <v>1.65</v>
      </c>
    </row>
    <row r="5634">
      <c r="A5634" s="3">
        <v>94039.0</v>
      </c>
      <c r="B5634" s="4" t="s">
        <v>60</v>
      </c>
      <c r="C5634" s="4" t="s">
        <v>603</v>
      </c>
      <c r="D5634" s="4" t="s">
        <v>609</v>
      </c>
      <c r="E5634" s="4">
        <v>1.91</v>
      </c>
    </row>
    <row r="5635">
      <c r="A5635" s="5">
        <v>9508.0</v>
      </c>
      <c r="B5635" s="6" t="s">
        <v>60</v>
      </c>
      <c r="C5635" s="6" t="s">
        <v>603</v>
      </c>
      <c r="D5635" s="6" t="s">
        <v>609</v>
      </c>
      <c r="E5635" s="6">
        <v>1.21</v>
      </c>
    </row>
    <row r="5636">
      <c r="A5636" s="3">
        <v>121595.0</v>
      </c>
      <c r="B5636" s="4" t="s">
        <v>60</v>
      </c>
      <c r="C5636" s="4" t="s">
        <v>603</v>
      </c>
      <c r="D5636" s="4" t="s">
        <v>609</v>
      </c>
      <c r="E5636" s="4">
        <v>0.97</v>
      </c>
    </row>
    <row r="5637">
      <c r="A5637" s="5">
        <v>124762.0</v>
      </c>
      <c r="B5637" s="6" t="s">
        <v>60</v>
      </c>
      <c r="C5637" s="6" t="s">
        <v>603</v>
      </c>
      <c r="D5637" s="6" t="s">
        <v>609</v>
      </c>
      <c r="E5637" s="6">
        <v>4.94</v>
      </c>
    </row>
    <row r="5638">
      <c r="A5638" s="3">
        <v>77462.0</v>
      </c>
      <c r="B5638" s="4" t="s">
        <v>60</v>
      </c>
      <c r="C5638" s="4" t="s">
        <v>603</v>
      </c>
      <c r="D5638" s="4" t="s">
        <v>609</v>
      </c>
      <c r="E5638" s="4">
        <v>1.27</v>
      </c>
    </row>
    <row r="5639">
      <c r="A5639" s="5">
        <v>49158.0</v>
      </c>
      <c r="B5639" s="6" t="s">
        <v>60</v>
      </c>
      <c r="C5639" s="6" t="s">
        <v>603</v>
      </c>
      <c r="D5639" s="6" t="s">
        <v>609</v>
      </c>
      <c r="E5639" s="6">
        <v>2.39</v>
      </c>
    </row>
    <row r="5640">
      <c r="A5640" s="3">
        <v>93982.0</v>
      </c>
      <c r="B5640" s="4" t="s">
        <v>60</v>
      </c>
      <c r="C5640" s="4" t="s">
        <v>603</v>
      </c>
      <c r="D5640" s="4" t="s">
        <v>609</v>
      </c>
      <c r="E5640" s="4">
        <v>1.43</v>
      </c>
    </row>
    <row r="5641">
      <c r="A5641" s="5">
        <v>9546.0</v>
      </c>
      <c r="B5641" s="6" t="s">
        <v>60</v>
      </c>
      <c r="C5641" s="6" t="s">
        <v>603</v>
      </c>
      <c r="D5641" s="6" t="s">
        <v>609</v>
      </c>
      <c r="E5641" s="6">
        <v>1.75</v>
      </c>
    </row>
    <row r="5642">
      <c r="A5642" s="3">
        <v>9482.0</v>
      </c>
      <c r="B5642" s="4" t="s">
        <v>60</v>
      </c>
      <c r="C5642" s="4" t="s">
        <v>603</v>
      </c>
      <c r="D5642" s="4" t="s">
        <v>609</v>
      </c>
      <c r="E5642" s="4">
        <v>2.11</v>
      </c>
    </row>
    <row r="5643">
      <c r="A5643" s="5">
        <v>139290.0</v>
      </c>
      <c r="B5643" s="6" t="s">
        <v>60</v>
      </c>
      <c r="C5643" s="6" t="s">
        <v>603</v>
      </c>
      <c r="D5643" s="6" t="s">
        <v>609</v>
      </c>
      <c r="E5643" s="6">
        <v>1.58</v>
      </c>
    </row>
    <row r="5644">
      <c r="A5644" s="3">
        <v>121596.0</v>
      </c>
      <c r="B5644" s="4" t="s">
        <v>60</v>
      </c>
      <c r="C5644" s="4" t="s">
        <v>603</v>
      </c>
      <c r="D5644" s="4" t="s">
        <v>609</v>
      </c>
      <c r="E5644" s="4">
        <v>0.77</v>
      </c>
    </row>
    <row r="5645">
      <c r="A5645" s="5">
        <v>14441.0</v>
      </c>
      <c r="B5645" s="6" t="s">
        <v>60</v>
      </c>
      <c r="C5645" s="6" t="s">
        <v>603</v>
      </c>
      <c r="D5645" s="6" t="s">
        <v>609</v>
      </c>
      <c r="E5645" s="6">
        <v>2.39</v>
      </c>
    </row>
    <row r="5646">
      <c r="A5646" s="3">
        <v>9489.0</v>
      </c>
      <c r="B5646" s="4" t="s">
        <v>60</v>
      </c>
      <c r="C5646" s="4" t="s">
        <v>603</v>
      </c>
      <c r="D5646" s="4" t="s">
        <v>609</v>
      </c>
      <c r="E5646" s="4">
        <v>1.13</v>
      </c>
    </row>
    <row r="5647">
      <c r="A5647" s="5">
        <v>103189.0</v>
      </c>
      <c r="B5647" s="6" t="s">
        <v>60</v>
      </c>
      <c r="C5647" s="6" t="s">
        <v>603</v>
      </c>
      <c r="D5647" s="6" t="s">
        <v>609</v>
      </c>
      <c r="E5647" s="6">
        <v>3.22</v>
      </c>
    </row>
    <row r="5648">
      <c r="A5648" s="3">
        <v>9567.0</v>
      </c>
      <c r="B5648" s="4" t="s">
        <v>60</v>
      </c>
      <c r="C5648" s="4" t="s">
        <v>603</v>
      </c>
      <c r="D5648" s="4" t="s">
        <v>609</v>
      </c>
      <c r="E5648" s="4">
        <v>1.2</v>
      </c>
    </row>
    <row r="5649">
      <c r="A5649" s="5">
        <v>9543.0</v>
      </c>
      <c r="B5649" s="6" t="s">
        <v>60</v>
      </c>
      <c r="C5649" s="6" t="s">
        <v>603</v>
      </c>
      <c r="D5649" s="6" t="s">
        <v>609</v>
      </c>
      <c r="E5649" s="6">
        <v>1.58</v>
      </c>
    </row>
    <row r="5650">
      <c r="A5650" s="3">
        <v>77471.0</v>
      </c>
      <c r="B5650" s="4" t="s">
        <v>60</v>
      </c>
      <c r="C5650" s="4" t="s">
        <v>603</v>
      </c>
      <c r="D5650" s="4" t="s">
        <v>609</v>
      </c>
      <c r="E5650" s="4">
        <v>1.77</v>
      </c>
    </row>
    <row r="5651">
      <c r="A5651" s="5">
        <v>164631.0</v>
      </c>
      <c r="B5651" s="6" t="s">
        <v>60</v>
      </c>
      <c r="C5651" s="6" t="s">
        <v>603</v>
      </c>
      <c r="D5651" s="6" t="s">
        <v>609</v>
      </c>
      <c r="E5651" s="6">
        <v>1.16</v>
      </c>
    </row>
    <row r="5652">
      <c r="A5652" s="3">
        <v>9606.0</v>
      </c>
      <c r="B5652" s="4" t="s">
        <v>60</v>
      </c>
      <c r="C5652" s="4" t="s">
        <v>603</v>
      </c>
      <c r="D5652" s="4" t="s">
        <v>609</v>
      </c>
      <c r="E5652" s="4">
        <v>2.44</v>
      </c>
    </row>
    <row r="5653">
      <c r="A5653" s="5">
        <v>77473.0</v>
      </c>
      <c r="B5653" s="6" t="s">
        <v>60</v>
      </c>
      <c r="C5653" s="6" t="s">
        <v>603</v>
      </c>
      <c r="D5653" s="6" t="s">
        <v>609</v>
      </c>
      <c r="E5653" s="6">
        <v>1.48</v>
      </c>
    </row>
    <row r="5654">
      <c r="A5654" s="3">
        <v>9484.0</v>
      </c>
      <c r="B5654" s="4" t="s">
        <v>60</v>
      </c>
      <c r="C5654" s="4" t="s">
        <v>603</v>
      </c>
      <c r="D5654" s="4" t="s">
        <v>609</v>
      </c>
      <c r="E5654" s="4">
        <v>2.16</v>
      </c>
    </row>
    <row r="5655">
      <c r="A5655" s="5">
        <v>14439.0</v>
      </c>
      <c r="B5655" s="6" t="s">
        <v>60</v>
      </c>
      <c r="C5655" s="6" t="s">
        <v>603</v>
      </c>
      <c r="D5655" s="6" t="s">
        <v>609</v>
      </c>
      <c r="E5655" s="6">
        <v>2.39</v>
      </c>
    </row>
    <row r="5656">
      <c r="A5656" s="3">
        <v>124761.0</v>
      </c>
      <c r="B5656" s="4" t="s">
        <v>60</v>
      </c>
      <c r="C5656" s="4" t="s">
        <v>603</v>
      </c>
      <c r="D5656" s="4" t="s">
        <v>609</v>
      </c>
      <c r="E5656" s="4">
        <v>4.63</v>
      </c>
    </row>
    <row r="5657">
      <c r="A5657" s="5">
        <v>14440.0</v>
      </c>
      <c r="B5657" s="6" t="s">
        <v>60</v>
      </c>
      <c r="C5657" s="6" t="s">
        <v>603</v>
      </c>
      <c r="D5657" s="6" t="s">
        <v>609</v>
      </c>
      <c r="E5657" s="6">
        <v>2.39</v>
      </c>
    </row>
    <row r="5658">
      <c r="A5658" s="3">
        <v>9544.0</v>
      </c>
      <c r="B5658" s="4" t="s">
        <v>60</v>
      </c>
      <c r="C5658" s="4" t="s">
        <v>603</v>
      </c>
      <c r="D5658" s="4" t="s">
        <v>609</v>
      </c>
      <c r="E5658" s="4">
        <v>1.27</v>
      </c>
    </row>
    <row r="5659">
      <c r="A5659" s="5">
        <v>46482.0</v>
      </c>
      <c r="B5659" s="6" t="s">
        <v>60</v>
      </c>
      <c r="C5659" s="6" t="s">
        <v>603</v>
      </c>
      <c r="D5659" s="6" t="s">
        <v>610</v>
      </c>
      <c r="E5659" s="6">
        <v>2.59</v>
      </c>
    </row>
    <row r="5660">
      <c r="A5660" s="3">
        <v>46773.0</v>
      </c>
      <c r="B5660" s="4" t="s">
        <v>60</v>
      </c>
      <c r="C5660" s="4" t="s">
        <v>603</v>
      </c>
      <c r="D5660" s="4" t="s">
        <v>610</v>
      </c>
      <c r="E5660" s="4">
        <v>1.8</v>
      </c>
    </row>
    <row r="5661">
      <c r="A5661" s="5">
        <v>81502.0</v>
      </c>
      <c r="B5661" s="6" t="s">
        <v>60</v>
      </c>
      <c r="C5661" s="6" t="s">
        <v>603</v>
      </c>
      <c r="D5661" s="6" t="s">
        <v>610</v>
      </c>
      <c r="E5661" s="6">
        <v>3.6</v>
      </c>
    </row>
    <row r="5662">
      <c r="A5662" s="3">
        <v>76035.0</v>
      </c>
      <c r="B5662" s="4" t="s">
        <v>60</v>
      </c>
      <c r="C5662" s="4" t="s">
        <v>603</v>
      </c>
      <c r="D5662" s="4" t="s">
        <v>610</v>
      </c>
      <c r="E5662" s="4">
        <v>2.2</v>
      </c>
    </row>
    <row r="5663">
      <c r="A5663" s="5">
        <v>46774.0</v>
      </c>
      <c r="B5663" s="6" t="s">
        <v>60</v>
      </c>
      <c r="C5663" s="6" t="s">
        <v>603</v>
      </c>
      <c r="D5663" s="6" t="s">
        <v>610</v>
      </c>
      <c r="E5663" s="6">
        <v>1.43</v>
      </c>
    </row>
    <row r="5664">
      <c r="A5664" s="3">
        <v>121029.0</v>
      </c>
      <c r="B5664" s="4" t="s">
        <v>54</v>
      </c>
      <c r="C5664" s="4" t="s">
        <v>611</v>
      </c>
      <c r="D5664" s="4" t="s">
        <v>612</v>
      </c>
      <c r="E5664" s="4">
        <v>46.58</v>
      </c>
    </row>
    <row r="5665">
      <c r="A5665" s="5">
        <v>128199.0</v>
      </c>
      <c r="B5665" s="6" t="s">
        <v>54</v>
      </c>
      <c r="C5665" s="6" t="s">
        <v>611</v>
      </c>
      <c r="D5665" s="6" t="s">
        <v>612</v>
      </c>
      <c r="E5665" s="6">
        <v>47.53</v>
      </c>
    </row>
    <row r="5666">
      <c r="A5666" s="3">
        <v>82408.0</v>
      </c>
      <c r="B5666" s="4" t="s">
        <v>317</v>
      </c>
      <c r="C5666" s="4" t="s">
        <v>613</v>
      </c>
      <c r="D5666" s="4" t="s">
        <v>614</v>
      </c>
      <c r="E5666" s="4">
        <v>2.86</v>
      </c>
    </row>
    <row r="5667">
      <c r="A5667" s="5">
        <v>139298.0</v>
      </c>
      <c r="B5667" s="6" t="s">
        <v>317</v>
      </c>
      <c r="C5667" s="6" t="s">
        <v>613</v>
      </c>
      <c r="D5667" s="6" t="s">
        <v>615</v>
      </c>
      <c r="E5667" s="6">
        <v>2.33</v>
      </c>
    </row>
    <row r="5668">
      <c r="A5668" s="3">
        <v>91397.0</v>
      </c>
      <c r="B5668" s="4" t="s">
        <v>317</v>
      </c>
      <c r="C5668" s="4" t="s">
        <v>613</v>
      </c>
      <c r="D5668" s="4" t="s">
        <v>615</v>
      </c>
      <c r="E5668" s="4">
        <v>2.1</v>
      </c>
    </row>
    <row r="5669">
      <c r="A5669" s="5">
        <v>91396.0</v>
      </c>
      <c r="B5669" s="6" t="s">
        <v>317</v>
      </c>
      <c r="C5669" s="6" t="s">
        <v>613</v>
      </c>
      <c r="D5669" s="6" t="s">
        <v>615</v>
      </c>
      <c r="E5669" s="6">
        <v>2.1</v>
      </c>
    </row>
    <row r="5670">
      <c r="A5670" s="3">
        <v>139302.0</v>
      </c>
      <c r="B5670" s="4" t="s">
        <v>317</v>
      </c>
      <c r="C5670" s="4" t="s">
        <v>613</v>
      </c>
      <c r="D5670" s="4" t="s">
        <v>615</v>
      </c>
      <c r="E5670" s="4">
        <v>2.26</v>
      </c>
    </row>
    <row r="5671">
      <c r="A5671" s="5">
        <v>118283.0</v>
      </c>
      <c r="B5671" s="6" t="s">
        <v>317</v>
      </c>
      <c r="C5671" s="6" t="s">
        <v>613</v>
      </c>
      <c r="D5671" s="6" t="s">
        <v>615</v>
      </c>
      <c r="E5671" s="6">
        <v>1.58</v>
      </c>
    </row>
    <row r="5672">
      <c r="A5672" s="3">
        <v>118286.0</v>
      </c>
      <c r="B5672" s="4" t="s">
        <v>317</v>
      </c>
      <c r="C5672" s="4" t="s">
        <v>613</v>
      </c>
      <c r="D5672" s="4" t="s">
        <v>615</v>
      </c>
      <c r="E5672" s="4">
        <v>1.72</v>
      </c>
    </row>
    <row r="5673">
      <c r="A5673" s="5">
        <v>3375.0</v>
      </c>
      <c r="B5673" s="6" t="s">
        <v>317</v>
      </c>
      <c r="C5673" s="6" t="s">
        <v>613</v>
      </c>
      <c r="D5673" s="6" t="s">
        <v>615</v>
      </c>
      <c r="E5673" s="6">
        <v>2.31</v>
      </c>
    </row>
    <row r="5674">
      <c r="A5674" s="3">
        <v>118285.0</v>
      </c>
      <c r="B5674" s="4" t="s">
        <v>317</v>
      </c>
      <c r="C5674" s="4" t="s">
        <v>613</v>
      </c>
      <c r="D5674" s="4" t="s">
        <v>615</v>
      </c>
      <c r="E5674" s="4">
        <v>1.58</v>
      </c>
    </row>
    <row r="5675">
      <c r="A5675" s="5">
        <v>118284.0</v>
      </c>
      <c r="B5675" s="6" t="s">
        <v>317</v>
      </c>
      <c r="C5675" s="6" t="s">
        <v>613</v>
      </c>
      <c r="D5675" s="6" t="s">
        <v>615</v>
      </c>
      <c r="E5675" s="6">
        <v>1.58</v>
      </c>
    </row>
    <row r="5676">
      <c r="A5676" s="3">
        <v>116522.0</v>
      </c>
      <c r="B5676" s="4" t="s">
        <v>317</v>
      </c>
      <c r="C5676" s="4" t="s">
        <v>613</v>
      </c>
      <c r="D5676" s="4" t="s">
        <v>616</v>
      </c>
      <c r="E5676" s="4">
        <v>0.77</v>
      </c>
    </row>
    <row r="5677">
      <c r="A5677" s="5">
        <v>139307.0</v>
      </c>
      <c r="B5677" s="6" t="s">
        <v>317</v>
      </c>
      <c r="C5677" s="6" t="s">
        <v>613</v>
      </c>
      <c r="D5677" s="6" t="s">
        <v>616</v>
      </c>
      <c r="E5677" s="6">
        <v>1.85</v>
      </c>
    </row>
    <row r="5678">
      <c r="A5678" s="3">
        <v>120253.0</v>
      </c>
      <c r="B5678" s="4" t="s">
        <v>317</v>
      </c>
      <c r="C5678" s="4" t="s">
        <v>613</v>
      </c>
      <c r="D5678" s="4" t="s">
        <v>616</v>
      </c>
      <c r="E5678" s="4">
        <v>2.38</v>
      </c>
    </row>
    <row r="5679">
      <c r="A5679" s="5">
        <v>120252.0</v>
      </c>
      <c r="B5679" s="6" t="s">
        <v>317</v>
      </c>
      <c r="C5679" s="6" t="s">
        <v>613</v>
      </c>
      <c r="D5679" s="6" t="s">
        <v>616</v>
      </c>
      <c r="E5679" s="6">
        <v>2.55</v>
      </c>
    </row>
    <row r="5680">
      <c r="A5680" s="3">
        <v>120251.0</v>
      </c>
      <c r="B5680" s="4" t="s">
        <v>317</v>
      </c>
      <c r="C5680" s="4" t="s">
        <v>613</v>
      </c>
      <c r="D5680" s="4" t="s">
        <v>616</v>
      </c>
      <c r="E5680" s="4">
        <v>2.42</v>
      </c>
    </row>
    <row r="5681">
      <c r="A5681" s="5">
        <v>139306.0</v>
      </c>
      <c r="B5681" s="6" t="s">
        <v>317</v>
      </c>
      <c r="C5681" s="6" t="s">
        <v>613</v>
      </c>
      <c r="D5681" s="6" t="s">
        <v>616</v>
      </c>
      <c r="E5681" s="6">
        <v>1.85</v>
      </c>
    </row>
    <row r="5682">
      <c r="A5682" s="3">
        <v>120255.0</v>
      </c>
      <c r="B5682" s="4" t="s">
        <v>317</v>
      </c>
      <c r="C5682" s="4" t="s">
        <v>613</v>
      </c>
      <c r="D5682" s="4" t="s">
        <v>616</v>
      </c>
      <c r="E5682" s="4">
        <v>2.26</v>
      </c>
    </row>
    <row r="5683">
      <c r="A5683" s="5">
        <v>120980.0</v>
      </c>
      <c r="B5683" s="6" t="s">
        <v>317</v>
      </c>
      <c r="C5683" s="6" t="s">
        <v>613</v>
      </c>
      <c r="D5683" s="6" t="s">
        <v>616</v>
      </c>
      <c r="E5683" s="6">
        <v>0.69</v>
      </c>
    </row>
    <row r="5684">
      <c r="A5684" s="3">
        <v>139299.0</v>
      </c>
      <c r="B5684" s="4" t="s">
        <v>317</v>
      </c>
      <c r="C5684" s="4" t="s">
        <v>613</v>
      </c>
      <c r="D5684" s="4" t="s">
        <v>616</v>
      </c>
      <c r="E5684" s="4">
        <v>2.06</v>
      </c>
    </row>
    <row r="5685">
      <c r="A5685" s="5">
        <v>73635.0</v>
      </c>
      <c r="B5685" s="6" t="s">
        <v>317</v>
      </c>
      <c r="C5685" s="6" t="s">
        <v>613</v>
      </c>
      <c r="D5685" s="6" t="s">
        <v>616</v>
      </c>
      <c r="E5685" s="6">
        <v>1.28</v>
      </c>
    </row>
    <row r="5686">
      <c r="A5686" s="3">
        <v>116537.0</v>
      </c>
      <c r="B5686" s="4" t="s">
        <v>317</v>
      </c>
      <c r="C5686" s="4" t="s">
        <v>613</v>
      </c>
      <c r="D5686" s="4" t="s">
        <v>616</v>
      </c>
      <c r="E5686" s="4">
        <v>0.92</v>
      </c>
    </row>
    <row r="5687">
      <c r="A5687" s="5">
        <v>46716.0</v>
      </c>
      <c r="B5687" s="6" t="s">
        <v>317</v>
      </c>
      <c r="C5687" s="6" t="s">
        <v>613</v>
      </c>
      <c r="D5687" s="6" t="s">
        <v>616</v>
      </c>
      <c r="E5687" s="6">
        <v>1.28</v>
      </c>
    </row>
    <row r="5688">
      <c r="A5688" s="3">
        <v>109161.0</v>
      </c>
      <c r="B5688" s="4" t="s">
        <v>317</v>
      </c>
      <c r="C5688" s="4" t="s">
        <v>613</v>
      </c>
      <c r="D5688" s="4" t="s">
        <v>616</v>
      </c>
      <c r="E5688" s="4">
        <v>1.96</v>
      </c>
    </row>
    <row r="5689">
      <c r="A5689" s="5">
        <v>110760.0</v>
      </c>
      <c r="B5689" s="6" t="s">
        <v>317</v>
      </c>
      <c r="C5689" s="6" t="s">
        <v>613</v>
      </c>
      <c r="D5689" s="6" t="s">
        <v>616</v>
      </c>
      <c r="E5689" s="6">
        <v>1.55</v>
      </c>
    </row>
    <row r="5690">
      <c r="A5690" s="3">
        <v>112095.0</v>
      </c>
      <c r="B5690" s="4" t="s">
        <v>317</v>
      </c>
      <c r="C5690" s="4" t="s">
        <v>613</v>
      </c>
      <c r="D5690" s="4" t="s">
        <v>616</v>
      </c>
      <c r="E5690" s="4">
        <v>2.31</v>
      </c>
    </row>
    <row r="5691">
      <c r="A5691" s="5">
        <v>120261.0</v>
      </c>
      <c r="B5691" s="6" t="s">
        <v>317</v>
      </c>
      <c r="C5691" s="6" t="s">
        <v>613</v>
      </c>
      <c r="D5691" s="6" t="s">
        <v>616</v>
      </c>
      <c r="E5691" s="6">
        <v>2.26</v>
      </c>
    </row>
    <row r="5692">
      <c r="A5692" s="3">
        <v>142302.0</v>
      </c>
      <c r="B5692" s="4" t="s">
        <v>317</v>
      </c>
      <c r="C5692" s="4" t="s">
        <v>613</v>
      </c>
      <c r="D5692" s="4" t="s">
        <v>616</v>
      </c>
      <c r="E5692" s="4">
        <v>0.67</v>
      </c>
    </row>
    <row r="5693">
      <c r="A5693" s="5">
        <v>46715.0</v>
      </c>
      <c r="B5693" s="6" t="s">
        <v>317</v>
      </c>
      <c r="C5693" s="6" t="s">
        <v>613</v>
      </c>
      <c r="D5693" s="6" t="s">
        <v>616</v>
      </c>
      <c r="E5693" s="6">
        <v>1.21</v>
      </c>
    </row>
    <row r="5694">
      <c r="A5694" s="3">
        <v>102190.0</v>
      </c>
      <c r="B5694" s="4" t="s">
        <v>317</v>
      </c>
      <c r="C5694" s="4" t="s">
        <v>613</v>
      </c>
      <c r="D5694" s="4" t="s">
        <v>616</v>
      </c>
      <c r="E5694" s="4">
        <v>2.26</v>
      </c>
    </row>
    <row r="5695">
      <c r="A5695" s="5">
        <v>112098.0</v>
      </c>
      <c r="B5695" s="6" t="s">
        <v>317</v>
      </c>
      <c r="C5695" s="6" t="s">
        <v>613</v>
      </c>
      <c r="D5695" s="6" t="s">
        <v>616</v>
      </c>
      <c r="E5695" s="6">
        <v>2.31</v>
      </c>
    </row>
    <row r="5696">
      <c r="A5696" s="3">
        <v>110761.0</v>
      </c>
      <c r="B5696" s="4" t="s">
        <v>317</v>
      </c>
      <c r="C5696" s="4" t="s">
        <v>613</v>
      </c>
      <c r="D5696" s="4" t="s">
        <v>616</v>
      </c>
      <c r="E5696" s="4">
        <v>1.55</v>
      </c>
    </row>
    <row r="5697">
      <c r="A5697" s="5">
        <v>116529.0</v>
      </c>
      <c r="B5697" s="6" t="s">
        <v>317</v>
      </c>
      <c r="C5697" s="6" t="s">
        <v>613</v>
      </c>
      <c r="D5697" s="6" t="s">
        <v>616</v>
      </c>
      <c r="E5697" s="6">
        <v>0.83</v>
      </c>
    </row>
    <row r="5698">
      <c r="A5698" s="3">
        <v>119245.0</v>
      </c>
      <c r="B5698" s="4" t="s">
        <v>54</v>
      </c>
      <c r="C5698" s="4" t="s">
        <v>617</v>
      </c>
      <c r="D5698" s="4"/>
      <c r="E5698" s="4">
        <v>5.65</v>
      </c>
    </row>
    <row r="5699">
      <c r="A5699" s="5">
        <v>119454.0</v>
      </c>
      <c r="B5699" s="6" t="s">
        <v>54</v>
      </c>
      <c r="C5699" s="6" t="s">
        <v>617</v>
      </c>
      <c r="D5699" s="6"/>
      <c r="E5699" s="6">
        <v>2.97</v>
      </c>
    </row>
    <row r="5700">
      <c r="A5700" s="3">
        <v>118131.0</v>
      </c>
      <c r="B5700" s="4" t="s">
        <v>54</v>
      </c>
      <c r="C5700" s="4" t="s">
        <v>617</v>
      </c>
      <c r="D5700" s="4"/>
      <c r="E5700" s="4">
        <v>3.99</v>
      </c>
    </row>
    <row r="5701">
      <c r="A5701" s="5">
        <v>128395.0</v>
      </c>
      <c r="B5701" s="6" t="s">
        <v>54</v>
      </c>
      <c r="C5701" s="6" t="s">
        <v>617</v>
      </c>
      <c r="D5701" s="6"/>
      <c r="E5701" s="6">
        <v>3.78</v>
      </c>
    </row>
    <row r="5702">
      <c r="A5702" s="3">
        <v>117482.0</v>
      </c>
      <c r="B5702" s="4" t="s">
        <v>54</v>
      </c>
      <c r="C5702" s="4" t="s">
        <v>617</v>
      </c>
      <c r="D5702" s="4"/>
      <c r="E5702" s="4">
        <v>1.9</v>
      </c>
    </row>
    <row r="5703">
      <c r="A5703" s="5">
        <v>118130.0</v>
      </c>
      <c r="B5703" s="6" t="s">
        <v>54</v>
      </c>
      <c r="C5703" s="6" t="s">
        <v>617</v>
      </c>
      <c r="D5703" s="6"/>
      <c r="E5703" s="6">
        <v>3.99</v>
      </c>
    </row>
    <row r="5704">
      <c r="A5704" s="3">
        <v>109209.0</v>
      </c>
      <c r="B5704" s="4" t="s">
        <v>54</v>
      </c>
      <c r="C5704" s="4" t="s">
        <v>617</v>
      </c>
      <c r="D5704" s="4"/>
      <c r="E5704" s="4">
        <v>1.79</v>
      </c>
    </row>
    <row r="5705">
      <c r="A5705" s="5">
        <v>74428.0</v>
      </c>
      <c r="B5705" s="6" t="s">
        <v>54</v>
      </c>
      <c r="C5705" s="6" t="s">
        <v>618</v>
      </c>
      <c r="D5705" s="6" t="s">
        <v>619</v>
      </c>
      <c r="E5705" s="6">
        <v>10.85</v>
      </c>
    </row>
    <row r="5706">
      <c r="A5706" s="3">
        <v>13941.0</v>
      </c>
      <c r="B5706" s="4" t="s">
        <v>54</v>
      </c>
      <c r="C5706" s="4" t="s">
        <v>618</v>
      </c>
      <c r="D5706" s="4" t="s">
        <v>619</v>
      </c>
      <c r="E5706" s="4">
        <v>5.66</v>
      </c>
    </row>
    <row r="5707">
      <c r="A5707" s="5">
        <v>44316.0</v>
      </c>
      <c r="B5707" s="6" t="s">
        <v>317</v>
      </c>
      <c r="C5707" s="6" t="s">
        <v>620</v>
      </c>
      <c r="D5707" s="6" t="s">
        <v>621</v>
      </c>
      <c r="E5707" s="6">
        <v>25.63</v>
      </c>
    </row>
    <row r="5708">
      <c r="A5708" s="3">
        <v>122748.0</v>
      </c>
      <c r="B5708" s="4" t="s">
        <v>317</v>
      </c>
      <c r="C5708" s="4" t="s">
        <v>620</v>
      </c>
      <c r="D5708" s="4" t="s">
        <v>621</v>
      </c>
      <c r="E5708" s="4">
        <v>15.04</v>
      </c>
    </row>
    <row r="5709">
      <c r="A5709" s="5">
        <v>118936.0</v>
      </c>
      <c r="B5709" s="6" t="s">
        <v>317</v>
      </c>
      <c r="C5709" s="6" t="s">
        <v>620</v>
      </c>
      <c r="D5709" s="6" t="s">
        <v>622</v>
      </c>
      <c r="E5709" s="6">
        <v>17.68</v>
      </c>
    </row>
    <row r="5710">
      <c r="A5710" s="3">
        <v>122746.0</v>
      </c>
      <c r="B5710" s="4" t="s">
        <v>317</v>
      </c>
      <c r="C5710" s="4" t="s">
        <v>620</v>
      </c>
      <c r="D5710" s="4" t="s">
        <v>622</v>
      </c>
      <c r="E5710" s="4">
        <v>15.04</v>
      </c>
    </row>
    <row r="5711">
      <c r="A5711" s="5">
        <v>76567.0</v>
      </c>
      <c r="B5711" s="6" t="s">
        <v>317</v>
      </c>
      <c r="C5711" s="6" t="s">
        <v>620</v>
      </c>
      <c r="D5711" s="6" t="s">
        <v>623</v>
      </c>
      <c r="E5711" s="6">
        <v>25.63</v>
      </c>
    </row>
    <row r="5712">
      <c r="A5712" s="3">
        <v>122747.0</v>
      </c>
      <c r="B5712" s="4" t="s">
        <v>317</v>
      </c>
      <c r="C5712" s="4" t="s">
        <v>620</v>
      </c>
      <c r="D5712" s="4" t="s">
        <v>623</v>
      </c>
      <c r="E5712" s="4">
        <v>15.04</v>
      </c>
    </row>
    <row r="5713">
      <c r="A5713" s="5">
        <v>48484.0</v>
      </c>
      <c r="B5713" s="6" t="s">
        <v>5</v>
      </c>
      <c r="C5713" s="6" t="s">
        <v>624</v>
      </c>
      <c r="D5713" s="6" t="s">
        <v>625</v>
      </c>
      <c r="E5713" s="6">
        <v>22.96</v>
      </c>
    </row>
    <row r="5714">
      <c r="A5714" s="3">
        <v>10856.0</v>
      </c>
      <c r="B5714" s="4" t="s">
        <v>5</v>
      </c>
      <c r="C5714" s="4" t="s">
        <v>624</v>
      </c>
      <c r="D5714" s="4" t="s">
        <v>625</v>
      </c>
      <c r="E5714" s="4">
        <v>26.54</v>
      </c>
    </row>
    <row r="5715">
      <c r="A5715" s="5">
        <v>48486.0</v>
      </c>
      <c r="B5715" s="6" t="s">
        <v>5</v>
      </c>
      <c r="C5715" s="6" t="s">
        <v>624</v>
      </c>
      <c r="D5715" s="6" t="s">
        <v>625</v>
      </c>
      <c r="E5715" s="6">
        <v>14.04</v>
      </c>
    </row>
    <row r="5716">
      <c r="A5716" s="3">
        <v>108707.0</v>
      </c>
      <c r="B5716" s="4" t="s">
        <v>5</v>
      </c>
      <c r="C5716" s="4" t="s">
        <v>624</v>
      </c>
      <c r="D5716" s="4" t="s">
        <v>626</v>
      </c>
      <c r="E5716" s="4">
        <v>19.49</v>
      </c>
    </row>
    <row r="5717">
      <c r="A5717" s="5">
        <v>109565.0</v>
      </c>
      <c r="B5717" s="6" t="s">
        <v>5</v>
      </c>
      <c r="C5717" s="6" t="s">
        <v>624</v>
      </c>
      <c r="D5717" s="6" t="s">
        <v>626</v>
      </c>
      <c r="E5717" s="6">
        <v>2.74</v>
      </c>
    </row>
    <row r="5718">
      <c r="A5718" s="3">
        <v>99181.0</v>
      </c>
      <c r="B5718" s="4" t="s">
        <v>5</v>
      </c>
      <c r="C5718" s="4" t="s">
        <v>624</v>
      </c>
      <c r="D5718" s="4" t="s">
        <v>626</v>
      </c>
      <c r="E5718" s="4">
        <v>11.7</v>
      </c>
    </row>
    <row r="5719">
      <c r="A5719" s="5">
        <v>109060.0</v>
      </c>
      <c r="B5719" s="6" t="s">
        <v>5</v>
      </c>
      <c r="C5719" s="6" t="s">
        <v>624</v>
      </c>
      <c r="D5719" s="6" t="s">
        <v>626</v>
      </c>
      <c r="E5719" s="6">
        <v>3.19</v>
      </c>
    </row>
    <row r="5720">
      <c r="A5720" s="3">
        <v>109628.0</v>
      </c>
      <c r="B5720" s="4" t="s">
        <v>5</v>
      </c>
      <c r="C5720" s="4" t="s">
        <v>624</v>
      </c>
      <c r="D5720" s="4" t="s">
        <v>626</v>
      </c>
      <c r="E5720" s="4">
        <v>4.03</v>
      </c>
    </row>
    <row r="5721">
      <c r="A5721" s="5">
        <v>128346.0</v>
      </c>
      <c r="B5721" s="6" t="s">
        <v>5</v>
      </c>
      <c r="C5721" s="6" t="s">
        <v>624</v>
      </c>
      <c r="D5721" s="6" t="s">
        <v>626</v>
      </c>
      <c r="E5721" s="6">
        <v>5.1</v>
      </c>
    </row>
    <row r="5722">
      <c r="A5722" s="3">
        <v>90319.0</v>
      </c>
      <c r="B5722" s="4" t="s">
        <v>5</v>
      </c>
      <c r="C5722" s="4" t="s">
        <v>624</v>
      </c>
      <c r="D5722" s="4" t="s">
        <v>626</v>
      </c>
      <c r="E5722" s="4">
        <v>15.14</v>
      </c>
    </row>
    <row r="5723">
      <c r="A5723" s="5">
        <v>96287.0</v>
      </c>
      <c r="B5723" s="6" t="s">
        <v>5</v>
      </c>
      <c r="C5723" s="6" t="s">
        <v>624</v>
      </c>
      <c r="D5723" s="6" t="s">
        <v>626</v>
      </c>
      <c r="E5723" s="6">
        <v>9.38</v>
      </c>
    </row>
    <row r="5724">
      <c r="A5724" s="3">
        <v>96238.0</v>
      </c>
      <c r="B5724" s="4" t="s">
        <v>5</v>
      </c>
      <c r="C5724" s="4" t="s">
        <v>624</v>
      </c>
      <c r="D5724" s="4" t="s">
        <v>626</v>
      </c>
      <c r="E5724" s="4">
        <v>5.45</v>
      </c>
    </row>
    <row r="5725">
      <c r="A5725" s="5">
        <v>116553.0</v>
      </c>
      <c r="B5725" s="6" t="s">
        <v>5</v>
      </c>
      <c r="C5725" s="6" t="s">
        <v>624</v>
      </c>
      <c r="D5725" s="6" t="s">
        <v>626</v>
      </c>
      <c r="E5725" s="6">
        <v>3.74</v>
      </c>
    </row>
    <row r="5726">
      <c r="A5726" s="3">
        <v>116539.0</v>
      </c>
      <c r="B5726" s="4" t="s">
        <v>5</v>
      </c>
      <c r="C5726" s="4" t="s">
        <v>624</v>
      </c>
      <c r="D5726" s="4" t="s">
        <v>626</v>
      </c>
      <c r="E5726" s="4">
        <v>3.18</v>
      </c>
    </row>
    <row r="5727">
      <c r="A5727" s="5">
        <v>156015.0</v>
      </c>
      <c r="B5727" s="6" t="s">
        <v>54</v>
      </c>
      <c r="C5727" s="6" t="s">
        <v>627</v>
      </c>
      <c r="D5727" s="6"/>
      <c r="E5727" s="6">
        <v>5.82</v>
      </c>
    </row>
    <row r="5728">
      <c r="A5728" s="3">
        <v>77049.0</v>
      </c>
      <c r="B5728" s="4" t="s">
        <v>54</v>
      </c>
      <c r="C5728" s="4" t="s">
        <v>627</v>
      </c>
      <c r="D5728" s="4" t="s">
        <v>628</v>
      </c>
      <c r="E5728" s="4">
        <v>6.67</v>
      </c>
    </row>
    <row r="5729">
      <c r="A5729" s="5">
        <v>92906.0</v>
      </c>
      <c r="B5729" s="6" t="s">
        <v>54</v>
      </c>
      <c r="C5729" s="6" t="s">
        <v>627</v>
      </c>
      <c r="D5729" s="6" t="s">
        <v>628</v>
      </c>
      <c r="E5729" s="6">
        <v>4.77</v>
      </c>
    </row>
    <row r="5730">
      <c r="A5730" s="3">
        <v>6425.0</v>
      </c>
      <c r="B5730" s="4" t="s">
        <v>54</v>
      </c>
      <c r="C5730" s="4" t="s">
        <v>627</v>
      </c>
      <c r="D5730" s="4" t="s">
        <v>628</v>
      </c>
      <c r="E5730" s="4">
        <v>10.61</v>
      </c>
    </row>
    <row r="5731">
      <c r="A5731" s="5">
        <v>77653.0</v>
      </c>
      <c r="B5731" s="6" t="s">
        <v>54</v>
      </c>
      <c r="C5731" s="6" t="s">
        <v>627</v>
      </c>
      <c r="D5731" s="6" t="s">
        <v>629</v>
      </c>
      <c r="E5731" s="6">
        <v>6.86</v>
      </c>
    </row>
    <row r="5732">
      <c r="A5732" s="3">
        <v>156029.0</v>
      </c>
      <c r="B5732" s="4" t="s">
        <v>54</v>
      </c>
      <c r="C5732" s="4" t="s">
        <v>627</v>
      </c>
      <c r="D5732" s="4" t="s">
        <v>629</v>
      </c>
      <c r="E5732" s="4">
        <v>9.28</v>
      </c>
    </row>
    <row r="5733">
      <c r="A5733" s="5">
        <v>182726.0</v>
      </c>
      <c r="B5733" s="6" t="s">
        <v>34</v>
      </c>
      <c r="C5733" s="6" t="s">
        <v>630</v>
      </c>
      <c r="D5733" s="6" t="s">
        <v>631</v>
      </c>
      <c r="E5733" s="6">
        <v>9.99</v>
      </c>
    </row>
    <row r="5734">
      <c r="A5734" s="3">
        <v>3536.0</v>
      </c>
      <c r="B5734" s="4" t="s">
        <v>54</v>
      </c>
      <c r="C5734" s="4" t="s">
        <v>632</v>
      </c>
      <c r="D5734" s="4" t="s">
        <v>633</v>
      </c>
      <c r="E5734" s="4">
        <v>3.88</v>
      </c>
    </row>
    <row r="5735">
      <c r="A5735" s="5">
        <v>3541.0</v>
      </c>
      <c r="B5735" s="6" t="s">
        <v>54</v>
      </c>
      <c r="C5735" s="6" t="s">
        <v>632</v>
      </c>
      <c r="D5735" s="6" t="s">
        <v>633</v>
      </c>
      <c r="E5735" s="6">
        <v>1.7</v>
      </c>
    </row>
    <row r="5736">
      <c r="A5736" s="3">
        <v>147335.0</v>
      </c>
      <c r="B5736" s="4" t="s">
        <v>317</v>
      </c>
      <c r="C5736" s="4" t="s">
        <v>634</v>
      </c>
      <c r="D5736" s="4"/>
      <c r="E5736" s="4">
        <v>2.82</v>
      </c>
    </row>
    <row r="5737">
      <c r="A5737" s="5">
        <v>46896.0</v>
      </c>
      <c r="B5737" s="6" t="s">
        <v>317</v>
      </c>
      <c r="C5737" s="6" t="s">
        <v>634</v>
      </c>
      <c r="D5737" s="6"/>
      <c r="E5737" s="6">
        <v>4.04</v>
      </c>
    </row>
    <row r="5738">
      <c r="A5738" s="3">
        <v>46897.0</v>
      </c>
      <c r="B5738" s="4" t="s">
        <v>317</v>
      </c>
      <c r="C5738" s="4" t="s">
        <v>634</v>
      </c>
      <c r="D5738" s="4"/>
      <c r="E5738" s="4">
        <v>4.12</v>
      </c>
    </row>
    <row r="5739">
      <c r="A5739" s="5">
        <v>71729.0</v>
      </c>
      <c r="B5739" s="6" t="s">
        <v>73</v>
      </c>
      <c r="C5739" s="6" t="s">
        <v>635</v>
      </c>
      <c r="D5739" s="6" t="s">
        <v>636</v>
      </c>
      <c r="E5739" s="6">
        <v>1.41</v>
      </c>
    </row>
    <row r="5740">
      <c r="A5740" s="3">
        <v>45471.0</v>
      </c>
      <c r="B5740" s="4" t="s">
        <v>73</v>
      </c>
      <c r="C5740" s="4" t="s">
        <v>635</v>
      </c>
      <c r="D5740" s="4" t="s">
        <v>636</v>
      </c>
      <c r="E5740" s="4">
        <v>4.72</v>
      </c>
    </row>
    <row r="5741">
      <c r="A5741" s="5">
        <v>80622.0</v>
      </c>
      <c r="B5741" s="6" t="s">
        <v>73</v>
      </c>
      <c r="C5741" s="6" t="s">
        <v>635</v>
      </c>
      <c r="D5741" s="6" t="s">
        <v>636</v>
      </c>
      <c r="E5741" s="6">
        <v>3.25</v>
      </c>
    </row>
    <row r="5742">
      <c r="A5742" s="3">
        <v>111204.0</v>
      </c>
      <c r="B5742" s="4" t="s">
        <v>73</v>
      </c>
      <c r="C5742" s="4" t="s">
        <v>635</v>
      </c>
      <c r="D5742" s="4" t="s">
        <v>636</v>
      </c>
      <c r="E5742" s="4">
        <v>3.29</v>
      </c>
    </row>
    <row r="5743">
      <c r="A5743" s="5">
        <v>27843.0</v>
      </c>
      <c r="B5743" s="6" t="s">
        <v>73</v>
      </c>
      <c r="C5743" s="6" t="s">
        <v>635</v>
      </c>
      <c r="D5743" s="6" t="s">
        <v>636</v>
      </c>
      <c r="E5743" s="6">
        <v>3.16</v>
      </c>
    </row>
    <row r="5744">
      <c r="A5744" s="3">
        <v>111656.0</v>
      </c>
      <c r="B5744" s="4" t="s">
        <v>73</v>
      </c>
      <c r="C5744" s="4" t="s">
        <v>635</v>
      </c>
      <c r="D5744" s="4" t="s">
        <v>636</v>
      </c>
      <c r="E5744" s="4">
        <v>5.21</v>
      </c>
    </row>
    <row r="5745">
      <c r="A5745" s="5">
        <v>70043.0</v>
      </c>
      <c r="B5745" s="6" t="s">
        <v>73</v>
      </c>
      <c r="C5745" s="6" t="s">
        <v>635</v>
      </c>
      <c r="D5745" s="6" t="s">
        <v>636</v>
      </c>
      <c r="E5745" s="6">
        <v>5.55</v>
      </c>
    </row>
    <row r="5746">
      <c r="A5746" s="3">
        <v>127017.0</v>
      </c>
      <c r="B5746" s="4" t="s">
        <v>73</v>
      </c>
      <c r="C5746" s="4" t="s">
        <v>635</v>
      </c>
      <c r="D5746" s="4" t="s">
        <v>636</v>
      </c>
      <c r="E5746" s="4">
        <v>1.8</v>
      </c>
    </row>
    <row r="5747">
      <c r="A5747" s="5">
        <v>92320.0</v>
      </c>
      <c r="B5747" s="6" t="s">
        <v>73</v>
      </c>
      <c r="C5747" s="6" t="s">
        <v>635</v>
      </c>
      <c r="D5747" s="6" t="s">
        <v>636</v>
      </c>
      <c r="E5747" s="6">
        <v>18.55</v>
      </c>
    </row>
    <row r="5748">
      <c r="A5748" s="3">
        <v>109985.0</v>
      </c>
      <c r="B5748" s="4" t="s">
        <v>73</v>
      </c>
      <c r="C5748" s="4" t="s">
        <v>635</v>
      </c>
      <c r="D5748" s="4" t="s">
        <v>636</v>
      </c>
      <c r="E5748" s="4">
        <v>1.8</v>
      </c>
    </row>
    <row r="5749">
      <c r="A5749" s="5">
        <v>110415.0</v>
      </c>
      <c r="B5749" s="6" t="s">
        <v>73</v>
      </c>
      <c r="C5749" s="6" t="s">
        <v>635</v>
      </c>
      <c r="D5749" s="6" t="s">
        <v>636</v>
      </c>
      <c r="E5749" s="6">
        <v>5.07</v>
      </c>
    </row>
    <row r="5750">
      <c r="A5750" s="3">
        <v>101325.0</v>
      </c>
      <c r="B5750" s="4" t="s">
        <v>73</v>
      </c>
      <c r="C5750" s="4" t="s">
        <v>635</v>
      </c>
      <c r="D5750" s="4" t="s">
        <v>636</v>
      </c>
      <c r="E5750" s="4">
        <v>1.98</v>
      </c>
    </row>
    <row r="5751">
      <c r="A5751" s="5">
        <v>133904.0</v>
      </c>
      <c r="B5751" s="6" t="s">
        <v>73</v>
      </c>
      <c r="C5751" s="6" t="s">
        <v>635</v>
      </c>
      <c r="D5751" s="6" t="s">
        <v>636</v>
      </c>
      <c r="E5751" s="6">
        <v>3.75</v>
      </c>
    </row>
    <row r="5752">
      <c r="A5752" s="3">
        <v>91357.0</v>
      </c>
      <c r="B5752" s="4" t="s">
        <v>73</v>
      </c>
      <c r="C5752" s="4" t="s">
        <v>635</v>
      </c>
      <c r="D5752" s="4" t="s">
        <v>636</v>
      </c>
      <c r="E5752" s="4">
        <v>3.32</v>
      </c>
    </row>
    <row r="5753">
      <c r="A5753" s="5">
        <v>92330.0</v>
      </c>
      <c r="B5753" s="6" t="s">
        <v>73</v>
      </c>
      <c r="C5753" s="6" t="s">
        <v>635</v>
      </c>
      <c r="D5753" s="6" t="s">
        <v>636</v>
      </c>
      <c r="E5753" s="6">
        <v>5.75</v>
      </c>
    </row>
    <row r="5754">
      <c r="A5754" s="3">
        <v>128409.0</v>
      </c>
      <c r="B5754" s="4" t="s">
        <v>73</v>
      </c>
      <c r="C5754" s="4" t="s">
        <v>635</v>
      </c>
      <c r="D5754" s="4" t="s">
        <v>636</v>
      </c>
      <c r="E5754" s="4">
        <v>1.54</v>
      </c>
    </row>
    <row r="5755">
      <c r="A5755" s="5">
        <v>124704.0</v>
      </c>
      <c r="B5755" s="6" t="s">
        <v>73</v>
      </c>
      <c r="C5755" s="6" t="s">
        <v>635</v>
      </c>
      <c r="D5755" s="6" t="s">
        <v>636</v>
      </c>
      <c r="E5755" s="6">
        <v>4.74</v>
      </c>
    </row>
    <row r="5756">
      <c r="A5756" s="3">
        <v>122252.0</v>
      </c>
      <c r="B5756" s="4" t="s">
        <v>73</v>
      </c>
      <c r="C5756" s="4" t="s">
        <v>635</v>
      </c>
      <c r="D5756" s="4" t="s">
        <v>636</v>
      </c>
      <c r="E5756" s="4">
        <v>5.07</v>
      </c>
    </row>
    <row r="5757">
      <c r="A5757" s="5">
        <v>85159.0</v>
      </c>
      <c r="B5757" s="6" t="s">
        <v>73</v>
      </c>
      <c r="C5757" s="6" t="s">
        <v>635</v>
      </c>
      <c r="D5757" s="6" t="s">
        <v>636</v>
      </c>
      <c r="E5757" s="6">
        <v>1.87</v>
      </c>
    </row>
    <row r="5758">
      <c r="A5758" s="3">
        <v>103604.0</v>
      </c>
      <c r="B5758" s="4" t="s">
        <v>73</v>
      </c>
      <c r="C5758" s="4" t="s">
        <v>635</v>
      </c>
      <c r="D5758" s="4" t="s">
        <v>636</v>
      </c>
      <c r="E5758" s="4">
        <v>1.86</v>
      </c>
    </row>
    <row r="5759">
      <c r="A5759" s="5">
        <v>27845.0</v>
      </c>
      <c r="B5759" s="6" t="s">
        <v>73</v>
      </c>
      <c r="C5759" s="6" t="s">
        <v>635</v>
      </c>
      <c r="D5759" s="6" t="s">
        <v>636</v>
      </c>
      <c r="E5759" s="6">
        <v>5.53</v>
      </c>
    </row>
    <row r="5760">
      <c r="A5760" s="3">
        <v>11666.0</v>
      </c>
      <c r="B5760" s="4" t="s">
        <v>73</v>
      </c>
      <c r="C5760" s="4" t="s">
        <v>635</v>
      </c>
      <c r="D5760" s="4" t="s">
        <v>636</v>
      </c>
      <c r="E5760" s="4">
        <v>4.31</v>
      </c>
    </row>
    <row r="5761">
      <c r="A5761" s="5">
        <v>127016.0</v>
      </c>
      <c r="B5761" s="6" t="s">
        <v>73</v>
      </c>
      <c r="C5761" s="6" t="s">
        <v>635</v>
      </c>
      <c r="D5761" s="6" t="s">
        <v>636</v>
      </c>
      <c r="E5761" s="6">
        <v>3.21</v>
      </c>
    </row>
    <row r="5762">
      <c r="A5762" s="3">
        <v>2046.0</v>
      </c>
      <c r="B5762" s="4" t="s">
        <v>73</v>
      </c>
      <c r="C5762" s="4" t="s">
        <v>635</v>
      </c>
      <c r="D5762" s="4" t="s">
        <v>636</v>
      </c>
      <c r="E5762" s="4">
        <v>4.22</v>
      </c>
    </row>
    <row r="5763">
      <c r="A5763" s="5">
        <v>66998.0</v>
      </c>
      <c r="B5763" s="6" t="s">
        <v>73</v>
      </c>
      <c r="C5763" s="6" t="s">
        <v>635</v>
      </c>
      <c r="D5763" s="6" t="s">
        <v>636</v>
      </c>
      <c r="E5763" s="6">
        <v>4.8</v>
      </c>
    </row>
    <row r="5764">
      <c r="A5764" s="3">
        <v>103626.0</v>
      </c>
      <c r="B5764" s="4" t="s">
        <v>73</v>
      </c>
      <c r="C5764" s="4" t="s">
        <v>635</v>
      </c>
      <c r="D5764" s="4" t="s">
        <v>636</v>
      </c>
      <c r="E5764" s="4">
        <v>2.25</v>
      </c>
    </row>
    <row r="5765">
      <c r="A5765" s="5">
        <v>103603.0</v>
      </c>
      <c r="B5765" s="6" t="s">
        <v>73</v>
      </c>
      <c r="C5765" s="6" t="s">
        <v>635</v>
      </c>
      <c r="D5765" s="6" t="s">
        <v>636</v>
      </c>
      <c r="E5765" s="6">
        <v>1.86</v>
      </c>
    </row>
    <row r="5766">
      <c r="A5766" s="3">
        <v>85156.0</v>
      </c>
      <c r="B5766" s="4" t="s">
        <v>73</v>
      </c>
      <c r="C5766" s="4" t="s">
        <v>635</v>
      </c>
      <c r="D5766" s="4" t="s">
        <v>636</v>
      </c>
      <c r="E5766" s="4">
        <v>2.15</v>
      </c>
    </row>
    <row r="5767">
      <c r="A5767" s="5">
        <v>8118.0</v>
      </c>
      <c r="B5767" s="6" t="s">
        <v>73</v>
      </c>
      <c r="C5767" s="6" t="s">
        <v>635</v>
      </c>
      <c r="D5767" s="6" t="s">
        <v>636</v>
      </c>
      <c r="E5767" s="6">
        <v>5.32</v>
      </c>
    </row>
    <row r="5768">
      <c r="A5768" s="3">
        <v>109984.0</v>
      </c>
      <c r="B5768" s="4" t="s">
        <v>73</v>
      </c>
      <c r="C5768" s="4" t="s">
        <v>635</v>
      </c>
      <c r="D5768" s="4" t="s">
        <v>636</v>
      </c>
      <c r="E5768" s="4">
        <v>1.8</v>
      </c>
    </row>
    <row r="5769">
      <c r="A5769" s="5">
        <v>92134.0</v>
      </c>
      <c r="B5769" s="6" t="s">
        <v>73</v>
      </c>
      <c r="C5769" s="6" t="s">
        <v>635</v>
      </c>
      <c r="D5769" s="6" t="s">
        <v>636</v>
      </c>
      <c r="E5769" s="6">
        <v>9.18</v>
      </c>
    </row>
    <row r="5770">
      <c r="A5770" s="3">
        <v>129420.0</v>
      </c>
      <c r="B5770" s="4" t="s">
        <v>73</v>
      </c>
      <c r="C5770" s="4" t="s">
        <v>635</v>
      </c>
      <c r="D5770" s="4" t="s">
        <v>636</v>
      </c>
      <c r="E5770" s="4">
        <v>8.39</v>
      </c>
    </row>
    <row r="5771">
      <c r="A5771" s="5">
        <v>111010.0</v>
      </c>
      <c r="B5771" s="6" t="s">
        <v>73</v>
      </c>
      <c r="C5771" s="6" t="s">
        <v>635</v>
      </c>
      <c r="D5771" s="6" t="s">
        <v>636</v>
      </c>
      <c r="E5771" s="6">
        <v>9.07</v>
      </c>
    </row>
    <row r="5772">
      <c r="A5772" s="3">
        <v>46771.0</v>
      </c>
      <c r="B5772" s="4" t="s">
        <v>73</v>
      </c>
      <c r="C5772" s="4" t="s">
        <v>635</v>
      </c>
      <c r="D5772" s="4" t="s">
        <v>636</v>
      </c>
      <c r="E5772" s="4">
        <v>5.38</v>
      </c>
    </row>
    <row r="5773">
      <c r="A5773" s="5">
        <v>88396.0</v>
      </c>
      <c r="B5773" s="6" t="s">
        <v>73</v>
      </c>
      <c r="C5773" s="6" t="s">
        <v>635</v>
      </c>
      <c r="D5773" s="6" t="s">
        <v>636</v>
      </c>
      <c r="E5773" s="6">
        <v>2.02</v>
      </c>
    </row>
    <row r="5774">
      <c r="A5774" s="3">
        <v>88188.0</v>
      </c>
      <c r="B5774" s="4" t="s">
        <v>73</v>
      </c>
      <c r="C5774" s="4" t="s">
        <v>635</v>
      </c>
      <c r="D5774" s="4" t="s">
        <v>636</v>
      </c>
      <c r="E5774" s="4">
        <v>9.35</v>
      </c>
    </row>
    <row r="5775">
      <c r="A5775" s="5">
        <v>129373.0</v>
      </c>
      <c r="B5775" s="6" t="s">
        <v>73</v>
      </c>
      <c r="C5775" s="6" t="s">
        <v>635</v>
      </c>
      <c r="D5775" s="6" t="s">
        <v>636</v>
      </c>
      <c r="E5775" s="6">
        <v>3.25</v>
      </c>
    </row>
    <row r="5776">
      <c r="A5776" s="3">
        <v>103625.0</v>
      </c>
      <c r="B5776" s="4" t="s">
        <v>73</v>
      </c>
      <c r="C5776" s="4" t="s">
        <v>635</v>
      </c>
      <c r="D5776" s="4" t="s">
        <v>636</v>
      </c>
      <c r="E5776" s="4">
        <v>1.86</v>
      </c>
    </row>
    <row r="5777">
      <c r="A5777" s="5">
        <v>109332.0</v>
      </c>
      <c r="B5777" s="6" t="s">
        <v>73</v>
      </c>
      <c r="C5777" s="6" t="s">
        <v>635</v>
      </c>
      <c r="D5777" s="6" t="s">
        <v>636</v>
      </c>
      <c r="E5777" s="6">
        <v>6.45</v>
      </c>
    </row>
    <row r="5778">
      <c r="A5778" s="3">
        <v>92327.0</v>
      </c>
      <c r="B5778" s="4" t="s">
        <v>73</v>
      </c>
      <c r="C5778" s="4" t="s">
        <v>635</v>
      </c>
      <c r="D5778" s="4" t="s">
        <v>636</v>
      </c>
      <c r="E5778" s="4">
        <v>4.61</v>
      </c>
    </row>
    <row r="5779">
      <c r="A5779" s="5">
        <v>80699.0</v>
      </c>
      <c r="B5779" s="6" t="s">
        <v>73</v>
      </c>
      <c r="C5779" s="6" t="s">
        <v>635</v>
      </c>
      <c r="D5779" s="6" t="s">
        <v>636</v>
      </c>
      <c r="E5779" s="6">
        <v>10.4</v>
      </c>
    </row>
    <row r="5780">
      <c r="A5780" s="3">
        <v>101043.0</v>
      </c>
      <c r="B5780" s="4" t="s">
        <v>73</v>
      </c>
      <c r="C5780" s="4" t="s">
        <v>635</v>
      </c>
      <c r="D5780" s="4" t="s">
        <v>636</v>
      </c>
      <c r="E5780" s="4">
        <v>5.6</v>
      </c>
    </row>
    <row r="5781">
      <c r="A5781" s="5">
        <v>46760.0</v>
      </c>
      <c r="B5781" s="6" t="s">
        <v>73</v>
      </c>
      <c r="C5781" s="6" t="s">
        <v>635</v>
      </c>
      <c r="D5781" s="6" t="s">
        <v>636</v>
      </c>
      <c r="E5781" s="6">
        <v>1.87</v>
      </c>
    </row>
    <row r="5782">
      <c r="A5782" s="3">
        <v>109966.0</v>
      </c>
      <c r="B5782" s="4" t="s">
        <v>73</v>
      </c>
      <c r="C5782" s="4" t="s">
        <v>635</v>
      </c>
      <c r="D5782" s="4" t="s">
        <v>636</v>
      </c>
      <c r="E5782" s="4">
        <v>5.16</v>
      </c>
    </row>
    <row r="5783">
      <c r="A5783" s="5">
        <v>128408.0</v>
      </c>
      <c r="B5783" s="6" t="s">
        <v>73</v>
      </c>
      <c r="C5783" s="6" t="s">
        <v>635</v>
      </c>
      <c r="D5783" s="6" t="s">
        <v>636</v>
      </c>
      <c r="E5783" s="6">
        <v>2.17</v>
      </c>
    </row>
    <row r="5784">
      <c r="A5784" s="3">
        <v>81128.0</v>
      </c>
      <c r="B5784" s="4" t="s">
        <v>73</v>
      </c>
      <c r="C5784" s="4" t="s">
        <v>635</v>
      </c>
      <c r="D5784" s="4" t="s">
        <v>636</v>
      </c>
      <c r="E5784" s="4">
        <v>2.14</v>
      </c>
    </row>
    <row r="5785">
      <c r="A5785" s="5">
        <v>45571.0</v>
      </c>
      <c r="B5785" s="6" t="s">
        <v>73</v>
      </c>
      <c r="C5785" s="6" t="s">
        <v>635</v>
      </c>
      <c r="D5785" s="6" t="s">
        <v>636</v>
      </c>
      <c r="E5785" s="6">
        <v>2.47</v>
      </c>
    </row>
    <row r="5786">
      <c r="A5786" s="3">
        <v>44612.0</v>
      </c>
      <c r="B5786" s="4" t="s">
        <v>73</v>
      </c>
      <c r="C5786" s="4" t="s">
        <v>635</v>
      </c>
      <c r="D5786" s="4" t="s">
        <v>636</v>
      </c>
      <c r="E5786" s="4">
        <v>3.26</v>
      </c>
    </row>
    <row r="5787">
      <c r="A5787" s="5">
        <v>124684.0</v>
      </c>
      <c r="B5787" s="6" t="s">
        <v>73</v>
      </c>
      <c r="C5787" s="6" t="s">
        <v>635</v>
      </c>
      <c r="D5787" s="6" t="s">
        <v>636</v>
      </c>
      <c r="E5787" s="6">
        <v>4.74</v>
      </c>
    </row>
    <row r="5788">
      <c r="A5788" s="3">
        <v>112365.0</v>
      </c>
      <c r="B5788" s="4" t="s">
        <v>73</v>
      </c>
      <c r="C5788" s="4" t="s">
        <v>635</v>
      </c>
      <c r="D5788" s="4" t="s">
        <v>637</v>
      </c>
      <c r="E5788" s="4">
        <v>1.89</v>
      </c>
    </row>
    <row r="5789">
      <c r="A5789" s="5">
        <v>41038.0</v>
      </c>
      <c r="B5789" s="6" t="s">
        <v>73</v>
      </c>
      <c r="C5789" s="6" t="s">
        <v>635</v>
      </c>
      <c r="D5789" s="6" t="s">
        <v>637</v>
      </c>
      <c r="E5789" s="6">
        <v>3.01</v>
      </c>
    </row>
    <row r="5790">
      <c r="A5790" s="3">
        <v>87761.0</v>
      </c>
      <c r="B5790" s="4" t="s">
        <v>73</v>
      </c>
      <c r="C5790" s="4" t="s">
        <v>635</v>
      </c>
      <c r="D5790" s="4" t="s">
        <v>637</v>
      </c>
      <c r="E5790" s="4">
        <v>2.27</v>
      </c>
    </row>
    <row r="5791">
      <c r="A5791" s="5">
        <v>106590.0</v>
      </c>
      <c r="B5791" s="6" t="s">
        <v>73</v>
      </c>
      <c r="C5791" s="6" t="s">
        <v>635</v>
      </c>
      <c r="D5791" s="6" t="s">
        <v>637</v>
      </c>
      <c r="E5791" s="6">
        <v>11.58</v>
      </c>
    </row>
    <row r="5792">
      <c r="A5792" s="3">
        <v>85734.0</v>
      </c>
      <c r="B5792" s="4" t="s">
        <v>73</v>
      </c>
      <c r="C5792" s="4" t="s">
        <v>635</v>
      </c>
      <c r="D5792" s="4" t="s">
        <v>637</v>
      </c>
      <c r="E5792" s="4">
        <v>3.65</v>
      </c>
    </row>
    <row r="5793">
      <c r="A5793" s="5">
        <v>122511.0</v>
      </c>
      <c r="B5793" s="6" t="s">
        <v>73</v>
      </c>
      <c r="C5793" s="6" t="s">
        <v>635</v>
      </c>
      <c r="D5793" s="6" t="s">
        <v>637</v>
      </c>
      <c r="E5793" s="6">
        <v>19.53</v>
      </c>
    </row>
    <row r="5794">
      <c r="A5794" s="3">
        <v>2335.0</v>
      </c>
      <c r="B5794" s="4" t="s">
        <v>73</v>
      </c>
      <c r="C5794" s="4" t="s">
        <v>635</v>
      </c>
      <c r="D5794" s="4" t="s">
        <v>637</v>
      </c>
      <c r="E5794" s="4">
        <v>5.84</v>
      </c>
    </row>
    <row r="5795">
      <c r="A5795" s="5">
        <v>2339.0</v>
      </c>
      <c r="B5795" s="6" t="s">
        <v>73</v>
      </c>
      <c r="C5795" s="6" t="s">
        <v>635</v>
      </c>
      <c r="D5795" s="6" t="s">
        <v>637</v>
      </c>
      <c r="E5795" s="6">
        <v>3.65</v>
      </c>
    </row>
    <row r="5796">
      <c r="A5796" s="3">
        <v>108468.0</v>
      </c>
      <c r="B5796" s="4" t="s">
        <v>73</v>
      </c>
      <c r="C5796" s="4" t="s">
        <v>635</v>
      </c>
      <c r="D5796" s="4" t="s">
        <v>637</v>
      </c>
      <c r="E5796" s="4">
        <v>8.85</v>
      </c>
    </row>
    <row r="5797">
      <c r="A5797" s="5">
        <v>3439.0</v>
      </c>
      <c r="B5797" s="6" t="s">
        <v>73</v>
      </c>
      <c r="C5797" s="6" t="s">
        <v>635</v>
      </c>
      <c r="D5797" s="6" t="s">
        <v>637</v>
      </c>
      <c r="E5797" s="6">
        <v>5.49</v>
      </c>
    </row>
    <row r="5798">
      <c r="A5798" s="3">
        <v>2044.0</v>
      </c>
      <c r="B5798" s="4" t="s">
        <v>73</v>
      </c>
      <c r="C5798" s="4" t="s">
        <v>635</v>
      </c>
      <c r="D5798" s="4" t="s">
        <v>638</v>
      </c>
      <c r="E5798" s="4">
        <v>6.07</v>
      </c>
    </row>
    <row r="5799">
      <c r="A5799" s="5">
        <v>188354.0</v>
      </c>
      <c r="B5799" s="6" t="s">
        <v>73</v>
      </c>
      <c r="C5799" s="6" t="s">
        <v>635</v>
      </c>
      <c r="D5799" s="6" t="s">
        <v>638</v>
      </c>
      <c r="E5799" s="6">
        <v>5.29</v>
      </c>
    </row>
    <row r="5800">
      <c r="A5800" s="3">
        <v>27848.0</v>
      </c>
      <c r="B5800" s="4" t="s">
        <v>73</v>
      </c>
      <c r="C5800" s="4" t="s">
        <v>635</v>
      </c>
      <c r="D5800" s="4" t="s">
        <v>638</v>
      </c>
      <c r="E5800" s="4">
        <v>6.08</v>
      </c>
    </row>
    <row r="5801">
      <c r="A5801" s="5">
        <v>45642.0</v>
      </c>
      <c r="B5801" s="6" t="s">
        <v>73</v>
      </c>
      <c r="C5801" s="6" t="s">
        <v>635</v>
      </c>
      <c r="D5801" s="6" t="s">
        <v>638</v>
      </c>
      <c r="E5801" s="6">
        <v>2.54</v>
      </c>
    </row>
    <row r="5802">
      <c r="A5802" s="3">
        <v>79815.0</v>
      </c>
      <c r="B5802" s="4" t="s">
        <v>73</v>
      </c>
      <c r="C5802" s="4" t="s">
        <v>635</v>
      </c>
      <c r="D5802" s="4" t="s">
        <v>638</v>
      </c>
      <c r="E5802" s="4">
        <v>5.94</v>
      </c>
    </row>
    <row r="5803">
      <c r="A5803" s="5">
        <v>87643.0</v>
      </c>
      <c r="B5803" s="6" t="s">
        <v>73</v>
      </c>
      <c r="C5803" s="6" t="s">
        <v>635</v>
      </c>
      <c r="D5803" s="6" t="s">
        <v>638</v>
      </c>
      <c r="E5803" s="6">
        <v>6.28</v>
      </c>
    </row>
    <row r="5804">
      <c r="A5804" s="3">
        <v>30501.0</v>
      </c>
      <c r="B5804" s="4" t="s">
        <v>73</v>
      </c>
      <c r="C5804" s="4" t="s">
        <v>635</v>
      </c>
      <c r="D5804" s="4" t="s">
        <v>638</v>
      </c>
      <c r="E5804" s="4">
        <v>6.33</v>
      </c>
    </row>
    <row r="5805">
      <c r="A5805" s="5">
        <v>118198.0</v>
      </c>
      <c r="B5805" s="6" t="s">
        <v>73</v>
      </c>
      <c r="C5805" s="6" t="s">
        <v>635</v>
      </c>
      <c r="D5805" s="6" t="s">
        <v>638</v>
      </c>
      <c r="E5805" s="6">
        <v>5.38</v>
      </c>
    </row>
    <row r="5806">
      <c r="A5806" s="3">
        <v>4891.0</v>
      </c>
      <c r="B5806" s="4" t="s">
        <v>73</v>
      </c>
      <c r="C5806" s="4" t="s">
        <v>635</v>
      </c>
      <c r="D5806" s="4" t="s">
        <v>638</v>
      </c>
      <c r="E5806" s="4">
        <v>5.45</v>
      </c>
    </row>
    <row r="5807">
      <c r="A5807" s="5">
        <v>23050.0</v>
      </c>
      <c r="B5807" s="6" t="s">
        <v>73</v>
      </c>
      <c r="C5807" s="6" t="s">
        <v>635</v>
      </c>
      <c r="D5807" s="6" t="s">
        <v>638</v>
      </c>
      <c r="E5807" s="6">
        <v>8.5</v>
      </c>
    </row>
    <row r="5808">
      <c r="A5808" s="3">
        <v>94612.0</v>
      </c>
      <c r="B5808" s="4" t="s">
        <v>73</v>
      </c>
      <c r="C5808" s="4" t="s">
        <v>635</v>
      </c>
      <c r="D5808" s="4" t="s">
        <v>638</v>
      </c>
      <c r="E5808" s="4">
        <v>5.6</v>
      </c>
    </row>
    <row r="5809">
      <c r="A5809" s="5">
        <v>109983.0</v>
      </c>
      <c r="B5809" s="6" t="s">
        <v>73</v>
      </c>
      <c r="C5809" s="6" t="s">
        <v>635</v>
      </c>
      <c r="D5809" s="6" t="s">
        <v>638</v>
      </c>
      <c r="E5809" s="6">
        <v>4.51</v>
      </c>
    </row>
    <row r="5810">
      <c r="A5810" s="3">
        <v>110854.0</v>
      </c>
      <c r="B5810" s="4" t="s">
        <v>73</v>
      </c>
      <c r="C5810" s="4" t="s">
        <v>635</v>
      </c>
      <c r="D5810" s="4" t="s">
        <v>638</v>
      </c>
      <c r="E5810" s="4">
        <v>5.98</v>
      </c>
    </row>
    <row r="5811">
      <c r="A5811" s="5">
        <v>110414.0</v>
      </c>
      <c r="B5811" s="6" t="s">
        <v>73</v>
      </c>
      <c r="C5811" s="6" t="s">
        <v>635</v>
      </c>
      <c r="D5811" s="6" t="s">
        <v>638</v>
      </c>
      <c r="E5811" s="6">
        <v>4.12</v>
      </c>
    </row>
    <row r="5812">
      <c r="A5812" s="3">
        <v>103631.0</v>
      </c>
      <c r="B5812" s="4" t="s">
        <v>73</v>
      </c>
      <c r="C5812" s="4" t="s">
        <v>635</v>
      </c>
      <c r="D5812" s="4" t="s">
        <v>638</v>
      </c>
      <c r="E5812" s="4">
        <v>4.12</v>
      </c>
    </row>
    <row r="5813">
      <c r="A5813" s="5">
        <v>111009.0</v>
      </c>
      <c r="B5813" s="6" t="s">
        <v>73</v>
      </c>
      <c r="C5813" s="6" t="s">
        <v>635</v>
      </c>
      <c r="D5813" s="6" t="s">
        <v>638</v>
      </c>
      <c r="E5813" s="6">
        <v>6.05</v>
      </c>
    </row>
    <row r="5814">
      <c r="A5814" s="3">
        <v>109213.0</v>
      </c>
      <c r="B5814" s="4" t="s">
        <v>73</v>
      </c>
      <c r="C5814" s="4" t="s">
        <v>635</v>
      </c>
      <c r="D5814" s="4" t="s">
        <v>638</v>
      </c>
      <c r="E5814" s="4">
        <v>3.75</v>
      </c>
    </row>
    <row r="5815">
      <c r="A5815" s="5">
        <v>103847.0</v>
      </c>
      <c r="B5815" s="6" t="s">
        <v>73</v>
      </c>
      <c r="C5815" s="6" t="s">
        <v>635</v>
      </c>
      <c r="D5815" s="6" t="s">
        <v>638</v>
      </c>
      <c r="E5815" s="6">
        <v>9.18</v>
      </c>
    </row>
    <row r="5816">
      <c r="A5816" s="3">
        <v>96156.0</v>
      </c>
      <c r="B5816" s="4" t="s">
        <v>73</v>
      </c>
      <c r="C5816" s="4" t="s">
        <v>635</v>
      </c>
      <c r="D5816" s="4" t="s">
        <v>638</v>
      </c>
      <c r="E5816" s="4">
        <v>6.92</v>
      </c>
    </row>
    <row r="5817">
      <c r="A5817" s="5">
        <v>4887.0</v>
      </c>
      <c r="B5817" s="6" t="s">
        <v>73</v>
      </c>
      <c r="C5817" s="6" t="s">
        <v>635</v>
      </c>
      <c r="D5817" s="6" t="s">
        <v>638</v>
      </c>
      <c r="E5817" s="6">
        <v>4.08</v>
      </c>
    </row>
    <row r="5818">
      <c r="A5818" s="3">
        <v>92146.0</v>
      </c>
      <c r="B5818" s="4" t="s">
        <v>73</v>
      </c>
      <c r="C5818" s="4" t="s">
        <v>635</v>
      </c>
      <c r="D5818" s="4" t="s">
        <v>638</v>
      </c>
      <c r="E5818" s="4">
        <v>9.18</v>
      </c>
    </row>
    <row r="5819">
      <c r="A5819" s="5">
        <v>122248.0</v>
      </c>
      <c r="B5819" s="6" t="s">
        <v>73</v>
      </c>
      <c r="C5819" s="6" t="s">
        <v>635</v>
      </c>
      <c r="D5819" s="6" t="s">
        <v>638</v>
      </c>
      <c r="E5819" s="6">
        <v>4.33</v>
      </c>
    </row>
    <row r="5820">
      <c r="A5820" s="3">
        <v>122251.0</v>
      </c>
      <c r="B5820" s="4" t="s">
        <v>73</v>
      </c>
      <c r="C5820" s="4" t="s">
        <v>635</v>
      </c>
      <c r="D5820" s="4" t="s">
        <v>638</v>
      </c>
      <c r="E5820" s="4">
        <v>6.45</v>
      </c>
    </row>
    <row r="5821">
      <c r="A5821" s="5">
        <v>103638.0</v>
      </c>
      <c r="B5821" s="6" t="s">
        <v>73</v>
      </c>
      <c r="C5821" s="6" t="s">
        <v>635</v>
      </c>
      <c r="D5821" s="6" t="s">
        <v>638</v>
      </c>
      <c r="E5821" s="6">
        <v>4.12</v>
      </c>
    </row>
    <row r="5822">
      <c r="A5822" s="3">
        <v>111655.0</v>
      </c>
      <c r="B5822" s="4" t="s">
        <v>73</v>
      </c>
      <c r="C5822" s="4" t="s">
        <v>635</v>
      </c>
      <c r="D5822" s="4" t="s">
        <v>638</v>
      </c>
      <c r="E5822" s="4">
        <v>4.33</v>
      </c>
    </row>
    <row r="5823">
      <c r="A5823" s="5">
        <v>84201.0</v>
      </c>
      <c r="B5823" s="6" t="s">
        <v>73</v>
      </c>
      <c r="C5823" s="6" t="s">
        <v>635</v>
      </c>
      <c r="D5823" s="6" t="s">
        <v>638</v>
      </c>
      <c r="E5823" s="6">
        <v>5.49</v>
      </c>
    </row>
    <row r="5824">
      <c r="A5824" s="3">
        <v>80697.0</v>
      </c>
      <c r="B5824" s="4" t="s">
        <v>73</v>
      </c>
      <c r="C5824" s="4" t="s">
        <v>635</v>
      </c>
      <c r="D5824" s="4" t="s">
        <v>638</v>
      </c>
      <c r="E5824" s="4">
        <v>6.44</v>
      </c>
    </row>
    <row r="5825">
      <c r="A5825" s="5">
        <v>117394.0</v>
      </c>
      <c r="B5825" s="6" t="s">
        <v>73</v>
      </c>
      <c r="C5825" s="6" t="s">
        <v>635</v>
      </c>
      <c r="D5825" s="6" t="s">
        <v>638</v>
      </c>
      <c r="E5825" s="6">
        <v>5.21</v>
      </c>
    </row>
    <row r="5826">
      <c r="A5826" s="3">
        <v>103636.0</v>
      </c>
      <c r="B5826" s="4" t="s">
        <v>73</v>
      </c>
      <c r="C5826" s="4" t="s">
        <v>635</v>
      </c>
      <c r="D5826" s="4" t="s">
        <v>638</v>
      </c>
      <c r="E5826" s="4">
        <v>4.12</v>
      </c>
    </row>
    <row r="5827">
      <c r="A5827" s="5">
        <v>67001.0</v>
      </c>
      <c r="B5827" s="6" t="s">
        <v>73</v>
      </c>
      <c r="C5827" s="6" t="s">
        <v>635</v>
      </c>
      <c r="D5827" s="6" t="s">
        <v>638</v>
      </c>
      <c r="E5827" s="6">
        <v>6.03</v>
      </c>
    </row>
    <row r="5828">
      <c r="A5828" s="3">
        <v>2148.0</v>
      </c>
      <c r="B5828" s="4" t="s">
        <v>73</v>
      </c>
      <c r="C5828" s="4" t="s">
        <v>635</v>
      </c>
      <c r="D5828" s="4" t="s">
        <v>638</v>
      </c>
      <c r="E5828" s="4">
        <v>3.95</v>
      </c>
    </row>
    <row r="5829">
      <c r="A5829" s="5">
        <v>111672.0</v>
      </c>
      <c r="B5829" s="6" t="s">
        <v>73</v>
      </c>
      <c r="C5829" s="6" t="s">
        <v>635</v>
      </c>
      <c r="D5829" s="6" t="s">
        <v>638</v>
      </c>
      <c r="E5829" s="6">
        <v>4.16</v>
      </c>
    </row>
    <row r="5830">
      <c r="A5830" s="3">
        <v>80696.0</v>
      </c>
      <c r="B5830" s="4" t="s">
        <v>73</v>
      </c>
      <c r="C5830" s="4" t="s">
        <v>635</v>
      </c>
      <c r="D5830" s="4" t="s">
        <v>638</v>
      </c>
      <c r="E5830" s="4">
        <v>9.31</v>
      </c>
    </row>
    <row r="5831">
      <c r="A5831" s="5">
        <v>96853.0</v>
      </c>
      <c r="B5831" s="6" t="s">
        <v>73</v>
      </c>
      <c r="C5831" s="6" t="s">
        <v>635</v>
      </c>
      <c r="D5831" s="6" t="s">
        <v>638</v>
      </c>
      <c r="E5831" s="6">
        <v>6.22</v>
      </c>
    </row>
    <row r="5832">
      <c r="A5832" s="3">
        <v>117388.0</v>
      </c>
      <c r="B5832" s="4" t="s">
        <v>73</v>
      </c>
      <c r="C5832" s="4" t="s">
        <v>635</v>
      </c>
      <c r="D5832" s="4" t="s">
        <v>638</v>
      </c>
      <c r="E5832" s="4">
        <v>3.75</v>
      </c>
    </row>
    <row r="5833">
      <c r="A5833" s="5">
        <v>109971.0</v>
      </c>
      <c r="B5833" s="6" t="s">
        <v>73</v>
      </c>
      <c r="C5833" s="6" t="s">
        <v>635</v>
      </c>
      <c r="D5833" s="6" t="s">
        <v>638</v>
      </c>
      <c r="E5833" s="6">
        <v>4.51</v>
      </c>
    </row>
    <row r="5834">
      <c r="A5834" s="3">
        <v>122247.0</v>
      </c>
      <c r="B5834" s="4" t="s">
        <v>73</v>
      </c>
      <c r="C5834" s="4" t="s">
        <v>635</v>
      </c>
      <c r="D5834" s="4" t="s">
        <v>638</v>
      </c>
      <c r="E5834" s="4">
        <v>6.05</v>
      </c>
    </row>
    <row r="5835">
      <c r="A5835" s="5">
        <v>103635.0</v>
      </c>
      <c r="B5835" s="6" t="s">
        <v>73</v>
      </c>
      <c r="C5835" s="6" t="s">
        <v>635</v>
      </c>
      <c r="D5835" s="6" t="s">
        <v>638</v>
      </c>
      <c r="E5835" s="6">
        <v>4.12</v>
      </c>
    </row>
    <row r="5836">
      <c r="A5836" s="3">
        <v>122295.0</v>
      </c>
      <c r="B5836" s="4" t="s">
        <v>73</v>
      </c>
      <c r="C5836" s="4" t="s">
        <v>635</v>
      </c>
      <c r="D5836" s="4" t="s">
        <v>638</v>
      </c>
      <c r="E5836" s="4">
        <v>0.9</v>
      </c>
    </row>
    <row r="5837">
      <c r="A5837" s="5">
        <v>118351.0</v>
      </c>
      <c r="B5837" s="6" t="s">
        <v>73</v>
      </c>
      <c r="C5837" s="6" t="s">
        <v>635</v>
      </c>
      <c r="D5837" s="6" t="s">
        <v>639</v>
      </c>
      <c r="E5837" s="6">
        <v>3.15</v>
      </c>
    </row>
    <row r="5838">
      <c r="A5838" s="3">
        <v>91624.0</v>
      </c>
      <c r="B5838" s="4" t="s">
        <v>73</v>
      </c>
      <c r="C5838" s="4" t="s">
        <v>635</v>
      </c>
      <c r="D5838" s="4" t="s">
        <v>639</v>
      </c>
      <c r="E5838" s="4">
        <v>4.38</v>
      </c>
    </row>
    <row r="5839">
      <c r="A5839" s="5">
        <v>27765.0</v>
      </c>
      <c r="B5839" s="6" t="s">
        <v>73</v>
      </c>
      <c r="C5839" s="6" t="s">
        <v>635</v>
      </c>
      <c r="D5839" s="6" t="s">
        <v>639</v>
      </c>
      <c r="E5839" s="6">
        <v>5.33</v>
      </c>
    </row>
    <row r="5840">
      <c r="A5840" s="3">
        <v>26313.0</v>
      </c>
      <c r="B5840" s="4" t="s">
        <v>73</v>
      </c>
      <c r="C5840" s="4" t="s">
        <v>635</v>
      </c>
      <c r="D5840" s="4" t="s">
        <v>639</v>
      </c>
      <c r="E5840" s="4">
        <v>4.41</v>
      </c>
    </row>
    <row r="5841">
      <c r="A5841" s="5">
        <v>26314.0</v>
      </c>
      <c r="B5841" s="6" t="s">
        <v>73</v>
      </c>
      <c r="C5841" s="6" t="s">
        <v>635</v>
      </c>
      <c r="D5841" s="6" t="s">
        <v>639</v>
      </c>
      <c r="E5841" s="6">
        <v>4.25</v>
      </c>
    </row>
    <row r="5842">
      <c r="A5842" s="3">
        <v>91626.0</v>
      </c>
      <c r="B5842" s="4" t="s">
        <v>73</v>
      </c>
      <c r="C5842" s="4" t="s">
        <v>635</v>
      </c>
      <c r="D5842" s="4" t="s">
        <v>639</v>
      </c>
      <c r="E5842" s="4">
        <v>4.38</v>
      </c>
    </row>
    <row r="5843">
      <c r="A5843" s="5">
        <v>112264.0</v>
      </c>
      <c r="B5843" s="6" t="s">
        <v>73</v>
      </c>
      <c r="C5843" s="6" t="s">
        <v>635</v>
      </c>
      <c r="D5843" s="6" t="s">
        <v>639</v>
      </c>
      <c r="E5843" s="6">
        <v>4.95</v>
      </c>
    </row>
    <row r="5844">
      <c r="A5844" s="3">
        <v>27764.0</v>
      </c>
      <c r="B5844" s="4" t="s">
        <v>73</v>
      </c>
      <c r="C5844" s="4" t="s">
        <v>635</v>
      </c>
      <c r="D5844" s="4" t="s">
        <v>639</v>
      </c>
      <c r="E5844" s="4">
        <v>5.33</v>
      </c>
    </row>
    <row r="5845">
      <c r="A5845" s="5">
        <v>92653.0</v>
      </c>
      <c r="B5845" s="6" t="s">
        <v>73</v>
      </c>
      <c r="C5845" s="6" t="s">
        <v>635</v>
      </c>
      <c r="D5845" s="6" t="s">
        <v>639</v>
      </c>
      <c r="E5845" s="6">
        <v>6.88</v>
      </c>
    </row>
    <row r="5846">
      <c r="A5846" s="3">
        <v>117990.0</v>
      </c>
      <c r="B5846" s="4" t="s">
        <v>73</v>
      </c>
      <c r="C5846" s="4" t="s">
        <v>635</v>
      </c>
      <c r="D5846" s="4" t="s">
        <v>639</v>
      </c>
      <c r="E5846" s="4">
        <v>8.78</v>
      </c>
    </row>
    <row r="5847">
      <c r="A5847" s="5">
        <v>92651.0</v>
      </c>
      <c r="B5847" s="6" t="s">
        <v>73</v>
      </c>
      <c r="C5847" s="6" t="s">
        <v>635</v>
      </c>
      <c r="D5847" s="6" t="s">
        <v>639</v>
      </c>
      <c r="E5847" s="6">
        <v>4.09</v>
      </c>
    </row>
    <row r="5848">
      <c r="A5848" s="3">
        <v>104143.0</v>
      </c>
      <c r="B5848" s="4" t="s">
        <v>73</v>
      </c>
      <c r="C5848" s="4" t="s">
        <v>635</v>
      </c>
      <c r="D5848" s="4" t="s">
        <v>639</v>
      </c>
      <c r="E5848" s="4">
        <v>5.33</v>
      </c>
    </row>
    <row r="5849">
      <c r="A5849" s="5">
        <v>48641.0</v>
      </c>
      <c r="B5849" s="6" t="s">
        <v>140</v>
      </c>
      <c r="C5849" s="6" t="s">
        <v>640</v>
      </c>
      <c r="D5849" s="6" t="s">
        <v>641</v>
      </c>
      <c r="E5849" s="6">
        <v>0.98</v>
      </c>
    </row>
    <row r="5850">
      <c r="A5850" s="3">
        <v>47543.0</v>
      </c>
      <c r="B5850" s="4" t="s">
        <v>140</v>
      </c>
      <c r="C5850" s="4" t="s">
        <v>640</v>
      </c>
      <c r="D5850" s="4" t="s">
        <v>641</v>
      </c>
      <c r="E5850" s="4">
        <v>2.28</v>
      </c>
    </row>
    <row r="5851">
      <c r="A5851" s="5">
        <v>117045.0</v>
      </c>
      <c r="B5851" s="6" t="s">
        <v>140</v>
      </c>
      <c r="C5851" s="6" t="s">
        <v>640</v>
      </c>
      <c r="D5851" s="6" t="s">
        <v>641</v>
      </c>
      <c r="E5851" s="6">
        <v>3.01</v>
      </c>
    </row>
    <row r="5852">
      <c r="A5852" s="3">
        <v>109276.0</v>
      </c>
      <c r="B5852" s="4" t="s">
        <v>140</v>
      </c>
      <c r="C5852" s="4" t="s">
        <v>640</v>
      </c>
      <c r="D5852" s="4" t="s">
        <v>641</v>
      </c>
      <c r="E5852" s="4">
        <v>2.7</v>
      </c>
    </row>
    <row r="5853">
      <c r="A5853" s="5">
        <v>117040.0</v>
      </c>
      <c r="B5853" s="6" t="s">
        <v>140</v>
      </c>
      <c r="C5853" s="6" t="s">
        <v>640</v>
      </c>
      <c r="D5853" s="6" t="s">
        <v>641</v>
      </c>
      <c r="E5853" s="6">
        <v>3.01</v>
      </c>
    </row>
    <row r="5854">
      <c r="A5854" s="3">
        <v>108485.0</v>
      </c>
      <c r="B5854" s="4" t="s">
        <v>140</v>
      </c>
      <c r="C5854" s="4" t="s">
        <v>640</v>
      </c>
      <c r="D5854" s="4" t="s">
        <v>641</v>
      </c>
      <c r="E5854" s="4">
        <v>2.85</v>
      </c>
    </row>
    <row r="5855">
      <c r="A5855" s="5">
        <v>80095.0</v>
      </c>
      <c r="B5855" s="6" t="s">
        <v>140</v>
      </c>
      <c r="C5855" s="6" t="s">
        <v>640</v>
      </c>
      <c r="D5855" s="6" t="s">
        <v>641</v>
      </c>
      <c r="E5855" s="6">
        <v>1.97</v>
      </c>
    </row>
    <row r="5856">
      <c r="A5856" s="3">
        <v>117044.0</v>
      </c>
      <c r="B5856" s="4" t="s">
        <v>140</v>
      </c>
      <c r="C5856" s="4" t="s">
        <v>640</v>
      </c>
      <c r="D5856" s="4" t="s">
        <v>641</v>
      </c>
      <c r="E5856" s="4">
        <v>3.01</v>
      </c>
    </row>
    <row r="5857">
      <c r="A5857" s="5">
        <v>69279.0</v>
      </c>
      <c r="B5857" s="6" t="s">
        <v>140</v>
      </c>
      <c r="C5857" s="6" t="s">
        <v>640</v>
      </c>
      <c r="D5857" s="6" t="s">
        <v>641</v>
      </c>
      <c r="E5857" s="6">
        <v>3.51</v>
      </c>
    </row>
    <row r="5858">
      <c r="A5858" s="3">
        <v>48642.0</v>
      </c>
      <c r="B5858" s="4" t="s">
        <v>140</v>
      </c>
      <c r="C5858" s="4" t="s">
        <v>640</v>
      </c>
      <c r="D5858" s="4" t="s">
        <v>641</v>
      </c>
      <c r="E5858" s="4">
        <v>13.72</v>
      </c>
    </row>
    <row r="5859">
      <c r="A5859" s="5">
        <v>117569.0</v>
      </c>
      <c r="B5859" s="6" t="s">
        <v>140</v>
      </c>
      <c r="C5859" s="6" t="s">
        <v>640</v>
      </c>
      <c r="D5859" s="6" t="s">
        <v>642</v>
      </c>
      <c r="E5859" s="6">
        <v>1.08</v>
      </c>
    </row>
    <row r="5860">
      <c r="A5860" s="3">
        <v>83590.0</v>
      </c>
      <c r="B5860" s="4" t="s">
        <v>140</v>
      </c>
      <c r="C5860" s="4" t="s">
        <v>640</v>
      </c>
      <c r="D5860" s="4" t="s">
        <v>642</v>
      </c>
      <c r="E5860" s="4">
        <v>2.41</v>
      </c>
    </row>
    <row r="5861">
      <c r="A5861" s="5">
        <v>117566.0</v>
      </c>
      <c r="B5861" s="6" t="s">
        <v>140</v>
      </c>
      <c r="C5861" s="6" t="s">
        <v>640</v>
      </c>
      <c r="D5861" s="6" t="s">
        <v>642</v>
      </c>
      <c r="E5861" s="6">
        <v>1.08</v>
      </c>
    </row>
    <row r="5862">
      <c r="A5862" s="3">
        <v>116391.0</v>
      </c>
      <c r="B5862" s="4" t="s">
        <v>140</v>
      </c>
      <c r="C5862" s="4" t="s">
        <v>640</v>
      </c>
      <c r="D5862" s="4" t="s">
        <v>642</v>
      </c>
      <c r="E5862" s="4">
        <v>2.41</v>
      </c>
    </row>
    <row r="5863">
      <c r="A5863" s="5">
        <v>47388.0</v>
      </c>
      <c r="B5863" s="6" t="s">
        <v>140</v>
      </c>
      <c r="C5863" s="6" t="s">
        <v>640</v>
      </c>
      <c r="D5863" s="6" t="s">
        <v>642</v>
      </c>
      <c r="E5863" s="6">
        <v>2.23</v>
      </c>
    </row>
    <row r="5864">
      <c r="A5864" s="3">
        <v>117567.0</v>
      </c>
      <c r="B5864" s="4" t="s">
        <v>140</v>
      </c>
      <c r="C5864" s="4" t="s">
        <v>640</v>
      </c>
      <c r="D5864" s="4" t="s">
        <v>642</v>
      </c>
      <c r="E5864" s="4">
        <v>1.08</v>
      </c>
    </row>
    <row r="5865">
      <c r="A5865" s="5">
        <v>104319.0</v>
      </c>
      <c r="B5865" s="6" t="s">
        <v>140</v>
      </c>
      <c r="C5865" s="6" t="s">
        <v>640</v>
      </c>
      <c r="D5865" s="6" t="s">
        <v>642</v>
      </c>
      <c r="E5865" s="6">
        <v>1.67</v>
      </c>
    </row>
    <row r="5866">
      <c r="A5866" s="3">
        <v>120399.0</v>
      </c>
      <c r="B5866" s="4" t="s">
        <v>140</v>
      </c>
      <c r="C5866" s="4" t="s">
        <v>640</v>
      </c>
      <c r="D5866" s="4" t="s">
        <v>642</v>
      </c>
      <c r="E5866" s="4">
        <v>1.73</v>
      </c>
    </row>
    <row r="5867">
      <c r="A5867" s="5">
        <v>47389.0</v>
      </c>
      <c r="B5867" s="6" t="s">
        <v>140</v>
      </c>
      <c r="C5867" s="6" t="s">
        <v>640</v>
      </c>
      <c r="D5867" s="6" t="s">
        <v>642</v>
      </c>
      <c r="E5867" s="6">
        <v>2.23</v>
      </c>
    </row>
    <row r="5868">
      <c r="A5868" s="3">
        <v>47384.0</v>
      </c>
      <c r="B5868" s="4" t="s">
        <v>140</v>
      </c>
      <c r="C5868" s="4" t="s">
        <v>640</v>
      </c>
      <c r="D5868" s="4" t="s">
        <v>642</v>
      </c>
      <c r="E5868" s="4">
        <v>2.23</v>
      </c>
    </row>
    <row r="5869">
      <c r="A5869" s="5">
        <v>117568.0</v>
      </c>
      <c r="B5869" s="6" t="s">
        <v>140</v>
      </c>
      <c r="C5869" s="6" t="s">
        <v>640</v>
      </c>
      <c r="D5869" s="6" t="s">
        <v>642</v>
      </c>
      <c r="E5869" s="6">
        <v>1.08</v>
      </c>
    </row>
    <row r="5870">
      <c r="A5870" s="3">
        <v>80233.0</v>
      </c>
      <c r="B5870" s="4" t="s">
        <v>140</v>
      </c>
      <c r="C5870" s="4" t="s">
        <v>640</v>
      </c>
      <c r="D5870" s="4" t="s">
        <v>642</v>
      </c>
      <c r="E5870" s="4">
        <v>1.87</v>
      </c>
    </row>
    <row r="5871">
      <c r="A5871" s="5">
        <v>120396.0</v>
      </c>
      <c r="B5871" s="6" t="s">
        <v>140</v>
      </c>
      <c r="C5871" s="6" t="s">
        <v>640</v>
      </c>
      <c r="D5871" s="6" t="s">
        <v>642</v>
      </c>
      <c r="E5871" s="6">
        <v>1.73</v>
      </c>
    </row>
    <row r="5872">
      <c r="A5872" s="3">
        <v>47386.0</v>
      </c>
      <c r="B5872" s="4" t="s">
        <v>140</v>
      </c>
      <c r="C5872" s="4" t="s">
        <v>640</v>
      </c>
      <c r="D5872" s="4" t="s">
        <v>642</v>
      </c>
      <c r="E5872" s="4">
        <v>2.23</v>
      </c>
    </row>
    <row r="5873">
      <c r="A5873" s="5">
        <v>110294.0</v>
      </c>
      <c r="B5873" s="6" t="s">
        <v>140</v>
      </c>
      <c r="C5873" s="6" t="s">
        <v>640</v>
      </c>
      <c r="D5873" s="6" t="s">
        <v>642</v>
      </c>
      <c r="E5873" s="6">
        <v>0.97</v>
      </c>
    </row>
    <row r="5874">
      <c r="A5874" s="3">
        <v>47374.0</v>
      </c>
      <c r="B5874" s="4" t="s">
        <v>140</v>
      </c>
      <c r="C5874" s="4" t="s">
        <v>640</v>
      </c>
      <c r="D5874" s="4" t="s">
        <v>642</v>
      </c>
      <c r="E5874" s="4">
        <v>2.23</v>
      </c>
    </row>
    <row r="5875">
      <c r="A5875" s="5">
        <v>115586.0</v>
      </c>
      <c r="B5875" s="6" t="s">
        <v>140</v>
      </c>
      <c r="C5875" s="6" t="s">
        <v>640</v>
      </c>
      <c r="D5875" s="6" t="s">
        <v>642</v>
      </c>
      <c r="E5875" s="6">
        <v>2.43</v>
      </c>
    </row>
    <row r="5876">
      <c r="A5876" s="3">
        <v>112736.0</v>
      </c>
      <c r="B5876" s="4" t="s">
        <v>140</v>
      </c>
      <c r="C5876" s="4" t="s">
        <v>640</v>
      </c>
      <c r="D5876" s="4" t="s">
        <v>642</v>
      </c>
      <c r="E5876" s="4">
        <v>1.28</v>
      </c>
    </row>
    <row r="5877">
      <c r="A5877" s="5">
        <v>80234.0</v>
      </c>
      <c r="B5877" s="6" t="s">
        <v>140</v>
      </c>
      <c r="C5877" s="6" t="s">
        <v>640</v>
      </c>
      <c r="D5877" s="6" t="s">
        <v>642</v>
      </c>
      <c r="E5877" s="6">
        <v>1.87</v>
      </c>
    </row>
    <row r="5878">
      <c r="A5878" s="3">
        <v>92426.0</v>
      </c>
      <c r="B5878" s="4" t="s">
        <v>140</v>
      </c>
      <c r="C5878" s="4" t="s">
        <v>640</v>
      </c>
      <c r="D5878" s="4" t="s">
        <v>642</v>
      </c>
      <c r="E5878" s="4">
        <v>0.85</v>
      </c>
    </row>
    <row r="5879">
      <c r="A5879" s="5">
        <v>92429.0</v>
      </c>
      <c r="B5879" s="6" t="s">
        <v>140</v>
      </c>
      <c r="C5879" s="6" t="s">
        <v>640</v>
      </c>
      <c r="D5879" s="6" t="s">
        <v>642</v>
      </c>
      <c r="E5879" s="6">
        <v>0.78</v>
      </c>
    </row>
    <row r="5880">
      <c r="A5880" s="3">
        <v>117572.0</v>
      </c>
      <c r="B5880" s="4" t="s">
        <v>140</v>
      </c>
      <c r="C5880" s="4" t="s">
        <v>640</v>
      </c>
      <c r="D5880" s="4" t="s">
        <v>642</v>
      </c>
      <c r="E5880" s="4">
        <v>1.55</v>
      </c>
    </row>
    <row r="5881">
      <c r="A5881" s="5">
        <v>110982.0</v>
      </c>
      <c r="B5881" s="6" t="s">
        <v>140</v>
      </c>
      <c r="C5881" s="6" t="s">
        <v>640</v>
      </c>
      <c r="D5881" s="6" t="s">
        <v>642</v>
      </c>
      <c r="E5881" s="6">
        <v>1.22</v>
      </c>
    </row>
    <row r="5882">
      <c r="A5882" s="3">
        <v>92442.0</v>
      </c>
      <c r="B5882" s="4" t="s">
        <v>140</v>
      </c>
      <c r="C5882" s="4" t="s">
        <v>640</v>
      </c>
      <c r="D5882" s="4" t="s">
        <v>642</v>
      </c>
      <c r="E5882" s="4">
        <v>1.34</v>
      </c>
    </row>
    <row r="5883">
      <c r="A5883" s="5">
        <v>83591.0</v>
      </c>
      <c r="B5883" s="6" t="s">
        <v>140</v>
      </c>
      <c r="C5883" s="6" t="s">
        <v>640</v>
      </c>
      <c r="D5883" s="6" t="s">
        <v>642</v>
      </c>
      <c r="E5883" s="6">
        <v>2.41</v>
      </c>
    </row>
    <row r="5884">
      <c r="A5884" s="3">
        <v>104318.0</v>
      </c>
      <c r="B5884" s="4" t="s">
        <v>140</v>
      </c>
      <c r="C5884" s="4" t="s">
        <v>640</v>
      </c>
      <c r="D5884" s="4" t="s">
        <v>642</v>
      </c>
      <c r="E5884" s="4">
        <v>1.67</v>
      </c>
    </row>
    <row r="5885">
      <c r="A5885" s="5">
        <v>112740.0</v>
      </c>
      <c r="B5885" s="6" t="s">
        <v>140</v>
      </c>
      <c r="C5885" s="6" t="s">
        <v>640</v>
      </c>
      <c r="D5885" s="6" t="s">
        <v>642</v>
      </c>
      <c r="E5885" s="6">
        <v>5.72</v>
      </c>
    </row>
    <row r="5886">
      <c r="A5886" s="3">
        <v>117570.0</v>
      </c>
      <c r="B5886" s="4" t="s">
        <v>140</v>
      </c>
      <c r="C5886" s="4" t="s">
        <v>640</v>
      </c>
      <c r="D5886" s="4" t="s">
        <v>642</v>
      </c>
      <c r="E5886" s="4">
        <v>1.08</v>
      </c>
    </row>
    <row r="5887">
      <c r="A5887" s="5">
        <v>115584.0</v>
      </c>
      <c r="B5887" s="6" t="s">
        <v>140</v>
      </c>
      <c r="C5887" s="6" t="s">
        <v>640</v>
      </c>
      <c r="D5887" s="6" t="s">
        <v>642</v>
      </c>
      <c r="E5887" s="6">
        <v>2.43</v>
      </c>
    </row>
    <row r="5888">
      <c r="A5888" s="3">
        <v>47629.0</v>
      </c>
      <c r="B5888" s="4" t="s">
        <v>140</v>
      </c>
      <c r="C5888" s="4" t="s">
        <v>640</v>
      </c>
      <c r="D5888" s="4" t="s">
        <v>642</v>
      </c>
      <c r="E5888" s="4">
        <v>1.04</v>
      </c>
    </row>
    <row r="5889">
      <c r="A5889" s="5">
        <v>116389.0</v>
      </c>
      <c r="B5889" s="6" t="s">
        <v>140</v>
      </c>
      <c r="C5889" s="6" t="s">
        <v>640</v>
      </c>
      <c r="D5889" s="6" t="s">
        <v>642</v>
      </c>
      <c r="E5889" s="6">
        <v>2.5</v>
      </c>
    </row>
    <row r="5890">
      <c r="A5890" s="3">
        <v>117573.0</v>
      </c>
      <c r="B5890" s="4" t="s">
        <v>140</v>
      </c>
      <c r="C5890" s="4" t="s">
        <v>640</v>
      </c>
      <c r="D5890" s="4" t="s">
        <v>642</v>
      </c>
      <c r="E5890" s="4">
        <v>1.55</v>
      </c>
    </row>
    <row r="5891">
      <c r="A5891" s="5">
        <v>47638.0</v>
      </c>
      <c r="B5891" s="6" t="s">
        <v>140</v>
      </c>
      <c r="C5891" s="6" t="s">
        <v>640</v>
      </c>
      <c r="D5891" s="6" t="s">
        <v>642</v>
      </c>
      <c r="E5891" s="6">
        <v>1.15</v>
      </c>
    </row>
    <row r="5892">
      <c r="A5892" s="3">
        <v>110219.0</v>
      </c>
      <c r="B5892" s="4" t="s">
        <v>317</v>
      </c>
      <c r="C5892" s="4" t="s">
        <v>643</v>
      </c>
      <c r="D5892" s="4" t="s">
        <v>644</v>
      </c>
      <c r="E5892" s="4">
        <v>20.81</v>
      </c>
    </row>
    <row r="5893">
      <c r="A5893" s="5">
        <v>116851.0</v>
      </c>
      <c r="B5893" s="6" t="s">
        <v>317</v>
      </c>
      <c r="C5893" s="6" t="s">
        <v>643</v>
      </c>
      <c r="D5893" s="6" t="s">
        <v>644</v>
      </c>
      <c r="E5893" s="6">
        <v>18.81</v>
      </c>
    </row>
    <row r="5894">
      <c r="A5894" s="3">
        <v>122737.0</v>
      </c>
      <c r="B5894" s="4" t="s">
        <v>317</v>
      </c>
      <c r="C5894" s="4" t="s">
        <v>643</v>
      </c>
      <c r="D5894" s="4" t="s">
        <v>644</v>
      </c>
      <c r="E5894" s="4">
        <v>13.94</v>
      </c>
    </row>
    <row r="5895">
      <c r="A5895" s="5">
        <v>110226.0</v>
      </c>
      <c r="B5895" s="6" t="s">
        <v>317</v>
      </c>
      <c r="C5895" s="6" t="s">
        <v>643</v>
      </c>
      <c r="D5895" s="6" t="s">
        <v>645</v>
      </c>
      <c r="E5895" s="6">
        <v>20.81</v>
      </c>
    </row>
    <row r="5896">
      <c r="A5896" s="3">
        <v>115773.0</v>
      </c>
      <c r="B5896" s="4" t="s">
        <v>317</v>
      </c>
      <c r="C5896" s="4" t="s">
        <v>643</v>
      </c>
      <c r="D5896" s="4" t="s">
        <v>645</v>
      </c>
      <c r="E5896" s="4">
        <v>20.85</v>
      </c>
    </row>
    <row r="5897">
      <c r="A5897" s="5">
        <v>109580.0</v>
      </c>
      <c r="B5897" s="6" t="s">
        <v>317</v>
      </c>
      <c r="C5897" s="6" t="s">
        <v>643</v>
      </c>
      <c r="D5897" s="6" t="s">
        <v>645</v>
      </c>
      <c r="E5897" s="6">
        <v>19.86</v>
      </c>
    </row>
    <row r="5898">
      <c r="A5898" s="3">
        <v>114255.0</v>
      </c>
      <c r="B5898" s="4" t="s">
        <v>317</v>
      </c>
      <c r="C5898" s="4" t="s">
        <v>643</v>
      </c>
      <c r="D5898" s="4" t="s">
        <v>646</v>
      </c>
      <c r="E5898" s="4">
        <v>20.77</v>
      </c>
    </row>
    <row r="5899">
      <c r="A5899" s="5">
        <v>122745.0</v>
      </c>
      <c r="B5899" s="6" t="s">
        <v>317</v>
      </c>
      <c r="C5899" s="6" t="s">
        <v>643</v>
      </c>
      <c r="D5899" s="6" t="s">
        <v>646</v>
      </c>
      <c r="E5899" s="6">
        <v>13.94</v>
      </c>
    </row>
    <row r="5900">
      <c r="A5900" s="3">
        <v>116873.0</v>
      </c>
      <c r="B5900" s="4" t="s">
        <v>317</v>
      </c>
      <c r="C5900" s="4" t="s">
        <v>643</v>
      </c>
      <c r="D5900" s="4" t="s">
        <v>646</v>
      </c>
      <c r="E5900" s="4">
        <v>18.81</v>
      </c>
    </row>
    <row r="5901">
      <c r="A5901" s="5">
        <v>110228.0</v>
      </c>
      <c r="B5901" s="6" t="s">
        <v>317</v>
      </c>
      <c r="C5901" s="6" t="s">
        <v>643</v>
      </c>
      <c r="D5901" s="6" t="s">
        <v>646</v>
      </c>
      <c r="E5901" s="6">
        <v>20.81</v>
      </c>
    </row>
    <row r="5902">
      <c r="A5902" s="3"/>
      <c r="B5902" s="4"/>
      <c r="C5902" s="4"/>
      <c r="D5902" s="4"/>
      <c r="E5902" s="4"/>
    </row>
    <row r="5903">
      <c r="A5903" s="5"/>
      <c r="B5903" s="6"/>
      <c r="C5903" s="6"/>
      <c r="D5903" s="6"/>
      <c r="E5903" s="6"/>
    </row>
    <row r="5904">
      <c r="A5904" s="3"/>
      <c r="B5904" s="4"/>
      <c r="C5904" s="4"/>
      <c r="D5904" s="4"/>
      <c r="E5904" s="4"/>
    </row>
    <row r="5905">
      <c r="A5905" s="5"/>
      <c r="B5905" s="6"/>
      <c r="C5905" s="6"/>
      <c r="D5905" s="6"/>
      <c r="E5905" s="6"/>
    </row>
    <row r="5906">
      <c r="A5906" s="3"/>
      <c r="B5906" s="4"/>
      <c r="C5906" s="4"/>
      <c r="D5906" s="4"/>
      <c r="E5906" s="4"/>
    </row>
    <row r="5907">
      <c r="A5907" s="5"/>
      <c r="B5907" s="6"/>
      <c r="C5907" s="6"/>
      <c r="D5907" s="6"/>
      <c r="E5907" s="6"/>
    </row>
    <row r="5908">
      <c r="A5908" s="3"/>
      <c r="B5908" s="4"/>
      <c r="C5908" s="4"/>
      <c r="D5908" s="4"/>
      <c r="E5908" s="4"/>
    </row>
    <row r="5909">
      <c r="A5909" s="5"/>
      <c r="B5909" s="6"/>
      <c r="C5909" s="6"/>
      <c r="D5909" s="6"/>
      <c r="E5909" s="6"/>
    </row>
    <row r="5910">
      <c r="A5910" s="3"/>
      <c r="B5910" s="4"/>
      <c r="C5910" s="4"/>
      <c r="D5910" s="4"/>
      <c r="E5910" s="4"/>
    </row>
    <row r="5911">
      <c r="A5911" s="5"/>
      <c r="B5911" s="6"/>
      <c r="C5911" s="6"/>
      <c r="D5911" s="6"/>
      <c r="E5911" s="6"/>
    </row>
    <row r="5912">
      <c r="A5912" s="3"/>
      <c r="B5912" s="4"/>
      <c r="C5912" s="4"/>
      <c r="D5912" s="4"/>
      <c r="E5912" s="4"/>
    </row>
    <row r="5913">
      <c r="A5913" s="5"/>
      <c r="B5913" s="6"/>
      <c r="C5913" s="6"/>
      <c r="D5913" s="6"/>
      <c r="E5913" s="6"/>
    </row>
    <row r="5914">
      <c r="A5914" s="3"/>
      <c r="B5914" s="4"/>
      <c r="C5914" s="4"/>
      <c r="D5914" s="4"/>
      <c r="E5914" s="4"/>
    </row>
    <row r="5915">
      <c r="A5915" s="5"/>
      <c r="B5915" s="6"/>
      <c r="C5915" s="6"/>
      <c r="D5915" s="6"/>
      <c r="E5915" s="6"/>
    </row>
    <row r="5916">
      <c r="A5916" s="3"/>
      <c r="B5916" s="4"/>
      <c r="C5916" s="4"/>
      <c r="D5916" s="4"/>
      <c r="E5916" s="4"/>
    </row>
    <row r="5917">
      <c r="A5917" s="5"/>
      <c r="B5917" s="6"/>
      <c r="C5917" s="6"/>
      <c r="D5917" s="6"/>
      <c r="E5917" s="6"/>
    </row>
    <row r="5918">
      <c r="A5918" s="3"/>
      <c r="B5918" s="4"/>
      <c r="C5918" s="4"/>
      <c r="D5918" s="4"/>
      <c r="E5918" s="4"/>
    </row>
    <row r="5919">
      <c r="A5919" s="5"/>
      <c r="B5919" s="6"/>
      <c r="C5919" s="6"/>
      <c r="D5919" s="6"/>
      <c r="E5919" s="6"/>
    </row>
    <row r="5920">
      <c r="A5920" s="3"/>
      <c r="B5920" s="4"/>
      <c r="C5920" s="4"/>
      <c r="D5920" s="4"/>
      <c r="E5920" s="4"/>
    </row>
    <row r="5921">
      <c r="A5921" s="5"/>
      <c r="B5921" s="6"/>
      <c r="C5921" s="6"/>
      <c r="D5921" s="6"/>
      <c r="E5921" s="6"/>
    </row>
    <row r="5922">
      <c r="A5922" s="3"/>
      <c r="B5922" s="4"/>
      <c r="C5922" s="4"/>
      <c r="D5922" s="4"/>
      <c r="E5922" s="4"/>
    </row>
    <row r="5923">
      <c r="A5923" s="5"/>
      <c r="B5923" s="6"/>
      <c r="C5923" s="6"/>
      <c r="D5923" s="6"/>
      <c r="E5923" s="6"/>
    </row>
    <row r="5924">
      <c r="A5924" s="3"/>
      <c r="B5924" s="4"/>
      <c r="C5924" s="4"/>
      <c r="D5924" s="4"/>
      <c r="E5924" s="4"/>
    </row>
    <row r="5925">
      <c r="A5925" s="5"/>
      <c r="B5925" s="6"/>
      <c r="C5925" s="6"/>
      <c r="D5925" s="6"/>
      <c r="E5925" s="6"/>
    </row>
    <row r="5926">
      <c r="A5926" s="3"/>
      <c r="B5926" s="4"/>
      <c r="C5926" s="4"/>
      <c r="D5926" s="4"/>
      <c r="E5926" s="4"/>
    </row>
    <row r="5927">
      <c r="A5927" s="5"/>
      <c r="B5927" s="6"/>
      <c r="C5927" s="6"/>
      <c r="D5927" s="6"/>
      <c r="E5927" s="6"/>
    </row>
    <row r="5928">
      <c r="A5928" s="3"/>
      <c r="B5928" s="4"/>
      <c r="C5928" s="4"/>
      <c r="D5928" s="4"/>
      <c r="E5928" s="4"/>
    </row>
    <row r="5929">
      <c r="A5929" s="5"/>
      <c r="B5929" s="6"/>
      <c r="C5929" s="6"/>
      <c r="D5929" s="6"/>
      <c r="E5929" s="6"/>
    </row>
    <row r="5930">
      <c r="A5930" s="3"/>
      <c r="B5930" s="4"/>
      <c r="C5930" s="4"/>
      <c r="D5930" s="4"/>
      <c r="E5930" s="4"/>
    </row>
    <row r="5931">
      <c r="A5931" s="5"/>
      <c r="B5931" s="6"/>
      <c r="C5931" s="6"/>
      <c r="D5931" s="6"/>
      <c r="E5931" s="6"/>
    </row>
    <row r="5932">
      <c r="A5932" s="3"/>
      <c r="B5932" s="4"/>
      <c r="C5932" s="4"/>
      <c r="D5932" s="4"/>
      <c r="E5932" s="4"/>
    </row>
    <row r="5933">
      <c r="A5933" s="5"/>
      <c r="B5933" s="6"/>
      <c r="C5933" s="6"/>
      <c r="D5933" s="6"/>
      <c r="E5933" s="6"/>
    </row>
    <row r="5934">
      <c r="A5934" s="3"/>
      <c r="B5934" s="4"/>
      <c r="C5934" s="4"/>
      <c r="D5934" s="4"/>
      <c r="E5934" s="4"/>
    </row>
    <row r="5935">
      <c r="A5935" s="5"/>
      <c r="B5935" s="6"/>
      <c r="C5935" s="6"/>
      <c r="D5935" s="6"/>
      <c r="E5935" s="6"/>
    </row>
    <row r="5936">
      <c r="A5936" s="3"/>
      <c r="B5936" s="4"/>
      <c r="C5936" s="4"/>
      <c r="D5936" s="4"/>
      <c r="E5936" s="4"/>
    </row>
    <row r="5937">
      <c r="A5937" s="5"/>
      <c r="B5937" s="6"/>
      <c r="C5937" s="6"/>
      <c r="D5937" s="6"/>
      <c r="E5937" s="6"/>
    </row>
    <row r="5938">
      <c r="A5938" s="3"/>
      <c r="B5938" s="4"/>
      <c r="C5938" s="4"/>
      <c r="D5938" s="4"/>
      <c r="E5938" s="4"/>
    </row>
    <row r="5939">
      <c r="A5939" s="5"/>
      <c r="B5939" s="6"/>
      <c r="C5939" s="6"/>
      <c r="D5939" s="6"/>
      <c r="E5939" s="6"/>
    </row>
    <row r="5940">
      <c r="A5940" s="3"/>
      <c r="B5940" s="4"/>
      <c r="C5940" s="4"/>
      <c r="D5940" s="4"/>
      <c r="E5940" s="4"/>
    </row>
    <row r="5941">
      <c r="A5941" s="5"/>
      <c r="B5941" s="6"/>
      <c r="C5941" s="6"/>
      <c r="D5941" s="6"/>
      <c r="E5941" s="6"/>
    </row>
    <row r="5942">
      <c r="A5942" s="3"/>
      <c r="B5942" s="4"/>
      <c r="C5942" s="4"/>
      <c r="D5942" s="4"/>
      <c r="E5942" s="4"/>
    </row>
    <row r="5943">
      <c r="A5943" s="5"/>
      <c r="B5943" s="6"/>
      <c r="C5943" s="6"/>
      <c r="D5943" s="6"/>
      <c r="E5943" s="6"/>
    </row>
    <row r="5944">
      <c r="A5944" s="3"/>
      <c r="B5944" s="4"/>
      <c r="C5944" s="4"/>
      <c r="D5944" s="4"/>
      <c r="E5944" s="4"/>
    </row>
    <row r="5945">
      <c r="A5945" s="5"/>
      <c r="B5945" s="6"/>
      <c r="C5945" s="6"/>
      <c r="D5945" s="6"/>
      <c r="E5945" s="6"/>
    </row>
    <row r="5946">
      <c r="A5946" s="3"/>
      <c r="B5946" s="4"/>
      <c r="C5946" s="4"/>
      <c r="D5946" s="4"/>
      <c r="E5946" s="4"/>
    </row>
    <row r="5947">
      <c r="A5947" s="5"/>
      <c r="B5947" s="6"/>
      <c r="C5947" s="6"/>
      <c r="D5947" s="6"/>
      <c r="E5947" s="6"/>
    </row>
    <row r="5948">
      <c r="A5948" s="3"/>
      <c r="B5948" s="4"/>
      <c r="C5948" s="4"/>
      <c r="D5948" s="4"/>
      <c r="E5948" s="4"/>
    </row>
    <row r="5949">
      <c r="A5949" s="5"/>
      <c r="B5949" s="6"/>
      <c r="C5949" s="6"/>
      <c r="D5949" s="6"/>
      <c r="E5949" s="6"/>
    </row>
    <row r="5950">
      <c r="A5950" s="3"/>
      <c r="B5950" s="4"/>
      <c r="C5950" s="4"/>
      <c r="D5950" s="4"/>
      <c r="E5950" s="4"/>
    </row>
    <row r="5951">
      <c r="A5951" s="5"/>
      <c r="B5951" s="6"/>
      <c r="C5951" s="6"/>
      <c r="D5951" s="6"/>
      <c r="E5951" s="6"/>
    </row>
    <row r="5952">
      <c r="A5952" s="3"/>
      <c r="B5952" s="4"/>
      <c r="C5952" s="4"/>
      <c r="D5952" s="4"/>
      <c r="E5952" s="4"/>
    </row>
    <row r="5953">
      <c r="A5953" s="5"/>
      <c r="B5953" s="6"/>
      <c r="C5953" s="6"/>
      <c r="D5953" s="6"/>
      <c r="E5953" s="6"/>
    </row>
    <row r="5954">
      <c r="A5954" s="3"/>
      <c r="B5954" s="4"/>
      <c r="C5954" s="4"/>
      <c r="D5954" s="4"/>
      <c r="E5954" s="4"/>
    </row>
    <row r="5955">
      <c r="A5955" s="5"/>
      <c r="B5955" s="6"/>
      <c r="C5955" s="6"/>
      <c r="D5955" s="6"/>
      <c r="E5955" s="6"/>
    </row>
    <row r="5956">
      <c r="A5956" s="3"/>
      <c r="B5956" s="4"/>
      <c r="C5956" s="4"/>
      <c r="D5956" s="4"/>
      <c r="E5956" s="4"/>
    </row>
    <row r="5957">
      <c r="A5957" s="5"/>
      <c r="B5957" s="6"/>
      <c r="C5957" s="6"/>
      <c r="D5957" s="6"/>
      <c r="E5957" s="6"/>
    </row>
    <row r="5958">
      <c r="A5958" s="3"/>
      <c r="B5958" s="4"/>
      <c r="C5958" s="4"/>
      <c r="D5958" s="4"/>
      <c r="E5958" s="4"/>
    </row>
    <row r="5959">
      <c r="A5959" s="5"/>
      <c r="B5959" s="6"/>
      <c r="C5959" s="6"/>
      <c r="D5959" s="6"/>
      <c r="E5959" s="6"/>
    </row>
    <row r="5960">
      <c r="A5960" s="3"/>
      <c r="B5960" s="4"/>
      <c r="C5960" s="4"/>
      <c r="D5960" s="4"/>
      <c r="E5960" s="4"/>
    </row>
    <row r="5961">
      <c r="A5961" s="5"/>
      <c r="B5961" s="6"/>
      <c r="C5961" s="6"/>
      <c r="D5961" s="6"/>
      <c r="E5961" s="6"/>
    </row>
    <row r="5962">
      <c r="A5962" s="3"/>
      <c r="B5962" s="4"/>
      <c r="C5962" s="4"/>
      <c r="D5962" s="4"/>
      <c r="E5962" s="4"/>
    </row>
    <row r="5963">
      <c r="A5963" s="5"/>
      <c r="B5963" s="6"/>
      <c r="C5963" s="6"/>
      <c r="D5963" s="6"/>
      <c r="E5963" s="6"/>
    </row>
    <row r="5964">
      <c r="A5964" s="3"/>
      <c r="B5964" s="4"/>
      <c r="C5964" s="4"/>
      <c r="D5964" s="4"/>
      <c r="E5964" s="4"/>
    </row>
    <row r="5965">
      <c r="A5965" s="5"/>
      <c r="B5965" s="6"/>
      <c r="C5965" s="6"/>
      <c r="D5965" s="6"/>
      <c r="E5965" s="6"/>
    </row>
    <row r="5966">
      <c r="A5966" s="3"/>
      <c r="B5966" s="4"/>
      <c r="C5966" s="4"/>
      <c r="D5966" s="4"/>
      <c r="E5966" s="4"/>
    </row>
    <row r="5967">
      <c r="A5967" s="5"/>
      <c r="B5967" s="6"/>
      <c r="C5967" s="6"/>
      <c r="D5967" s="6"/>
      <c r="E5967" s="6"/>
    </row>
    <row r="5968">
      <c r="A5968" s="3"/>
      <c r="B5968" s="4"/>
      <c r="C5968" s="4"/>
      <c r="D5968" s="4"/>
      <c r="E5968" s="4"/>
    </row>
    <row r="5969">
      <c r="A5969" s="5"/>
      <c r="B5969" s="6"/>
      <c r="C5969" s="6"/>
      <c r="D5969" s="6"/>
      <c r="E5969" s="6"/>
    </row>
    <row r="5970">
      <c r="A5970" s="3"/>
      <c r="B5970" s="4"/>
      <c r="C5970" s="4"/>
      <c r="D5970" s="4"/>
      <c r="E5970" s="4"/>
    </row>
    <row r="5971">
      <c r="A5971" s="5"/>
      <c r="B5971" s="6"/>
      <c r="C5971" s="6"/>
      <c r="D5971" s="6"/>
      <c r="E5971" s="6"/>
    </row>
    <row r="5972">
      <c r="A5972" s="3"/>
      <c r="B5972" s="4"/>
      <c r="C5972" s="4"/>
      <c r="D5972" s="4"/>
      <c r="E5972" s="4"/>
    </row>
    <row r="5973">
      <c r="A5973" s="5"/>
      <c r="B5973" s="6"/>
      <c r="C5973" s="6"/>
      <c r="D5973" s="6"/>
      <c r="E5973" s="6"/>
    </row>
    <row r="5974">
      <c r="A5974" s="3"/>
      <c r="B5974" s="4"/>
      <c r="C5974" s="4"/>
      <c r="D5974" s="4"/>
      <c r="E5974" s="4"/>
    </row>
    <row r="5975">
      <c r="A5975" s="5"/>
      <c r="B5975" s="6"/>
      <c r="C5975" s="6"/>
      <c r="D5975" s="6"/>
      <c r="E5975" s="6"/>
    </row>
    <row r="5976">
      <c r="A5976" s="3"/>
      <c r="B5976" s="4"/>
      <c r="C5976" s="4"/>
      <c r="D5976" s="4"/>
      <c r="E5976" s="4"/>
    </row>
    <row r="5977">
      <c r="A5977" s="5"/>
      <c r="B5977" s="6"/>
      <c r="C5977" s="6"/>
      <c r="D5977" s="6"/>
      <c r="E5977" s="6"/>
    </row>
    <row r="5978">
      <c r="A5978" s="3"/>
      <c r="B5978" s="4"/>
      <c r="C5978" s="4"/>
      <c r="D5978" s="4"/>
      <c r="E5978" s="4"/>
    </row>
    <row r="5979">
      <c r="A5979" s="5"/>
      <c r="B5979" s="6"/>
      <c r="C5979" s="6"/>
      <c r="D5979" s="6"/>
      <c r="E5979" s="6"/>
    </row>
    <row r="5980">
      <c r="A5980" s="3"/>
      <c r="B5980" s="4"/>
      <c r="C5980" s="4"/>
      <c r="D5980" s="4"/>
      <c r="E5980" s="4"/>
    </row>
    <row r="5981">
      <c r="A5981" s="5"/>
      <c r="B5981" s="6"/>
      <c r="C5981" s="6"/>
      <c r="D5981" s="6"/>
      <c r="E5981" s="6"/>
    </row>
    <row r="5982">
      <c r="A5982" s="3"/>
      <c r="B5982" s="4"/>
      <c r="C5982" s="4"/>
      <c r="D5982" s="4"/>
      <c r="E5982" s="4"/>
    </row>
    <row r="5983">
      <c r="A5983" s="5"/>
      <c r="B5983" s="6"/>
      <c r="C5983" s="6"/>
      <c r="D5983" s="6"/>
      <c r="E5983" s="6"/>
    </row>
    <row r="5984">
      <c r="A5984" s="3"/>
      <c r="B5984" s="4"/>
      <c r="C5984" s="4"/>
      <c r="D5984" s="4"/>
      <c r="E5984" s="4"/>
    </row>
    <row r="5985">
      <c r="A5985" s="5"/>
      <c r="B5985" s="6"/>
      <c r="C5985" s="6"/>
      <c r="D5985" s="6"/>
      <c r="E5985" s="6"/>
    </row>
    <row r="5986">
      <c r="A5986" s="3"/>
      <c r="B5986" s="4"/>
      <c r="C5986" s="4"/>
      <c r="D5986" s="4"/>
      <c r="E5986" s="4"/>
    </row>
    <row r="5987">
      <c r="A5987" s="5"/>
      <c r="B5987" s="6"/>
      <c r="C5987" s="6"/>
      <c r="D5987" s="6"/>
      <c r="E5987" s="6"/>
    </row>
    <row r="5988">
      <c r="A5988" s="3"/>
      <c r="B5988" s="4"/>
      <c r="C5988" s="4"/>
      <c r="D5988" s="4"/>
      <c r="E5988" s="4"/>
    </row>
    <row r="5989">
      <c r="A5989" s="5"/>
      <c r="B5989" s="6"/>
      <c r="C5989" s="6"/>
      <c r="D5989" s="6"/>
      <c r="E5989" s="6"/>
    </row>
    <row r="5990">
      <c r="A5990" s="3"/>
      <c r="B5990" s="4"/>
      <c r="C5990" s="4"/>
      <c r="D5990" s="4"/>
      <c r="E5990" s="4"/>
    </row>
    <row r="5991">
      <c r="A5991" s="5"/>
      <c r="B5991" s="6"/>
      <c r="C5991" s="6"/>
      <c r="D5991" s="6"/>
      <c r="E5991" s="6"/>
    </row>
    <row r="5992">
      <c r="A5992" s="3"/>
      <c r="B5992" s="4"/>
      <c r="C5992" s="4"/>
      <c r="D5992" s="4"/>
      <c r="E5992" s="4"/>
    </row>
    <row r="5993">
      <c r="A5993" s="5"/>
      <c r="B5993" s="6"/>
      <c r="C5993" s="6"/>
      <c r="D5993" s="6"/>
      <c r="E5993" s="6"/>
    </row>
    <row r="5994">
      <c r="A5994" s="3"/>
      <c r="B5994" s="4"/>
      <c r="C5994" s="4"/>
      <c r="D5994" s="4"/>
      <c r="E5994" s="4"/>
    </row>
    <row r="5995">
      <c r="A5995" s="5"/>
      <c r="B5995" s="6"/>
      <c r="C5995" s="6"/>
      <c r="D5995" s="6"/>
      <c r="E5995" s="6"/>
    </row>
    <row r="5996">
      <c r="A5996" s="3"/>
      <c r="B5996" s="4"/>
      <c r="C5996" s="4"/>
      <c r="D5996" s="4"/>
      <c r="E5996" s="4"/>
    </row>
    <row r="5997">
      <c r="A5997" s="5"/>
      <c r="B5997" s="6"/>
      <c r="C5997" s="6"/>
      <c r="D5997" s="6"/>
      <c r="E5997" s="6"/>
    </row>
    <row r="5998">
      <c r="A5998" s="3"/>
      <c r="B5998" s="4"/>
      <c r="C5998" s="4"/>
      <c r="D5998" s="4"/>
      <c r="E5998" s="4"/>
    </row>
    <row r="5999">
      <c r="A5999" s="5"/>
      <c r="B5999" s="6"/>
      <c r="C5999" s="6"/>
      <c r="D5999" s="6"/>
      <c r="E5999" s="6"/>
    </row>
    <row r="6000">
      <c r="A6000" s="3"/>
      <c r="B6000" s="4"/>
      <c r="C6000" s="4"/>
      <c r="D6000" s="4"/>
      <c r="E6000" s="4"/>
    </row>
    <row r="6001">
      <c r="A6001" s="5"/>
      <c r="B6001" s="6"/>
      <c r="C6001" s="6"/>
      <c r="D6001" s="6"/>
      <c r="E6001" s="6"/>
    </row>
    <row r="6002">
      <c r="A6002" s="3"/>
      <c r="B6002" s="4"/>
      <c r="C6002" s="4"/>
      <c r="D6002" s="4"/>
      <c r="E6002" s="4"/>
    </row>
    <row r="6003">
      <c r="A6003" s="5"/>
      <c r="B6003" s="6"/>
      <c r="C6003" s="6"/>
      <c r="D6003" s="6"/>
      <c r="E6003" s="6"/>
    </row>
    <row r="6004">
      <c r="A6004" s="3"/>
      <c r="B6004" s="4"/>
      <c r="C6004" s="4"/>
      <c r="D6004" s="4"/>
      <c r="E6004" s="4"/>
    </row>
    <row r="6005">
      <c r="A6005" s="5"/>
      <c r="B6005" s="6"/>
      <c r="C6005" s="6"/>
      <c r="D6005" s="6"/>
      <c r="E6005" s="6"/>
    </row>
    <row r="6006">
      <c r="A6006" s="3"/>
      <c r="B6006" s="4"/>
      <c r="C6006" s="4"/>
      <c r="D6006" s="4"/>
      <c r="E6006" s="4"/>
    </row>
    <row r="6007">
      <c r="A6007" s="5"/>
      <c r="B6007" s="6"/>
      <c r="C6007" s="6"/>
      <c r="D6007" s="6"/>
      <c r="E6007" s="6"/>
    </row>
    <row r="6008">
      <c r="A6008" s="3"/>
      <c r="B6008" s="4"/>
      <c r="C6008" s="4"/>
      <c r="D6008" s="4"/>
      <c r="E6008" s="4"/>
    </row>
    <row r="6009">
      <c r="A6009" s="5"/>
      <c r="B6009" s="6"/>
      <c r="C6009" s="6"/>
      <c r="D6009" s="6"/>
      <c r="E6009" s="6"/>
    </row>
    <row r="6010">
      <c r="A6010" s="3"/>
      <c r="B6010" s="4"/>
      <c r="C6010" s="4"/>
      <c r="D6010" s="4"/>
      <c r="E6010" s="4"/>
    </row>
    <row r="6011">
      <c r="A6011" s="5"/>
      <c r="B6011" s="6"/>
      <c r="C6011" s="6"/>
      <c r="D6011" s="6"/>
      <c r="E6011" s="6"/>
    </row>
    <row r="6012">
      <c r="A6012" s="3"/>
      <c r="B6012" s="4"/>
      <c r="C6012" s="4"/>
      <c r="D6012" s="4"/>
      <c r="E6012" s="4"/>
    </row>
    <row r="6013">
      <c r="A6013" s="5"/>
      <c r="B6013" s="6"/>
      <c r="C6013" s="6"/>
      <c r="D6013" s="6"/>
      <c r="E6013" s="6"/>
    </row>
    <row r="6014">
      <c r="A6014" s="3"/>
      <c r="B6014" s="4"/>
      <c r="C6014" s="4"/>
      <c r="D6014" s="4"/>
      <c r="E6014" s="4"/>
    </row>
    <row r="6015">
      <c r="A6015" s="5"/>
      <c r="B6015" s="6"/>
      <c r="C6015" s="6"/>
      <c r="D6015" s="6"/>
      <c r="E6015" s="6"/>
    </row>
    <row r="6016">
      <c r="A6016" s="3"/>
      <c r="B6016" s="4"/>
      <c r="C6016" s="4"/>
      <c r="D6016" s="4"/>
      <c r="E6016" s="4"/>
    </row>
    <row r="6017">
      <c r="A6017" s="5"/>
      <c r="B6017" s="6"/>
      <c r="C6017" s="6"/>
      <c r="D6017" s="6"/>
      <c r="E6017" s="6"/>
    </row>
    <row r="6018">
      <c r="A6018" s="3"/>
      <c r="B6018" s="4"/>
      <c r="C6018" s="4"/>
      <c r="D6018" s="4"/>
      <c r="E6018" s="4"/>
    </row>
    <row r="6019">
      <c r="A6019" s="5"/>
      <c r="B6019" s="6"/>
      <c r="C6019" s="6"/>
      <c r="D6019" s="6"/>
      <c r="E6019" s="6"/>
    </row>
    <row r="6020">
      <c r="A6020" s="3"/>
      <c r="B6020" s="4"/>
      <c r="C6020" s="4"/>
      <c r="D6020" s="4"/>
      <c r="E6020" s="4"/>
    </row>
    <row r="6021">
      <c r="A6021" s="5"/>
      <c r="B6021" s="6"/>
      <c r="C6021" s="6"/>
      <c r="D6021" s="6"/>
      <c r="E6021" s="6"/>
    </row>
    <row r="6022">
      <c r="A6022" s="3"/>
      <c r="B6022" s="4"/>
      <c r="C6022" s="4"/>
      <c r="D6022" s="4"/>
      <c r="E6022" s="4"/>
    </row>
    <row r="6023">
      <c r="A6023" s="5"/>
      <c r="B6023" s="6"/>
      <c r="C6023" s="6"/>
      <c r="D6023" s="6"/>
      <c r="E6023" s="6"/>
    </row>
    <row r="6024">
      <c r="A6024" s="3"/>
      <c r="B6024" s="4"/>
      <c r="C6024" s="4"/>
      <c r="D6024" s="4"/>
      <c r="E6024" s="4"/>
    </row>
    <row r="6025">
      <c r="A6025" s="5"/>
      <c r="B6025" s="6"/>
      <c r="C6025" s="6"/>
      <c r="D6025" s="6"/>
      <c r="E6025" s="6"/>
    </row>
    <row r="6026">
      <c r="A6026" s="3"/>
      <c r="B6026" s="4"/>
      <c r="C6026" s="4"/>
      <c r="D6026" s="4"/>
      <c r="E6026" s="4"/>
    </row>
    <row r="6027">
      <c r="A6027" s="5"/>
      <c r="B6027" s="6"/>
      <c r="C6027" s="6"/>
      <c r="D6027" s="6"/>
      <c r="E6027" s="6"/>
    </row>
    <row r="6028">
      <c r="A6028" s="3"/>
      <c r="B6028" s="4"/>
      <c r="C6028" s="4"/>
      <c r="D6028" s="4"/>
      <c r="E6028" s="4"/>
    </row>
    <row r="6029">
      <c r="A6029" s="5"/>
      <c r="B6029" s="6"/>
      <c r="C6029" s="6"/>
      <c r="D6029" s="6"/>
      <c r="E6029" s="6"/>
    </row>
    <row r="6030">
      <c r="A6030" s="3"/>
      <c r="B6030" s="4"/>
      <c r="C6030" s="4"/>
      <c r="D6030" s="4"/>
      <c r="E6030" s="4"/>
    </row>
    <row r="6031">
      <c r="A6031" s="5"/>
      <c r="B6031" s="6"/>
      <c r="C6031" s="6"/>
      <c r="D6031" s="6"/>
      <c r="E6031" s="6"/>
    </row>
    <row r="6032">
      <c r="A6032" s="3"/>
      <c r="B6032" s="4"/>
      <c r="C6032" s="4"/>
      <c r="D6032" s="4"/>
      <c r="E6032" s="4"/>
    </row>
    <row r="6033">
      <c r="A6033" s="5"/>
      <c r="B6033" s="6"/>
      <c r="C6033" s="6"/>
      <c r="D6033" s="6"/>
      <c r="E6033" s="6"/>
    </row>
    <row r="6034">
      <c r="A6034" s="3"/>
      <c r="B6034" s="4"/>
      <c r="C6034" s="4"/>
      <c r="D6034" s="4"/>
      <c r="E6034" s="4"/>
    </row>
    <row r="6035">
      <c r="A6035" s="5"/>
      <c r="B6035" s="6"/>
      <c r="C6035" s="6"/>
      <c r="D6035" s="6"/>
      <c r="E6035" s="6"/>
    </row>
    <row r="6036">
      <c r="A6036" s="3"/>
      <c r="B6036" s="4"/>
      <c r="C6036" s="4"/>
      <c r="D6036" s="4"/>
      <c r="E6036" s="4"/>
    </row>
    <row r="6037">
      <c r="A6037" s="5"/>
      <c r="B6037" s="6"/>
      <c r="C6037" s="6"/>
      <c r="D6037" s="6"/>
      <c r="E6037" s="6"/>
    </row>
    <row r="6038">
      <c r="A6038" s="3"/>
      <c r="B6038" s="4"/>
      <c r="C6038" s="4"/>
      <c r="D6038" s="4"/>
      <c r="E6038" s="4"/>
    </row>
    <row r="6039">
      <c r="A6039" s="5"/>
      <c r="B6039" s="6"/>
      <c r="C6039" s="6"/>
      <c r="D6039" s="6"/>
      <c r="E6039" s="6"/>
    </row>
    <row r="6040">
      <c r="A6040" s="3"/>
      <c r="B6040" s="4"/>
      <c r="C6040" s="4"/>
      <c r="D6040" s="4"/>
      <c r="E6040" s="4"/>
    </row>
    <row r="6041">
      <c r="A6041" s="5"/>
      <c r="B6041" s="6"/>
      <c r="C6041" s="6"/>
      <c r="D6041" s="6"/>
      <c r="E6041" s="6"/>
    </row>
    <row r="6042">
      <c r="A6042" s="3"/>
      <c r="B6042" s="4"/>
      <c r="C6042" s="4"/>
      <c r="D6042" s="4"/>
      <c r="E6042" s="4"/>
    </row>
    <row r="6043">
      <c r="A6043" s="5"/>
      <c r="B6043" s="6"/>
      <c r="C6043" s="6"/>
      <c r="D6043" s="6"/>
      <c r="E6043" s="6"/>
    </row>
    <row r="6044">
      <c r="A6044" s="3"/>
      <c r="B6044" s="4"/>
      <c r="C6044" s="4"/>
      <c r="D6044" s="4"/>
      <c r="E6044" s="4"/>
    </row>
    <row r="6045">
      <c r="A6045" s="5"/>
      <c r="B6045" s="6"/>
      <c r="C6045" s="6"/>
      <c r="D6045" s="6"/>
      <c r="E6045" s="6"/>
    </row>
    <row r="6046">
      <c r="A6046" s="3"/>
      <c r="B6046" s="4"/>
      <c r="C6046" s="4"/>
      <c r="D6046" s="4"/>
      <c r="E6046" s="4"/>
    </row>
    <row r="6047">
      <c r="A6047" s="5"/>
      <c r="B6047" s="6"/>
      <c r="C6047" s="6"/>
      <c r="D6047" s="6"/>
      <c r="E6047" s="6"/>
    </row>
    <row r="6048">
      <c r="A6048" s="3"/>
      <c r="B6048" s="4"/>
      <c r="C6048" s="4"/>
      <c r="D6048" s="4"/>
      <c r="E6048" s="4"/>
    </row>
    <row r="6049">
      <c r="A6049" s="5"/>
      <c r="B6049" s="6"/>
      <c r="C6049" s="6"/>
      <c r="D6049" s="6"/>
      <c r="E6049" s="6"/>
    </row>
    <row r="6050">
      <c r="A6050" s="3"/>
      <c r="B6050" s="4"/>
      <c r="C6050" s="4"/>
      <c r="D6050" s="4"/>
      <c r="E6050" s="4"/>
    </row>
    <row r="6051">
      <c r="A6051" s="5"/>
      <c r="B6051" s="6"/>
      <c r="C6051" s="6"/>
      <c r="D6051" s="6"/>
      <c r="E6051" s="6"/>
    </row>
    <row r="6052">
      <c r="A6052" s="3"/>
      <c r="B6052" s="4"/>
      <c r="C6052" s="4"/>
      <c r="D6052" s="4"/>
      <c r="E6052" s="4"/>
    </row>
    <row r="6053">
      <c r="A6053" s="5"/>
      <c r="B6053" s="6"/>
      <c r="C6053" s="6"/>
      <c r="D6053" s="6"/>
      <c r="E6053" s="6"/>
    </row>
    <row r="6054">
      <c r="A6054" s="3"/>
      <c r="B6054" s="4"/>
      <c r="C6054" s="4"/>
      <c r="D6054" s="4"/>
      <c r="E6054" s="4"/>
    </row>
    <row r="6055">
      <c r="A6055" s="5"/>
      <c r="B6055" s="6"/>
      <c r="C6055" s="6"/>
      <c r="D6055" s="6"/>
      <c r="E6055" s="6"/>
    </row>
    <row r="6056">
      <c r="A6056" s="3"/>
      <c r="B6056" s="4"/>
      <c r="C6056" s="4"/>
      <c r="D6056" s="4"/>
      <c r="E6056" s="4"/>
    </row>
    <row r="6057">
      <c r="A6057" s="5"/>
      <c r="B6057" s="6"/>
      <c r="C6057" s="6"/>
      <c r="D6057" s="6"/>
      <c r="E6057" s="6"/>
    </row>
    <row r="6058">
      <c r="A6058" s="3"/>
      <c r="B6058" s="4"/>
      <c r="C6058" s="4"/>
      <c r="D6058" s="4"/>
      <c r="E6058" s="4"/>
    </row>
    <row r="6059">
      <c r="A6059" s="5"/>
      <c r="B6059" s="6"/>
      <c r="C6059" s="6"/>
      <c r="D6059" s="6"/>
      <c r="E6059" s="6"/>
    </row>
    <row r="6060">
      <c r="A6060" s="3"/>
      <c r="B6060" s="4"/>
      <c r="C6060" s="4"/>
      <c r="D6060" s="4"/>
      <c r="E6060" s="4"/>
    </row>
    <row r="6061">
      <c r="A6061" s="5"/>
      <c r="B6061" s="6"/>
      <c r="C6061" s="6"/>
      <c r="D6061" s="6"/>
      <c r="E6061" s="6"/>
    </row>
    <row r="6062">
      <c r="A6062" s="3"/>
      <c r="B6062" s="4"/>
      <c r="C6062" s="4"/>
      <c r="D6062" s="4"/>
      <c r="E6062" s="4"/>
    </row>
    <row r="6063">
      <c r="A6063" s="5"/>
      <c r="B6063" s="6"/>
      <c r="C6063" s="6"/>
      <c r="D6063" s="6"/>
      <c r="E6063" s="6"/>
    </row>
    <row r="6064">
      <c r="A6064" s="3"/>
      <c r="B6064" s="4"/>
      <c r="C6064" s="4"/>
      <c r="D6064" s="4"/>
      <c r="E6064" s="4"/>
    </row>
    <row r="6065">
      <c r="A6065" s="5"/>
      <c r="B6065" s="6"/>
      <c r="C6065" s="6"/>
      <c r="D6065" s="6"/>
      <c r="E6065" s="6"/>
    </row>
    <row r="6066">
      <c r="A6066" s="3"/>
      <c r="B6066" s="4"/>
      <c r="C6066" s="4"/>
      <c r="D6066" s="4"/>
      <c r="E6066" s="4"/>
    </row>
    <row r="6067">
      <c r="A6067" s="5"/>
      <c r="B6067" s="6"/>
      <c r="C6067" s="6"/>
      <c r="D6067" s="6"/>
      <c r="E6067" s="6"/>
    </row>
    <row r="6068">
      <c r="A6068" s="3"/>
      <c r="B6068" s="4"/>
      <c r="C6068" s="4"/>
      <c r="D6068" s="4"/>
      <c r="E6068" s="4"/>
    </row>
    <row r="6069">
      <c r="A6069" s="5"/>
      <c r="B6069" s="6"/>
      <c r="C6069" s="6"/>
      <c r="D6069" s="6"/>
      <c r="E6069" s="6"/>
    </row>
    <row r="6070">
      <c r="A6070" s="3"/>
      <c r="B6070" s="4"/>
      <c r="C6070" s="4"/>
      <c r="D6070" s="4"/>
      <c r="E6070" s="4"/>
    </row>
    <row r="6071">
      <c r="A6071" s="5"/>
      <c r="B6071" s="6"/>
      <c r="C6071" s="6"/>
      <c r="D6071" s="6"/>
      <c r="E6071" s="6"/>
    </row>
    <row r="6072">
      <c r="A6072" s="3"/>
      <c r="B6072" s="4"/>
      <c r="C6072" s="4"/>
      <c r="D6072" s="4"/>
      <c r="E6072" s="4"/>
    </row>
    <row r="6073">
      <c r="A6073" s="5"/>
      <c r="B6073" s="6"/>
      <c r="C6073" s="6"/>
      <c r="D6073" s="6"/>
      <c r="E6073" s="6"/>
    </row>
    <row r="6074">
      <c r="A6074" s="3"/>
      <c r="B6074" s="4"/>
      <c r="C6074" s="4"/>
      <c r="D6074" s="4"/>
      <c r="E6074" s="4"/>
    </row>
    <row r="6075">
      <c r="A6075" s="5"/>
      <c r="B6075" s="6"/>
      <c r="C6075" s="6"/>
      <c r="D6075" s="6"/>
      <c r="E6075" s="6"/>
    </row>
    <row r="6076">
      <c r="A6076" s="3"/>
      <c r="B6076" s="4"/>
      <c r="C6076" s="4"/>
      <c r="D6076" s="4"/>
      <c r="E6076" s="4"/>
    </row>
    <row r="6077">
      <c r="A6077" s="5"/>
      <c r="B6077" s="6"/>
      <c r="C6077" s="6"/>
      <c r="D6077" s="6"/>
      <c r="E6077" s="6"/>
    </row>
    <row r="6078">
      <c r="A6078" s="3"/>
      <c r="B6078" s="4"/>
      <c r="C6078" s="4"/>
      <c r="D6078" s="4"/>
      <c r="E6078" s="4"/>
    </row>
    <row r="6079">
      <c r="A6079" s="5"/>
      <c r="B6079" s="6"/>
      <c r="C6079" s="6"/>
      <c r="D6079" s="6"/>
      <c r="E6079" s="6"/>
    </row>
    <row r="6080">
      <c r="A6080" s="3"/>
      <c r="B6080" s="4"/>
      <c r="C6080" s="4"/>
      <c r="D6080" s="4"/>
      <c r="E6080" s="4"/>
    </row>
    <row r="6081">
      <c r="A6081" s="5"/>
      <c r="B6081" s="6"/>
      <c r="C6081" s="6"/>
      <c r="D6081" s="6"/>
      <c r="E6081" s="6"/>
    </row>
    <row r="6082">
      <c r="A6082" s="3"/>
      <c r="B6082" s="4"/>
      <c r="C6082" s="4"/>
      <c r="D6082" s="4"/>
      <c r="E6082" s="4"/>
    </row>
    <row r="6083">
      <c r="A6083" s="5"/>
      <c r="B6083" s="6"/>
      <c r="C6083" s="6"/>
      <c r="D6083" s="6"/>
      <c r="E6083" s="6"/>
    </row>
    <row r="6084">
      <c r="A6084" s="3"/>
      <c r="B6084" s="4"/>
      <c r="C6084" s="4"/>
      <c r="D6084" s="4"/>
      <c r="E6084" s="4"/>
    </row>
    <row r="6085">
      <c r="A6085" s="5"/>
      <c r="B6085" s="6"/>
      <c r="C6085" s="6"/>
      <c r="D6085" s="6"/>
      <c r="E6085" s="6"/>
    </row>
    <row r="6086">
      <c r="A6086" s="3"/>
      <c r="B6086" s="4"/>
      <c r="C6086" s="4"/>
      <c r="D6086" s="4"/>
      <c r="E6086" s="4"/>
    </row>
    <row r="6087">
      <c r="A6087" s="5"/>
      <c r="B6087" s="6"/>
      <c r="C6087" s="6"/>
      <c r="D6087" s="6"/>
      <c r="E6087" s="6"/>
    </row>
    <row r="6088">
      <c r="A6088" s="3"/>
      <c r="B6088" s="4"/>
      <c r="C6088" s="4"/>
      <c r="D6088" s="4"/>
      <c r="E6088" s="4"/>
    </row>
    <row r="6089">
      <c r="A6089" s="5"/>
      <c r="B6089" s="6"/>
      <c r="C6089" s="6"/>
      <c r="D6089" s="6"/>
      <c r="E6089" s="6"/>
    </row>
    <row r="6090">
      <c r="A6090" s="3"/>
      <c r="B6090" s="4"/>
      <c r="C6090" s="4"/>
      <c r="D6090" s="4"/>
      <c r="E6090" s="4"/>
    </row>
    <row r="6091">
      <c r="A6091" s="5"/>
      <c r="B6091" s="6"/>
      <c r="C6091" s="6"/>
      <c r="D6091" s="6"/>
      <c r="E6091" s="6"/>
    </row>
    <row r="6092">
      <c r="A6092" s="3"/>
      <c r="B6092" s="4"/>
      <c r="C6092" s="4"/>
      <c r="D6092" s="4"/>
      <c r="E6092" s="4"/>
    </row>
    <row r="6093">
      <c r="A6093" s="5"/>
      <c r="B6093" s="6"/>
      <c r="C6093" s="6"/>
      <c r="D6093" s="6"/>
      <c r="E6093" s="6"/>
    </row>
    <row r="6094">
      <c r="A6094" s="3"/>
      <c r="B6094" s="4"/>
      <c r="C6094" s="4"/>
      <c r="D6094" s="4"/>
      <c r="E6094" s="4"/>
    </row>
    <row r="6095">
      <c r="A6095" s="5"/>
      <c r="B6095" s="6"/>
      <c r="C6095" s="6"/>
      <c r="D6095" s="6"/>
      <c r="E6095" s="6"/>
    </row>
    <row r="6096">
      <c r="A6096" s="3"/>
      <c r="B6096" s="4"/>
      <c r="C6096" s="4"/>
      <c r="D6096" s="4"/>
      <c r="E6096" s="4"/>
    </row>
    <row r="6097">
      <c r="A6097" s="5"/>
      <c r="B6097" s="6"/>
      <c r="C6097" s="6"/>
      <c r="D6097" s="6"/>
      <c r="E6097" s="6"/>
    </row>
    <row r="6098">
      <c r="A6098" s="3"/>
      <c r="B6098" s="4"/>
      <c r="C6098" s="4"/>
      <c r="D6098" s="4"/>
      <c r="E6098" s="4"/>
    </row>
    <row r="6099">
      <c r="A6099" s="5"/>
      <c r="B6099" s="6"/>
      <c r="C6099" s="6"/>
      <c r="D6099" s="6"/>
      <c r="E6099" s="6"/>
    </row>
    <row r="6100">
      <c r="A6100" s="3"/>
      <c r="B6100" s="4"/>
      <c r="C6100" s="4"/>
      <c r="D6100" s="4"/>
      <c r="E6100" s="4"/>
    </row>
    <row r="6101">
      <c r="A6101" s="5"/>
      <c r="B6101" s="6"/>
      <c r="C6101" s="6"/>
      <c r="D6101" s="6"/>
      <c r="E6101" s="6"/>
    </row>
    <row r="6102">
      <c r="A6102" s="3"/>
      <c r="B6102" s="4"/>
      <c r="C6102" s="4"/>
      <c r="D6102" s="4"/>
      <c r="E6102" s="4"/>
    </row>
    <row r="6103">
      <c r="A6103" s="5"/>
      <c r="B6103" s="6"/>
      <c r="C6103" s="6"/>
      <c r="D6103" s="6"/>
      <c r="E6103" s="6"/>
    </row>
    <row r="6104">
      <c r="A6104" s="3"/>
      <c r="B6104" s="4"/>
      <c r="C6104" s="4"/>
      <c r="D6104" s="4"/>
      <c r="E6104" s="4"/>
    </row>
    <row r="6105">
      <c r="A6105" s="5"/>
      <c r="B6105" s="6"/>
      <c r="C6105" s="6"/>
      <c r="D6105" s="6"/>
      <c r="E6105" s="6"/>
    </row>
    <row r="6106">
      <c r="A6106" s="3"/>
      <c r="B6106" s="4"/>
      <c r="C6106" s="4"/>
      <c r="D6106" s="4"/>
      <c r="E6106" s="4"/>
    </row>
    <row r="6107">
      <c r="A6107" s="5"/>
      <c r="B6107" s="6"/>
      <c r="C6107" s="6"/>
      <c r="D6107" s="6"/>
      <c r="E6107" s="6"/>
    </row>
    <row r="6108">
      <c r="A6108" s="3"/>
      <c r="B6108" s="4"/>
      <c r="C6108" s="4"/>
      <c r="D6108" s="4"/>
      <c r="E6108" s="4"/>
    </row>
    <row r="6109">
      <c r="A6109" s="5"/>
      <c r="B6109" s="6"/>
      <c r="C6109" s="6"/>
      <c r="D6109" s="6"/>
      <c r="E6109" s="6"/>
    </row>
    <row r="6110">
      <c r="A6110" s="3"/>
      <c r="B6110" s="4"/>
      <c r="C6110" s="4"/>
      <c r="D6110" s="4"/>
      <c r="E6110" s="4"/>
    </row>
    <row r="6111">
      <c r="A6111" s="5"/>
      <c r="B6111" s="6"/>
      <c r="C6111" s="6"/>
      <c r="D6111" s="6"/>
      <c r="E6111" s="6"/>
    </row>
    <row r="6112">
      <c r="A6112" s="3"/>
      <c r="B6112" s="4"/>
      <c r="C6112" s="4"/>
      <c r="D6112" s="4"/>
      <c r="E6112" s="4"/>
    </row>
    <row r="6113">
      <c r="A6113" s="5"/>
      <c r="B6113" s="6"/>
      <c r="C6113" s="6"/>
      <c r="D6113" s="6"/>
      <c r="E6113" s="6"/>
    </row>
    <row r="6114">
      <c r="A6114" s="3"/>
      <c r="B6114" s="4"/>
      <c r="C6114" s="4"/>
      <c r="D6114" s="4"/>
      <c r="E6114" s="4"/>
    </row>
    <row r="6115">
      <c r="A6115" s="5"/>
      <c r="B6115" s="6"/>
      <c r="C6115" s="6"/>
      <c r="D6115" s="6"/>
      <c r="E6115" s="6"/>
    </row>
    <row r="6116">
      <c r="A6116" s="3"/>
      <c r="B6116" s="4"/>
      <c r="C6116" s="4"/>
      <c r="D6116" s="4"/>
      <c r="E6116" s="4"/>
    </row>
    <row r="6117">
      <c r="A6117" s="5"/>
      <c r="B6117" s="6"/>
      <c r="C6117" s="6"/>
      <c r="D6117" s="6"/>
      <c r="E6117" s="6"/>
    </row>
    <row r="6118">
      <c r="A6118" s="3"/>
      <c r="B6118" s="4"/>
      <c r="C6118" s="4"/>
      <c r="D6118" s="4"/>
      <c r="E6118" s="4"/>
    </row>
    <row r="6119">
      <c r="A6119" s="5"/>
      <c r="B6119" s="6"/>
      <c r="C6119" s="6"/>
      <c r="D6119" s="6"/>
      <c r="E6119" s="6"/>
    </row>
    <row r="6120">
      <c r="A6120" s="3"/>
      <c r="B6120" s="4"/>
      <c r="C6120" s="4"/>
      <c r="D6120" s="4"/>
      <c r="E6120" s="4"/>
    </row>
    <row r="6121">
      <c r="A6121" s="5"/>
      <c r="B6121" s="6"/>
      <c r="C6121" s="6"/>
      <c r="D6121" s="6"/>
      <c r="E6121" s="6"/>
    </row>
    <row r="6122">
      <c r="A6122" s="3"/>
      <c r="B6122" s="4"/>
      <c r="C6122" s="4"/>
      <c r="D6122" s="4"/>
      <c r="E6122" s="4"/>
    </row>
    <row r="6123">
      <c r="A6123" s="5"/>
      <c r="B6123" s="6"/>
      <c r="C6123" s="6"/>
      <c r="D6123" s="6"/>
      <c r="E6123" s="6"/>
    </row>
    <row r="6124">
      <c r="A6124" s="3"/>
      <c r="B6124" s="4"/>
      <c r="C6124" s="4"/>
      <c r="D6124" s="4"/>
      <c r="E6124" s="4"/>
    </row>
    <row r="6125">
      <c r="A6125" s="5"/>
      <c r="B6125" s="6"/>
      <c r="C6125" s="6"/>
      <c r="D6125" s="6"/>
      <c r="E6125" s="6"/>
    </row>
    <row r="6126">
      <c r="A6126" s="3"/>
      <c r="B6126" s="4"/>
      <c r="C6126" s="4"/>
      <c r="D6126" s="4"/>
      <c r="E6126" s="4"/>
    </row>
    <row r="6127">
      <c r="A6127" s="5"/>
      <c r="B6127" s="6"/>
      <c r="C6127" s="6"/>
      <c r="D6127" s="6"/>
      <c r="E6127" s="6"/>
    </row>
    <row r="6128">
      <c r="A6128" s="3"/>
      <c r="B6128" s="4"/>
      <c r="C6128" s="4"/>
      <c r="D6128" s="4"/>
      <c r="E6128" s="4"/>
    </row>
    <row r="6129">
      <c r="A6129" s="5"/>
      <c r="B6129" s="6"/>
      <c r="C6129" s="6"/>
      <c r="D6129" s="6"/>
      <c r="E6129" s="6"/>
    </row>
    <row r="6130">
      <c r="A6130" s="3"/>
      <c r="B6130" s="4"/>
      <c r="C6130" s="4"/>
      <c r="D6130" s="4"/>
      <c r="E6130" s="4"/>
    </row>
    <row r="6131">
      <c r="A6131" s="5"/>
      <c r="B6131" s="6"/>
      <c r="C6131" s="6"/>
      <c r="D6131" s="6"/>
      <c r="E6131" s="6"/>
    </row>
    <row r="6132">
      <c r="A6132" s="3"/>
      <c r="B6132" s="4"/>
      <c r="C6132" s="4"/>
      <c r="D6132" s="4"/>
      <c r="E6132" s="4"/>
    </row>
    <row r="6133">
      <c r="A6133" s="5"/>
      <c r="B6133" s="6"/>
      <c r="C6133" s="6"/>
      <c r="D6133" s="6"/>
      <c r="E6133" s="6"/>
    </row>
    <row r="6134">
      <c r="A6134" s="3"/>
      <c r="B6134" s="4"/>
      <c r="C6134" s="4"/>
      <c r="D6134" s="4"/>
      <c r="E6134" s="4"/>
    </row>
    <row r="6135">
      <c r="A6135" s="5"/>
      <c r="B6135" s="6"/>
      <c r="C6135" s="6"/>
      <c r="D6135" s="6"/>
      <c r="E6135" s="6"/>
    </row>
    <row r="6136">
      <c r="A6136" s="3"/>
      <c r="B6136" s="4"/>
      <c r="C6136" s="4"/>
      <c r="D6136" s="4"/>
      <c r="E6136" s="4"/>
    </row>
    <row r="6137">
      <c r="A6137" s="5"/>
      <c r="B6137" s="6"/>
      <c r="C6137" s="6"/>
      <c r="D6137" s="6"/>
      <c r="E6137" s="6"/>
    </row>
    <row r="6138">
      <c r="A6138" s="3"/>
      <c r="B6138" s="4"/>
      <c r="C6138" s="4"/>
      <c r="D6138" s="4"/>
      <c r="E6138" s="4"/>
    </row>
    <row r="6139">
      <c r="A6139" s="5"/>
      <c r="B6139" s="6"/>
      <c r="C6139" s="6"/>
      <c r="D6139" s="6"/>
      <c r="E6139" s="6"/>
    </row>
    <row r="6140">
      <c r="A6140" s="3"/>
      <c r="B6140" s="4"/>
      <c r="C6140" s="4"/>
      <c r="D6140" s="4"/>
      <c r="E6140" s="4"/>
    </row>
    <row r="6141">
      <c r="A6141" s="5"/>
      <c r="B6141" s="6"/>
      <c r="C6141" s="6"/>
      <c r="D6141" s="6"/>
      <c r="E6141" s="6"/>
    </row>
    <row r="6142">
      <c r="A6142" s="3"/>
      <c r="B6142" s="4"/>
      <c r="C6142" s="4"/>
      <c r="D6142" s="4"/>
      <c r="E6142" s="4"/>
    </row>
    <row r="6143">
      <c r="A6143" s="5"/>
      <c r="B6143" s="6"/>
      <c r="C6143" s="6"/>
      <c r="D6143" s="6"/>
      <c r="E6143" s="6"/>
    </row>
    <row r="6144">
      <c r="A6144" s="3"/>
      <c r="B6144" s="4"/>
      <c r="C6144" s="4"/>
      <c r="D6144" s="4"/>
      <c r="E6144" s="4"/>
    </row>
    <row r="6145">
      <c r="A6145" s="5"/>
      <c r="B6145" s="6"/>
      <c r="C6145" s="6"/>
      <c r="D6145" s="6"/>
      <c r="E6145" s="6"/>
    </row>
    <row r="6146">
      <c r="A6146" s="3"/>
      <c r="B6146" s="4"/>
      <c r="C6146" s="4"/>
      <c r="D6146" s="4"/>
      <c r="E6146" s="4"/>
    </row>
    <row r="6147">
      <c r="A6147" s="5"/>
      <c r="B6147" s="6"/>
      <c r="C6147" s="6"/>
      <c r="D6147" s="6"/>
      <c r="E6147" s="6"/>
    </row>
    <row r="6148">
      <c r="A6148" s="3"/>
      <c r="B6148" s="4"/>
      <c r="C6148" s="4"/>
      <c r="D6148" s="4"/>
      <c r="E6148" s="4"/>
    </row>
    <row r="6149">
      <c r="A6149" s="5"/>
      <c r="B6149" s="6"/>
      <c r="C6149" s="6"/>
      <c r="D6149" s="6"/>
      <c r="E6149" s="6"/>
    </row>
    <row r="6150">
      <c r="A6150" s="3"/>
      <c r="B6150" s="4"/>
      <c r="C6150" s="4"/>
      <c r="D6150" s="4"/>
      <c r="E6150" s="4"/>
    </row>
    <row r="6151">
      <c r="A6151" s="5"/>
      <c r="B6151" s="6"/>
      <c r="C6151" s="6"/>
      <c r="D6151" s="6"/>
      <c r="E6151" s="6"/>
    </row>
    <row r="6152">
      <c r="A6152" s="3"/>
      <c r="B6152" s="4"/>
      <c r="C6152" s="4"/>
      <c r="D6152" s="4"/>
      <c r="E6152" s="4"/>
    </row>
    <row r="6153">
      <c r="A6153" s="5"/>
      <c r="B6153" s="6"/>
      <c r="C6153" s="6"/>
      <c r="D6153" s="6"/>
      <c r="E6153" s="6"/>
    </row>
    <row r="6154">
      <c r="A6154" s="3"/>
      <c r="B6154" s="4"/>
      <c r="C6154" s="4"/>
      <c r="D6154" s="4"/>
      <c r="E6154" s="4"/>
    </row>
    <row r="6155">
      <c r="A6155" s="5"/>
      <c r="B6155" s="6"/>
      <c r="C6155" s="6"/>
      <c r="D6155" s="6"/>
      <c r="E6155" s="6"/>
    </row>
    <row r="6156">
      <c r="A6156" s="3"/>
      <c r="B6156" s="4"/>
      <c r="C6156" s="4"/>
      <c r="D6156" s="4"/>
      <c r="E6156" s="4"/>
    </row>
    <row r="6157">
      <c r="A6157" s="5"/>
      <c r="B6157" s="6"/>
      <c r="C6157" s="6"/>
      <c r="D6157" s="6"/>
      <c r="E6157" s="6"/>
    </row>
    <row r="6158">
      <c r="A6158" s="3"/>
      <c r="B6158" s="4"/>
      <c r="C6158" s="4"/>
      <c r="D6158" s="4"/>
      <c r="E6158" s="4"/>
    </row>
    <row r="6159">
      <c r="A6159" s="5"/>
      <c r="B6159" s="6"/>
      <c r="C6159" s="6"/>
      <c r="D6159" s="6"/>
      <c r="E6159" s="6"/>
    </row>
    <row r="6160">
      <c r="A6160" s="3"/>
      <c r="B6160" s="4"/>
      <c r="C6160" s="4"/>
      <c r="D6160" s="4"/>
      <c r="E6160" s="4"/>
    </row>
    <row r="6161">
      <c r="A6161" s="5"/>
      <c r="B6161" s="6"/>
      <c r="C6161" s="6"/>
      <c r="D6161" s="6"/>
      <c r="E6161" s="6"/>
    </row>
    <row r="6162">
      <c r="A6162" s="3"/>
      <c r="B6162" s="4"/>
      <c r="C6162" s="4"/>
      <c r="D6162" s="4"/>
      <c r="E6162" s="4"/>
    </row>
    <row r="6163">
      <c r="A6163" s="5"/>
      <c r="B6163" s="6"/>
      <c r="C6163" s="6"/>
      <c r="D6163" s="6"/>
      <c r="E6163" s="6"/>
    </row>
    <row r="6164">
      <c r="A6164" s="3"/>
      <c r="B6164" s="4"/>
      <c r="C6164" s="4"/>
      <c r="D6164" s="4"/>
      <c r="E6164" s="4"/>
    </row>
    <row r="6165">
      <c r="A6165" s="5"/>
      <c r="B6165" s="6"/>
      <c r="C6165" s="6"/>
      <c r="D6165" s="6"/>
      <c r="E6165" s="6"/>
    </row>
    <row r="6166">
      <c r="A6166" s="3"/>
      <c r="B6166" s="4"/>
      <c r="C6166" s="4"/>
      <c r="D6166" s="4"/>
      <c r="E6166" s="4"/>
    </row>
    <row r="6167">
      <c r="A6167" s="5"/>
      <c r="B6167" s="6"/>
      <c r="C6167" s="6"/>
      <c r="D6167" s="6"/>
      <c r="E6167" s="6"/>
    </row>
    <row r="6168">
      <c r="A6168" s="3"/>
      <c r="B6168" s="4"/>
      <c r="C6168" s="4"/>
      <c r="D6168" s="4"/>
      <c r="E6168" s="4"/>
    </row>
    <row r="6169">
      <c r="A6169" s="5"/>
      <c r="B6169" s="6"/>
      <c r="C6169" s="6"/>
      <c r="D6169" s="6"/>
      <c r="E6169" s="6"/>
    </row>
    <row r="6170">
      <c r="A6170" s="3"/>
      <c r="B6170" s="4"/>
      <c r="C6170" s="4"/>
      <c r="D6170" s="4"/>
      <c r="E6170" s="4"/>
    </row>
    <row r="6171">
      <c r="A6171" s="5"/>
      <c r="B6171" s="6"/>
      <c r="C6171" s="6"/>
      <c r="D6171" s="6"/>
      <c r="E6171" s="6"/>
    </row>
    <row r="6172">
      <c r="A6172" s="3"/>
      <c r="B6172" s="4"/>
      <c r="C6172" s="4"/>
      <c r="D6172" s="4"/>
      <c r="E6172" s="4"/>
    </row>
    <row r="6173">
      <c r="A6173" s="5"/>
      <c r="B6173" s="6"/>
      <c r="C6173" s="6"/>
      <c r="D6173" s="6"/>
      <c r="E6173" s="6"/>
    </row>
    <row r="6174">
      <c r="A6174" s="3"/>
      <c r="B6174" s="4"/>
      <c r="C6174" s="4"/>
      <c r="D6174" s="4"/>
      <c r="E6174" s="4"/>
    </row>
    <row r="6175">
      <c r="A6175" s="5"/>
      <c r="B6175" s="6"/>
      <c r="C6175" s="6"/>
      <c r="D6175" s="6"/>
      <c r="E6175" s="6"/>
    </row>
    <row r="6176">
      <c r="A6176" s="3"/>
      <c r="B6176" s="4"/>
      <c r="C6176" s="4"/>
      <c r="D6176" s="4"/>
      <c r="E6176" s="4"/>
    </row>
    <row r="6177">
      <c r="A6177" s="5"/>
      <c r="B6177" s="6"/>
      <c r="C6177" s="6"/>
      <c r="D6177" s="6"/>
      <c r="E6177" s="6"/>
    </row>
    <row r="6178">
      <c r="A6178" s="3"/>
      <c r="B6178" s="4"/>
      <c r="C6178" s="4"/>
      <c r="D6178" s="4"/>
      <c r="E6178" s="4"/>
    </row>
    <row r="6179">
      <c r="A6179" s="5"/>
      <c r="B6179" s="6"/>
      <c r="C6179" s="6"/>
      <c r="D6179" s="6"/>
      <c r="E6179" s="6"/>
    </row>
    <row r="6180">
      <c r="A6180" s="3"/>
      <c r="B6180" s="4"/>
      <c r="C6180" s="4"/>
      <c r="D6180" s="4"/>
      <c r="E6180" s="4"/>
    </row>
    <row r="6181">
      <c r="A6181" s="5"/>
      <c r="B6181" s="6"/>
      <c r="C6181" s="6"/>
      <c r="D6181" s="6"/>
      <c r="E6181" s="6"/>
    </row>
    <row r="6182">
      <c r="A6182" s="3"/>
      <c r="B6182" s="4"/>
      <c r="C6182" s="4"/>
      <c r="D6182" s="4"/>
      <c r="E6182" s="4"/>
    </row>
    <row r="6183">
      <c r="A6183" s="5"/>
      <c r="B6183" s="6"/>
      <c r="C6183" s="6"/>
      <c r="D6183" s="6"/>
      <c r="E6183" s="6"/>
    </row>
    <row r="6184">
      <c r="A6184" s="3"/>
      <c r="B6184" s="4"/>
      <c r="C6184" s="4"/>
      <c r="D6184" s="4"/>
      <c r="E6184" s="4"/>
    </row>
    <row r="6185">
      <c r="A6185" s="5"/>
      <c r="B6185" s="6"/>
      <c r="C6185" s="6"/>
      <c r="D6185" s="6"/>
      <c r="E6185" s="6"/>
    </row>
    <row r="6186">
      <c r="A6186" s="3"/>
      <c r="B6186" s="4"/>
      <c r="C6186" s="4"/>
      <c r="D6186" s="4"/>
      <c r="E6186" s="4"/>
    </row>
    <row r="6187">
      <c r="A6187" s="5"/>
      <c r="B6187" s="6"/>
      <c r="C6187" s="6"/>
      <c r="D6187" s="6"/>
      <c r="E6187" s="6"/>
    </row>
    <row r="6188">
      <c r="A6188" s="3"/>
      <c r="B6188" s="4"/>
      <c r="C6188" s="4"/>
      <c r="D6188" s="4"/>
      <c r="E6188" s="4"/>
    </row>
    <row r="6189">
      <c r="A6189" s="5"/>
      <c r="B6189" s="6"/>
      <c r="C6189" s="6"/>
      <c r="D6189" s="6"/>
      <c r="E6189" s="6"/>
    </row>
    <row r="6190">
      <c r="A6190" s="3"/>
      <c r="B6190" s="4"/>
      <c r="C6190" s="4"/>
      <c r="D6190" s="4"/>
      <c r="E6190" s="4"/>
    </row>
    <row r="6191">
      <c r="A6191" s="5"/>
      <c r="B6191" s="6"/>
      <c r="C6191" s="6"/>
      <c r="D6191" s="6"/>
      <c r="E6191" s="6"/>
    </row>
    <row r="6192">
      <c r="A6192" s="3"/>
      <c r="B6192" s="4"/>
      <c r="C6192" s="4"/>
      <c r="D6192" s="4"/>
      <c r="E6192" s="4"/>
    </row>
    <row r="6193">
      <c r="A6193" s="5"/>
      <c r="B6193" s="6"/>
      <c r="C6193" s="6"/>
      <c r="D6193" s="6"/>
      <c r="E6193" s="6"/>
    </row>
    <row r="6194">
      <c r="A6194" s="3"/>
      <c r="B6194" s="4"/>
      <c r="C6194" s="4"/>
      <c r="D6194" s="4"/>
      <c r="E6194" s="4"/>
    </row>
    <row r="6195">
      <c r="A6195" s="5"/>
      <c r="B6195" s="6"/>
      <c r="C6195" s="6"/>
      <c r="D6195" s="6"/>
      <c r="E6195" s="6"/>
    </row>
    <row r="6196">
      <c r="A6196" s="3"/>
      <c r="B6196" s="4"/>
      <c r="C6196" s="4"/>
      <c r="D6196" s="4"/>
      <c r="E6196" s="4"/>
    </row>
    <row r="6197">
      <c r="A6197" s="5"/>
      <c r="B6197" s="6"/>
      <c r="C6197" s="6"/>
      <c r="D6197" s="6"/>
      <c r="E6197" s="6"/>
    </row>
    <row r="6198">
      <c r="A6198" s="3"/>
      <c r="B6198" s="4"/>
      <c r="C6198" s="4"/>
      <c r="D6198" s="4"/>
      <c r="E6198" s="4"/>
    </row>
    <row r="6199">
      <c r="A6199" s="5"/>
      <c r="B6199" s="6"/>
      <c r="C6199" s="6"/>
      <c r="D6199" s="6"/>
      <c r="E6199" s="6"/>
    </row>
    <row r="6200">
      <c r="A6200" s="3"/>
      <c r="B6200" s="4"/>
      <c r="C6200" s="4"/>
      <c r="D6200" s="4"/>
      <c r="E6200" s="4"/>
    </row>
    <row r="6201">
      <c r="A6201" s="5"/>
      <c r="B6201" s="6"/>
      <c r="C6201" s="6"/>
      <c r="D6201" s="6"/>
      <c r="E6201" s="6"/>
    </row>
    <row r="6202">
      <c r="A6202" s="3"/>
      <c r="B6202" s="4"/>
      <c r="C6202" s="4"/>
      <c r="D6202" s="4"/>
      <c r="E6202" s="4"/>
    </row>
    <row r="6203">
      <c r="A6203" s="5"/>
      <c r="B6203" s="6"/>
      <c r="C6203" s="6"/>
      <c r="D6203" s="6"/>
      <c r="E6203" s="6"/>
    </row>
    <row r="6204">
      <c r="A6204" s="3"/>
      <c r="B6204" s="4"/>
      <c r="C6204" s="4"/>
      <c r="D6204" s="4"/>
      <c r="E6204" s="4"/>
    </row>
    <row r="6205">
      <c r="A6205" s="5"/>
      <c r="B6205" s="6"/>
      <c r="C6205" s="6"/>
      <c r="D6205" s="6"/>
      <c r="E6205" s="6"/>
    </row>
    <row r="6206">
      <c r="A6206" s="3"/>
      <c r="B6206" s="4"/>
      <c r="C6206" s="4"/>
      <c r="D6206" s="4"/>
      <c r="E6206" s="4"/>
    </row>
    <row r="6207">
      <c r="A6207" s="5"/>
      <c r="B6207" s="6"/>
      <c r="C6207" s="6"/>
      <c r="D6207" s="6"/>
      <c r="E6207" s="6"/>
    </row>
    <row r="6208">
      <c r="A6208" s="3"/>
      <c r="B6208" s="4"/>
      <c r="C6208" s="4"/>
      <c r="D6208" s="4"/>
      <c r="E6208" s="4"/>
    </row>
    <row r="6209">
      <c r="A6209" s="5"/>
      <c r="B6209" s="6"/>
      <c r="C6209" s="6"/>
      <c r="D6209" s="6"/>
      <c r="E6209" s="6"/>
    </row>
    <row r="6210">
      <c r="A6210" s="3"/>
      <c r="B6210" s="4"/>
      <c r="C6210" s="4"/>
      <c r="D6210" s="4"/>
      <c r="E6210" s="4"/>
    </row>
    <row r="6211">
      <c r="A6211" s="5"/>
      <c r="B6211" s="6"/>
      <c r="C6211" s="6"/>
      <c r="D6211" s="6"/>
      <c r="E6211" s="6"/>
    </row>
    <row r="6212">
      <c r="A6212" s="3"/>
      <c r="B6212" s="4"/>
      <c r="C6212" s="4"/>
      <c r="D6212" s="4"/>
      <c r="E6212" s="4"/>
    </row>
    <row r="6213">
      <c r="A6213" s="5"/>
      <c r="B6213" s="6"/>
      <c r="C6213" s="6"/>
      <c r="D6213" s="6"/>
      <c r="E6213" s="6"/>
    </row>
    <row r="6214">
      <c r="A6214" s="3"/>
      <c r="B6214" s="4"/>
      <c r="C6214" s="4"/>
      <c r="D6214" s="4"/>
      <c r="E6214" s="4"/>
    </row>
    <row r="6215">
      <c r="A6215" s="5"/>
      <c r="B6215" s="6"/>
      <c r="C6215" s="6"/>
      <c r="D6215" s="6"/>
      <c r="E6215" s="6"/>
    </row>
    <row r="6216">
      <c r="A6216" s="3"/>
      <c r="B6216" s="4"/>
      <c r="C6216" s="4"/>
      <c r="D6216" s="4"/>
      <c r="E6216" s="4"/>
    </row>
    <row r="6217">
      <c r="A6217" s="5"/>
      <c r="B6217" s="6"/>
      <c r="C6217" s="6"/>
      <c r="D6217" s="6"/>
      <c r="E6217" s="6"/>
    </row>
    <row r="6218">
      <c r="A6218" s="3"/>
      <c r="B6218" s="4"/>
      <c r="C6218" s="4"/>
      <c r="D6218" s="4"/>
      <c r="E6218" s="4"/>
    </row>
    <row r="6219">
      <c r="A6219" s="5"/>
      <c r="B6219" s="6"/>
      <c r="C6219" s="6"/>
      <c r="D6219" s="6"/>
      <c r="E6219" s="6"/>
    </row>
    <row r="6220">
      <c r="A6220" s="3"/>
      <c r="B6220" s="4"/>
      <c r="C6220" s="4"/>
      <c r="D6220" s="4"/>
      <c r="E6220" s="4"/>
    </row>
    <row r="6221">
      <c r="A6221" s="5"/>
      <c r="B6221" s="6"/>
      <c r="C6221" s="6"/>
      <c r="D6221" s="6"/>
      <c r="E6221" s="6"/>
    </row>
    <row r="6222">
      <c r="A6222" s="3"/>
      <c r="B6222" s="4"/>
      <c r="C6222" s="4"/>
      <c r="D6222" s="4"/>
      <c r="E6222" s="4"/>
    </row>
    <row r="6223">
      <c r="A6223" s="5"/>
      <c r="B6223" s="6"/>
      <c r="C6223" s="6"/>
      <c r="D6223" s="6"/>
      <c r="E6223" s="6"/>
    </row>
    <row r="6224">
      <c r="A6224" s="3"/>
      <c r="B6224" s="4"/>
      <c r="C6224" s="4"/>
      <c r="D6224" s="4"/>
      <c r="E6224" s="4"/>
    </row>
    <row r="6225">
      <c r="A6225" s="5"/>
      <c r="B6225" s="6"/>
      <c r="C6225" s="6"/>
      <c r="D6225" s="6"/>
      <c r="E6225" s="6"/>
    </row>
    <row r="6226">
      <c r="A6226" s="3"/>
      <c r="B6226" s="4"/>
      <c r="C6226" s="4"/>
      <c r="D6226" s="4"/>
      <c r="E6226" s="4"/>
    </row>
    <row r="6227">
      <c r="A6227" s="5"/>
      <c r="B6227" s="6"/>
      <c r="C6227" s="6"/>
      <c r="D6227" s="6"/>
      <c r="E6227" s="6"/>
    </row>
    <row r="6228">
      <c r="A6228" s="3"/>
      <c r="B6228" s="4"/>
      <c r="C6228" s="4"/>
      <c r="D6228" s="4"/>
      <c r="E6228" s="4"/>
    </row>
    <row r="6229">
      <c r="A6229" s="5"/>
      <c r="B6229" s="6"/>
      <c r="C6229" s="6"/>
      <c r="D6229" s="6"/>
      <c r="E6229" s="6"/>
    </row>
    <row r="6230">
      <c r="A6230" s="3"/>
      <c r="B6230" s="4"/>
      <c r="C6230" s="4"/>
      <c r="D6230" s="4"/>
      <c r="E6230" s="4"/>
    </row>
    <row r="6231">
      <c r="A6231" s="5"/>
      <c r="B6231" s="6"/>
      <c r="C6231" s="6"/>
      <c r="D6231" s="6"/>
      <c r="E6231" s="6"/>
    </row>
    <row r="6232">
      <c r="A6232" s="3"/>
      <c r="B6232" s="4"/>
      <c r="C6232" s="4"/>
      <c r="D6232" s="4"/>
      <c r="E6232" s="4"/>
    </row>
    <row r="6233">
      <c r="A6233" s="5"/>
      <c r="B6233" s="6"/>
      <c r="C6233" s="6"/>
      <c r="D6233" s="6"/>
      <c r="E6233" s="6"/>
    </row>
    <row r="6234">
      <c r="A6234" s="3"/>
      <c r="B6234" s="4"/>
      <c r="C6234" s="4"/>
      <c r="D6234" s="4"/>
      <c r="E6234" s="4"/>
    </row>
    <row r="6235">
      <c r="A6235" s="5"/>
      <c r="B6235" s="6"/>
      <c r="C6235" s="6"/>
      <c r="D6235" s="6"/>
      <c r="E6235" s="6"/>
    </row>
    <row r="6236">
      <c r="A6236" s="3"/>
      <c r="B6236" s="4"/>
      <c r="C6236" s="4"/>
      <c r="D6236" s="4"/>
      <c r="E6236" s="4"/>
    </row>
    <row r="6237">
      <c r="A6237" s="5"/>
      <c r="B6237" s="6"/>
      <c r="C6237" s="6"/>
      <c r="D6237" s="6"/>
      <c r="E6237" s="6"/>
    </row>
    <row r="6238">
      <c r="A6238" s="3"/>
      <c r="B6238" s="4"/>
      <c r="C6238" s="4"/>
      <c r="D6238" s="4"/>
      <c r="E6238" s="4"/>
    </row>
    <row r="6239">
      <c r="A6239" s="5"/>
      <c r="B6239" s="6"/>
      <c r="C6239" s="6"/>
      <c r="D6239" s="6"/>
      <c r="E6239" s="6"/>
    </row>
    <row r="6240">
      <c r="A6240" s="3"/>
      <c r="B6240" s="4"/>
      <c r="C6240" s="4"/>
      <c r="D6240" s="4"/>
      <c r="E6240" s="4"/>
    </row>
    <row r="6241">
      <c r="A6241" s="5"/>
      <c r="B6241" s="6"/>
      <c r="C6241" s="6"/>
      <c r="D6241" s="6"/>
      <c r="E6241" s="6"/>
    </row>
    <row r="6242">
      <c r="A6242" s="3"/>
      <c r="B6242" s="4"/>
      <c r="C6242" s="4"/>
      <c r="D6242" s="4"/>
      <c r="E6242" s="4"/>
    </row>
    <row r="6243">
      <c r="A6243" s="5"/>
      <c r="B6243" s="6"/>
      <c r="C6243" s="6"/>
      <c r="D6243" s="6"/>
      <c r="E6243" s="6"/>
    </row>
    <row r="6244">
      <c r="A6244" s="3"/>
      <c r="B6244" s="4"/>
      <c r="C6244" s="4"/>
      <c r="D6244" s="4"/>
      <c r="E6244" s="4"/>
    </row>
    <row r="6245">
      <c r="A6245" s="5"/>
      <c r="B6245" s="6"/>
      <c r="C6245" s="6"/>
      <c r="D6245" s="6"/>
      <c r="E6245" s="6"/>
    </row>
    <row r="6246">
      <c r="A6246" s="3"/>
      <c r="B6246" s="4"/>
      <c r="C6246" s="4"/>
      <c r="D6246" s="4"/>
      <c r="E6246" s="4"/>
    </row>
    <row r="6247">
      <c r="A6247" s="5"/>
      <c r="B6247" s="6"/>
      <c r="C6247" s="6"/>
      <c r="D6247" s="6"/>
      <c r="E6247" s="6"/>
    </row>
    <row r="6248">
      <c r="A6248" s="3"/>
      <c r="B6248" s="4"/>
      <c r="C6248" s="4"/>
      <c r="D6248" s="4"/>
      <c r="E6248" s="4"/>
    </row>
    <row r="6249">
      <c r="A6249" s="5"/>
      <c r="B6249" s="6"/>
      <c r="C6249" s="6"/>
      <c r="D6249" s="6"/>
      <c r="E6249" s="6"/>
    </row>
    <row r="6250">
      <c r="A6250" s="3"/>
      <c r="B6250" s="4"/>
      <c r="C6250" s="4"/>
      <c r="D6250" s="4"/>
      <c r="E6250" s="4"/>
    </row>
    <row r="6251">
      <c r="A6251" s="5"/>
      <c r="B6251" s="6"/>
      <c r="C6251" s="6"/>
      <c r="D6251" s="6"/>
      <c r="E6251" s="6"/>
    </row>
    <row r="6252">
      <c r="A6252" s="3"/>
      <c r="B6252" s="4"/>
      <c r="C6252" s="4"/>
      <c r="D6252" s="4"/>
      <c r="E6252" s="4"/>
    </row>
    <row r="6253">
      <c r="A6253" s="5"/>
      <c r="B6253" s="6"/>
      <c r="C6253" s="6"/>
      <c r="D6253" s="6"/>
      <c r="E6253" s="6"/>
    </row>
    <row r="6254">
      <c r="A6254" s="3"/>
      <c r="B6254" s="4"/>
      <c r="C6254" s="4"/>
      <c r="D6254" s="4"/>
      <c r="E6254" s="4"/>
    </row>
    <row r="6255">
      <c r="A6255" s="5"/>
      <c r="B6255" s="6"/>
      <c r="C6255" s="6"/>
      <c r="D6255" s="6"/>
      <c r="E6255" s="6"/>
    </row>
    <row r="6256">
      <c r="A6256" s="3"/>
      <c r="B6256" s="4"/>
      <c r="C6256" s="4"/>
      <c r="D6256" s="4"/>
      <c r="E6256" s="4"/>
    </row>
    <row r="6257">
      <c r="A6257" s="5"/>
      <c r="B6257" s="6"/>
      <c r="C6257" s="6"/>
      <c r="D6257" s="6"/>
      <c r="E6257" s="6"/>
    </row>
    <row r="6258">
      <c r="A6258" s="3"/>
      <c r="B6258" s="4"/>
      <c r="C6258" s="4"/>
      <c r="D6258" s="4"/>
      <c r="E6258" s="4"/>
    </row>
    <row r="6259">
      <c r="A6259" s="5"/>
      <c r="B6259" s="6"/>
      <c r="C6259" s="6"/>
      <c r="D6259" s="6"/>
      <c r="E6259" s="6"/>
    </row>
    <row r="6260">
      <c r="A6260" s="3"/>
      <c r="B6260" s="4"/>
      <c r="C6260" s="4"/>
      <c r="D6260" s="4"/>
      <c r="E6260" s="4"/>
    </row>
    <row r="6261">
      <c r="A6261" s="5"/>
      <c r="B6261" s="6"/>
      <c r="C6261" s="6"/>
      <c r="D6261" s="6"/>
      <c r="E6261" s="6"/>
    </row>
    <row r="6262">
      <c r="A6262" s="3"/>
      <c r="B6262" s="4"/>
      <c r="C6262" s="4"/>
      <c r="D6262" s="4"/>
      <c r="E6262" s="4"/>
    </row>
    <row r="6263">
      <c r="A6263" s="5"/>
      <c r="B6263" s="6"/>
      <c r="C6263" s="6"/>
      <c r="D6263" s="6"/>
      <c r="E6263" s="6"/>
    </row>
    <row r="6264">
      <c r="A6264" s="3"/>
      <c r="B6264" s="4"/>
      <c r="C6264" s="4"/>
      <c r="D6264" s="4"/>
      <c r="E6264" s="4"/>
    </row>
    <row r="6265">
      <c r="A6265" s="5"/>
      <c r="B6265" s="6"/>
      <c r="C6265" s="6"/>
      <c r="D6265" s="6"/>
      <c r="E6265" s="6"/>
    </row>
    <row r="6266">
      <c r="A6266" s="3"/>
      <c r="B6266" s="4"/>
      <c r="C6266" s="4"/>
      <c r="D6266" s="4"/>
      <c r="E6266" s="4"/>
    </row>
    <row r="6267">
      <c r="A6267" s="5"/>
      <c r="B6267" s="6"/>
      <c r="C6267" s="6"/>
      <c r="D6267" s="6"/>
      <c r="E6267" s="6"/>
    </row>
    <row r="6268">
      <c r="A6268" s="3"/>
      <c r="B6268" s="4"/>
      <c r="C6268" s="4"/>
      <c r="D6268" s="4"/>
      <c r="E6268" s="4"/>
    </row>
    <row r="6269">
      <c r="A6269" s="5"/>
      <c r="B6269" s="6"/>
      <c r="C6269" s="6"/>
      <c r="D6269" s="6"/>
      <c r="E6269" s="6"/>
    </row>
    <row r="6270">
      <c r="A6270" s="3"/>
      <c r="B6270" s="4"/>
      <c r="C6270" s="4"/>
      <c r="D6270" s="4"/>
      <c r="E6270" s="4"/>
    </row>
    <row r="6271">
      <c r="A6271" s="5"/>
      <c r="B6271" s="6"/>
      <c r="C6271" s="6"/>
      <c r="D6271" s="6"/>
      <c r="E6271" s="6"/>
    </row>
    <row r="6272">
      <c r="A6272" s="3"/>
      <c r="B6272" s="4"/>
      <c r="C6272" s="4"/>
      <c r="D6272" s="4"/>
      <c r="E6272" s="4"/>
    </row>
    <row r="6273">
      <c r="A6273" s="5"/>
      <c r="B6273" s="6"/>
      <c r="C6273" s="6"/>
      <c r="D6273" s="6"/>
      <c r="E6273" s="6"/>
    </row>
    <row r="6274">
      <c r="A6274" s="3"/>
      <c r="B6274" s="4"/>
      <c r="C6274" s="4"/>
      <c r="D6274" s="4"/>
      <c r="E6274" s="4"/>
    </row>
    <row r="6275">
      <c r="A6275" s="5"/>
      <c r="B6275" s="6"/>
      <c r="C6275" s="6"/>
      <c r="D6275" s="6"/>
      <c r="E6275" s="6"/>
    </row>
    <row r="6276">
      <c r="A6276" s="3"/>
      <c r="B6276" s="4"/>
      <c r="C6276" s="4"/>
      <c r="D6276" s="4"/>
      <c r="E6276" s="4"/>
    </row>
    <row r="6277">
      <c r="A6277" s="5"/>
      <c r="B6277" s="6"/>
      <c r="C6277" s="6"/>
      <c r="D6277" s="6"/>
      <c r="E6277" s="6"/>
    </row>
    <row r="6278">
      <c r="A6278" s="3"/>
      <c r="B6278" s="4"/>
      <c r="C6278" s="4"/>
      <c r="D6278" s="4"/>
      <c r="E6278" s="4"/>
    </row>
    <row r="6279">
      <c r="A6279" s="5"/>
      <c r="B6279" s="6"/>
      <c r="C6279" s="6"/>
      <c r="D6279" s="6"/>
      <c r="E6279" s="6"/>
    </row>
    <row r="6280">
      <c r="A6280" s="3"/>
      <c r="B6280" s="4"/>
      <c r="C6280" s="4"/>
      <c r="D6280" s="4"/>
      <c r="E6280" s="4"/>
    </row>
    <row r="6281">
      <c r="A6281" s="5"/>
      <c r="B6281" s="6"/>
      <c r="C6281" s="6"/>
      <c r="D6281" s="6"/>
      <c r="E6281" s="6"/>
    </row>
    <row r="6282">
      <c r="A6282" s="3"/>
      <c r="B6282" s="4"/>
      <c r="C6282" s="4"/>
      <c r="D6282" s="4"/>
      <c r="E6282" s="4"/>
    </row>
    <row r="6283">
      <c r="A6283" s="5"/>
      <c r="B6283" s="6"/>
      <c r="C6283" s="6"/>
      <c r="D6283" s="6"/>
      <c r="E6283" s="6"/>
    </row>
    <row r="6284">
      <c r="A6284" s="3"/>
      <c r="B6284" s="4"/>
      <c r="C6284" s="4"/>
      <c r="D6284" s="4"/>
      <c r="E6284" s="4"/>
    </row>
    <row r="6285">
      <c r="A6285" s="5"/>
      <c r="B6285" s="6"/>
      <c r="C6285" s="6"/>
      <c r="D6285" s="6"/>
      <c r="E6285" s="6"/>
    </row>
    <row r="6286">
      <c r="A6286" s="3"/>
      <c r="B6286" s="4"/>
      <c r="C6286" s="4"/>
      <c r="D6286" s="4"/>
      <c r="E6286" s="4"/>
    </row>
    <row r="6287">
      <c r="A6287" s="5"/>
      <c r="B6287" s="6"/>
      <c r="C6287" s="6"/>
      <c r="D6287" s="6"/>
      <c r="E6287" s="6"/>
    </row>
    <row r="6288">
      <c r="A6288" s="3"/>
      <c r="B6288" s="4"/>
      <c r="C6288" s="4"/>
      <c r="D6288" s="4"/>
      <c r="E6288" s="4"/>
    </row>
    <row r="6289">
      <c r="A6289" s="5"/>
      <c r="B6289" s="6"/>
      <c r="C6289" s="6"/>
      <c r="D6289" s="6"/>
      <c r="E6289" s="6"/>
    </row>
    <row r="6290">
      <c r="A6290" s="3"/>
      <c r="B6290" s="4"/>
      <c r="C6290" s="4"/>
      <c r="D6290" s="4"/>
      <c r="E6290" s="4"/>
    </row>
    <row r="6291">
      <c r="A6291" s="5"/>
      <c r="B6291" s="6"/>
      <c r="C6291" s="6"/>
      <c r="D6291" s="6"/>
      <c r="E6291" s="6"/>
    </row>
    <row r="6292">
      <c r="A6292" s="3"/>
      <c r="B6292" s="4"/>
      <c r="C6292" s="4"/>
      <c r="D6292" s="4"/>
      <c r="E6292" s="4"/>
    </row>
    <row r="6293">
      <c r="A6293" s="5"/>
      <c r="B6293" s="6"/>
      <c r="C6293" s="6"/>
      <c r="D6293" s="6"/>
      <c r="E6293" s="6"/>
    </row>
    <row r="6294">
      <c r="A6294" s="3"/>
      <c r="B6294" s="4"/>
      <c r="C6294" s="4"/>
      <c r="D6294" s="4"/>
      <c r="E6294" s="4"/>
    </row>
    <row r="6295">
      <c r="A6295" s="5"/>
      <c r="B6295" s="6"/>
      <c r="C6295" s="6"/>
      <c r="D6295" s="6"/>
      <c r="E6295" s="6"/>
    </row>
    <row r="6296">
      <c r="A6296" s="3"/>
      <c r="B6296" s="4"/>
      <c r="C6296" s="4"/>
      <c r="D6296" s="4"/>
      <c r="E6296" s="4"/>
    </row>
    <row r="6297">
      <c r="A6297" s="5"/>
      <c r="B6297" s="6"/>
      <c r="C6297" s="6"/>
      <c r="D6297" s="6"/>
      <c r="E6297" s="6"/>
    </row>
    <row r="6298">
      <c r="A6298" s="3"/>
      <c r="B6298" s="4"/>
      <c r="C6298" s="4"/>
      <c r="D6298" s="4"/>
      <c r="E6298" s="4"/>
    </row>
    <row r="6299">
      <c r="A6299" s="5"/>
      <c r="B6299" s="6"/>
      <c r="C6299" s="6"/>
      <c r="D6299" s="6"/>
      <c r="E6299" s="6"/>
    </row>
    <row r="6300">
      <c r="A6300" s="3"/>
      <c r="B6300" s="4"/>
      <c r="C6300" s="4"/>
      <c r="D6300" s="4"/>
      <c r="E6300" s="4"/>
    </row>
    <row r="6301">
      <c r="A6301" s="5"/>
      <c r="B6301" s="6"/>
      <c r="C6301" s="6"/>
      <c r="D6301" s="6"/>
      <c r="E6301" s="6"/>
    </row>
    <row r="6302">
      <c r="A6302" s="3"/>
      <c r="B6302" s="4"/>
      <c r="C6302" s="4"/>
      <c r="D6302" s="4"/>
      <c r="E6302" s="4"/>
    </row>
    <row r="6303">
      <c r="A6303" s="5"/>
      <c r="B6303" s="6"/>
      <c r="C6303" s="6"/>
      <c r="D6303" s="6"/>
      <c r="E6303" s="6"/>
    </row>
    <row r="6304">
      <c r="A6304" s="3"/>
      <c r="B6304" s="4"/>
      <c r="C6304" s="4"/>
      <c r="D6304" s="4"/>
      <c r="E6304" s="4"/>
    </row>
    <row r="6305">
      <c r="A6305" s="5"/>
      <c r="B6305" s="6"/>
      <c r="C6305" s="6"/>
      <c r="D6305" s="6"/>
      <c r="E6305" s="6"/>
    </row>
    <row r="6306">
      <c r="A6306" s="3"/>
      <c r="B6306" s="4"/>
      <c r="C6306" s="4"/>
      <c r="D6306" s="4"/>
      <c r="E6306" s="4"/>
    </row>
    <row r="6307">
      <c r="A6307" s="5"/>
      <c r="B6307" s="6"/>
      <c r="C6307" s="6"/>
      <c r="D6307" s="6"/>
      <c r="E6307" s="6"/>
    </row>
    <row r="6308">
      <c r="A6308" s="3"/>
      <c r="B6308" s="4"/>
      <c r="C6308" s="4"/>
      <c r="D6308" s="4"/>
      <c r="E6308" s="4"/>
    </row>
    <row r="6309">
      <c r="A6309" s="5"/>
      <c r="B6309" s="6"/>
      <c r="C6309" s="6"/>
      <c r="D6309" s="6"/>
      <c r="E6309" s="6"/>
    </row>
    <row r="6310">
      <c r="A6310" s="3"/>
      <c r="B6310" s="4"/>
      <c r="C6310" s="4"/>
      <c r="D6310" s="4"/>
      <c r="E6310" s="4"/>
    </row>
    <row r="6311">
      <c r="A6311" s="5"/>
      <c r="B6311" s="6"/>
      <c r="C6311" s="6"/>
      <c r="D6311" s="6"/>
      <c r="E6311" s="6"/>
    </row>
    <row r="6312">
      <c r="A6312" s="3"/>
      <c r="B6312" s="4"/>
      <c r="C6312" s="4"/>
      <c r="D6312" s="4"/>
      <c r="E6312" s="4"/>
    </row>
    <row r="6313">
      <c r="A6313" s="5"/>
      <c r="B6313" s="6"/>
      <c r="C6313" s="6"/>
      <c r="D6313" s="6"/>
      <c r="E6313" s="6"/>
    </row>
    <row r="6314">
      <c r="A6314" s="3"/>
      <c r="B6314" s="4"/>
      <c r="C6314" s="4"/>
      <c r="D6314" s="4"/>
      <c r="E6314" s="4"/>
    </row>
    <row r="6315">
      <c r="A6315" s="5"/>
      <c r="B6315" s="6"/>
      <c r="C6315" s="6"/>
      <c r="D6315" s="6"/>
      <c r="E6315" s="6"/>
    </row>
    <row r="6316">
      <c r="A6316" s="3"/>
      <c r="B6316" s="4"/>
      <c r="C6316" s="4"/>
      <c r="D6316" s="4"/>
      <c r="E6316" s="4"/>
    </row>
    <row r="6317">
      <c r="A6317" s="5"/>
      <c r="B6317" s="6"/>
      <c r="C6317" s="6"/>
      <c r="D6317" s="6"/>
      <c r="E6317" s="6"/>
    </row>
    <row r="6318">
      <c r="A6318" s="3"/>
      <c r="B6318" s="4"/>
      <c r="C6318" s="4"/>
      <c r="D6318" s="4"/>
      <c r="E6318" s="4"/>
    </row>
    <row r="6319">
      <c r="A6319" s="5"/>
      <c r="B6319" s="6"/>
      <c r="C6319" s="6"/>
      <c r="D6319" s="6"/>
      <c r="E6319" s="6"/>
    </row>
    <row r="6320">
      <c r="A6320" s="3"/>
      <c r="B6320" s="4"/>
      <c r="C6320" s="4"/>
      <c r="D6320" s="4"/>
      <c r="E6320" s="4"/>
    </row>
    <row r="6321">
      <c r="A6321" s="5"/>
      <c r="B6321" s="6"/>
      <c r="C6321" s="6"/>
      <c r="D6321" s="6"/>
      <c r="E6321" s="6"/>
    </row>
    <row r="6322">
      <c r="A6322" s="3"/>
      <c r="B6322" s="4"/>
      <c r="C6322" s="4"/>
      <c r="D6322" s="4"/>
      <c r="E6322" s="4"/>
    </row>
    <row r="6323">
      <c r="A6323" s="5"/>
      <c r="B6323" s="6"/>
      <c r="C6323" s="6"/>
      <c r="D6323" s="6"/>
      <c r="E6323" s="6"/>
    </row>
    <row r="6324">
      <c r="A6324" s="3"/>
      <c r="B6324" s="4"/>
      <c r="C6324" s="4"/>
      <c r="D6324" s="4"/>
      <c r="E6324" s="4"/>
    </row>
    <row r="6325">
      <c r="A6325" s="5"/>
      <c r="B6325" s="6"/>
      <c r="C6325" s="6"/>
      <c r="D6325" s="6"/>
      <c r="E6325" s="6"/>
    </row>
    <row r="6326">
      <c r="A6326" s="3"/>
      <c r="B6326" s="4"/>
      <c r="C6326" s="4"/>
      <c r="D6326" s="4"/>
      <c r="E6326" s="4"/>
    </row>
    <row r="6327">
      <c r="A6327" s="5"/>
      <c r="B6327" s="6"/>
      <c r="C6327" s="6"/>
      <c r="D6327" s="6"/>
      <c r="E6327" s="6"/>
    </row>
    <row r="6328">
      <c r="A6328" s="3"/>
      <c r="B6328" s="4"/>
      <c r="C6328" s="4"/>
      <c r="D6328" s="4"/>
      <c r="E6328" s="4"/>
    </row>
    <row r="6329">
      <c r="A6329" s="5"/>
      <c r="B6329" s="6"/>
      <c r="C6329" s="6"/>
      <c r="D6329" s="6"/>
      <c r="E6329" s="6"/>
    </row>
    <row r="6330">
      <c r="A6330" s="3"/>
      <c r="B6330" s="4"/>
      <c r="C6330" s="4"/>
      <c r="D6330" s="4"/>
      <c r="E6330" s="4"/>
    </row>
    <row r="6331">
      <c r="A6331" s="5"/>
      <c r="B6331" s="6"/>
      <c r="C6331" s="6"/>
      <c r="D6331" s="6"/>
      <c r="E6331" s="6"/>
    </row>
    <row r="6332">
      <c r="A6332" s="3"/>
      <c r="B6332" s="4"/>
      <c r="C6332" s="4"/>
      <c r="D6332" s="4"/>
      <c r="E6332" s="4"/>
    </row>
    <row r="6333">
      <c r="A6333" s="5"/>
      <c r="B6333" s="6"/>
      <c r="C6333" s="6"/>
      <c r="D6333" s="6"/>
      <c r="E6333" s="6"/>
    </row>
    <row r="6334">
      <c r="A6334" s="3"/>
      <c r="B6334" s="4"/>
      <c r="C6334" s="4"/>
      <c r="D6334" s="4"/>
      <c r="E6334" s="4"/>
    </row>
    <row r="6335">
      <c r="A6335" s="5"/>
      <c r="B6335" s="6"/>
      <c r="C6335" s="6"/>
      <c r="D6335" s="6"/>
      <c r="E6335" s="6"/>
    </row>
    <row r="6336">
      <c r="A6336" s="3"/>
      <c r="B6336" s="4"/>
      <c r="C6336" s="4"/>
      <c r="D6336" s="4"/>
      <c r="E6336" s="4"/>
    </row>
    <row r="6337">
      <c r="A6337" s="5"/>
      <c r="B6337" s="6"/>
      <c r="C6337" s="6"/>
      <c r="D6337" s="6"/>
      <c r="E6337" s="6"/>
    </row>
    <row r="6338">
      <c r="A6338" s="3"/>
      <c r="B6338" s="4"/>
      <c r="C6338" s="4"/>
      <c r="D6338" s="4"/>
      <c r="E6338" s="4"/>
    </row>
    <row r="6339">
      <c r="A6339" s="5"/>
      <c r="B6339" s="6"/>
      <c r="C6339" s="6"/>
      <c r="D6339" s="6"/>
      <c r="E6339" s="6"/>
    </row>
    <row r="6340">
      <c r="A6340" s="3"/>
      <c r="B6340" s="4"/>
      <c r="C6340" s="4"/>
      <c r="D6340" s="4"/>
      <c r="E6340" s="4"/>
    </row>
    <row r="6341">
      <c r="A6341" s="5"/>
      <c r="B6341" s="6"/>
      <c r="C6341" s="6"/>
      <c r="D6341" s="6"/>
      <c r="E6341" s="6"/>
    </row>
    <row r="6342">
      <c r="A6342" s="3"/>
      <c r="B6342" s="4"/>
      <c r="C6342" s="4"/>
      <c r="D6342" s="4"/>
      <c r="E6342" s="4"/>
    </row>
    <row r="6343">
      <c r="A6343" s="5"/>
      <c r="B6343" s="6"/>
      <c r="C6343" s="6"/>
      <c r="D6343" s="6"/>
      <c r="E6343" s="6"/>
    </row>
    <row r="6344">
      <c r="A6344" s="3"/>
      <c r="B6344" s="4"/>
      <c r="C6344" s="4"/>
      <c r="D6344" s="4"/>
      <c r="E6344" s="4"/>
    </row>
    <row r="6345">
      <c r="A6345" s="5"/>
      <c r="B6345" s="6"/>
      <c r="C6345" s="6"/>
      <c r="D6345" s="6"/>
      <c r="E6345" s="6"/>
    </row>
    <row r="6346">
      <c r="A6346" s="3"/>
      <c r="B6346" s="4"/>
      <c r="C6346" s="4"/>
      <c r="D6346" s="4"/>
      <c r="E6346" s="4"/>
    </row>
    <row r="6347">
      <c r="A6347" s="5"/>
      <c r="B6347" s="6"/>
      <c r="C6347" s="6"/>
      <c r="D6347" s="6"/>
      <c r="E6347" s="6"/>
    </row>
    <row r="6348">
      <c r="A6348" s="3"/>
      <c r="B6348" s="4"/>
      <c r="C6348" s="4"/>
      <c r="D6348" s="4"/>
      <c r="E6348" s="4"/>
    </row>
    <row r="6349">
      <c r="A6349" s="5"/>
      <c r="B6349" s="6"/>
      <c r="C6349" s="6"/>
      <c r="D6349" s="6"/>
      <c r="E6349" s="6"/>
    </row>
    <row r="6350">
      <c r="A6350" s="3"/>
      <c r="B6350" s="4"/>
      <c r="C6350" s="4"/>
      <c r="D6350" s="4"/>
      <c r="E6350" s="4"/>
    </row>
    <row r="6351">
      <c r="A6351" s="5"/>
      <c r="B6351" s="6"/>
      <c r="C6351" s="6"/>
      <c r="D6351" s="6"/>
      <c r="E6351" s="6"/>
    </row>
    <row r="6352">
      <c r="A6352" s="3"/>
      <c r="B6352" s="4"/>
      <c r="C6352" s="4"/>
      <c r="D6352" s="4"/>
      <c r="E6352" s="4"/>
    </row>
    <row r="6353">
      <c r="A6353" s="5"/>
      <c r="B6353" s="6"/>
      <c r="C6353" s="6"/>
      <c r="D6353" s="6"/>
      <c r="E6353" s="6"/>
    </row>
    <row r="6354">
      <c r="A6354" s="3"/>
      <c r="B6354" s="4"/>
      <c r="C6354" s="4"/>
      <c r="D6354" s="4"/>
      <c r="E6354" s="4"/>
    </row>
    <row r="6355">
      <c r="A6355" s="5"/>
      <c r="B6355" s="6"/>
      <c r="C6355" s="6"/>
      <c r="D6355" s="6"/>
      <c r="E6355" s="6"/>
    </row>
    <row r="6356">
      <c r="A6356" s="3"/>
      <c r="B6356" s="4"/>
      <c r="C6356" s="4"/>
      <c r="D6356" s="4"/>
      <c r="E6356" s="4"/>
    </row>
    <row r="6357">
      <c r="A6357" s="5"/>
      <c r="B6357" s="6"/>
      <c r="C6357" s="6"/>
      <c r="D6357" s="6"/>
      <c r="E6357" s="6"/>
    </row>
    <row r="6358">
      <c r="A6358" s="3"/>
      <c r="B6358" s="4"/>
      <c r="C6358" s="4"/>
      <c r="D6358" s="4"/>
      <c r="E6358" s="4"/>
    </row>
    <row r="6359">
      <c r="A6359" s="5"/>
      <c r="B6359" s="6"/>
      <c r="C6359" s="6"/>
      <c r="D6359" s="6"/>
      <c r="E6359" s="6"/>
    </row>
    <row r="6360">
      <c r="A6360" s="3"/>
      <c r="B6360" s="4"/>
      <c r="C6360" s="4"/>
      <c r="D6360" s="4"/>
      <c r="E6360" s="4"/>
    </row>
    <row r="6361">
      <c r="A6361" s="5"/>
      <c r="B6361" s="6"/>
      <c r="C6361" s="6"/>
      <c r="D6361" s="6"/>
      <c r="E6361" s="6"/>
    </row>
    <row r="6362">
      <c r="A6362" s="3"/>
      <c r="B6362" s="4"/>
      <c r="C6362" s="4"/>
      <c r="D6362" s="4"/>
      <c r="E6362" s="4"/>
    </row>
    <row r="6363">
      <c r="A6363" s="5"/>
      <c r="B6363" s="6"/>
      <c r="C6363" s="6"/>
      <c r="D6363" s="6"/>
      <c r="E6363" s="6"/>
    </row>
    <row r="6364">
      <c r="A6364" s="3"/>
      <c r="B6364" s="4"/>
      <c r="C6364" s="4"/>
      <c r="D6364" s="4"/>
      <c r="E6364" s="4"/>
    </row>
    <row r="6365">
      <c r="A6365" s="5"/>
      <c r="B6365" s="6"/>
      <c r="C6365" s="6"/>
      <c r="D6365" s="6"/>
      <c r="E6365" s="6"/>
    </row>
    <row r="6366">
      <c r="A6366" s="3"/>
      <c r="B6366" s="4"/>
      <c r="C6366" s="4"/>
      <c r="D6366" s="4"/>
      <c r="E6366" s="4"/>
    </row>
    <row r="6367">
      <c r="A6367" s="5"/>
      <c r="B6367" s="6"/>
      <c r="C6367" s="6"/>
      <c r="D6367" s="6"/>
      <c r="E6367" s="6"/>
    </row>
    <row r="6368">
      <c r="A6368" s="3"/>
      <c r="B6368" s="4"/>
      <c r="C6368" s="4"/>
      <c r="D6368" s="4"/>
      <c r="E6368" s="4"/>
    </row>
    <row r="6369">
      <c r="A6369" s="5"/>
      <c r="B6369" s="6"/>
      <c r="C6369" s="6"/>
      <c r="D6369" s="6"/>
      <c r="E6369" s="6"/>
    </row>
    <row r="6370">
      <c r="A6370" s="3"/>
      <c r="B6370" s="4"/>
      <c r="C6370" s="4"/>
      <c r="D6370" s="4"/>
      <c r="E6370" s="4"/>
    </row>
    <row r="6371">
      <c r="A6371" s="5"/>
      <c r="B6371" s="6"/>
      <c r="C6371" s="6"/>
      <c r="D6371" s="6"/>
      <c r="E6371" s="6"/>
    </row>
    <row r="6372">
      <c r="A6372" s="3"/>
      <c r="B6372" s="4"/>
      <c r="C6372" s="4"/>
      <c r="D6372" s="4"/>
      <c r="E6372" s="4"/>
    </row>
    <row r="6373">
      <c r="A6373" s="5"/>
      <c r="B6373" s="6"/>
      <c r="C6373" s="6"/>
      <c r="D6373" s="6"/>
      <c r="E6373" s="6"/>
    </row>
    <row r="6374">
      <c r="A6374" s="3"/>
      <c r="B6374" s="4"/>
      <c r="C6374" s="4"/>
      <c r="D6374" s="4"/>
      <c r="E6374" s="4"/>
    </row>
    <row r="6375">
      <c r="A6375" s="5"/>
      <c r="B6375" s="6"/>
      <c r="C6375" s="6"/>
      <c r="D6375" s="6"/>
      <c r="E6375" s="6"/>
    </row>
    <row r="6376">
      <c r="A6376" s="3"/>
      <c r="B6376" s="4"/>
      <c r="C6376" s="4"/>
      <c r="D6376" s="4"/>
      <c r="E6376" s="4"/>
    </row>
    <row r="6377">
      <c r="A6377" s="5"/>
      <c r="B6377" s="6"/>
      <c r="C6377" s="6"/>
      <c r="D6377" s="6"/>
      <c r="E6377" s="6"/>
    </row>
    <row r="6378">
      <c r="A6378" s="3"/>
      <c r="B6378" s="4"/>
      <c r="C6378" s="4"/>
      <c r="D6378" s="4"/>
      <c r="E6378" s="4"/>
    </row>
    <row r="6379">
      <c r="A6379" s="5"/>
      <c r="B6379" s="6"/>
      <c r="C6379" s="6"/>
      <c r="D6379" s="6"/>
      <c r="E6379" s="6"/>
    </row>
    <row r="6380">
      <c r="A6380" s="3"/>
      <c r="B6380" s="4"/>
      <c r="C6380" s="4"/>
      <c r="D6380" s="4"/>
      <c r="E6380" s="4"/>
    </row>
    <row r="6381">
      <c r="A6381" s="5"/>
      <c r="B6381" s="6"/>
      <c r="C6381" s="6"/>
      <c r="D6381" s="6"/>
      <c r="E6381" s="6"/>
    </row>
    <row r="6382">
      <c r="A6382" s="3"/>
      <c r="B6382" s="4"/>
      <c r="C6382" s="4"/>
      <c r="D6382" s="4"/>
      <c r="E6382" s="4"/>
    </row>
    <row r="6383">
      <c r="A6383" s="5"/>
      <c r="B6383" s="6"/>
      <c r="C6383" s="6"/>
      <c r="D6383" s="6"/>
      <c r="E6383" s="6"/>
    </row>
    <row r="6384">
      <c r="A6384" s="3"/>
      <c r="B6384" s="4"/>
      <c r="C6384" s="4"/>
      <c r="D6384" s="4"/>
      <c r="E6384" s="4"/>
    </row>
    <row r="6385">
      <c r="A6385" s="5"/>
      <c r="B6385" s="6"/>
      <c r="C6385" s="6"/>
      <c r="D6385" s="6"/>
      <c r="E6385" s="6"/>
    </row>
    <row r="6386">
      <c r="A6386" s="3"/>
      <c r="B6386" s="4"/>
      <c r="C6386" s="4"/>
      <c r="D6386" s="4"/>
      <c r="E6386" s="4"/>
    </row>
    <row r="6387">
      <c r="A6387" s="5"/>
      <c r="B6387" s="6"/>
      <c r="C6387" s="6"/>
      <c r="D6387" s="6"/>
      <c r="E6387" s="6"/>
    </row>
    <row r="6388">
      <c r="A6388" s="3"/>
      <c r="B6388" s="4"/>
      <c r="C6388" s="4"/>
      <c r="D6388" s="4"/>
      <c r="E6388" s="4"/>
    </row>
    <row r="6389">
      <c r="A6389" s="5"/>
      <c r="B6389" s="6"/>
      <c r="C6389" s="6"/>
      <c r="D6389" s="6"/>
      <c r="E6389" s="6"/>
    </row>
    <row r="6390">
      <c r="A6390" s="3"/>
      <c r="B6390" s="4"/>
      <c r="C6390" s="4"/>
      <c r="D6390" s="4"/>
      <c r="E6390" s="4"/>
    </row>
    <row r="6391">
      <c r="A6391" s="5"/>
      <c r="B6391" s="6"/>
      <c r="C6391" s="6"/>
      <c r="D6391" s="6"/>
      <c r="E6391" s="6"/>
    </row>
    <row r="6392">
      <c r="A6392" s="3"/>
      <c r="B6392" s="4"/>
      <c r="C6392" s="4"/>
      <c r="D6392" s="4"/>
      <c r="E6392" s="4"/>
    </row>
    <row r="6393">
      <c r="A6393" s="5"/>
      <c r="B6393" s="6"/>
      <c r="C6393" s="6"/>
      <c r="D6393" s="6"/>
      <c r="E6393" s="6"/>
    </row>
    <row r="6394">
      <c r="A6394" s="3"/>
      <c r="B6394" s="4"/>
      <c r="C6394" s="4"/>
      <c r="D6394" s="4"/>
      <c r="E6394" s="4"/>
    </row>
    <row r="6395">
      <c r="A6395" s="5"/>
      <c r="B6395" s="6"/>
      <c r="C6395" s="6"/>
      <c r="D6395" s="6"/>
      <c r="E6395" s="6"/>
    </row>
    <row r="6396">
      <c r="A6396" s="3"/>
      <c r="B6396" s="4"/>
      <c r="C6396" s="4"/>
      <c r="D6396" s="4"/>
      <c r="E6396" s="4"/>
    </row>
    <row r="6397">
      <c r="A6397" s="5"/>
      <c r="B6397" s="6"/>
      <c r="C6397" s="6"/>
      <c r="D6397" s="6"/>
      <c r="E6397" s="6"/>
    </row>
    <row r="6398">
      <c r="A6398" s="3"/>
      <c r="B6398" s="4"/>
      <c r="C6398" s="4"/>
      <c r="D6398" s="4"/>
      <c r="E6398" s="4"/>
    </row>
    <row r="6399">
      <c r="A6399" s="5"/>
      <c r="B6399" s="6"/>
      <c r="C6399" s="6"/>
      <c r="D6399" s="6"/>
      <c r="E6399" s="6"/>
    </row>
    <row r="6400">
      <c r="A6400" s="3"/>
      <c r="B6400" s="4"/>
      <c r="C6400" s="4"/>
      <c r="D6400" s="4"/>
      <c r="E6400" s="4"/>
    </row>
    <row r="6401">
      <c r="A6401" s="5"/>
      <c r="B6401" s="6"/>
      <c r="C6401" s="6"/>
      <c r="D6401" s="6"/>
      <c r="E6401" s="6"/>
    </row>
  </sheetData>
  <autoFilter ref="$A$1:$E$64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3" max="3" width="23.63"/>
  </cols>
  <sheetData>
    <row r="1">
      <c r="A1" s="7" t="str">
        <f>IFERROR(__xludf.DUMMYFUNCTION("IMPORTRANGE(""https://docs.google.com/spreadsheets/d/1chnFBiaq2bC8mS6oqeUvH2kmOHLoK3aQ0gxo8FEpLGU/edit#gid=155111029"",""stock!A1:E5901"")"),"product_id")</f>
        <v>product_id</v>
      </c>
      <c r="B1" s="8" t="str">
        <f>IFERROR(__xludf.DUMMYFUNCTION("""COMPUTED_VALUE"""),"new")</f>
        <v>new</v>
      </c>
      <c r="C1" s="8" t="str">
        <f>IFERROR(__xludf.DUMMYFUNCTION("""COMPUTED_VALUE"""),"forecast_stock")</f>
        <v>forecast_stock</v>
      </c>
      <c r="D1" s="8" t="str">
        <f>IFERROR(__xludf.DUMMYFUNCTION("""COMPUTED_VALUE"""),"stock")</f>
        <v>stock</v>
      </c>
      <c r="E1" s="9"/>
    </row>
    <row r="2">
      <c r="A2" s="10">
        <f>IFERROR(__xludf.DUMMYFUNCTION("""COMPUTED_VALUE"""),112463.0)</f>
        <v>112463</v>
      </c>
      <c r="B2" s="11">
        <f>IFERROR(__xludf.DUMMYFUNCTION("""COMPUTED_VALUE"""),0.0)</f>
        <v>0</v>
      </c>
      <c r="C2" s="11">
        <f>IFERROR(__xludf.DUMMYFUNCTION("""COMPUTED_VALUE"""),326.0)</f>
        <v>326</v>
      </c>
      <c r="D2" s="11">
        <f>IFERROR(__xludf.DUMMYFUNCTION("""COMPUTED_VALUE"""),326.0)</f>
        <v>326</v>
      </c>
      <c r="E2" s="9"/>
    </row>
    <row r="3">
      <c r="A3" s="10">
        <f>IFERROR(__xludf.DUMMYFUNCTION("""COMPUTED_VALUE"""),112481.0)</f>
        <v>112481</v>
      </c>
      <c r="B3" s="11">
        <f>IFERROR(__xludf.DUMMYFUNCTION("""COMPUTED_VALUE"""),0.0)</f>
        <v>0</v>
      </c>
      <c r="C3" s="11">
        <f>IFERROR(__xludf.DUMMYFUNCTION("""COMPUTED_VALUE"""),0.0)</f>
        <v>0</v>
      </c>
      <c r="D3" s="11">
        <f>IFERROR(__xludf.DUMMYFUNCTION("""COMPUTED_VALUE"""),0.0)</f>
        <v>0</v>
      </c>
      <c r="E3" s="9"/>
    </row>
    <row r="4">
      <c r="A4" s="10">
        <f>IFERROR(__xludf.DUMMYFUNCTION("""COMPUTED_VALUE"""),13346.0)</f>
        <v>13346</v>
      </c>
      <c r="B4" s="11">
        <f>IFERROR(__xludf.DUMMYFUNCTION("""COMPUTED_VALUE"""),1.0)</f>
        <v>1</v>
      </c>
      <c r="C4" s="11">
        <f>IFERROR(__xludf.DUMMYFUNCTION("""COMPUTED_VALUE"""),100.0)</f>
        <v>100</v>
      </c>
      <c r="D4" s="11">
        <f>IFERROR(__xludf.DUMMYFUNCTION("""COMPUTED_VALUE"""),100.0)</f>
        <v>100</v>
      </c>
      <c r="E4" s="9"/>
    </row>
    <row r="5">
      <c r="A5" s="10">
        <f>IFERROR(__xludf.DUMMYFUNCTION("""COMPUTED_VALUE"""),112454.0)</f>
        <v>112454</v>
      </c>
      <c r="B5" s="11">
        <f>IFERROR(__xludf.DUMMYFUNCTION("""COMPUTED_VALUE"""),0.0)</f>
        <v>0</v>
      </c>
      <c r="C5" s="11">
        <f>IFERROR(__xludf.DUMMYFUNCTION("""COMPUTED_VALUE"""),278.0)</f>
        <v>278</v>
      </c>
      <c r="D5" s="11">
        <f>IFERROR(__xludf.DUMMYFUNCTION("""COMPUTED_VALUE"""),269.0)</f>
        <v>269</v>
      </c>
      <c r="E5" s="9"/>
    </row>
    <row r="6">
      <c r="A6" s="10">
        <f>IFERROR(__xludf.DUMMYFUNCTION("""COMPUTED_VALUE"""),112461.0)</f>
        <v>112461</v>
      </c>
      <c r="B6" s="11">
        <f>IFERROR(__xludf.DUMMYFUNCTION("""COMPUTED_VALUE"""),0.0)</f>
        <v>0</v>
      </c>
      <c r="C6" s="11">
        <f>IFERROR(__xludf.DUMMYFUNCTION("""COMPUTED_VALUE"""),980.0)</f>
        <v>980</v>
      </c>
      <c r="D6" s="11">
        <f>IFERROR(__xludf.DUMMYFUNCTION("""COMPUTED_VALUE"""),476.0)</f>
        <v>476</v>
      </c>
      <c r="E6" s="9"/>
    </row>
    <row r="7">
      <c r="A7" s="10">
        <f>IFERROR(__xludf.DUMMYFUNCTION("""COMPUTED_VALUE"""),106532.0)</f>
        <v>106532</v>
      </c>
      <c r="B7" s="11">
        <f>IFERROR(__xludf.DUMMYFUNCTION("""COMPUTED_VALUE"""),0.0)</f>
        <v>0</v>
      </c>
      <c r="C7" s="11">
        <f>IFERROR(__xludf.DUMMYFUNCTION("""COMPUTED_VALUE"""),44.0)</f>
        <v>44</v>
      </c>
      <c r="D7" s="11">
        <f>IFERROR(__xludf.DUMMYFUNCTION("""COMPUTED_VALUE"""),44.0)</f>
        <v>44</v>
      </c>
      <c r="E7" s="9"/>
    </row>
    <row r="8">
      <c r="A8" s="10">
        <f>IFERROR(__xludf.DUMMYFUNCTION("""COMPUTED_VALUE"""),121135.0)</f>
        <v>121135</v>
      </c>
      <c r="B8" s="11">
        <f>IFERROR(__xludf.DUMMYFUNCTION("""COMPUTED_VALUE"""),1.0)</f>
        <v>1</v>
      </c>
      <c r="C8" s="11">
        <f>IFERROR(__xludf.DUMMYFUNCTION("""COMPUTED_VALUE"""),48.0)</f>
        <v>48</v>
      </c>
      <c r="D8" s="11">
        <f>IFERROR(__xludf.DUMMYFUNCTION("""COMPUTED_VALUE"""),40.0)</f>
        <v>40</v>
      </c>
      <c r="E8" s="9"/>
    </row>
    <row r="9">
      <c r="A9" s="10">
        <f>IFERROR(__xludf.DUMMYFUNCTION("""COMPUTED_VALUE"""),128362.0)</f>
        <v>128362</v>
      </c>
      <c r="B9" s="11">
        <f>IFERROR(__xludf.DUMMYFUNCTION("""COMPUTED_VALUE"""),1.0)</f>
        <v>1</v>
      </c>
      <c r="C9" s="11">
        <f>IFERROR(__xludf.DUMMYFUNCTION("""COMPUTED_VALUE"""),258.0)</f>
        <v>258</v>
      </c>
      <c r="D9" s="11">
        <f>IFERROR(__xludf.DUMMYFUNCTION("""COMPUTED_VALUE"""),100.0)</f>
        <v>100</v>
      </c>
      <c r="E9" s="9"/>
    </row>
    <row r="10">
      <c r="A10" s="10">
        <f>IFERROR(__xludf.DUMMYFUNCTION("""COMPUTED_VALUE"""),71200.0)</f>
        <v>71200</v>
      </c>
      <c r="B10" s="11">
        <f>IFERROR(__xludf.DUMMYFUNCTION("""COMPUTED_VALUE"""),0.0)</f>
        <v>0</v>
      </c>
      <c r="C10" s="11">
        <f>IFERROR(__xludf.DUMMYFUNCTION("""COMPUTED_VALUE"""),165.0)</f>
        <v>165</v>
      </c>
      <c r="D10" s="11">
        <f>IFERROR(__xludf.DUMMYFUNCTION("""COMPUTED_VALUE"""),153.0)</f>
        <v>153</v>
      </c>
      <c r="E10" s="9"/>
    </row>
    <row r="11">
      <c r="A11" s="10">
        <f>IFERROR(__xludf.DUMMYFUNCTION("""COMPUTED_VALUE"""),19812.0)</f>
        <v>19812</v>
      </c>
      <c r="B11" s="11">
        <f>IFERROR(__xludf.DUMMYFUNCTION("""COMPUTED_VALUE"""),0.0)</f>
        <v>0</v>
      </c>
      <c r="C11" s="11">
        <f>IFERROR(__xludf.DUMMYFUNCTION("""COMPUTED_VALUE"""),507.0)</f>
        <v>507</v>
      </c>
      <c r="D11" s="11">
        <f>IFERROR(__xludf.DUMMYFUNCTION("""COMPUTED_VALUE"""),407.0)</f>
        <v>407</v>
      </c>
      <c r="E11" s="9"/>
    </row>
    <row r="12">
      <c r="A12" s="10">
        <f>IFERROR(__xludf.DUMMYFUNCTION("""COMPUTED_VALUE"""),122259.0)</f>
        <v>122259</v>
      </c>
      <c r="B12" s="11">
        <f>IFERROR(__xludf.DUMMYFUNCTION("""COMPUTED_VALUE"""),1.0)</f>
        <v>1</v>
      </c>
      <c r="C12" s="11">
        <f>IFERROR(__xludf.DUMMYFUNCTION("""COMPUTED_VALUE"""),100.0)</f>
        <v>100</v>
      </c>
      <c r="D12" s="11">
        <f>IFERROR(__xludf.DUMMYFUNCTION("""COMPUTED_VALUE"""),100.0)</f>
        <v>100</v>
      </c>
      <c r="E12" s="9"/>
    </row>
    <row r="13">
      <c r="A13" s="10">
        <f>IFERROR(__xludf.DUMMYFUNCTION("""COMPUTED_VALUE"""),199526.0)</f>
        <v>199526</v>
      </c>
      <c r="B13" s="11">
        <f>IFERROR(__xludf.DUMMYFUNCTION("""COMPUTED_VALUE"""),0.0)</f>
        <v>0</v>
      </c>
      <c r="C13" s="11">
        <f>IFERROR(__xludf.DUMMYFUNCTION("""COMPUTED_VALUE"""),69.0)</f>
        <v>69</v>
      </c>
      <c r="D13" s="11">
        <f>IFERROR(__xludf.DUMMYFUNCTION("""COMPUTED_VALUE"""),66.0)</f>
        <v>66</v>
      </c>
      <c r="E13" s="9"/>
    </row>
    <row r="14">
      <c r="A14" s="10">
        <f>IFERROR(__xludf.DUMMYFUNCTION("""COMPUTED_VALUE"""),140581.0)</f>
        <v>140581</v>
      </c>
      <c r="B14" s="11">
        <f>IFERROR(__xludf.DUMMYFUNCTION("""COMPUTED_VALUE"""),0.0)</f>
        <v>0</v>
      </c>
      <c r="C14" s="11">
        <f>IFERROR(__xludf.DUMMYFUNCTION("""COMPUTED_VALUE"""),21.0)</f>
        <v>21</v>
      </c>
      <c r="D14" s="11">
        <f>IFERROR(__xludf.DUMMYFUNCTION("""COMPUTED_VALUE"""),13.0)</f>
        <v>13</v>
      </c>
      <c r="E14" s="9"/>
    </row>
    <row r="15">
      <c r="A15" s="10">
        <f>IFERROR(__xludf.DUMMYFUNCTION("""COMPUTED_VALUE"""),118383.0)</f>
        <v>118383</v>
      </c>
      <c r="B15" s="11">
        <f>IFERROR(__xludf.DUMMYFUNCTION("""COMPUTED_VALUE"""),0.0)</f>
        <v>0</v>
      </c>
      <c r="C15" s="11">
        <f>IFERROR(__xludf.DUMMYFUNCTION("""COMPUTED_VALUE"""),245.0)</f>
        <v>245</v>
      </c>
      <c r="D15" s="11">
        <f>IFERROR(__xludf.DUMMYFUNCTION("""COMPUTED_VALUE"""),245.0)</f>
        <v>245</v>
      </c>
      <c r="E15" s="9"/>
    </row>
    <row r="16">
      <c r="A16" s="10">
        <f>IFERROR(__xludf.DUMMYFUNCTION("""COMPUTED_VALUE"""),122262.0)</f>
        <v>122262</v>
      </c>
      <c r="B16" s="11">
        <f>IFERROR(__xludf.DUMMYFUNCTION("""COMPUTED_VALUE"""),0.0)</f>
        <v>0</v>
      </c>
      <c r="C16" s="11">
        <f>IFERROR(__xludf.DUMMYFUNCTION("""COMPUTED_VALUE"""),309.0)</f>
        <v>309</v>
      </c>
      <c r="D16" s="11">
        <f>IFERROR(__xludf.DUMMYFUNCTION("""COMPUTED_VALUE"""),309.0)</f>
        <v>309</v>
      </c>
      <c r="E16" s="9"/>
    </row>
    <row r="17">
      <c r="A17" s="10">
        <f>IFERROR(__xludf.DUMMYFUNCTION("""COMPUTED_VALUE"""),141879.0)</f>
        <v>141879</v>
      </c>
      <c r="B17" s="11">
        <f>IFERROR(__xludf.DUMMYFUNCTION("""COMPUTED_VALUE"""),0.0)</f>
        <v>0</v>
      </c>
      <c r="C17" s="11">
        <f>IFERROR(__xludf.DUMMYFUNCTION("""COMPUTED_VALUE"""),20.0)</f>
        <v>20</v>
      </c>
      <c r="D17" s="11">
        <f>IFERROR(__xludf.DUMMYFUNCTION("""COMPUTED_VALUE"""),20.0)</f>
        <v>20</v>
      </c>
      <c r="E17" s="9"/>
    </row>
    <row r="18">
      <c r="A18" s="10">
        <f>IFERROR(__xludf.DUMMYFUNCTION("""COMPUTED_VALUE"""),19826.0)</f>
        <v>19826</v>
      </c>
      <c r="B18" s="11">
        <f>IFERROR(__xludf.DUMMYFUNCTION("""COMPUTED_VALUE"""),0.0)</f>
        <v>0</v>
      </c>
      <c r="C18" s="11">
        <f>IFERROR(__xludf.DUMMYFUNCTION("""COMPUTED_VALUE"""),197.0)</f>
        <v>197</v>
      </c>
      <c r="D18" s="11">
        <f>IFERROR(__xludf.DUMMYFUNCTION("""COMPUTED_VALUE"""),97.0)</f>
        <v>97</v>
      </c>
      <c r="E18" s="9"/>
    </row>
    <row r="19">
      <c r="A19" s="10">
        <f>IFERROR(__xludf.DUMMYFUNCTION("""COMPUTED_VALUE"""),93039.0)</f>
        <v>93039</v>
      </c>
      <c r="B19" s="11">
        <f>IFERROR(__xludf.DUMMYFUNCTION("""COMPUTED_VALUE"""),0.0)</f>
        <v>0</v>
      </c>
      <c r="C19" s="11">
        <f>IFERROR(__xludf.DUMMYFUNCTION("""COMPUTED_VALUE"""),53.0)</f>
        <v>53</v>
      </c>
      <c r="D19" s="11">
        <f>IFERROR(__xludf.DUMMYFUNCTION("""COMPUTED_VALUE"""),53.0)</f>
        <v>53</v>
      </c>
      <c r="E19" s="9"/>
    </row>
    <row r="20">
      <c r="A20" s="10">
        <f>IFERROR(__xludf.DUMMYFUNCTION("""COMPUTED_VALUE"""),128213.0)</f>
        <v>128213</v>
      </c>
      <c r="B20" s="11">
        <f>IFERROR(__xludf.DUMMYFUNCTION("""COMPUTED_VALUE"""),0.0)</f>
        <v>0</v>
      </c>
      <c r="C20" s="11">
        <f>IFERROR(__xludf.DUMMYFUNCTION("""COMPUTED_VALUE"""),300.0)</f>
        <v>300</v>
      </c>
      <c r="D20" s="11">
        <f>IFERROR(__xludf.DUMMYFUNCTION("""COMPUTED_VALUE"""),153.0)</f>
        <v>153</v>
      </c>
      <c r="E20" s="9"/>
    </row>
    <row r="21">
      <c r="A21" s="10">
        <f>IFERROR(__xludf.DUMMYFUNCTION("""COMPUTED_VALUE"""),83797.0)</f>
        <v>83797</v>
      </c>
      <c r="B21" s="11">
        <f>IFERROR(__xludf.DUMMYFUNCTION("""COMPUTED_VALUE"""),0.0)</f>
        <v>0</v>
      </c>
      <c r="C21" s="11">
        <f>IFERROR(__xludf.DUMMYFUNCTION("""COMPUTED_VALUE"""),59.0)</f>
        <v>59</v>
      </c>
      <c r="D21" s="11">
        <f>IFERROR(__xludf.DUMMYFUNCTION("""COMPUTED_VALUE"""),59.0)</f>
        <v>59</v>
      </c>
      <c r="E21" s="9"/>
    </row>
    <row r="22">
      <c r="A22" s="10">
        <f>IFERROR(__xludf.DUMMYFUNCTION("""COMPUTED_VALUE"""),19831.0)</f>
        <v>19831</v>
      </c>
      <c r="B22" s="11">
        <f>IFERROR(__xludf.DUMMYFUNCTION("""COMPUTED_VALUE"""),0.0)</f>
        <v>0</v>
      </c>
      <c r="C22" s="11">
        <f>IFERROR(__xludf.DUMMYFUNCTION("""COMPUTED_VALUE"""),198.0)</f>
        <v>198</v>
      </c>
      <c r="D22" s="11">
        <f>IFERROR(__xludf.DUMMYFUNCTION("""COMPUTED_VALUE"""),143.0)</f>
        <v>143</v>
      </c>
      <c r="E22" s="9"/>
    </row>
    <row r="23">
      <c r="A23" s="10">
        <f>IFERROR(__xludf.DUMMYFUNCTION("""COMPUTED_VALUE"""),93025.0)</f>
        <v>93025</v>
      </c>
      <c r="B23" s="11">
        <f>IFERROR(__xludf.DUMMYFUNCTION("""COMPUTED_VALUE"""),0.0)</f>
        <v>0</v>
      </c>
      <c r="C23" s="11">
        <f>IFERROR(__xludf.DUMMYFUNCTION("""COMPUTED_VALUE"""),325.0)</f>
        <v>325</v>
      </c>
      <c r="D23" s="11">
        <f>IFERROR(__xludf.DUMMYFUNCTION("""COMPUTED_VALUE"""),325.0)</f>
        <v>325</v>
      </c>
      <c r="E23" s="9"/>
    </row>
    <row r="24">
      <c r="A24" s="10">
        <f>IFERROR(__xludf.DUMMYFUNCTION("""COMPUTED_VALUE"""),81624.0)</f>
        <v>81624</v>
      </c>
      <c r="B24" s="11">
        <f>IFERROR(__xludf.DUMMYFUNCTION("""COMPUTED_VALUE"""),1.0)</f>
        <v>1</v>
      </c>
      <c r="C24" s="11">
        <f>IFERROR(__xludf.DUMMYFUNCTION("""COMPUTED_VALUE"""),100.0)</f>
        <v>100</v>
      </c>
      <c r="D24" s="11">
        <f>IFERROR(__xludf.DUMMYFUNCTION("""COMPUTED_VALUE"""),100.0)</f>
        <v>100</v>
      </c>
      <c r="E24" s="9"/>
    </row>
    <row r="25">
      <c r="A25" s="10">
        <f>IFERROR(__xludf.DUMMYFUNCTION("""COMPUTED_VALUE"""),92913.0)</f>
        <v>92913</v>
      </c>
      <c r="B25" s="11">
        <f>IFERROR(__xludf.DUMMYFUNCTION("""COMPUTED_VALUE"""),0.0)</f>
        <v>0</v>
      </c>
      <c r="C25" s="11">
        <f>IFERROR(__xludf.DUMMYFUNCTION("""COMPUTED_VALUE"""),100.0)</f>
        <v>100</v>
      </c>
      <c r="D25" s="11">
        <f>IFERROR(__xludf.DUMMYFUNCTION("""COMPUTED_VALUE"""),100.0)</f>
        <v>100</v>
      </c>
      <c r="E25" s="9"/>
    </row>
    <row r="26">
      <c r="A26" s="10">
        <f>IFERROR(__xludf.DUMMYFUNCTION("""COMPUTED_VALUE"""),126983.0)</f>
        <v>126983</v>
      </c>
      <c r="B26" s="11">
        <f>IFERROR(__xludf.DUMMYFUNCTION("""COMPUTED_VALUE"""),0.0)</f>
        <v>0</v>
      </c>
      <c r="C26" s="11">
        <f>IFERROR(__xludf.DUMMYFUNCTION("""COMPUTED_VALUE"""),195.0)</f>
        <v>195</v>
      </c>
      <c r="D26" s="11">
        <f>IFERROR(__xludf.DUMMYFUNCTION("""COMPUTED_VALUE"""),79.0)</f>
        <v>79</v>
      </c>
      <c r="E26" s="9"/>
    </row>
    <row r="27">
      <c r="A27" s="10">
        <f>IFERROR(__xludf.DUMMYFUNCTION("""COMPUTED_VALUE"""),118226.0)</f>
        <v>118226</v>
      </c>
      <c r="B27" s="11">
        <f>IFERROR(__xludf.DUMMYFUNCTION("""COMPUTED_VALUE"""),0.0)</f>
        <v>0</v>
      </c>
      <c r="C27" s="11">
        <f>IFERROR(__xludf.DUMMYFUNCTION("""COMPUTED_VALUE"""),150.0)</f>
        <v>150</v>
      </c>
      <c r="D27" s="11">
        <f>IFERROR(__xludf.DUMMYFUNCTION("""COMPUTED_VALUE"""),150.0)</f>
        <v>150</v>
      </c>
      <c r="E27" s="9"/>
    </row>
    <row r="28">
      <c r="A28" s="10">
        <f>IFERROR(__xludf.DUMMYFUNCTION("""COMPUTED_VALUE"""),48618.0)</f>
        <v>48618</v>
      </c>
      <c r="B28" s="11">
        <f>IFERROR(__xludf.DUMMYFUNCTION("""COMPUTED_VALUE"""),1.0)</f>
        <v>1</v>
      </c>
      <c r="C28" s="11">
        <f>IFERROR(__xludf.DUMMYFUNCTION("""COMPUTED_VALUE"""),100.0)</f>
        <v>100</v>
      </c>
      <c r="D28" s="11">
        <f>IFERROR(__xludf.DUMMYFUNCTION("""COMPUTED_VALUE"""),100.0)</f>
        <v>100</v>
      </c>
      <c r="E28" s="9"/>
    </row>
    <row r="29">
      <c r="A29" s="10">
        <f>IFERROR(__xludf.DUMMYFUNCTION("""COMPUTED_VALUE"""),93037.0)</f>
        <v>93037</v>
      </c>
      <c r="B29" s="11">
        <f>IFERROR(__xludf.DUMMYFUNCTION("""COMPUTED_VALUE"""),0.0)</f>
        <v>0</v>
      </c>
      <c r="C29" s="11">
        <f>IFERROR(__xludf.DUMMYFUNCTION("""COMPUTED_VALUE"""),620.0)</f>
        <v>620</v>
      </c>
      <c r="D29" s="11">
        <f>IFERROR(__xludf.DUMMYFUNCTION("""COMPUTED_VALUE"""),620.0)</f>
        <v>620</v>
      </c>
      <c r="E29" s="9"/>
    </row>
    <row r="30">
      <c r="A30" s="10">
        <f>IFERROR(__xludf.DUMMYFUNCTION("""COMPUTED_VALUE"""),126984.0)</f>
        <v>126984</v>
      </c>
      <c r="B30" s="11">
        <f>IFERROR(__xludf.DUMMYFUNCTION("""COMPUTED_VALUE"""),0.0)</f>
        <v>0</v>
      </c>
      <c r="C30" s="11">
        <f>IFERROR(__xludf.DUMMYFUNCTION("""COMPUTED_VALUE"""),26.0)</f>
        <v>26</v>
      </c>
      <c r="D30" s="11">
        <f>IFERROR(__xludf.DUMMYFUNCTION("""COMPUTED_VALUE"""),6.0)</f>
        <v>6</v>
      </c>
      <c r="E30" s="9"/>
    </row>
    <row r="31">
      <c r="A31" s="10">
        <f>IFERROR(__xludf.DUMMYFUNCTION("""COMPUTED_VALUE"""),47393.0)</f>
        <v>47393</v>
      </c>
      <c r="B31" s="11">
        <f>IFERROR(__xludf.DUMMYFUNCTION("""COMPUTED_VALUE"""),0.0)</f>
        <v>0</v>
      </c>
      <c r="C31" s="11">
        <f>IFERROR(__xludf.DUMMYFUNCTION("""COMPUTED_VALUE"""),980.0)</f>
        <v>980</v>
      </c>
      <c r="D31" s="11">
        <f>IFERROR(__xludf.DUMMYFUNCTION("""COMPUTED_VALUE"""),608.0)</f>
        <v>608</v>
      </c>
      <c r="E31" s="9"/>
    </row>
    <row r="32">
      <c r="A32" s="10">
        <f>IFERROR(__xludf.DUMMYFUNCTION("""COMPUTED_VALUE"""),128214.0)</f>
        <v>128214</v>
      </c>
      <c r="B32" s="11">
        <f>IFERROR(__xludf.DUMMYFUNCTION("""COMPUTED_VALUE"""),0.0)</f>
        <v>0</v>
      </c>
      <c r="C32" s="11">
        <f>IFERROR(__xludf.DUMMYFUNCTION("""COMPUTED_VALUE"""),83.0)</f>
        <v>83</v>
      </c>
      <c r="D32" s="11">
        <f>IFERROR(__xludf.DUMMYFUNCTION("""COMPUTED_VALUE"""),83.0)</f>
        <v>83</v>
      </c>
      <c r="E32" s="9"/>
    </row>
    <row r="33">
      <c r="A33" s="10">
        <f>IFERROR(__xludf.DUMMYFUNCTION("""COMPUTED_VALUE"""),83802.0)</f>
        <v>83802</v>
      </c>
      <c r="B33" s="11">
        <f>IFERROR(__xludf.DUMMYFUNCTION("""COMPUTED_VALUE"""),0.0)</f>
        <v>0</v>
      </c>
      <c r="C33" s="11">
        <f>IFERROR(__xludf.DUMMYFUNCTION("""COMPUTED_VALUE"""),48.0)</f>
        <v>48</v>
      </c>
      <c r="D33" s="11">
        <f>IFERROR(__xludf.DUMMYFUNCTION("""COMPUTED_VALUE"""),36.0)</f>
        <v>36</v>
      </c>
      <c r="E33" s="9"/>
    </row>
    <row r="34">
      <c r="A34" s="10">
        <f>IFERROR(__xludf.DUMMYFUNCTION("""COMPUTED_VALUE"""),48625.0)</f>
        <v>48625</v>
      </c>
      <c r="B34" s="11">
        <f>IFERROR(__xludf.DUMMYFUNCTION("""COMPUTED_VALUE"""),1.0)</f>
        <v>1</v>
      </c>
      <c r="C34" s="11">
        <f>IFERROR(__xludf.DUMMYFUNCTION("""COMPUTED_VALUE"""),100.0)</f>
        <v>100</v>
      </c>
      <c r="D34" s="11">
        <f>IFERROR(__xludf.DUMMYFUNCTION("""COMPUTED_VALUE"""),100.0)</f>
        <v>100</v>
      </c>
      <c r="E34" s="9"/>
    </row>
    <row r="35">
      <c r="A35" s="10">
        <f>IFERROR(__xludf.DUMMYFUNCTION("""COMPUTED_VALUE"""),83602.0)</f>
        <v>83602</v>
      </c>
      <c r="B35" s="11">
        <f>IFERROR(__xludf.DUMMYFUNCTION("""COMPUTED_VALUE"""),0.0)</f>
        <v>0</v>
      </c>
      <c r="C35" s="11">
        <f>IFERROR(__xludf.DUMMYFUNCTION("""COMPUTED_VALUE"""),68.0)</f>
        <v>68</v>
      </c>
      <c r="D35" s="11">
        <f>IFERROR(__xludf.DUMMYFUNCTION("""COMPUTED_VALUE"""),68.0)</f>
        <v>68</v>
      </c>
      <c r="E35" s="9"/>
    </row>
    <row r="36">
      <c r="A36" s="10">
        <f>IFERROR(__xludf.DUMMYFUNCTION("""COMPUTED_VALUE"""),98867.0)</f>
        <v>98867</v>
      </c>
      <c r="B36" s="11">
        <f>IFERROR(__xludf.DUMMYFUNCTION("""COMPUTED_VALUE"""),0.0)</f>
        <v>0</v>
      </c>
      <c r="C36" s="11">
        <f>IFERROR(__xludf.DUMMYFUNCTION("""COMPUTED_VALUE"""),175.0)</f>
        <v>175</v>
      </c>
      <c r="D36" s="11">
        <f>IFERROR(__xludf.DUMMYFUNCTION("""COMPUTED_VALUE"""),175.0)</f>
        <v>175</v>
      </c>
      <c r="E36" s="9"/>
    </row>
    <row r="37">
      <c r="A37" s="10">
        <f>IFERROR(__xludf.DUMMYFUNCTION("""COMPUTED_VALUE"""),127042.0)</f>
        <v>127042</v>
      </c>
      <c r="B37" s="11">
        <f>IFERROR(__xludf.DUMMYFUNCTION("""COMPUTED_VALUE"""),0.0)</f>
        <v>0</v>
      </c>
      <c r="C37" s="11">
        <f>IFERROR(__xludf.DUMMYFUNCTION("""COMPUTED_VALUE"""),430.0)</f>
        <v>430</v>
      </c>
      <c r="D37" s="11">
        <f>IFERROR(__xludf.DUMMYFUNCTION("""COMPUTED_VALUE"""),430.0)</f>
        <v>430</v>
      </c>
      <c r="E37" s="9"/>
    </row>
    <row r="38">
      <c r="A38" s="10">
        <f>IFERROR(__xludf.DUMMYFUNCTION("""COMPUTED_VALUE"""),127241.0)</f>
        <v>127241</v>
      </c>
      <c r="B38" s="11">
        <f>IFERROR(__xludf.DUMMYFUNCTION("""COMPUTED_VALUE"""),0.0)</f>
        <v>0</v>
      </c>
      <c r="C38" s="11">
        <f>IFERROR(__xludf.DUMMYFUNCTION("""COMPUTED_VALUE"""),83.0)</f>
        <v>83</v>
      </c>
      <c r="D38" s="11">
        <f>IFERROR(__xludf.DUMMYFUNCTION("""COMPUTED_VALUE"""),83.0)</f>
        <v>83</v>
      </c>
      <c r="E38" s="9"/>
    </row>
    <row r="39">
      <c r="A39" s="10">
        <f>IFERROR(__xludf.DUMMYFUNCTION("""COMPUTED_VALUE"""),118220.0)</f>
        <v>118220</v>
      </c>
      <c r="B39" s="11">
        <f>IFERROR(__xludf.DUMMYFUNCTION("""COMPUTED_VALUE"""),0.0)</f>
        <v>0</v>
      </c>
      <c r="C39" s="11">
        <f>IFERROR(__xludf.DUMMYFUNCTION("""COMPUTED_VALUE"""),37.0)</f>
        <v>37</v>
      </c>
      <c r="D39" s="11">
        <f>IFERROR(__xludf.DUMMYFUNCTION("""COMPUTED_VALUE"""),37.0)</f>
        <v>37</v>
      </c>
      <c r="E39" s="9"/>
    </row>
    <row r="40">
      <c r="A40" s="10">
        <f>IFERROR(__xludf.DUMMYFUNCTION("""COMPUTED_VALUE"""),128216.0)</f>
        <v>128216</v>
      </c>
      <c r="B40" s="11">
        <f>IFERROR(__xludf.DUMMYFUNCTION("""COMPUTED_VALUE"""),0.0)</f>
        <v>0</v>
      </c>
      <c r="C40" s="11">
        <f>IFERROR(__xludf.DUMMYFUNCTION("""COMPUTED_VALUE"""),131.0)</f>
        <v>131</v>
      </c>
      <c r="D40" s="11">
        <f>IFERROR(__xludf.DUMMYFUNCTION("""COMPUTED_VALUE"""),131.0)</f>
        <v>131</v>
      </c>
      <c r="E40" s="9"/>
    </row>
    <row r="41">
      <c r="A41" s="10">
        <f>IFERROR(__xludf.DUMMYFUNCTION("""COMPUTED_VALUE"""),93049.0)</f>
        <v>93049</v>
      </c>
      <c r="B41" s="11">
        <f>IFERROR(__xludf.DUMMYFUNCTION("""COMPUTED_VALUE"""),0.0)</f>
        <v>0</v>
      </c>
      <c r="C41" s="11">
        <f>IFERROR(__xludf.DUMMYFUNCTION("""COMPUTED_VALUE"""),26.0)</f>
        <v>26</v>
      </c>
      <c r="D41" s="11">
        <f>IFERROR(__xludf.DUMMYFUNCTION("""COMPUTED_VALUE"""),26.0)</f>
        <v>26</v>
      </c>
      <c r="E41" s="9"/>
    </row>
    <row r="42">
      <c r="A42" s="10">
        <f>IFERROR(__xludf.DUMMYFUNCTION("""COMPUTED_VALUE"""),118216.0)</f>
        <v>118216</v>
      </c>
      <c r="B42" s="11">
        <f>IFERROR(__xludf.DUMMYFUNCTION("""COMPUTED_VALUE"""),0.0)</f>
        <v>0</v>
      </c>
      <c r="C42" s="11">
        <f>IFERROR(__xludf.DUMMYFUNCTION("""COMPUTED_VALUE"""),0.0)</f>
        <v>0</v>
      </c>
      <c r="D42" s="11">
        <f>IFERROR(__xludf.DUMMYFUNCTION("""COMPUTED_VALUE"""),0.0)</f>
        <v>0</v>
      </c>
      <c r="E42" s="9"/>
    </row>
    <row r="43">
      <c r="A43" s="10">
        <f>IFERROR(__xludf.DUMMYFUNCTION("""COMPUTED_VALUE"""),118221.0)</f>
        <v>118221</v>
      </c>
      <c r="B43" s="11">
        <f>IFERROR(__xludf.DUMMYFUNCTION("""COMPUTED_VALUE"""),1.0)</f>
        <v>1</v>
      </c>
      <c r="C43" s="11">
        <f>IFERROR(__xludf.DUMMYFUNCTION("""COMPUTED_VALUE"""),100.0)</f>
        <v>100</v>
      </c>
      <c r="D43" s="11">
        <f>IFERROR(__xludf.DUMMYFUNCTION("""COMPUTED_VALUE"""),100.0)</f>
        <v>100</v>
      </c>
      <c r="E43" s="9"/>
    </row>
    <row r="44">
      <c r="A44" s="10">
        <f>IFERROR(__xludf.DUMMYFUNCTION("""COMPUTED_VALUE"""),92900.0)</f>
        <v>92900</v>
      </c>
      <c r="B44" s="11">
        <f>IFERROR(__xludf.DUMMYFUNCTION("""COMPUTED_VALUE"""),0.0)</f>
        <v>0</v>
      </c>
      <c r="C44" s="11">
        <f>IFERROR(__xludf.DUMMYFUNCTION("""COMPUTED_VALUE"""),165.0)</f>
        <v>165</v>
      </c>
      <c r="D44" s="11">
        <f>IFERROR(__xludf.DUMMYFUNCTION("""COMPUTED_VALUE"""),129.0)</f>
        <v>129</v>
      </c>
      <c r="E44" s="9"/>
    </row>
    <row r="45">
      <c r="A45" s="10">
        <f>IFERROR(__xludf.DUMMYFUNCTION("""COMPUTED_VALUE"""),118215.0)</f>
        <v>118215</v>
      </c>
      <c r="B45" s="11">
        <f>IFERROR(__xludf.DUMMYFUNCTION("""COMPUTED_VALUE"""),1.0)</f>
        <v>1</v>
      </c>
      <c r="C45" s="11">
        <f>IFERROR(__xludf.DUMMYFUNCTION("""COMPUTED_VALUE"""),107.0)</f>
        <v>107</v>
      </c>
      <c r="D45" s="11">
        <f>IFERROR(__xludf.DUMMYFUNCTION("""COMPUTED_VALUE"""),49.0)</f>
        <v>49</v>
      </c>
      <c r="E45" s="9"/>
    </row>
    <row r="46">
      <c r="A46" s="10">
        <f>IFERROR(__xludf.DUMMYFUNCTION("""COMPUTED_VALUE"""),19832.0)</f>
        <v>19832</v>
      </c>
      <c r="B46" s="11">
        <f>IFERROR(__xludf.DUMMYFUNCTION("""COMPUTED_VALUE"""),1.0)</f>
        <v>1</v>
      </c>
      <c r="C46" s="11">
        <f>IFERROR(__xludf.DUMMYFUNCTION("""COMPUTED_VALUE"""),612.0)</f>
        <v>612</v>
      </c>
      <c r="D46" s="11">
        <f>IFERROR(__xludf.DUMMYFUNCTION("""COMPUTED_VALUE"""),575.0)</f>
        <v>575</v>
      </c>
      <c r="E46" s="9"/>
    </row>
    <row r="47">
      <c r="A47" s="10">
        <f>IFERROR(__xludf.DUMMYFUNCTION("""COMPUTED_VALUE"""),93071.0)</f>
        <v>93071</v>
      </c>
      <c r="B47" s="11">
        <f>IFERROR(__xludf.DUMMYFUNCTION("""COMPUTED_VALUE"""),1.0)</f>
        <v>1</v>
      </c>
      <c r="C47" s="11">
        <f>IFERROR(__xludf.DUMMYFUNCTION("""COMPUTED_VALUE"""),198.0)</f>
        <v>198</v>
      </c>
      <c r="D47" s="11">
        <f>IFERROR(__xludf.DUMMYFUNCTION("""COMPUTED_VALUE"""),19.0)</f>
        <v>19</v>
      </c>
      <c r="E47" s="9"/>
    </row>
    <row r="48">
      <c r="A48" s="10">
        <f>IFERROR(__xludf.DUMMYFUNCTION("""COMPUTED_VALUE"""),122395.0)</f>
        <v>122395</v>
      </c>
      <c r="B48" s="11">
        <f>IFERROR(__xludf.DUMMYFUNCTION("""COMPUTED_VALUE"""),1.0)</f>
        <v>1</v>
      </c>
      <c r="C48" s="11">
        <f>IFERROR(__xludf.DUMMYFUNCTION("""COMPUTED_VALUE"""),83.0)</f>
        <v>83</v>
      </c>
      <c r="D48" s="11">
        <f>IFERROR(__xludf.DUMMYFUNCTION("""COMPUTED_VALUE"""),2.0)</f>
        <v>2</v>
      </c>
      <c r="E48" s="9"/>
    </row>
    <row r="49">
      <c r="A49" s="10">
        <f>IFERROR(__xludf.DUMMYFUNCTION("""COMPUTED_VALUE"""),116946.0)</f>
        <v>116946</v>
      </c>
      <c r="B49" s="11">
        <f>IFERROR(__xludf.DUMMYFUNCTION("""COMPUTED_VALUE"""),1.0)</f>
        <v>1</v>
      </c>
      <c r="C49" s="11">
        <f>IFERROR(__xludf.DUMMYFUNCTION("""COMPUTED_VALUE"""),146.0)</f>
        <v>146</v>
      </c>
      <c r="D49" s="11">
        <f>IFERROR(__xludf.DUMMYFUNCTION("""COMPUTED_VALUE"""),86.0)</f>
        <v>86</v>
      </c>
      <c r="E49" s="9"/>
    </row>
    <row r="50">
      <c r="A50" s="10">
        <f>IFERROR(__xludf.DUMMYFUNCTION("""COMPUTED_VALUE"""),97538.0)</f>
        <v>97538</v>
      </c>
      <c r="B50" s="11">
        <f>IFERROR(__xludf.DUMMYFUNCTION("""COMPUTED_VALUE"""),1.0)</f>
        <v>1</v>
      </c>
      <c r="C50" s="11">
        <f>IFERROR(__xludf.DUMMYFUNCTION("""COMPUTED_VALUE"""),143.0)</f>
        <v>143</v>
      </c>
      <c r="D50" s="11">
        <f>IFERROR(__xludf.DUMMYFUNCTION("""COMPUTED_VALUE"""),87.0)</f>
        <v>87</v>
      </c>
      <c r="E50" s="9"/>
    </row>
    <row r="51">
      <c r="A51" s="10">
        <f>IFERROR(__xludf.DUMMYFUNCTION("""COMPUTED_VALUE"""),127238.0)</f>
        <v>127238</v>
      </c>
      <c r="B51" s="11">
        <f>IFERROR(__xludf.DUMMYFUNCTION("""COMPUTED_VALUE"""),1.0)</f>
        <v>1</v>
      </c>
      <c r="C51" s="11">
        <f>IFERROR(__xludf.DUMMYFUNCTION("""COMPUTED_VALUE"""),158.0)</f>
        <v>158</v>
      </c>
      <c r="D51" s="11">
        <f>IFERROR(__xludf.DUMMYFUNCTION("""COMPUTED_VALUE"""),95.0)</f>
        <v>95</v>
      </c>
      <c r="E51" s="9"/>
    </row>
    <row r="52">
      <c r="A52" s="10">
        <f>IFERROR(__xludf.DUMMYFUNCTION("""COMPUTED_VALUE"""),81646.0)</f>
        <v>81646</v>
      </c>
      <c r="B52" s="11">
        <f>IFERROR(__xludf.DUMMYFUNCTION("""COMPUTED_VALUE"""),1.0)</f>
        <v>1</v>
      </c>
      <c r="C52" s="11">
        <f>IFERROR(__xludf.DUMMYFUNCTION("""COMPUTED_VALUE"""),389.0)</f>
        <v>389</v>
      </c>
      <c r="D52" s="11">
        <f>IFERROR(__xludf.DUMMYFUNCTION("""COMPUTED_VALUE"""),155.0)</f>
        <v>155</v>
      </c>
      <c r="E52" s="9"/>
    </row>
    <row r="53">
      <c r="A53" s="10">
        <f>IFERROR(__xludf.DUMMYFUNCTION("""COMPUTED_VALUE"""),81643.0)</f>
        <v>81643</v>
      </c>
      <c r="B53" s="11">
        <f>IFERROR(__xludf.DUMMYFUNCTION("""COMPUTED_VALUE"""),1.0)</f>
        <v>1</v>
      </c>
      <c r="C53" s="11">
        <f>IFERROR(__xludf.DUMMYFUNCTION("""COMPUTED_VALUE"""),934.0)</f>
        <v>934</v>
      </c>
      <c r="D53" s="11">
        <f>IFERROR(__xludf.DUMMYFUNCTION("""COMPUTED_VALUE"""),303.0)</f>
        <v>303</v>
      </c>
      <c r="E53" s="9"/>
    </row>
    <row r="54">
      <c r="A54" s="10">
        <f>IFERROR(__xludf.DUMMYFUNCTION("""COMPUTED_VALUE"""),128215.0)</f>
        <v>128215</v>
      </c>
      <c r="B54" s="11">
        <f>IFERROR(__xludf.DUMMYFUNCTION("""COMPUTED_VALUE"""),1.0)</f>
        <v>1</v>
      </c>
      <c r="C54" s="11">
        <f>IFERROR(__xludf.DUMMYFUNCTION("""COMPUTED_VALUE"""),394.0)</f>
        <v>394</v>
      </c>
      <c r="D54" s="11">
        <f>IFERROR(__xludf.DUMMYFUNCTION("""COMPUTED_VALUE"""),246.0)</f>
        <v>246</v>
      </c>
      <c r="E54" s="9"/>
    </row>
    <row r="55">
      <c r="A55" s="10">
        <f>IFERROR(__xludf.DUMMYFUNCTION("""COMPUTED_VALUE"""),108022.0)</f>
        <v>108022</v>
      </c>
      <c r="B55" s="11">
        <f>IFERROR(__xludf.DUMMYFUNCTION("""COMPUTED_VALUE"""),1.0)</f>
        <v>1</v>
      </c>
      <c r="C55" s="11">
        <f>IFERROR(__xludf.DUMMYFUNCTION("""COMPUTED_VALUE"""),442.0)</f>
        <v>442</v>
      </c>
      <c r="D55" s="11">
        <f>IFERROR(__xludf.DUMMYFUNCTION("""COMPUTED_VALUE"""),277.0)</f>
        <v>277</v>
      </c>
      <c r="E55" s="9"/>
    </row>
    <row r="56">
      <c r="A56" s="10">
        <f>IFERROR(__xludf.DUMMYFUNCTION("""COMPUTED_VALUE"""),81647.0)</f>
        <v>81647</v>
      </c>
      <c r="B56" s="11">
        <f>IFERROR(__xludf.DUMMYFUNCTION("""COMPUTED_VALUE"""),0.0)</f>
        <v>0</v>
      </c>
      <c r="C56" s="11">
        <f>IFERROR(__xludf.DUMMYFUNCTION("""COMPUTED_VALUE"""),556.0)</f>
        <v>556</v>
      </c>
      <c r="D56" s="11">
        <f>IFERROR(__xludf.DUMMYFUNCTION("""COMPUTED_VALUE"""),231.0)</f>
        <v>231</v>
      </c>
      <c r="E56" s="9"/>
    </row>
    <row r="57">
      <c r="A57" s="10">
        <f>IFERROR(__xludf.DUMMYFUNCTION("""COMPUTED_VALUE"""),83603.0)</f>
        <v>83603</v>
      </c>
      <c r="B57" s="11">
        <f>IFERROR(__xludf.DUMMYFUNCTION("""COMPUTED_VALUE"""),1.0)</f>
        <v>1</v>
      </c>
      <c r="C57" s="11">
        <f>IFERROR(__xludf.DUMMYFUNCTION("""COMPUTED_VALUE"""),878.0)</f>
        <v>878</v>
      </c>
      <c r="D57" s="11">
        <f>IFERROR(__xludf.DUMMYFUNCTION("""COMPUTED_VALUE"""),106.0)</f>
        <v>106</v>
      </c>
      <c r="E57" s="9"/>
    </row>
    <row r="58">
      <c r="A58" s="10">
        <f>IFERROR(__xludf.DUMMYFUNCTION("""COMPUTED_VALUE"""),118219.0)</f>
        <v>118219</v>
      </c>
      <c r="B58" s="11">
        <f>IFERROR(__xludf.DUMMYFUNCTION("""COMPUTED_VALUE"""),1.0)</f>
        <v>1</v>
      </c>
      <c r="C58" s="11">
        <f>IFERROR(__xludf.DUMMYFUNCTION("""COMPUTED_VALUE"""),402.0)</f>
        <v>402</v>
      </c>
      <c r="D58" s="11">
        <f>IFERROR(__xludf.DUMMYFUNCTION("""COMPUTED_VALUE"""),210.0)</f>
        <v>210</v>
      </c>
      <c r="E58" s="9"/>
    </row>
    <row r="59">
      <c r="A59" s="10">
        <f>IFERROR(__xludf.DUMMYFUNCTION("""COMPUTED_VALUE"""),120952.0)</f>
        <v>120952</v>
      </c>
      <c r="B59" s="11">
        <f>IFERROR(__xludf.DUMMYFUNCTION("""COMPUTED_VALUE"""),1.0)</f>
        <v>1</v>
      </c>
      <c r="C59" s="11">
        <f>IFERROR(__xludf.DUMMYFUNCTION("""COMPUTED_VALUE"""),145.0)</f>
        <v>145</v>
      </c>
      <c r="D59" s="11">
        <f>IFERROR(__xludf.DUMMYFUNCTION("""COMPUTED_VALUE"""),84.0)</f>
        <v>84</v>
      </c>
      <c r="E59" s="9"/>
    </row>
    <row r="60">
      <c r="A60" s="10">
        <f>IFERROR(__xludf.DUMMYFUNCTION("""COMPUTED_VALUE"""),81658.0)</f>
        <v>81658</v>
      </c>
      <c r="B60" s="11">
        <f>IFERROR(__xludf.DUMMYFUNCTION("""COMPUTED_VALUE"""),1.0)</f>
        <v>1</v>
      </c>
      <c r="C60" s="11">
        <f>IFERROR(__xludf.DUMMYFUNCTION("""COMPUTED_VALUE"""),669.0)</f>
        <v>669</v>
      </c>
      <c r="D60" s="11">
        <f>IFERROR(__xludf.DUMMYFUNCTION("""COMPUTED_VALUE"""),41.0)</f>
        <v>41</v>
      </c>
      <c r="E60" s="9"/>
    </row>
    <row r="61">
      <c r="A61" s="10">
        <f>IFERROR(__xludf.DUMMYFUNCTION("""COMPUTED_VALUE"""),93047.0)</f>
        <v>93047</v>
      </c>
      <c r="B61" s="11">
        <f>IFERROR(__xludf.DUMMYFUNCTION("""COMPUTED_VALUE"""),0.0)</f>
        <v>0</v>
      </c>
      <c r="C61" s="11">
        <f>IFERROR(__xludf.DUMMYFUNCTION("""COMPUTED_VALUE"""),508.0)</f>
        <v>508</v>
      </c>
      <c r="D61" s="11">
        <f>IFERROR(__xludf.DUMMYFUNCTION("""COMPUTED_VALUE"""),296.0)</f>
        <v>296</v>
      </c>
      <c r="E61" s="9"/>
    </row>
    <row r="62">
      <c r="A62" s="10">
        <f>IFERROR(__xludf.DUMMYFUNCTION("""COMPUTED_VALUE"""),83807.0)</f>
        <v>83807</v>
      </c>
      <c r="B62" s="11">
        <f>IFERROR(__xludf.DUMMYFUNCTION("""COMPUTED_VALUE"""),1.0)</f>
        <v>1</v>
      </c>
      <c r="C62" s="11">
        <f>IFERROR(__xludf.DUMMYFUNCTION("""COMPUTED_VALUE"""),603.0)</f>
        <v>603</v>
      </c>
      <c r="D62" s="11">
        <f>IFERROR(__xludf.DUMMYFUNCTION("""COMPUTED_VALUE"""),325.0)</f>
        <v>325</v>
      </c>
      <c r="E62" s="9"/>
    </row>
    <row r="63">
      <c r="A63" s="10">
        <f>IFERROR(__xludf.DUMMYFUNCTION("""COMPUTED_VALUE"""),92915.0)</f>
        <v>92915</v>
      </c>
      <c r="B63" s="11">
        <f>IFERROR(__xludf.DUMMYFUNCTION("""COMPUTED_VALUE"""),0.0)</f>
        <v>0</v>
      </c>
      <c r="C63" s="11">
        <f>IFERROR(__xludf.DUMMYFUNCTION("""COMPUTED_VALUE"""),842.0)</f>
        <v>842</v>
      </c>
      <c r="D63" s="11">
        <f>IFERROR(__xludf.DUMMYFUNCTION("""COMPUTED_VALUE"""),563.0)</f>
        <v>563</v>
      </c>
      <c r="E63" s="9"/>
    </row>
    <row r="64">
      <c r="A64" s="10">
        <f>IFERROR(__xludf.DUMMYFUNCTION("""COMPUTED_VALUE"""),81653.0)</f>
        <v>81653</v>
      </c>
      <c r="B64" s="11">
        <f>IFERROR(__xludf.DUMMYFUNCTION("""COMPUTED_VALUE"""),0.0)</f>
        <v>0</v>
      </c>
      <c r="C64" s="11">
        <f>IFERROR(__xludf.DUMMYFUNCTION("""COMPUTED_VALUE"""),65.0)</f>
        <v>65</v>
      </c>
      <c r="D64" s="11">
        <f>IFERROR(__xludf.DUMMYFUNCTION("""COMPUTED_VALUE"""),31.0)</f>
        <v>31</v>
      </c>
      <c r="E64" s="9"/>
    </row>
    <row r="65">
      <c r="A65" s="10">
        <f>IFERROR(__xludf.DUMMYFUNCTION("""COMPUTED_VALUE"""),81618.0)</f>
        <v>81618</v>
      </c>
      <c r="B65" s="11">
        <f>IFERROR(__xludf.DUMMYFUNCTION("""COMPUTED_VALUE"""),1.0)</f>
        <v>1</v>
      </c>
      <c r="C65" s="11">
        <f>IFERROR(__xludf.DUMMYFUNCTION("""COMPUTED_VALUE"""),111.0)</f>
        <v>111</v>
      </c>
      <c r="D65" s="11">
        <f>IFERROR(__xludf.DUMMYFUNCTION("""COMPUTED_VALUE"""),33.0)</f>
        <v>33</v>
      </c>
      <c r="E65" s="9"/>
    </row>
    <row r="66">
      <c r="A66" s="10">
        <f>IFERROR(__xludf.DUMMYFUNCTION("""COMPUTED_VALUE"""),118241.0)</f>
        <v>118241</v>
      </c>
      <c r="B66" s="11">
        <f>IFERROR(__xludf.DUMMYFUNCTION("""COMPUTED_VALUE"""),1.0)</f>
        <v>1</v>
      </c>
      <c r="C66" s="11">
        <f>IFERROR(__xludf.DUMMYFUNCTION("""COMPUTED_VALUE"""),893.0)</f>
        <v>893</v>
      </c>
      <c r="D66" s="11">
        <f>IFERROR(__xludf.DUMMYFUNCTION("""COMPUTED_VALUE"""),1.0)</f>
        <v>1</v>
      </c>
      <c r="E66" s="9"/>
    </row>
    <row r="67">
      <c r="A67" s="10">
        <f>IFERROR(__xludf.DUMMYFUNCTION("""COMPUTED_VALUE"""),48634.0)</f>
        <v>48634</v>
      </c>
      <c r="B67" s="11">
        <f>IFERROR(__xludf.DUMMYFUNCTION("""COMPUTED_VALUE"""),1.0)</f>
        <v>1</v>
      </c>
      <c r="C67" s="11">
        <f>IFERROR(__xludf.DUMMYFUNCTION("""COMPUTED_VALUE"""),835.0)</f>
        <v>835</v>
      </c>
      <c r="D67" s="11">
        <f>IFERROR(__xludf.DUMMYFUNCTION("""COMPUTED_VALUE"""),181.0)</f>
        <v>181</v>
      </c>
      <c r="E67" s="9"/>
    </row>
    <row r="68">
      <c r="A68" s="10">
        <f>IFERROR(__xludf.DUMMYFUNCTION("""COMPUTED_VALUE"""),48636.0)</f>
        <v>48636</v>
      </c>
      <c r="B68" s="11">
        <f>IFERROR(__xludf.DUMMYFUNCTION("""COMPUTED_VALUE"""),1.0)</f>
        <v>1</v>
      </c>
      <c r="C68" s="11">
        <f>IFERROR(__xludf.DUMMYFUNCTION("""COMPUTED_VALUE"""),31.0)</f>
        <v>31</v>
      </c>
      <c r="D68" s="11">
        <f>IFERROR(__xludf.DUMMYFUNCTION("""COMPUTED_VALUE"""),8.0)</f>
        <v>8</v>
      </c>
      <c r="E68" s="9"/>
    </row>
    <row r="69">
      <c r="A69" s="10">
        <f>IFERROR(__xludf.DUMMYFUNCTION("""COMPUTED_VALUE"""),48629.0)</f>
        <v>48629</v>
      </c>
      <c r="B69" s="11">
        <f>IFERROR(__xludf.DUMMYFUNCTION("""COMPUTED_VALUE"""),1.0)</f>
        <v>1</v>
      </c>
      <c r="C69" s="11">
        <f>IFERROR(__xludf.DUMMYFUNCTION("""COMPUTED_VALUE"""),928.0)</f>
        <v>928</v>
      </c>
      <c r="D69" s="11">
        <f>IFERROR(__xludf.DUMMYFUNCTION("""COMPUTED_VALUE"""),630.0)</f>
        <v>630</v>
      </c>
      <c r="E69" s="9"/>
    </row>
    <row r="70">
      <c r="A70" s="10">
        <f>IFERROR(__xludf.DUMMYFUNCTION("""COMPUTED_VALUE"""),47400.0)</f>
        <v>47400</v>
      </c>
      <c r="B70" s="11">
        <f>IFERROR(__xludf.DUMMYFUNCTION("""COMPUTED_VALUE"""),1.0)</f>
        <v>1</v>
      </c>
      <c r="C70" s="11">
        <f>IFERROR(__xludf.DUMMYFUNCTION("""COMPUTED_VALUE"""),870.0)</f>
        <v>870</v>
      </c>
      <c r="D70" s="11">
        <f>IFERROR(__xludf.DUMMYFUNCTION("""COMPUTED_VALUE"""),397.0)</f>
        <v>397</v>
      </c>
      <c r="E70" s="9"/>
    </row>
    <row r="71">
      <c r="A71" s="10">
        <f>IFERROR(__xludf.DUMMYFUNCTION("""COMPUTED_VALUE"""),111237.0)</f>
        <v>111237</v>
      </c>
      <c r="B71" s="11">
        <f>IFERROR(__xludf.DUMMYFUNCTION("""COMPUTED_VALUE"""),0.0)</f>
        <v>0</v>
      </c>
      <c r="C71" s="11">
        <f>IFERROR(__xludf.DUMMYFUNCTION("""COMPUTED_VALUE"""),428.0)</f>
        <v>428</v>
      </c>
      <c r="D71" s="11">
        <f>IFERROR(__xludf.DUMMYFUNCTION("""COMPUTED_VALUE"""),123.0)</f>
        <v>123</v>
      </c>
      <c r="E71" s="9"/>
    </row>
    <row r="72">
      <c r="A72" s="10">
        <f>IFERROR(__xludf.DUMMYFUNCTION("""COMPUTED_VALUE"""),18042.0)</f>
        <v>18042</v>
      </c>
      <c r="B72" s="11">
        <f>IFERROR(__xludf.DUMMYFUNCTION("""COMPUTED_VALUE"""),0.0)</f>
        <v>0</v>
      </c>
      <c r="C72" s="11">
        <f>IFERROR(__xludf.DUMMYFUNCTION("""COMPUTED_VALUE"""),247.0)</f>
        <v>247</v>
      </c>
      <c r="D72" s="11">
        <f>IFERROR(__xludf.DUMMYFUNCTION("""COMPUTED_VALUE"""),228.0)</f>
        <v>228</v>
      </c>
      <c r="E72" s="9"/>
    </row>
    <row r="73">
      <c r="A73" s="10">
        <f>IFERROR(__xludf.DUMMYFUNCTION("""COMPUTED_VALUE"""),114978.0)</f>
        <v>114978</v>
      </c>
      <c r="B73" s="11">
        <f>IFERROR(__xludf.DUMMYFUNCTION("""COMPUTED_VALUE"""),0.0)</f>
        <v>0</v>
      </c>
      <c r="C73" s="11">
        <f>IFERROR(__xludf.DUMMYFUNCTION("""COMPUTED_VALUE"""),295.0)</f>
        <v>295</v>
      </c>
      <c r="D73" s="11">
        <f>IFERROR(__xludf.DUMMYFUNCTION("""COMPUTED_VALUE"""),260.0)</f>
        <v>260</v>
      </c>
      <c r="E73" s="9"/>
    </row>
    <row r="74">
      <c r="A74" s="10">
        <f>IFERROR(__xludf.DUMMYFUNCTION("""COMPUTED_VALUE"""),82980.0)</f>
        <v>82980</v>
      </c>
      <c r="B74" s="11">
        <f>IFERROR(__xludf.DUMMYFUNCTION("""COMPUTED_VALUE"""),1.0)</f>
        <v>1</v>
      </c>
      <c r="C74" s="11">
        <f>IFERROR(__xludf.DUMMYFUNCTION("""COMPUTED_VALUE"""),336.0)</f>
        <v>336</v>
      </c>
      <c r="D74" s="11">
        <f>IFERROR(__xludf.DUMMYFUNCTION("""COMPUTED_VALUE"""),155.0)</f>
        <v>155</v>
      </c>
      <c r="E74" s="9"/>
    </row>
    <row r="75">
      <c r="A75" s="10">
        <f>IFERROR(__xludf.DUMMYFUNCTION("""COMPUTED_VALUE"""),83093.0)</f>
        <v>83093</v>
      </c>
      <c r="B75" s="11">
        <f>IFERROR(__xludf.DUMMYFUNCTION("""COMPUTED_VALUE"""),0.0)</f>
        <v>0</v>
      </c>
      <c r="C75" s="11">
        <f>IFERROR(__xludf.DUMMYFUNCTION("""COMPUTED_VALUE"""),452.0)</f>
        <v>452</v>
      </c>
      <c r="D75" s="11">
        <f>IFERROR(__xludf.DUMMYFUNCTION("""COMPUTED_VALUE"""),394.0)</f>
        <v>394</v>
      </c>
      <c r="E75" s="9"/>
    </row>
    <row r="76">
      <c r="A76" s="10">
        <f>IFERROR(__xludf.DUMMYFUNCTION("""COMPUTED_VALUE"""),18134.0)</f>
        <v>18134</v>
      </c>
      <c r="B76" s="11">
        <f>IFERROR(__xludf.DUMMYFUNCTION("""COMPUTED_VALUE"""),0.0)</f>
        <v>0</v>
      </c>
      <c r="C76" s="11">
        <f>IFERROR(__xludf.DUMMYFUNCTION("""COMPUTED_VALUE"""),510.0)</f>
        <v>510</v>
      </c>
      <c r="D76" s="11">
        <f>IFERROR(__xludf.DUMMYFUNCTION("""COMPUTED_VALUE"""),395.0)</f>
        <v>395</v>
      </c>
      <c r="E76" s="9"/>
    </row>
    <row r="77">
      <c r="A77" s="10">
        <f>IFERROR(__xludf.DUMMYFUNCTION("""COMPUTED_VALUE"""),107857.0)</f>
        <v>107857</v>
      </c>
      <c r="B77" s="11">
        <f>IFERROR(__xludf.DUMMYFUNCTION("""COMPUTED_VALUE"""),0.0)</f>
        <v>0</v>
      </c>
      <c r="C77" s="11">
        <f>IFERROR(__xludf.DUMMYFUNCTION("""COMPUTED_VALUE"""),662.0)</f>
        <v>662</v>
      </c>
      <c r="D77" s="11">
        <f>IFERROR(__xludf.DUMMYFUNCTION("""COMPUTED_VALUE"""),336.0)</f>
        <v>336</v>
      </c>
      <c r="E77" s="9"/>
    </row>
    <row r="78">
      <c r="A78" s="10">
        <f>IFERROR(__xludf.DUMMYFUNCTION("""COMPUTED_VALUE"""),18136.0)</f>
        <v>18136</v>
      </c>
      <c r="B78" s="11">
        <f>IFERROR(__xludf.DUMMYFUNCTION("""COMPUTED_VALUE"""),1.0)</f>
        <v>1</v>
      </c>
      <c r="C78" s="11">
        <f>IFERROR(__xludf.DUMMYFUNCTION("""COMPUTED_VALUE"""),848.0)</f>
        <v>848</v>
      </c>
      <c r="D78" s="11">
        <f>IFERROR(__xludf.DUMMYFUNCTION("""COMPUTED_VALUE"""),807.0)</f>
        <v>807</v>
      </c>
      <c r="E78" s="9"/>
    </row>
    <row r="79">
      <c r="A79" s="10">
        <f>IFERROR(__xludf.DUMMYFUNCTION("""COMPUTED_VALUE"""),69138.0)</f>
        <v>69138</v>
      </c>
      <c r="B79" s="11">
        <f>IFERROR(__xludf.DUMMYFUNCTION("""COMPUTED_VALUE"""),1.0)</f>
        <v>1</v>
      </c>
      <c r="C79" s="11">
        <f>IFERROR(__xludf.DUMMYFUNCTION("""COMPUTED_VALUE"""),40.0)</f>
        <v>40</v>
      </c>
      <c r="D79" s="11">
        <f>IFERROR(__xludf.DUMMYFUNCTION("""COMPUTED_VALUE"""),25.0)</f>
        <v>25</v>
      </c>
      <c r="E79" s="9"/>
    </row>
    <row r="80">
      <c r="A80" s="10">
        <f>IFERROR(__xludf.DUMMYFUNCTION("""COMPUTED_VALUE"""),74828.0)</f>
        <v>74828</v>
      </c>
      <c r="B80" s="11">
        <f>IFERROR(__xludf.DUMMYFUNCTION("""COMPUTED_VALUE"""),0.0)</f>
        <v>0</v>
      </c>
      <c r="C80" s="11">
        <f>IFERROR(__xludf.DUMMYFUNCTION("""COMPUTED_VALUE"""),664.0)</f>
        <v>664</v>
      </c>
      <c r="D80" s="11">
        <f>IFERROR(__xludf.DUMMYFUNCTION("""COMPUTED_VALUE"""),622.0)</f>
        <v>622</v>
      </c>
      <c r="E80" s="9"/>
    </row>
    <row r="81">
      <c r="A81" s="10">
        <f>IFERROR(__xludf.DUMMYFUNCTION("""COMPUTED_VALUE"""),74884.0)</f>
        <v>74884</v>
      </c>
      <c r="B81" s="11">
        <f>IFERROR(__xludf.DUMMYFUNCTION("""COMPUTED_VALUE"""),1.0)</f>
        <v>1</v>
      </c>
      <c r="C81" s="11">
        <f>IFERROR(__xludf.DUMMYFUNCTION("""COMPUTED_VALUE"""),6.0)</f>
        <v>6</v>
      </c>
      <c r="D81" s="11">
        <f>IFERROR(__xludf.DUMMYFUNCTION("""COMPUTED_VALUE"""),6.0)</f>
        <v>6</v>
      </c>
      <c r="E81" s="9"/>
    </row>
    <row r="82">
      <c r="A82" s="10">
        <f>IFERROR(__xludf.DUMMYFUNCTION("""COMPUTED_VALUE"""),127232.0)</f>
        <v>127232</v>
      </c>
      <c r="B82" s="11">
        <f>IFERROR(__xludf.DUMMYFUNCTION("""COMPUTED_VALUE"""),1.0)</f>
        <v>1</v>
      </c>
      <c r="C82" s="11">
        <f>IFERROR(__xludf.DUMMYFUNCTION("""COMPUTED_VALUE"""),715.0)</f>
        <v>715</v>
      </c>
      <c r="D82" s="11">
        <f>IFERROR(__xludf.DUMMYFUNCTION("""COMPUTED_VALUE"""),657.0)</f>
        <v>657</v>
      </c>
      <c r="E82" s="9"/>
    </row>
    <row r="83">
      <c r="A83" s="10">
        <f>IFERROR(__xludf.DUMMYFUNCTION("""COMPUTED_VALUE"""),82979.0)</f>
        <v>82979</v>
      </c>
      <c r="B83" s="11">
        <f>IFERROR(__xludf.DUMMYFUNCTION("""COMPUTED_VALUE"""),1.0)</f>
        <v>1</v>
      </c>
      <c r="C83" s="11">
        <f>IFERROR(__xludf.DUMMYFUNCTION("""COMPUTED_VALUE"""),764.0)</f>
        <v>764</v>
      </c>
      <c r="D83" s="11">
        <f>IFERROR(__xludf.DUMMYFUNCTION("""COMPUTED_VALUE"""),714.0)</f>
        <v>714</v>
      </c>
      <c r="E83" s="9"/>
    </row>
    <row r="84">
      <c r="A84" s="10">
        <f>IFERROR(__xludf.DUMMYFUNCTION("""COMPUTED_VALUE"""),18138.0)</f>
        <v>18138</v>
      </c>
      <c r="B84" s="11">
        <f>IFERROR(__xludf.DUMMYFUNCTION("""COMPUTED_VALUE"""),0.0)</f>
        <v>0</v>
      </c>
      <c r="C84" s="11">
        <f>IFERROR(__xludf.DUMMYFUNCTION("""COMPUTED_VALUE"""),561.0)</f>
        <v>561</v>
      </c>
      <c r="D84" s="11">
        <f>IFERROR(__xludf.DUMMYFUNCTION("""COMPUTED_VALUE"""),347.0)</f>
        <v>347</v>
      </c>
      <c r="E84" s="9"/>
    </row>
    <row r="85">
      <c r="A85" s="10">
        <f>IFERROR(__xludf.DUMMYFUNCTION("""COMPUTED_VALUE"""),127003.0)</f>
        <v>127003</v>
      </c>
      <c r="B85" s="11">
        <f>IFERROR(__xludf.DUMMYFUNCTION("""COMPUTED_VALUE"""),0.0)</f>
        <v>0</v>
      </c>
      <c r="C85" s="11">
        <f>IFERROR(__xludf.DUMMYFUNCTION("""COMPUTED_VALUE"""),753.0)</f>
        <v>753</v>
      </c>
      <c r="D85" s="11">
        <f>IFERROR(__xludf.DUMMYFUNCTION("""COMPUTED_VALUE"""),393.0)</f>
        <v>393</v>
      </c>
      <c r="E85" s="9"/>
    </row>
    <row r="86">
      <c r="A86" s="10">
        <f>IFERROR(__xludf.DUMMYFUNCTION("""COMPUTED_VALUE"""),6036.0)</f>
        <v>6036</v>
      </c>
      <c r="B86" s="11">
        <f>IFERROR(__xludf.DUMMYFUNCTION("""COMPUTED_VALUE"""),1.0)</f>
        <v>1</v>
      </c>
      <c r="C86" s="11">
        <f>IFERROR(__xludf.DUMMYFUNCTION("""COMPUTED_VALUE"""),447.0)</f>
        <v>447</v>
      </c>
      <c r="D86" s="11">
        <f>IFERROR(__xludf.DUMMYFUNCTION("""COMPUTED_VALUE"""),438.0)</f>
        <v>438</v>
      </c>
      <c r="E86" s="9"/>
    </row>
    <row r="87">
      <c r="A87" s="10">
        <f>IFERROR(__xludf.DUMMYFUNCTION("""COMPUTED_VALUE"""),6046.0)</f>
        <v>6046</v>
      </c>
      <c r="B87" s="11">
        <f>IFERROR(__xludf.DUMMYFUNCTION("""COMPUTED_VALUE"""),0.0)</f>
        <v>0</v>
      </c>
      <c r="C87" s="11">
        <f>IFERROR(__xludf.DUMMYFUNCTION("""COMPUTED_VALUE"""),737.0)</f>
        <v>737</v>
      </c>
      <c r="D87" s="11">
        <f>IFERROR(__xludf.DUMMYFUNCTION("""COMPUTED_VALUE"""),321.0)</f>
        <v>321</v>
      </c>
      <c r="E87" s="9"/>
    </row>
    <row r="88">
      <c r="A88" s="10">
        <f>IFERROR(__xludf.DUMMYFUNCTION("""COMPUTED_VALUE"""),6037.0)</f>
        <v>6037</v>
      </c>
      <c r="B88" s="11">
        <f>IFERROR(__xludf.DUMMYFUNCTION("""COMPUTED_VALUE"""),0.0)</f>
        <v>0</v>
      </c>
      <c r="C88" s="11">
        <f>IFERROR(__xludf.DUMMYFUNCTION("""COMPUTED_VALUE"""),276.0)</f>
        <v>276</v>
      </c>
      <c r="D88" s="11">
        <f>IFERROR(__xludf.DUMMYFUNCTION("""COMPUTED_VALUE"""),231.0)</f>
        <v>231</v>
      </c>
      <c r="E88" s="9"/>
    </row>
    <row r="89">
      <c r="A89" s="10">
        <f>IFERROR(__xludf.DUMMYFUNCTION("""COMPUTED_VALUE"""),6026.0)</f>
        <v>6026</v>
      </c>
      <c r="B89" s="11">
        <f>IFERROR(__xludf.DUMMYFUNCTION("""COMPUTED_VALUE"""),1.0)</f>
        <v>1</v>
      </c>
      <c r="C89" s="11">
        <f>IFERROR(__xludf.DUMMYFUNCTION("""COMPUTED_VALUE"""),131.0)</f>
        <v>131</v>
      </c>
      <c r="D89" s="11">
        <f>IFERROR(__xludf.DUMMYFUNCTION("""COMPUTED_VALUE"""),27.0)</f>
        <v>27</v>
      </c>
      <c r="E89" s="9"/>
    </row>
    <row r="90">
      <c r="A90" s="10">
        <f>IFERROR(__xludf.DUMMYFUNCTION("""COMPUTED_VALUE"""),47431.0)</f>
        <v>47431</v>
      </c>
      <c r="B90" s="11">
        <f>IFERROR(__xludf.DUMMYFUNCTION("""COMPUTED_VALUE"""),0.0)</f>
        <v>0</v>
      </c>
      <c r="C90" s="11">
        <f>IFERROR(__xludf.DUMMYFUNCTION("""COMPUTED_VALUE"""),100.0)</f>
        <v>100</v>
      </c>
      <c r="D90" s="11">
        <f>IFERROR(__xludf.DUMMYFUNCTION("""COMPUTED_VALUE"""),7.0)</f>
        <v>7</v>
      </c>
      <c r="E90" s="9"/>
    </row>
    <row r="91">
      <c r="A91" s="10">
        <f>IFERROR(__xludf.DUMMYFUNCTION("""COMPUTED_VALUE"""),82914.0)</f>
        <v>82914</v>
      </c>
      <c r="B91" s="11">
        <f>IFERROR(__xludf.DUMMYFUNCTION("""COMPUTED_VALUE"""),1.0)</f>
        <v>1</v>
      </c>
      <c r="C91" s="11">
        <f>IFERROR(__xludf.DUMMYFUNCTION("""COMPUTED_VALUE"""),475.0)</f>
        <v>475</v>
      </c>
      <c r="D91" s="11">
        <f>IFERROR(__xludf.DUMMYFUNCTION("""COMPUTED_VALUE"""),337.0)</f>
        <v>337</v>
      </c>
      <c r="E91" s="9"/>
    </row>
    <row r="92">
      <c r="A92" s="10">
        <f>IFERROR(__xludf.DUMMYFUNCTION("""COMPUTED_VALUE"""),6044.0)</f>
        <v>6044</v>
      </c>
      <c r="B92" s="11">
        <f>IFERROR(__xludf.DUMMYFUNCTION("""COMPUTED_VALUE"""),1.0)</f>
        <v>1</v>
      </c>
      <c r="C92" s="11">
        <f>IFERROR(__xludf.DUMMYFUNCTION("""COMPUTED_VALUE"""),197.0)</f>
        <v>197</v>
      </c>
      <c r="D92" s="11">
        <f>IFERROR(__xludf.DUMMYFUNCTION("""COMPUTED_VALUE"""),167.0)</f>
        <v>167</v>
      </c>
      <c r="E92" s="9"/>
    </row>
    <row r="93">
      <c r="A93" s="10">
        <f>IFERROR(__xludf.DUMMYFUNCTION("""COMPUTED_VALUE"""),82913.0)</f>
        <v>82913</v>
      </c>
      <c r="B93" s="11">
        <f>IFERROR(__xludf.DUMMYFUNCTION("""COMPUTED_VALUE"""),1.0)</f>
        <v>1</v>
      </c>
      <c r="C93" s="11">
        <f>IFERROR(__xludf.DUMMYFUNCTION("""COMPUTED_VALUE"""),192.0)</f>
        <v>192</v>
      </c>
      <c r="D93" s="11">
        <f>IFERROR(__xludf.DUMMYFUNCTION("""COMPUTED_VALUE"""),114.0)</f>
        <v>114</v>
      </c>
      <c r="E93" s="9"/>
    </row>
    <row r="94">
      <c r="A94" s="10">
        <f>IFERROR(__xludf.DUMMYFUNCTION("""COMPUTED_VALUE"""),82922.0)</f>
        <v>82922</v>
      </c>
      <c r="B94" s="11">
        <f>IFERROR(__xludf.DUMMYFUNCTION("""COMPUTED_VALUE"""),1.0)</f>
        <v>1</v>
      </c>
      <c r="C94" s="11">
        <f>IFERROR(__xludf.DUMMYFUNCTION("""COMPUTED_VALUE"""),766.0)</f>
        <v>766</v>
      </c>
      <c r="D94" s="11">
        <f>IFERROR(__xludf.DUMMYFUNCTION("""COMPUTED_VALUE"""),105.0)</f>
        <v>105</v>
      </c>
      <c r="E94" s="9"/>
    </row>
    <row r="95">
      <c r="A95" s="10">
        <f>IFERROR(__xludf.DUMMYFUNCTION("""COMPUTED_VALUE"""),6045.0)</f>
        <v>6045</v>
      </c>
      <c r="B95" s="11">
        <f>IFERROR(__xludf.DUMMYFUNCTION("""COMPUTED_VALUE"""),1.0)</f>
        <v>1</v>
      </c>
      <c r="C95" s="11">
        <f>IFERROR(__xludf.DUMMYFUNCTION("""COMPUTED_VALUE"""),1.0)</f>
        <v>1</v>
      </c>
      <c r="D95" s="11">
        <f>IFERROR(__xludf.DUMMYFUNCTION("""COMPUTED_VALUE"""),1.0)</f>
        <v>1</v>
      </c>
      <c r="E95" s="9"/>
    </row>
    <row r="96">
      <c r="A96" s="10">
        <f>IFERROR(__xludf.DUMMYFUNCTION("""COMPUTED_VALUE"""),6027.0)</f>
        <v>6027</v>
      </c>
      <c r="B96" s="11">
        <f>IFERROR(__xludf.DUMMYFUNCTION("""COMPUTED_VALUE"""),0.0)</f>
        <v>0</v>
      </c>
      <c r="C96" s="11">
        <f>IFERROR(__xludf.DUMMYFUNCTION("""COMPUTED_VALUE"""),272.0)</f>
        <v>272</v>
      </c>
      <c r="D96" s="11">
        <f>IFERROR(__xludf.DUMMYFUNCTION("""COMPUTED_VALUE"""),168.0)</f>
        <v>168</v>
      </c>
      <c r="E96" s="9"/>
    </row>
    <row r="97">
      <c r="A97" s="10">
        <f>IFERROR(__xludf.DUMMYFUNCTION("""COMPUTED_VALUE"""),97088.0)</f>
        <v>97088</v>
      </c>
      <c r="B97" s="11">
        <f>IFERROR(__xludf.DUMMYFUNCTION("""COMPUTED_VALUE"""),1.0)</f>
        <v>1</v>
      </c>
      <c r="C97" s="11">
        <f>IFERROR(__xludf.DUMMYFUNCTION("""COMPUTED_VALUE"""),366.0)</f>
        <v>366</v>
      </c>
      <c r="D97" s="11">
        <f>IFERROR(__xludf.DUMMYFUNCTION("""COMPUTED_VALUE"""),298.0)</f>
        <v>298</v>
      </c>
      <c r="E97" s="9"/>
    </row>
    <row r="98">
      <c r="A98" s="10">
        <f>IFERROR(__xludf.DUMMYFUNCTION("""COMPUTED_VALUE"""),122235.0)</f>
        <v>122235</v>
      </c>
      <c r="B98" s="11">
        <f>IFERROR(__xludf.DUMMYFUNCTION("""COMPUTED_VALUE"""),1.0)</f>
        <v>1</v>
      </c>
      <c r="C98" s="11">
        <f>IFERROR(__xludf.DUMMYFUNCTION("""COMPUTED_VALUE"""),941.0)</f>
        <v>941</v>
      </c>
      <c r="D98" s="11">
        <f>IFERROR(__xludf.DUMMYFUNCTION("""COMPUTED_VALUE"""),126.0)</f>
        <v>126</v>
      </c>
      <c r="E98" s="9"/>
    </row>
    <row r="99">
      <c r="A99" s="10">
        <f>IFERROR(__xludf.DUMMYFUNCTION("""COMPUTED_VALUE"""),119887.0)</f>
        <v>119887</v>
      </c>
      <c r="B99" s="11">
        <f>IFERROR(__xludf.DUMMYFUNCTION("""COMPUTED_VALUE"""),1.0)</f>
        <v>1</v>
      </c>
      <c r="C99" s="11">
        <f>IFERROR(__xludf.DUMMYFUNCTION("""COMPUTED_VALUE"""),743.0)</f>
        <v>743</v>
      </c>
      <c r="D99" s="11">
        <f>IFERROR(__xludf.DUMMYFUNCTION("""COMPUTED_VALUE"""),505.0)</f>
        <v>505</v>
      </c>
      <c r="E99" s="9"/>
    </row>
    <row r="100">
      <c r="A100" s="10">
        <f>IFERROR(__xludf.DUMMYFUNCTION("""COMPUTED_VALUE"""),97980.0)</f>
        <v>97980</v>
      </c>
      <c r="B100" s="11">
        <f>IFERROR(__xludf.DUMMYFUNCTION("""COMPUTED_VALUE"""),0.0)</f>
        <v>0</v>
      </c>
      <c r="C100" s="11">
        <f>IFERROR(__xludf.DUMMYFUNCTION("""COMPUTED_VALUE"""),367.0)</f>
        <v>367</v>
      </c>
      <c r="D100" s="11">
        <f>IFERROR(__xludf.DUMMYFUNCTION("""COMPUTED_VALUE"""),345.0)</f>
        <v>345</v>
      </c>
      <c r="E100" s="9"/>
    </row>
    <row r="101">
      <c r="A101" s="10">
        <f>IFERROR(__xludf.DUMMYFUNCTION("""COMPUTED_VALUE"""),119876.0)</f>
        <v>119876</v>
      </c>
      <c r="B101" s="11">
        <f>IFERROR(__xludf.DUMMYFUNCTION("""COMPUTED_VALUE"""),0.0)</f>
        <v>0</v>
      </c>
      <c r="C101" s="11">
        <f>IFERROR(__xludf.DUMMYFUNCTION("""COMPUTED_VALUE"""),742.0)</f>
        <v>742</v>
      </c>
      <c r="D101" s="11">
        <f>IFERROR(__xludf.DUMMYFUNCTION("""COMPUTED_VALUE"""),441.0)</f>
        <v>441</v>
      </c>
      <c r="E101" s="9"/>
    </row>
    <row r="102">
      <c r="A102" s="10">
        <f>IFERROR(__xludf.DUMMYFUNCTION("""COMPUTED_VALUE"""),119881.0)</f>
        <v>119881</v>
      </c>
      <c r="B102" s="11">
        <f>IFERROR(__xludf.DUMMYFUNCTION("""COMPUTED_VALUE"""),0.0)</f>
        <v>0</v>
      </c>
      <c r="C102" s="11">
        <f>IFERROR(__xludf.DUMMYFUNCTION("""COMPUTED_VALUE"""),771.0)</f>
        <v>771</v>
      </c>
      <c r="D102" s="11">
        <f>IFERROR(__xludf.DUMMYFUNCTION("""COMPUTED_VALUE"""),97.0)</f>
        <v>97</v>
      </c>
      <c r="E102" s="9"/>
    </row>
    <row r="103">
      <c r="A103" s="10">
        <f>IFERROR(__xludf.DUMMYFUNCTION("""COMPUTED_VALUE"""),26127.0)</f>
        <v>26127</v>
      </c>
      <c r="B103" s="11">
        <f>IFERROR(__xludf.DUMMYFUNCTION("""COMPUTED_VALUE"""),0.0)</f>
        <v>0</v>
      </c>
      <c r="C103" s="11">
        <f>IFERROR(__xludf.DUMMYFUNCTION("""COMPUTED_VALUE"""),949.0)</f>
        <v>949</v>
      </c>
      <c r="D103" s="11">
        <f>IFERROR(__xludf.DUMMYFUNCTION("""COMPUTED_VALUE"""),223.0)</f>
        <v>223</v>
      </c>
      <c r="E103" s="9"/>
    </row>
    <row r="104">
      <c r="A104" s="10">
        <f>IFERROR(__xludf.DUMMYFUNCTION("""COMPUTED_VALUE"""),87365.0)</f>
        <v>87365</v>
      </c>
      <c r="B104" s="11">
        <f>IFERROR(__xludf.DUMMYFUNCTION("""COMPUTED_VALUE"""),1.0)</f>
        <v>1</v>
      </c>
      <c r="C104" s="11">
        <f>IFERROR(__xludf.DUMMYFUNCTION("""COMPUTED_VALUE"""),699.0)</f>
        <v>699</v>
      </c>
      <c r="D104" s="11">
        <f>IFERROR(__xludf.DUMMYFUNCTION("""COMPUTED_VALUE"""),413.0)</f>
        <v>413</v>
      </c>
      <c r="E104" s="9"/>
    </row>
    <row r="105">
      <c r="A105" s="10">
        <f>IFERROR(__xludf.DUMMYFUNCTION("""COMPUTED_VALUE"""),87381.0)</f>
        <v>87381</v>
      </c>
      <c r="B105" s="11">
        <f>IFERROR(__xludf.DUMMYFUNCTION("""COMPUTED_VALUE"""),0.0)</f>
        <v>0</v>
      </c>
      <c r="C105" s="11">
        <f>IFERROR(__xludf.DUMMYFUNCTION("""COMPUTED_VALUE"""),91.0)</f>
        <v>91</v>
      </c>
      <c r="D105" s="11">
        <f>IFERROR(__xludf.DUMMYFUNCTION("""COMPUTED_VALUE"""),45.0)</f>
        <v>45</v>
      </c>
      <c r="E105" s="9"/>
    </row>
    <row r="106">
      <c r="A106" s="10">
        <f>IFERROR(__xludf.DUMMYFUNCTION("""COMPUTED_VALUE"""),122828.0)</f>
        <v>122828</v>
      </c>
      <c r="B106" s="11">
        <f>IFERROR(__xludf.DUMMYFUNCTION("""COMPUTED_VALUE"""),1.0)</f>
        <v>1</v>
      </c>
      <c r="C106" s="11">
        <f>IFERROR(__xludf.DUMMYFUNCTION("""COMPUTED_VALUE"""),91.0)</f>
        <v>91</v>
      </c>
      <c r="D106" s="11">
        <f>IFERROR(__xludf.DUMMYFUNCTION("""COMPUTED_VALUE"""),52.0)</f>
        <v>52</v>
      </c>
      <c r="E106" s="9"/>
    </row>
    <row r="107">
      <c r="A107" s="10">
        <f>IFERROR(__xludf.DUMMYFUNCTION("""COMPUTED_VALUE"""),73841.0)</f>
        <v>73841</v>
      </c>
      <c r="B107" s="11">
        <f>IFERROR(__xludf.DUMMYFUNCTION("""COMPUTED_VALUE"""),1.0)</f>
        <v>1</v>
      </c>
      <c r="C107" s="11">
        <f>IFERROR(__xludf.DUMMYFUNCTION("""COMPUTED_VALUE"""),359.0)</f>
        <v>359</v>
      </c>
      <c r="D107" s="11">
        <f>IFERROR(__xludf.DUMMYFUNCTION("""COMPUTED_VALUE"""),42.0)</f>
        <v>42</v>
      </c>
      <c r="E107" s="9"/>
    </row>
    <row r="108">
      <c r="A108" s="10">
        <f>IFERROR(__xludf.DUMMYFUNCTION("""COMPUTED_VALUE"""),73838.0)</f>
        <v>73838</v>
      </c>
      <c r="B108" s="11">
        <f>IFERROR(__xludf.DUMMYFUNCTION("""COMPUTED_VALUE"""),1.0)</f>
        <v>1</v>
      </c>
      <c r="C108" s="11">
        <f>IFERROR(__xludf.DUMMYFUNCTION("""COMPUTED_VALUE"""),382.0)</f>
        <v>382</v>
      </c>
      <c r="D108" s="11">
        <f>IFERROR(__xludf.DUMMYFUNCTION("""COMPUTED_VALUE"""),9.0)</f>
        <v>9</v>
      </c>
      <c r="E108" s="9"/>
    </row>
    <row r="109">
      <c r="A109" s="10">
        <f>IFERROR(__xludf.DUMMYFUNCTION("""COMPUTED_VALUE"""),87372.0)</f>
        <v>87372</v>
      </c>
      <c r="B109" s="11">
        <f>IFERROR(__xludf.DUMMYFUNCTION("""COMPUTED_VALUE"""),0.0)</f>
        <v>0</v>
      </c>
      <c r="C109" s="11">
        <f>IFERROR(__xludf.DUMMYFUNCTION("""COMPUTED_VALUE"""),549.0)</f>
        <v>549</v>
      </c>
      <c r="D109" s="11">
        <f>IFERROR(__xludf.DUMMYFUNCTION("""COMPUTED_VALUE"""),502.0)</f>
        <v>502</v>
      </c>
      <c r="E109" s="9"/>
    </row>
    <row r="110">
      <c r="A110" s="10">
        <f>IFERROR(__xludf.DUMMYFUNCTION("""COMPUTED_VALUE"""),87383.0)</f>
        <v>87383</v>
      </c>
      <c r="B110" s="11">
        <f>IFERROR(__xludf.DUMMYFUNCTION("""COMPUTED_VALUE"""),1.0)</f>
        <v>1</v>
      </c>
      <c r="C110" s="11">
        <f>IFERROR(__xludf.DUMMYFUNCTION("""COMPUTED_VALUE"""),723.0)</f>
        <v>723</v>
      </c>
      <c r="D110" s="11">
        <f>IFERROR(__xludf.DUMMYFUNCTION("""COMPUTED_VALUE"""),60.0)</f>
        <v>60</v>
      </c>
      <c r="E110" s="9"/>
    </row>
    <row r="111">
      <c r="A111" s="10">
        <f>IFERROR(__xludf.DUMMYFUNCTION("""COMPUTED_VALUE"""),49068.0)</f>
        <v>49068</v>
      </c>
      <c r="B111" s="11">
        <f>IFERROR(__xludf.DUMMYFUNCTION("""COMPUTED_VALUE"""),1.0)</f>
        <v>1</v>
      </c>
      <c r="C111" s="11">
        <f>IFERROR(__xludf.DUMMYFUNCTION("""COMPUTED_VALUE"""),929.0)</f>
        <v>929</v>
      </c>
      <c r="D111" s="11">
        <f>IFERROR(__xludf.DUMMYFUNCTION("""COMPUTED_VALUE"""),26.0)</f>
        <v>26</v>
      </c>
      <c r="E111" s="9"/>
    </row>
    <row r="112">
      <c r="A112" s="10">
        <f>IFERROR(__xludf.DUMMYFUNCTION("""COMPUTED_VALUE"""),26130.0)</f>
        <v>26130</v>
      </c>
      <c r="B112" s="11">
        <f>IFERROR(__xludf.DUMMYFUNCTION("""COMPUTED_VALUE"""),1.0)</f>
        <v>1</v>
      </c>
      <c r="C112" s="11">
        <f>IFERROR(__xludf.DUMMYFUNCTION("""COMPUTED_VALUE"""),201.0)</f>
        <v>201</v>
      </c>
      <c r="D112" s="11">
        <f>IFERROR(__xludf.DUMMYFUNCTION("""COMPUTED_VALUE"""),139.0)</f>
        <v>139</v>
      </c>
      <c r="E112" s="9"/>
    </row>
    <row r="113">
      <c r="A113" s="10">
        <f>IFERROR(__xludf.DUMMYFUNCTION("""COMPUTED_VALUE"""),111493.0)</f>
        <v>111493</v>
      </c>
      <c r="B113" s="11">
        <f>IFERROR(__xludf.DUMMYFUNCTION("""COMPUTED_VALUE"""),0.0)</f>
        <v>0</v>
      </c>
      <c r="C113" s="11">
        <f>IFERROR(__xludf.DUMMYFUNCTION("""COMPUTED_VALUE"""),207.0)</f>
        <v>207</v>
      </c>
      <c r="D113" s="11">
        <f>IFERROR(__xludf.DUMMYFUNCTION("""COMPUTED_VALUE"""),139.0)</f>
        <v>139</v>
      </c>
      <c r="E113" s="9"/>
    </row>
    <row r="114">
      <c r="A114" s="10">
        <f>IFERROR(__xludf.DUMMYFUNCTION("""COMPUTED_VALUE"""),98395.0)</f>
        <v>98395</v>
      </c>
      <c r="B114" s="11">
        <f>IFERROR(__xludf.DUMMYFUNCTION("""COMPUTED_VALUE"""),1.0)</f>
        <v>1</v>
      </c>
      <c r="C114" s="11">
        <f>IFERROR(__xludf.DUMMYFUNCTION("""COMPUTED_VALUE"""),601.0)</f>
        <v>601</v>
      </c>
      <c r="D114" s="11">
        <f>IFERROR(__xludf.DUMMYFUNCTION("""COMPUTED_VALUE"""),47.0)</f>
        <v>47</v>
      </c>
      <c r="E114" s="9"/>
    </row>
    <row r="115">
      <c r="A115" s="10">
        <f>IFERROR(__xludf.DUMMYFUNCTION("""COMPUTED_VALUE"""),98396.0)</f>
        <v>98396</v>
      </c>
      <c r="B115" s="11">
        <f>IFERROR(__xludf.DUMMYFUNCTION("""COMPUTED_VALUE"""),1.0)</f>
        <v>1</v>
      </c>
      <c r="C115" s="11">
        <f>IFERROR(__xludf.DUMMYFUNCTION("""COMPUTED_VALUE"""),568.0)</f>
        <v>568</v>
      </c>
      <c r="D115" s="11">
        <f>IFERROR(__xludf.DUMMYFUNCTION("""COMPUTED_VALUE"""),79.0)</f>
        <v>79</v>
      </c>
      <c r="E115" s="9"/>
    </row>
    <row r="116">
      <c r="A116" s="10">
        <f>IFERROR(__xludf.DUMMYFUNCTION("""COMPUTED_VALUE"""),98394.0)</f>
        <v>98394</v>
      </c>
      <c r="B116" s="11">
        <f>IFERROR(__xludf.DUMMYFUNCTION("""COMPUTED_VALUE"""),1.0)</f>
        <v>1</v>
      </c>
      <c r="C116" s="11">
        <f>IFERROR(__xludf.DUMMYFUNCTION("""COMPUTED_VALUE"""),417.0)</f>
        <v>417</v>
      </c>
      <c r="D116" s="11">
        <f>IFERROR(__xludf.DUMMYFUNCTION("""COMPUTED_VALUE"""),409.0)</f>
        <v>409</v>
      </c>
      <c r="E116" s="9"/>
    </row>
    <row r="117">
      <c r="A117" s="10">
        <f>IFERROR(__xludf.DUMMYFUNCTION("""COMPUTED_VALUE"""),98397.0)</f>
        <v>98397</v>
      </c>
      <c r="B117" s="11">
        <f>IFERROR(__xludf.DUMMYFUNCTION("""COMPUTED_VALUE"""),1.0)</f>
        <v>1</v>
      </c>
      <c r="C117" s="11">
        <f>IFERROR(__xludf.DUMMYFUNCTION("""COMPUTED_VALUE"""),246.0)</f>
        <v>246</v>
      </c>
      <c r="D117" s="11">
        <f>IFERROR(__xludf.DUMMYFUNCTION("""COMPUTED_VALUE"""),78.0)</f>
        <v>78</v>
      </c>
      <c r="E117" s="9"/>
    </row>
    <row r="118">
      <c r="A118" s="10">
        <f>IFERROR(__xludf.DUMMYFUNCTION("""COMPUTED_VALUE"""),111489.0)</f>
        <v>111489</v>
      </c>
      <c r="B118" s="11">
        <f>IFERROR(__xludf.DUMMYFUNCTION("""COMPUTED_VALUE"""),1.0)</f>
        <v>1</v>
      </c>
      <c r="C118" s="11">
        <f>IFERROR(__xludf.DUMMYFUNCTION("""COMPUTED_VALUE"""),46.0)</f>
        <v>46</v>
      </c>
      <c r="D118" s="11">
        <f>IFERROR(__xludf.DUMMYFUNCTION("""COMPUTED_VALUE"""),39.0)</f>
        <v>39</v>
      </c>
      <c r="E118" s="9"/>
    </row>
    <row r="119">
      <c r="A119" s="10">
        <f>IFERROR(__xludf.DUMMYFUNCTION("""COMPUTED_VALUE"""),98393.0)</f>
        <v>98393</v>
      </c>
      <c r="B119" s="11">
        <f>IFERROR(__xludf.DUMMYFUNCTION("""COMPUTED_VALUE"""),0.0)</f>
        <v>0</v>
      </c>
      <c r="C119" s="11">
        <f>IFERROR(__xludf.DUMMYFUNCTION("""COMPUTED_VALUE"""),694.0)</f>
        <v>694</v>
      </c>
      <c r="D119" s="11">
        <f>IFERROR(__xludf.DUMMYFUNCTION("""COMPUTED_VALUE"""),118.0)</f>
        <v>118</v>
      </c>
      <c r="E119" s="9"/>
    </row>
    <row r="120">
      <c r="A120" s="10">
        <f>IFERROR(__xludf.DUMMYFUNCTION("""COMPUTED_VALUE"""),10933.0)</f>
        <v>10933</v>
      </c>
      <c r="B120" s="11">
        <f>IFERROR(__xludf.DUMMYFUNCTION("""COMPUTED_VALUE"""),0.0)</f>
        <v>0</v>
      </c>
      <c r="C120" s="11">
        <f>IFERROR(__xludf.DUMMYFUNCTION("""COMPUTED_VALUE"""),635.0)</f>
        <v>635</v>
      </c>
      <c r="D120" s="11">
        <f>IFERROR(__xludf.DUMMYFUNCTION("""COMPUTED_VALUE"""),144.0)</f>
        <v>144</v>
      </c>
      <c r="E120" s="9"/>
    </row>
    <row r="121">
      <c r="A121" s="10">
        <f>IFERROR(__xludf.DUMMYFUNCTION("""COMPUTED_VALUE"""),111994.0)</f>
        <v>111994</v>
      </c>
      <c r="B121" s="11">
        <f>IFERROR(__xludf.DUMMYFUNCTION("""COMPUTED_VALUE"""),0.0)</f>
        <v>0</v>
      </c>
      <c r="C121" s="11">
        <f>IFERROR(__xludf.DUMMYFUNCTION("""COMPUTED_VALUE"""),853.0)</f>
        <v>853</v>
      </c>
      <c r="D121" s="11">
        <f>IFERROR(__xludf.DUMMYFUNCTION("""COMPUTED_VALUE"""),713.0)</f>
        <v>713</v>
      </c>
      <c r="E121" s="9"/>
    </row>
    <row r="122">
      <c r="A122" s="10">
        <f>IFERROR(__xludf.DUMMYFUNCTION("""COMPUTED_VALUE"""),101637.0)</f>
        <v>101637</v>
      </c>
      <c r="B122" s="11">
        <f>IFERROR(__xludf.DUMMYFUNCTION("""COMPUTED_VALUE"""),1.0)</f>
        <v>1</v>
      </c>
      <c r="C122" s="11">
        <f>IFERROR(__xludf.DUMMYFUNCTION("""COMPUTED_VALUE"""),243.0)</f>
        <v>243</v>
      </c>
      <c r="D122" s="11">
        <f>IFERROR(__xludf.DUMMYFUNCTION("""COMPUTED_VALUE"""),97.0)</f>
        <v>97</v>
      </c>
      <c r="E122" s="9"/>
    </row>
    <row r="123">
      <c r="A123" s="10">
        <f>IFERROR(__xludf.DUMMYFUNCTION("""COMPUTED_VALUE"""),111996.0)</f>
        <v>111996</v>
      </c>
      <c r="B123" s="11">
        <f>IFERROR(__xludf.DUMMYFUNCTION("""COMPUTED_VALUE"""),0.0)</f>
        <v>0</v>
      </c>
      <c r="C123" s="11">
        <f>IFERROR(__xludf.DUMMYFUNCTION("""COMPUTED_VALUE"""),508.0)</f>
        <v>508</v>
      </c>
      <c r="D123" s="11">
        <f>IFERROR(__xludf.DUMMYFUNCTION("""COMPUTED_VALUE"""),317.0)</f>
        <v>317</v>
      </c>
      <c r="E123" s="9"/>
    </row>
    <row r="124">
      <c r="A124" s="10">
        <f>IFERROR(__xludf.DUMMYFUNCTION("""COMPUTED_VALUE"""),120886.0)</f>
        <v>120886</v>
      </c>
      <c r="B124" s="11">
        <f>IFERROR(__xludf.DUMMYFUNCTION("""COMPUTED_VALUE"""),0.0)</f>
        <v>0</v>
      </c>
      <c r="C124" s="11">
        <f>IFERROR(__xludf.DUMMYFUNCTION("""COMPUTED_VALUE"""),629.0)</f>
        <v>629</v>
      </c>
      <c r="D124" s="11">
        <f>IFERROR(__xludf.DUMMYFUNCTION("""COMPUTED_VALUE"""),554.0)</f>
        <v>554</v>
      </c>
      <c r="E124" s="9"/>
    </row>
    <row r="125">
      <c r="A125" s="10">
        <f>IFERROR(__xludf.DUMMYFUNCTION("""COMPUTED_VALUE"""),85058.0)</f>
        <v>85058</v>
      </c>
      <c r="B125" s="11">
        <f>IFERROR(__xludf.DUMMYFUNCTION("""COMPUTED_VALUE"""),0.0)</f>
        <v>0</v>
      </c>
      <c r="C125" s="11">
        <f>IFERROR(__xludf.DUMMYFUNCTION("""COMPUTED_VALUE"""),386.0)</f>
        <v>386</v>
      </c>
      <c r="D125" s="11">
        <f>IFERROR(__xludf.DUMMYFUNCTION("""COMPUTED_VALUE"""),365.0)</f>
        <v>365</v>
      </c>
      <c r="E125" s="9"/>
    </row>
    <row r="126">
      <c r="A126" s="10">
        <f>IFERROR(__xludf.DUMMYFUNCTION("""COMPUTED_VALUE"""),27380.0)</f>
        <v>27380</v>
      </c>
      <c r="B126" s="11">
        <f>IFERROR(__xludf.DUMMYFUNCTION("""COMPUTED_VALUE"""),1.0)</f>
        <v>1</v>
      </c>
      <c r="C126" s="11">
        <f>IFERROR(__xludf.DUMMYFUNCTION("""COMPUTED_VALUE"""),141.0)</f>
        <v>141</v>
      </c>
      <c r="D126" s="11">
        <f>IFERROR(__xludf.DUMMYFUNCTION("""COMPUTED_VALUE"""),49.0)</f>
        <v>49</v>
      </c>
      <c r="E126" s="9"/>
    </row>
    <row r="127">
      <c r="A127" s="10">
        <f>IFERROR(__xludf.DUMMYFUNCTION("""COMPUTED_VALUE"""),117204.0)</f>
        <v>117204</v>
      </c>
      <c r="B127" s="11">
        <f>IFERROR(__xludf.DUMMYFUNCTION("""COMPUTED_VALUE"""),0.0)</f>
        <v>0</v>
      </c>
      <c r="C127" s="11">
        <f>IFERROR(__xludf.DUMMYFUNCTION("""COMPUTED_VALUE"""),60.0)</f>
        <v>60</v>
      </c>
      <c r="D127" s="11">
        <f>IFERROR(__xludf.DUMMYFUNCTION("""COMPUTED_VALUE"""),8.0)</f>
        <v>8</v>
      </c>
      <c r="E127" s="9"/>
    </row>
    <row r="128">
      <c r="A128" s="10">
        <f>IFERROR(__xludf.DUMMYFUNCTION("""COMPUTED_VALUE"""),45484.0)</f>
        <v>45484</v>
      </c>
      <c r="B128" s="11">
        <f>IFERROR(__xludf.DUMMYFUNCTION("""COMPUTED_VALUE"""),1.0)</f>
        <v>1</v>
      </c>
      <c r="C128" s="11">
        <f>IFERROR(__xludf.DUMMYFUNCTION("""COMPUTED_VALUE"""),860.0)</f>
        <v>860</v>
      </c>
      <c r="D128" s="11">
        <f>IFERROR(__xludf.DUMMYFUNCTION("""COMPUTED_VALUE"""),177.0)</f>
        <v>177</v>
      </c>
      <c r="E128" s="9"/>
    </row>
    <row r="129">
      <c r="A129" s="10">
        <f>IFERROR(__xludf.DUMMYFUNCTION("""COMPUTED_VALUE"""),27382.0)</f>
        <v>27382</v>
      </c>
      <c r="B129" s="11">
        <f>IFERROR(__xludf.DUMMYFUNCTION("""COMPUTED_VALUE"""),0.0)</f>
        <v>0</v>
      </c>
      <c r="C129" s="11">
        <f>IFERROR(__xludf.DUMMYFUNCTION("""COMPUTED_VALUE"""),937.0)</f>
        <v>937</v>
      </c>
      <c r="D129" s="11">
        <f>IFERROR(__xludf.DUMMYFUNCTION("""COMPUTED_VALUE"""),252.0)</f>
        <v>252</v>
      </c>
      <c r="E129" s="9"/>
    </row>
    <row r="130">
      <c r="A130" s="10">
        <f>IFERROR(__xludf.DUMMYFUNCTION("""COMPUTED_VALUE"""),45491.0)</f>
        <v>45491</v>
      </c>
      <c r="B130" s="11">
        <f>IFERROR(__xludf.DUMMYFUNCTION("""COMPUTED_VALUE"""),0.0)</f>
        <v>0</v>
      </c>
      <c r="C130" s="11">
        <f>IFERROR(__xludf.DUMMYFUNCTION("""COMPUTED_VALUE"""),266.0)</f>
        <v>266</v>
      </c>
      <c r="D130" s="11">
        <f>IFERROR(__xludf.DUMMYFUNCTION("""COMPUTED_VALUE"""),243.0)</f>
        <v>243</v>
      </c>
      <c r="E130" s="9"/>
    </row>
    <row r="131">
      <c r="A131" s="10">
        <f>IFERROR(__xludf.DUMMYFUNCTION("""COMPUTED_VALUE"""),11631.0)</f>
        <v>11631</v>
      </c>
      <c r="B131" s="11">
        <f>IFERROR(__xludf.DUMMYFUNCTION("""COMPUTED_VALUE"""),0.0)</f>
        <v>0</v>
      </c>
      <c r="C131" s="11">
        <f>IFERROR(__xludf.DUMMYFUNCTION("""COMPUTED_VALUE"""),806.0)</f>
        <v>806</v>
      </c>
      <c r="D131" s="11">
        <f>IFERROR(__xludf.DUMMYFUNCTION("""COMPUTED_VALUE"""),503.0)</f>
        <v>503</v>
      </c>
      <c r="E131" s="9"/>
    </row>
    <row r="132">
      <c r="A132" s="10">
        <f>IFERROR(__xludf.DUMMYFUNCTION("""COMPUTED_VALUE"""),11630.0)</f>
        <v>11630</v>
      </c>
      <c r="B132" s="11">
        <f>IFERROR(__xludf.DUMMYFUNCTION("""COMPUTED_VALUE"""),1.0)</f>
        <v>1</v>
      </c>
      <c r="C132" s="11">
        <f>IFERROR(__xludf.DUMMYFUNCTION("""COMPUTED_VALUE"""),481.0)</f>
        <v>481</v>
      </c>
      <c r="D132" s="11">
        <f>IFERROR(__xludf.DUMMYFUNCTION("""COMPUTED_VALUE"""),221.0)</f>
        <v>221</v>
      </c>
      <c r="E132" s="9"/>
    </row>
    <row r="133">
      <c r="A133" s="10">
        <f>IFERROR(__xludf.DUMMYFUNCTION("""COMPUTED_VALUE"""),11634.0)</f>
        <v>11634</v>
      </c>
      <c r="B133" s="11">
        <f>IFERROR(__xludf.DUMMYFUNCTION("""COMPUTED_VALUE"""),0.0)</f>
        <v>0</v>
      </c>
      <c r="C133" s="11">
        <f>IFERROR(__xludf.DUMMYFUNCTION("""COMPUTED_VALUE"""),684.0)</f>
        <v>684</v>
      </c>
      <c r="D133" s="11">
        <f>IFERROR(__xludf.DUMMYFUNCTION("""COMPUTED_VALUE"""),201.0)</f>
        <v>201</v>
      </c>
      <c r="E133" s="9"/>
    </row>
    <row r="134">
      <c r="A134" s="10">
        <f>IFERROR(__xludf.DUMMYFUNCTION("""COMPUTED_VALUE"""),11635.0)</f>
        <v>11635</v>
      </c>
      <c r="B134" s="11">
        <f>IFERROR(__xludf.DUMMYFUNCTION("""COMPUTED_VALUE"""),0.0)</f>
        <v>0</v>
      </c>
      <c r="C134" s="11">
        <f>IFERROR(__xludf.DUMMYFUNCTION("""COMPUTED_VALUE"""),320.0)</f>
        <v>320</v>
      </c>
      <c r="D134" s="11">
        <f>IFERROR(__xludf.DUMMYFUNCTION("""COMPUTED_VALUE"""),198.0)</f>
        <v>198</v>
      </c>
      <c r="E134" s="9"/>
    </row>
    <row r="135">
      <c r="A135" s="10">
        <f>IFERROR(__xludf.DUMMYFUNCTION("""COMPUTED_VALUE"""),114776.0)</f>
        <v>114776</v>
      </c>
      <c r="B135" s="11">
        <f>IFERROR(__xludf.DUMMYFUNCTION("""COMPUTED_VALUE"""),0.0)</f>
        <v>0</v>
      </c>
      <c r="C135" s="11">
        <f>IFERROR(__xludf.DUMMYFUNCTION("""COMPUTED_VALUE"""),138.0)</f>
        <v>138</v>
      </c>
      <c r="D135" s="11">
        <f>IFERROR(__xludf.DUMMYFUNCTION("""COMPUTED_VALUE"""),120.0)</f>
        <v>120</v>
      </c>
      <c r="E135" s="9"/>
    </row>
    <row r="136">
      <c r="A136" s="10">
        <f>IFERROR(__xludf.DUMMYFUNCTION("""COMPUTED_VALUE"""),76762.0)</f>
        <v>76762</v>
      </c>
      <c r="B136" s="11">
        <f>IFERROR(__xludf.DUMMYFUNCTION("""COMPUTED_VALUE"""),1.0)</f>
        <v>1</v>
      </c>
      <c r="C136" s="11">
        <f>IFERROR(__xludf.DUMMYFUNCTION("""COMPUTED_VALUE"""),577.0)</f>
        <v>577</v>
      </c>
      <c r="D136" s="11">
        <f>IFERROR(__xludf.DUMMYFUNCTION("""COMPUTED_VALUE"""),233.0)</f>
        <v>233</v>
      </c>
      <c r="E136" s="9"/>
    </row>
    <row r="137">
      <c r="A137" s="10">
        <f>IFERROR(__xludf.DUMMYFUNCTION("""COMPUTED_VALUE"""),181194.0)</f>
        <v>181194</v>
      </c>
      <c r="B137" s="11">
        <f>IFERROR(__xludf.DUMMYFUNCTION("""COMPUTED_VALUE"""),0.0)</f>
        <v>0</v>
      </c>
      <c r="C137" s="11">
        <f>IFERROR(__xludf.DUMMYFUNCTION("""COMPUTED_VALUE"""),750.0)</f>
        <v>750</v>
      </c>
      <c r="D137" s="11">
        <f>IFERROR(__xludf.DUMMYFUNCTION("""COMPUTED_VALUE"""),318.0)</f>
        <v>318</v>
      </c>
      <c r="E137" s="9"/>
    </row>
    <row r="138">
      <c r="A138" s="10">
        <f>IFERROR(__xludf.DUMMYFUNCTION("""COMPUTED_VALUE"""),164637.0)</f>
        <v>164637</v>
      </c>
      <c r="B138" s="11">
        <f>IFERROR(__xludf.DUMMYFUNCTION("""COMPUTED_VALUE"""),0.0)</f>
        <v>0</v>
      </c>
      <c r="C138" s="11">
        <f>IFERROR(__xludf.DUMMYFUNCTION("""COMPUTED_VALUE"""),590.0)</f>
        <v>590</v>
      </c>
      <c r="D138" s="11">
        <f>IFERROR(__xludf.DUMMYFUNCTION("""COMPUTED_VALUE"""),19.0)</f>
        <v>19</v>
      </c>
      <c r="E138" s="9"/>
    </row>
    <row r="139">
      <c r="A139" s="10">
        <f>IFERROR(__xludf.DUMMYFUNCTION("""COMPUTED_VALUE"""),164636.0)</f>
        <v>164636</v>
      </c>
      <c r="B139" s="11">
        <f>IFERROR(__xludf.DUMMYFUNCTION("""COMPUTED_VALUE"""),0.0)</f>
        <v>0</v>
      </c>
      <c r="C139" s="11">
        <f>IFERROR(__xludf.DUMMYFUNCTION("""COMPUTED_VALUE"""),701.0)</f>
        <v>701</v>
      </c>
      <c r="D139" s="11">
        <f>IFERROR(__xludf.DUMMYFUNCTION("""COMPUTED_VALUE"""),125.0)</f>
        <v>125</v>
      </c>
      <c r="E139" s="9"/>
    </row>
    <row r="140">
      <c r="A140" s="10">
        <f>IFERROR(__xludf.DUMMYFUNCTION("""COMPUTED_VALUE"""),164639.0)</f>
        <v>164639</v>
      </c>
      <c r="B140" s="11">
        <f>IFERROR(__xludf.DUMMYFUNCTION("""COMPUTED_VALUE"""),0.0)</f>
        <v>0</v>
      </c>
      <c r="C140" s="11">
        <f>IFERROR(__xludf.DUMMYFUNCTION("""COMPUTED_VALUE"""),115.0)</f>
        <v>115</v>
      </c>
      <c r="D140" s="11">
        <f>IFERROR(__xludf.DUMMYFUNCTION("""COMPUTED_VALUE"""),58.0)</f>
        <v>58</v>
      </c>
      <c r="E140" s="9"/>
    </row>
    <row r="141">
      <c r="A141" s="10">
        <f>IFERROR(__xludf.DUMMYFUNCTION("""COMPUTED_VALUE"""),85251.0)</f>
        <v>85251</v>
      </c>
      <c r="B141" s="11">
        <f>IFERROR(__xludf.DUMMYFUNCTION("""COMPUTED_VALUE"""),1.0)</f>
        <v>1</v>
      </c>
      <c r="C141" s="11">
        <f>IFERROR(__xludf.DUMMYFUNCTION("""COMPUTED_VALUE"""),12.0)</f>
        <v>12</v>
      </c>
      <c r="D141" s="11">
        <f>IFERROR(__xludf.DUMMYFUNCTION("""COMPUTED_VALUE"""),6.0)</f>
        <v>6</v>
      </c>
      <c r="E141" s="9"/>
    </row>
    <row r="142">
      <c r="A142" s="10">
        <f>IFERROR(__xludf.DUMMYFUNCTION("""COMPUTED_VALUE"""),113532.0)</f>
        <v>113532</v>
      </c>
      <c r="B142" s="11">
        <f>IFERROR(__xludf.DUMMYFUNCTION("""COMPUTED_VALUE"""),1.0)</f>
        <v>1</v>
      </c>
      <c r="C142" s="11">
        <f>IFERROR(__xludf.DUMMYFUNCTION("""COMPUTED_VALUE"""),823.0)</f>
        <v>823</v>
      </c>
      <c r="D142" s="11">
        <f>IFERROR(__xludf.DUMMYFUNCTION("""COMPUTED_VALUE"""),151.0)</f>
        <v>151</v>
      </c>
      <c r="E142" s="9"/>
    </row>
    <row r="143">
      <c r="A143" s="10">
        <f>IFERROR(__xludf.DUMMYFUNCTION("""COMPUTED_VALUE"""),82501.0)</f>
        <v>82501</v>
      </c>
      <c r="B143" s="11">
        <f>IFERROR(__xludf.DUMMYFUNCTION("""COMPUTED_VALUE"""),0.0)</f>
        <v>0</v>
      </c>
      <c r="C143" s="11">
        <f>IFERROR(__xludf.DUMMYFUNCTION("""COMPUTED_VALUE"""),107.0)</f>
        <v>107</v>
      </c>
      <c r="D143" s="11">
        <f>IFERROR(__xludf.DUMMYFUNCTION("""COMPUTED_VALUE"""),15.0)</f>
        <v>15</v>
      </c>
      <c r="E143" s="9"/>
    </row>
    <row r="144">
      <c r="A144" s="10">
        <f>IFERROR(__xludf.DUMMYFUNCTION("""COMPUTED_VALUE"""),121287.0)</f>
        <v>121287</v>
      </c>
      <c r="B144" s="11">
        <f>IFERROR(__xludf.DUMMYFUNCTION("""COMPUTED_VALUE"""),0.0)</f>
        <v>0</v>
      </c>
      <c r="C144" s="11">
        <f>IFERROR(__xludf.DUMMYFUNCTION("""COMPUTED_VALUE"""),17.0)</f>
        <v>17</v>
      </c>
      <c r="D144" s="11">
        <f>IFERROR(__xludf.DUMMYFUNCTION("""COMPUTED_VALUE"""),15.0)</f>
        <v>15</v>
      </c>
      <c r="E144" s="9"/>
    </row>
    <row r="145">
      <c r="A145" s="10">
        <f>IFERROR(__xludf.DUMMYFUNCTION("""COMPUTED_VALUE"""),113559.0)</f>
        <v>113559</v>
      </c>
      <c r="B145" s="11">
        <f>IFERROR(__xludf.DUMMYFUNCTION("""COMPUTED_VALUE"""),0.0)</f>
        <v>0</v>
      </c>
      <c r="C145" s="11">
        <f>IFERROR(__xludf.DUMMYFUNCTION("""COMPUTED_VALUE"""),358.0)</f>
        <v>358</v>
      </c>
      <c r="D145" s="11">
        <f>IFERROR(__xludf.DUMMYFUNCTION("""COMPUTED_VALUE"""),328.0)</f>
        <v>328</v>
      </c>
      <c r="E145" s="9"/>
    </row>
    <row r="146">
      <c r="A146" s="10">
        <f>IFERROR(__xludf.DUMMYFUNCTION("""COMPUTED_VALUE"""),85252.0)</f>
        <v>85252</v>
      </c>
      <c r="B146" s="11">
        <f>IFERROR(__xludf.DUMMYFUNCTION("""COMPUTED_VALUE"""),1.0)</f>
        <v>1</v>
      </c>
      <c r="C146" s="11">
        <f>IFERROR(__xludf.DUMMYFUNCTION("""COMPUTED_VALUE"""),927.0)</f>
        <v>927</v>
      </c>
      <c r="D146" s="11">
        <f>IFERROR(__xludf.DUMMYFUNCTION("""COMPUTED_VALUE"""),753.0)</f>
        <v>753</v>
      </c>
      <c r="E146" s="9"/>
    </row>
    <row r="147">
      <c r="A147" s="10">
        <f>IFERROR(__xludf.DUMMYFUNCTION("""COMPUTED_VALUE"""),82507.0)</f>
        <v>82507</v>
      </c>
      <c r="B147" s="11">
        <f>IFERROR(__xludf.DUMMYFUNCTION("""COMPUTED_VALUE"""),0.0)</f>
        <v>0</v>
      </c>
      <c r="C147" s="11">
        <f>IFERROR(__xludf.DUMMYFUNCTION("""COMPUTED_VALUE"""),851.0)</f>
        <v>851</v>
      </c>
      <c r="D147" s="11">
        <f>IFERROR(__xludf.DUMMYFUNCTION("""COMPUTED_VALUE"""),565.0)</f>
        <v>565</v>
      </c>
      <c r="E147" s="9"/>
    </row>
    <row r="148">
      <c r="A148" s="10">
        <f>IFERROR(__xludf.DUMMYFUNCTION("""COMPUTED_VALUE"""),109625.0)</f>
        <v>109625</v>
      </c>
      <c r="B148" s="11">
        <f>IFERROR(__xludf.DUMMYFUNCTION("""COMPUTED_VALUE"""),1.0)</f>
        <v>1</v>
      </c>
      <c r="C148" s="11">
        <f>IFERROR(__xludf.DUMMYFUNCTION("""COMPUTED_VALUE"""),8.0)</f>
        <v>8</v>
      </c>
      <c r="D148" s="11">
        <f>IFERROR(__xludf.DUMMYFUNCTION("""COMPUTED_VALUE"""),3.0)</f>
        <v>3</v>
      </c>
      <c r="E148" s="9"/>
    </row>
    <row r="149">
      <c r="A149" s="10">
        <f>IFERROR(__xludf.DUMMYFUNCTION("""COMPUTED_VALUE"""),110864.0)</f>
        <v>110864</v>
      </c>
      <c r="B149" s="11">
        <f>IFERROR(__xludf.DUMMYFUNCTION("""COMPUTED_VALUE"""),0.0)</f>
        <v>0</v>
      </c>
      <c r="C149" s="11">
        <f>IFERROR(__xludf.DUMMYFUNCTION("""COMPUTED_VALUE"""),257.0)</f>
        <v>257</v>
      </c>
      <c r="D149" s="11">
        <f>IFERROR(__xludf.DUMMYFUNCTION("""COMPUTED_VALUE"""),93.0)</f>
        <v>93</v>
      </c>
      <c r="E149" s="9"/>
    </row>
    <row r="150">
      <c r="A150" s="10">
        <f>IFERROR(__xludf.DUMMYFUNCTION("""COMPUTED_VALUE"""),138916.0)</f>
        <v>138916</v>
      </c>
      <c r="B150" s="11">
        <f>IFERROR(__xludf.DUMMYFUNCTION("""COMPUTED_VALUE"""),0.0)</f>
        <v>0</v>
      </c>
      <c r="C150" s="11">
        <f>IFERROR(__xludf.DUMMYFUNCTION("""COMPUTED_VALUE"""),584.0)</f>
        <v>584</v>
      </c>
      <c r="D150" s="11">
        <f>IFERROR(__xludf.DUMMYFUNCTION("""COMPUTED_VALUE"""),464.0)</f>
        <v>464</v>
      </c>
      <c r="E150" s="9"/>
    </row>
    <row r="151">
      <c r="A151" s="10">
        <f>IFERROR(__xludf.DUMMYFUNCTION("""COMPUTED_VALUE"""),121076.0)</f>
        <v>121076</v>
      </c>
      <c r="B151" s="11">
        <f>IFERROR(__xludf.DUMMYFUNCTION("""COMPUTED_VALUE"""),1.0)</f>
        <v>1</v>
      </c>
      <c r="C151" s="11">
        <f>IFERROR(__xludf.DUMMYFUNCTION("""COMPUTED_VALUE"""),311.0)</f>
        <v>311</v>
      </c>
      <c r="D151" s="11">
        <f>IFERROR(__xludf.DUMMYFUNCTION("""COMPUTED_VALUE"""),80.0)</f>
        <v>80</v>
      </c>
      <c r="E151" s="9"/>
    </row>
    <row r="152">
      <c r="A152" s="10">
        <f>IFERROR(__xludf.DUMMYFUNCTION("""COMPUTED_VALUE"""),121077.0)</f>
        <v>121077</v>
      </c>
      <c r="B152" s="11">
        <f>IFERROR(__xludf.DUMMYFUNCTION("""COMPUTED_VALUE"""),1.0)</f>
        <v>1</v>
      </c>
      <c r="C152" s="11">
        <f>IFERROR(__xludf.DUMMYFUNCTION("""COMPUTED_VALUE"""),147.0)</f>
        <v>147</v>
      </c>
      <c r="D152" s="11">
        <f>IFERROR(__xludf.DUMMYFUNCTION("""COMPUTED_VALUE"""),83.0)</f>
        <v>83</v>
      </c>
      <c r="E152" s="9"/>
    </row>
    <row r="153">
      <c r="A153" s="10">
        <f>IFERROR(__xludf.DUMMYFUNCTION("""COMPUTED_VALUE"""),116631.0)</f>
        <v>116631</v>
      </c>
      <c r="B153" s="11">
        <f>IFERROR(__xludf.DUMMYFUNCTION("""COMPUTED_VALUE"""),0.0)</f>
        <v>0</v>
      </c>
      <c r="C153" s="11">
        <f>IFERROR(__xludf.DUMMYFUNCTION("""COMPUTED_VALUE"""),450.0)</f>
        <v>450</v>
      </c>
      <c r="D153" s="11">
        <f>IFERROR(__xludf.DUMMYFUNCTION("""COMPUTED_VALUE"""),69.0)</f>
        <v>69</v>
      </c>
      <c r="E153" s="9"/>
    </row>
    <row r="154">
      <c r="A154" s="10">
        <f>IFERROR(__xludf.DUMMYFUNCTION("""COMPUTED_VALUE"""),147263.0)</f>
        <v>147263</v>
      </c>
      <c r="B154" s="11">
        <f>IFERROR(__xludf.DUMMYFUNCTION("""COMPUTED_VALUE"""),0.0)</f>
        <v>0</v>
      </c>
      <c r="C154" s="11">
        <f>IFERROR(__xludf.DUMMYFUNCTION("""COMPUTED_VALUE"""),38.0)</f>
        <v>38</v>
      </c>
      <c r="D154" s="11">
        <f>IFERROR(__xludf.DUMMYFUNCTION("""COMPUTED_VALUE"""),14.0)</f>
        <v>14</v>
      </c>
      <c r="E154" s="9"/>
    </row>
    <row r="155">
      <c r="A155" s="10">
        <f>IFERROR(__xludf.DUMMYFUNCTION("""COMPUTED_VALUE"""),108763.0)</f>
        <v>108763</v>
      </c>
      <c r="B155" s="11">
        <f>IFERROR(__xludf.DUMMYFUNCTION("""COMPUTED_VALUE"""),0.0)</f>
        <v>0</v>
      </c>
      <c r="C155" s="11">
        <f>IFERROR(__xludf.DUMMYFUNCTION("""COMPUTED_VALUE"""),633.0)</f>
        <v>633</v>
      </c>
      <c r="D155" s="11">
        <f>IFERROR(__xludf.DUMMYFUNCTION("""COMPUTED_VALUE"""),41.0)</f>
        <v>41</v>
      </c>
      <c r="E155" s="9"/>
    </row>
    <row r="156">
      <c r="A156" s="10">
        <f>IFERROR(__xludf.DUMMYFUNCTION("""COMPUTED_VALUE"""),116593.0)</f>
        <v>116593</v>
      </c>
      <c r="B156" s="11">
        <f>IFERROR(__xludf.DUMMYFUNCTION("""COMPUTED_VALUE"""),1.0)</f>
        <v>1</v>
      </c>
      <c r="C156" s="11">
        <f>IFERROR(__xludf.DUMMYFUNCTION("""COMPUTED_VALUE"""),269.0)</f>
        <v>269</v>
      </c>
      <c r="D156" s="11">
        <f>IFERROR(__xludf.DUMMYFUNCTION("""COMPUTED_VALUE"""),259.0)</f>
        <v>259</v>
      </c>
      <c r="E156" s="9"/>
    </row>
    <row r="157">
      <c r="A157" s="10">
        <f>IFERROR(__xludf.DUMMYFUNCTION("""COMPUTED_VALUE"""),116613.0)</f>
        <v>116613</v>
      </c>
      <c r="B157" s="11">
        <f>IFERROR(__xludf.DUMMYFUNCTION("""COMPUTED_VALUE"""),0.0)</f>
        <v>0</v>
      </c>
      <c r="C157" s="11">
        <f>IFERROR(__xludf.DUMMYFUNCTION("""COMPUTED_VALUE"""),730.0)</f>
        <v>730</v>
      </c>
      <c r="D157" s="11">
        <f>IFERROR(__xludf.DUMMYFUNCTION("""COMPUTED_VALUE"""),428.0)</f>
        <v>428</v>
      </c>
      <c r="E157" s="9"/>
    </row>
    <row r="158">
      <c r="A158" s="10">
        <f>IFERROR(__xludf.DUMMYFUNCTION("""COMPUTED_VALUE"""),102476.0)</f>
        <v>102476</v>
      </c>
      <c r="B158" s="11">
        <f>IFERROR(__xludf.DUMMYFUNCTION("""COMPUTED_VALUE"""),0.0)</f>
        <v>0</v>
      </c>
      <c r="C158" s="11">
        <f>IFERROR(__xludf.DUMMYFUNCTION("""COMPUTED_VALUE"""),266.0)</f>
        <v>266</v>
      </c>
      <c r="D158" s="11">
        <f>IFERROR(__xludf.DUMMYFUNCTION("""COMPUTED_VALUE"""),200.0)</f>
        <v>200</v>
      </c>
      <c r="E158" s="9"/>
    </row>
    <row r="159">
      <c r="A159" s="10">
        <f>IFERROR(__xludf.DUMMYFUNCTION("""COMPUTED_VALUE"""),190030.0)</f>
        <v>190030</v>
      </c>
      <c r="B159" s="11">
        <f>IFERROR(__xludf.DUMMYFUNCTION("""COMPUTED_VALUE"""),0.0)</f>
        <v>0</v>
      </c>
      <c r="C159" s="11">
        <f>IFERROR(__xludf.DUMMYFUNCTION("""COMPUTED_VALUE"""),113.0)</f>
        <v>113</v>
      </c>
      <c r="D159" s="11">
        <f>IFERROR(__xludf.DUMMYFUNCTION("""COMPUTED_VALUE"""),7.0)</f>
        <v>7</v>
      </c>
      <c r="E159" s="9"/>
    </row>
    <row r="160">
      <c r="A160" s="10">
        <f>IFERROR(__xludf.DUMMYFUNCTION("""COMPUTED_VALUE"""),113845.0)</f>
        <v>113845</v>
      </c>
      <c r="B160" s="11">
        <f>IFERROR(__xludf.DUMMYFUNCTION("""COMPUTED_VALUE"""),1.0)</f>
        <v>1</v>
      </c>
      <c r="C160" s="11">
        <f>IFERROR(__xludf.DUMMYFUNCTION("""COMPUTED_VALUE"""),479.0)</f>
        <v>479</v>
      </c>
      <c r="D160" s="11">
        <f>IFERROR(__xludf.DUMMYFUNCTION("""COMPUTED_VALUE"""),103.0)</f>
        <v>103</v>
      </c>
      <c r="E160" s="9"/>
    </row>
    <row r="161">
      <c r="A161" s="10">
        <f>IFERROR(__xludf.DUMMYFUNCTION("""COMPUTED_VALUE"""),77824.0)</f>
        <v>77824</v>
      </c>
      <c r="B161" s="11">
        <f>IFERROR(__xludf.DUMMYFUNCTION("""COMPUTED_VALUE"""),0.0)</f>
        <v>0</v>
      </c>
      <c r="C161" s="11">
        <f>IFERROR(__xludf.DUMMYFUNCTION("""COMPUTED_VALUE"""),779.0)</f>
        <v>779</v>
      </c>
      <c r="D161" s="11">
        <f>IFERROR(__xludf.DUMMYFUNCTION("""COMPUTED_VALUE"""),771.0)</f>
        <v>771</v>
      </c>
      <c r="E161" s="9"/>
    </row>
    <row r="162">
      <c r="A162" s="10">
        <f>IFERROR(__xludf.DUMMYFUNCTION("""COMPUTED_VALUE"""),85888.0)</f>
        <v>85888</v>
      </c>
      <c r="B162" s="11">
        <f>IFERROR(__xludf.DUMMYFUNCTION("""COMPUTED_VALUE"""),1.0)</f>
        <v>1</v>
      </c>
      <c r="C162" s="11">
        <f>IFERROR(__xludf.DUMMYFUNCTION("""COMPUTED_VALUE"""),331.0)</f>
        <v>331</v>
      </c>
      <c r="D162" s="11">
        <f>IFERROR(__xludf.DUMMYFUNCTION("""COMPUTED_VALUE"""),321.0)</f>
        <v>321</v>
      </c>
      <c r="E162" s="9"/>
    </row>
    <row r="163">
      <c r="A163" s="10">
        <f>IFERROR(__xludf.DUMMYFUNCTION("""COMPUTED_VALUE"""),85890.0)</f>
        <v>85890</v>
      </c>
      <c r="B163" s="11">
        <f>IFERROR(__xludf.DUMMYFUNCTION("""COMPUTED_VALUE"""),1.0)</f>
        <v>1</v>
      </c>
      <c r="C163" s="11">
        <f>IFERROR(__xludf.DUMMYFUNCTION("""COMPUTED_VALUE"""),604.0)</f>
        <v>604</v>
      </c>
      <c r="D163" s="11">
        <f>IFERROR(__xludf.DUMMYFUNCTION("""COMPUTED_VALUE"""),515.0)</f>
        <v>515</v>
      </c>
      <c r="E163" s="9"/>
    </row>
    <row r="164">
      <c r="A164" s="10">
        <f>IFERROR(__xludf.DUMMYFUNCTION("""COMPUTED_VALUE"""),83727.0)</f>
        <v>83727</v>
      </c>
      <c r="B164" s="11">
        <f>IFERROR(__xludf.DUMMYFUNCTION("""COMPUTED_VALUE"""),1.0)</f>
        <v>1</v>
      </c>
      <c r="C164" s="11">
        <f>IFERROR(__xludf.DUMMYFUNCTION("""COMPUTED_VALUE"""),209.0)</f>
        <v>209</v>
      </c>
      <c r="D164" s="11">
        <f>IFERROR(__xludf.DUMMYFUNCTION("""COMPUTED_VALUE"""),33.0)</f>
        <v>33</v>
      </c>
      <c r="E164" s="9"/>
    </row>
    <row r="165">
      <c r="A165" s="10">
        <f>IFERROR(__xludf.DUMMYFUNCTION("""COMPUTED_VALUE"""),85887.0)</f>
        <v>85887</v>
      </c>
      <c r="B165" s="11">
        <f>IFERROR(__xludf.DUMMYFUNCTION("""COMPUTED_VALUE"""),0.0)</f>
        <v>0</v>
      </c>
      <c r="C165" s="11">
        <f>IFERROR(__xludf.DUMMYFUNCTION("""COMPUTED_VALUE"""),470.0)</f>
        <v>470</v>
      </c>
      <c r="D165" s="11">
        <f>IFERROR(__xludf.DUMMYFUNCTION("""COMPUTED_VALUE"""),331.0)</f>
        <v>331</v>
      </c>
      <c r="E165" s="9"/>
    </row>
    <row r="166">
      <c r="A166" s="10">
        <f>IFERROR(__xludf.DUMMYFUNCTION("""COMPUTED_VALUE"""),77823.0)</f>
        <v>77823</v>
      </c>
      <c r="B166" s="11">
        <f>IFERROR(__xludf.DUMMYFUNCTION("""COMPUTED_VALUE"""),1.0)</f>
        <v>1</v>
      </c>
      <c r="C166" s="11">
        <f>IFERROR(__xludf.DUMMYFUNCTION("""COMPUTED_VALUE"""),718.0)</f>
        <v>718</v>
      </c>
      <c r="D166" s="11">
        <f>IFERROR(__xludf.DUMMYFUNCTION("""COMPUTED_VALUE"""),219.0)</f>
        <v>219</v>
      </c>
      <c r="E166" s="9"/>
    </row>
    <row r="167">
      <c r="A167" s="10">
        <f>IFERROR(__xludf.DUMMYFUNCTION("""COMPUTED_VALUE"""),86753.0)</f>
        <v>86753</v>
      </c>
      <c r="B167" s="11">
        <f>IFERROR(__xludf.DUMMYFUNCTION("""COMPUTED_VALUE"""),1.0)</f>
        <v>1</v>
      </c>
      <c r="C167" s="11">
        <f>IFERROR(__xludf.DUMMYFUNCTION("""COMPUTED_VALUE"""),813.0)</f>
        <v>813</v>
      </c>
      <c r="D167" s="11">
        <f>IFERROR(__xludf.DUMMYFUNCTION("""COMPUTED_VALUE"""),513.0)</f>
        <v>513</v>
      </c>
      <c r="E167" s="9"/>
    </row>
    <row r="168">
      <c r="A168" s="10">
        <f>IFERROR(__xludf.DUMMYFUNCTION("""COMPUTED_VALUE"""),145102.0)</f>
        <v>145102</v>
      </c>
      <c r="B168" s="11">
        <f>IFERROR(__xludf.DUMMYFUNCTION("""COMPUTED_VALUE"""),0.0)</f>
        <v>0</v>
      </c>
      <c r="C168" s="11">
        <f>IFERROR(__xludf.DUMMYFUNCTION("""COMPUTED_VALUE"""),626.0)</f>
        <v>626</v>
      </c>
      <c r="D168" s="11">
        <f>IFERROR(__xludf.DUMMYFUNCTION("""COMPUTED_VALUE"""),462.0)</f>
        <v>462</v>
      </c>
      <c r="E168" s="9"/>
    </row>
    <row r="169">
      <c r="A169" s="10">
        <f>IFERROR(__xludf.DUMMYFUNCTION("""COMPUTED_VALUE"""),78717.0)</f>
        <v>78717</v>
      </c>
      <c r="B169" s="11">
        <f>IFERROR(__xludf.DUMMYFUNCTION("""COMPUTED_VALUE"""),1.0)</f>
        <v>1</v>
      </c>
      <c r="C169" s="11">
        <f>IFERROR(__xludf.DUMMYFUNCTION("""COMPUTED_VALUE"""),415.0)</f>
        <v>415</v>
      </c>
      <c r="D169" s="11">
        <f>IFERROR(__xludf.DUMMYFUNCTION("""COMPUTED_VALUE"""),365.0)</f>
        <v>365</v>
      </c>
      <c r="E169" s="9"/>
    </row>
    <row r="170">
      <c r="A170" s="10">
        <f>IFERROR(__xludf.DUMMYFUNCTION("""COMPUTED_VALUE"""),82777.0)</f>
        <v>82777</v>
      </c>
      <c r="B170" s="11">
        <f>IFERROR(__xludf.DUMMYFUNCTION("""COMPUTED_VALUE"""),1.0)</f>
        <v>1</v>
      </c>
      <c r="C170" s="11">
        <f>IFERROR(__xludf.DUMMYFUNCTION("""COMPUTED_VALUE"""),708.0)</f>
        <v>708</v>
      </c>
      <c r="D170" s="11">
        <f>IFERROR(__xludf.DUMMYFUNCTION("""COMPUTED_VALUE"""),679.0)</f>
        <v>679</v>
      </c>
      <c r="E170" s="9"/>
    </row>
    <row r="171">
      <c r="A171" s="10">
        <f>IFERROR(__xludf.DUMMYFUNCTION("""COMPUTED_VALUE"""),120341.0)</f>
        <v>120341</v>
      </c>
      <c r="B171" s="11">
        <f>IFERROR(__xludf.DUMMYFUNCTION("""COMPUTED_VALUE"""),1.0)</f>
        <v>1</v>
      </c>
      <c r="C171" s="11">
        <f>IFERROR(__xludf.DUMMYFUNCTION("""COMPUTED_VALUE"""),418.0)</f>
        <v>418</v>
      </c>
      <c r="D171" s="11">
        <f>IFERROR(__xludf.DUMMYFUNCTION("""COMPUTED_VALUE"""),124.0)</f>
        <v>124</v>
      </c>
      <c r="E171" s="9"/>
    </row>
    <row r="172">
      <c r="A172" s="10">
        <f>IFERROR(__xludf.DUMMYFUNCTION("""COMPUTED_VALUE"""),110344.0)</f>
        <v>110344</v>
      </c>
      <c r="B172" s="11">
        <f>IFERROR(__xludf.DUMMYFUNCTION("""COMPUTED_VALUE"""),0.0)</f>
        <v>0</v>
      </c>
      <c r="C172" s="11">
        <f>IFERROR(__xludf.DUMMYFUNCTION("""COMPUTED_VALUE"""),51.0)</f>
        <v>51</v>
      </c>
      <c r="D172" s="11">
        <f>IFERROR(__xludf.DUMMYFUNCTION("""COMPUTED_VALUE"""),2.0)</f>
        <v>2</v>
      </c>
      <c r="E172" s="9"/>
    </row>
    <row r="173">
      <c r="A173" s="10">
        <f>IFERROR(__xludf.DUMMYFUNCTION("""COMPUTED_VALUE"""),120233.0)</f>
        <v>120233</v>
      </c>
      <c r="B173" s="11">
        <f>IFERROR(__xludf.DUMMYFUNCTION("""COMPUTED_VALUE"""),0.0)</f>
        <v>0</v>
      </c>
      <c r="C173" s="11">
        <f>IFERROR(__xludf.DUMMYFUNCTION("""COMPUTED_VALUE"""),507.0)</f>
        <v>507</v>
      </c>
      <c r="D173" s="11">
        <f>IFERROR(__xludf.DUMMYFUNCTION("""COMPUTED_VALUE"""),162.0)</f>
        <v>162</v>
      </c>
      <c r="E173" s="9"/>
    </row>
    <row r="174">
      <c r="A174" s="10">
        <f>IFERROR(__xludf.DUMMYFUNCTION("""COMPUTED_VALUE"""),117579.0)</f>
        <v>117579</v>
      </c>
      <c r="B174" s="11">
        <f>IFERROR(__xludf.DUMMYFUNCTION("""COMPUTED_VALUE"""),0.0)</f>
        <v>0</v>
      </c>
      <c r="C174" s="11">
        <f>IFERROR(__xludf.DUMMYFUNCTION("""COMPUTED_VALUE"""),960.0)</f>
        <v>960</v>
      </c>
      <c r="D174" s="11">
        <f>IFERROR(__xludf.DUMMYFUNCTION("""COMPUTED_VALUE"""),862.0)</f>
        <v>862</v>
      </c>
      <c r="E174" s="9"/>
    </row>
    <row r="175">
      <c r="A175" s="10">
        <f>IFERROR(__xludf.DUMMYFUNCTION("""COMPUTED_VALUE"""),21066.0)</f>
        <v>21066</v>
      </c>
      <c r="B175" s="11">
        <f>IFERROR(__xludf.DUMMYFUNCTION("""COMPUTED_VALUE"""),1.0)</f>
        <v>1</v>
      </c>
      <c r="C175" s="11">
        <f>IFERROR(__xludf.DUMMYFUNCTION("""COMPUTED_VALUE"""),621.0)</f>
        <v>621</v>
      </c>
      <c r="D175" s="11">
        <f>IFERROR(__xludf.DUMMYFUNCTION("""COMPUTED_VALUE"""),16.0)</f>
        <v>16</v>
      </c>
      <c r="E175" s="9"/>
    </row>
    <row r="176">
      <c r="A176" s="10">
        <f>IFERROR(__xludf.DUMMYFUNCTION("""COMPUTED_VALUE"""),117583.0)</f>
        <v>117583</v>
      </c>
      <c r="B176" s="11">
        <f>IFERROR(__xludf.DUMMYFUNCTION("""COMPUTED_VALUE"""),0.0)</f>
        <v>0</v>
      </c>
      <c r="C176" s="11">
        <f>IFERROR(__xludf.DUMMYFUNCTION("""COMPUTED_VALUE"""),233.0)</f>
        <v>233</v>
      </c>
      <c r="D176" s="11">
        <f>IFERROR(__xludf.DUMMYFUNCTION("""COMPUTED_VALUE"""),156.0)</f>
        <v>156</v>
      </c>
      <c r="E176" s="9"/>
    </row>
    <row r="177">
      <c r="A177" s="10">
        <f>IFERROR(__xludf.DUMMYFUNCTION("""COMPUTED_VALUE"""),71107.0)</f>
        <v>71107</v>
      </c>
      <c r="B177" s="11">
        <f>IFERROR(__xludf.DUMMYFUNCTION("""COMPUTED_VALUE"""),1.0)</f>
        <v>1</v>
      </c>
      <c r="C177" s="11">
        <f>IFERROR(__xludf.DUMMYFUNCTION("""COMPUTED_VALUE"""),360.0)</f>
        <v>360</v>
      </c>
      <c r="D177" s="11">
        <f>IFERROR(__xludf.DUMMYFUNCTION("""COMPUTED_VALUE"""),181.0)</f>
        <v>181</v>
      </c>
      <c r="E177" s="9"/>
    </row>
    <row r="178">
      <c r="A178" s="10">
        <f>IFERROR(__xludf.DUMMYFUNCTION("""COMPUTED_VALUE"""),104168.0)</f>
        <v>104168</v>
      </c>
      <c r="B178" s="11">
        <f>IFERROR(__xludf.DUMMYFUNCTION("""COMPUTED_VALUE"""),0.0)</f>
        <v>0</v>
      </c>
      <c r="C178" s="11">
        <f>IFERROR(__xludf.DUMMYFUNCTION("""COMPUTED_VALUE"""),54.0)</f>
        <v>54</v>
      </c>
      <c r="D178" s="11">
        <f>IFERROR(__xludf.DUMMYFUNCTION("""COMPUTED_VALUE"""),42.0)</f>
        <v>42</v>
      </c>
      <c r="E178" s="9"/>
    </row>
    <row r="179">
      <c r="A179" s="10">
        <f>IFERROR(__xludf.DUMMYFUNCTION("""COMPUTED_VALUE"""),88913.0)</f>
        <v>88913</v>
      </c>
      <c r="B179" s="11">
        <f>IFERROR(__xludf.DUMMYFUNCTION("""COMPUTED_VALUE"""),0.0)</f>
        <v>0</v>
      </c>
      <c r="C179" s="11">
        <f>IFERROR(__xludf.DUMMYFUNCTION("""COMPUTED_VALUE"""),408.0)</f>
        <v>408</v>
      </c>
      <c r="D179" s="11">
        <f>IFERROR(__xludf.DUMMYFUNCTION("""COMPUTED_VALUE"""),174.0)</f>
        <v>174</v>
      </c>
      <c r="E179" s="9"/>
    </row>
    <row r="180">
      <c r="A180" s="10">
        <f>IFERROR(__xludf.DUMMYFUNCTION("""COMPUTED_VALUE"""),108160.0)</f>
        <v>108160</v>
      </c>
      <c r="B180" s="11">
        <f>IFERROR(__xludf.DUMMYFUNCTION("""COMPUTED_VALUE"""),0.0)</f>
        <v>0</v>
      </c>
      <c r="C180" s="11">
        <f>IFERROR(__xludf.DUMMYFUNCTION("""COMPUTED_VALUE"""),6.0)</f>
        <v>6</v>
      </c>
      <c r="D180" s="11">
        <f>IFERROR(__xludf.DUMMYFUNCTION("""COMPUTED_VALUE"""),5.0)</f>
        <v>5</v>
      </c>
      <c r="E180" s="9"/>
    </row>
    <row r="181">
      <c r="A181" s="10">
        <f>IFERROR(__xludf.DUMMYFUNCTION("""COMPUTED_VALUE"""),128377.0)</f>
        <v>128377</v>
      </c>
      <c r="B181" s="11">
        <f>IFERROR(__xludf.DUMMYFUNCTION("""COMPUTED_VALUE"""),1.0)</f>
        <v>1</v>
      </c>
      <c r="C181" s="11">
        <f>IFERROR(__xludf.DUMMYFUNCTION("""COMPUTED_VALUE"""),398.0)</f>
        <v>398</v>
      </c>
      <c r="D181" s="11">
        <f>IFERROR(__xludf.DUMMYFUNCTION("""COMPUTED_VALUE"""),204.0)</f>
        <v>204</v>
      </c>
      <c r="E181" s="9"/>
    </row>
    <row r="182">
      <c r="A182" s="10">
        <f>IFERROR(__xludf.DUMMYFUNCTION("""COMPUTED_VALUE"""),108533.0)</f>
        <v>108533</v>
      </c>
      <c r="B182" s="11">
        <f>IFERROR(__xludf.DUMMYFUNCTION("""COMPUTED_VALUE"""),1.0)</f>
        <v>1</v>
      </c>
      <c r="C182" s="11">
        <f>IFERROR(__xludf.DUMMYFUNCTION("""COMPUTED_VALUE"""),94.0)</f>
        <v>94</v>
      </c>
      <c r="D182" s="11">
        <f>IFERROR(__xludf.DUMMYFUNCTION("""COMPUTED_VALUE"""),15.0)</f>
        <v>15</v>
      </c>
      <c r="E182" s="9"/>
    </row>
    <row r="183">
      <c r="A183" s="10">
        <f>IFERROR(__xludf.DUMMYFUNCTION("""COMPUTED_VALUE"""),116392.0)</f>
        <v>116392</v>
      </c>
      <c r="B183" s="11">
        <f>IFERROR(__xludf.DUMMYFUNCTION("""COMPUTED_VALUE"""),0.0)</f>
        <v>0</v>
      </c>
      <c r="C183" s="11">
        <f>IFERROR(__xludf.DUMMYFUNCTION("""COMPUTED_VALUE"""),298.0)</f>
        <v>298</v>
      </c>
      <c r="D183" s="11">
        <f>IFERROR(__xludf.DUMMYFUNCTION("""COMPUTED_VALUE"""),10.0)</f>
        <v>10</v>
      </c>
      <c r="E183" s="9"/>
    </row>
    <row r="184">
      <c r="A184" s="10">
        <f>IFERROR(__xludf.DUMMYFUNCTION("""COMPUTED_VALUE"""),110328.0)</f>
        <v>110328</v>
      </c>
      <c r="B184" s="11">
        <f>IFERROR(__xludf.DUMMYFUNCTION("""COMPUTED_VALUE"""),0.0)</f>
        <v>0</v>
      </c>
      <c r="C184" s="11">
        <f>IFERROR(__xludf.DUMMYFUNCTION("""COMPUTED_VALUE"""),976.0)</f>
        <v>976</v>
      </c>
      <c r="D184" s="11">
        <f>IFERROR(__xludf.DUMMYFUNCTION("""COMPUTED_VALUE"""),503.0)</f>
        <v>503</v>
      </c>
      <c r="E184" s="9"/>
    </row>
    <row r="185">
      <c r="A185" s="10">
        <f>IFERROR(__xludf.DUMMYFUNCTION("""COMPUTED_VALUE"""),101445.0)</f>
        <v>101445</v>
      </c>
      <c r="B185" s="11">
        <f>IFERROR(__xludf.DUMMYFUNCTION("""COMPUTED_VALUE"""),0.0)</f>
        <v>0</v>
      </c>
      <c r="C185" s="11">
        <f>IFERROR(__xludf.DUMMYFUNCTION("""COMPUTED_VALUE"""),465.0)</f>
        <v>465</v>
      </c>
      <c r="D185" s="11">
        <f>IFERROR(__xludf.DUMMYFUNCTION("""COMPUTED_VALUE"""),390.0)</f>
        <v>390</v>
      </c>
      <c r="E185" s="9"/>
    </row>
    <row r="186">
      <c r="A186" s="10">
        <f>IFERROR(__xludf.DUMMYFUNCTION("""COMPUTED_VALUE"""),117599.0)</f>
        <v>117599</v>
      </c>
      <c r="B186" s="11">
        <f>IFERROR(__xludf.DUMMYFUNCTION("""COMPUTED_VALUE"""),1.0)</f>
        <v>1</v>
      </c>
      <c r="C186" s="11">
        <f>IFERROR(__xludf.DUMMYFUNCTION("""COMPUTED_VALUE"""),676.0)</f>
        <v>676</v>
      </c>
      <c r="D186" s="11">
        <f>IFERROR(__xludf.DUMMYFUNCTION("""COMPUTED_VALUE"""),543.0)</f>
        <v>543</v>
      </c>
      <c r="E186" s="9"/>
    </row>
    <row r="187">
      <c r="A187" s="10">
        <f>IFERROR(__xludf.DUMMYFUNCTION("""COMPUTED_VALUE"""),5508.0)</f>
        <v>5508</v>
      </c>
      <c r="B187" s="11">
        <f>IFERROR(__xludf.DUMMYFUNCTION("""COMPUTED_VALUE"""),0.0)</f>
        <v>0</v>
      </c>
      <c r="C187" s="11">
        <f>IFERROR(__xludf.DUMMYFUNCTION("""COMPUTED_VALUE"""),560.0)</f>
        <v>560</v>
      </c>
      <c r="D187" s="11">
        <f>IFERROR(__xludf.DUMMYFUNCTION("""COMPUTED_VALUE"""),556.0)</f>
        <v>556</v>
      </c>
      <c r="E187" s="9"/>
    </row>
    <row r="188">
      <c r="A188" s="10">
        <f>IFERROR(__xludf.DUMMYFUNCTION("""COMPUTED_VALUE"""),91241.0)</f>
        <v>91241</v>
      </c>
      <c r="B188" s="11">
        <f>IFERROR(__xludf.DUMMYFUNCTION("""COMPUTED_VALUE"""),1.0)</f>
        <v>1</v>
      </c>
      <c r="C188" s="11">
        <f>IFERROR(__xludf.DUMMYFUNCTION("""COMPUTED_VALUE"""),50.0)</f>
        <v>50</v>
      </c>
      <c r="D188" s="11">
        <f>IFERROR(__xludf.DUMMYFUNCTION("""COMPUTED_VALUE"""),40.0)</f>
        <v>40</v>
      </c>
      <c r="E188" s="9"/>
    </row>
    <row r="189">
      <c r="A189" s="10">
        <f>IFERROR(__xludf.DUMMYFUNCTION("""COMPUTED_VALUE"""),5507.0)</f>
        <v>5507</v>
      </c>
      <c r="B189" s="11">
        <f>IFERROR(__xludf.DUMMYFUNCTION("""COMPUTED_VALUE"""),1.0)</f>
        <v>1</v>
      </c>
      <c r="C189" s="11">
        <f>IFERROR(__xludf.DUMMYFUNCTION("""COMPUTED_VALUE"""),209.0)</f>
        <v>209</v>
      </c>
      <c r="D189" s="11">
        <f>IFERROR(__xludf.DUMMYFUNCTION("""COMPUTED_VALUE"""),198.0)</f>
        <v>198</v>
      </c>
      <c r="E189" s="9"/>
    </row>
    <row r="190">
      <c r="A190" s="10">
        <f>IFERROR(__xludf.DUMMYFUNCTION("""COMPUTED_VALUE"""),110575.0)</f>
        <v>110575</v>
      </c>
      <c r="B190" s="11">
        <f>IFERROR(__xludf.DUMMYFUNCTION("""COMPUTED_VALUE"""),1.0)</f>
        <v>1</v>
      </c>
      <c r="C190" s="11">
        <f>IFERROR(__xludf.DUMMYFUNCTION("""COMPUTED_VALUE"""),866.0)</f>
        <v>866</v>
      </c>
      <c r="D190" s="11">
        <f>IFERROR(__xludf.DUMMYFUNCTION("""COMPUTED_VALUE"""),36.0)</f>
        <v>36</v>
      </c>
      <c r="E190" s="9"/>
    </row>
    <row r="191">
      <c r="A191" s="10">
        <f>IFERROR(__xludf.DUMMYFUNCTION("""COMPUTED_VALUE"""),6156.0)</f>
        <v>6156</v>
      </c>
      <c r="B191" s="11">
        <f>IFERROR(__xludf.DUMMYFUNCTION("""COMPUTED_VALUE"""),0.0)</f>
        <v>0</v>
      </c>
      <c r="C191" s="11">
        <f>IFERROR(__xludf.DUMMYFUNCTION("""COMPUTED_VALUE"""),93.0)</f>
        <v>93</v>
      </c>
      <c r="D191" s="11">
        <f>IFERROR(__xludf.DUMMYFUNCTION("""COMPUTED_VALUE"""),72.0)</f>
        <v>72</v>
      </c>
      <c r="E191" s="9"/>
    </row>
    <row r="192">
      <c r="A192" s="10">
        <f>IFERROR(__xludf.DUMMYFUNCTION("""COMPUTED_VALUE"""),91239.0)</f>
        <v>91239</v>
      </c>
      <c r="B192" s="11">
        <f>IFERROR(__xludf.DUMMYFUNCTION("""COMPUTED_VALUE"""),0.0)</f>
        <v>0</v>
      </c>
      <c r="C192" s="11">
        <f>IFERROR(__xludf.DUMMYFUNCTION("""COMPUTED_VALUE"""),846.0)</f>
        <v>846</v>
      </c>
      <c r="D192" s="11">
        <f>IFERROR(__xludf.DUMMYFUNCTION("""COMPUTED_VALUE"""),14.0)</f>
        <v>14</v>
      </c>
      <c r="E192" s="9"/>
    </row>
    <row r="193">
      <c r="A193" s="10">
        <f>IFERROR(__xludf.DUMMYFUNCTION("""COMPUTED_VALUE"""),77361.0)</f>
        <v>77361</v>
      </c>
      <c r="B193" s="11">
        <f>IFERROR(__xludf.DUMMYFUNCTION("""COMPUTED_VALUE"""),0.0)</f>
        <v>0</v>
      </c>
      <c r="C193" s="11">
        <f>IFERROR(__xludf.DUMMYFUNCTION("""COMPUTED_VALUE"""),529.0)</f>
        <v>529</v>
      </c>
      <c r="D193" s="11">
        <f>IFERROR(__xludf.DUMMYFUNCTION("""COMPUTED_VALUE"""),24.0)</f>
        <v>24</v>
      </c>
      <c r="E193" s="9"/>
    </row>
    <row r="194">
      <c r="A194" s="10">
        <f>IFERROR(__xludf.DUMMYFUNCTION("""COMPUTED_VALUE"""),77363.0)</f>
        <v>77363</v>
      </c>
      <c r="B194" s="11">
        <f>IFERROR(__xludf.DUMMYFUNCTION("""COMPUTED_VALUE"""),0.0)</f>
        <v>0</v>
      </c>
      <c r="C194" s="11">
        <f>IFERROR(__xludf.DUMMYFUNCTION("""COMPUTED_VALUE"""),221.0)</f>
        <v>221</v>
      </c>
      <c r="D194" s="11">
        <f>IFERROR(__xludf.DUMMYFUNCTION("""COMPUTED_VALUE"""),171.0)</f>
        <v>171</v>
      </c>
      <c r="E194" s="9"/>
    </row>
    <row r="195">
      <c r="A195" s="10">
        <f>IFERROR(__xludf.DUMMYFUNCTION("""COMPUTED_VALUE"""),124679.0)</f>
        <v>124679</v>
      </c>
      <c r="B195" s="11">
        <f>IFERROR(__xludf.DUMMYFUNCTION("""COMPUTED_VALUE"""),0.0)</f>
        <v>0</v>
      </c>
      <c r="C195" s="11">
        <f>IFERROR(__xludf.DUMMYFUNCTION("""COMPUTED_VALUE"""),685.0)</f>
        <v>685</v>
      </c>
      <c r="D195" s="11">
        <f>IFERROR(__xludf.DUMMYFUNCTION("""COMPUTED_VALUE"""),53.0)</f>
        <v>53</v>
      </c>
      <c r="E195" s="9"/>
    </row>
    <row r="196">
      <c r="A196" s="10">
        <f>IFERROR(__xludf.DUMMYFUNCTION("""COMPUTED_VALUE"""),89558.0)</f>
        <v>89558</v>
      </c>
      <c r="B196" s="11">
        <f>IFERROR(__xludf.DUMMYFUNCTION("""COMPUTED_VALUE"""),1.0)</f>
        <v>1</v>
      </c>
      <c r="C196" s="11">
        <f>IFERROR(__xludf.DUMMYFUNCTION("""COMPUTED_VALUE"""),58.0)</f>
        <v>58</v>
      </c>
      <c r="D196" s="11">
        <f>IFERROR(__xludf.DUMMYFUNCTION("""COMPUTED_VALUE"""),8.0)</f>
        <v>8</v>
      </c>
      <c r="E196" s="9"/>
    </row>
    <row r="197">
      <c r="A197" s="10">
        <f>IFERROR(__xludf.DUMMYFUNCTION("""COMPUTED_VALUE"""),91235.0)</f>
        <v>91235</v>
      </c>
      <c r="B197" s="11">
        <f>IFERROR(__xludf.DUMMYFUNCTION("""COMPUTED_VALUE"""),1.0)</f>
        <v>1</v>
      </c>
      <c r="C197" s="11">
        <f>IFERROR(__xludf.DUMMYFUNCTION("""COMPUTED_VALUE"""),790.0)</f>
        <v>790</v>
      </c>
      <c r="D197" s="11">
        <f>IFERROR(__xludf.DUMMYFUNCTION("""COMPUTED_VALUE"""),546.0)</f>
        <v>546</v>
      </c>
      <c r="E197" s="9"/>
    </row>
    <row r="198">
      <c r="A198" s="10">
        <f>IFERROR(__xludf.DUMMYFUNCTION("""COMPUTED_VALUE"""),5519.0)</f>
        <v>5519</v>
      </c>
      <c r="B198" s="11">
        <f>IFERROR(__xludf.DUMMYFUNCTION("""COMPUTED_VALUE"""),1.0)</f>
        <v>1</v>
      </c>
      <c r="C198" s="11">
        <f>IFERROR(__xludf.DUMMYFUNCTION("""COMPUTED_VALUE"""),146.0)</f>
        <v>146</v>
      </c>
      <c r="D198" s="11">
        <f>IFERROR(__xludf.DUMMYFUNCTION("""COMPUTED_VALUE"""),48.0)</f>
        <v>48</v>
      </c>
      <c r="E198" s="9"/>
    </row>
    <row r="199">
      <c r="A199" s="10">
        <f>IFERROR(__xludf.DUMMYFUNCTION("""COMPUTED_VALUE"""),87278.0)</f>
        <v>87278</v>
      </c>
      <c r="B199" s="11">
        <f>IFERROR(__xludf.DUMMYFUNCTION("""COMPUTED_VALUE"""),1.0)</f>
        <v>1</v>
      </c>
      <c r="C199" s="11">
        <f>IFERROR(__xludf.DUMMYFUNCTION("""COMPUTED_VALUE"""),225.0)</f>
        <v>225</v>
      </c>
      <c r="D199" s="11">
        <f>IFERROR(__xludf.DUMMYFUNCTION("""COMPUTED_VALUE"""),119.0)</f>
        <v>119</v>
      </c>
      <c r="E199" s="9"/>
    </row>
    <row r="200">
      <c r="A200" s="10">
        <f>IFERROR(__xludf.DUMMYFUNCTION("""COMPUTED_VALUE"""),77326.0)</f>
        <v>77326</v>
      </c>
      <c r="B200" s="11">
        <f>IFERROR(__xludf.DUMMYFUNCTION("""COMPUTED_VALUE"""),0.0)</f>
        <v>0</v>
      </c>
      <c r="C200" s="11">
        <f>IFERROR(__xludf.DUMMYFUNCTION("""COMPUTED_VALUE"""),592.0)</f>
        <v>592</v>
      </c>
      <c r="D200" s="11">
        <f>IFERROR(__xludf.DUMMYFUNCTION("""COMPUTED_VALUE"""),371.0)</f>
        <v>371</v>
      </c>
      <c r="E200" s="9"/>
    </row>
    <row r="201">
      <c r="A201" s="10">
        <f>IFERROR(__xludf.DUMMYFUNCTION("""COMPUTED_VALUE"""),6158.0)</f>
        <v>6158</v>
      </c>
      <c r="B201" s="11">
        <f>IFERROR(__xludf.DUMMYFUNCTION("""COMPUTED_VALUE"""),0.0)</f>
        <v>0</v>
      </c>
      <c r="C201" s="11">
        <f>IFERROR(__xludf.DUMMYFUNCTION("""COMPUTED_VALUE"""),953.0)</f>
        <v>953</v>
      </c>
      <c r="D201" s="11">
        <f>IFERROR(__xludf.DUMMYFUNCTION("""COMPUTED_VALUE"""),738.0)</f>
        <v>738</v>
      </c>
      <c r="E201" s="9"/>
    </row>
    <row r="202">
      <c r="A202" s="10">
        <f>IFERROR(__xludf.DUMMYFUNCTION("""COMPUTED_VALUE"""),77338.0)</f>
        <v>77338</v>
      </c>
      <c r="B202" s="11">
        <f>IFERROR(__xludf.DUMMYFUNCTION("""COMPUTED_VALUE"""),0.0)</f>
        <v>0</v>
      </c>
      <c r="C202" s="11">
        <f>IFERROR(__xludf.DUMMYFUNCTION("""COMPUTED_VALUE"""),130.0)</f>
        <v>130</v>
      </c>
      <c r="D202" s="11">
        <f>IFERROR(__xludf.DUMMYFUNCTION("""COMPUTED_VALUE"""),0.0)</f>
        <v>0</v>
      </c>
      <c r="E202" s="9"/>
    </row>
    <row r="203">
      <c r="A203" s="10">
        <f>IFERROR(__xludf.DUMMYFUNCTION("""COMPUTED_VALUE"""),159220.0)</f>
        <v>159220</v>
      </c>
      <c r="B203" s="11">
        <f>IFERROR(__xludf.DUMMYFUNCTION("""COMPUTED_VALUE"""),0.0)</f>
        <v>0</v>
      </c>
      <c r="C203" s="11">
        <f>IFERROR(__xludf.DUMMYFUNCTION("""COMPUTED_VALUE"""),894.0)</f>
        <v>894</v>
      </c>
      <c r="D203" s="11">
        <f>IFERROR(__xludf.DUMMYFUNCTION("""COMPUTED_VALUE"""),237.0)</f>
        <v>237</v>
      </c>
      <c r="E203" s="9"/>
    </row>
    <row r="204">
      <c r="A204" s="10">
        <f>IFERROR(__xludf.DUMMYFUNCTION("""COMPUTED_VALUE"""),5521.0)</f>
        <v>5521</v>
      </c>
      <c r="B204" s="11">
        <f>IFERROR(__xludf.DUMMYFUNCTION("""COMPUTED_VALUE"""),1.0)</f>
        <v>1</v>
      </c>
      <c r="C204" s="11">
        <f>IFERROR(__xludf.DUMMYFUNCTION("""COMPUTED_VALUE"""),183.0)</f>
        <v>183</v>
      </c>
      <c r="D204" s="11">
        <f>IFERROR(__xludf.DUMMYFUNCTION("""COMPUTED_VALUE"""),42.0)</f>
        <v>42</v>
      </c>
      <c r="E204" s="9"/>
    </row>
    <row r="205">
      <c r="A205" s="10">
        <f>IFERROR(__xludf.DUMMYFUNCTION("""COMPUTED_VALUE"""),91225.0)</f>
        <v>91225</v>
      </c>
      <c r="B205" s="11">
        <f>IFERROR(__xludf.DUMMYFUNCTION("""COMPUTED_VALUE"""),1.0)</f>
        <v>1</v>
      </c>
      <c r="C205" s="11">
        <f>IFERROR(__xludf.DUMMYFUNCTION("""COMPUTED_VALUE"""),291.0)</f>
        <v>291</v>
      </c>
      <c r="D205" s="11">
        <f>IFERROR(__xludf.DUMMYFUNCTION("""COMPUTED_VALUE"""),274.0)</f>
        <v>274</v>
      </c>
      <c r="E205" s="9"/>
    </row>
    <row r="206">
      <c r="A206" s="10">
        <f>IFERROR(__xludf.DUMMYFUNCTION("""COMPUTED_VALUE"""),5520.0)</f>
        <v>5520</v>
      </c>
      <c r="B206" s="11">
        <f>IFERROR(__xludf.DUMMYFUNCTION("""COMPUTED_VALUE"""),1.0)</f>
        <v>1</v>
      </c>
      <c r="C206" s="11">
        <f>IFERROR(__xludf.DUMMYFUNCTION("""COMPUTED_VALUE"""),848.0)</f>
        <v>848</v>
      </c>
      <c r="D206" s="11">
        <f>IFERROR(__xludf.DUMMYFUNCTION("""COMPUTED_VALUE"""),524.0)</f>
        <v>524</v>
      </c>
      <c r="E206" s="9"/>
    </row>
    <row r="207">
      <c r="A207" s="10">
        <f>IFERROR(__xludf.DUMMYFUNCTION("""COMPUTED_VALUE"""),87285.0)</f>
        <v>87285</v>
      </c>
      <c r="B207" s="11">
        <f>IFERROR(__xludf.DUMMYFUNCTION("""COMPUTED_VALUE"""),0.0)</f>
        <v>0</v>
      </c>
      <c r="C207" s="11">
        <f>IFERROR(__xludf.DUMMYFUNCTION("""COMPUTED_VALUE"""),722.0)</f>
        <v>722</v>
      </c>
      <c r="D207" s="11">
        <f>IFERROR(__xludf.DUMMYFUNCTION("""COMPUTED_VALUE"""),221.0)</f>
        <v>221</v>
      </c>
      <c r="E207" s="9"/>
    </row>
    <row r="208">
      <c r="A208" s="10">
        <f>IFERROR(__xludf.DUMMYFUNCTION("""COMPUTED_VALUE"""),72862.0)</f>
        <v>72862</v>
      </c>
      <c r="B208" s="11">
        <f>IFERROR(__xludf.DUMMYFUNCTION("""COMPUTED_VALUE"""),1.0)</f>
        <v>1</v>
      </c>
      <c r="C208" s="11">
        <f>IFERROR(__xludf.DUMMYFUNCTION("""COMPUTED_VALUE"""),277.0)</f>
        <v>277</v>
      </c>
      <c r="D208" s="11">
        <f>IFERROR(__xludf.DUMMYFUNCTION("""COMPUTED_VALUE"""),214.0)</f>
        <v>214</v>
      </c>
      <c r="E208" s="9"/>
    </row>
    <row r="209">
      <c r="A209" s="10">
        <f>IFERROR(__xludf.DUMMYFUNCTION("""COMPUTED_VALUE"""),109474.0)</f>
        <v>109474</v>
      </c>
      <c r="B209" s="11">
        <f>IFERROR(__xludf.DUMMYFUNCTION("""COMPUTED_VALUE"""),1.0)</f>
        <v>1</v>
      </c>
      <c r="C209" s="11">
        <f>IFERROR(__xludf.DUMMYFUNCTION("""COMPUTED_VALUE"""),553.0)</f>
        <v>553</v>
      </c>
      <c r="D209" s="11">
        <f>IFERROR(__xludf.DUMMYFUNCTION("""COMPUTED_VALUE"""),372.0)</f>
        <v>372</v>
      </c>
      <c r="E209" s="9"/>
    </row>
    <row r="210">
      <c r="A210" s="10">
        <f>IFERROR(__xludf.DUMMYFUNCTION("""COMPUTED_VALUE"""),45834.0)</f>
        <v>45834</v>
      </c>
      <c r="B210" s="11">
        <f>IFERROR(__xludf.DUMMYFUNCTION("""COMPUTED_VALUE"""),1.0)</f>
        <v>1</v>
      </c>
      <c r="C210" s="11">
        <f>IFERROR(__xludf.DUMMYFUNCTION("""COMPUTED_VALUE"""),51.0)</f>
        <v>51</v>
      </c>
      <c r="D210" s="11">
        <f>IFERROR(__xludf.DUMMYFUNCTION("""COMPUTED_VALUE"""),36.0)</f>
        <v>36</v>
      </c>
      <c r="E210" s="9"/>
    </row>
    <row r="211">
      <c r="A211" s="10">
        <f>IFERROR(__xludf.DUMMYFUNCTION("""COMPUTED_VALUE"""),45885.0)</f>
        <v>45885</v>
      </c>
      <c r="B211" s="11">
        <f>IFERROR(__xludf.DUMMYFUNCTION("""COMPUTED_VALUE"""),0.0)</f>
        <v>0</v>
      </c>
      <c r="C211" s="11">
        <f>IFERROR(__xludf.DUMMYFUNCTION("""COMPUTED_VALUE"""),800.0)</f>
        <v>800</v>
      </c>
      <c r="D211" s="11">
        <f>IFERROR(__xludf.DUMMYFUNCTION("""COMPUTED_VALUE"""),406.0)</f>
        <v>406</v>
      </c>
      <c r="E211" s="9"/>
    </row>
    <row r="212">
      <c r="A212" s="10">
        <f>IFERROR(__xludf.DUMMYFUNCTION("""COMPUTED_VALUE"""),77360.0)</f>
        <v>77360</v>
      </c>
      <c r="B212" s="11">
        <f>IFERROR(__xludf.DUMMYFUNCTION("""COMPUTED_VALUE"""),1.0)</f>
        <v>1</v>
      </c>
      <c r="C212" s="11">
        <f>IFERROR(__xludf.DUMMYFUNCTION("""COMPUTED_VALUE"""),646.0)</f>
        <v>646</v>
      </c>
      <c r="D212" s="11">
        <f>IFERROR(__xludf.DUMMYFUNCTION("""COMPUTED_VALUE"""),572.0)</f>
        <v>572</v>
      </c>
      <c r="E212" s="9"/>
    </row>
    <row r="213">
      <c r="A213" s="10">
        <f>IFERROR(__xludf.DUMMYFUNCTION("""COMPUTED_VALUE"""),89787.0)</f>
        <v>89787</v>
      </c>
      <c r="B213" s="11">
        <f>IFERROR(__xludf.DUMMYFUNCTION("""COMPUTED_VALUE"""),1.0)</f>
        <v>1</v>
      </c>
      <c r="C213" s="11">
        <f>IFERROR(__xludf.DUMMYFUNCTION("""COMPUTED_VALUE"""),828.0)</f>
        <v>828</v>
      </c>
      <c r="D213" s="11">
        <f>IFERROR(__xludf.DUMMYFUNCTION("""COMPUTED_VALUE"""),94.0)</f>
        <v>94</v>
      </c>
      <c r="E213" s="9"/>
    </row>
    <row r="214">
      <c r="A214" s="10">
        <f>IFERROR(__xludf.DUMMYFUNCTION("""COMPUTED_VALUE"""),5531.0)</f>
        <v>5531</v>
      </c>
      <c r="B214" s="11">
        <f>IFERROR(__xludf.DUMMYFUNCTION("""COMPUTED_VALUE"""),0.0)</f>
        <v>0</v>
      </c>
      <c r="C214" s="11">
        <f>IFERROR(__xludf.DUMMYFUNCTION("""COMPUTED_VALUE"""),617.0)</f>
        <v>617</v>
      </c>
      <c r="D214" s="11">
        <f>IFERROR(__xludf.DUMMYFUNCTION("""COMPUTED_VALUE"""),231.0)</f>
        <v>231</v>
      </c>
      <c r="E214" s="9"/>
    </row>
    <row r="215">
      <c r="A215" s="10">
        <f>IFERROR(__xludf.DUMMYFUNCTION("""COMPUTED_VALUE"""),72826.0)</f>
        <v>72826</v>
      </c>
      <c r="B215" s="11">
        <f>IFERROR(__xludf.DUMMYFUNCTION("""COMPUTED_VALUE"""),0.0)</f>
        <v>0</v>
      </c>
      <c r="C215" s="11">
        <f>IFERROR(__xludf.DUMMYFUNCTION("""COMPUTED_VALUE"""),608.0)</f>
        <v>608</v>
      </c>
      <c r="D215" s="11">
        <f>IFERROR(__xludf.DUMMYFUNCTION("""COMPUTED_VALUE"""),511.0)</f>
        <v>511</v>
      </c>
      <c r="E215" s="9"/>
    </row>
    <row r="216">
      <c r="A216" s="10">
        <f>IFERROR(__xludf.DUMMYFUNCTION("""COMPUTED_VALUE"""),91180.0)</f>
        <v>91180</v>
      </c>
      <c r="B216" s="11">
        <f>IFERROR(__xludf.DUMMYFUNCTION("""COMPUTED_VALUE"""),0.0)</f>
        <v>0</v>
      </c>
      <c r="C216" s="11">
        <f>IFERROR(__xludf.DUMMYFUNCTION("""COMPUTED_VALUE"""),442.0)</f>
        <v>442</v>
      </c>
      <c r="D216" s="11">
        <f>IFERROR(__xludf.DUMMYFUNCTION("""COMPUTED_VALUE"""),306.0)</f>
        <v>306</v>
      </c>
      <c r="E216" s="9"/>
    </row>
    <row r="217">
      <c r="A217" s="10">
        <f>IFERROR(__xludf.DUMMYFUNCTION("""COMPUTED_VALUE"""),58757.0)</f>
        <v>58757</v>
      </c>
      <c r="B217" s="11">
        <f>IFERROR(__xludf.DUMMYFUNCTION("""COMPUTED_VALUE"""),0.0)</f>
        <v>0</v>
      </c>
      <c r="C217" s="11">
        <f>IFERROR(__xludf.DUMMYFUNCTION("""COMPUTED_VALUE"""),165.0)</f>
        <v>165</v>
      </c>
      <c r="D217" s="11">
        <f>IFERROR(__xludf.DUMMYFUNCTION("""COMPUTED_VALUE"""),37.0)</f>
        <v>37</v>
      </c>
      <c r="E217" s="9"/>
    </row>
    <row r="218">
      <c r="A218" s="10">
        <f>IFERROR(__xludf.DUMMYFUNCTION("""COMPUTED_VALUE"""),87287.0)</f>
        <v>87287</v>
      </c>
      <c r="B218" s="11">
        <f>IFERROR(__xludf.DUMMYFUNCTION("""COMPUTED_VALUE"""),0.0)</f>
        <v>0</v>
      </c>
      <c r="C218" s="11">
        <f>IFERROR(__xludf.DUMMYFUNCTION("""COMPUTED_VALUE"""),835.0)</f>
        <v>835</v>
      </c>
      <c r="D218" s="11">
        <f>IFERROR(__xludf.DUMMYFUNCTION("""COMPUTED_VALUE"""),792.0)</f>
        <v>792</v>
      </c>
      <c r="E218" s="9"/>
    </row>
    <row r="219">
      <c r="A219" s="10">
        <f>IFERROR(__xludf.DUMMYFUNCTION("""COMPUTED_VALUE"""),91147.0)</f>
        <v>91147</v>
      </c>
      <c r="B219" s="11">
        <f>IFERROR(__xludf.DUMMYFUNCTION("""COMPUTED_VALUE"""),0.0)</f>
        <v>0</v>
      </c>
      <c r="C219" s="11">
        <f>IFERROR(__xludf.DUMMYFUNCTION("""COMPUTED_VALUE"""),964.0)</f>
        <v>964</v>
      </c>
      <c r="D219" s="11">
        <f>IFERROR(__xludf.DUMMYFUNCTION("""COMPUTED_VALUE"""),66.0)</f>
        <v>66</v>
      </c>
      <c r="E219" s="9"/>
    </row>
    <row r="220">
      <c r="A220" s="10">
        <f>IFERROR(__xludf.DUMMYFUNCTION("""COMPUTED_VALUE"""),5526.0)</f>
        <v>5526</v>
      </c>
      <c r="B220" s="11">
        <f>IFERROR(__xludf.DUMMYFUNCTION("""COMPUTED_VALUE"""),0.0)</f>
        <v>0</v>
      </c>
      <c r="C220" s="11">
        <f>IFERROR(__xludf.DUMMYFUNCTION("""COMPUTED_VALUE"""),340.0)</f>
        <v>340</v>
      </c>
      <c r="D220" s="11">
        <f>IFERROR(__xludf.DUMMYFUNCTION("""COMPUTED_VALUE"""),310.0)</f>
        <v>310</v>
      </c>
      <c r="E220" s="9"/>
    </row>
    <row r="221">
      <c r="A221" s="10">
        <f>IFERROR(__xludf.DUMMYFUNCTION("""COMPUTED_VALUE"""),77310.0)</f>
        <v>77310</v>
      </c>
      <c r="B221" s="11">
        <f>IFERROR(__xludf.DUMMYFUNCTION("""COMPUTED_VALUE"""),1.0)</f>
        <v>1</v>
      </c>
      <c r="C221" s="11">
        <f>IFERROR(__xludf.DUMMYFUNCTION("""COMPUTED_VALUE"""),211.0)</f>
        <v>211</v>
      </c>
      <c r="D221" s="11">
        <f>IFERROR(__xludf.DUMMYFUNCTION("""COMPUTED_VALUE"""),211.0)</f>
        <v>211</v>
      </c>
      <c r="E221" s="9"/>
    </row>
    <row r="222">
      <c r="A222" s="10">
        <f>IFERROR(__xludf.DUMMYFUNCTION("""COMPUTED_VALUE"""),5525.0)</f>
        <v>5525</v>
      </c>
      <c r="B222" s="11">
        <f>IFERROR(__xludf.DUMMYFUNCTION("""COMPUTED_VALUE"""),1.0)</f>
        <v>1</v>
      </c>
      <c r="C222" s="11">
        <f>IFERROR(__xludf.DUMMYFUNCTION("""COMPUTED_VALUE"""),159.0)</f>
        <v>159</v>
      </c>
      <c r="D222" s="11">
        <f>IFERROR(__xludf.DUMMYFUNCTION("""COMPUTED_VALUE"""),98.0)</f>
        <v>98</v>
      </c>
      <c r="E222" s="9"/>
    </row>
    <row r="223">
      <c r="A223" s="10">
        <f>IFERROR(__xludf.DUMMYFUNCTION("""COMPUTED_VALUE"""),5524.0)</f>
        <v>5524</v>
      </c>
      <c r="B223" s="11">
        <f>IFERROR(__xludf.DUMMYFUNCTION("""COMPUTED_VALUE"""),1.0)</f>
        <v>1</v>
      </c>
      <c r="C223" s="11">
        <f>IFERROR(__xludf.DUMMYFUNCTION("""COMPUTED_VALUE"""),602.0)</f>
        <v>602</v>
      </c>
      <c r="D223" s="11">
        <f>IFERROR(__xludf.DUMMYFUNCTION("""COMPUTED_VALUE"""),87.0)</f>
        <v>87</v>
      </c>
      <c r="E223" s="9"/>
    </row>
    <row r="224">
      <c r="A224" s="10">
        <f>IFERROR(__xludf.DUMMYFUNCTION("""COMPUTED_VALUE"""),72849.0)</f>
        <v>72849</v>
      </c>
      <c r="B224" s="11">
        <f>IFERROR(__xludf.DUMMYFUNCTION("""COMPUTED_VALUE"""),1.0)</f>
        <v>1</v>
      </c>
      <c r="C224" s="11">
        <f>IFERROR(__xludf.DUMMYFUNCTION("""COMPUTED_VALUE"""),27.0)</f>
        <v>27</v>
      </c>
      <c r="D224" s="11">
        <f>IFERROR(__xludf.DUMMYFUNCTION("""COMPUTED_VALUE"""),25.0)</f>
        <v>25</v>
      </c>
      <c r="E224" s="9"/>
    </row>
    <row r="225">
      <c r="A225" s="10">
        <f>IFERROR(__xludf.DUMMYFUNCTION("""COMPUTED_VALUE"""),77385.0)</f>
        <v>77385</v>
      </c>
      <c r="B225" s="11">
        <f>IFERROR(__xludf.DUMMYFUNCTION("""COMPUTED_VALUE"""),1.0)</f>
        <v>1</v>
      </c>
      <c r="C225" s="11">
        <f>IFERROR(__xludf.DUMMYFUNCTION("""COMPUTED_VALUE"""),330.0)</f>
        <v>330</v>
      </c>
      <c r="D225" s="11">
        <f>IFERROR(__xludf.DUMMYFUNCTION("""COMPUTED_VALUE"""),76.0)</f>
        <v>76</v>
      </c>
      <c r="E225" s="9"/>
    </row>
    <row r="226">
      <c r="A226" s="10">
        <f>IFERROR(__xludf.DUMMYFUNCTION("""COMPUTED_VALUE"""),5529.0)</f>
        <v>5529</v>
      </c>
      <c r="B226" s="11">
        <f>IFERROR(__xludf.DUMMYFUNCTION("""COMPUTED_VALUE"""),0.0)</f>
        <v>0</v>
      </c>
      <c r="C226" s="11">
        <f>IFERROR(__xludf.DUMMYFUNCTION("""COMPUTED_VALUE"""),780.0)</f>
        <v>780</v>
      </c>
      <c r="D226" s="11">
        <f>IFERROR(__xludf.DUMMYFUNCTION("""COMPUTED_VALUE"""),288.0)</f>
        <v>288</v>
      </c>
      <c r="E226" s="9"/>
    </row>
    <row r="227">
      <c r="A227" s="10">
        <f>IFERROR(__xludf.DUMMYFUNCTION("""COMPUTED_VALUE"""),45879.0)</f>
        <v>45879</v>
      </c>
      <c r="B227" s="11">
        <f>IFERROR(__xludf.DUMMYFUNCTION("""COMPUTED_VALUE"""),0.0)</f>
        <v>0</v>
      </c>
      <c r="C227" s="11">
        <f>IFERROR(__xludf.DUMMYFUNCTION("""COMPUTED_VALUE"""),582.0)</f>
        <v>582</v>
      </c>
      <c r="D227" s="11">
        <f>IFERROR(__xludf.DUMMYFUNCTION("""COMPUTED_VALUE"""),129.0)</f>
        <v>129</v>
      </c>
      <c r="E227" s="9"/>
    </row>
    <row r="228">
      <c r="A228" s="10">
        <f>IFERROR(__xludf.DUMMYFUNCTION("""COMPUTED_VALUE"""),58753.0)</f>
        <v>58753</v>
      </c>
      <c r="B228" s="11">
        <f>IFERROR(__xludf.DUMMYFUNCTION("""COMPUTED_VALUE"""),1.0)</f>
        <v>1</v>
      </c>
      <c r="C228" s="11">
        <f>IFERROR(__xludf.DUMMYFUNCTION("""COMPUTED_VALUE"""),772.0)</f>
        <v>772</v>
      </c>
      <c r="D228" s="11">
        <f>IFERROR(__xludf.DUMMYFUNCTION("""COMPUTED_VALUE"""),337.0)</f>
        <v>337</v>
      </c>
      <c r="E228" s="9"/>
    </row>
    <row r="229">
      <c r="A229" s="10">
        <f>IFERROR(__xludf.DUMMYFUNCTION("""COMPUTED_VALUE"""),77318.0)</f>
        <v>77318</v>
      </c>
      <c r="B229" s="11">
        <f>IFERROR(__xludf.DUMMYFUNCTION("""COMPUTED_VALUE"""),0.0)</f>
        <v>0</v>
      </c>
      <c r="C229" s="11">
        <f>IFERROR(__xludf.DUMMYFUNCTION("""COMPUTED_VALUE"""),795.0)</f>
        <v>795</v>
      </c>
      <c r="D229" s="11">
        <f>IFERROR(__xludf.DUMMYFUNCTION("""COMPUTED_VALUE"""),751.0)</f>
        <v>751</v>
      </c>
      <c r="E229" s="9"/>
    </row>
    <row r="230">
      <c r="A230" s="10">
        <f>IFERROR(__xludf.DUMMYFUNCTION("""COMPUTED_VALUE"""),122091.0)</f>
        <v>122091</v>
      </c>
      <c r="B230" s="11">
        <f>IFERROR(__xludf.DUMMYFUNCTION("""COMPUTED_VALUE"""),1.0)</f>
        <v>1</v>
      </c>
      <c r="C230" s="11">
        <f>IFERROR(__xludf.DUMMYFUNCTION("""COMPUTED_VALUE"""),763.0)</f>
        <v>763</v>
      </c>
      <c r="D230" s="11">
        <f>IFERROR(__xludf.DUMMYFUNCTION("""COMPUTED_VALUE"""),381.0)</f>
        <v>381</v>
      </c>
      <c r="E230" s="9"/>
    </row>
    <row r="231">
      <c r="A231" s="10">
        <f>IFERROR(__xludf.DUMMYFUNCTION("""COMPUTED_VALUE"""),91144.0)</f>
        <v>91144</v>
      </c>
      <c r="B231" s="11">
        <f>IFERROR(__xludf.DUMMYFUNCTION("""COMPUTED_VALUE"""),1.0)</f>
        <v>1</v>
      </c>
      <c r="C231" s="11">
        <f>IFERROR(__xludf.DUMMYFUNCTION("""COMPUTED_VALUE"""),977.0)</f>
        <v>977</v>
      </c>
      <c r="D231" s="11">
        <f>IFERROR(__xludf.DUMMYFUNCTION("""COMPUTED_VALUE"""),805.0)</f>
        <v>805</v>
      </c>
      <c r="E231" s="9"/>
    </row>
    <row r="232">
      <c r="A232" s="10">
        <f>IFERROR(__xludf.DUMMYFUNCTION("""COMPUTED_VALUE"""),79000.0)</f>
        <v>79000</v>
      </c>
      <c r="B232" s="11">
        <f>IFERROR(__xludf.DUMMYFUNCTION("""COMPUTED_VALUE"""),1.0)</f>
        <v>1</v>
      </c>
      <c r="C232" s="11">
        <f>IFERROR(__xludf.DUMMYFUNCTION("""COMPUTED_VALUE"""),166.0)</f>
        <v>166</v>
      </c>
      <c r="D232" s="11">
        <f>IFERROR(__xludf.DUMMYFUNCTION("""COMPUTED_VALUE"""),101.0)</f>
        <v>101</v>
      </c>
      <c r="E232" s="9"/>
    </row>
    <row r="233">
      <c r="A233" s="10">
        <f>IFERROR(__xludf.DUMMYFUNCTION("""COMPUTED_VALUE"""),77389.0)</f>
        <v>77389</v>
      </c>
      <c r="B233" s="11">
        <f>IFERROR(__xludf.DUMMYFUNCTION("""COMPUTED_VALUE"""),1.0)</f>
        <v>1</v>
      </c>
      <c r="C233" s="11">
        <f>IFERROR(__xludf.DUMMYFUNCTION("""COMPUTED_VALUE"""),191.0)</f>
        <v>191</v>
      </c>
      <c r="D233" s="11">
        <f>IFERROR(__xludf.DUMMYFUNCTION("""COMPUTED_VALUE"""),93.0)</f>
        <v>93</v>
      </c>
      <c r="E233" s="9"/>
    </row>
    <row r="234">
      <c r="A234" s="10">
        <f>IFERROR(__xludf.DUMMYFUNCTION("""COMPUTED_VALUE"""),72857.0)</f>
        <v>72857</v>
      </c>
      <c r="B234" s="11">
        <f>IFERROR(__xludf.DUMMYFUNCTION("""COMPUTED_VALUE"""),1.0)</f>
        <v>1</v>
      </c>
      <c r="C234" s="11">
        <f>IFERROR(__xludf.DUMMYFUNCTION("""COMPUTED_VALUE"""),369.0)</f>
        <v>369</v>
      </c>
      <c r="D234" s="11">
        <f>IFERROR(__xludf.DUMMYFUNCTION("""COMPUTED_VALUE"""),148.0)</f>
        <v>148</v>
      </c>
      <c r="E234" s="9"/>
    </row>
    <row r="235">
      <c r="A235" s="10">
        <f>IFERROR(__xludf.DUMMYFUNCTION("""COMPUTED_VALUE"""),72859.0)</f>
        <v>72859</v>
      </c>
      <c r="B235" s="11">
        <f>IFERROR(__xludf.DUMMYFUNCTION("""COMPUTED_VALUE"""),0.0)</f>
        <v>0</v>
      </c>
      <c r="C235" s="11">
        <f>IFERROR(__xludf.DUMMYFUNCTION("""COMPUTED_VALUE"""),354.0)</f>
        <v>354</v>
      </c>
      <c r="D235" s="11">
        <f>IFERROR(__xludf.DUMMYFUNCTION("""COMPUTED_VALUE"""),196.0)</f>
        <v>196</v>
      </c>
      <c r="E235" s="9"/>
    </row>
    <row r="236">
      <c r="A236" s="10">
        <f>IFERROR(__xludf.DUMMYFUNCTION("""COMPUTED_VALUE"""),91264.0)</f>
        <v>91264</v>
      </c>
      <c r="B236" s="11">
        <f>IFERROR(__xludf.DUMMYFUNCTION("""COMPUTED_VALUE"""),0.0)</f>
        <v>0</v>
      </c>
      <c r="C236" s="11">
        <f>IFERROR(__xludf.DUMMYFUNCTION("""COMPUTED_VALUE"""),514.0)</f>
        <v>514</v>
      </c>
      <c r="D236" s="11">
        <f>IFERROR(__xludf.DUMMYFUNCTION("""COMPUTED_VALUE"""),399.0)</f>
        <v>399</v>
      </c>
      <c r="E236" s="9"/>
    </row>
    <row r="237">
      <c r="A237" s="10">
        <f>IFERROR(__xludf.DUMMYFUNCTION("""COMPUTED_VALUE"""),77316.0)</f>
        <v>77316</v>
      </c>
      <c r="B237" s="11">
        <f>IFERROR(__xludf.DUMMYFUNCTION("""COMPUTED_VALUE"""),0.0)</f>
        <v>0</v>
      </c>
      <c r="C237" s="11">
        <f>IFERROR(__xludf.DUMMYFUNCTION("""COMPUTED_VALUE"""),56.0)</f>
        <v>56</v>
      </c>
      <c r="D237" s="11">
        <f>IFERROR(__xludf.DUMMYFUNCTION("""COMPUTED_VALUE"""),16.0)</f>
        <v>16</v>
      </c>
      <c r="E237" s="9"/>
    </row>
    <row r="238">
      <c r="A238" s="10">
        <f>IFERROR(__xludf.DUMMYFUNCTION("""COMPUTED_VALUE"""),110573.0)</f>
        <v>110573</v>
      </c>
      <c r="B238" s="11">
        <f>IFERROR(__xludf.DUMMYFUNCTION("""COMPUTED_VALUE"""),0.0)</f>
        <v>0</v>
      </c>
      <c r="C238" s="11">
        <f>IFERROR(__xludf.DUMMYFUNCTION("""COMPUTED_VALUE"""),47.0)</f>
        <v>47</v>
      </c>
      <c r="D238" s="11">
        <f>IFERROR(__xludf.DUMMYFUNCTION("""COMPUTED_VALUE"""),33.0)</f>
        <v>33</v>
      </c>
      <c r="E238" s="9"/>
    </row>
    <row r="239">
      <c r="A239" s="10">
        <f>IFERROR(__xludf.DUMMYFUNCTION("""COMPUTED_VALUE"""),82236.0)</f>
        <v>82236</v>
      </c>
      <c r="B239" s="11">
        <f>IFERROR(__xludf.DUMMYFUNCTION("""COMPUTED_VALUE"""),1.0)</f>
        <v>1</v>
      </c>
      <c r="C239" s="11">
        <f>IFERROR(__xludf.DUMMYFUNCTION("""COMPUTED_VALUE"""),194.0)</f>
        <v>194</v>
      </c>
      <c r="D239" s="11">
        <f>IFERROR(__xludf.DUMMYFUNCTION("""COMPUTED_VALUE"""),130.0)</f>
        <v>130</v>
      </c>
      <c r="E239" s="9"/>
    </row>
    <row r="240">
      <c r="A240" s="10">
        <f>IFERROR(__xludf.DUMMYFUNCTION("""COMPUTED_VALUE"""),72855.0)</f>
        <v>72855</v>
      </c>
      <c r="B240" s="11">
        <f>IFERROR(__xludf.DUMMYFUNCTION("""COMPUTED_VALUE"""),1.0)</f>
        <v>1</v>
      </c>
      <c r="C240" s="11">
        <f>IFERROR(__xludf.DUMMYFUNCTION("""COMPUTED_VALUE"""),624.0)</f>
        <v>624</v>
      </c>
      <c r="D240" s="11">
        <f>IFERROR(__xludf.DUMMYFUNCTION("""COMPUTED_VALUE"""),330.0)</f>
        <v>330</v>
      </c>
      <c r="E240" s="9"/>
    </row>
    <row r="241">
      <c r="A241" s="10">
        <f>IFERROR(__xludf.DUMMYFUNCTION("""COMPUTED_VALUE"""),77392.0)</f>
        <v>77392</v>
      </c>
      <c r="B241" s="11">
        <f>IFERROR(__xludf.DUMMYFUNCTION("""COMPUTED_VALUE"""),0.0)</f>
        <v>0</v>
      </c>
      <c r="C241" s="11">
        <f>IFERROR(__xludf.DUMMYFUNCTION("""COMPUTED_VALUE"""),150.0)</f>
        <v>150</v>
      </c>
      <c r="D241" s="11">
        <f>IFERROR(__xludf.DUMMYFUNCTION("""COMPUTED_VALUE"""),87.0)</f>
        <v>87</v>
      </c>
      <c r="E241" s="9"/>
    </row>
    <row r="242">
      <c r="A242" s="10">
        <f>IFERROR(__xludf.DUMMYFUNCTION("""COMPUTED_VALUE"""),45867.0)</f>
        <v>45867</v>
      </c>
      <c r="B242" s="11">
        <f>IFERROR(__xludf.DUMMYFUNCTION("""COMPUTED_VALUE"""),1.0)</f>
        <v>1</v>
      </c>
      <c r="C242" s="11">
        <f>IFERROR(__xludf.DUMMYFUNCTION("""COMPUTED_VALUE"""),657.0)</f>
        <v>657</v>
      </c>
      <c r="D242" s="11">
        <f>IFERROR(__xludf.DUMMYFUNCTION("""COMPUTED_VALUE"""),449.0)</f>
        <v>449</v>
      </c>
      <c r="E242" s="9"/>
    </row>
    <row r="243">
      <c r="A243" s="10">
        <f>IFERROR(__xludf.DUMMYFUNCTION("""COMPUTED_VALUE"""),45846.0)</f>
        <v>45846</v>
      </c>
      <c r="B243" s="11">
        <f>IFERROR(__xludf.DUMMYFUNCTION("""COMPUTED_VALUE"""),1.0)</f>
        <v>1</v>
      </c>
      <c r="C243" s="11">
        <f>IFERROR(__xludf.DUMMYFUNCTION("""COMPUTED_VALUE"""),82.0)</f>
        <v>82</v>
      </c>
      <c r="D243" s="11">
        <f>IFERROR(__xludf.DUMMYFUNCTION("""COMPUTED_VALUE"""),5.0)</f>
        <v>5</v>
      </c>
      <c r="E243" s="9"/>
    </row>
    <row r="244">
      <c r="A244" s="10">
        <f>IFERROR(__xludf.DUMMYFUNCTION("""COMPUTED_VALUE"""),91265.0)</f>
        <v>91265</v>
      </c>
      <c r="B244" s="11">
        <f>IFERROR(__xludf.DUMMYFUNCTION("""COMPUTED_VALUE"""),0.0)</f>
        <v>0</v>
      </c>
      <c r="C244" s="11">
        <f>IFERROR(__xludf.DUMMYFUNCTION("""COMPUTED_VALUE"""),923.0)</f>
        <v>923</v>
      </c>
      <c r="D244" s="11">
        <f>IFERROR(__xludf.DUMMYFUNCTION("""COMPUTED_VALUE"""),7.0)</f>
        <v>7</v>
      </c>
      <c r="E244" s="9"/>
    </row>
    <row r="245">
      <c r="A245" s="10">
        <f>IFERROR(__xludf.DUMMYFUNCTION("""COMPUTED_VALUE"""),5527.0)</f>
        <v>5527</v>
      </c>
      <c r="B245" s="11">
        <f>IFERROR(__xludf.DUMMYFUNCTION("""COMPUTED_VALUE"""),0.0)</f>
        <v>0</v>
      </c>
      <c r="C245" s="11">
        <f>IFERROR(__xludf.DUMMYFUNCTION("""COMPUTED_VALUE"""),346.0)</f>
        <v>346</v>
      </c>
      <c r="D245" s="11">
        <f>IFERROR(__xludf.DUMMYFUNCTION("""COMPUTED_VALUE"""),168.0)</f>
        <v>168</v>
      </c>
      <c r="E245" s="9"/>
    </row>
    <row r="246">
      <c r="A246" s="10">
        <f>IFERROR(__xludf.DUMMYFUNCTION("""COMPUTED_VALUE"""),82249.0)</f>
        <v>82249</v>
      </c>
      <c r="B246" s="11">
        <f>IFERROR(__xludf.DUMMYFUNCTION("""COMPUTED_VALUE"""),1.0)</f>
        <v>1</v>
      </c>
      <c r="C246" s="11">
        <f>IFERROR(__xludf.DUMMYFUNCTION("""COMPUTED_VALUE"""),109.0)</f>
        <v>109</v>
      </c>
      <c r="D246" s="11">
        <f>IFERROR(__xludf.DUMMYFUNCTION("""COMPUTED_VALUE"""),43.0)</f>
        <v>43</v>
      </c>
      <c r="E246" s="9"/>
    </row>
    <row r="247">
      <c r="A247" s="10">
        <f>IFERROR(__xludf.DUMMYFUNCTION("""COMPUTED_VALUE"""),87273.0)</f>
        <v>87273</v>
      </c>
      <c r="B247" s="11">
        <f>IFERROR(__xludf.DUMMYFUNCTION("""COMPUTED_VALUE"""),0.0)</f>
        <v>0</v>
      </c>
      <c r="C247" s="11">
        <f>IFERROR(__xludf.DUMMYFUNCTION("""COMPUTED_VALUE"""),212.0)</f>
        <v>212</v>
      </c>
      <c r="D247" s="11">
        <f>IFERROR(__xludf.DUMMYFUNCTION("""COMPUTED_VALUE"""),73.0)</f>
        <v>73</v>
      </c>
      <c r="E247" s="9"/>
    </row>
    <row r="248">
      <c r="A248" s="10">
        <f>IFERROR(__xludf.DUMMYFUNCTION("""COMPUTED_VALUE"""),5537.0)</f>
        <v>5537</v>
      </c>
      <c r="B248" s="11">
        <f>IFERROR(__xludf.DUMMYFUNCTION("""COMPUTED_VALUE"""),0.0)</f>
        <v>0</v>
      </c>
      <c r="C248" s="11">
        <f>IFERROR(__xludf.DUMMYFUNCTION("""COMPUTED_VALUE"""),415.0)</f>
        <v>415</v>
      </c>
      <c r="D248" s="11">
        <f>IFERROR(__xludf.DUMMYFUNCTION("""COMPUTED_VALUE"""),36.0)</f>
        <v>36</v>
      </c>
      <c r="E248" s="9"/>
    </row>
    <row r="249">
      <c r="A249" s="10">
        <f>IFERROR(__xludf.DUMMYFUNCTION("""COMPUTED_VALUE"""),87281.0)</f>
        <v>87281</v>
      </c>
      <c r="B249" s="11">
        <f>IFERROR(__xludf.DUMMYFUNCTION("""COMPUTED_VALUE"""),0.0)</f>
        <v>0</v>
      </c>
      <c r="C249" s="11">
        <f>IFERROR(__xludf.DUMMYFUNCTION("""COMPUTED_VALUE"""),191.0)</f>
        <v>191</v>
      </c>
      <c r="D249" s="11">
        <f>IFERROR(__xludf.DUMMYFUNCTION("""COMPUTED_VALUE"""),144.0)</f>
        <v>144</v>
      </c>
      <c r="E249" s="9"/>
    </row>
    <row r="250">
      <c r="A250" s="10">
        <f>IFERROR(__xludf.DUMMYFUNCTION("""COMPUTED_VALUE"""),5522.0)</f>
        <v>5522</v>
      </c>
      <c r="B250" s="11">
        <f>IFERROR(__xludf.DUMMYFUNCTION("""COMPUTED_VALUE"""),0.0)</f>
        <v>0</v>
      </c>
      <c r="C250" s="11">
        <f>IFERROR(__xludf.DUMMYFUNCTION("""COMPUTED_VALUE"""),270.0)</f>
        <v>270</v>
      </c>
      <c r="D250" s="11">
        <f>IFERROR(__xludf.DUMMYFUNCTION("""COMPUTED_VALUE"""),26.0)</f>
        <v>26</v>
      </c>
      <c r="E250" s="9"/>
    </row>
    <row r="251">
      <c r="A251" s="10">
        <f>IFERROR(__xludf.DUMMYFUNCTION("""COMPUTED_VALUE"""),76595.0)</f>
        <v>76595</v>
      </c>
      <c r="B251" s="11">
        <f>IFERROR(__xludf.DUMMYFUNCTION("""COMPUTED_VALUE"""),0.0)</f>
        <v>0</v>
      </c>
      <c r="C251" s="11">
        <f>IFERROR(__xludf.DUMMYFUNCTION("""COMPUTED_VALUE"""),453.0)</f>
        <v>453</v>
      </c>
      <c r="D251" s="11">
        <f>IFERROR(__xludf.DUMMYFUNCTION("""COMPUTED_VALUE"""),183.0)</f>
        <v>183</v>
      </c>
      <c r="E251" s="9"/>
    </row>
    <row r="252">
      <c r="A252" s="10">
        <f>IFERROR(__xludf.DUMMYFUNCTION("""COMPUTED_VALUE"""),147305.0)</f>
        <v>147305</v>
      </c>
      <c r="B252" s="11">
        <f>IFERROR(__xludf.DUMMYFUNCTION("""COMPUTED_VALUE"""),0.0)</f>
        <v>0</v>
      </c>
      <c r="C252" s="11">
        <f>IFERROR(__xludf.DUMMYFUNCTION("""COMPUTED_VALUE"""),929.0)</f>
        <v>929</v>
      </c>
      <c r="D252" s="11">
        <f>IFERROR(__xludf.DUMMYFUNCTION("""COMPUTED_VALUE"""),658.0)</f>
        <v>658</v>
      </c>
      <c r="E252" s="9"/>
    </row>
    <row r="253">
      <c r="A253" s="10">
        <f>IFERROR(__xludf.DUMMYFUNCTION("""COMPUTED_VALUE"""),158660.0)</f>
        <v>158660</v>
      </c>
      <c r="B253" s="11">
        <f>IFERROR(__xludf.DUMMYFUNCTION("""COMPUTED_VALUE"""),1.0)</f>
        <v>1</v>
      </c>
      <c r="C253" s="11">
        <f>IFERROR(__xludf.DUMMYFUNCTION("""COMPUTED_VALUE"""),974.0)</f>
        <v>974</v>
      </c>
      <c r="D253" s="11">
        <f>IFERROR(__xludf.DUMMYFUNCTION("""COMPUTED_VALUE"""),562.0)</f>
        <v>562</v>
      </c>
      <c r="E253" s="9"/>
    </row>
    <row r="254">
      <c r="A254" s="10">
        <f>IFERROR(__xludf.DUMMYFUNCTION("""COMPUTED_VALUE"""),77371.0)</f>
        <v>77371</v>
      </c>
      <c r="B254" s="11">
        <f>IFERROR(__xludf.DUMMYFUNCTION("""COMPUTED_VALUE"""),1.0)</f>
        <v>1</v>
      </c>
      <c r="C254" s="11">
        <f>IFERROR(__xludf.DUMMYFUNCTION("""COMPUTED_VALUE"""),321.0)</f>
        <v>321</v>
      </c>
      <c r="D254" s="11">
        <f>IFERROR(__xludf.DUMMYFUNCTION("""COMPUTED_VALUE"""),121.0)</f>
        <v>121</v>
      </c>
      <c r="E254" s="9"/>
    </row>
    <row r="255">
      <c r="A255" s="10">
        <f>IFERROR(__xludf.DUMMYFUNCTION("""COMPUTED_VALUE"""),77366.0)</f>
        <v>77366</v>
      </c>
      <c r="B255" s="11">
        <f>IFERROR(__xludf.DUMMYFUNCTION("""COMPUTED_VALUE"""),1.0)</f>
        <v>1</v>
      </c>
      <c r="C255" s="11">
        <f>IFERROR(__xludf.DUMMYFUNCTION("""COMPUTED_VALUE"""),44.0)</f>
        <v>44</v>
      </c>
      <c r="D255" s="11">
        <f>IFERROR(__xludf.DUMMYFUNCTION("""COMPUTED_VALUE"""),5.0)</f>
        <v>5</v>
      </c>
      <c r="E255" s="9"/>
    </row>
    <row r="256">
      <c r="A256" s="10">
        <f>IFERROR(__xludf.DUMMYFUNCTION("""COMPUTED_VALUE"""),87282.0)</f>
        <v>87282</v>
      </c>
      <c r="B256" s="11">
        <f>IFERROR(__xludf.DUMMYFUNCTION("""COMPUTED_VALUE"""),0.0)</f>
        <v>0</v>
      </c>
      <c r="C256" s="11">
        <f>IFERROR(__xludf.DUMMYFUNCTION("""COMPUTED_VALUE"""),663.0)</f>
        <v>663</v>
      </c>
      <c r="D256" s="11">
        <f>IFERROR(__xludf.DUMMYFUNCTION("""COMPUTED_VALUE"""),591.0)</f>
        <v>591</v>
      </c>
      <c r="E256" s="9"/>
    </row>
    <row r="257">
      <c r="A257" s="10">
        <f>IFERROR(__xludf.DUMMYFUNCTION("""COMPUTED_VALUE"""),80402.0)</f>
        <v>80402</v>
      </c>
      <c r="B257" s="11">
        <f>IFERROR(__xludf.DUMMYFUNCTION("""COMPUTED_VALUE"""),1.0)</f>
        <v>1</v>
      </c>
      <c r="C257" s="11">
        <f>IFERROR(__xludf.DUMMYFUNCTION("""COMPUTED_VALUE"""),833.0)</f>
        <v>833</v>
      </c>
      <c r="D257" s="11">
        <f>IFERROR(__xludf.DUMMYFUNCTION("""COMPUTED_VALUE"""),234.0)</f>
        <v>234</v>
      </c>
      <c r="E257" s="9"/>
    </row>
    <row r="258">
      <c r="A258" s="10">
        <f>IFERROR(__xludf.DUMMYFUNCTION("""COMPUTED_VALUE"""),120504.0)</f>
        <v>120504</v>
      </c>
      <c r="B258" s="11">
        <f>IFERROR(__xludf.DUMMYFUNCTION("""COMPUTED_VALUE"""),1.0)</f>
        <v>1</v>
      </c>
      <c r="C258" s="11">
        <f>IFERROR(__xludf.DUMMYFUNCTION("""COMPUTED_VALUE"""),177.0)</f>
        <v>177</v>
      </c>
      <c r="D258" s="11">
        <f>IFERROR(__xludf.DUMMYFUNCTION("""COMPUTED_VALUE"""),63.0)</f>
        <v>63</v>
      </c>
      <c r="E258" s="9"/>
    </row>
    <row r="259">
      <c r="A259" s="10">
        <f>IFERROR(__xludf.DUMMYFUNCTION("""COMPUTED_VALUE"""),72833.0)</f>
        <v>72833</v>
      </c>
      <c r="B259" s="11">
        <f>IFERROR(__xludf.DUMMYFUNCTION("""COMPUTED_VALUE"""),1.0)</f>
        <v>1</v>
      </c>
      <c r="C259" s="11">
        <f>IFERROR(__xludf.DUMMYFUNCTION("""COMPUTED_VALUE"""),25.0)</f>
        <v>25</v>
      </c>
      <c r="D259" s="11">
        <f>IFERROR(__xludf.DUMMYFUNCTION("""COMPUTED_VALUE"""),25.0)</f>
        <v>25</v>
      </c>
      <c r="E259" s="9"/>
    </row>
    <row r="260">
      <c r="A260" s="10">
        <f>IFERROR(__xludf.DUMMYFUNCTION("""COMPUTED_VALUE"""),72831.0)</f>
        <v>72831</v>
      </c>
      <c r="B260" s="11">
        <f>IFERROR(__xludf.DUMMYFUNCTION("""COMPUTED_VALUE"""),1.0)</f>
        <v>1</v>
      </c>
      <c r="C260" s="11">
        <f>IFERROR(__xludf.DUMMYFUNCTION("""COMPUTED_VALUE"""),190.0)</f>
        <v>190</v>
      </c>
      <c r="D260" s="11">
        <f>IFERROR(__xludf.DUMMYFUNCTION("""COMPUTED_VALUE"""),95.0)</f>
        <v>95</v>
      </c>
      <c r="E260" s="9"/>
    </row>
    <row r="261">
      <c r="A261" s="10">
        <f>IFERROR(__xludf.DUMMYFUNCTION("""COMPUTED_VALUE"""),112547.0)</f>
        <v>112547</v>
      </c>
      <c r="B261" s="11">
        <f>IFERROR(__xludf.DUMMYFUNCTION("""COMPUTED_VALUE"""),0.0)</f>
        <v>0</v>
      </c>
      <c r="C261" s="11">
        <f>IFERROR(__xludf.DUMMYFUNCTION("""COMPUTED_VALUE"""),726.0)</f>
        <v>726</v>
      </c>
      <c r="D261" s="11">
        <f>IFERROR(__xludf.DUMMYFUNCTION("""COMPUTED_VALUE"""),76.0)</f>
        <v>76</v>
      </c>
      <c r="E261" s="9"/>
    </row>
    <row r="262">
      <c r="A262" s="10">
        <f>IFERROR(__xludf.DUMMYFUNCTION("""COMPUTED_VALUE"""),149598.0)</f>
        <v>149598</v>
      </c>
      <c r="B262" s="11">
        <f>IFERROR(__xludf.DUMMYFUNCTION("""COMPUTED_VALUE"""),1.0)</f>
        <v>1</v>
      </c>
      <c r="C262" s="11">
        <f>IFERROR(__xludf.DUMMYFUNCTION("""COMPUTED_VALUE"""),247.0)</f>
        <v>247</v>
      </c>
      <c r="D262" s="11">
        <f>IFERROR(__xludf.DUMMYFUNCTION("""COMPUTED_VALUE"""),99.0)</f>
        <v>99</v>
      </c>
      <c r="E262" s="9"/>
    </row>
    <row r="263">
      <c r="A263" s="10">
        <f>IFERROR(__xludf.DUMMYFUNCTION("""COMPUTED_VALUE"""),98129.0)</f>
        <v>98129</v>
      </c>
      <c r="B263" s="11">
        <f>IFERROR(__xludf.DUMMYFUNCTION("""COMPUTED_VALUE"""),0.0)</f>
        <v>0</v>
      </c>
      <c r="C263" s="11">
        <f>IFERROR(__xludf.DUMMYFUNCTION("""COMPUTED_VALUE"""),616.0)</f>
        <v>616</v>
      </c>
      <c r="D263" s="11">
        <f>IFERROR(__xludf.DUMMYFUNCTION("""COMPUTED_VALUE"""),608.0)</f>
        <v>608</v>
      </c>
      <c r="E263" s="9"/>
    </row>
    <row r="264">
      <c r="A264" s="10">
        <f>IFERROR(__xludf.DUMMYFUNCTION("""COMPUTED_VALUE"""),72825.0)</f>
        <v>72825</v>
      </c>
      <c r="B264" s="11">
        <f>IFERROR(__xludf.DUMMYFUNCTION("""COMPUTED_VALUE"""),0.0)</f>
        <v>0</v>
      </c>
      <c r="C264" s="11">
        <f>IFERROR(__xludf.DUMMYFUNCTION("""COMPUTED_VALUE"""),168.0)</f>
        <v>168</v>
      </c>
      <c r="D264" s="11">
        <f>IFERROR(__xludf.DUMMYFUNCTION("""COMPUTED_VALUE"""),138.0)</f>
        <v>138</v>
      </c>
      <c r="E264" s="9"/>
    </row>
    <row r="265">
      <c r="A265" s="10">
        <f>IFERROR(__xludf.DUMMYFUNCTION("""COMPUTED_VALUE"""),72820.0)</f>
        <v>72820</v>
      </c>
      <c r="B265" s="11">
        <f>IFERROR(__xludf.DUMMYFUNCTION("""COMPUTED_VALUE"""),1.0)</f>
        <v>1</v>
      </c>
      <c r="C265" s="11">
        <f>IFERROR(__xludf.DUMMYFUNCTION("""COMPUTED_VALUE"""),101.0)</f>
        <v>101</v>
      </c>
      <c r="D265" s="11">
        <f>IFERROR(__xludf.DUMMYFUNCTION("""COMPUTED_VALUE"""),93.0)</f>
        <v>93</v>
      </c>
      <c r="E265" s="9"/>
    </row>
    <row r="266">
      <c r="A266" s="10">
        <f>IFERROR(__xludf.DUMMYFUNCTION("""COMPUTED_VALUE"""),81939.0)</f>
        <v>81939</v>
      </c>
      <c r="B266" s="11">
        <f>IFERROR(__xludf.DUMMYFUNCTION("""COMPUTED_VALUE"""),0.0)</f>
        <v>0</v>
      </c>
      <c r="C266" s="11">
        <f>IFERROR(__xludf.DUMMYFUNCTION("""COMPUTED_VALUE"""),134.0)</f>
        <v>134</v>
      </c>
      <c r="D266" s="11">
        <f>IFERROR(__xludf.DUMMYFUNCTION("""COMPUTED_VALUE"""),33.0)</f>
        <v>33</v>
      </c>
      <c r="E266" s="9"/>
    </row>
    <row r="267">
      <c r="A267" s="10">
        <f>IFERROR(__xludf.DUMMYFUNCTION("""COMPUTED_VALUE"""),114382.0)</f>
        <v>114382</v>
      </c>
      <c r="B267" s="11">
        <f>IFERROR(__xludf.DUMMYFUNCTION("""COMPUTED_VALUE"""),1.0)</f>
        <v>1</v>
      </c>
      <c r="C267" s="11">
        <f>IFERROR(__xludf.DUMMYFUNCTION("""COMPUTED_VALUE"""),287.0)</f>
        <v>287</v>
      </c>
      <c r="D267" s="11">
        <f>IFERROR(__xludf.DUMMYFUNCTION("""COMPUTED_VALUE"""),190.0)</f>
        <v>190</v>
      </c>
      <c r="E267" s="9"/>
    </row>
    <row r="268">
      <c r="A268" s="10">
        <f>IFERROR(__xludf.DUMMYFUNCTION("""COMPUTED_VALUE"""),111427.0)</f>
        <v>111427</v>
      </c>
      <c r="B268" s="11">
        <f>IFERROR(__xludf.DUMMYFUNCTION("""COMPUTED_VALUE"""),0.0)</f>
        <v>0</v>
      </c>
      <c r="C268" s="11">
        <f>IFERROR(__xludf.DUMMYFUNCTION("""COMPUTED_VALUE"""),679.0)</f>
        <v>679</v>
      </c>
      <c r="D268" s="11">
        <f>IFERROR(__xludf.DUMMYFUNCTION("""COMPUTED_VALUE"""),259.0)</f>
        <v>259</v>
      </c>
      <c r="E268" s="9"/>
    </row>
    <row r="269">
      <c r="A269" s="10">
        <f>IFERROR(__xludf.DUMMYFUNCTION("""COMPUTED_VALUE"""),81937.0)</f>
        <v>81937</v>
      </c>
      <c r="B269" s="11">
        <f>IFERROR(__xludf.DUMMYFUNCTION("""COMPUTED_VALUE"""),0.0)</f>
        <v>0</v>
      </c>
      <c r="C269" s="11">
        <f>IFERROR(__xludf.DUMMYFUNCTION("""COMPUTED_VALUE"""),962.0)</f>
        <v>962</v>
      </c>
      <c r="D269" s="11">
        <f>IFERROR(__xludf.DUMMYFUNCTION("""COMPUTED_VALUE"""),511.0)</f>
        <v>511</v>
      </c>
      <c r="E269" s="9"/>
    </row>
    <row r="270">
      <c r="A270" s="10">
        <f>IFERROR(__xludf.DUMMYFUNCTION("""COMPUTED_VALUE"""),72824.0)</f>
        <v>72824</v>
      </c>
      <c r="B270" s="11">
        <f>IFERROR(__xludf.DUMMYFUNCTION("""COMPUTED_VALUE"""),1.0)</f>
        <v>1</v>
      </c>
      <c r="C270" s="11">
        <f>IFERROR(__xludf.DUMMYFUNCTION("""COMPUTED_VALUE"""),116.0)</f>
        <v>116</v>
      </c>
      <c r="D270" s="11">
        <f>IFERROR(__xludf.DUMMYFUNCTION("""COMPUTED_VALUE"""),100.0)</f>
        <v>100</v>
      </c>
      <c r="E270" s="9"/>
    </row>
    <row r="271">
      <c r="A271" s="10">
        <f>IFERROR(__xludf.DUMMYFUNCTION("""COMPUTED_VALUE"""),112188.0)</f>
        <v>112188</v>
      </c>
      <c r="B271" s="11">
        <f>IFERROR(__xludf.DUMMYFUNCTION("""COMPUTED_VALUE"""),0.0)</f>
        <v>0</v>
      </c>
      <c r="C271" s="11">
        <f>IFERROR(__xludf.DUMMYFUNCTION("""COMPUTED_VALUE"""),61.0)</f>
        <v>61</v>
      </c>
      <c r="D271" s="11">
        <f>IFERROR(__xludf.DUMMYFUNCTION("""COMPUTED_VALUE"""),40.0)</f>
        <v>40</v>
      </c>
      <c r="E271" s="9"/>
    </row>
    <row r="272">
      <c r="A272" s="10">
        <f>IFERROR(__xludf.DUMMYFUNCTION("""COMPUTED_VALUE"""),98186.0)</f>
        <v>98186</v>
      </c>
      <c r="B272" s="11">
        <f>IFERROR(__xludf.DUMMYFUNCTION("""COMPUTED_VALUE"""),1.0)</f>
        <v>1</v>
      </c>
      <c r="C272" s="11">
        <f>IFERROR(__xludf.DUMMYFUNCTION("""COMPUTED_VALUE"""),849.0)</f>
        <v>849</v>
      </c>
      <c r="D272" s="11">
        <f>IFERROR(__xludf.DUMMYFUNCTION("""COMPUTED_VALUE"""),299.0)</f>
        <v>299</v>
      </c>
      <c r="E272" s="9"/>
    </row>
    <row r="273">
      <c r="A273" s="10">
        <f>IFERROR(__xludf.DUMMYFUNCTION("""COMPUTED_VALUE"""),72822.0)</f>
        <v>72822</v>
      </c>
      <c r="B273" s="11">
        <f>IFERROR(__xludf.DUMMYFUNCTION("""COMPUTED_VALUE"""),0.0)</f>
        <v>0</v>
      </c>
      <c r="C273" s="11">
        <f>IFERROR(__xludf.DUMMYFUNCTION("""COMPUTED_VALUE"""),823.0)</f>
        <v>823</v>
      </c>
      <c r="D273" s="11">
        <f>IFERROR(__xludf.DUMMYFUNCTION("""COMPUTED_VALUE"""),134.0)</f>
        <v>134</v>
      </c>
      <c r="E273" s="9"/>
    </row>
    <row r="274">
      <c r="A274" s="10">
        <f>IFERROR(__xludf.DUMMYFUNCTION("""COMPUTED_VALUE"""),122601.0)</f>
        <v>122601</v>
      </c>
      <c r="B274" s="11">
        <f>IFERROR(__xludf.DUMMYFUNCTION("""COMPUTED_VALUE"""),0.0)</f>
        <v>0</v>
      </c>
      <c r="C274" s="11">
        <f>IFERROR(__xludf.DUMMYFUNCTION("""COMPUTED_VALUE"""),364.0)</f>
        <v>364</v>
      </c>
      <c r="D274" s="11">
        <f>IFERROR(__xludf.DUMMYFUNCTION("""COMPUTED_VALUE"""),316.0)</f>
        <v>316</v>
      </c>
      <c r="E274" s="9"/>
    </row>
    <row r="275">
      <c r="A275" s="10">
        <f>IFERROR(__xludf.DUMMYFUNCTION("""COMPUTED_VALUE"""),106779.0)</f>
        <v>106779</v>
      </c>
      <c r="B275" s="11">
        <f>IFERROR(__xludf.DUMMYFUNCTION("""COMPUTED_VALUE"""),1.0)</f>
        <v>1</v>
      </c>
      <c r="C275" s="11">
        <f>IFERROR(__xludf.DUMMYFUNCTION("""COMPUTED_VALUE"""),509.0)</f>
        <v>509</v>
      </c>
      <c r="D275" s="11">
        <f>IFERROR(__xludf.DUMMYFUNCTION("""COMPUTED_VALUE"""),256.0)</f>
        <v>256</v>
      </c>
      <c r="E275" s="9"/>
    </row>
    <row r="276">
      <c r="A276" s="10">
        <f>IFERROR(__xludf.DUMMYFUNCTION("""COMPUTED_VALUE"""),106785.0)</f>
        <v>106785</v>
      </c>
      <c r="B276" s="11">
        <f>IFERROR(__xludf.DUMMYFUNCTION("""COMPUTED_VALUE"""),0.0)</f>
        <v>0</v>
      </c>
      <c r="C276" s="11">
        <f>IFERROR(__xludf.DUMMYFUNCTION("""COMPUTED_VALUE"""),970.0)</f>
        <v>970</v>
      </c>
      <c r="D276" s="11">
        <f>IFERROR(__xludf.DUMMYFUNCTION("""COMPUTED_VALUE"""),901.0)</f>
        <v>901</v>
      </c>
      <c r="E276" s="9"/>
    </row>
    <row r="277">
      <c r="A277" s="10">
        <f>IFERROR(__xludf.DUMMYFUNCTION("""COMPUTED_VALUE"""),122602.0)</f>
        <v>122602</v>
      </c>
      <c r="B277" s="11">
        <f>IFERROR(__xludf.DUMMYFUNCTION("""COMPUTED_VALUE"""),0.0)</f>
        <v>0</v>
      </c>
      <c r="C277" s="11">
        <f>IFERROR(__xludf.DUMMYFUNCTION("""COMPUTED_VALUE"""),622.0)</f>
        <v>622</v>
      </c>
      <c r="D277" s="11">
        <f>IFERROR(__xludf.DUMMYFUNCTION("""COMPUTED_VALUE"""),427.0)</f>
        <v>427</v>
      </c>
      <c r="E277" s="9"/>
    </row>
    <row r="278">
      <c r="A278" s="10">
        <f>IFERROR(__xludf.DUMMYFUNCTION("""COMPUTED_VALUE"""),45574.0)</f>
        <v>45574</v>
      </c>
      <c r="B278" s="11">
        <f>IFERROR(__xludf.DUMMYFUNCTION("""COMPUTED_VALUE"""),0.0)</f>
        <v>0</v>
      </c>
      <c r="C278" s="11">
        <f>IFERROR(__xludf.DUMMYFUNCTION("""COMPUTED_VALUE"""),295.0)</f>
        <v>295</v>
      </c>
      <c r="D278" s="11">
        <f>IFERROR(__xludf.DUMMYFUNCTION("""COMPUTED_VALUE"""),158.0)</f>
        <v>158</v>
      </c>
      <c r="E278" s="9"/>
    </row>
    <row r="279">
      <c r="A279" s="10">
        <f>IFERROR(__xludf.DUMMYFUNCTION("""COMPUTED_VALUE"""),80808.0)</f>
        <v>80808</v>
      </c>
      <c r="B279" s="11">
        <f>IFERROR(__xludf.DUMMYFUNCTION("""COMPUTED_VALUE"""),1.0)</f>
        <v>1</v>
      </c>
      <c r="C279" s="11">
        <f>IFERROR(__xludf.DUMMYFUNCTION("""COMPUTED_VALUE"""),52.0)</f>
        <v>52</v>
      </c>
      <c r="D279" s="11">
        <f>IFERROR(__xludf.DUMMYFUNCTION("""COMPUTED_VALUE"""),7.0)</f>
        <v>7</v>
      </c>
      <c r="E279" s="9"/>
    </row>
    <row r="280">
      <c r="A280" s="10">
        <f>IFERROR(__xludf.DUMMYFUNCTION("""COMPUTED_VALUE"""),80802.0)</f>
        <v>80802</v>
      </c>
      <c r="B280" s="11">
        <f>IFERROR(__xludf.DUMMYFUNCTION("""COMPUTED_VALUE"""),0.0)</f>
        <v>0</v>
      </c>
      <c r="C280" s="11">
        <f>IFERROR(__xludf.DUMMYFUNCTION("""COMPUTED_VALUE"""),286.0)</f>
        <v>286</v>
      </c>
      <c r="D280" s="11">
        <f>IFERROR(__xludf.DUMMYFUNCTION("""COMPUTED_VALUE"""),233.0)</f>
        <v>233</v>
      </c>
      <c r="E280" s="9"/>
    </row>
    <row r="281">
      <c r="A281" s="10">
        <f>IFERROR(__xludf.DUMMYFUNCTION("""COMPUTED_VALUE"""),110385.0)</f>
        <v>110385</v>
      </c>
      <c r="B281" s="11">
        <f>IFERROR(__xludf.DUMMYFUNCTION("""COMPUTED_VALUE"""),1.0)</f>
        <v>1</v>
      </c>
      <c r="C281" s="11">
        <f>IFERROR(__xludf.DUMMYFUNCTION("""COMPUTED_VALUE"""),558.0)</f>
        <v>558</v>
      </c>
      <c r="D281" s="11">
        <f>IFERROR(__xludf.DUMMYFUNCTION("""COMPUTED_VALUE"""),326.0)</f>
        <v>326</v>
      </c>
      <c r="E281" s="9"/>
    </row>
    <row r="282">
      <c r="A282" s="10">
        <f>IFERROR(__xludf.DUMMYFUNCTION("""COMPUTED_VALUE"""),80633.0)</f>
        <v>80633</v>
      </c>
      <c r="B282" s="11">
        <f>IFERROR(__xludf.DUMMYFUNCTION("""COMPUTED_VALUE"""),0.0)</f>
        <v>0</v>
      </c>
      <c r="C282" s="11">
        <f>IFERROR(__xludf.DUMMYFUNCTION("""COMPUTED_VALUE"""),705.0)</f>
        <v>705</v>
      </c>
      <c r="D282" s="11">
        <f>IFERROR(__xludf.DUMMYFUNCTION("""COMPUTED_VALUE"""),374.0)</f>
        <v>374</v>
      </c>
      <c r="E282" s="9"/>
    </row>
    <row r="283">
      <c r="A283" s="10">
        <f>IFERROR(__xludf.DUMMYFUNCTION("""COMPUTED_VALUE"""),120700.0)</f>
        <v>120700</v>
      </c>
      <c r="B283" s="11">
        <f>IFERROR(__xludf.DUMMYFUNCTION("""COMPUTED_VALUE"""),1.0)</f>
        <v>1</v>
      </c>
      <c r="C283" s="11">
        <f>IFERROR(__xludf.DUMMYFUNCTION("""COMPUTED_VALUE"""),648.0)</f>
        <v>648</v>
      </c>
      <c r="D283" s="11">
        <f>IFERROR(__xludf.DUMMYFUNCTION("""COMPUTED_VALUE"""),349.0)</f>
        <v>349</v>
      </c>
      <c r="E283" s="9"/>
    </row>
    <row r="284">
      <c r="A284" s="10">
        <f>IFERROR(__xludf.DUMMYFUNCTION("""COMPUTED_VALUE"""),112853.0)</f>
        <v>112853</v>
      </c>
      <c r="B284" s="11">
        <f>IFERROR(__xludf.DUMMYFUNCTION("""COMPUTED_VALUE"""),1.0)</f>
        <v>1</v>
      </c>
      <c r="C284" s="11">
        <f>IFERROR(__xludf.DUMMYFUNCTION("""COMPUTED_VALUE"""),282.0)</f>
        <v>282</v>
      </c>
      <c r="D284" s="11">
        <f>IFERROR(__xludf.DUMMYFUNCTION("""COMPUTED_VALUE"""),254.0)</f>
        <v>254</v>
      </c>
      <c r="E284" s="9"/>
    </row>
    <row r="285">
      <c r="A285" s="10">
        <f>IFERROR(__xludf.DUMMYFUNCTION("""COMPUTED_VALUE"""),120699.0)</f>
        <v>120699</v>
      </c>
      <c r="B285" s="11">
        <f>IFERROR(__xludf.DUMMYFUNCTION("""COMPUTED_VALUE"""),0.0)</f>
        <v>0</v>
      </c>
      <c r="C285" s="11">
        <f>IFERROR(__xludf.DUMMYFUNCTION("""COMPUTED_VALUE"""),232.0)</f>
        <v>232</v>
      </c>
      <c r="D285" s="11">
        <f>IFERROR(__xludf.DUMMYFUNCTION("""COMPUTED_VALUE"""),222.0)</f>
        <v>222</v>
      </c>
      <c r="E285" s="9"/>
    </row>
    <row r="286">
      <c r="A286" s="10">
        <f>IFERROR(__xludf.DUMMYFUNCTION("""COMPUTED_VALUE"""),20195.0)</f>
        <v>20195</v>
      </c>
      <c r="B286" s="11">
        <f>IFERROR(__xludf.DUMMYFUNCTION("""COMPUTED_VALUE"""),1.0)</f>
        <v>1</v>
      </c>
      <c r="C286" s="11">
        <f>IFERROR(__xludf.DUMMYFUNCTION("""COMPUTED_VALUE"""),440.0)</f>
        <v>440</v>
      </c>
      <c r="D286" s="11">
        <f>IFERROR(__xludf.DUMMYFUNCTION("""COMPUTED_VALUE"""),366.0)</f>
        <v>366</v>
      </c>
      <c r="E286" s="9"/>
    </row>
    <row r="287">
      <c r="A287" s="10">
        <f>IFERROR(__xludf.DUMMYFUNCTION("""COMPUTED_VALUE"""),11422.0)</f>
        <v>11422</v>
      </c>
      <c r="B287" s="11">
        <f>IFERROR(__xludf.DUMMYFUNCTION("""COMPUTED_VALUE"""),1.0)</f>
        <v>1</v>
      </c>
      <c r="C287" s="11">
        <f>IFERROR(__xludf.DUMMYFUNCTION("""COMPUTED_VALUE"""),826.0)</f>
        <v>826</v>
      </c>
      <c r="D287" s="11">
        <f>IFERROR(__xludf.DUMMYFUNCTION("""COMPUTED_VALUE"""),58.0)</f>
        <v>58</v>
      </c>
      <c r="E287" s="9"/>
    </row>
    <row r="288">
      <c r="A288" s="10">
        <f>IFERROR(__xludf.DUMMYFUNCTION("""COMPUTED_VALUE"""),4492.0)</f>
        <v>4492</v>
      </c>
      <c r="B288" s="11">
        <f>IFERROR(__xludf.DUMMYFUNCTION("""COMPUTED_VALUE"""),0.0)</f>
        <v>0</v>
      </c>
      <c r="C288" s="11">
        <f>IFERROR(__xludf.DUMMYFUNCTION("""COMPUTED_VALUE"""),804.0)</f>
        <v>804</v>
      </c>
      <c r="D288" s="11">
        <f>IFERROR(__xludf.DUMMYFUNCTION("""COMPUTED_VALUE"""),563.0)</f>
        <v>563</v>
      </c>
      <c r="E288" s="9"/>
    </row>
    <row r="289">
      <c r="A289" s="10">
        <f>IFERROR(__xludf.DUMMYFUNCTION("""COMPUTED_VALUE"""),4560.0)</f>
        <v>4560</v>
      </c>
      <c r="B289" s="11">
        <f>IFERROR(__xludf.DUMMYFUNCTION("""COMPUTED_VALUE"""),0.0)</f>
        <v>0</v>
      </c>
      <c r="C289" s="11">
        <f>IFERROR(__xludf.DUMMYFUNCTION("""COMPUTED_VALUE"""),535.0)</f>
        <v>535</v>
      </c>
      <c r="D289" s="11">
        <f>IFERROR(__xludf.DUMMYFUNCTION("""COMPUTED_VALUE"""),190.0)</f>
        <v>190</v>
      </c>
      <c r="E289" s="9"/>
    </row>
    <row r="290">
      <c r="A290" s="10">
        <f>IFERROR(__xludf.DUMMYFUNCTION("""COMPUTED_VALUE"""),110383.0)</f>
        <v>110383</v>
      </c>
      <c r="B290" s="11">
        <f>IFERROR(__xludf.DUMMYFUNCTION("""COMPUTED_VALUE"""),1.0)</f>
        <v>1</v>
      </c>
      <c r="C290" s="11">
        <f>IFERROR(__xludf.DUMMYFUNCTION("""COMPUTED_VALUE"""),500.0)</f>
        <v>500</v>
      </c>
      <c r="D290" s="11">
        <f>IFERROR(__xludf.DUMMYFUNCTION("""COMPUTED_VALUE"""),55.0)</f>
        <v>55</v>
      </c>
      <c r="E290" s="9"/>
    </row>
    <row r="291">
      <c r="A291" s="10">
        <f>IFERROR(__xludf.DUMMYFUNCTION("""COMPUTED_VALUE"""),112850.0)</f>
        <v>112850</v>
      </c>
      <c r="B291" s="11">
        <f>IFERROR(__xludf.DUMMYFUNCTION("""COMPUTED_VALUE"""),1.0)</f>
        <v>1</v>
      </c>
      <c r="C291" s="11">
        <f>IFERROR(__xludf.DUMMYFUNCTION("""COMPUTED_VALUE"""),390.0)</f>
        <v>390</v>
      </c>
      <c r="D291" s="11">
        <f>IFERROR(__xludf.DUMMYFUNCTION("""COMPUTED_VALUE"""),224.0)</f>
        <v>224</v>
      </c>
      <c r="E291" s="9"/>
    </row>
    <row r="292">
      <c r="A292" s="10">
        <f>IFERROR(__xludf.DUMMYFUNCTION("""COMPUTED_VALUE"""),120702.0)</f>
        <v>120702</v>
      </c>
      <c r="B292" s="11">
        <f>IFERROR(__xludf.DUMMYFUNCTION("""COMPUTED_VALUE"""),1.0)</f>
        <v>1</v>
      </c>
      <c r="C292" s="11">
        <f>IFERROR(__xludf.DUMMYFUNCTION("""COMPUTED_VALUE"""),169.0)</f>
        <v>169</v>
      </c>
      <c r="D292" s="11">
        <f>IFERROR(__xludf.DUMMYFUNCTION("""COMPUTED_VALUE"""),144.0)</f>
        <v>144</v>
      </c>
      <c r="E292" s="9"/>
    </row>
    <row r="293">
      <c r="A293" s="10">
        <f>IFERROR(__xludf.DUMMYFUNCTION("""COMPUTED_VALUE"""),91860.0)</f>
        <v>91860</v>
      </c>
      <c r="B293" s="11">
        <f>IFERROR(__xludf.DUMMYFUNCTION("""COMPUTED_VALUE"""),0.0)</f>
        <v>0</v>
      </c>
      <c r="C293" s="11">
        <f>IFERROR(__xludf.DUMMYFUNCTION("""COMPUTED_VALUE"""),873.0)</f>
        <v>873</v>
      </c>
      <c r="D293" s="11">
        <f>IFERROR(__xludf.DUMMYFUNCTION("""COMPUTED_VALUE"""),129.0)</f>
        <v>129</v>
      </c>
      <c r="E293" s="9"/>
    </row>
    <row r="294">
      <c r="A294" s="10">
        <f>IFERROR(__xludf.DUMMYFUNCTION("""COMPUTED_VALUE"""),9716.0)</f>
        <v>9716</v>
      </c>
      <c r="B294" s="11">
        <f>IFERROR(__xludf.DUMMYFUNCTION("""COMPUTED_VALUE"""),0.0)</f>
        <v>0</v>
      </c>
      <c r="C294" s="11">
        <f>IFERROR(__xludf.DUMMYFUNCTION("""COMPUTED_VALUE"""),263.0)</f>
        <v>263</v>
      </c>
      <c r="D294" s="11">
        <f>IFERROR(__xludf.DUMMYFUNCTION("""COMPUTED_VALUE"""),215.0)</f>
        <v>215</v>
      </c>
      <c r="E294" s="9"/>
    </row>
    <row r="295">
      <c r="A295" s="10">
        <f>IFERROR(__xludf.DUMMYFUNCTION("""COMPUTED_VALUE"""),77135.0)</f>
        <v>77135</v>
      </c>
      <c r="B295" s="11">
        <f>IFERROR(__xludf.DUMMYFUNCTION("""COMPUTED_VALUE"""),0.0)</f>
        <v>0</v>
      </c>
      <c r="C295" s="11">
        <f>IFERROR(__xludf.DUMMYFUNCTION("""COMPUTED_VALUE"""),108.0)</f>
        <v>108</v>
      </c>
      <c r="D295" s="11">
        <f>IFERROR(__xludf.DUMMYFUNCTION("""COMPUTED_VALUE"""),100.0)</f>
        <v>100</v>
      </c>
      <c r="E295" s="9"/>
    </row>
    <row r="296">
      <c r="A296" s="10">
        <f>IFERROR(__xludf.DUMMYFUNCTION("""COMPUTED_VALUE"""),91857.0)</f>
        <v>91857</v>
      </c>
      <c r="B296" s="11">
        <f>IFERROR(__xludf.DUMMYFUNCTION("""COMPUTED_VALUE"""),1.0)</f>
        <v>1</v>
      </c>
      <c r="C296" s="11">
        <f>IFERROR(__xludf.DUMMYFUNCTION("""COMPUTED_VALUE"""),56.0)</f>
        <v>56</v>
      </c>
      <c r="D296" s="11">
        <f>IFERROR(__xludf.DUMMYFUNCTION("""COMPUTED_VALUE"""),18.0)</f>
        <v>18</v>
      </c>
      <c r="E296" s="9"/>
    </row>
    <row r="297">
      <c r="A297" s="10">
        <f>IFERROR(__xludf.DUMMYFUNCTION("""COMPUTED_VALUE"""),76429.0)</f>
        <v>76429</v>
      </c>
      <c r="B297" s="11">
        <f>IFERROR(__xludf.DUMMYFUNCTION("""COMPUTED_VALUE"""),0.0)</f>
        <v>0</v>
      </c>
      <c r="C297" s="11">
        <f>IFERROR(__xludf.DUMMYFUNCTION("""COMPUTED_VALUE"""),512.0)</f>
        <v>512</v>
      </c>
      <c r="D297" s="11">
        <f>IFERROR(__xludf.DUMMYFUNCTION("""COMPUTED_VALUE"""),377.0)</f>
        <v>377</v>
      </c>
      <c r="E297" s="9"/>
    </row>
    <row r="298">
      <c r="A298" s="10">
        <f>IFERROR(__xludf.DUMMYFUNCTION("""COMPUTED_VALUE"""),122507.0)</f>
        <v>122507</v>
      </c>
      <c r="B298" s="11">
        <f>IFERROR(__xludf.DUMMYFUNCTION("""COMPUTED_VALUE"""),0.0)</f>
        <v>0</v>
      </c>
      <c r="C298" s="11">
        <f>IFERROR(__xludf.DUMMYFUNCTION("""COMPUTED_VALUE"""),771.0)</f>
        <v>771</v>
      </c>
      <c r="D298" s="11">
        <f>IFERROR(__xludf.DUMMYFUNCTION("""COMPUTED_VALUE"""),32.0)</f>
        <v>32</v>
      </c>
      <c r="E298" s="9"/>
    </row>
    <row r="299">
      <c r="A299" s="10">
        <f>IFERROR(__xludf.DUMMYFUNCTION("""COMPUTED_VALUE"""),77844.0)</f>
        <v>77844</v>
      </c>
      <c r="B299" s="11">
        <f>IFERROR(__xludf.DUMMYFUNCTION("""COMPUTED_VALUE"""),0.0)</f>
        <v>0</v>
      </c>
      <c r="C299" s="11">
        <f>IFERROR(__xludf.DUMMYFUNCTION("""COMPUTED_VALUE"""),338.0)</f>
        <v>338</v>
      </c>
      <c r="D299" s="11">
        <f>IFERROR(__xludf.DUMMYFUNCTION("""COMPUTED_VALUE"""),248.0)</f>
        <v>248</v>
      </c>
      <c r="E299" s="9"/>
    </row>
    <row r="300">
      <c r="A300" s="10">
        <f>IFERROR(__xludf.DUMMYFUNCTION("""COMPUTED_VALUE"""),100041.0)</f>
        <v>100041</v>
      </c>
      <c r="B300" s="11">
        <f>IFERROR(__xludf.DUMMYFUNCTION("""COMPUTED_VALUE"""),0.0)</f>
        <v>0</v>
      </c>
      <c r="C300" s="11">
        <f>IFERROR(__xludf.DUMMYFUNCTION("""COMPUTED_VALUE"""),791.0)</f>
        <v>791</v>
      </c>
      <c r="D300" s="11">
        <f>IFERROR(__xludf.DUMMYFUNCTION("""COMPUTED_VALUE"""),535.0)</f>
        <v>535</v>
      </c>
      <c r="E300" s="9"/>
    </row>
    <row r="301">
      <c r="A301" s="10">
        <f>IFERROR(__xludf.DUMMYFUNCTION("""COMPUTED_VALUE"""),111591.0)</f>
        <v>111591</v>
      </c>
      <c r="B301" s="11">
        <f>IFERROR(__xludf.DUMMYFUNCTION("""COMPUTED_VALUE"""),0.0)</f>
        <v>0</v>
      </c>
      <c r="C301" s="11">
        <f>IFERROR(__xludf.DUMMYFUNCTION("""COMPUTED_VALUE"""),963.0)</f>
        <v>963</v>
      </c>
      <c r="D301" s="11">
        <f>IFERROR(__xludf.DUMMYFUNCTION("""COMPUTED_VALUE"""),236.0)</f>
        <v>236</v>
      </c>
      <c r="E301" s="9"/>
    </row>
    <row r="302">
      <c r="A302" s="10">
        <f>IFERROR(__xludf.DUMMYFUNCTION("""COMPUTED_VALUE"""),128329.0)</f>
        <v>128329</v>
      </c>
      <c r="B302" s="11">
        <f>IFERROR(__xludf.DUMMYFUNCTION("""COMPUTED_VALUE"""),1.0)</f>
        <v>1</v>
      </c>
      <c r="C302" s="11">
        <f>IFERROR(__xludf.DUMMYFUNCTION("""COMPUTED_VALUE"""),139.0)</f>
        <v>139</v>
      </c>
      <c r="D302" s="11">
        <f>IFERROR(__xludf.DUMMYFUNCTION("""COMPUTED_VALUE"""),134.0)</f>
        <v>134</v>
      </c>
      <c r="E302" s="9"/>
    </row>
    <row r="303">
      <c r="A303" s="10">
        <f>IFERROR(__xludf.DUMMYFUNCTION("""COMPUTED_VALUE"""),147268.0)</f>
        <v>147268</v>
      </c>
      <c r="B303" s="11">
        <f>IFERROR(__xludf.DUMMYFUNCTION("""COMPUTED_VALUE"""),0.0)</f>
        <v>0</v>
      </c>
      <c r="C303" s="11">
        <f>IFERROR(__xludf.DUMMYFUNCTION("""COMPUTED_VALUE"""),576.0)</f>
        <v>576</v>
      </c>
      <c r="D303" s="11">
        <f>IFERROR(__xludf.DUMMYFUNCTION("""COMPUTED_VALUE"""),364.0)</f>
        <v>364</v>
      </c>
      <c r="E303" s="9"/>
    </row>
    <row r="304">
      <c r="A304" s="10">
        <f>IFERROR(__xludf.DUMMYFUNCTION("""COMPUTED_VALUE"""),48511.0)</f>
        <v>48511</v>
      </c>
      <c r="B304" s="11">
        <f>IFERROR(__xludf.DUMMYFUNCTION("""COMPUTED_VALUE"""),1.0)</f>
        <v>1</v>
      </c>
      <c r="C304" s="11">
        <f>IFERROR(__xludf.DUMMYFUNCTION("""COMPUTED_VALUE"""),880.0)</f>
        <v>880</v>
      </c>
      <c r="D304" s="11">
        <f>IFERROR(__xludf.DUMMYFUNCTION("""COMPUTED_VALUE"""),328.0)</f>
        <v>328</v>
      </c>
      <c r="E304" s="9"/>
    </row>
    <row r="305">
      <c r="A305" s="10">
        <f>IFERROR(__xludf.DUMMYFUNCTION("""COMPUTED_VALUE"""),100040.0)</f>
        <v>100040</v>
      </c>
      <c r="B305" s="11">
        <f>IFERROR(__xludf.DUMMYFUNCTION("""COMPUTED_VALUE"""),0.0)</f>
        <v>0</v>
      </c>
      <c r="C305" s="11">
        <f>IFERROR(__xludf.DUMMYFUNCTION("""COMPUTED_VALUE"""),718.0)</f>
        <v>718</v>
      </c>
      <c r="D305" s="11">
        <f>IFERROR(__xludf.DUMMYFUNCTION("""COMPUTED_VALUE"""),164.0)</f>
        <v>164</v>
      </c>
      <c r="E305" s="9"/>
    </row>
    <row r="306">
      <c r="A306" s="10">
        <f>IFERROR(__xludf.DUMMYFUNCTION("""COMPUTED_VALUE"""),79366.0)</f>
        <v>79366</v>
      </c>
      <c r="B306" s="11">
        <f>IFERROR(__xludf.DUMMYFUNCTION("""COMPUTED_VALUE"""),0.0)</f>
        <v>0</v>
      </c>
      <c r="C306" s="11">
        <f>IFERROR(__xludf.DUMMYFUNCTION("""COMPUTED_VALUE"""),679.0)</f>
        <v>679</v>
      </c>
      <c r="D306" s="11">
        <f>IFERROR(__xludf.DUMMYFUNCTION("""COMPUTED_VALUE"""),170.0)</f>
        <v>170</v>
      </c>
      <c r="E306" s="9"/>
    </row>
    <row r="307">
      <c r="A307" s="10">
        <f>IFERROR(__xludf.DUMMYFUNCTION("""COMPUTED_VALUE"""),160754.0)</f>
        <v>160754</v>
      </c>
      <c r="B307" s="11">
        <f>IFERROR(__xludf.DUMMYFUNCTION("""COMPUTED_VALUE"""),1.0)</f>
        <v>1</v>
      </c>
      <c r="C307" s="11">
        <f>IFERROR(__xludf.DUMMYFUNCTION("""COMPUTED_VALUE"""),796.0)</f>
        <v>796</v>
      </c>
      <c r="D307" s="11">
        <f>IFERROR(__xludf.DUMMYFUNCTION("""COMPUTED_VALUE"""),743.0)</f>
        <v>743</v>
      </c>
      <c r="E307" s="9"/>
    </row>
    <row r="308">
      <c r="A308" s="10">
        <f>IFERROR(__xludf.DUMMYFUNCTION("""COMPUTED_VALUE"""),100038.0)</f>
        <v>100038</v>
      </c>
      <c r="B308" s="11">
        <f>IFERROR(__xludf.DUMMYFUNCTION("""COMPUTED_VALUE"""),0.0)</f>
        <v>0</v>
      </c>
      <c r="C308" s="11">
        <f>IFERROR(__xludf.DUMMYFUNCTION("""COMPUTED_VALUE"""),758.0)</f>
        <v>758</v>
      </c>
      <c r="D308" s="11">
        <f>IFERROR(__xludf.DUMMYFUNCTION("""COMPUTED_VALUE"""),260.0)</f>
        <v>260</v>
      </c>
      <c r="E308" s="9"/>
    </row>
    <row r="309">
      <c r="A309" s="10">
        <f>IFERROR(__xludf.DUMMYFUNCTION("""COMPUTED_VALUE"""),100035.0)</f>
        <v>100035</v>
      </c>
      <c r="B309" s="11">
        <f>IFERROR(__xludf.DUMMYFUNCTION("""COMPUTED_VALUE"""),1.0)</f>
        <v>1</v>
      </c>
      <c r="C309" s="11">
        <f>IFERROR(__xludf.DUMMYFUNCTION("""COMPUTED_VALUE"""),854.0)</f>
        <v>854</v>
      </c>
      <c r="D309" s="11">
        <f>IFERROR(__xludf.DUMMYFUNCTION("""COMPUTED_VALUE"""),437.0)</f>
        <v>437</v>
      </c>
      <c r="E309" s="9"/>
    </row>
    <row r="310">
      <c r="A310" s="10">
        <f>IFERROR(__xludf.DUMMYFUNCTION("""COMPUTED_VALUE"""),29654.0)</f>
        <v>29654</v>
      </c>
      <c r="B310" s="11">
        <f>IFERROR(__xludf.DUMMYFUNCTION("""COMPUTED_VALUE"""),0.0)</f>
        <v>0</v>
      </c>
      <c r="C310" s="11">
        <f>IFERROR(__xludf.DUMMYFUNCTION("""COMPUTED_VALUE"""),51.0)</f>
        <v>51</v>
      </c>
      <c r="D310" s="11">
        <f>IFERROR(__xludf.DUMMYFUNCTION("""COMPUTED_VALUE"""),23.0)</f>
        <v>23</v>
      </c>
      <c r="E310" s="9"/>
    </row>
    <row r="311">
      <c r="A311" s="10">
        <f>IFERROR(__xludf.DUMMYFUNCTION("""COMPUTED_VALUE"""),107804.0)</f>
        <v>107804</v>
      </c>
      <c r="B311" s="11">
        <f>IFERROR(__xludf.DUMMYFUNCTION("""COMPUTED_VALUE"""),1.0)</f>
        <v>1</v>
      </c>
      <c r="C311" s="11">
        <f>IFERROR(__xludf.DUMMYFUNCTION("""COMPUTED_VALUE"""),354.0)</f>
        <v>354</v>
      </c>
      <c r="D311" s="11">
        <f>IFERROR(__xludf.DUMMYFUNCTION("""COMPUTED_VALUE"""),190.0)</f>
        <v>190</v>
      </c>
      <c r="E311" s="9"/>
    </row>
    <row r="312">
      <c r="A312" s="10">
        <f>IFERROR(__xludf.DUMMYFUNCTION("""COMPUTED_VALUE"""),75809.0)</f>
        <v>75809</v>
      </c>
      <c r="B312" s="11">
        <f>IFERROR(__xludf.DUMMYFUNCTION("""COMPUTED_VALUE"""),1.0)</f>
        <v>1</v>
      </c>
      <c r="C312" s="11">
        <f>IFERROR(__xludf.DUMMYFUNCTION("""COMPUTED_VALUE"""),974.0)</f>
        <v>974</v>
      </c>
      <c r="D312" s="11">
        <f>IFERROR(__xludf.DUMMYFUNCTION("""COMPUTED_VALUE"""),41.0)</f>
        <v>41</v>
      </c>
      <c r="E312" s="9"/>
    </row>
    <row r="313">
      <c r="A313" s="10">
        <f>IFERROR(__xludf.DUMMYFUNCTION("""COMPUTED_VALUE"""),128325.0)</f>
        <v>128325</v>
      </c>
      <c r="B313" s="11">
        <f>IFERROR(__xludf.DUMMYFUNCTION("""COMPUTED_VALUE"""),1.0)</f>
        <v>1</v>
      </c>
      <c r="C313" s="11">
        <f>IFERROR(__xludf.DUMMYFUNCTION("""COMPUTED_VALUE"""),868.0)</f>
        <v>868</v>
      </c>
      <c r="D313" s="11">
        <f>IFERROR(__xludf.DUMMYFUNCTION("""COMPUTED_VALUE"""),484.0)</f>
        <v>484</v>
      </c>
      <c r="E313" s="9"/>
    </row>
    <row r="314">
      <c r="A314" s="10">
        <f>IFERROR(__xludf.DUMMYFUNCTION("""COMPUTED_VALUE"""),110072.0)</f>
        <v>110072</v>
      </c>
      <c r="B314" s="11">
        <f>IFERROR(__xludf.DUMMYFUNCTION("""COMPUTED_VALUE"""),1.0)</f>
        <v>1</v>
      </c>
      <c r="C314" s="11">
        <f>IFERROR(__xludf.DUMMYFUNCTION("""COMPUTED_VALUE"""),109.0)</f>
        <v>109</v>
      </c>
      <c r="D314" s="11">
        <f>IFERROR(__xludf.DUMMYFUNCTION("""COMPUTED_VALUE"""),75.0)</f>
        <v>75</v>
      </c>
      <c r="E314" s="9"/>
    </row>
    <row r="315">
      <c r="A315" s="10">
        <f>IFERROR(__xludf.DUMMYFUNCTION("""COMPUTED_VALUE"""),93814.0)</f>
        <v>93814</v>
      </c>
      <c r="B315" s="11">
        <f>IFERROR(__xludf.DUMMYFUNCTION("""COMPUTED_VALUE"""),1.0)</f>
        <v>1</v>
      </c>
      <c r="C315" s="11">
        <f>IFERROR(__xludf.DUMMYFUNCTION("""COMPUTED_VALUE"""),702.0)</f>
        <v>702</v>
      </c>
      <c r="D315" s="11">
        <f>IFERROR(__xludf.DUMMYFUNCTION("""COMPUTED_VALUE"""),487.0)</f>
        <v>487</v>
      </c>
      <c r="E315" s="9"/>
    </row>
    <row r="316">
      <c r="A316" s="10">
        <f>IFERROR(__xludf.DUMMYFUNCTION("""COMPUTED_VALUE"""),128326.0)</f>
        <v>128326</v>
      </c>
      <c r="B316" s="11">
        <f>IFERROR(__xludf.DUMMYFUNCTION("""COMPUTED_VALUE"""),0.0)</f>
        <v>0</v>
      </c>
      <c r="C316" s="11">
        <f>IFERROR(__xludf.DUMMYFUNCTION("""COMPUTED_VALUE"""),925.0)</f>
        <v>925</v>
      </c>
      <c r="D316" s="11">
        <f>IFERROR(__xludf.DUMMYFUNCTION("""COMPUTED_VALUE"""),95.0)</f>
        <v>95</v>
      </c>
      <c r="E316" s="9"/>
    </row>
    <row r="317">
      <c r="A317" s="10">
        <f>IFERROR(__xludf.DUMMYFUNCTION("""COMPUTED_VALUE"""),48510.0)</f>
        <v>48510</v>
      </c>
      <c r="B317" s="11">
        <f>IFERROR(__xludf.DUMMYFUNCTION("""COMPUTED_VALUE"""),0.0)</f>
        <v>0</v>
      </c>
      <c r="C317" s="11">
        <f>IFERROR(__xludf.DUMMYFUNCTION("""COMPUTED_VALUE"""),936.0)</f>
        <v>936</v>
      </c>
      <c r="D317" s="11">
        <f>IFERROR(__xludf.DUMMYFUNCTION("""COMPUTED_VALUE"""),615.0)</f>
        <v>615</v>
      </c>
      <c r="E317" s="9"/>
    </row>
    <row r="318">
      <c r="A318" s="10">
        <f>IFERROR(__xludf.DUMMYFUNCTION("""COMPUTED_VALUE"""),82463.0)</f>
        <v>82463</v>
      </c>
      <c r="B318" s="11">
        <f>IFERROR(__xludf.DUMMYFUNCTION("""COMPUTED_VALUE"""),1.0)</f>
        <v>1</v>
      </c>
      <c r="C318" s="11">
        <f>IFERROR(__xludf.DUMMYFUNCTION("""COMPUTED_VALUE"""),503.0)</f>
        <v>503</v>
      </c>
      <c r="D318" s="11">
        <f>IFERROR(__xludf.DUMMYFUNCTION("""COMPUTED_VALUE"""),200.0)</f>
        <v>200</v>
      </c>
      <c r="E318" s="9"/>
    </row>
    <row r="319">
      <c r="A319" s="10">
        <f>IFERROR(__xludf.DUMMYFUNCTION("""COMPUTED_VALUE"""),82462.0)</f>
        <v>82462</v>
      </c>
      <c r="B319" s="11">
        <f>IFERROR(__xludf.DUMMYFUNCTION("""COMPUTED_VALUE"""),1.0)</f>
        <v>1</v>
      </c>
      <c r="C319" s="11">
        <f>IFERROR(__xludf.DUMMYFUNCTION("""COMPUTED_VALUE"""),113.0)</f>
        <v>113</v>
      </c>
      <c r="D319" s="11">
        <f>IFERROR(__xludf.DUMMYFUNCTION("""COMPUTED_VALUE"""),53.0)</f>
        <v>53</v>
      </c>
      <c r="E319" s="9"/>
    </row>
    <row r="320">
      <c r="A320" s="10">
        <f>IFERROR(__xludf.DUMMYFUNCTION("""COMPUTED_VALUE"""),110635.0)</f>
        <v>110635</v>
      </c>
      <c r="B320" s="11">
        <f>IFERROR(__xludf.DUMMYFUNCTION("""COMPUTED_VALUE"""),0.0)</f>
        <v>0</v>
      </c>
      <c r="C320" s="11">
        <f>IFERROR(__xludf.DUMMYFUNCTION("""COMPUTED_VALUE"""),664.0)</f>
        <v>664</v>
      </c>
      <c r="D320" s="11">
        <f>IFERROR(__xludf.DUMMYFUNCTION("""COMPUTED_VALUE"""),55.0)</f>
        <v>55</v>
      </c>
      <c r="E320" s="9"/>
    </row>
    <row r="321">
      <c r="A321" s="10">
        <f>IFERROR(__xludf.DUMMYFUNCTION("""COMPUTED_VALUE"""),82464.0)</f>
        <v>82464</v>
      </c>
      <c r="B321" s="11">
        <f>IFERROR(__xludf.DUMMYFUNCTION("""COMPUTED_VALUE"""),1.0)</f>
        <v>1</v>
      </c>
      <c r="C321" s="11">
        <f>IFERROR(__xludf.DUMMYFUNCTION("""COMPUTED_VALUE"""),216.0)</f>
        <v>216</v>
      </c>
      <c r="D321" s="11">
        <f>IFERROR(__xludf.DUMMYFUNCTION("""COMPUTED_VALUE"""),164.0)</f>
        <v>164</v>
      </c>
      <c r="E321" s="9"/>
    </row>
    <row r="322">
      <c r="A322" s="10">
        <f>IFERROR(__xludf.DUMMYFUNCTION("""COMPUTED_VALUE"""),129133.0)</f>
        <v>129133</v>
      </c>
      <c r="B322" s="11">
        <f>IFERROR(__xludf.DUMMYFUNCTION("""COMPUTED_VALUE"""),0.0)</f>
        <v>0</v>
      </c>
      <c r="C322" s="11">
        <f>IFERROR(__xludf.DUMMYFUNCTION("""COMPUTED_VALUE"""),861.0)</f>
        <v>861</v>
      </c>
      <c r="D322" s="11">
        <f>IFERROR(__xludf.DUMMYFUNCTION("""COMPUTED_VALUE"""),241.0)</f>
        <v>241</v>
      </c>
      <c r="E322" s="9"/>
    </row>
    <row r="323">
      <c r="A323" s="10">
        <f>IFERROR(__xludf.DUMMYFUNCTION("""COMPUTED_VALUE"""),195081.0)</f>
        <v>195081</v>
      </c>
      <c r="B323" s="11">
        <f>IFERROR(__xludf.DUMMYFUNCTION("""COMPUTED_VALUE"""),1.0)</f>
        <v>1</v>
      </c>
      <c r="C323" s="11">
        <f>IFERROR(__xludf.DUMMYFUNCTION("""COMPUTED_VALUE"""),512.0)</f>
        <v>512</v>
      </c>
      <c r="D323" s="11">
        <f>IFERROR(__xludf.DUMMYFUNCTION("""COMPUTED_VALUE"""),460.0)</f>
        <v>460</v>
      </c>
      <c r="E323" s="9"/>
    </row>
    <row r="324">
      <c r="A324" s="10">
        <f>IFERROR(__xludf.DUMMYFUNCTION("""COMPUTED_VALUE"""),92669.0)</f>
        <v>92669</v>
      </c>
      <c r="B324" s="11">
        <f>IFERROR(__xludf.DUMMYFUNCTION("""COMPUTED_VALUE"""),0.0)</f>
        <v>0</v>
      </c>
      <c r="C324" s="11">
        <f>IFERROR(__xludf.DUMMYFUNCTION("""COMPUTED_VALUE"""),7.0)</f>
        <v>7</v>
      </c>
      <c r="D324" s="11">
        <f>IFERROR(__xludf.DUMMYFUNCTION("""COMPUTED_VALUE"""),7.0)</f>
        <v>7</v>
      </c>
      <c r="E324" s="9"/>
    </row>
    <row r="325">
      <c r="A325" s="10">
        <f>IFERROR(__xludf.DUMMYFUNCTION("""COMPUTED_VALUE"""),122089.0)</f>
        <v>122089</v>
      </c>
      <c r="B325" s="11">
        <f>IFERROR(__xludf.DUMMYFUNCTION("""COMPUTED_VALUE"""),1.0)</f>
        <v>1</v>
      </c>
      <c r="C325" s="11">
        <f>IFERROR(__xludf.DUMMYFUNCTION("""COMPUTED_VALUE"""),771.0)</f>
        <v>771</v>
      </c>
      <c r="D325" s="11">
        <f>IFERROR(__xludf.DUMMYFUNCTION("""COMPUTED_VALUE"""),6.0)</f>
        <v>6</v>
      </c>
      <c r="E325" s="9"/>
    </row>
    <row r="326">
      <c r="A326" s="10">
        <f>IFERROR(__xludf.DUMMYFUNCTION("""COMPUTED_VALUE"""),95927.0)</f>
        <v>95927</v>
      </c>
      <c r="B326" s="11">
        <f>IFERROR(__xludf.DUMMYFUNCTION("""COMPUTED_VALUE"""),1.0)</f>
        <v>1</v>
      </c>
      <c r="C326" s="11">
        <f>IFERROR(__xludf.DUMMYFUNCTION("""COMPUTED_VALUE"""),458.0)</f>
        <v>458</v>
      </c>
      <c r="D326" s="11">
        <f>IFERROR(__xludf.DUMMYFUNCTION("""COMPUTED_VALUE"""),156.0)</f>
        <v>156</v>
      </c>
      <c r="E326" s="9"/>
    </row>
    <row r="327">
      <c r="A327" s="10">
        <f>IFERROR(__xludf.DUMMYFUNCTION("""COMPUTED_VALUE"""),160756.0)</f>
        <v>160756</v>
      </c>
      <c r="B327" s="11">
        <f>IFERROR(__xludf.DUMMYFUNCTION("""COMPUTED_VALUE"""),1.0)</f>
        <v>1</v>
      </c>
      <c r="C327" s="11">
        <f>IFERROR(__xludf.DUMMYFUNCTION("""COMPUTED_VALUE"""),782.0)</f>
        <v>782</v>
      </c>
      <c r="D327" s="11">
        <f>IFERROR(__xludf.DUMMYFUNCTION("""COMPUTED_VALUE"""),316.0)</f>
        <v>316</v>
      </c>
      <c r="E327" s="9"/>
    </row>
    <row r="328">
      <c r="A328" s="10">
        <f>IFERROR(__xludf.DUMMYFUNCTION("""COMPUTED_VALUE"""),147267.0)</f>
        <v>147267</v>
      </c>
      <c r="B328" s="11">
        <f>IFERROR(__xludf.DUMMYFUNCTION("""COMPUTED_VALUE"""),1.0)</f>
        <v>1</v>
      </c>
      <c r="C328" s="11">
        <f>IFERROR(__xludf.DUMMYFUNCTION("""COMPUTED_VALUE"""),575.0)</f>
        <v>575</v>
      </c>
      <c r="D328" s="11">
        <f>IFERROR(__xludf.DUMMYFUNCTION("""COMPUTED_VALUE"""),425.0)</f>
        <v>425</v>
      </c>
      <c r="E328" s="9"/>
    </row>
    <row r="329">
      <c r="A329" s="10">
        <f>IFERROR(__xludf.DUMMYFUNCTION("""COMPUTED_VALUE"""),160747.0)</f>
        <v>160747</v>
      </c>
      <c r="B329" s="11">
        <f>IFERROR(__xludf.DUMMYFUNCTION("""COMPUTED_VALUE"""),0.0)</f>
        <v>0</v>
      </c>
      <c r="C329" s="11">
        <f>IFERROR(__xludf.DUMMYFUNCTION("""COMPUTED_VALUE"""),914.0)</f>
        <v>914</v>
      </c>
      <c r="D329" s="11">
        <f>IFERROR(__xludf.DUMMYFUNCTION("""COMPUTED_VALUE"""),888.0)</f>
        <v>888</v>
      </c>
      <c r="E329" s="9"/>
    </row>
    <row r="330">
      <c r="A330" s="10">
        <f>IFERROR(__xludf.DUMMYFUNCTION("""COMPUTED_VALUE"""),79365.0)</f>
        <v>79365</v>
      </c>
      <c r="B330" s="11">
        <f>IFERROR(__xludf.DUMMYFUNCTION("""COMPUTED_VALUE"""),1.0)</f>
        <v>1</v>
      </c>
      <c r="C330" s="11">
        <f>IFERROR(__xludf.DUMMYFUNCTION("""COMPUTED_VALUE"""),159.0)</f>
        <v>159</v>
      </c>
      <c r="D330" s="11">
        <f>IFERROR(__xludf.DUMMYFUNCTION("""COMPUTED_VALUE"""),81.0)</f>
        <v>81</v>
      </c>
      <c r="E330" s="9"/>
    </row>
    <row r="331">
      <c r="A331" s="10">
        <f>IFERROR(__xludf.DUMMYFUNCTION("""COMPUTED_VALUE"""),110633.0)</f>
        <v>110633</v>
      </c>
      <c r="B331" s="11">
        <f>IFERROR(__xludf.DUMMYFUNCTION("""COMPUTED_VALUE"""),1.0)</f>
        <v>1</v>
      </c>
      <c r="C331" s="11">
        <f>IFERROR(__xludf.DUMMYFUNCTION("""COMPUTED_VALUE"""),313.0)</f>
        <v>313</v>
      </c>
      <c r="D331" s="11">
        <f>IFERROR(__xludf.DUMMYFUNCTION("""COMPUTED_VALUE"""),134.0)</f>
        <v>134</v>
      </c>
      <c r="E331" s="9"/>
    </row>
    <row r="332">
      <c r="A332" s="10">
        <f>IFERROR(__xludf.DUMMYFUNCTION("""COMPUTED_VALUE"""),160750.0)</f>
        <v>160750</v>
      </c>
      <c r="B332" s="11">
        <f>IFERROR(__xludf.DUMMYFUNCTION("""COMPUTED_VALUE"""),0.0)</f>
        <v>0</v>
      </c>
      <c r="C332" s="11">
        <f>IFERROR(__xludf.DUMMYFUNCTION("""COMPUTED_VALUE"""),573.0)</f>
        <v>573</v>
      </c>
      <c r="D332" s="11">
        <f>IFERROR(__xludf.DUMMYFUNCTION("""COMPUTED_VALUE"""),274.0)</f>
        <v>274</v>
      </c>
      <c r="E332" s="9"/>
    </row>
    <row r="333">
      <c r="A333" s="10">
        <f>IFERROR(__xludf.DUMMYFUNCTION("""COMPUTED_VALUE"""),128332.0)</f>
        <v>128332</v>
      </c>
      <c r="B333" s="11">
        <f>IFERROR(__xludf.DUMMYFUNCTION("""COMPUTED_VALUE"""),1.0)</f>
        <v>1</v>
      </c>
      <c r="C333" s="11">
        <f>IFERROR(__xludf.DUMMYFUNCTION("""COMPUTED_VALUE"""),190.0)</f>
        <v>190</v>
      </c>
      <c r="D333" s="11">
        <f>IFERROR(__xludf.DUMMYFUNCTION("""COMPUTED_VALUE"""),172.0)</f>
        <v>172</v>
      </c>
      <c r="E333" s="9"/>
    </row>
    <row r="334">
      <c r="A334" s="10">
        <f>IFERROR(__xludf.DUMMYFUNCTION("""COMPUTED_VALUE"""),200354.0)</f>
        <v>200354</v>
      </c>
      <c r="B334" s="11">
        <f>IFERROR(__xludf.DUMMYFUNCTION("""COMPUTED_VALUE"""),1.0)</f>
        <v>1</v>
      </c>
      <c r="C334" s="11">
        <f>IFERROR(__xludf.DUMMYFUNCTION("""COMPUTED_VALUE"""),350.0)</f>
        <v>350</v>
      </c>
      <c r="D334" s="11">
        <f>IFERROR(__xludf.DUMMYFUNCTION("""COMPUTED_VALUE"""),313.0)</f>
        <v>313</v>
      </c>
      <c r="E334" s="9"/>
    </row>
    <row r="335">
      <c r="A335" s="10">
        <f>IFERROR(__xludf.DUMMYFUNCTION("""COMPUTED_VALUE"""),100042.0)</f>
        <v>100042</v>
      </c>
      <c r="B335" s="11">
        <f>IFERROR(__xludf.DUMMYFUNCTION("""COMPUTED_VALUE"""),0.0)</f>
        <v>0</v>
      </c>
      <c r="C335" s="11">
        <f>IFERROR(__xludf.DUMMYFUNCTION("""COMPUTED_VALUE"""),435.0)</f>
        <v>435</v>
      </c>
      <c r="D335" s="11">
        <f>IFERROR(__xludf.DUMMYFUNCTION("""COMPUTED_VALUE"""),57.0)</f>
        <v>57</v>
      </c>
      <c r="E335" s="9"/>
    </row>
    <row r="336">
      <c r="A336" s="10">
        <f>IFERROR(__xludf.DUMMYFUNCTION("""COMPUTED_VALUE"""),122446.0)</f>
        <v>122446</v>
      </c>
      <c r="B336" s="11">
        <f>IFERROR(__xludf.DUMMYFUNCTION("""COMPUTED_VALUE"""),1.0)</f>
        <v>1</v>
      </c>
      <c r="C336" s="11">
        <f>IFERROR(__xludf.DUMMYFUNCTION("""COMPUTED_VALUE"""),521.0)</f>
        <v>521</v>
      </c>
      <c r="D336" s="11">
        <f>IFERROR(__xludf.DUMMYFUNCTION("""COMPUTED_VALUE"""),174.0)</f>
        <v>174</v>
      </c>
      <c r="E336" s="9"/>
    </row>
    <row r="337">
      <c r="A337" s="10">
        <f>IFERROR(__xludf.DUMMYFUNCTION("""COMPUTED_VALUE"""),160761.0)</f>
        <v>160761</v>
      </c>
      <c r="B337" s="11">
        <f>IFERROR(__xludf.DUMMYFUNCTION("""COMPUTED_VALUE"""),1.0)</f>
        <v>1</v>
      </c>
      <c r="C337" s="11">
        <f>IFERROR(__xludf.DUMMYFUNCTION("""COMPUTED_VALUE"""),497.0)</f>
        <v>497</v>
      </c>
      <c r="D337" s="11">
        <f>IFERROR(__xludf.DUMMYFUNCTION("""COMPUTED_VALUE"""),404.0)</f>
        <v>404</v>
      </c>
      <c r="E337" s="9"/>
    </row>
    <row r="338">
      <c r="A338" s="10">
        <f>IFERROR(__xludf.DUMMYFUNCTION("""COMPUTED_VALUE"""),89503.0)</f>
        <v>89503</v>
      </c>
      <c r="B338" s="11">
        <f>IFERROR(__xludf.DUMMYFUNCTION("""COMPUTED_VALUE"""),0.0)</f>
        <v>0</v>
      </c>
      <c r="C338" s="11">
        <f>IFERROR(__xludf.DUMMYFUNCTION("""COMPUTED_VALUE"""),827.0)</f>
        <v>827</v>
      </c>
      <c r="D338" s="11">
        <f>IFERROR(__xludf.DUMMYFUNCTION("""COMPUTED_VALUE"""),666.0)</f>
        <v>666</v>
      </c>
      <c r="E338" s="9"/>
    </row>
    <row r="339">
      <c r="A339" s="10">
        <f>IFERROR(__xludf.DUMMYFUNCTION("""COMPUTED_VALUE"""),160744.0)</f>
        <v>160744</v>
      </c>
      <c r="B339" s="11">
        <f>IFERROR(__xludf.DUMMYFUNCTION("""COMPUTED_VALUE"""),1.0)</f>
        <v>1</v>
      </c>
      <c r="C339" s="11">
        <f>IFERROR(__xludf.DUMMYFUNCTION("""COMPUTED_VALUE"""),386.0)</f>
        <v>386</v>
      </c>
      <c r="D339" s="11">
        <f>IFERROR(__xludf.DUMMYFUNCTION("""COMPUTED_VALUE"""),312.0)</f>
        <v>312</v>
      </c>
      <c r="E339" s="9"/>
    </row>
    <row r="340">
      <c r="A340" s="10">
        <f>IFERROR(__xludf.DUMMYFUNCTION("""COMPUTED_VALUE"""),111590.0)</f>
        <v>111590</v>
      </c>
      <c r="B340" s="11">
        <f>IFERROR(__xludf.DUMMYFUNCTION("""COMPUTED_VALUE"""),1.0)</f>
        <v>1</v>
      </c>
      <c r="C340" s="11">
        <f>IFERROR(__xludf.DUMMYFUNCTION("""COMPUTED_VALUE"""),31.0)</f>
        <v>31</v>
      </c>
      <c r="D340" s="11">
        <f>IFERROR(__xludf.DUMMYFUNCTION("""COMPUTED_VALUE"""),12.0)</f>
        <v>12</v>
      </c>
      <c r="E340" s="9"/>
    </row>
    <row r="341">
      <c r="A341" s="10">
        <f>IFERROR(__xludf.DUMMYFUNCTION("""COMPUTED_VALUE"""),110070.0)</f>
        <v>110070</v>
      </c>
      <c r="B341" s="11">
        <f>IFERROR(__xludf.DUMMYFUNCTION("""COMPUTED_VALUE"""),0.0)</f>
        <v>0</v>
      </c>
      <c r="C341" s="11">
        <f>IFERROR(__xludf.DUMMYFUNCTION("""COMPUTED_VALUE"""),533.0)</f>
        <v>533</v>
      </c>
      <c r="D341" s="11">
        <f>IFERROR(__xludf.DUMMYFUNCTION("""COMPUTED_VALUE"""),402.0)</f>
        <v>402</v>
      </c>
      <c r="E341" s="9"/>
    </row>
    <row r="342">
      <c r="A342" s="10">
        <f>IFERROR(__xludf.DUMMYFUNCTION("""COMPUTED_VALUE"""),101005.0)</f>
        <v>101005</v>
      </c>
      <c r="B342" s="11">
        <f>IFERROR(__xludf.DUMMYFUNCTION("""COMPUTED_VALUE"""),1.0)</f>
        <v>1</v>
      </c>
      <c r="C342" s="11">
        <f>IFERROR(__xludf.DUMMYFUNCTION("""COMPUTED_VALUE"""),808.0)</f>
        <v>808</v>
      </c>
      <c r="D342" s="11">
        <f>IFERROR(__xludf.DUMMYFUNCTION("""COMPUTED_VALUE"""),330.0)</f>
        <v>330</v>
      </c>
      <c r="E342" s="9"/>
    </row>
    <row r="343">
      <c r="A343" s="10">
        <f>IFERROR(__xludf.DUMMYFUNCTION("""COMPUTED_VALUE"""),160745.0)</f>
        <v>160745</v>
      </c>
      <c r="B343" s="11">
        <f>IFERROR(__xludf.DUMMYFUNCTION("""COMPUTED_VALUE"""),0.0)</f>
        <v>0</v>
      </c>
      <c r="C343" s="11">
        <f>IFERROR(__xludf.DUMMYFUNCTION("""COMPUTED_VALUE"""),151.0)</f>
        <v>151</v>
      </c>
      <c r="D343" s="11">
        <f>IFERROR(__xludf.DUMMYFUNCTION("""COMPUTED_VALUE"""),108.0)</f>
        <v>108</v>
      </c>
      <c r="E343" s="9"/>
    </row>
    <row r="344">
      <c r="A344" s="10">
        <f>IFERROR(__xludf.DUMMYFUNCTION("""COMPUTED_VALUE"""),23073.0)</f>
        <v>23073</v>
      </c>
      <c r="B344" s="11">
        <f>IFERROR(__xludf.DUMMYFUNCTION("""COMPUTED_VALUE"""),1.0)</f>
        <v>1</v>
      </c>
      <c r="C344" s="11">
        <f>IFERROR(__xludf.DUMMYFUNCTION("""COMPUTED_VALUE"""),349.0)</f>
        <v>349</v>
      </c>
      <c r="D344" s="11">
        <f>IFERROR(__xludf.DUMMYFUNCTION("""COMPUTED_VALUE"""),88.0)</f>
        <v>88</v>
      </c>
      <c r="E344" s="9"/>
    </row>
    <row r="345">
      <c r="A345" s="10">
        <f>IFERROR(__xludf.DUMMYFUNCTION("""COMPUTED_VALUE"""),70064.0)</f>
        <v>70064</v>
      </c>
      <c r="B345" s="11">
        <f>IFERROR(__xludf.DUMMYFUNCTION("""COMPUTED_VALUE"""),0.0)</f>
        <v>0</v>
      </c>
      <c r="C345" s="11">
        <f>IFERROR(__xludf.DUMMYFUNCTION("""COMPUTED_VALUE"""),769.0)</f>
        <v>769</v>
      </c>
      <c r="D345" s="11">
        <f>IFERROR(__xludf.DUMMYFUNCTION("""COMPUTED_VALUE"""),247.0)</f>
        <v>247</v>
      </c>
      <c r="E345" s="9"/>
    </row>
    <row r="346">
      <c r="A346" s="10">
        <f>IFERROR(__xludf.DUMMYFUNCTION("""COMPUTED_VALUE"""),129135.0)</f>
        <v>129135</v>
      </c>
      <c r="B346" s="11">
        <f>IFERROR(__xludf.DUMMYFUNCTION("""COMPUTED_VALUE"""),1.0)</f>
        <v>1</v>
      </c>
      <c r="C346" s="11">
        <f>IFERROR(__xludf.DUMMYFUNCTION("""COMPUTED_VALUE"""),941.0)</f>
        <v>941</v>
      </c>
      <c r="D346" s="11">
        <f>IFERROR(__xludf.DUMMYFUNCTION("""COMPUTED_VALUE"""),527.0)</f>
        <v>527</v>
      </c>
      <c r="E346" s="9"/>
    </row>
    <row r="347">
      <c r="A347" s="10">
        <f>IFERROR(__xludf.DUMMYFUNCTION("""COMPUTED_VALUE"""),104440.0)</f>
        <v>104440</v>
      </c>
      <c r="B347" s="11">
        <f>IFERROR(__xludf.DUMMYFUNCTION("""COMPUTED_VALUE"""),0.0)</f>
        <v>0</v>
      </c>
      <c r="C347" s="11">
        <f>IFERROR(__xludf.DUMMYFUNCTION("""COMPUTED_VALUE"""),899.0)</f>
        <v>899</v>
      </c>
      <c r="D347" s="11">
        <f>IFERROR(__xludf.DUMMYFUNCTION("""COMPUTED_VALUE"""),222.0)</f>
        <v>222</v>
      </c>
      <c r="E347" s="9"/>
    </row>
    <row r="348">
      <c r="A348" s="10">
        <f>IFERROR(__xludf.DUMMYFUNCTION("""COMPUTED_VALUE"""),70063.0)</f>
        <v>70063</v>
      </c>
      <c r="B348" s="11">
        <f>IFERROR(__xludf.DUMMYFUNCTION("""COMPUTED_VALUE"""),1.0)</f>
        <v>1</v>
      </c>
      <c r="C348" s="11">
        <f>IFERROR(__xludf.DUMMYFUNCTION("""COMPUTED_VALUE"""),358.0)</f>
        <v>358</v>
      </c>
      <c r="D348" s="11">
        <f>IFERROR(__xludf.DUMMYFUNCTION("""COMPUTED_VALUE"""),255.0)</f>
        <v>255</v>
      </c>
      <c r="E348" s="9"/>
    </row>
    <row r="349">
      <c r="A349" s="10">
        <f>IFERROR(__xludf.DUMMYFUNCTION("""COMPUTED_VALUE"""),160748.0)</f>
        <v>160748</v>
      </c>
      <c r="B349" s="11">
        <f>IFERROR(__xludf.DUMMYFUNCTION("""COMPUTED_VALUE"""),1.0)</f>
        <v>1</v>
      </c>
      <c r="C349" s="11">
        <f>IFERROR(__xludf.DUMMYFUNCTION("""COMPUTED_VALUE"""),583.0)</f>
        <v>583</v>
      </c>
      <c r="D349" s="11">
        <f>IFERROR(__xludf.DUMMYFUNCTION("""COMPUTED_VALUE"""),300.0)</f>
        <v>300</v>
      </c>
      <c r="E349" s="9"/>
    </row>
    <row r="350">
      <c r="A350" s="10">
        <f>IFERROR(__xludf.DUMMYFUNCTION("""COMPUTED_VALUE"""),181242.0)</f>
        <v>181242</v>
      </c>
      <c r="B350" s="11">
        <f>IFERROR(__xludf.DUMMYFUNCTION("""COMPUTED_VALUE"""),0.0)</f>
        <v>0</v>
      </c>
      <c r="C350" s="11">
        <f>IFERROR(__xludf.DUMMYFUNCTION("""COMPUTED_VALUE"""),730.0)</f>
        <v>730</v>
      </c>
      <c r="D350" s="11">
        <f>IFERROR(__xludf.DUMMYFUNCTION("""COMPUTED_VALUE"""),723.0)</f>
        <v>723</v>
      </c>
      <c r="E350" s="9"/>
    </row>
    <row r="351">
      <c r="A351" s="10">
        <f>IFERROR(__xludf.DUMMYFUNCTION("""COMPUTED_VALUE"""),200323.0)</f>
        <v>200323</v>
      </c>
      <c r="B351" s="11">
        <f>IFERROR(__xludf.DUMMYFUNCTION("""COMPUTED_VALUE"""),1.0)</f>
        <v>1</v>
      </c>
      <c r="C351" s="11">
        <f>IFERROR(__xludf.DUMMYFUNCTION("""COMPUTED_VALUE"""),450.0)</f>
        <v>450</v>
      </c>
      <c r="D351" s="11">
        <f>IFERROR(__xludf.DUMMYFUNCTION("""COMPUTED_VALUE"""),342.0)</f>
        <v>342</v>
      </c>
      <c r="E351" s="9"/>
    </row>
    <row r="352">
      <c r="A352" s="10">
        <f>IFERROR(__xludf.DUMMYFUNCTION("""COMPUTED_VALUE"""),129132.0)</f>
        <v>129132</v>
      </c>
      <c r="B352" s="11">
        <f>IFERROR(__xludf.DUMMYFUNCTION("""COMPUTED_VALUE"""),1.0)</f>
        <v>1</v>
      </c>
      <c r="C352" s="11">
        <f>IFERROR(__xludf.DUMMYFUNCTION("""COMPUTED_VALUE"""),809.0)</f>
        <v>809</v>
      </c>
      <c r="D352" s="11">
        <f>IFERROR(__xludf.DUMMYFUNCTION("""COMPUTED_VALUE"""),264.0)</f>
        <v>264</v>
      </c>
      <c r="E352" s="9"/>
    </row>
    <row r="353">
      <c r="A353" s="10">
        <f>IFERROR(__xludf.DUMMYFUNCTION("""COMPUTED_VALUE"""),160743.0)</f>
        <v>160743</v>
      </c>
      <c r="B353" s="11">
        <f>IFERROR(__xludf.DUMMYFUNCTION("""COMPUTED_VALUE"""),1.0)</f>
        <v>1</v>
      </c>
      <c r="C353" s="11">
        <f>IFERROR(__xludf.DUMMYFUNCTION("""COMPUTED_VALUE"""),760.0)</f>
        <v>760</v>
      </c>
      <c r="D353" s="11">
        <f>IFERROR(__xludf.DUMMYFUNCTION("""COMPUTED_VALUE"""),682.0)</f>
        <v>682</v>
      </c>
      <c r="E353" s="9"/>
    </row>
    <row r="354">
      <c r="A354" s="10">
        <f>IFERROR(__xludf.DUMMYFUNCTION("""COMPUTED_VALUE"""),89610.0)</f>
        <v>89610</v>
      </c>
      <c r="B354" s="11">
        <f>IFERROR(__xludf.DUMMYFUNCTION("""COMPUTED_VALUE"""),0.0)</f>
        <v>0</v>
      </c>
      <c r="C354" s="11">
        <f>IFERROR(__xludf.DUMMYFUNCTION("""COMPUTED_VALUE"""),559.0)</f>
        <v>559</v>
      </c>
      <c r="D354" s="11">
        <f>IFERROR(__xludf.DUMMYFUNCTION("""COMPUTED_VALUE"""),283.0)</f>
        <v>283</v>
      </c>
      <c r="E354" s="9"/>
    </row>
    <row r="355">
      <c r="A355" s="10">
        <f>IFERROR(__xludf.DUMMYFUNCTION("""COMPUTED_VALUE"""),112113.0)</f>
        <v>112113</v>
      </c>
      <c r="B355" s="11">
        <f>IFERROR(__xludf.DUMMYFUNCTION("""COMPUTED_VALUE"""),0.0)</f>
        <v>0</v>
      </c>
      <c r="C355" s="11">
        <f>IFERROR(__xludf.DUMMYFUNCTION("""COMPUTED_VALUE"""),593.0)</f>
        <v>593</v>
      </c>
      <c r="D355" s="11">
        <f>IFERROR(__xludf.DUMMYFUNCTION("""COMPUTED_VALUE"""),431.0)</f>
        <v>431</v>
      </c>
      <c r="E355" s="9"/>
    </row>
    <row r="356">
      <c r="A356" s="10">
        <f>IFERROR(__xludf.DUMMYFUNCTION("""COMPUTED_VALUE"""),107801.0)</f>
        <v>107801</v>
      </c>
      <c r="B356" s="11">
        <f>IFERROR(__xludf.DUMMYFUNCTION("""COMPUTED_VALUE"""),0.0)</f>
        <v>0</v>
      </c>
      <c r="C356" s="11">
        <f>IFERROR(__xludf.DUMMYFUNCTION("""COMPUTED_VALUE"""),912.0)</f>
        <v>912</v>
      </c>
      <c r="D356" s="11">
        <f>IFERROR(__xludf.DUMMYFUNCTION("""COMPUTED_VALUE"""),605.0)</f>
        <v>605</v>
      </c>
      <c r="E356" s="9"/>
    </row>
    <row r="357">
      <c r="A357" s="10">
        <f>IFERROR(__xludf.DUMMYFUNCTION("""COMPUTED_VALUE"""),70065.0)</f>
        <v>70065</v>
      </c>
      <c r="B357" s="11">
        <f>IFERROR(__xludf.DUMMYFUNCTION("""COMPUTED_VALUE"""),0.0)</f>
        <v>0</v>
      </c>
      <c r="C357" s="11">
        <f>IFERROR(__xludf.DUMMYFUNCTION("""COMPUTED_VALUE"""),612.0)</f>
        <v>612</v>
      </c>
      <c r="D357" s="11">
        <f>IFERROR(__xludf.DUMMYFUNCTION("""COMPUTED_VALUE"""),282.0)</f>
        <v>282</v>
      </c>
      <c r="E357" s="9"/>
    </row>
    <row r="358">
      <c r="A358" s="10">
        <f>IFERROR(__xludf.DUMMYFUNCTION("""COMPUTED_VALUE"""),539.0)</f>
        <v>539</v>
      </c>
      <c r="B358" s="11">
        <f>IFERROR(__xludf.DUMMYFUNCTION("""COMPUTED_VALUE"""),0.0)</f>
        <v>0</v>
      </c>
      <c r="C358" s="11">
        <f>IFERROR(__xludf.DUMMYFUNCTION("""COMPUTED_VALUE"""),550.0)</f>
        <v>550</v>
      </c>
      <c r="D358" s="11">
        <f>IFERROR(__xludf.DUMMYFUNCTION("""COMPUTED_VALUE"""),154.0)</f>
        <v>154</v>
      </c>
      <c r="E358" s="9"/>
    </row>
    <row r="359">
      <c r="A359" s="10">
        <f>IFERROR(__xludf.DUMMYFUNCTION("""COMPUTED_VALUE"""),7857.0)</f>
        <v>7857</v>
      </c>
      <c r="B359" s="11">
        <f>IFERROR(__xludf.DUMMYFUNCTION("""COMPUTED_VALUE"""),1.0)</f>
        <v>1</v>
      </c>
      <c r="C359" s="11">
        <f>IFERROR(__xludf.DUMMYFUNCTION("""COMPUTED_VALUE"""),545.0)</f>
        <v>545</v>
      </c>
      <c r="D359" s="11">
        <f>IFERROR(__xludf.DUMMYFUNCTION("""COMPUTED_VALUE"""),444.0)</f>
        <v>444</v>
      </c>
      <c r="E359" s="9"/>
    </row>
    <row r="360">
      <c r="A360" s="10">
        <f>IFERROR(__xludf.DUMMYFUNCTION("""COMPUTED_VALUE"""),111726.0)</f>
        <v>111726</v>
      </c>
      <c r="B360" s="11">
        <f>IFERROR(__xludf.DUMMYFUNCTION("""COMPUTED_VALUE"""),0.0)</f>
        <v>0</v>
      </c>
      <c r="C360" s="11">
        <f>IFERROR(__xludf.DUMMYFUNCTION("""COMPUTED_VALUE"""),782.0)</f>
        <v>782</v>
      </c>
      <c r="D360" s="11">
        <f>IFERROR(__xludf.DUMMYFUNCTION("""COMPUTED_VALUE"""),0.0)</f>
        <v>0</v>
      </c>
      <c r="E360" s="9"/>
    </row>
    <row r="361">
      <c r="A361" s="10">
        <f>IFERROR(__xludf.DUMMYFUNCTION("""COMPUTED_VALUE"""),120992.0)</f>
        <v>120992</v>
      </c>
      <c r="B361" s="11">
        <f>IFERROR(__xludf.DUMMYFUNCTION("""COMPUTED_VALUE"""),1.0)</f>
        <v>1</v>
      </c>
      <c r="C361" s="11">
        <f>IFERROR(__xludf.DUMMYFUNCTION("""COMPUTED_VALUE"""),550.0)</f>
        <v>550</v>
      </c>
      <c r="D361" s="11">
        <f>IFERROR(__xludf.DUMMYFUNCTION("""COMPUTED_VALUE"""),415.0)</f>
        <v>415</v>
      </c>
      <c r="E361" s="9"/>
    </row>
    <row r="362">
      <c r="A362" s="10">
        <f>IFERROR(__xludf.DUMMYFUNCTION("""COMPUTED_VALUE"""),158482.0)</f>
        <v>158482</v>
      </c>
      <c r="B362" s="11">
        <f>IFERROR(__xludf.DUMMYFUNCTION("""COMPUTED_VALUE"""),0.0)</f>
        <v>0</v>
      </c>
      <c r="C362" s="11">
        <f>IFERROR(__xludf.DUMMYFUNCTION("""COMPUTED_VALUE"""),597.0)</f>
        <v>597</v>
      </c>
      <c r="D362" s="11">
        <f>IFERROR(__xludf.DUMMYFUNCTION("""COMPUTED_VALUE"""),365.0)</f>
        <v>365</v>
      </c>
      <c r="E362" s="9"/>
    </row>
    <row r="363">
      <c r="A363" s="10">
        <f>IFERROR(__xludf.DUMMYFUNCTION("""COMPUTED_VALUE"""),193132.0)</f>
        <v>193132</v>
      </c>
      <c r="B363" s="11">
        <f>IFERROR(__xludf.DUMMYFUNCTION("""COMPUTED_VALUE"""),0.0)</f>
        <v>0</v>
      </c>
      <c r="C363" s="11">
        <f>IFERROR(__xludf.DUMMYFUNCTION("""COMPUTED_VALUE"""),468.0)</f>
        <v>468</v>
      </c>
      <c r="D363" s="11">
        <f>IFERROR(__xludf.DUMMYFUNCTION("""COMPUTED_VALUE"""),15.0)</f>
        <v>15</v>
      </c>
      <c r="E363" s="9"/>
    </row>
    <row r="364">
      <c r="A364" s="10">
        <f>IFERROR(__xludf.DUMMYFUNCTION("""COMPUTED_VALUE"""),118901.0)</f>
        <v>118901</v>
      </c>
      <c r="B364" s="11">
        <f>IFERROR(__xludf.DUMMYFUNCTION("""COMPUTED_VALUE"""),0.0)</f>
        <v>0</v>
      </c>
      <c r="C364" s="11">
        <f>IFERROR(__xludf.DUMMYFUNCTION("""COMPUTED_VALUE"""),699.0)</f>
        <v>699</v>
      </c>
      <c r="D364" s="11">
        <f>IFERROR(__xludf.DUMMYFUNCTION("""COMPUTED_VALUE"""),203.0)</f>
        <v>203</v>
      </c>
      <c r="E364" s="9"/>
    </row>
    <row r="365">
      <c r="A365" s="10">
        <f>IFERROR(__xludf.DUMMYFUNCTION("""COMPUTED_VALUE"""),193131.0)</f>
        <v>193131</v>
      </c>
      <c r="B365" s="11">
        <f>IFERROR(__xludf.DUMMYFUNCTION("""COMPUTED_VALUE"""),1.0)</f>
        <v>1</v>
      </c>
      <c r="C365" s="11">
        <f>IFERROR(__xludf.DUMMYFUNCTION("""COMPUTED_VALUE"""),712.0)</f>
        <v>712</v>
      </c>
      <c r="D365" s="11">
        <f>IFERROR(__xludf.DUMMYFUNCTION("""COMPUTED_VALUE"""),384.0)</f>
        <v>384</v>
      </c>
      <c r="E365" s="9"/>
    </row>
    <row r="366">
      <c r="A366" s="10">
        <f>IFERROR(__xludf.DUMMYFUNCTION("""COMPUTED_VALUE"""),115709.0)</f>
        <v>115709</v>
      </c>
      <c r="B366" s="11">
        <f>IFERROR(__xludf.DUMMYFUNCTION("""COMPUTED_VALUE"""),0.0)</f>
        <v>0</v>
      </c>
      <c r="C366" s="11">
        <f>IFERROR(__xludf.DUMMYFUNCTION("""COMPUTED_VALUE"""),111.0)</f>
        <v>111</v>
      </c>
      <c r="D366" s="11">
        <f>IFERROR(__xludf.DUMMYFUNCTION("""COMPUTED_VALUE"""),89.0)</f>
        <v>89</v>
      </c>
      <c r="E366" s="9"/>
    </row>
    <row r="367">
      <c r="A367" s="10">
        <f>IFERROR(__xludf.DUMMYFUNCTION("""COMPUTED_VALUE"""),121619.0)</f>
        <v>121619</v>
      </c>
      <c r="B367" s="11">
        <f>IFERROR(__xludf.DUMMYFUNCTION("""COMPUTED_VALUE"""),0.0)</f>
        <v>0</v>
      </c>
      <c r="C367" s="11">
        <f>IFERROR(__xludf.DUMMYFUNCTION("""COMPUTED_VALUE"""),164.0)</f>
        <v>164</v>
      </c>
      <c r="D367" s="11">
        <f>IFERROR(__xludf.DUMMYFUNCTION("""COMPUTED_VALUE"""),53.0)</f>
        <v>53</v>
      </c>
      <c r="E367" s="9"/>
    </row>
    <row r="368">
      <c r="A368" s="10">
        <f>IFERROR(__xludf.DUMMYFUNCTION("""COMPUTED_VALUE"""),103647.0)</f>
        <v>103647</v>
      </c>
      <c r="B368" s="11">
        <f>IFERROR(__xludf.DUMMYFUNCTION("""COMPUTED_VALUE"""),1.0)</f>
        <v>1</v>
      </c>
      <c r="C368" s="11">
        <f>IFERROR(__xludf.DUMMYFUNCTION("""COMPUTED_VALUE"""),213.0)</f>
        <v>213</v>
      </c>
      <c r="D368" s="11">
        <f>IFERROR(__xludf.DUMMYFUNCTION("""COMPUTED_VALUE"""),162.0)</f>
        <v>162</v>
      </c>
      <c r="E368" s="9"/>
    </row>
    <row r="369">
      <c r="A369" s="10">
        <f>IFERROR(__xludf.DUMMYFUNCTION("""COMPUTED_VALUE"""),121616.0)</f>
        <v>121616</v>
      </c>
      <c r="B369" s="11">
        <f>IFERROR(__xludf.DUMMYFUNCTION("""COMPUTED_VALUE"""),1.0)</f>
        <v>1</v>
      </c>
      <c r="C369" s="11">
        <f>IFERROR(__xludf.DUMMYFUNCTION("""COMPUTED_VALUE"""),785.0)</f>
        <v>785</v>
      </c>
      <c r="D369" s="11">
        <f>IFERROR(__xludf.DUMMYFUNCTION("""COMPUTED_VALUE"""),604.0)</f>
        <v>604</v>
      </c>
      <c r="E369" s="9"/>
    </row>
    <row r="370">
      <c r="A370" s="10">
        <f>IFERROR(__xludf.DUMMYFUNCTION("""COMPUTED_VALUE"""),121618.0)</f>
        <v>121618</v>
      </c>
      <c r="B370" s="11">
        <f>IFERROR(__xludf.DUMMYFUNCTION("""COMPUTED_VALUE"""),1.0)</f>
        <v>1</v>
      </c>
      <c r="C370" s="11">
        <f>IFERROR(__xludf.DUMMYFUNCTION("""COMPUTED_VALUE"""),544.0)</f>
        <v>544</v>
      </c>
      <c r="D370" s="11">
        <f>IFERROR(__xludf.DUMMYFUNCTION("""COMPUTED_VALUE"""),456.0)</f>
        <v>456</v>
      </c>
      <c r="E370" s="9"/>
    </row>
    <row r="371">
      <c r="A371" s="10">
        <f>IFERROR(__xludf.DUMMYFUNCTION("""COMPUTED_VALUE"""),129360.0)</f>
        <v>129360</v>
      </c>
      <c r="B371" s="11">
        <f>IFERROR(__xludf.DUMMYFUNCTION("""COMPUTED_VALUE"""),1.0)</f>
        <v>1</v>
      </c>
      <c r="C371" s="11">
        <f>IFERROR(__xludf.DUMMYFUNCTION("""COMPUTED_VALUE"""),52.0)</f>
        <v>52</v>
      </c>
      <c r="D371" s="11">
        <f>IFERROR(__xludf.DUMMYFUNCTION("""COMPUTED_VALUE"""),46.0)</f>
        <v>46</v>
      </c>
      <c r="E371" s="9"/>
    </row>
    <row r="372">
      <c r="A372" s="10">
        <f>IFERROR(__xludf.DUMMYFUNCTION("""COMPUTED_VALUE"""),115708.0)</f>
        <v>115708</v>
      </c>
      <c r="B372" s="11">
        <f>IFERROR(__xludf.DUMMYFUNCTION("""COMPUTED_VALUE"""),0.0)</f>
        <v>0</v>
      </c>
      <c r="C372" s="11">
        <f>IFERROR(__xludf.DUMMYFUNCTION("""COMPUTED_VALUE"""),433.0)</f>
        <v>433</v>
      </c>
      <c r="D372" s="11">
        <f>IFERROR(__xludf.DUMMYFUNCTION("""COMPUTED_VALUE"""),211.0)</f>
        <v>211</v>
      </c>
      <c r="E372" s="9"/>
    </row>
    <row r="373">
      <c r="A373" s="10">
        <f>IFERROR(__xludf.DUMMYFUNCTION("""COMPUTED_VALUE"""),121617.0)</f>
        <v>121617</v>
      </c>
      <c r="B373" s="11">
        <f>IFERROR(__xludf.DUMMYFUNCTION("""COMPUTED_VALUE"""),0.0)</f>
        <v>0</v>
      </c>
      <c r="C373" s="11">
        <f>IFERROR(__xludf.DUMMYFUNCTION("""COMPUTED_VALUE"""),472.0)</f>
        <v>472</v>
      </c>
      <c r="D373" s="11">
        <f>IFERROR(__xludf.DUMMYFUNCTION("""COMPUTED_VALUE"""),334.0)</f>
        <v>334</v>
      </c>
      <c r="E373" s="9"/>
    </row>
    <row r="374">
      <c r="A374" s="10">
        <f>IFERROR(__xludf.DUMMYFUNCTION("""COMPUTED_VALUE"""),109540.0)</f>
        <v>109540</v>
      </c>
      <c r="B374" s="11">
        <f>IFERROR(__xludf.DUMMYFUNCTION("""COMPUTED_VALUE"""),0.0)</f>
        <v>0</v>
      </c>
      <c r="C374" s="11">
        <f>IFERROR(__xludf.DUMMYFUNCTION("""COMPUTED_VALUE"""),419.0)</f>
        <v>419</v>
      </c>
      <c r="D374" s="11">
        <f>IFERROR(__xludf.DUMMYFUNCTION("""COMPUTED_VALUE"""),329.0)</f>
        <v>329</v>
      </c>
      <c r="E374" s="9"/>
    </row>
    <row r="375">
      <c r="A375" s="10">
        <f>IFERROR(__xludf.DUMMYFUNCTION("""COMPUTED_VALUE"""),101323.0)</f>
        <v>101323</v>
      </c>
      <c r="B375" s="11">
        <f>IFERROR(__xludf.DUMMYFUNCTION("""COMPUTED_VALUE"""),0.0)</f>
        <v>0</v>
      </c>
      <c r="C375" s="11">
        <f>IFERROR(__xludf.DUMMYFUNCTION("""COMPUTED_VALUE"""),977.0)</f>
        <v>977</v>
      </c>
      <c r="D375" s="11">
        <f>IFERROR(__xludf.DUMMYFUNCTION("""COMPUTED_VALUE"""),965.0)</f>
        <v>965</v>
      </c>
      <c r="E375" s="9"/>
    </row>
    <row r="376">
      <c r="A376" s="10">
        <f>IFERROR(__xludf.DUMMYFUNCTION("""COMPUTED_VALUE"""),120991.0)</f>
        <v>120991</v>
      </c>
      <c r="B376" s="11">
        <f>IFERROR(__xludf.DUMMYFUNCTION("""COMPUTED_VALUE"""),0.0)</f>
        <v>0</v>
      </c>
      <c r="C376" s="11">
        <f>IFERROR(__xludf.DUMMYFUNCTION("""COMPUTED_VALUE"""),665.0)</f>
        <v>665</v>
      </c>
      <c r="D376" s="11">
        <f>IFERROR(__xludf.DUMMYFUNCTION("""COMPUTED_VALUE"""),444.0)</f>
        <v>444</v>
      </c>
      <c r="E376" s="9"/>
    </row>
    <row r="377">
      <c r="A377" s="10">
        <f>IFERROR(__xludf.DUMMYFUNCTION("""COMPUTED_VALUE"""),115698.0)</f>
        <v>115698</v>
      </c>
      <c r="B377" s="11">
        <f>IFERROR(__xludf.DUMMYFUNCTION("""COMPUTED_VALUE"""),1.0)</f>
        <v>1</v>
      </c>
      <c r="C377" s="11">
        <f>IFERROR(__xludf.DUMMYFUNCTION("""COMPUTED_VALUE"""),654.0)</f>
        <v>654</v>
      </c>
      <c r="D377" s="11">
        <f>IFERROR(__xludf.DUMMYFUNCTION("""COMPUTED_VALUE"""),494.0)</f>
        <v>494</v>
      </c>
      <c r="E377" s="9"/>
    </row>
    <row r="378">
      <c r="A378" s="10">
        <f>IFERROR(__xludf.DUMMYFUNCTION("""COMPUTED_VALUE"""),72511.0)</f>
        <v>72511</v>
      </c>
      <c r="B378" s="11">
        <f>IFERROR(__xludf.DUMMYFUNCTION("""COMPUTED_VALUE"""),1.0)</f>
        <v>1</v>
      </c>
      <c r="C378" s="11">
        <f>IFERROR(__xludf.DUMMYFUNCTION("""COMPUTED_VALUE"""),15.0)</f>
        <v>15</v>
      </c>
      <c r="D378" s="11">
        <f>IFERROR(__xludf.DUMMYFUNCTION("""COMPUTED_VALUE"""),6.0)</f>
        <v>6</v>
      </c>
      <c r="E378" s="9"/>
    </row>
    <row r="379">
      <c r="A379" s="10">
        <f>IFERROR(__xludf.DUMMYFUNCTION("""COMPUTED_VALUE"""),72512.0)</f>
        <v>72512</v>
      </c>
      <c r="B379" s="11">
        <f>IFERROR(__xludf.DUMMYFUNCTION("""COMPUTED_VALUE"""),1.0)</f>
        <v>1</v>
      </c>
      <c r="C379" s="11">
        <f>IFERROR(__xludf.DUMMYFUNCTION("""COMPUTED_VALUE"""),618.0)</f>
        <v>618</v>
      </c>
      <c r="D379" s="11">
        <f>IFERROR(__xludf.DUMMYFUNCTION("""COMPUTED_VALUE"""),297.0)</f>
        <v>297</v>
      </c>
      <c r="E379" s="9"/>
    </row>
    <row r="380">
      <c r="A380" s="10">
        <f>IFERROR(__xludf.DUMMYFUNCTION("""COMPUTED_VALUE"""),120108.0)</f>
        <v>120108</v>
      </c>
      <c r="B380" s="11">
        <f>IFERROR(__xludf.DUMMYFUNCTION("""COMPUTED_VALUE"""),0.0)</f>
        <v>0</v>
      </c>
      <c r="C380" s="11">
        <f>IFERROR(__xludf.DUMMYFUNCTION("""COMPUTED_VALUE"""),860.0)</f>
        <v>860</v>
      </c>
      <c r="D380" s="11">
        <f>IFERROR(__xludf.DUMMYFUNCTION("""COMPUTED_VALUE"""),20.0)</f>
        <v>20</v>
      </c>
      <c r="E380" s="9"/>
    </row>
    <row r="381">
      <c r="A381" s="10">
        <f>IFERROR(__xludf.DUMMYFUNCTION("""COMPUTED_VALUE"""),1636.0)</f>
        <v>1636</v>
      </c>
      <c r="B381" s="11">
        <f>IFERROR(__xludf.DUMMYFUNCTION("""COMPUTED_VALUE"""),1.0)</f>
        <v>1</v>
      </c>
      <c r="C381" s="11">
        <f>IFERROR(__xludf.DUMMYFUNCTION("""COMPUTED_VALUE"""),415.0)</f>
        <v>415</v>
      </c>
      <c r="D381" s="11">
        <f>IFERROR(__xludf.DUMMYFUNCTION("""COMPUTED_VALUE"""),0.0)</f>
        <v>0</v>
      </c>
      <c r="E381" s="9"/>
    </row>
    <row r="382">
      <c r="A382" s="10">
        <f>IFERROR(__xludf.DUMMYFUNCTION("""COMPUTED_VALUE"""),106767.0)</f>
        <v>106767</v>
      </c>
      <c r="B382" s="11">
        <f>IFERROR(__xludf.DUMMYFUNCTION("""COMPUTED_VALUE"""),0.0)</f>
        <v>0</v>
      </c>
      <c r="C382" s="11">
        <f>IFERROR(__xludf.DUMMYFUNCTION("""COMPUTED_VALUE"""),165.0)</f>
        <v>165</v>
      </c>
      <c r="D382" s="11">
        <f>IFERROR(__xludf.DUMMYFUNCTION("""COMPUTED_VALUE"""),139.0)</f>
        <v>139</v>
      </c>
      <c r="E382" s="9"/>
    </row>
    <row r="383">
      <c r="A383" s="10">
        <f>IFERROR(__xludf.DUMMYFUNCTION("""COMPUTED_VALUE"""),117246.0)</f>
        <v>117246</v>
      </c>
      <c r="B383" s="11">
        <f>IFERROR(__xludf.DUMMYFUNCTION("""COMPUTED_VALUE"""),1.0)</f>
        <v>1</v>
      </c>
      <c r="C383" s="11">
        <f>IFERROR(__xludf.DUMMYFUNCTION("""COMPUTED_VALUE"""),25.0)</f>
        <v>25</v>
      </c>
      <c r="D383" s="11">
        <f>IFERROR(__xludf.DUMMYFUNCTION("""COMPUTED_VALUE"""),13.0)</f>
        <v>13</v>
      </c>
      <c r="E383" s="9"/>
    </row>
    <row r="384">
      <c r="A384" s="10">
        <f>IFERROR(__xludf.DUMMYFUNCTION("""COMPUTED_VALUE"""),106758.0)</f>
        <v>106758</v>
      </c>
      <c r="B384" s="11">
        <f>IFERROR(__xludf.DUMMYFUNCTION("""COMPUTED_VALUE"""),1.0)</f>
        <v>1</v>
      </c>
      <c r="C384" s="11">
        <f>IFERROR(__xludf.DUMMYFUNCTION("""COMPUTED_VALUE"""),578.0)</f>
        <v>578</v>
      </c>
      <c r="D384" s="11">
        <f>IFERROR(__xludf.DUMMYFUNCTION("""COMPUTED_VALUE"""),20.0)</f>
        <v>20</v>
      </c>
      <c r="E384" s="9"/>
    </row>
    <row r="385">
      <c r="A385" s="10">
        <f>IFERROR(__xludf.DUMMYFUNCTION("""COMPUTED_VALUE"""),118150.0)</f>
        <v>118150</v>
      </c>
      <c r="B385" s="11">
        <f>IFERROR(__xludf.DUMMYFUNCTION("""COMPUTED_VALUE"""),1.0)</f>
        <v>1</v>
      </c>
      <c r="C385" s="11">
        <f>IFERROR(__xludf.DUMMYFUNCTION("""COMPUTED_VALUE"""),243.0)</f>
        <v>243</v>
      </c>
      <c r="D385" s="11">
        <f>IFERROR(__xludf.DUMMYFUNCTION("""COMPUTED_VALUE"""),130.0)</f>
        <v>130</v>
      </c>
      <c r="E385" s="9"/>
    </row>
    <row r="386">
      <c r="A386" s="10">
        <f>IFERROR(__xludf.DUMMYFUNCTION("""COMPUTED_VALUE"""),108896.0)</f>
        <v>108896</v>
      </c>
      <c r="B386" s="11">
        <f>IFERROR(__xludf.DUMMYFUNCTION("""COMPUTED_VALUE"""),1.0)</f>
        <v>1</v>
      </c>
      <c r="C386" s="11">
        <f>IFERROR(__xludf.DUMMYFUNCTION("""COMPUTED_VALUE"""),530.0)</f>
        <v>530</v>
      </c>
      <c r="D386" s="11">
        <f>IFERROR(__xludf.DUMMYFUNCTION("""COMPUTED_VALUE"""),217.0)</f>
        <v>217</v>
      </c>
      <c r="E386" s="9"/>
    </row>
    <row r="387">
      <c r="A387" s="10">
        <f>IFERROR(__xludf.DUMMYFUNCTION("""COMPUTED_VALUE"""),92566.0)</f>
        <v>92566</v>
      </c>
      <c r="B387" s="11">
        <f>IFERROR(__xludf.DUMMYFUNCTION("""COMPUTED_VALUE"""),1.0)</f>
        <v>1</v>
      </c>
      <c r="C387" s="11">
        <f>IFERROR(__xludf.DUMMYFUNCTION("""COMPUTED_VALUE"""),468.0)</f>
        <v>468</v>
      </c>
      <c r="D387" s="11">
        <f>IFERROR(__xludf.DUMMYFUNCTION("""COMPUTED_VALUE"""),147.0)</f>
        <v>147</v>
      </c>
      <c r="E387" s="9"/>
    </row>
    <row r="388">
      <c r="A388" s="10">
        <f>IFERROR(__xludf.DUMMYFUNCTION("""COMPUTED_VALUE"""),182195.0)</f>
        <v>182195</v>
      </c>
      <c r="B388" s="11">
        <f>IFERROR(__xludf.DUMMYFUNCTION("""COMPUTED_VALUE"""),1.0)</f>
        <v>1</v>
      </c>
      <c r="C388" s="11">
        <f>IFERROR(__xludf.DUMMYFUNCTION("""COMPUTED_VALUE"""),904.0)</f>
        <v>904</v>
      </c>
      <c r="D388" s="11">
        <f>IFERROR(__xludf.DUMMYFUNCTION("""COMPUTED_VALUE"""),177.0)</f>
        <v>177</v>
      </c>
      <c r="E388" s="9"/>
    </row>
    <row r="389">
      <c r="A389" s="10">
        <f>IFERROR(__xludf.DUMMYFUNCTION("""COMPUTED_VALUE"""),101560.0)</f>
        <v>101560</v>
      </c>
      <c r="B389" s="11">
        <f>IFERROR(__xludf.DUMMYFUNCTION("""COMPUTED_VALUE"""),0.0)</f>
        <v>0</v>
      </c>
      <c r="C389" s="11">
        <f>IFERROR(__xludf.DUMMYFUNCTION("""COMPUTED_VALUE"""),932.0)</f>
        <v>932</v>
      </c>
      <c r="D389" s="11">
        <f>IFERROR(__xludf.DUMMYFUNCTION("""COMPUTED_VALUE"""),238.0)</f>
        <v>238</v>
      </c>
      <c r="E389" s="9"/>
    </row>
    <row r="390">
      <c r="A390" s="10">
        <f>IFERROR(__xludf.DUMMYFUNCTION("""COMPUTED_VALUE"""),96067.0)</f>
        <v>96067</v>
      </c>
      <c r="B390" s="11">
        <f>IFERROR(__xludf.DUMMYFUNCTION("""COMPUTED_VALUE"""),1.0)</f>
        <v>1</v>
      </c>
      <c r="C390" s="11">
        <f>IFERROR(__xludf.DUMMYFUNCTION("""COMPUTED_VALUE"""),702.0)</f>
        <v>702</v>
      </c>
      <c r="D390" s="11">
        <f>IFERROR(__xludf.DUMMYFUNCTION("""COMPUTED_VALUE"""),549.0)</f>
        <v>549</v>
      </c>
      <c r="E390" s="9"/>
    </row>
    <row r="391">
      <c r="A391" s="10">
        <f>IFERROR(__xludf.DUMMYFUNCTION("""COMPUTED_VALUE"""),47325.0)</f>
        <v>47325</v>
      </c>
      <c r="B391" s="11">
        <f>IFERROR(__xludf.DUMMYFUNCTION("""COMPUTED_VALUE"""),0.0)</f>
        <v>0</v>
      </c>
      <c r="C391" s="11">
        <f>IFERROR(__xludf.DUMMYFUNCTION("""COMPUTED_VALUE"""),145.0)</f>
        <v>145</v>
      </c>
      <c r="D391" s="11">
        <f>IFERROR(__xludf.DUMMYFUNCTION("""COMPUTED_VALUE"""),10.0)</f>
        <v>10</v>
      </c>
      <c r="E391" s="9"/>
    </row>
    <row r="392">
      <c r="A392" s="10">
        <f>IFERROR(__xludf.DUMMYFUNCTION("""COMPUTED_VALUE"""),109386.0)</f>
        <v>109386</v>
      </c>
      <c r="B392" s="11">
        <f>IFERROR(__xludf.DUMMYFUNCTION("""COMPUTED_VALUE"""),0.0)</f>
        <v>0</v>
      </c>
      <c r="C392" s="11">
        <f>IFERROR(__xludf.DUMMYFUNCTION("""COMPUTED_VALUE"""),205.0)</f>
        <v>205</v>
      </c>
      <c r="D392" s="11">
        <f>IFERROR(__xludf.DUMMYFUNCTION("""COMPUTED_VALUE"""),111.0)</f>
        <v>111</v>
      </c>
      <c r="E392" s="9"/>
    </row>
    <row r="393">
      <c r="A393" s="10">
        <f>IFERROR(__xludf.DUMMYFUNCTION("""COMPUTED_VALUE"""),118972.0)</f>
        <v>118972</v>
      </c>
      <c r="B393" s="11">
        <f>IFERROR(__xludf.DUMMYFUNCTION("""COMPUTED_VALUE"""),1.0)</f>
        <v>1</v>
      </c>
      <c r="C393" s="11">
        <f>IFERROR(__xludf.DUMMYFUNCTION("""COMPUTED_VALUE"""),712.0)</f>
        <v>712</v>
      </c>
      <c r="D393" s="11">
        <f>IFERROR(__xludf.DUMMYFUNCTION("""COMPUTED_VALUE"""),266.0)</f>
        <v>266</v>
      </c>
      <c r="E393" s="9"/>
    </row>
    <row r="394">
      <c r="A394" s="10">
        <f>IFERROR(__xludf.DUMMYFUNCTION("""COMPUTED_VALUE"""),100412.0)</f>
        <v>100412</v>
      </c>
      <c r="B394" s="11">
        <f>IFERROR(__xludf.DUMMYFUNCTION("""COMPUTED_VALUE"""),0.0)</f>
        <v>0</v>
      </c>
      <c r="C394" s="11">
        <f>IFERROR(__xludf.DUMMYFUNCTION("""COMPUTED_VALUE"""),258.0)</f>
        <v>258</v>
      </c>
      <c r="D394" s="11">
        <f>IFERROR(__xludf.DUMMYFUNCTION("""COMPUTED_VALUE"""),221.0)</f>
        <v>221</v>
      </c>
      <c r="E394" s="9"/>
    </row>
    <row r="395">
      <c r="A395" s="10">
        <f>IFERROR(__xludf.DUMMYFUNCTION("""COMPUTED_VALUE"""),73259.0)</f>
        <v>73259</v>
      </c>
      <c r="B395" s="11">
        <f>IFERROR(__xludf.DUMMYFUNCTION("""COMPUTED_VALUE"""),1.0)</f>
        <v>1</v>
      </c>
      <c r="C395" s="11">
        <f>IFERROR(__xludf.DUMMYFUNCTION("""COMPUTED_VALUE"""),78.0)</f>
        <v>78</v>
      </c>
      <c r="D395" s="11">
        <f>IFERROR(__xludf.DUMMYFUNCTION("""COMPUTED_VALUE"""),65.0)</f>
        <v>65</v>
      </c>
      <c r="E395" s="9"/>
    </row>
    <row r="396">
      <c r="A396" s="10">
        <f>IFERROR(__xludf.DUMMYFUNCTION("""COMPUTED_VALUE"""),116888.0)</f>
        <v>116888</v>
      </c>
      <c r="B396" s="11">
        <f>IFERROR(__xludf.DUMMYFUNCTION("""COMPUTED_VALUE"""),0.0)</f>
        <v>0</v>
      </c>
      <c r="C396" s="11">
        <f>IFERROR(__xludf.DUMMYFUNCTION("""COMPUTED_VALUE"""),448.0)</f>
        <v>448</v>
      </c>
      <c r="D396" s="11">
        <f>IFERROR(__xludf.DUMMYFUNCTION("""COMPUTED_VALUE"""),21.0)</f>
        <v>21</v>
      </c>
      <c r="E396" s="9"/>
    </row>
    <row r="397">
      <c r="A397" s="10">
        <f>IFERROR(__xludf.DUMMYFUNCTION("""COMPUTED_VALUE"""),102086.0)</f>
        <v>102086</v>
      </c>
      <c r="B397" s="11">
        <f>IFERROR(__xludf.DUMMYFUNCTION("""COMPUTED_VALUE"""),1.0)</f>
        <v>1</v>
      </c>
      <c r="C397" s="11">
        <f>IFERROR(__xludf.DUMMYFUNCTION("""COMPUTED_VALUE"""),639.0)</f>
        <v>639</v>
      </c>
      <c r="D397" s="11">
        <f>IFERROR(__xludf.DUMMYFUNCTION("""COMPUTED_VALUE"""),450.0)</f>
        <v>450</v>
      </c>
      <c r="E397" s="9"/>
    </row>
    <row r="398">
      <c r="A398" s="10">
        <f>IFERROR(__xludf.DUMMYFUNCTION("""COMPUTED_VALUE"""),108892.0)</f>
        <v>108892</v>
      </c>
      <c r="B398" s="11">
        <f>IFERROR(__xludf.DUMMYFUNCTION("""COMPUTED_VALUE"""),1.0)</f>
        <v>1</v>
      </c>
      <c r="C398" s="11">
        <f>IFERROR(__xludf.DUMMYFUNCTION("""COMPUTED_VALUE"""),68.0)</f>
        <v>68</v>
      </c>
      <c r="D398" s="11">
        <f>IFERROR(__xludf.DUMMYFUNCTION("""COMPUTED_VALUE"""),35.0)</f>
        <v>35</v>
      </c>
      <c r="E398" s="9"/>
    </row>
    <row r="399">
      <c r="A399" s="10">
        <f>IFERROR(__xludf.DUMMYFUNCTION("""COMPUTED_VALUE"""),110935.0)</f>
        <v>110935</v>
      </c>
      <c r="B399" s="11">
        <f>IFERROR(__xludf.DUMMYFUNCTION("""COMPUTED_VALUE"""),1.0)</f>
        <v>1</v>
      </c>
      <c r="C399" s="11">
        <f>IFERROR(__xludf.DUMMYFUNCTION("""COMPUTED_VALUE"""),841.0)</f>
        <v>841</v>
      </c>
      <c r="D399" s="11">
        <f>IFERROR(__xludf.DUMMYFUNCTION("""COMPUTED_VALUE"""),663.0)</f>
        <v>663</v>
      </c>
      <c r="E399" s="9"/>
    </row>
    <row r="400">
      <c r="A400" s="10">
        <f>IFERROR(__xludf.DUMMYFUNCTION("""COMPUTED_VALUE"""),103599.0)</f>
        <v>103599</v>
      </c>
      <c r="B400" s="11">
        <f>IFERROR(__xludf.DUMMYFUNCTION("""COMPUTED_VALUE"""),1.0)</f>
        <v>1</v>
      </c>
      <c r="C400" s="11">
        <f>IFERROR(__xludf.DUMMYFUNCTION("""COMPUTED_VALUE"""),70.0)</f>
        <v>70</v>
      </c>
      <c r="D400" s="11">
        <f>IFERROR(__xludf.DUMMYFUNCTION("""COMPUTED_VALUE"""),24.0)</f>
        <v>24</v>
      </c>
      <c r="E400" s="9"/>
    </row>
    <row r="401">
      <c r="A401" s="10">
        <f>IFERROR(__xludf.DUMMYFUNCTION("""COMPUTED_VALUE"""),108811.0)</f>
        <v>108811</v>
      </c>
      <c r="B401" s="11">
        <f>IFERROR(__xludf.DUMMYFUNCTION("""COMPUTED_VALUE"""),1.0)</f>
        <v>1</v>
      </c>
      <c r="C401" s="11">
        <f>IFERROR(__xludf.DUMMYFUNCTION("""COMPUTED_VALUE"""),853.0)</f>
        <v>853</v>
      </c>
      <c r="D401" s="11">
        <f>IFERROR(__xludf.DUMMYFUNCTION("""COMPUTED_VALUE"""),533.0)</f>
        <v>533</v>
      </c>
      <c r="E401" s="9"/>
    </row>
    <row r="402">
      <c r="A402" s="10">
        <f>IFERROR(__xludf.DUMMYFUNCTION("""COMPUTED_VALUE"""),2202.0)</f>
        <v>2202</v>
      </c>
      <c r="B402" s="11">
        <f>IFERROR(__xludf.DUMMYFUNCTION("""COMPUTED_VALUE"""),1.0)</f>
        <v>1</v>
      </c>
      <c r="C402" s="11">
        <f>IFERROR(__xludf.DUMMYFUNCTION("""COMPUTED_VALUE"""),178.0)</f>
        <v>178</v>
      </c>
      <c r="D402" s="11">
        <f>IFERROR(__xludf.DUMMYFUNCTION("""COMPUTED_VALUE"""),106.0)</f>
        <v>106</v>
      </c>
      <c r="E402" s="9"/>
    </row>
    <row r="403">
      <c r="A403" s="10">
        <f>IFERROR(__xludf.DUMMYFUNCTION("""COMPUTED_VALUE"""),122789.0)</f>
        <v>122789</v>
      </c>
      <c r="B403" s="11">
        <f>IFERROR(__xludf.DUMMYFUNCTION("""COMPUTED_VALUE"""),1.0)</f>
        <v>1</v>
      </c>
      <c r="C403" s="11">
        <f>IFERROR(__xludf.DUMMYFUNCTION("""COMPUTED_VALUE"""),768.0)</f>
        <v>768</v>
      </c>
      <c r="D403" s="11">
        <f>IFERROR(__xludf.DUMMYFUNCTION("""COMPUTED_VALUE"""),267.0)</f>
        <v>267</v>
      </c>
      <c r="E403" s="9"/>
    </row>
    <row r="404">
      <c r="A404" s="10">
        <f>IFERROR(__xludf.DUMMYFUNCTION("""COMPUTED_VALUE"""),101563.0)</f>
        <v>101563</v>
      </c>
      <c r="B404" s="11">
        <f>IFERROR(__xludf.DUMMYFUNCTION("""COMPUTED_VALUE"""),0.0)</f>
        <v>0</v>
      </c>
      <c r="C404" s="11">
        <f>IFERROR(__xludf.DUMMYFUNCTION("""COMPUTED_VALUE"""),47.0)</f>
        <v>47</v>
      </c>
      <c r="D404" s="11">
        <f>IFERROR(__xludf.DUMMYFUNCTION("""COMPUTED_VALUE"""),15.0)</f>
        <v>15</v>
      </c>
      <c r="E404" s="9"/>
    </row>
    <row r="405">
      <c r="A405" s="10">
        <f>IFERROR(__xludf.DUMMYFUNCTION("""COMPUTED_VALUE"""),110934.0)</f>
        <v>110934</v>
      </c>
      <c r="B405" s="11">
        <f>IFERROR(__xludf.DUMMYFUNCTION("""COMPUTED_VALUE"""),0.0)</f>
        <v>0</v>
      </c>
      <c r="C405" s="11">
        <f>IFERROR(__xludf.DUMMYFUNCTION("""COMPUTED_VALUE"""),178.0)</f>
        <v>178</v>
      </c>
      <c r="D405" s="11">
        <f>IFERROR(__xludf.DUMMYFUNCTION("""COMPUTED_VALUE"""),164.0)</f>
        <v>164</v>
      </c>
      <c r="E405" s="9"/>
    </row>
    <row r="406">
      <c r="A406" s="10">
        <f>IFERROR(__xludf.DUMMYFUNCTION("""COMPUTED_VALUE"""),110147.0)</f>
        <v>110147</v>
      </c>
      <c r="B406" s="11">
        <f>IFERROR(__xludf.DUMMYFUNCTION("""COMPUTED_VALUE"""),1.0)</f>
        <v>1</v>
      </c>
      <c r="C406" s="11">
        <f>IFERROR(__xludf.DUMMYFUNCTION("""COMPUTED_VALUE"""),40.0)</f>
        <v>40</v>
      </c>
      <c r="D406" s="11">
        <f>IFERROR(__xludf.DUMMYFUNCTION("""COMPUTED_VALUE"""),34.0)</f>
        <v>34</v>
      </c>
      <c r="E406" s="9"/>
    </row>
    <row r="407">
      <c r="A407" s="10">
        <f>IFERROR(__xludf.DUMMYFUNCTION("""COMPUTED_VALUE"""),104135.0)</f>
        <v>104135</v>
      </c>
      <c r="B407" s="11">
        <f>IFERROR(__xludf.DUMMYFUNCTION("""COMPUTED_VALUE"""),1.0)</f>
        <v>1</v>
      </c>
      <c r="C407" s="11">
        <f>IFERROR(__xludf.DUMMYFUNCTION("""COMPUTED_VALUE"""),7.0)</f>
        <v>7</v>
      </c>
      <c r="D407" s="11">
        <f>IFERROR(__xludf.DUMMYFUNCTION("""COMPUTED_VALUE"""),3.0)</f>
        <v>3</v>
      </c>
      <c r="E407" s="9"/>
    </row>
    <row r="408">
      <c r="A408" s="10">
        <f>IFERROR(__xludf.DUMMYFUNCTION("""COMPUTED_VALUE"""),101559.0)</f>
        <v>101559</v>
      </c>
      <c r="B408" s="11">
        <f>IFERROR(__xludf.DUMMYFUNCTION("""COMPUTED_VALUE"""),1.0)</f>
        <v>1</v>
      </c>
      <c r="C408" s="11">
        <f>IFERROR(__xludf.DUMMYFUNCTION("""COMPUTED_VALUE"""),555.0)</f>
        <v>555</v>
      </c>
      <c r="D408" s="11">
        <f>IFERROR(__xludf.DUMMYFUNCTION("""COMPUTED_VALUE"""),549.0)</f>
        <v>549</v>
      </c>
      <c r="E408" s="9"/>
    </row>
    <row r="409">
      <c r="A409" s="10">
        <f>IFERROR(__xludf.DUMMYFUNCTION("""COMPUTED_VALUE"""),129340.0)</f>
        <v>129340</v>
      </c>
      <c r="B409" s="11">
        <f>IFERROR(__xludf.DUMMYFUNCTION("""COMPUTED_VALUE"""),1.0)</f>
        <v>1</v>
      </c>
      <c r="C409" s="11">
        <f>IFERROR(__xludf.DUMMYFUNCTION("""COMPUTED_VALUE"""),649.0)</f>
        <v>649</v>
      </c>
      <c r="D409" s="11">
        <f>IFERROR(__xludf.DUMMYFUNCTION("""COMPUTED_VALUE"""),407.0)</f>
        <v>407</v>
      </c>
      <c r="E409" s="9"/>
    </row>
    <row r="410">
      <c r="A410" s="10">
        <f>IFERROR(__xludf.DUMMYFUNCTION("""COMPUTED_VALUE"""),103609.0)</f>
        <v>103609</v>
      </c>
      <c r="B410" s="11">
        <f>IFERROR(__xludf.DUMMYFUNCTION("""COMPUTED_VALUE"""),0.0)</f>
        <v>0</v>
      </c>
      <c r="C410" s="11">
        <f>IFERROR(__xludf.DUMMYFUNCTION("""COMPUTED_VALUE"""),180.0)</f>
        <v>180</v>
      </c>
      <c r="D410" s="11">
        <f>IFERROR(__xludf.DUMMYFUNCTION("""COMPUTED_VALUE"""),115.0)</f>
        <v>115</v>
      </c>
      <c r="E410" s="9"/>
    </row>
    <row r="411">
      <c r="A411" s="10">
        <f>IFERROR(__xludf.DUMMYFUNCTION("""COMPUTED_VALUE"""),122499.0)</f>
        <v>122499</v>
      </c>
      <c r="B411" s="11">
        <f>IFERROR(__xludf.DUMMYFUNCTION("""COMPUTED_VALUE"""),0.0)</f>
        <v>0</v>
      </c>
      <c r="C411" s="11">
        <f>IFERROR(__xludf.DUMMYFUNCTION("""COMPUTED_VALUE"""),456.0)</f>
        <v>456</v>
      </c>
      <c r="D411" s="11">
        <f>IFERROR(__xludf.DUMMYFUNCTION("""COMPUTED_VALUE"""),259.0)</f>
        <v>259</v>
      </c>
      <c r="E411" s="9"/>
    </row>
    <row r="412">
      <c r="A412" s="10">
        <f>IFERROR(__xludf.DUMMYFUNCTION("""COMPUTED_VALUE"""),117311.0)</f>
        <v>117311</v>
      </c>
      <c r="B412" s="11">
        <f>IFERROR(__xludf.DUMMYFUNCTION("""COMPUTED_VALUE"""),1.0)</f>
        <v>1</v>
      </c>
      <c r="C412" s="11">
        <f>IFERROR(__xludf.DUMMYFUNCTION("""COMPUTED_VALUE"""),888.0)</f>
        <v>888</v>
      </c>
      <c r="D412" s="11">
        <f>IFERROR(__xludf.DUMMYFUNCTION("""COMPUTED_VALUE"""),544.0)</f>
        <v>544</v>
      </c>
      <c r="E412" s="9"/>
    </row>
    <row r="413">
      <c r="A413" s="10">
        <f>IFERROR(__xludf.DUMMYFUNCTION("""COMPUTED_VALUE"""),116670.0)</f>
        <v>116670</v>
      </c>
      <c r="B413" s="11">
        <f>IFERROR(__xludf.DUMMYFUNCTION("""COMPUTED_VALUE"""),1.0)</f>
        <v>1</v>
      </c>
      <c r="C413" s="11">
        <f>IFERROR(__xludf.DUMMYFUNCTION("""COMPUTED_VALUE"""),134.0)</f>
        <v>134</v>
      </c>
      <c r="D413" s="11">
        <f>IFERROR(__xludf.DUMMYFUNCTION("""COMPUTED_VALUE"""),106.0)</f>
        <v>106</v>
      </c>
      <c r="E413" s="9"/>
    </row>
    <row r="414">
      <c r="A414" s="10">
        <f>IFERROR(__xludf.DUMMYFUNCTION("""COMPUTED_VALUE"""),2204.0)</f>
        <v>2204</v>
      </c>
      <c r="B414" s="11">
        <f>IFERROR(__xludf.DUMMYFUNCTION("""COMPUTED_VALUE"""),1.0)</f>
        <v>1</v>
      </c>
      <c r="C414" s="11">
        <f>IFERROR(__xludf.DUMMYFUNCTION("""COMPUTED_VALUE"""),425.0)</f>
        <v>425</v>
      </c>
      <c r="D414" s="11">
        <f>IFERROR(__xludf.DUMMYFUNCTION("""COMPUTED_VALUE"""),244.0)</f>
        <v>244</v>
      </c>
      <c r="E414" s="9"/>
    </row>
    <row r="415">
      <c r="A415" s="10">
        <f>IFERROR(__xludf.DUMMYFUNCTION("""COMPUTED_VALUE"""),104128.0)</f>
        <v>104128</v>
      </c>
      <c r="B415" s="11">
        <f>IFERROR(__xludf.DUMMYFUNCTION("""COMPUTED_VALUE"""),1.0)</f>
        <v>1</v>
      </c>
      <c r="C415" s="11">
        <f>IFERROR(__xludf.DUMMYFUNCTION("""COMPUTED_VALUE"""),833.0)</f>
        <v>833</v>
      </c>
      <c r="D415" s="11">
        <f>IFERROR(__xludf.DUMMYFUNCTION("""COMPUTED_VALUE"""),722.0)</f>
        <v>722</v>
      </c>
      <c r="E415" s="9"/>
    </row>
    <row r="416">
      <c r="A416" s="10">
        <f>IFERROR(__xludf.DUMMYFUNCTION("""COMPUTED_VALUE"""),103600.0)</f>
        <v>103600</v>
      </c>
      <c r="B416" s="11">
        <f>IFERROR(__xludf.DUMMYFUNCTION("""COMPUTED_VALUE"""),1.0)</f>
        <v>1</v>
      </c>
      <c r="C416" s="11">
        <f>IFERROR(__xludf.DUMMYFUNCTION("""COMPUTED_VALUE"""),681.0)</f>
        <v>681</v>
      </c>
      <c r="D416" s="11">
        <f>IFERROR(__xludf.DUMMYFUNCTION("""COMPUTED_VALUE"""),108.0)</f>
        <v>108</v>
      </c>
      <c r="E416" s="9"/>
    </row>
    <row r="417">
      <c r="A417" s="10">
        <f>IFERROR(__xludf.DUMMYFUNCTION("""COMPUTED_VALUE"""),108802.0)</f>
        <v>108802</v>
      </c>
      <c r="B417" s="11">
        <f>IFERROR(__xludf.DUMMYFUNCTION("""COMPUTED_VALUE"""),1.0)</f>
        <v>1</v>
      </c>
      <c r="C417" s="11">
        <f>IFERROR(__xludf.DUMMYFUNCTION("""COMPUTED_VALUE"""),88.0)</f>
        <v>88</v>
      </c>
      <c r="D417" s="11">
        <f>IFERROR(__xludf.DUMMYFUNCTION("""COMPUTED_VALUE"""),21.0)</f>
        <v>21</v>
      </c>
      <c r="E417" s="9"/>
    </row>
    <row r="418">
      <c r="A418" s="10">
        <f>IFERROR(__xludf.DUMMYFUNCTION("""COMPUTED_VALUE"""),201034.0)</f>
        <v>201034</v>
      </c>
      <c r="B418" s="11">
        <f>IFERROR(__xludf.DUMMYFUNCTION("""COMPUTED_VALUE"""),1.0)</f>
        <v>1</v>
      </c>
      <c r="C418" s="11">
        <f>IFERROR(__xludf.DUMMYFUNCTION("""COMPUTED_VALUE"""),127.0)</f>
        <v>127</v>
      </c>
      <c r="D418" s="11">
        <f>IFERROR(__xludf.DUMMYFUNCTION("""COMPUTED_VALUE"""),105.0)</f>
        <v>105</v>
      </c>
      <c r="E418" s="9"/>
    </row>
    <row r="419">
      <c r="A419" s="10">
        <f>IFERROR(__xludf.DUMMYFUNCTION("""COMPUTED_VALUE"""),6522.0)</f>
        <v>6522</v>
      </c>
      <c r="B419" s="11">
        <f>IFERROR(__xludf.DUMMYFUNCTION("""COMPUTED_VALUE"""),0.0)</f>
        <v>0</v>
      </c>
      <c r="C419" s="11">
        <f>IFERROR(__xludf.DUMMYFUNCTION("""COMPUTED_VALUE"""),73.0)</f>
        <v>73</v>
      </c>
      <c r="D419" s="11">
        <f>IFERROR(__xludf.DUMMYFUNCTION("""COMPUTED_VALUE"""),13.0)</f>
        <v>13</v>
      </c>
      <c r="E419" s="9"/>
    </row>
    <row r="420">
      <c r="A420" s="10">
        <f>IFERROR(__xludf.DUMMYFUNCTION("""COMPUTED_VALUE"""),77644.0)</f>
        <v>77644</v>
      </c>
      <c r="B420" s="11">
        <f>IFERROR(__xludf.DUMMYFUNCTION("""COMPUTED_VALUE"""),0.0)</f>
        <v>0</v>
      </c>
      <c r="C420" s="11">
        <f>IFERROR(__xludf.DUMMYFUNCTION("""COMPUTED_VALUE"""),745.0)</f>
        <v>745</v>
      </c>
      <c r="D420" s="11">
        <f>IFERROR(__xludf.DUMMYFUNCTION("""COMPUTED_VALUE"""),187.0)</f>
        <v>187</v>
      </c>
      <c r="E420" s="9"/>
    </row>
    <row r="421">
      <c r="A421" s="10">
        <f>IFERROR(__xludf.DUMMYFUNCTION("""COMPUTED_VALUE"""),3225.0)</f>
        <v>3225</v>
      </c>
      <c r="B421" s="11">
        <f>IFERROR(__xludf.DUMMYFUNCTION("""COMPUTED_VALUE"""),1.0)</f>
        <v>1</v>
      </c>
      <c r="C421" s="11">
        <f>IFERROR(__xludf.DUMMYFUNCTION("""COMPUTED_VALUE"""),585.0)</f>
        <v>585</v>
      </c>
      <c r="D421" s="11">
        <f>IFERROR(__xludf.DUMMYFUNCTION("""COMPUTED_VALUE"""),286.0)</f>
        <v>286</v>
      </c>
      <c r="E421" s="9"/>
    </row>
    <row r="422">
      <c r="A422" s="10">
        <f>IFERROR(__xludf.DUMMYFUNCTION("""COMPUTED_VALUE"""),158447.0)</f>
        <v>158447</v>
      </c>
      <c r="B422" s="11">
        <f>IFERROR(__xludf.DUMMYFUNCTION("""COMPUTED_VALUE"""),0.0)</f>
        <v>0</v>
      </c>
      <c r="C422" s="11">
        <f>IFERROR(__xludf.DUMMYFUNCTION("""COMPUTED_VALUE"""),176.0)</f>
        <v>176</v>
      </c>
      <c r="D422" s="11">
        <f>IFERROR(__xludf.DUMMYFUNCTION("""COMPUTED_VALUE"""),40.0)</f>
        <v>40</v>
      </c>
      <c r="E422" s="9"/>
    </row>
    <row r="423">
      <c r="A423" s="10">
        <f>IFERROR(__xludf.DUMMYFUNCTION("""COMPUTED_VALUE"""),9737.0)</f>
        <v>9737</v>
      </c>
      <c r="B423" s="11">
        <f>IFERROR(__xludf.DUMMYFUNCTION("""COMPUTED_VALUE"""),0.0)</f>
        <v>0</v>
      </c>
      <c r="C423" s="11">
        <f>IFERROR(__xludf.DUMMYFUNCTION("""COMPUTED_VALUE"""),852.0)</f>
        <v>852</v>
      </c>
      <c r="D423" s="11">
        <f>IFERROR(__xludf.DUMMYFUNCTION("""COMPUTED_VALUE"""),722.0)</f>
        <v>722</v>
      </c>
      <c r="E423" s="9"/>
    </row>
    <row r="424">
      <c r="A424" s="10">
        <f>IFERROR(__xludf.DUMMYFUNCTION("""COMPUTED_VALUE"""),73260.0)</f>
        <v>73260</v>
      </c>
      <c r="B424" s="11">
        <f>IFERROR(__xludf.DUMMYFUNCTION("""COMPUTED_VALUE"""),1.0)</f>
        <v>1</v>
      </c>
      <c r="C424" s="11">
        <f>IFERROR(__xludf.DUMMYFUNCTION("""COMPUTED_VALUE"""),278.0)</f>
        <v>278</v>
      </c>
      <c r="D424" s="11">
        <f>IFERROR(__xludf.DUMMYFUNCTION("""COMPUTED_VALUE"""),161.0)</f>
        <v>161</v>
      </c>
      <c r="E424" s="9"/>
    </row>
    <row r="425">
      <c r="A425" s="10">
        <f>IFERROR(__xludf.DUMMYFUNCTION("""COMPUTED_VALUE"""),158467.0)</f>
        <v>158467</v>
      </c>
      <c r="B425" s="11">
        <f>IFERROR(__xludf.DUMMYFUNCTION("""COMPUTED_VALUE"""),1.0)</f>
        <v>1</v>
      </c>
      <c r="C425" s="11">
        <f>IFERROR(__xludf.DUMMYFUNCTION("""COMPUTED_VALUE"""),412.0)</f>
        <v>412</v>
      </c>
      <c r="D425" s="11">
        <f>IFERROR(__xludf.DUMMYFUNCTION("""COMPUTED_VALUE"""),230.0)</f>
        <v>230</v>
      </c>
      <c r="E425" s="9"/>
    </row>
    <row r="426">
      <c r="A426" s="10">
        <f>IFERROR(__xludf.DUMMYFUNCTION("""COMPUTED_VALUE"""),117319.0)</f>
        <v>117319</v>
      </c>
      <c r="B426" s="11">
        <f>IFERROR(__xludf.DUMMYFUNCTION("""COMPUTED_VALUE"""),0.0)</f>
        <v>0</v>
      </c>
      <c r="C426" s="11">
        <f>IFERROR(__xludf.DUMMYFUNCTION("""COMPUTED_VALUE"""),576.0)</f>
        <v>576</v>
      </c>
      <c r="D426" s="11">
        <f>IFERROR(__xludf.DUMMYFUNCTION("""COMPUTED_VALUE"""),485.0)</f>
        <v>485</v>
      </c>
      <c r="E426" s="9"/>
    </row>
    <row r="427">
      <c r="A427" s="10">
        <f>IFERROR(__xludf.DUMMYFUNCTION("""COMPUTED_VALUE"""),108893.0)</f>
        <v>108893</v>
      </c>
      <c r="B427" s="11">
        <f>IFERROR(__xludf.DUMMYFUNCTION("""COMPUTED_VALUE"""),1.0)</f>
        <v>1</v>
      </c>
      <c r="C427" s="11">
        <f>IFERROR(__xludf.DUMMYFUNCTION("""COMPUTED_VALUE"""),183.0)</f>
        <v>183</v>
      </c>
      <c r="D427" s="11">
        <f>IFERROR(__xludf.DUMMYFUNCTION("""COMPUTED_VALUE"""),125.0)</f>
        <v>125</v>
      </c>
      <c r="E427" s="9"/>
    </row>
    <row r="428">
      <c r="A428" s="10">
        <f>IFERROR(__xludf.DUMMYFUNCTION("""COMPUTED_VALUE"""),111734.0)</f>
        <v>111734</v>
      </c>
      <c r="B428" s="11">
        <f>IFERROR(__xludf.DUMMYFUNCTION("""COMPUTED_VALUE"""),0.0)</f>
        <v>0</v>
      </c>
      <c r="C428" s="11">
        <f>IFERROR(__xludf.DUMMYFUNCTION("""COMPUTED_VALUE"""),520.0)</f>
        <v>520</v>
      </c>
      <c r="D428" s="11">
        <f>IFERROR(__xludf.DUMMYFUNCTION("""COMPUTED_VALUE"""),60.0)</f>
        <v>60</v>
      </c>
      <c r="E428" s="9"/>
    </row>
    <row r="429">
      <c r="A429" s="10">
        <f>IFERROR(__xludf.DUMMYFUNCTION("""COMPUTED_VALUE"""),96066.0)</f>
        <v>96066</v>
      </c>
      <c r="B429" s="11">
        <f>IFERROR(__xludf.DUMMYFUNCTION("""COMPUTED_VALUE"""),1.0)</f>
        <v>1</v>
      </c>
      <c r="C429" s="11">
        <f>IFERROR(__xludf.DUMMYFUNCTION("""COMPUTED_VALUE"""),257.0)</f>
        <v>257</v>
      </c>
      <c r="D429" s="11">
        <f>IFERROR(__xludf.DUMMYFUNCTION("""COMPUTED_VALUE"""),167.0)</f>
        <v>167</v>
      </c>
      <c r="E429" s="9"/>
    </row>
    <row r="430">
      <c r="A430" s="10">
        <f>IFERROR(__xludf.DUMMYFUNCTION("""COMPUTED_VALUE"""),3222.0)</f>
        <v>3222</v>
      </c>
      <c r="B430" s="11">
        <f>IFERROR(__xludf.DUMMYFUNCTION("""COMPUTED_VALUE"""),0.0)</f>
        <v>0</v>
      </c>
      <c r="C430" s="11">
        <f>IFERROR(__xludf.DUMMYFUNCTION("""COMPUTED_VALUE"""),617.0)</f>
        <v>617</v>
      </c>
      <c r="D430" s="11">
        <f>IFERROR(__xludf.DUMMYFUNCTION("""COMPUTED_VALUE"""),171.0)</f>
        <v>171</v>
      </c>
      <c r="E430" s="9"/>
    </row>
    <row r="431">
      <c r="A431" s="10">
        <f>IFERROR(__xludf.DUMMYFUNCTION("""COMPUTED_VALUE"""),117312.0)</f>
        <v>117312</v>
      </c>
      <c r="B431" s="11">
        <f>IFERROR(__xludf.DUMMYFUNCTION("""COMPUTED_VALUE"""),0.0)</f>
        <v>0</v>
      </c>
      <c r="C431" s="11">
        <f>IFERROR(__xludf.DUMMYFUNCTION("""COMPUTED_VALUE"""),126.0)</f>
        <v>126</v>
      </c>
      <c r="D431" s="11">
        <f>IFERROR(__xludf.DUMMYFUNCTION("""COMPUTED_VALUE"""),71.0)</f>
        <v>71</v>
      </c>
      <c r="E431" s="9"/>
    </row>
    <row r="432">
      <c r="A432" s="10">
        <f>IFERROR(__xludf.DUMMYFUNCTION("""COMPUTED_VALUE"""),104791.0)</f>
        <v>104791</v>
      </c>
      <c r="B432" s="11">
        <f>IFERROR(__xludf.DUMMYFUNCTION("""COMPUTED_VALUE"""),0.0)</f>
        <v>0</v>
      </c>
      <c r="C432" s="11">
        <f>IFERROR(__xludf.DUMMYFUNCTION("""COMPUTED_VALUE"""),146.0)</f>
        <v>146</v>
      </c>
      <c r="D432" s="11">
        <f>IFERROR(__xludf.DUMMYFUNCTION("""COMPUTED_VALUE"""),89.0)</f>
        <v>89</v>
      </c>
      <c r="E432" s="9"/>
    </row>
    <row r="433">
      <c r="A433" s="10">
        <f>IFERROR(__xludf.DUMMYFUNCTION("""COMPUTED_VALUE"""),10051.0)</f>
        <v>10051</v>
      </c>
      <c r="B433" s="11">
        <f>IFERROR(__xludf.DUMMYFUNCTION("""COMPUTED_VALUE"""),0.0)</f>
        <v>0</v>
      </c>
      <c r="C433" s="11">
        <f>IFERROR(__xludf.DUMMYFUNCTION("""COMPUTED_VALUE"""),482.0)</f>
        <v>482</v>
      </c>
      <c r="D433" s="11">
        <f>IFERROR(__xludf.DUMMYFUNCTION("""COMPUTED_VALUE"""),325.0)</f>
        <v>325</v>
      </c>
      <c r="E433" s="9"/>
    </row>
    <row r="434">
      <c r="A434" s="10">
        <f>IFERROR(__xludf.DUMMYFUNCTION("""COMPUTED_VALUE"""),29318.0)</f>
        <v>29318</v>
      </c>
      <c r="B434" s="11">
        <f>IFERROR(__xludf.DUMMYFUNCTION("""COMPUTED_VALUE"""),1.0)</f>
        <v>1</v>
      </c>
      <c r="C434" s="11">
        <f>IFERROR(__xludf.DUMMYFUNCTION("""COMPUTED_VALUE"""),44.0)</f>
        <v>44</v>
      </c>
      <c r="D434" s="11">
        <f>IFERROR(__xludf.DUMMYFUNCTION("""COMPUTED_VALUE"""),4.0)</f>
        <v>4</v>
      </c>
      <c r="E434" s="9"/>
    </row>
    <row r="435">
      <c r="A435" s="10">
        <f>IFERROR(__xludf.DUMMYFUNCTION("""COMPUTED_VALUE"""),116885.0)</f>
        <v>116885</v>
      </c>
      <c r="B435" s="11">
        <f>IFERROR(__xludf.DUMMYFUNCTION("""COMPUTED_VALUE"""),1.0)</f>
        <v>1</v>
      </c>
      <c r="C435" s="11">
        <f>IFERROR(__xludf.DUMMYFUNCTION("""COMPUTED_VALUE"""),877.0)</f>
        <v>877</v>
      </c>
      <c r="D435" s="11">
        <f>IFERROR(__xludf.DUMMYFUNCTION("""COMPUTED_VALUE"""),285.0)</f>
        <v>285</v>
      </c>
      <c r="E435" s="9"/>
    </row>
    <row r="436">
      <c r="A436" s="10">
        <f>IFERROR(__xludf.DUMMYFUNCTION("""COMPUTED_VALUE"""),121614.0)</f>
        <v>121614</v>
      </c>
      <c r="B436" s="11">
        <f>IFERROR(__xludf.DUMMYFUNCTION("""COMPUTED_VALUE"""),0.0)</f>
        <v>0</v>
      </c>
      <c r="C436" s="11">
        <f>IFERROR(__xludf.DUMMYFUNCTION("""COMPUTED_VALUE"""),922.0)</f>
        <v>922</v>
      </c>
      <c r="D436" s="11">
        <f>IFERROR(__xludf.DUMMYFUNCTION("""COMPUTED_VALUE"""),239.0)</f>
        <v>239</v>
      </c>
      <c r="E436" s="9"/>
    </row>
    <row r="437">
      <c r="A437" s="10">
        <f>IFERROR(__xludf.DUMMYFUNCTION("""COMPUTED_VALUE"""),10048.0)</f>
        <v>10048</v>
      </c>
      <c r="B437" s="11">
        <f>IFERROR(__xludf.DUMMYFUNCTION("""COMPUTED_VALUE"""),0.0)</f>
        <v>0</v>
      </c>
      <c r="C437" s="11">
        <f>IFERROR(__xludf.DUMMYFUNCTION("""COMPUTED_VALUE"""),352.0)</f>
        <v>352</v>
      </c>
      <c r="D437" s="11">
        <f>IFERROR(__xludf.DUMMYFUNCTION("""COMPUTED_VALUE"""),69.0)</f>
        <v>69</v>
      </c>
      <c r="E437" s="9"/>
    </row>
    <row r="438">
      <c r="A438" s="10">
        <f>IFERROR(__xludf.DUMMYFUNCTION("""COMPUTED_VALUE"""),109534.0)</f>
        <v>109534</v>
      </c>
      <c r="B438" s="11">
        <f>IFERROR(__xludf.DUMMYFUNCTION("""COMPUTED_VALUE"""),0.0)</f>
        <v>0</v>
      </c>
      <c r="C438" s="11">
        <f>IFERROR(__xludf.DUMMYFUNCTION("""COMPUTED_VALUE"""),445.0)</f>
        <v>445</v>
      </c>
      <c r="D438" s="11">
        <f>IFERROR(__xludf.DUMMYFUNCTION("""COMPUTED_VALUE"""),332.0)</f>
        <v>332</v>
      </c>
      <c r="E438" s="9"/>
    </row>
    <row r="439">
      <c r="A439" s="10">
        <f>IFERROR(__xludf.DUMMYFUNCTION("""COMPUTED_VALUE"""),111802.0)</f>
        <v>111802</v>
      </c>
      <c r="B439" s="11">
        <f>IFERROR(__xludf.DUMMYFUNCTION("""COMPUTED_VALUE"""),0.0)</f>
        <v>0</v>
      </c>
      <c r="C439" s="11">
        <f>IFERROR(__xludf.DUMMYFUNCTION("""COMPUTED_VALUE"""),128.0)</f>
        <v>128</v>
      </c>
      <c r="D439" s="11">
        <f>IFERROR(__xludf.DUMMYFUNCTION("""COMPUTED_VALUE"""),89.0)</f>
        <v>89</v>
      </c>
      <c r="E439" s="9"/>
    </row>
    <row r="440">
      <c r="A440" s="10">
        <f>IFERROR(__xludf.DUMMYFUNCTION("""COMPUTED_VALUE"""),108801.0)</f>
        <v>108801</v>
      </c>
      <c r="B440" s="11">
        <f>IFERROR(__xludf.DUMMYFUNCTION("""COMPUTED_VALUE"""),0.0)</f>
        <v>0</v>
      </c>
      <c r="C440" s="11">
        <f>IFERROR(__xludf.DUMMYFUNCTION("""COMPUTED_VALUE"""),11.0)</f>
        <v>11</v>
      </c>
      <c r="D440" s="11">
        <f>IFERROR(__xludf.DUMMYFUNCTION("""COMPUTED_VALUE"""),4.0)</f>
        <v>4</v>
      </c>
      <c r="E440" s="9"/>
    </row>
    <row r="441">
      <c r="A441" s="10">
        <f>IFERROR(__xludf.DUMMYFUNCTION("""COMPUTED_VALUE"""),9735.0)</f>
        <v>9735</v>
      </c>
      <c r="B441" s="11">
        <f>IFERROR(__xludf.DUMMYFUNCTION("""COMPUTED_VALUE"""),0.0)</f>
        <v>0</v>
      </c>
      <c r="C441" s="11">
        <f>IFERROR(__xludf.DUMMYFUNCTION("""COMPUTED_VALUE"""),823.0)</f>
        <v>823</v>
      </c>
      <c r="D441" s="11">
        <f>IFERROR(__xludf.DUMMYFUNCTION("""COMPUTED_VALUE"""),417.0)</f>
        <v>417</v>
      </c>
      <c r="E441" s="9"/>
    </row>
    <row r="442">
      <c r="A442" s="10">
        <f>IFERROR(__xludf.DUMMYFUNCTION("""COMPUTED_VALUE"""),109531.0)</f>
        <v>109531</v>
      </c>
      <c r="B442" s="11">
        <f>IFERROR(__xludf.DUMMYFUNCTION("""COMPUTED_VALUE"""),1.0)</f>
        <v>1</v>
      </c>
      <c r="C442" s="11">
        <f>IFERROR(__xludf.DUMMYFUNCTION("""COMPUTED_VALUE"""),669.0)</f>
        <v>669</v>
      </c>
      <c r="D442" s="11">
        <f>IFERROR(__xludf.DUMMYFUNCTION("""COMPUTED_VALUE"""),658.0)</f>
        <v>658</v>
      </c>
      <c r="E442" s="9"/>
    </row>
    <row r="443">
      <c r="A443" s="10">
        <f>IFERROR(__xludf.DUMMYFUNCTION("""COMPUTED_VALUE"""),44533.0)</f>
        <v>44533</v>
      </c>
      <c r="B443" s="11">
        <f>IFERROR(__xludf.DUMMYFUNCTION("""COMPUTED_VALUE"""),1.0)</f>
        <v>1</v>
      </c>
      <c r="C443" s="11">
        <f>IFERROR(__xludf.DUMMYFUNCTION("""COMPUTED_VALUE"""),676.0)</f>
        <v>676</v>
      </c>
      <c r="D443" s="11">
        <f>IFERROR(__xludf.DUMMYFUNCTION("""COMPUTED_VALUE"""),548.0)</f>
        <v>548</v>
      </c>
      <c r="E443" s="9"/>
    </row>
    <row r="444">
      <c r="A444" s="10">
        <f>IFERROR(__xludf.DUMMYFUNCTION("""COMPUTED_VALUE"""),158465.0)</f>
        <v>158465</v>
      </c>
      <c r="B444" s="11">
        <f>IFERROR(__xludf.DUMMYFUNCTION("""COMPUTED_VALUE"""),1.0)</f>
        <v>1</v>
      </c>
      <c r="C444" s="11">
        <f>IFERROR(__xludf.DUMMYFUNCTION("""COMPUTED_VALUE"""),467.0)</f>
        <v>467</v>
      </c>
      <c r="D444" s="11">
        <f>IFERROR(__xludf.DUMMYFUNCTION("""COMPUTED_VALUE"""),441.0)</f>
        <v>441</v>
      </c>
      <c r="E444" s="9"/>
    </row>
    <row r="445">
      <c r="A445" s="10">
        <f>IFERROR(__xludf.DUMMYFUNCTION("""COMPUTED_VALUE"""),79107.0)</f>
        <v>79107</v>
      </c>
      <c r="B445" s="11">
        <f>IFERROR(__xludf.DUMMYFUNCTION("""COMPUTED_VALUE"""),0.0)</f>
        <v>0</v>
      </c>
      <c r="C445" s="11">
        <f>IFERROR(__xludf.DUMMYFUNCTION("""COMPUTED_VALUE"""),728.0)</f>
        <v>728</v>
      </c>
      <c r="D445" s="11">
        <f>IFERROR(__xludf.DUMMYFUNCTION("""COMPUTED_VALUE"""),418.0)</f>
        <v>418</v>
      </c>
      <c r="E445" s="9"/>
    </row>
    <row r="446">
      <c r="A446" s="10">
        <f>IFERROR(__xludf.DUMMYFUNCTION("""COMPUTED_VALUE"""),78631.0)</f>
        <v>78631</v>
      </c>
      <c r="B446" s="11">
        <f>IFERROR(__xludf.DUMMYFUNCTION("""COMPUTED_VALUE"""),1.0)</f>
        <v>1</v>
      </c>
      <c r="C446" s="11">
        <f>IFERROR(__xludf.DUMMYFUNCTION("""COMPUTED_VALUE"""),857.0)</f>
        <v>857</v>
      </c>
      <c r="D446" s="11">
        <f>IFERROR(__xludf.DUMMYFUNCTION("""COMPUTED_VALUE"""),460.0)</f>
        <v>460</v>
      </c>
      <c r="E446" s="9"/>
    </row>
    <row r="447">
      <c r="A447" s="10">
        <f>IFERROR(__xludf.DUMMYFUNCTION("""COMPUTED_VALUE"""),120469.0)</f>
        <v>120469</v>
      </c>
      <c r="B447" s="11">
        <f>IFERROR(__xludf.DUMMYFUNCTION("""COMPUTED_VALUE"""),1.0)</f>
        <v>1</v>
      </c>
      <c r="C447" s="11">
        <f>IFERROR(__xludf.DUMMYFUNCTION("""COMPUTED_VALUE"""),415.0)</f>
        <v>415</v>
      </c>
      <c r="D447" s="11">
        <f>IFERROR(__xludf.DUMMYFUNCTION("""COMPUTED_VALUE"""),25.0)</f>
        <v>25</v>
      </c>
      <c r="E447" s="9"/>
    </row>
    <row r="448">
      <c r="A448" s="10">
        <f>IFERROR(__xludf.DUMMYFUNCTION("""COMPUTED_VALUE"""),6523.0)</f>
        <v>6523</v>
      </c>
      <c r="B448" s="11">
        <f>IFERROR(__xludf.DUMMYFUNCTION("""COMPUTED_VALUE"""),0.0)</f>
        <v>0</v>
      </c>
      <c r="C448" s="11">
        <f>IFERROR(__xludf.DUMMYFUNCTION("""COMPUTED_VALUE"""),154.0)</f>
        <v>154</v>
      </c>
      <c r="D448" s="11">
        <f>IFERROR(__xludf.DUMMYFUNCTION("""COMPUTED_VALUE"""),42.0)</f>
        <v>42</v>
      </c>
      <c r="E448" s="9"/>
    </row>
    <row r="449">
      <c r="A449" s="10">
        <f>IFERROR(__xludf.DUMMYFUNCTION("""COMPUTED_VALUE"""),41819.0)</f>
        <v>41819</v>
      </c>
      <c r="B449" s="11">
        <f>IFERROR(__xludf.DUMMYFUNCTION("""COMPUTED_VALUE"""),1.0)</f>
        <v>1</v>
      </c>
      <c r="C449" s="11">
        <f>IFERROR(__xludf.DUMMYFUNCTION("""COMPUTED_VALUE"""),680.0)</f>
        <v>680</v>
      </c>
      <c r="D449" s="11">
        <f>IFERROR(__xludf.DUMMYFUNCTION("""COMPUTED_VALUE"""),79.0)</f>
        <v>79</v>
      </c>
      <c r="E449" s="9"/>
    </row>
    <row r="450">
      <c r="A450" s="10">
        <f>IFERROR(__xludf.DUMMYFUNCTION("""COMPUTED_VALUE"""),108889.0)</f>
        <v>108889</v>
      </c>
      <c r="B450" s="11">
        <f>IFERROR(__xludf.DUMMYFUNCTION("""COMPUTED_VALUE"""),1.0)</f>
        <v>1</v>
      </c>
      <c r="C450" s="11">
        <f>IFERROR(__xludf.DUMMYFUNCTION("""COMPUTED_VALUE"""),38.0)</f>
        <v>38</v>
      </c>
      <c r="D450" s="11">
        <f>IFERROR(__xludf.DUMMYFUNCTION("""COMPUTED_VALUE"""),10.0)</f>
        <v>10</v>
      </c>
      <c r="E450" s="9"/>
    </row>
    <row r="451">
      <c r="A451" s="10">
        <f>IFERROR(__xludf.DUMMYFUNCTION("""COMPUTED_VALUE"""),92564.0)</f>
        <v>92564</v>
      </c>
      <c r="B451" s="11">
        <f>IFERROR(__xludf.DUMMYFUNCTION("""COMPUTED_VALUE"""),0.0)</f>
        <v>0</v>
      </c>
      <c r="C451" s="11">
        <f>IFERROR(__xludf.DUMMYFUNCTION("""COMPUTED_VALUE"""),166.0)</f>
        <v>166</v>
      </c>
      <c r="D451" s="11">
        <f>IFERROR(__xludf.DUMMYFUNCTION("""COMPUTED_VALUE"""),31.0)</f>
        <v>31</v>
      </c>
      <c r="E451" s="9"/>
    </row>
    <row r="452">
      <c r="A452" s="10">
        <f>IFERROR(__xludf.DUMMYFUNCTION("""COMPUTED_VALUE"""),158456.0)</f>
        <v>158456</v>
      </c>
      <c r="B452" s="11">
        <f>IFERROR(__xludf.DUMMYFUNCTION("""COMPUTED_VALUE"""),0.0)</f>
        <v>0</v>
      </c>
      <c r="C452" s="11">
        <f>IFERROR(__xludf.DUMMYFUNCTION("""COMPUTED_VALUE"""),321.0)</f>
        <v>321</v>
      </c>
      <c r="D452" s="11">
        <f>IFERROR(__xludf.DUMMYFUNCTION("""COMPUTED_VALUE"""),236.0)</f>
        <v>236</v>
      </c>
      <c r="E452" s="9"/>
    </row>
    <row r="453">
      <c r="A453" s="10">
        <f>IFERROR(__xludf.DUMMYFUNCTION("""COMPUTED_VALUE"""),111735.0)</f>
        <v>111735</v>
      </c>
      <c r="B453" s="11">
        <f>IFERROR(__xludf.DUMMYFUNCTION("""COMPUTED_VALUE"""),1.0)</f>
        <v>1</v>
      </c>
      <c r="C453" s="11">
        <f>IFERROR(__xludf.DUMMYFUNCTION("""COMPUTED_VALUE"""),851.0)</f>
        <v>851</v>
      </c>
      <c r="D453" s="11">
        <f>IFERROR(__xludf.DUMMYFUNCTION("""COMPUTED_VALUE"""),207.0)</f>
        <v>207</v>
      </c>
      <c r="E453" s="9"/>
    </row>
    <row r="454">
      <c r="A454" s="10">
        <f>IFERROR(__xludf.DUMMYFUNCTION("""COMPUTED_VALUE"""),109537.0)</f>
        <v>109537</v>
      </c>
      <c r="B454" s="11">
        <f>IFERROR(__xludf.DUMMYFUNCTION("""COMPUTED_VALUE"""),0.0)</f>
        <v>0</v>
      </c>
      <c r="C454" s="11">
        <f>IFERROR(__xludf.DUMMYFUNCTION("""COMPUTED_VALUE"""),161.0)</f>
        <v>161</v>
      </c>
      <c r="D454" s="11">
        <f>IFERROR(__xludf.DUMMYFUNCTION("""COMPUTED_VALUE"""),142.0)</f>
        <v>142</v>
      </c>
      <c r="E454" s="9"/>
    </row>
    <row r="455">
      <c r="A455" s="10">
        <f>IFERROR(__xludf.DUMMYFUNCTION("""COMPUTED_VALUE"""),109381.0)</f>
        <v>109381</v>
      </c>
      <c r="B455" s="11">
        <f>IFERROR(__xludf.DUMMYFUNCTION("""COMPUTED_VALUE"""),0.0)</f>
        <v>0</v>
      </c>
      <c r="C455" s="11">
        <f>IFERROR(__xludf.DUMMYFUNCTION("""COMPUTED_VALUE"""),429.0)</f>
        <v>429</v>
      </c>
      <c r="D455" s="11">
        <f>IFERROR(__xludf.DUMMYFUNCTION("""COMPUTED_VALUE"""),18.0)</f>
        <v>18</v>
      </c>
      <c r="E455" s="9"/>
    </row>
    <row r="456">
      <c r="A456" s="10">
        <f>IFERROR(__xludf.DUMMYFUNCTION("""COMPUTED_VALUE"""),120944.0)</f>
        <v>120944</v>
      </c>
      <c r="B456" s="11">
        <f>IFERROR(__xludf.DUMMYFUNCTION("""COMPUTED_VALUE"""),0.0)</f>
        <v>0</v>
      </c>
      <c r="C456" s="11">
        <f>IFERROR(__xludf.DUMMYFUNCTION("""COMPUTED_VALUE"""),127.0)</f>
        <v>127</v>
      </c>
      <c r="D456" s="11">
        <f>IFERROR(__xludf.DUMMYFUNCTION("""COMPUTED_VALUE"""),92.0)</f>
        <v>92</v>
      </c>
      <c r="E456" s="9"/>
    </row>
    <row r="457">
      <c r="A457" s="10">
        <f>IFERROR(__xludf.DUMMYFUNCTION("""COMPUTED_VALUE"""),29320.0)</f>
        <v>29320</v>
      </c>
      <c r="B457" s="11">
        <f>IFERROR(__xludf.DUMMYFUNCTION("""COMPUTED_VALUE"""),1.0)</f>
        <v>1</v>
      </c>
      <c r="C457" s="11">
        <f>IFERROR(__xludf.DUMMYFUNCTION("""COMPUTED_VALUE"""),155.0)</f>
        <v>155</v>
      </c>
      <c r="D457" s="11">
        <f>IFERROR(__xludf.DUMMYFUNCTION("""COMPUTED_VALUE"""),2.0)</f>
        <v>2</v>
      </c>
      <c r="E457" s="9"/>
    </row>
    <row r="458">
      <c r="A458" s="10">
        <f>IFERROR(__xludf.DUMMYFUNCTION("""COMPUTED_VALUE"""),118222.0)</f>
        <v>118222</v>
      </c>
      <c r="B458" s="11">
        <f>IFERROR(__xludf.DUMMYFUNCTION("""COMPUTED_VALUE"""),1.0)</f>
        <v>1</v>
      </c>
      <c r="C458" s="11">
        <f>IFERROR(__xludf.DUMMYFUNCTION("""COMPUTED_VALUE"""),155.0)</f>
        <v>155</v>
      </c>
      <c r="D458" s="11">
        <f>IFERROR(__xludf.DUMMYFUNCTION("""COMPUTED_VALUE"""),7.0)</f>
        <v>7</v>
      </c>
      <c r="E458" s="9"/>
    </row>
    <row r="459">
      <c r="A459" s="10">
        <f>IFERROR(__xludf.DUMMYFUNCTION("""COMPUTED_VALUE"""),108897.0)</f>
        <v>108897</v>
      </c>
      <c r="B459" s="11">
        <f>IFERROR(__xludf.DUMMYFUNCTION("""COMPUTED_VALUE"""),1.0)</f>
        <v>1</v>
      </c>
      <c r="C459" s="11">
        <f>IFERROR(__xludf.DUMMYFUNCTION("""COMPUTED_VALUE"""),682.0)</f>
        <v>682</v>
      </c>
      <c r="D459" s="11">
        <f>IFERROR(__xludf.DUMMYFUNCTION("""COMPUTED_VALUE"""),650.0)</f>
        <v>650</v>
      </c>
      <c r="E459" s="9"/>
    </row>
    <row r="460">
      <c r="A460" s="10">
        <f>IFERROR(__xludf.DUMMYFUNCTION("""COMPUTED_VALUE"""),101565.0)</f>
        <v>101565</v>
      </c>
      <c r="B460" s="11">
        <f>IFERROR(__xludf.DUMMYFUNCTION("""COMPUTED_VALUE"""),1.0)</f>
        <v>1</v>
      </c>
      <c r="C460" s="11">
        <f>IFERROR(__xludf.DUMMYFUNCTION("""COMPUTED_VALUE"""),199.0)</f>
        <v>199</v>
      </c>
      <c r="D460" s="11">
        <f>IFERROR(__xludf.DUMMYFUNCTION("""COMPUTED_VALUE"""),107.0)</f>
        <v>107</v>
      </c>
      <c r="E460" s="9"/>
    </row>
    <row r="461">
      <c r="A461" s="10">
        <f>IFERROR(__xludf.DUMMYFUNCTION("""COMPUTED_VALUE"""),29319.0)</f>
        <v>29319</v>
      </c>
      <c r="B461" s="11">
        <f>IFERROR(__xludf.DUMMYFUNCTION("""COMPUTED_VALUE"""),1.0)</f>
        <v>1</v>
      </c>
      <c r="C461" s="11">
        <f>IFERROR(__xludf.DUMMYFUNCTION("""COMPUTED_VALUE"""),550.0)</f>
        <v>550</v>
      </c>
      <c r="D461" s="11">
        <f>IFERROR(__xludf.DUMMYFUNCTION("""COMPUTED_VALUE"""),424.0)</f>
        <v>424</v>
      </c>
      <c r="E461" s="9"/>
    </row>
    <row r="462">
      <c r="A462" s="10">
        <f>IFERROR(__xludf.DUMMYFUNCTION("""COMPUTED_VALUE"""),96444.0)</f>
        <v>96444</v>
      </c>
      <c r="B462" s="11">
        <f>IFERROR(__xludf.DUMMYFUNCTION("""COMPUTED_VALUE"""),0.0)</f>
        <v>0</v>
      </c>
      <c r="C462" s="11">
        <f>IFERROR(__xludf.DUMMYFUNCTION("""COMPUTED_VALUE"""),625.0)</f>
        <v>625</v>
      </c>
      <c r="D462" s="11">
        <f>IFERROR(__xludf.DUMMYFUNCTION("""COMPUTED_VALUE"""),432.0)</f>
        <v>432</v>
      </c>
      <c r="E462" s="9"/>
    </row>
    <row r="463">
      <c r="A463" s="10">
        <f>IFERROR(__xludf.DUMMYFUNCTION("""COMPUTED_VALUE"""),101557.0)</f>
        <v>101557</v>
      </c>
      <c r="B463" s="11">
        <f>IFERROR(__xludf.DUMMYFUNCTION("""COMPUTED_VALUE"""),1.0)</f>
        <v>1</v>
      </c>
      <c r="C463" s="11">
        <f>IFERROR(__xludf.DUMMYFUNCTION("""COMPUTED_VALUE"""),302.0)</f>
        <v>302</v>
      </c>
      <c r="D463" s="11">
        <f>IFERROR(__xludf.DUMMYFUNCTION("""COMPUTED_VALUE"""),116.0)</f>
        <v>116</v>
      </c>
      <c r="E463" s="9"/>
    </row>
    <row r="464">
      <c r="A464" s="10">
        <f>IFERROR(__xludf.DUMMYFUNCTION("""COMPUTED_VALUE"""),103610.0)</f>
        <v>103610</v>
      </c>
      <c r="B464" s="11">
        <f>IFERROR(__xludf.DUMMYFUNCTION("""COMPUTED_VALUE"""),1.0)</f>
        <v>1</v>
      </c>
      <c r="C464" s="11">
        <f>IFERROR(__xludf.DUMMYFUNCTION("""COMPUTED_VALUE"""),945.0)</f>
        <v>945</v>
      </c>
      <c r="D464" s="11">
        <f>IFERROR(__xludf.DUMMYFUNCTION("""COMPUTED_VALUE"""),775.0)</f>
        <v>775</v>
      </c>
      <c r="E464" s="9"/>
    </row>
    <row r="465">
      <c r="A465" s="10">
        <f>IFERROR(__xludf.DUMMYFUNCTION("""COMPUTED_VALUE"""),181195.0)</f>
        <v>181195</v>
      </c>
      <c r="B465" s="11">
        <f>IFERROR(__xludf.DUMMYFUNCTION("""COMPUTED_VALUE"""),1.0)</f>
        <v>1</v>
      </c>
      <c r="C465" s="11">
        <f>IFERROR(__xludf.DUMMYFUNCTION("""COMPUTED_VALUE"""),117.0)</f>
        <v>117</v>
      </c>
      <c r="D465" s="11">
        <f>IFERROR(__xludf.DUMMYFUNCTION("""COMPUTED_VALUE"""),38.0)</f>
        <v>38</v>
      </c>
      <c r="E465" s="9"/>
    </row>
    <row r="466">
      <c r="A466" s="10">
        <f>IFERROR(__xludf.DUMMYFUNCTION("""COMPUTED_VALUE"""),12639.0)</f>
        <v>12639</v>
      </c>
      <c r="B466" s="11">
        <f>IFERROR(__xludf.DUMMYFUNCTION("""COMPUTED_VALUE"""),1.0)</f>
        <v>1</v>
      </c>
      <c r="C466" s="11">
        <f>IFERROR(__xludf.DUMMYFUNCTION("""COMPUTED_VALUE"""),33.0)</f>
        <v>33</v>
      </c>
      <c r="D466" s="11">
        <f>IFERROR(__xludf.DUMMYFUNCTION("""COMPUTED_VALUE"""),10.0)</f>
        <v>10</v>
      </c>
      <c r="E466" s="9"/>
    </row>
    <row r="467">
      <c r="A467" s="10">
        <f>IFERROR(__xludf.DUMMYFUNCTION("""COMPUTED_VALUE"""),158464.0)</f>
        <v>158464</v>
      </c>
      <c r="B467" s="11">
        <f>IFERROR(__xludf.DUMMYFUNCTION("""COMPUTED_VALUE"""),0.0)</f>
        <v>0</v>
      </c>
      <c r="C467" s="11">
        <f>IFERROR(__xludf.DUMMYFUNCTION("""COMPUTED_VALUE"""),359.0)</f>
        <v>359</v>
      </c>
      <c r="D467" s="11">
        <f>IFERROR(__xludf.DUMMYFUNCTION("""COMPUTED_VALUE"""),171.0)</f>
        <v>171</v>
      </c>
      <c r="E467" s="9"/>
    </row>
    <row r="468">
      <c r="A468" s="10">
        <f>IFERROR(__xludf.DUMMYFUNCTION("""COMPUTED_VALUE"""),116525.0)</f>
        <v>116525</v>
      </c>
      <c r="B468" s="11">
        <f>IFERROR(__xludf.DUMMYFUNCTION("""COMPUTED_VALUE"""),1.0)</f>
        <v>1</v>
      </c>
      <c r="C468" s="11">
        <f>IFERROR(__xludf.DUMMYFUNCTION("""COMPUTED_VALUE"""),175.0)</f>
        <v>175</v>
      </c>
      <c r="D468" s="11">
        <f>IFERROR(__xludf.DUMMYFUNCTION("""COMPUTED_VALUE"""),139.0)</f>
        <v>139</v>
      </c>
      <c r="E468" s="9"/>
    </row>
    <row r="469">
      <c r="A469" s="10">
        <f>IFERROR(__xludf.DUMMYFUNCTION("""COMPUTED_VALUE"""),116295.0)</f>
        <v>116295</v>
      </c>
      <c r="B469" s="11">
        <f>IFERROR(__xludf.DUMMYFUNCTION("""COMPUTED_VALUE"""),0.0)</f>
        <v>0</v>
      </c>
      <c r="C469" s="11">
        <f>IFERROR(__xludf.DUMMYFUNCTION("""COMPUTED_VALUE"""),750.0)</f>
        <v>750</v>
      </c>
      <c r="D469" s="11">
        <f>IFERROR(__xludf.DUMMYFUNCTION("""COMPUTED_VALUE"""),649.0)</f>
        <v>649</v>
      </c>
      <c r="E469" s="9"/>
    </row>
    <row r="470">
      <c r="A470" s="10">
        <f>IFERROR(__xludf.DUMMYFUNCTION("""COMPUTED_VALUE"""),116297.0)</f>
        <v>116297</v>
      </c>
      <c r="B470" s="11">
        <f>IFERROR(__xludf.DUMMYFUNCTION("""COMPUTED_VALUE"""),1.0)</f>
        <v>1</v>
      </c>
      <c r="C470" s="11">
        <f>IFERROR(__xludf.DUMMYFUNCTION("""COMPUTED_VALUE"""),568.0)</f>
        <v>568</v>
      </c>
      <c r="D470" s="11">
        <f>IFERROR(__xludf.DUMMYFUNCTION("""COMPUTED_VALUE"""),462.0)</f>
        <v>462</v>
      </c>
      <c r="E470" s="9"/>
    </row>
    <row r="471">
      <c r="A471" s="10">
        <f>IFERROR(__xludf.DUMMYFUNCTION("""COMPUTED_VALUE"""),11421.0)</f>
        <v>11421</v>
      </c>
      <c r="B471" s="11">
        <f>IFERROR(__xludf.DUMMYFUNCTION("""COMPUTED_VALUE"""),1.0)</f>
        <v>1</v>
      </c>
      <c r="C471" s="11">
        <f>IFERROR(__xludf.DUMMYFUNCTION("""COMPUTED_VALUE"""),635.0)</f>
        <v>635</v>
      </c>
      <c r="D471" s="11">
        <f>IFERROR(__xludf.DUMMYFUNCTION("""COMPUTED_VALUE"""),55.0)</f>
        <v>55</v>
      </c>
      <c r="E471" s="9"/>
    </row>
    <row r="472">
      <c r="A472" s="10">
        <f>IFERROR(__xludf.DUMMYFUNCTION("""COMPUTED_VALUE"""),101549.0)</f>
        <v>101549</v>
      </c>
      <c r="B472" s="11">
        <f>IFERROR(__xludf.DUMMYFUNCTION("""COMPUTED_VALUE"""),0.0)</f>
        <v>0</v>
      </c>
      <c r="C472" s="11">
        <f>IFERROR(__xludf.DUMMYFUNCTION("""COMPUTED_VALUE"""),718.0)</f>
        <v>718</v>
      </c>
      <c r="D472" s="11">
        <f>IFERROR(__xludf.DUMMYFUNCTION("""COMPUTED_VALUE"""),393.0)</f>
        <v>393</v>
      </c>
      <c r="E472" s="9"/>
    </row>
    <row r="473">
      <c r="A473" s="10">
        <f>IFERROR(__xludf.DUMMYFUNCTION("""COMPUTED_VALUE"""),109543.0)</f>
        <v>109543</v>
      </c>
      <c r="B473" s="11">
        <f>IFERROR(__xludf.DUMMYFUNCTION("""COMPUTED_VALUE"""),1.0)</f>
        <v>1</v>
      </c>
      <c r="C473" s="11">
        <f>IFERROR(__xludf.DUMMYFUNCTION("""COMPUTED_VALUE"""),666.0)</f>
        <v>666</v>
      </c>
      <c r="D473" s="11">
        <f>IFERROR(__xludf.DUMMYFUNCTION("""COMPUTED_VALUE"""),620.0)</f>
        <v>620</v>
      </c>
      <c r="E473" s="9"/>
    </row>
    <row r="474">
      <c r="A474" s="10">
        <f>IFERROR(__xludf.DUMMYFUNCTION("""COMPUTED_VALUE"""),79318.0)</f>
        <v>79318</v>
      </c>
      <c r="B474" s="11">
        <f>IFERROR(__xludf.DUMMYFUNCTION("""COMPUTED_VALUE"""),1.0)</f>
        <v>1</v>
      </c>
      <c r="C474" s="11">
        <f>IFERROR(__xludf.DUMMYFUNCTION("""COMPUTED_VALUE"""),446.0)</f>
        <v>446</v>
      </c>
      <c r="D474" s="11">
        <f>IFERROR(__xludf.DUMMYFUNCTION("""COMPUTED_VALUE"""),413.0)</f>
        <v>413</v>
      </c>
      <c r="E474" s="9"/>
    </row>
    <row r="475">
      <c r="A475" s="10">
        <f>IFERROR(__xludf.DUMMYFUNCTION("""COMPUTED_VALUE"""),2203.0)</f>
        <v>2203</v>
      </c>
      <c r="B475" s="11">
        <f>IFERROR(__xludf.DUMMYFUNCTION("""COMPUTED_VALUE"""),1.0)</f>
        <v>1</v>
      </c>
      <c r="C475" s="11">
        <f>IFERROR(__xludf.DUMMYFUNCTION("""COMPUTED_VALUE"""),887.0)</f>
        <v>887</v>
      </c>
      <c r="D475" s="11">
        <f>IFERROR(__xludf.DUMMYFUNCTION("""COMPUTED_VALUE"""),119.0)</f>
        <v>119</v>
      </c>
      <c r="E475" s="9"/>
    </row>
    <row r="476">
      <c r="A476" s="10">
        <f>IFERROR(__xludf.DUMMYFUNCTION("""COMPUTED_VALUE"""),111727.0)</f>
        <v>111727</v>
      </c>
      <c r="B476" s="11">
        <f>IFERROR(__xludf.DUMMYFUNCTION("""COMPUTED_VALUE"""),0.0)</f>
        <v>0</v>
      </c>
      <c r="C476" s="11">
        <f>IFERROR(__xludf.DUMMYFUNCTION("""COMPUTED_VALUE"""),930.0)</f>
        <v>930</v>
      </c>
      <c r="D476" s="11">
        <f>IFERROR(__xludf.DUMMYFUNCTION("""COMPUTED_VALUE"""),238.0)</f>
        <v>238</v>
      </c>
      <c r="E476" s="9"/>
    </row>
    <row r="477">
      <c r="A477" s="10">
        <f>IFERROR(__xludf.DUMMYFUNCTION("""COMPUTED_VALUE"""),118151.0)</f>
        <v>118151</v>
      </c>
      <c r="B477" s="11">
        <f>IFERROR(__xludf.DUMMYFUNCTION("""COMPUTED_VALUE"""),0.0)</f>
        <v>0</v>
      </c>
      <c r="C477" s="11">
        <f>IFERROR(__xludf.DUMMYFUNCTION("""COMPUTED_VALUE"""),664.0)</f>
        <v>664</v>
      </c>
      <c r="D477" s="11">
        <f>IFERROR(__xludf.DUMMYFUNCTION("""COMPUTED_VALUE"""),85.0)</f>
        <v>85</v>
      </c>
      <c r="E477" s="9"/>
    </row>
    <row r="478">
      <c r="A478" s="10">
        <f>IFERROR(__xludf.DUMMYFUNCTION("""COMPUTED_VALUE"""),108888.0)</f>
        <v>108888</v>
      </c>
      <c r="B478" s="11">
        <f>IFERROR(__xludf.DUMMYFUNCTION("""COMPUTED_VALUE"""),0.0)</f>
        <v>0</v>
      </c>
      <c r="C478" s="11">
        <f>IFERROR(__xludf.DUMMYFUNCTION("""COMPUTED_VALUE"""),816.0)</f>
        <v>816</v>
      </c>
      <c r="D478" s="11">
        <f>IFERROR(__xludf.DUMMYFUNCTION("""COMPUTED_VALUE"""),299.0)</f>
        <v>299</v>
      </c>
      <c r="E478" s="9"/>
    </row>
    <row r="479">
      <c r="A479" s="10">
        <f>IFERROR(__xludf.DUMMYFUNCTION("""COMPUTED_VALUE"""),120465.0)</f>
        <v>120465</v>
      </c>
      <c r="B479" s="11">
        <f>IFERROR(__xludf.DUMMYFUNCTION("""COMPUTED_VALUE"""),0.0)</f>
        <v>0</v>
      </c>
      <c r="C479" s="11">
        <f>IFERROR(__xludf.DUMMYFUNCTION("""COMPUTED_VALUE"""),514.0)</f>
        <v>514</v>
      </c>
      <c r="D479" s="11">
        <f>IFERROR(__xludf.DUMMYFUNCTION("""COMPUTED_VALUE"""),229.0)</f>
        <v>229</v>
      </c>
      <c r="E479" s="9"/>
    </row>
    <row r="480">
      <c r="A480" s="10">
        <f>IFERROR(__xludf.DUMMYFUNCTION("""COMPUTED_VALUE"""),92561.0)</f>
        <v>92561</v>
      </c>
      <c r="B480" s="11">
        <f>IFERROR(__xludf.DUMMYFUNCTION("""COMPUTED_VALUE"""),1.0)</f>
        <v>1</v>
      </c>
      <c r="C480" s="11">
        <f>IFERROR(__xludf.DUMMYFUNCTION("""COMPUTED_VALUE"""),423.0)</f>
        <v>423</v>
      </c>
      <c r="D480" s="11">
        <f>IFERROR(__xludf.DUMMYFUNCTION("""COMPUTED_VALUE"""),44.0)</f>
        <v>44</v>
      </c>
      <c r="E480" s="9"/>
    </row>
    <row r="481">
      <c r="A481" s="10">
        <f>IFERROR(__xludf.DUMMYFUNCTION("""COMPUTED_VALUE"""),150294.0)</f>
        <v>150294</v>
      </c>
      <c r="B481" s="11">
        <f>IFERROR(__xludf.DUMMYFUNCTION("""COMPUTED_VALUE"""),1.0)</f>
        <v>1</v>
      </c>
      <c r="C481" s="11">
        <f>IFERROR(__xludf.DUMMYFUNCTION("""COMPUTED_VALUE"""),169.0)</f>
        <v>169</v>
      </c>
      <c r="D481" s="11">
        <f>IFERROR(__xludf.DUMMYFUNCTION("""COMPUTED_VALUE"""),133.0)</f>
        <v>133</v>
      </c>
      <c r="E481" s="9"/>
    </row>
    <row r="482">
      <c r="A482" s="10">
        <f>IFERROR(__xludf.DUMMYFUNCTION("""COMPUTED_VALUE"""),108895.0)</f>
        <v>108895</v>
      </c>
      <c r="B482" s="11">
        <f>IFERROR(__xludf.DUMMYFUNCTION("""COMPUTED_VALUE"""),0.0)</f>
        <v>0</v>
      </c>
      <c r="C482" s="11">
        <f>IFERROR(__xludf.DUMMYFUNCTION("""COMPUTED_VALUE"""),548.0)</f>
        <v>548</v>
      </c>
      <c r="D482" s="11">
        <f>IFERROR(__xludf.DUMMYFUNCTION("""COMPUTED_VALUE"""),373.0)</f>
        <v>373</v>
      </c>
      <c r="E482" s="9"/>
    </row>
    <row r="483">
      <c r="A483" s="10">
        <f>IFERROR(__xludf.DUMMYFUNCTION("""COMPUTED_VALUE"""),41666.0)</f>
        <v>41666</v>
      </c>
      <c r="B483" s="11">
        <f>IFERROR(__xludf.DUMMYFUNCTION("""COMPUTED_VALUE"""),0.0)</f>
        <v>0</v>
      </c>
      <c r="C483" s="11">
        <f>IFERROR(__xludf.DUMMYFUNCTION("""COMPUTED_VALUE"""),344.0)</f>
        <v>344</v>
      </c>
      <c r="D483" s="11">
        <f>IFERROR(__xludf.DUMMYFUNCTION("""COMPUTED_VALUE"""),273.0)</f>
        <v>273</v>
      </c>
      <c r="E483" s="9"/>
    </row>
    <row r="484">
      <c r="A484" s="10">
        <f>IFERROR(__xludf.DUMMYFUNCTION("""COMPUTED_VALUE"""),41816.0)</f>
        <v>41816</v>
      </c>
      <c r="B484" s="11">
        <f>IFERROR(__xludf.DUMMYFUNCTION("""COMPUTED_VALUE"""),1.0)</f>
        <v>1</v>
      </c>
      <c r="C484" s="11">
        <f>IFERROR(__xludf.DUMMYFUNCTION("""COMPUTED_VALUE"""),154.0)</f>
        <v>154</v>
      </c>
      <c r="D484" s="11">
        <f>IFERROR(__xludf.DUMMYFUNCTION("""COMPUTED_VALUE"""),151.0)</f>
        <v>151</v>
      </c>
      <c r="E484" s="9"/>
    </row>
    <row r="485">
      <c r="A485" s="10">
        <f>IFERROR(__xludf.DUMMYFUNCTION("""COMPUTED_VALUE"""),99779.0)</f>
        <v>99779</v>
      </c>
      <c r="B485" s="11">
        <f>IFERROR(__xludf.DUMMYFUNCTION("""COMPUTED_VALUE"""),1.0)</f>
        <v>1</v>
      </c>
      <c r="C485" s="11">
        <f>IFERROR(__xludf.DUMMYFUNCTION("""COMPUTED_VALUE"""),952.0)</f>
        <v>952</v>
      </c>
      <c r="D485" s="11">
        <f>IFERROR(__xludf.DUMMYFUNCTION("""COMPUTED_VALUE"""),438.0)</f>
        <v>438</v>
      </c>
      <c r="E485" s="9"/>
    </row>
    <row r="486">
      <c r="A486" s="10">
        <f>IFERROR(__xludf.DUMMYFUNCTION("""COMPUTED_VALUE"""),111716.0)</f>
        <v>111716</v>
      </c>
      <c r="B486" s="11">
        <f>IFERROR(__xludf.DUMMYFUNCTION("""COMPUTED_VALUE"""),0.0)</f>
        <v>0</v>
      </c>
      <c r="C486" s="11">
        <f>IFERROR(__xludf.DUMMYFUNCTION("""COMPUTED_VALUE"""),954.0)</f>
        <v>954</v>
      </c>
      <c r="D486" s="11">
        <f>IFERROR(__xludf.DUMMYFUNCTION("""COMPUTED_VALUE"""),706.0)</f>
        <v>706</v>
      </c>
      <c r="E486" s="9"/>
    </row>
    <row r="487">
      <c r="A487" s="10">
        <f>IFERROR(__xludf.DUMMYFUNCTION("""COMPUTED_VALUE"""),96443.0)</f>
        <v>96443</v>
      </c>
      <c r="B487" s="11">
        <f>IFERROR(__xludf.DUMMYFUNCTION("""COMPUTED_VALUE"""),1.0)</f>
        <v>1</v>
      </c>
      <c r="C487" s="11">
        <f>IFERROR(__xludf.DUMMYFUNCTION("""COMPUTED_VALUE"""),132.0)</f>
        <v>132</v>
      </c>
      <c r="D487" s="11">
        <f>IFERROR(__xludf.DUMMYFUNCTION("""COMPUTED_VALUE"""),62.0)</f>
        <v>62</v>
      </c>
      <c r="E487" s="9"/>
    </row>
    <row r="488">
      <c r="A488" s="10">
        <f>IFERROR(__xludf.DUMMYFUNCTION("""COMPUTED_VALUE"""),193187.0)</f>
        <v>193187</v>
      </c>
      <c r="B488" s="11">
        <f>IFERROR(__xludf.DUMMYFUNCTION("""COMPUTED_VALUE"""),1.0)</f>
        <v>1</v>
      </c>
      <c r="C488" s="11">
        <f>IFERROR(__xludf.DUMMYFUNCTION("""COMPUTED_VALUE"""),457.0)</f>
        <v>457</v>
      </c>
      <c r="D488" s="11">
        <f>IFERROR(__xludf.DUMMYFUNCTION("""COMPUTED_VALUE"""),371.0)</f>
        <v>371</v>
      </c>
      <c r="E488" s="9"/>
    </row>
    <row r="489">
      <c r="A489" s="10">
        <f>IFERROR(__xludf.DUMMYFUNCTION("""COMPUTED_VALUE"""),96068.0)</f>
        <v>96068</v>
      </c>
      <c r="B489" s="11">
        <f>IFERROR(__xludf.DUMMYFUNCTION("""COMPUTED_VALUE"""),0.0)</f>
        <v>0</v>
      </c>
      <c r="C489" s="11">
        <f>IFERROR(__xludf.DUMMYFUNCTION("""COMPUTED_VALUE"""),63.0)</f>
        <v>63</v>
      </c>
      <c r="D489" s="11">
        <f>IFERROR(__xludf.DUMMYFUNCTION("""COMPUTED_VALUE"""),12.0)</f>
        <v>12</v>
      </c>
      <c r="E489" s="9"/>
    </row>
    <row r="490">
      <c r="A490" s="10">
        <f>IFERROR(__xludf.DUMMYFUNCTION("""COMPUTED_VALUE"""),3227.0)</f>
        <v>3227</v>
      </c>
      <c r="B490" s="11">
        <f>IFERROR(__xludf.DUMMYFUNCTION("""COMPUTED_VALUE"""),1.0)</f>
        <v>1</v>
      </c>
      <c r="C490" s="11">
        <f>IFERROR(__xludf.DUMMYFUNCTION("""COMPUTED_VALUE"""),688.0)</f>
        <v>688</v>
      </c>
      <c r="D490" s="11">
        <f>IFERROR(__xludf.DUMMYFUNCTION("""COMPUTED_VALUE"""),602.0)</f>
        <v>602</v>
      </c>
      <c r="E490" s="9"/>
    </row>
    <row r="491">
      <c r="A491" s="10">
        <f>IFERROR(__xludf.DUMMYFUNCTION("""COMPUTED_VALUE"""),193183.0)</f>
        <v>193183</v>
      </c>
      <c r="B491" s="11">
        <f>IFERROR(__xludf.DUMMYFUNCTION("""COMPUTED_VALUE"""),0.0)</f>
        <v>0</v>
      </c>
      <c r="C491" s="11">
        <f>IFERROR(__xludf.DUMMYFUNCTION("""COMPUTED_VALUE"""),628.0)</f>
        <v>628</v>
      </c>
      <c r="D491" s="11">
        <f>IFERROR(__xludf.DUMMYFUNCTION("""COMPUTED_VALUE"""),359.0)</f>
        <v>359</v>
      </c>
      <c r="E491" s="9"/>
    </row>
    <row r="492">
      <c r="A492" s="10">
        <f>IFERROR(__xludf.DUMMYFUNCTION("""COMPUTED_VALUE"""),120945.0)</f>
        <v>120945</v>
      </c>
      <c r="B492" s="11">
        <f>IFERROR(__xludf.DUMMYFUNCTION("""COMPUTED_VALUE"""),0.0)</f>
        <v>0</v>
      </c>
      <c r="C492" s="11">
        <f>IFERROR(__xludf.DUMMYFUNCTION("""COMPUTED_VALUE"""),660.0)</f>
        <v>660</v>
      </c>
      <c r="D492" s="11">
        <f>IFERROR(__xludf.DUMMYFUNCTION("""COMPUTED_VALUE"""),342.0)</f>
        <v>342</v>
      </c>
      <c r="E492" s="9"/>
    </row>
    <row r="493">
      <c r="A493" s="10">
        <f>IFERROR(__xludf.DUMMYFUNCTION("""COMPUTED_VALUE"""),110940.0)</f>
        <v>110940</v>
      </c>
      <c r="B493" s="11">
        <f>IFERROR(__xludf.DUMMYFUNCTION("""COMPUTED_VALUE"""),0.0)</f>
        <v>0</v>
      </c>
      <c r="C493" s="11">
        <f>IFERROR(__xludf.DUMMYFUNCTION("""COMPUTED_VALUE"""),9.0)</f>
        <v>9</v>
      </c>
      <c r="D493" s="11">
        <f>IFERROR(__xludf.DUMMYFUNCTION("""COMPUTED_VALUE"""),3.0)</f>
        <v>3</v>
      </c>
      <c r="E493" s="9"/>
    </row>
    <row r="494">
      <c r="A494" s="10">
        <f>IFERROR(__xludf.DUMMYFUNCTION("""COMPUTED_VALUE"""),110942.0)</f>
        <v>110942</v>
      </c>
      <c r="B494" s="11">
        <f>IFERROR(__xludf.DUMMYFUNCTION("""COMPUTED_VALUE"""),0.0)</f>
        <v>0</v>
      </c>
      <c r="C494" s="11">
        <f>IFERROR(__xludf.DUMMYFUNCTION("""COMPUTED_VALUE"""),316.0)</f>
        <v>316</v>
      </c>
      <c r="D494" s="11">
        <f>IFERROR(__xludf.DUMMYFUNCTION("""COMPUTED_VALUE"""),283.0)</f>
        <v>283</v>
      </c>
      <c r="E494" s="9"/>
    </row>
    <row r="495">
      <c r="A495" s="10">
        <f>IFERROR(__xludf.DUMMYFUNCTION("""COMPUTED_VALUE"""),142301.0)</f>
        <v>142301</v>
      </c>
      <c r="B495" s="11">
        <f>IFERROR(__xludf.DUMMYFUNCTION("""COMPUTED_VALUE"""),1.0)</f>
        <v>1</v>
      </c>
      <c r="C495" s="11">
        <f>IFERROR(__xludf.DUMMYFUNCTION("""COMPUTED_VALUE"""),874.0)</f>
        <v>874</v>
      </c>
      <c r="D495" s="11">
        <f>IFERROR(__xludf.DUMMYFUNCTION("""COMPUTED_VALUE"""),200.0)</f>
        <v>200</v>
      </c>
      <c r="E495" s="9"/>
    </row>
    <row r="496">
      <c r="A496" s="10">
        <f>IFERROR(__xludf.DUMMYFUNCTION("""COMPUTED_VALUE"""),109760.0)</f>
        <v>109760</v>
      </c>
      <c r="B496" s="11">
        <f>IFERROR(__xludf.DUMMYFUNCTION("""COMPUTED_VALUE"""),0.0)</f>
        <v>0</v>
      </c>
      <c r="C496" s="11">
        <f>IFERROR(__xludf.DUMMYFUNCTION("""COMPUTED_VALUE"""),253.0)</f>
        <v>253</v>
      </c>
      <c r="D496" s="11">
        <f>IFERROR(__xludf.DUMMYFUNCTION("""COMPUTED_VALUE"""),28.0)</f>
        <v>28</v>
      </c>
      <c r="E496" s="9"/>
    </row>
    <row r="497">
      <c r="A497" s="10">
        <f>IFERROR(__xludf.DUMMYFUNCTION("""COMPUTED_VALUE"""),100392.0)</f>
        <v>100392</v>
      </c>
      <c r="B497" s="11">
        <f>IFERROR(__xludf.DUMMYFUNCTION("""COMPUTED_VALUE"""),0.0)</f>
        <v>0</v>
      </c>
      <c r="C497" s="11">
        <f>IFERROR(__xludf.DUMMYFUNCTION("""COMPUTED_VALUE"""),280.0)</f>
        <v>280</v>
      </c>
      <c r="D497" s="11">
        <f>IFERROR(__xludf.DUMMYFUNCTION("""COMPUTED_VALUE"""),202.0)</f>
        <v>202</v>
      </c>
      <c r="E497" s="9"/>
    </row>
    <row r="498">
      <c r="A498" s="10">
        <f>IFERROR(__xludf.DUMMYFUNCTION("""COMPUTED_VALUE"""),109763.0)</f>
        <v>109763</v>
      </c>
      <c r="B498" s="11">
        <f>IFERROR(__xludf.DUMMYFUNCTION("""COMPUTED_VALUE"""),1.0)</f>
        <v>1</v>
      </c>
      <c r="C498" s="11">
        <f>IFERROR(__xludf.DUMMYFUNCTION("""COMPUTED_VALUE"""),448.0)</f>
        <v>448</v>
      </c>
      <c r="D498" s="11">
        <f>IFERROR(__xludf.DUMMYFUNCTION("""COMPUTED_VALUE"""),193.0)</f>
        <v>193</v>
      </c>
      <c r="E498" s="9"/>
    </row>
    <row r="499">
      <c r="A499" s="10">
        <f>IFERROR(__xludf.DUMMYFUNCTION("""COMPUTED_VALUE"""),7271.0)</f>
        <v>7271</v>
      </c>
      <c r="B499" s="11">
        <f>IFERROR(__xludf.DUMMYFUNCTION("""COMPUTED_VALUE"""),1.0)</f>
        <v>1</v>
      </c>
      <c r="C499" s="11">
        <f>IFERROR(__xludf.DUMMYFUNCTION("""COMPUTED_VALUE"""),448.0)</f>
        <v>448</v>
      </c>
      <c r="D499" s="11">
        <f>IFERROR(__xludf.DUMMYFUNCTION("""COMPUTED_VALUE"""),435.0)</f>
        <v>435</v>
      </c>
      <c r="E499" s="9"/>
    </row>
    <row r="500">
      <c r="A500" s="10">
        <f>IFERROR(__xludf.DUMMYFUNCTION("""COMPUTED_VALUE"""),7267.0)</f>
        <v>7267</v>
      </c>
      <c r="B500" s="11">
        <f>IFERROR(__xludf.DUMMYFUNCTION("""COMPUTED_VALUE"""),1.0)</f>
        <v>1</v>
      </c>
      <c r="C500" s="11">
        <f>IFERROR(__xludf.DUMMYFUNCTION("""COMPUTED_VALUE"""),953.0)</f>
        <v>953</v>
      </c>
      <c r="D500" s="11">
        <f>IFERROR(__xludf.DUMMYFUNCTION("""COMPUTED_VALUE"""),428.0)</f>
        <v>428</v>
      </c>
      <c r="E500" s="9"/>
    </row>
    <row r="501">
      <c r="A501" s="10">
        <f>IFERROR(__xludf.DUMMYFUNCTION("""COMPUTED_VALUE"""),128412.0)</f>
        <v>128412</v>
      </c>
      <c r="B501" s="11">
        <f>IFERROR(__xludf.DUMMYFUNCTION("""COMPUTED_VALUE"""),1.0)</f>
        <v>1</v>
      </c>
      <c r="C501" s="11">
        <f>IFERROR(__xludf.DUMMYFUNCTION("""COMPUTED_VALUE"""),232.0)</f>
        <v>232</v>
      </c>
      <c r="D501" s="11">
        <f>IFERROR(__xludf.DUMMYFUNCTION("""COMPUTED_VALUE"""),61.0)</f>
        <v>61</v>
      </c>
      <c r="E501" s="9"/>
    </row>
    <row r="502">
      <c r="A502" s="10">
        <f>IFERROR(__xludf.DUMMYFUNCTION("""COMPUTED_VALUE"""),7268.0)</f>
        <v>7268</v>
      </c>
      <c r="B502" s="11">
        <f>IFERROR(__xludf.DUMMYFUNCTION("""COMPUTED_VALUE"""),1.0)</f>
        <v>1</v>
      </c>
      <c r="C502" s="11">
        <f>IFERROR(__xludf.DUMMYFUNCTION("""COMPUTED_VALUE"""),204.0)</f>
        <v>204</v>
      </c>
      <c r="D502" s="11">
        <f>IFERROR(__xludf.DUMMYFUNCTION("""COMPUTED_VALUE"""),6.0)</f>
        <v>6</v>
      </c>
      <c r="E502" s="9"/>
    </row>
    <row r="503">
      <c r="A503" s="10">
        <f>IFERROR(__xludf.DUMMYFUNCTION("""COMPUTED_VALUE"""),124701.0)</f>
        <v>124701</v>
      </c>
      <c r="B503" s="11">
        <f>IFERROR(__xludf.DUMMYFUNCTION("""COMPUTED_VALUE"""),1.0)</f>
        <v>1</v>
      </c>
      <c r="C503" s="11">
        <f>IFERROR(__xludf.DUMMYFUNCTION("""COMPUTED_VALUE"""),914.0)</f>
        <v>914</v>
      </c>
      <c r="D503" s="11">
        <f>IFERROR(__xludf.DUMMYFUNCTION("""COMPUTED_VALUE"""),839.0)</f>
        <v>839</v>
      </c>
      <c r="E503" s="9"/>
    </row>
    <row r="504">
      <c r="A504" s="10">
        <f>IFERROR(__xludf.DUMMYFUNCTION("""COMPUTED_VALUE"""),110007.0)</f>
        <v>110007</v>
      </c>
      <c r="B504" s="11">
        <f>IFERROR(__xludf.DUMMYFUNCTION("""COMPUTED_VALUE"""),1.0)</f>
        <v>1</v>
      </c>
      <c r="C504" s="11">
        <f>IFERROR(__xludf.DUMMYFUNCTION("""COMPUTED_VALUE"""),732.0)</f>
        <v>732</v>
      </c>
      <c r="D504" s="11">
        <f>IFERROR(__xludf.DUMMYFUNCTION("""COMPUTED_VALUE"""),356.0)</f>
        <v>356</v>
      </c>
      <c r="E504" s="9"/>
    </row>
    <row r="505">
      <c r="A505" s="10">
        <f>IFERROR(__xludf.DUMMYFUNCTION("""COMPUTED_VALUE"""),7266.0)</f>
        <v>7266</v>
      </c>
      <c r="B505" s="11">
        <f>IFERROR(__xludf.DUMMYFUNCTION("""COMPUTED_VALUE"""),0.0)</f>
        <v>0</v>
      </c>
      <c r="C505" s="11">
        <f>IFERROR(__xludf.DUMMYFUNCTION("""COMPUTED_VALUE"""),771.0)</f>
        <v>771</v>
      </c>
      <c r="D505" s="11">
        <f>IFERROR(__xludf.DUMMYFUNCTION("""COMPUTED_VALUE"""),621.0)</f>
        <v>621</v>
      </c>
      <c r="E505" s="9"/>
    </row>
    <row r="506">
      <c r="A506" s="10">
        <f>IFERROR(__xludf.DUMMYFUNCTION("""COMPUTED_VALUE"""),7269.0)</f>
        <v>7269</v>
      </c>
      <c r="B506" s="11">
        <f>IFERROR(__xludf.DUMMYFUNCTION("""COMPUTED_VALUE"""),1.0)</f>
        <v>1</v>
      </c>
      <c r="C506" s="11">
        <f>IFERROR(__xludf.DUMMYFUNCTION("""COMPUTED_VALUE"""),816.0)</f>
        <v>816</v>
      </c>
      <c r="D506" s="11">
        <f>IFERROR(__xludf.DUMMYFUNCTION("""COMPUTED_VALUE"""),300.0)</f>
        <v>300</v>
      </c>
      <c r="E506" s="9"/>
    </row>
    <row r="507">
      <c r="A507" s="10">
        <f>IFERROR(__xludf.DUMMYFUNCTION("""COMPUTED_VALUE"""),100393.0)</f>
        <v>100393</v>
      </c>
      <c r="B507" s="11">
        <f>IFERROR(__xludf.DUMMYFUNCTION("""COMPUTED_VALUE"""),0.0)</f>
        <v>0</v>
      </c>
      <c r="C507" s="11">
        <f>IFERROR(__xludf.DUMMYFUNCTION("""COMPUTED_VALUE"""),943.0)</f>
        <v>943</v>
      </c>
      <c r="D507" s="11">
        <f>IFERROR(__xludf.DUMMYFUNCTION("""COMPUTED_VALUE"""),774.0)</f>
        <v>774</v>
      </c>
      <c r="E507" s="9"/>
    </row>
    <row r="508">
      <c r="A508" s="10">
        <f>IFERROR(__xludf.DUMMYFUNCTION("""COMPUTED_VALUE"""),110009.0)</f>
        <v>110009</v>
      </c>
      <c r="B508" s="11">
        <f>IFERROR(__xludf.DUMMYFUNCTION("""COMPUTED_VALUE"""),1.0)</f>
        <v>1</v>
      </c>
      <c r="C508" s="11">
        <f>IFERROR(__xludf.DUMMYFUNCTION("""COMPUTED_VALUE"""),7.0)</f>
        <v>7</v>
      </c>
      <c r="D508" s="11">
        <f>IFERROR(__xludf.DUMMYFUNCTION("""COMPUTED_VALUE"""),5.0)</f>
        <v>5</v>
      </c>
      <c r="E508" s="9"/>
    </row>
    <row r="509">
      <c r="A509" s="10">
        <f>IFERROR(__xludf.DUMMYFUNCTION("""COMPUTED_VALUE"""),100394.0)</f>
        <v>100394</v>
      </c>
      <c r="B509" s="11">
        <f>IFERROR(__xludf.DUMMYFUNCTION("""COMPUTED_VALUE"""),0.0)</f>
        <v>0</v>
      </c>
      <c r="C509" s="11">
        <f>IFERROR(__xludf.DUMMYFUNCTION("""COMPUTED_VALUE"""),174.0)</f>
        <v>174</v>
      </c>
      <c r="D509" s="11">
        <f>IFERROR(__xludf.DUMMYFUNCTION("""COMPUTED_VALUE"""),111.0)</f>
        <v>111</v>
      </c>
      <c r="E509" s="9"/>
    </row>
    <row r="510">
      <c r="A510" s="10">
        <f>IFERROR(__xludf.DUMMYFUNCTION("""COMPUTED_VALUE"""),118248.0)</f>
        <v>118248</v>
      </c>
      <c r="B510" s="11">
        <f>IFERROR(__xludf.DUMMYFUNCTION("""COMPUTED_VALUE"""),0.0)</f>
        <v>0</v>
      </c>
      <c r="C510" s="11">
        <f>IFERROR(__xludf.DUMMYFUNCTION("""COMPUTED_VALUE"""),215.0)</f>
        <v>215</v>
      </c>
      <c r="D510" s="11">
        <f>IFERROR(__xludf.DUMMYFUNCTION("""COMPUTED_VALUE"""),178.0)</f>
        <v>178</v>
      </c>
      <c r="E510" s="9"/>
    </row>
    <row r="511">
      <c r="A511" s="10">
        <f>IFERROR(__xludf.DUMMYFUNCTION("""COMPUTED_VALUE"""),118467.0)</f>
        <v>118467</v>
      </c>
      <c r="B511" s="11">
        <f>IFERROR(__xludf.DUMMYFUNCTION("""COMPUTED_VALUE"""),1.0)</f>
        <v>1</v>
      </c>
      <c r="C511" s="11">
        <f>IFERROR(__xludf.DUMMYFUNCTION("""COMPUTED_VALUE"""),283.0)</f>
        <v>283</v>
      </c>
      <c r="D511" s="11">
        <f>IFERROR(__xludf.DUMMYFUNCTION("""COMPUTED_VALUE"""),162.0)</f>
        <v>162</v>
      </c>
      <c r="E511" s="9"/>
    </row>
    <row r="512">
      <c r="A512" s="10">
        <f>IFERROR(__xludf.DUMMYFUNCTION("""COMPUTED_VALUE"""),118465.0)</f>
        <v>118465</v>
      </c>
      <c r="B512" s="11">
        <f>IFERROR(__xludf.DUMMYFUNCTION("""COMPUTED_VALUE"""),0.0)</f>
        <v>0</v>
      </c>
      <c r="C512" s="11">
        <f>IFERROR(__xludf.DUMMYFUNCTION("""COMPUTED_VALUE"""),788.0)</f>
        <v>788</v>
      </c>
      <c r="D512" s="11">
        <f>IFERROR(__xludf.DUMMYFUNCTION("""COMPUTED_VALUE"""),248.0)</f>
        <v>248</v>
      </c>
      <c r="E512" s="9"/>
    </row>
    <row r="513">
      <c r="A513" s="10">
        <f>IFERROR(__xludf.DUMMYFUNCTION("""COMPUTED_VALUE"""),118450.0)</f>
        <v>118450</v>
      </c>
      <c r="B513" s="11">
        <f>IFERROR(__xludf.DUMMYFUNCTION("""COMPUTED_VALUE"""),0.0)</f>
        <v>0</v>
      </c>
      <c r="C513" s="11">
        <f>IFERROR(__xludf.DUMMYFUNCTION("""COMPUTED_VALUE"""),380.0)</f>
        <v>380</v>
      </c>
      <c r="D513" s="11">
        <f>IFERROR(__xludf.DUMMYFUNCTION("""COMPUTED_VALUE"""),229.0)</f>
        <v>229</v>
      </c>
      <c r="E513" s="9"/>
    </row>
    <row r="514">
      <c r="A514" s="10">
        <f>IFERROR(__xludf.DUMMYFUNCTION("""COMPUTED_VALUE"""),118457.0)</f>
        <v>118457</v>
      </c>
      <c r="B514" s="11">
        <f>IFERROR(__xludf.DUMMYFUNCTION("""COMPUTED_VALUE"""),1.0)</f>
        <v>1</v>
      </c>
      <c r="C514" s="11">
        <f>IFERROR(__xludf.DUMMYFUNCTION("""COMPUTED_VALUE"""),36.0)</f>
        <v>36</v>
      </c>
      <c r="D514" s="11">
        <f>IFERROR(__xludf.DUMMYFUNCTION("""COMPUTED_VALUE"""),15.0)</f>
        <v>15</v>
      </c>
      <c r="E514" s="9"/>
    </row>
    <row r="515">
      <c r="A515" s="10">
        <f>IFERROR(__xludf.DUMMYFUNCTION("""COMPUTED_VALUE"""),118463.0)</f>
        <v>118463</v>
      </c>
      <c r="B515" s="11">
        <f>IFERROR(__xludf.DUMMYFUNCTION("""COMPUTED_VALUE"""),1.0)</f>
        <v>1</v>
      </c>
      <c r="C515" s="11">
        <f>IFERROR(__xludf.DUMMYFUNCTION("""COMPUTED_VALUE"""),255.0)</f>
        <v>255</v>
      </c>
      <c r="D515" s="11">
        <f>IFERROR(__xludf.DUMMYFUNCTION("""COMPUTED_VALUE"""),167.0)</f>
        <v>167</v>
      </c>
      <c r="E515" s="9"/>
    </row>
    <row r="516">
      <c r="A516" s="10">
        <f>IFERROR(__xludf.DUMMYFUNCTION("""COMPUTED_VALUE"""),118460.0)</f>
        <v>118460</v>
      </c>
      <c r="B516" s="11">
        <f>IFERROR(__xludf.DUMMYFUNCTION("""COMPUTED_VALUE"""),0.0)</f>
        <v>0</v>
      </c>
      <c r="C516" s="11">
        <f>IFERROR(__xludf.DUMMYFUNCTION("""COMPUTED_VALUE"""),234.0)</f>
        <v>234</v>
      </c>
      <c r="D516" s="11">
        <f>IFERROR(__xludf.DUMMYFUNCTION("""COMPUTED_VALUE"""),45.0)</f>
        <v>45</v>
      </c>
      <c r="E516" s="9"/>
    </row>
    <row r="517">
      <c r="A517" s="10">
        <f>IFERROR(__xludf.DUMMYFUNCTION("""COMPUTED_VALUE"""),121035.0)</f>
        <v>121035</v>
      </c>
      <c r="B517" s="11">
        <f>IFERROR(__xludf.DUMMYFUNCTION("""COMPUTED_VALUE"""),1.0)</f>
        <v>1</v>
      </c>
      <c r="C517" s="11">
        <f>IFERROR(__xludf.DUMMYFUNCTION("""COMPUTED_VALUE"""),693.0)</f>
        <v>693</v>
      </c>
      <c r="D517" s="11">
        <f>IFERROR(__xludf.DUMMYFUNCTION("""COMPUTED_VALUE"""),49.0)</f>
        <v>49</v>
      </c>
      <c r="E517" s="9"/>
    </row>
    <row r="518">
      <c r="A518" s="10">
        <f>IFERROR(__xludf.DUMMYFUNCTION("""COMPUTED_VALUE"""),122623.0)</f>
        <v>122623</v>
      </c>
      <c r="B518" s="11">
        <f>IFERROR(__xludf.DUMMYFUNCTION("""COMPUTED_VALUE"""),0.0)</f>
        <v>0</v>
      </c>
      <c r="C518" s="11">
        <f>IFERROR(__xludf.DUMMYFUNCTION("""COMPUTED_VALUE"""),374.0)</f>
        <v>374</v>
      </c>
      <c r="D518" s="11">
        <f>IFERROR(__xludf.DUMMYFUNCTION("""COMPUTED_VALUE"""),269.0)</f>
        <v>269</v>
      </c>
      <c r="E518" s="9"/>
    </row>
    <row r="519">
      <c r="A519" s="10">
        <f>IFERROR(__xludf.DUMMYFUNCTION("""COMPUTED_VALUE"""),118469.0)</f>
        <v>118469</v>
      </c>
      <c r="B519" s="11">
        <f>IFERROR(__xludf.DUMMYFUNCTION("""COMPUTED_VALUE"""),0.0)</f>
        <v>0</v>
      </c>
      <c r="C519" s="11">
        <f>IFERROR(__xludf.DUMMYFUNCTION("""COMPUTED_VALUE"""),183.0)</f>
        <v>183</v>
      </c>
      <c r="D519" s="11">
        <f>IFERROR(__xludf.DUMMYFUNCTION("""COMPUTED_VALUE"""),150.0)</f>
        <v>150</v>
      </c>
      <c r="E519" s="9"/>
    </row>
    <row r="520">
      <c r="A520" s="10">
        <f>IFERROR(__xludf.DUMMYFUNCTION("""COMPUTED_VALUE"""),184629.0)</f>
        <v>184629</v>
      </c>
      <c r="B520" s="11">
        <f>IFERROR(__xludf.DUMMYFUNCTION("""COMPUTED_VALUE"""),1.0)</f>
        <v>1</v>
      </c>
      <c r="C520" s="11">
        <f>IFERROR(__xludf.DUMMYFUNCTION("""COMPUTED_VALUE"""),807.0)</f>
        <v>807</v>
      </c>
      <c r="D520" s="11">
        <f>IFERROR(__xludf.DUMMYFUNCTION("""COMPUTED_VALUE"""),5.0)</f>
        <v>5</v>
      </c>
      <c r="E520" s="9"/>
    </row>
    <row r="521">
      <c r="A521" s="10">
        <f>IFERROR(__xludf.DUMMYFUNCTION("""COMPUTED_VALUE"""),44469.0)</f>
        <v>44469</v>
      </c>
      <c r="B521" s="11">
        <f>IFERROR(__xludf.DUMMYFUNCTION("""COMPUTED_VALUE"""),0.0)</f>
        <v>0</v>
      </c>
      <c r="C521" s="11">
        <f>IFERROR(__xludf.DUMMYFUNCTION("""COMPUTED_VALUE"""),209.0)</f>
        <v>209</v>
      </c>
      <c r="D521" s="11">
        <f>IFERROR(__xludf.DUMMYFUNCTION("""COMPUTED_VALUE"""),81.0)</f>
        <v>81</v>
      </c>
      <c r="E521" s="9"/>
    </row>
    <row r="522">
      <c r="A522" s="10">
        <f>IFERROR(__xludf.DUMMYFUNCTION("""COMPUTED_VALUE"""),98421.0)</f>
        <v>98421</v>
      </c>
      <c r="B522" s="11">
        <f>IFERROR(__xludf.DUMMYFUNCTION("""COMPUTED_VALUE"""),1.0)</f>
        <v>1</v>
      </c>
      <c r="C522" s="11">
        <f>IFERROR(__xludf.DUMMYFUNCTION("""COMPUTED_VALUE"""),373.0)</f>
        <v>373</v>
      </c>
      <c r="D522" s="11">
        <f>IFERROR(__xludf.DUMMYFUNCTION("""COMPUTED_VALUE"""),356.0)</f>
        <v>356</v>
      </c>
      <c r="E522" s="9"/>
    </row>
    <row r="523">
      <c r="A523" s="10">
        <f>IFERROR(__xludf.DUMMYFUNCTION("""COMPUTED_VALUE"""),149512.0)</f>
        <v>149512</v>
      </c>
      <c r="B523" s="11">
        <f>IFERROR(__xludf.DUMMYFUNCTION("""COMPUTED_VALUE"""),0.0)</f>
        <v>0</v>
      </c>
      <c r="C523" s="11">
        <f>IFERROR(__xludf.DUMMYFUNCTION("""COMPUTED_VALUE"""),715.0)</f>
        <v>715</v>
      </c>
      <c r="D523" s="11">
        <f>IFERROR(__xludf.DUMMYFUNCTION("""COMPUTED_VALUE"""),297.0)</f>
        <v>297</v>
      </c>
      <c r="E523" s="9"/>
    </row>
    <row r="524">
      <c r="A524" s="10">
        <f>IFERROR(__xludf.DUMMYFUNCTION("""COMPUTED_VALUE"""),101489.0)</f>
        <v>101489</v>
      </c>
      <c r="B524" s="11">
        <f>IFERROR(__xludf.DUMMYFUNCTION("""COMPUTED_VALUE"""),0.0)</f>
        <v>0</v>
      </c>
      <c r="C524" s="11">
        <f>IFERROR(__xludf.DUMMYFUNCTION("""COMPUTED_VALUE"""),661.0)</f>
        <v>661</v>
      </c>
      <c r="D524" s="11">
        <f>IFERROR(__xludf.DUMMYFUNCTION("""COMPUTED_VALUE"""),132.0)</f>
        <v>132</v>
      </c>
      <c r="E524" s="9"/>
    </row>
    <row r="525">
      <c r="A525" s="10">
        <f>IFERROR(__xludf.DUMMYFUNCTION("""COMPUTED_VALUE"""),7263.0)</f>
        <v>7263</v>
      </c>
      <c r="B525" s="11">
        <f>IFERROR(__xludf.DUMMYFUNCTION("""COMPUTED_VALUE"""),0.0)</f>
        <v>0</v>
      </c>
      <c r="C525" s="11">
        <f>IFERROR(__xludf.DUMMYFUNCTION("""COMPUTED_VALUE"""),516.0)</f>
        <v>516</v>
      </c>
      <c r="D525" s="11">
        <f>IFERROR(__xludf.DUMMYFUNCTION("""COMPUTED_VALUE"""),147.0)</f>
        <v>147</v>
      </c>
      <c r="E525" s="9"/>
    </row>
    <row r="526">
      <c r="A526" s="10">
        <f>IFERROR(__xludf.DUMMYFUNCTION("""COMPUTED_VALUE"""),149510.0)</f>
        <v>149510</v>
      </c>
      <c r="B526" s="11">
        <f>IFERROR(__xludf.DUMMYFUNCTION("""COMPUTED_VALUE"""),1.0)</f>
        <v>1</v>
      </c>
      <c r="C526" s="11">
        <f>IFERROR(__xludf.DUMMYFUNCTION("""COMPUTED_VALUE"""),477.0)</f>
        <v>477</v>
      </c>
      <c r="D526" s="11">
        <f>IFERROR(__xludf.DUMMYFUNCTION("""COMPUTED_VALUE"""),13.0)</f>
        <v>13</v>
      </c>
      <c r="E526" s="9"/>
    </row>
    <row r="527">
      <c r="A527" s="10">
        <f>IFERROR(__xludf.DUMMYFUNCTION("""COMPUTED_VALUE"""),124692.0)</f>
        <v>124692</v>
      </c>
      <c r="B527" s="11">
        <f>IFERROR(__xludf.DUMMYFUNCTION("""COMPUTED_VALUE"""),1.0)</f>
        <v>1</v>
      </c>
      <c r="C527" s="11">
        <f>IFERROR(__xludf.DUMMYFUNCTION("""COMPUTED_VALUE"""),230.0)</f>
        <v>230</v>
      </c>
      <c r="D527" s="11">
        <f>IFERROR(__xludf.DUMMYFUNCTION("""COMPUTED_VALUE"""),16.0)</f>
        <v>16</v>
      </c>
      <c r="E527" s="9"/>
    </row>
    <row r="528">
      <c r="A528" s="10">
        <f>IFERROR(__xludf.DUMMYFUNCTION("""COMPUTED_VALUE"""),7253.0)</f>
        <v>7253</v>
      </c>
      <c r="B528" s="11">
        <f>IFERROR(__xludf.DUMMYFUNCTION("""COMPUTED_VALUE"""),1.0)</f>
        <v>1</v>
      </c>
      <c r="C528" s="11">
        <f>IFERROR(__xludf.DUMMYFUNCTION("""COMPUTED_VALUE"""),25.0)</f>
        <v>25</v>
      </c>
      <c r="D528" s="11">
        <f>IFERROR(__xludf.DUMMYFUNCTION("""COMPUTED_VALUE"""),23.0)</f>
        <v>23</v>
      </c>
      <c r="E528" s="9"/>
    </row>
    <row r="529">
      <c r="A529" s="10">
        <f>IFERROR(__xludf.DUMMYFUNCTION("""COMPUTED_VALUE"""),109999.0)</f>
        <v>109999</v>
      </c>
      <c r="B529" s="11">
        <f>IFERROR(__xludf.DUMMYFUNCTION("""COMPUTED_VALUE"""),1.0)</f>
        <v>1</v>
      </c>
      <c r="C529" s="11">
        <f>IFERROR(__xludf.DUMMYFUNCTION("""COMPUTED_VALUE"""),245.0)</f>
        <v>245</v>
      </c>
      <c r="D529" s="11">
        <f>IFERROR(__xludf.DUMMYFUNCTION("""COMPUTED_VALUE"""),133.0)</f>
        <v>133</v>
      </c>
      <c r="E529" s="9"/>
    </row>
    <row r="530">
      <c r="A530" s="10">
        <f>IFERROR(__xludf.DUMMYFUNCTION("""COMPUTED_VALUE"""),101535.0)</f>
        <v>101535</v>
      </c>
      <c r="B530" s="11">
        <f>IFERROR(__xludf.DUMMYFUNCTION("""COMPUTED_VALUE"""),0.0)</f>
        <v>0</v>
      </c>
      <c r="C530" s="11">
        <f>IFERROR(__xludf.DUMMYFUNCTION("""COMPUTED_VALUE"""),132.0)</f>
        <v>132</v>
      </c>
      <c r="D530" s="11">
        <f>IFERROR(__xludf.DUMMYFUNCTION("""COMPUTED_VALUE"""),65.0)</f>
        <v>65</v>
      </c>
      <c r="E530" s="9"/>
    </row>
    <row r="531">
      <c r="A531" s="10">
        <f>IFERROR(__xludf.DUMMYFUNCTION("""COMPUTED_VALUE"""),181795.0)</f>
        <v>181795</v>
      </c>
      <c r="B531" s="11">
        <f>IFERROR(__xludf.DUMMYFUNCTION("""COMPUTED_VALUE"""),1.0)</f>
        <v>1</v>
      </c>
      <c r="C531" s="11">
        <f>IFERROR(__xludf.DUMMYFUNCTION("""COMPUTED_VALUE"""),549.0)</f>
        <v>549</v>
      </c>
      <c r="D531" s="11">
        <f>IFERROR(__xludf.DUMMYFUNCTION("""COMPUTED_VALUE"""),350.0)</f>
        <v>350</v>
      </c>
      <c r="E531" s="9"/>
    </row>
    <row r="532">
      <c r="A532" s="10">
        <f>IFERROR(__xludf.DUMMYFUNCTION("""COMPUTED_VALUE"""),124686.0)</f>
        <v>124686</v>
      </c>
      <c r="B532" s="11">
        <f>IFERROR(__xludf.DUMMYFUNCTION("""COMPUTED_VALUE"""),1.0)</f>
        <v>1</v>
      </c>
      <c r="C532" s="11">
        <f>IFERROR(__xludf.DUMMYFUNCTION("""COMPUTED_VALUE"""),100.0)</f>
        <v>100</v>
      </c>
      <c r="D532" s="11">
        <f>IFERROR(__xludf.DUMMYFUNCTION("""COMPUTED_VALUE"""),79.0)</f>
        <v>79</v>
      </c>
      <c r="E532" s="9"/>
    </row>
    <row r="533">
      <c r="A533" s="10">
        <f>IFERROR(__xludf.DUMMYFUNCTION("""COMPUTED_VALUE"""),110003.0)</f>
        <v>110003</v>
      </c>
      <c r="B533" s="11">
        <f>IFERROR(__xludf.DUMMYFUNCTION("""COMPUTED_VALUE"""),0.0)</f>
        <v>0</v>
      </c>
      <c r="C533" s="11">
        <f>IFERROR(__xludf.DUMMYFUNCTION("""COMPUTED_VALUE"""),17.0)</f>
        <v>17</v>
      </c>
      <c r="D533" s="11">
        <f>IFERROR(__xludf.DUMMYFUNCTION("""COMPUTED_VALUE"""),9.0)</f>
        <v>9</v>
      </c>
      <c r="E533" s="9"/>
    </row>
    <row r="534">
      <c r="A534" s="10">
        <f>IFERROR(__xludf.DUMMYFUNCTION("""COMPUTED_VALUE"""),124691.0)</f>
        <v>124691</v>
      </c>
      <c r="B534" s="11">
        <f>IFERROR(__xludf.DUMMYFUNCTION("""COMPUTED_VALUE"""),1.0)</f>
        <v>1</v>
      </c>
      <c r="C534" s="11">
        <f>IFERROR(__xludf.DUMMYFUNCTION("""COMPUTED_VALUE"""),9.0)</f>
        <v>9</v>
      </c>
      <c r="D534" s="11">
        <f>IFERROR(__xludf.DUMMYFUNCTION("""COMPUTED_VALUE"""),8.0)</f>
        <v>8</v>
      </c>
      <c r="E534" s="9"/>
    </row>
    <row r="535">
      <c r="A535" s="10">
        <f>IFERROR(__xludf.DUMMYFUNCTION("""COMPUTED_VALUE"""),98444.0)</f>
        <v>98444</v>
      </c>
      <c r="B535" s="11">
        <f>IFERROR(__xludf.DUMMYFUNCTION("""COMPUTED_VALUE"""),1.0)</f>
        <v>1</v>
      </c>
      <c r="C535" s="11">
        <f>IFERROR(__xludf.DUMMYFUNCTION("""COMPUTED_VALUE"""),462.0)</f>
        <v>462</v>
      </c>
      <c r="D535" s="11">
        <f>IFERROR(__xludf.DUMMYFUNCTION("""COMPUTED_VALUE"""),31.0)</f>
        <v>31</v>
      </c>
      <c r="E535" s="9"/>
    </row>
    <row r="536">
      <c r="A536" s="10">
        <f>IFERROR(__xludf.DUMMYFUNCTION("""COMPUTED_VALUE"""),110393.0)</f>
        <v>110393</v>
      </c>
      <c r="B536" s="11">
        <f>IFERROR(__xludf.DUMMYFUNCTION("""COMPUTED_VALUE"""),1.0)</f>
        <v>1</v>
      </c>
      <c r="C536" s="11">
        <f>IFERROR(__xludf.DUMMYFUNCTION("""COMPUTED_VALUE"""),210.0)</f>
        <v>210</v>
      </c>
      <c r="D536" s="11">
        <f>IFERROR(__xludf.DUMMYFUNCTION("""COMPUTED_VALUE"""),192.0)</f>
        <v>192</v>
      </c>
      <c r="E536" s="9"/>
    </row>
    <row r="537">
      <c r="A537" s="10">
        <f>IFERROR(__xludf.DUMMYFUNCTION("""COMPUTED_VALUE"""),7254.0)</f>
        <v>7254</v>
      </c>
      <c r="B537" s="11">
        <f>IFERROR(__xludf.DUMMYFUNCTION("""COMPUTED_VALUE"""),1.0)</f>
        <v>1</v>
      </c>
      <c r="C537" s="11">
        <f>IFERROR(__xludf.DUMMYFUNCTION("""COMPUTED_VALUE"""),836.0)</f>
        <v>836</v>
      </c>
      <c r="D537" s="11">
        <f>IFERROR(__xludf.DUMMYFUNCTION("""COMPUTED_VALUE"""),61.0)</f>
        <v>61</v>
      </c>
      <c r="E537" s="9"/>
    </row>
    <row r="538">
      <c r="A538" s="10">
        <f>IFERROR(__xludf.DUMMYFUNCTION("""COMPUTED_VALUE"""),86502.0)</f>
        <v>86502</v>
      </c>
      <c r="B538" s="11">
        <f>IFERROR(__xludf.DUMMYFUNCTION("""COMPUTED_VALUE"""),0.0)</f>
        <v>0</v>
      </c>
      <c r="C538" s="11">
        <f>IFERROR(__xludf.DUMMYFUNCTION("""COMPUTED_VALUE"""),435.0)</f>
        <v>435</v>
      </c>
      <c r="D538" s="11">
        <f>IFERROR(__xludf.DUMMYFUNCTION("""COMPUTED_VALUE"""),236.0)</f>
        <v>236</v>
      </c>
      <c r="E538" s="9"/>
    </row>
    <row r="539">
      <c r="A539" s="10">
        <f>IFERROR(__xludf.DUMMYFUNCTION("""COMPUTED_VALUE"""),98442.0)</f>
        <v>98442</v>
      </c>
      <c r="B539" s="11">
        <f>IFERROR(__xludf.DUMMYFUNCTION("""COMPUTED_VALUE"""),1.0)</f>
        <v>1</v>
      </c>
      <c r="C539" s="11">
        <f>IFERROR(__xludf.DUMMYFUNCTION("""COMPUTED_VALUE"""),126.0)</f>
        <v>126</v>
      </c>
      <c r="D539" s="11">
        <f>IFERROR(__xludf.DUMMYFUNCTION("""COMPUTED_VALUE"""),63.0)</f>
        <v>63</v>
      </c>
      <c r="E539" s="9"/>
    </row>
    <row r="540">
      <c r="A540" s="10">
        <f>IFERROR(__xludf.DUMMYFUNCTION("""COMPUTED_VALUE"""),7256.0)</f>
        <v>7256</v>
      </c>
      <c r="B540" s="11">
        <f>IFERROR(__xludf.DUMMYFUNCTION("""COMPUTED_VALUE"""),0.0)</f>
        <v>0</v>
      </c>
      <c r="C540" s="11">
        <f>IFERROR(__xludf.DUMMYFUNCTION("""COMPUTED_VALUE"""),886.0)</f>
        <v>886</v>
      </c>
      <c r="D540" s="11">
        <f>IFERROR(__xludf.DUMMYFUNCTION("""COMPUTED_VALUE"""),530.0)</f>
        <v>530</v>
      </c>
      <c r="E540" s="9"/>
    </row>
    <row r="541">
      <c r="A541" s="10">
        <f>IFERROR(__xludf.DUMMYFUNCTION("""COMPUTED_VALUE"""),110394.0)</f>
        <v>110394</v>
      </c>
      <c r="B541" s="11">
        <f>IFERROR(__xludf.DUMMYFUNCTION("""COMPUTED_VALUE"""),0.0)</f>
        <v>0</v>
      </c>
      <c r="C541" s="11">
        <f>IFERROR(__xludf.DUMMYFUNCTION("""COMPUTED_VALUE"""),888.0)</f>
        <v>888</v>
      </c>
      <c r="D541" s="11">
        <f>IFERROR(__xludf.DUMMYFUNCTION("""COMPUTED_VALUE"""),229.0)</f>
        <v>229</v>
      </c>
      <c r="E541" s="9"/>
    </row>
    <row r="542">
      <c r="A542" s="10">
        <f>IFERROR(__xludf.DUMMYFUNCTION("""COMPUTED_VALUE"""),120998.0)</f>
        <v>120998</v>
      </c>
      <c r="B542" s="11">
        <f>IFERROR(__xludf.DUMMYFUNCTION("""COMPUTED_VALUE"""),1.0)</f>
        <v>1</v>
      </c>
      <c r="C542" s="11">
        <f>IFERROR(__xludf.DUMMYFUNCTION("""COMPUTED_VALUE"""),334.0)</f>
        <v>334</v>
      </c>
      <c r="D542" s="11">
        <f>IFERROR(__xludf.DUMMYFUNCTION("""COMPUTED_VALUE"""),288.0)</f>
        <v>288</v>
      </c>
      <c r="E542" s="9"/>
    </row>
    <row r="543">
      <c r="A543" s="10">
        <f>IFERROR(__xludf.DUMMYFUNCTION("""COMPUTED_VALUE"""),17674.0)</f>
        <v>17674</v>
      </c>
      <c r="B543" s="11">
        <f>IFERROR(__xludf.DUMMYFUNCTION("""COMPUTED_VALUE"""),1.0)</f>
        <v>1</v>
      </c>
      <c r="C543" s="11">
        <f>IFERROR(__xludf.DUMMYFUNCTION("""COMPUTED_VALUE"""),523.0)</f>
        <v>523</v>
      </c>
      <c r="D543" s="11">
        <f>IFERROR(__xludf.DUMMYFUNCTION("""COMPUTED_VALUE"""),314.0)</f>
        <v>314</v>
      </c>
      <c r="E543" s="9"/>
    </row>
    <row r="544">
      <c r="A544" s="10">
        <f>IFERROR(__xludf.DUMMYFUNCTION("""COMPUTED_VALUE"""),102946.0)</f>
        <v>102946</v>
      </c>
      <c r="B544" s="11">
        <f>IFERROR(__xludf.DUMMYFUNCTION("""COMPUTED_VALUE"""),1.0)</f>
        <v>1</v>
      </c>
      <c r="C544" s="11">
        <f>IFERROR(__xludf.DUMMYFUNCTION("""COMPUTED_VALUE"""),38.0)</f>
        <v>38</v>
      </c>
      <c r="D544" s="11">
        <f>IFERROR(__xludf.DUMMYFUNCTION("""COMPUTED_VALUE"""),20.0)</f>
        <v>20</v>
      </c>
      <c r="E544" s="9"/>
    </row>
    <row r="545">
      <c r="A545" s="10">
        <f>IFERROR(__xludf.DUMMYFUNCTION("""COMPUTED_VALUE"""),102947.0)</f>
        <v>102947</v>
      </c>
      <c r="B545" s="11">
        <f>IFERROR(__xludf.DUMMYFUNCTION("""COMPUTED_VALUE"""),1.0)</f>
        <v>1</v>
      </c>
      <c r="C545" s="11">
        <f>IFERROR(__xludf.DUMMYFUNCTION("""COMPUTED_VALUE"""),226.0)</f>
        <v>226</v>
      </c>
      <c r="D545" s="11">
        <f>IFERROR(__xludf.DUMMYFUNCTION("""COMPUTED_VALUE"""),27.0)</f>
        <v>27</v>
      </c>
      <c r="E545" s="9"/>
    </row>
    <row r="546">
      <c r="A546" s="10">
        <f>IFERROR(__xludf.DUMMYFUNCTION("""COMPUTED_VALUE"""),98445.0)</f>
        <v>98445</v>
      </c>
      <c r="B546" s="11">
        <f>IFERROR(__xludf.DUMMYFUNCTION("""COMPUTED_VALUE"""),1.0)</f>
        <v>1</v>
      </c>
      <c r="C546" s="11">
        <f>IFERROR(__xludf.DUMMYFUNCTION("""COMPUTED_VALUE"""),595.0)</f>
        <v>595</v>
      </c>
      <c r="D546" s="11">
        <f>IFERROR(__xludf.DUMMYFUNCTION("""COMPUTED_VALUE"""),279.0)</f>
        <v>279</v>
      </c>
      <c r="E546" s="9"/>
    </row>
    <row r="547">
      <c r="A547" s="10">
        <f>IFERROR(__xludf.DUMMYFUNCTION("""COMPUTED_VALUE"""),109273.0)</f>
        <v>109273</v>
      </c>
      <c r="B547" s="11">
        <f>IFERROR(__xludf.DUMMYFUNCTION("""COMPUTED_VALUE"""),1.0)</f>
        <v>1</v>
      </c>
      <c r="C547" s="11">
        <f>IFERROR(__xludf.DUMMYFUNCTION("""COMPUTED_VALUE"""),67.0)</f>
        <v>67</v>
      </c>
      <c r="D547" s="11">
        <f>IFERROR(__xludf.DUMMYFUNCTION("""COMPUTED_VALUE"""),27.0)</f>
        <v>27</v>
      </c>
      <c r="E547" s="9"/>
    </row>
    <row r="548">
      <c r="A548" s="10">
        <f>IFERROR(__xludf.DUMMYFUNCTION("""COMPUTED_VALUE"""),44465.0)</f>
        <v>44465</v>
      </c>
      <c r="B548" s="11">
        <f>IFERROR(__xludf.DUMMYFUNCTION("""COMPUTED_VALUE"""),0.0)</f>
        <v>0</v>
      </c>
      <c r="C548" s="11">
        <f>IFERROR(__xludf.DUMMYFUNCTION("""COMPUTED_VALUE"""),68.0)</f>
        <v>68</v>
      </c>
      <c r="D548" s="11">
        <f>IFERROR(__xludf.DUMMYFUNCTION("""COMPUTED_VALUE"""),9.0)</f>
        <v>9</v>
      </c>
      <c r="E548" s="9"/>
    </row>
    <row r="549">
      <c r="A549" s="10">
        <f>IFERROR(__xludf.DUMMYFUNCTION("""COMPUTED_VALUE"""),44451.0)</f>
        <v>44451</v>
      </c>
      <c r="B549" s="11">
        <f>IFERROR(__xludf.DUMMYFUNCTION("""COMPUTED_VALUE"""),0.0)</f>
        <v>0</v>
      </c>
      <c r="C549" s="11">
        <f>IFERROR(__xludf.DUMMYFUNCTION("""COMPUTED_VALUE"""),391.0)</f>
        <v>391</v>
      </c>
      <c r="D549" s="11">
        <f>IFERROR(__xludf.DUMMYFUNCTION("""COMPUTED_VALUE"""),149.0)</f>
        <v>149</v>
      </c>
      <c r="E549" s="9"/>
    </row>
    <row r="550">
      <c r="A550" s="10">
        <f>IFERROR(__xludf.DUMMYFUNCTION("""COMPUTED_VALUE"""),17664.0)</f>
        <v>17664</v>
      </c>
      <c r="B550" s="11">
        <f>IFERROR(__xludf.DUMMYFUNCTION("""COMPUTED_VALUE"""),1.0)</f>
        <v>1</v>
      </c>
      <c r="C550" s="11">
        <f>IFERROR(__xludf.DUMMYFUNCTION("""COMPUTED_VALUE"""),264.0)</f>
        <v>264</v>
      </c>
      <c r="D550" s="11">
        <f>IFERROR(__xludf.DUMMYFUNCTION("""COMPUTED_VALUE"""),2.0)</f>
        <v>2</v>
      </c>
      <c r="E550" s="9"/>
    </row>
    <row r="551">
      <c r="A551" s="10">
        <f>IFERROR(__xludf.DUMMYFUNCTION("""COMPUTED_VALUE"""),44459.0)</f>
        <v>44459</v>
      </c>
      <c r="B551" s="11">
        <f>IFERROR(__xludf.DUMMYFUNCTION("""COMPUTED_VALUE"""),1.0)</f>
        <v>1</v>
      </c>
      <c r="C551" s="11">
        <f>IFERROR(__xludf.DUMMYFUNCTION("""COMPUTED_VALUE"""),398.0)</f>
        <v>398</v>
      </c>
      <c r="D551" s="11">
        <f>IFERROR(__xludf.DUMMYFUNCTION("""COMPUTED_VALUE"""),348.0)</f>
        <v>348</v>
      </c>
      <c r="E551" s="9"/>
    </row>
    <row r="552">
      <c r="A552" s="10">
        <f>IFERROR(__xludf.DUMMYFUNCTION("""COMPUTED_VALUE"""),110398.0)</f>
        <v>110398</v>
      </c>
      <c r="B552" s="11">
        <f>IFERROR(__xludf.DUMMYFUNCTION("""COMPUTED_VALUE"""),0.0)</f>
        <v>0</v>
      </c>
      <c r="C552" s="11">
        <f>IFERROR(__xludf.DUMMYFUNCTION("""COMPUTED_VALUE"""),6.0)</f>
        <v>6</v>
      </c>
      <c r="D552" s="11">
        <f>IFERROR(__xludf.DUMMYFUNCTION("""COMPUTED_VALUE"""),0.0)</f>
        <v>0</v>
      </c>
      <c r="E552" s="9"/>
    </row>
    <row r="553">
      <c r="A553" s="10">
        <f>IFERROR(__xludf.DUMMYFUNCTION("""COMPUTED_VALUE"""),149495.0)</f>
        <v>149495</v>
      </c>
      <c r="B553" s="11">
        <f>IFERROR(__xludf.DUMMYFUNCTION("""COMPUTED_VALUE"""),0.0)</f>
        <v>0</v>
      </c>
      <c r="C553" s="11">
        <f>IFERROR(__xludf.DUMMYFUNCTION("""COMPUTED_VALUE"""),218.0)</f>
        <v>218</v>
      </c>
      <c r="D553" s="11">
        <f>IFERROR(__xludf.DUMMYFUNCTION("""COMPUTED_VALUE"""),202.0)</f>
        <v>202</v>
      </c>
      <c r="E553" s="9"/>
    </row>
    <row r="554">
      <c r="A554" s="10">
        <f>IFERROR(__xludf.DUMMYFUNCTION("""COMPUTED_VALUE"""),124685.0)</f>
        <v>124685</v>
      </c>
      <c r="B554" s="11">
        <f>IFERROR(__xludf.DUMMYFUNCTION("""COMPUTED_VALUE"""),1.0)</f>
        <v>1</v>
      </c>
      <c r="C554" s="11">
        <f>IFERROR(__xludf.DUMMYFUNCTION("""COMPUTED_VALUE"""),323.0)</f>
        <v>323</v>
      </c>
      <c r="D554" s="11">
        <f>IFERROR(__xludf.DUMMYFUNCTION("""COMPUTED_VALUE"""),216.0)</f>
        <v>216</v>
      </c>
      <c r="E554" s="9"/>
    </row>
    <row r="555">
      <c r="A555" s="10">
        <f>IFERROR(__xludf.DUMMYFUNCTION("""COMPUTED_VALUE"""),110004.0)</f>
        <v>110004</v>
      </c>
      <c r="B555" s="11">
        <f>IFERROR(__xludf.DUMMYFUNCTION("""COMPUTED_VALUE"""),0.0)</f>
        <v>0</v>
      </c>
      <c r="C555" s="11">
        <f>IFERROR(__xludf.DUMMYFUNCTION("""COMPUTED_VALUE"""),143.0)</f>
        <v>143</v>
      </c>
      <c r="D555" s="11">
        <f>IFERROR(__xludf.DUMMYFUNCTION("""COMPUTED_VALUE"""),133.0)</f>
        <v>133</v>
      </c>
      <c r="E555" s="9"/>
    </row>
    <row r="556">
      <c r="A556" s="10">
        <f>IFERROR(__xludf.DUMMYFUNCTION("""COMPUTED_VALUE"""),111052.0)</f>
        <v>111052</v>
      </c>
      <c r="B556" s="11">
        <f>IFERROR(__xludf.DUMMYFUNCTION("""COMPUTED_VALUE"""),1.0)</f>
        <v>1</v>
      </c>
      <c r="C556" s="11">
        <f>IFERROR(__xludf.DUMMYFUNCTION("""COMPUTED_VALUE"""),334.0)</f>
        <v>334</v>
      </c>
      <c r="D556" s="11">
        <f>IFERROR(__xludf.DUMMYFUNCTION("""COMPUTED_VALUE"""),211.0)</f>
        <v>211</v>
      </c>
      <c r="E556" s="9"/>
    </row>
    <row r="557">
      <c r="A557" s="10">
        <f>IFERROR(__xludf.DUMMYFUNCTION("""COMPUTED_VALUE"""),102948.0)</f>
        <v>102948</v>
      </c>
      <c r="B557" s="11">
        <f>IFERROR(__xludf.DUMMYFUNCTION("""COMPUTED_VALUE"""),0.0)</f>
        <v>0</v>
      </c>
      <c r="C557" s="11">
        <f>IFERROR(__xludf.DUMMYFUNCTION("""COMPUTED_VALUE"""),720.0)</f>
        <v>720</v>
      </c>
      <c r="D557" s="11">
        <f>IFERROR(__xludf.DUMMYFUNCTION("""COMPUTED_VALUE"""),496.0)</f>
        <v>496</v>
      </c>
      <c r="E557" s="9"/>
    </row>
    <row r="558">
      <c r="A558" s="10">
        <f>IFERROR(__xludf.DUMMYFUNCTION("""COMPUTED_VALUE"""),110000.0)</f>
        <v>110000</v>
      </c>
      <c r="B558" s="11">
        <f>IFERROR(__xludf.DUMMYFUNCTION("""COMPUTED_VALUE"""),1.0)</f>
        <v>1</v>
      </c>
      <c r="C558" s="11">
        <f>IFERROR(__xludf.DUMMYFUNCTION("""COMPUTED_VALUE"""),934.0)</f>
        <v>934</v>
      </c>
      <c r="D558" s="11">
        <f>IFERROR(__xludf.DUMMYFUNCTION("""COMPUTED_VALUE"""),876.0)</f>
        <v>876</v>
      </c>
      <c r="E558" s="9"/>
    </row>
    <row r="559">
      <c r="A559" s="10">
        <f>IFERROR(__xludf.DUMMYFUNCTION("""COMPUTED_VALUE"""),7264.0)</f>
        <v>7264</v>
      </c>
      <c r="B559" s="11">
        <f>IFERROR(__xludf.DUMMYFUNCTION("""COMPUTED_VALUE"""),0.0)</f>
        <v>0</v>
      </c>
      <c r="C559" s="11">
        <f>IFERROR(__xludf.DUMMYFUNCTION("""COMPUTED_VALUE"""),503.0)</f>
        <v>503</v>
      </c>
      <c r="D559" s="11">
        <f>IFERROR(__xludf.DUMMYFUNCTION("""COMPUTED_VALUE"""),462.0)</f>
        <v>462</v>
      </c>
      <c r="E559" s="9"/>
    </row>
    <row r="560">
      <c r="A560" s="10">
        <f>IFERROR(__xludf.DUMMYFUNCTION("""COMPUTED_VALUE"""),110005.0)</f>
        <v>110005</v>
      </c>
      <c r="B560" s="11">
        <f>IFERROR(__xludf.DUMMYFUNCTION("""COMPUTED_VALUE"""),0.0)</f>
        <v>0</v>
      </c>
      <c r="C560" s="11">
        <f>IFERROR(__xludf.DUMMYFUNCTION("""COMPUTED_VALUE"""),764.0)</f>
        <v>764</v>
      </c>
      <c r="D560" s="11">
        <f>IFERROR(__xludf.DUMMYFUNCTION("""COMPUTED_VALUE"""),476.0)</f>
        <v>476</v>
      </c>
      <c r="E560" s="9"/>
    </row>
    <row r="561">
      <c r="A561" s="10">
        <f>IFERROR(__xludf.DUMMYFUNCTION("""COMPUTED_VALUE"""),124693.0)</f>
        <v>124693</v>
      </c>
      <c r="B561" s="11">
        <f>IFERROR(__xludf.DUMMYFUNCTION("""COMPUTED_VALUE"""),0.0)</f>
        <v>0</v>
      </c>
      <c r="C561" s="11">
        <f>IFERROR(__xludf.DUMMYFUNCTION("""COMPUTED_VALUE"""),895.0)</f>
        <v>895</v>
      </c>
      <c r="D561" s="11">
        <f>IFERROR(__xludf.DUMMYFUNCTION("""COMPUTED_VALUE"""),134.0)</f>
        <v>134</v>
      </c>
      <c r="E561" s="9"/>
    </row>
    <row r="562">
      <c r="A562" s="10">
        <f>IFERROR(__xludf.DUMMYFUNCTION("""COMPUTED_VALUE"""),86501.0)</f>
        <v>86501</v>
      </c>
      <c r="B562" s="11">
        <f>IFERROR(__xludf.DUMMYFUNCTION("""COMPUTED_VALUE"""),0.0)</f>
        <v>0</v>
      </c>
      <c r="C562" s="11">
        <f>IFERROR(__xludf.DUMMYFUNCTION("""COMPUTED_VALUE"""),739.0)</f>
        <v>739</v>
      </c>
      <c r="D562" s="11">
        <f>IFERROR(__xludf.DUMMYFUNCTION("""COMPUTED_VALUE"""),216.0)</f>
        <v>216</v>
      </c>
      <c r="E562" s="9"/>
    </row>
    <row r="563">
      <c r="A563" s="10">
        <f>IFERROR(__xludf.DUMMYFUNCTION("""COMPUTED_VALUE"""),101536.0)</f>
        <v>101536</v>
      </c>
      <c r="B563" s="11">
        <f>IFERROR(__xludf.DUMMYFUNCTION("""COMPUTED_VALUE"""),0.0)</f>
        <v>0</v>
      </c>
      <c r="C563" s="11">
        <f>IFERROR(__xludf.DUMMYFUNCTION("""COMPUTED_VALUE"""),302.0)</f>
        <v>302</v>
      </c>
      <c r="D563" s="11">
        <f>IFERROR(__xludf.DUMMYFUNCTION("""COMPUTED_VALUE"""),125.0)</f>
        <v>125</v>
      </c>
      <c r="E563" s="9"/>
    </row>
    <row r="564">
      <c r="A564" s="10">
        <f>IFERROR(__xludf.DUMMYFUNCTION("""COMPUTED_VALUE"""),101534.0)</f>
        <v>101534</v>
      </c>
      <c r="B564" s="11">
        <f>IFERROR(__xludf.DUMMYFUNCTION("""COMPUTED_VALUE"""),1.0)</f>
        <v>1</v>
      </c>
      <c r="C564" s="11">
        <f>IFERROR(__xludf.DUMMYFUNCTION("""COMPUTED_VALUE"""),593.0)</f>
        <v>593</v>
      </c>
      <c r="D564" s="11">
        <f>IFERROR(__xludf.DUMMYFUNCTION("""COMPUTED_VALUE"""),438.0)</f>
        <v>438</v>
      </c>
      <c r="E564" s="9"/>
    </row>
    <row r="565">
      <c r="A565" s="10">
        <f>IFERROR(__xludf.DUMMYFUNCTION("""COMPUTED_VALUE"""),110002.0)</f>
        <v>110002</v>
      </c>
      <c r="B565" s="11">
        <f>IFERROR(__xludf.DUMMYFUNCTION("""COMPUTED_VALUE"""),1.0)</f>
        <v>1</v>
      </c>
      <c r="C565" s="11">
        <f>IFERROR(__xludf.DUMMYFUNCTION("""COMPUTED_VALUE"""),303.0)</f>
        <v>303</v>
      </c>
      <c r="D565" s="11">
        <f>IFERROR(__xludf.DUMMYFUNCTION("""COMPUTED_VALUE"""),154.0)</f>
        <v>154</v>
      </c>
      <c r="E565" s="9"/>
    </row>
    <row r="566">
      <c r="A566" s="10">
        <f>IFERROR(__xludf.DUMMYFUNCTION("""COMPUTED_VALUE"""),110001.0)</f>
        <v>110001</v>
      </c>
      <c r="B566" s="11">
        <f>IFERROR(__xludf.DUMMYFUNCTION("""COMPUTED_VALUE"""),1.0)</f>
        <v>1</v>
      </c>
      <c r="C566" s="11">
        <f>IFERROR(__xludf.DUMMYFUNCTION("""COMPUTED_VALUE"""),775.0)</f>
        <v>775</v>
      </c>
      <c r="D566" s="11">
        <f>IFERROR(__xludf.DUMMYFUNCTION("""COMPUTED_VALUE"""),48.0)</f>
        <v>48</v>
      </c>
      <c r="E566" s="9"/>
    </row>
    <row r="567">
      <c r="A567" s="10">
        <f>IFERROR(__xludf.DUMMYFUNCTION("""COMPUTED_VALUE"""),111051.0)</f>
        <v>111051</v>
      </c>
      <c r="B567" s="11">
        <f>IFERROR(__xludf.DUMMYFUNCTION("""COMPUTED_VALUE"""),1.0)</f>
        <v>1</v>
      </c>
      <c r="C567" s="11">
        <f>IFERROR(__xludf.DUMMYFUNCTION("""COMPUTED_VALUE"""),124.0)</f>
        <v>124</v>
      </c>
      <c r="D567" s="11">
        <f>IFERROR(__xludf.DUMMYFUNCTION("""COMPUTED_VALUE"""),104.0)</f>
        <v>104</v>
      </c>
      <c r="E567" s="9"/>
    </row>
    <row r="568">
      <c r="A568" s="10">
        <f>IFERROR(__xludf.DUMMYFUNCTION("""COMPUTED_VALUE"""),7258.0)</f>
        <v>7258</v>
      </c>
      <c r="B568" s="11">
        <f>IFERROR(__xludf.DUMMYFUNCTION("""COMPUTED_VALUE"""),1.0)</f>
        <v>1</v>
      </c>
      <c r="C568" s="11">
        <f>IFERROR(__xludf.DUMMYFUNCTION("""COMPUTED_VALUE"""),504.0)</f>
        <v>504</v>
      </c>
      <c r="D568" s="11">
        <f>IFERROR(__xludf.DUMMYFUNCTION("""COMPUTED_VALUE"""),189.0)</f>
        <v>189</v>
      </c>
      <c r="E568" s="9"/>
    </row>
    <row r="569">
      <c r="A569" s="10">
        <f>IFERROR(__xludf.DUMMYFUNCTION("""COMPUTED_VALUE"""),111053.0)</f>
        <v>111053</v>
      </c>
      <c r="B569" s="11">
        <f>IFERROR(__xludf.DUMMYFUNCTION("""COMPUTED_VALUE"""),0.0)</f>
        <v>0</v>
      </c>
      <c r="C569" s="11">
        <f>IFERROR(__xludf.DUMMYFUNCTION("""COMPUTED_VALUE"""),863.0)</f>
        <v>863</v>
      </c>
      <c r="D569" s="11">
        <f>IFERROR(__xludf.DUMMYFUNCTION("""COMPUTED_VALUE"""),539.0)</f>
        <v>539</v>
      </c>
      <c r="E569" s="9"/>
    </row>
    <row r="570">
      <c r="A570" s="10">
        <f>IFERROR(__xludf.DUMMYFUNCTION("""COMPUTED_VALUE"""),120996.0)</f>
        <v>120996</v>
      </c>
      <c r="B570" s="11">
        <f>IFERROR(__xludf.DUMMYFUNCTION("""COMPUTED_VALUE"""),1.0)</f>
        <v>1</v>
      </c>
      <c r="C570" s="11">
        <f>IFERROR(__xludf.DUMMYFUNCTION("""COMPUTED_VALUE"""),367.0)</f>
        <v>367</v>
      </c>
      <c r="D570" s="11">
        <f>IFERROR(__xludf.DUMMYFUNCTION("""COMPUTED_VALUE"""),70.0)</f>
        <v>70</v>
      </c>
      <c r="E570" s="9"/>
    </row>
    <row r="571">
      <c r="A571" s="10">
        <f>IFERROR(__xludf.DUMMYFUNCTION("""COMPUTED_VALUE"""),109746.0)</f>
        <v>109746</v>
      </c>
      <c r="B571" s="11">
        <f>IFERROR(__xludf.DUMMYFUNCTION("""COMPUTED_VALUE"""),1.0)</f>
        <v>1</v>
      </c>
      <c r="C571" s="11">
        <f>IFERROR(__xludf.DUMMYFUNCTION("""COMPUTED_VALUE"""),502.0)</f>
        <v>502</v>
      </c>
      <c r="D571" s="11">
        <f>IFERROR(__xludf.DUMMYFUNCTION("""COMPUTED_VALUE"""),196.0)</f>
        <v>196</v>
      </c>
      <c r="E571" s="9"/>
    </row>
    <row r="572">
      <c r="A572" s="10">
        <f>IFERROR(__xludf.DUMMYFUNCTION("""COMPUTED_VALUE"""),147288.0)</f>
        <v>147288</v>
      </c>
      <c r="B572" s="11">
        <f>IFERROR(__xludf.DUMMYFUNCTION("""COMPUTED_VALUE"""),0.0)</f>
        <v>0</v>
      </c>
      <c r="C572" s="11">
        <f>IFERROR(__xludf.DUMMYFUNCTION("""COMPUTED_VALUE"""),920.0)</f>
        <v>920</v>
      </c>
      <c r="D572" s="11">
        <f>IFERROR(__xludf.DUMMYFUNCTION("""COMPUTED_VALUE"""),268.0)</f>
        <v>268</v>
      </c>
      <c r="E572" s="9"/>
    </row>
    <row r="573">
      <c r="A573" s="10">
        <f>IFERROR(__xludf.DUMMYFUNCTION("""COMPUTED_VALUE"""),120997.0)</f>
        <v>120997</v>
      </c>
      <c r="B573" s="11">
        <f>IFERROR(__xludf.DUMMYFUNCTION("""COMPUTED_VALUE"""),0.0)</f>
        <v>0</v>
      </c>
      <c r="C573" s="11">
        <f>IFERROR(__xludf.DUMMYFUNCTION("""COMPUTED_VALUE"""),804.0)</f>
        <v>804</v>
      </c>
      <c r="D573" s="11">
        <f>IFERROR(__xludf.DUMMYFUNCTION("""COMPUTED_VALUE"""),745.0)</f>
        <v>745</v>
      </c>
      <c r="E573" s="9"/>
    </row>
    <row r="574">
      <c r="A574" s="10">
        <f>IFERROR(__xludf.DUMMYFUNCTION("""COMPUTED_VALUE"""),109742.0)</f>
        <v>109742</v>
      </c>
      <c r="B574" s="11">
        <f>IFERROR(__xludf.DUMMYFUNCTION("""COMPUTED_VALUE"""),1.0)</f>
        <v>1</v>
      </c>
      <c r="C574" s="11">
        <f>IFERROR(__xludf.DUMMYFUNCTION("""COMPUTED_VALUE"""),937.0)</f>
        <v>937</v>
      </c>
      <c r="D574" s="11">
        <f>IFERROR(__xludf.DUMMYFUNCTION("""COMPUTED_VALUE"""),894.0)</f>
        <v>894</v>
      </c>
      <c r="E574" s="9"/>
    </row>
    <row r="575">
      <c r="A575" s="10">
        <f>IFERROR(__xludf.DUMMYFUNCTION("""COMPUTED_VALUE"""),156013.0)</f>
        <v>156013</v>
      </c>
      <c r="B575" s="11">
        <f>IFERROR(__xludf.DUMMYFUNCTION("""COMPUTED_VALUE"""),0.0)</f>
        <v>0</v>
      </c>
      <c r="C575" s="11">
        <f>IFERROR(__xludf.DUMMYFUNCTION("""COMPUTED_VALUE"""),332.0)</f>
        <v>332</v>
      </c>
      <c r="D575" s="11">
        <f>IFERROR(__xludf.DUMMYFUNCTION("""COMPUTED_VALUE"""),311.0)</f>
        <v>311</v>
      </c>
      <c r="E575" s="9"/>
    </row>
    <row r="576">
      <c r="A576" s="10">
        <f>IFERROR(__xludf.DUMMYFUNCTION("""COMPUTED_VALUE"""),98426.0)</f>
        <v>98426</v>
      </c>
      <c r="B576" s="11">
        <f>IFERROR(__xludf.DUMMYFUNCTION("""COMPUTED_VALUE"""),1.0)</f>
        <v>1</v>
      </c>
      <c r="C576" s="11">
        <f>IFERROR(__xludf.DUMMYFUNCTION("""COMPUTED_VALUE"""),274.0)</f>
        <v>274</v>
      </c>
      <c r="D576" s="11">
        <f>IFERROR(__xludf.DUMMYFUNCTION("""COMPUTED_VALUE"""),160.0)</f>
        <v>160</v>
      </c>
      <c r="E576" s="9"/>
    </row>
    <row r="577">
      <c r="A577" s="10">
        <f>IFERROR(__xludf.DUMMYFUNCTION("""COMPUTED_VALUE"""),110006.0)</f>
        <v>110006</v>
      </c>
      <c r="B577" s="11">
        <f>IFERROR(__xludf.DUMMYFUNCTION("""COMPUTED_VALUE"""),0.0)</f>
        <v>0</v>
      </c>
      <c r="C577" s="11">
        <f>IFERROR(__xludf.DUMMYFUNCTION("""COMPUTED_VALUE"""),140.0)</f>
        <v>140</v>
      </c>
      <c r="D577" s="11">
        <f>IFERROR(__xludf.DUMMYFUNCTION("""COMPUTED_VALUE"""),118.0)</f>
        <v>118</v>
      </c>
      <c r="E577" s="9"/>
    </row>
    <row r="578">
      <c r="A578" s="10">
        <f>IFERROR(__xludf.DUMMYFUNCTION("""COMPUTED_VALUE"""),110409.0)</f>
        <v>110409</v>
      </c>
      <c r="B578" s="11">
        <f>IFERROR(__xludf.DUMMYFUNCTION("""COMPUTED_VALUE"""),0.0)</f>
        <v>0</v>
      </c>
      <c r="C578" s="11">
        <f>IFERROR(__xludf.DUMMYFUNCTION("""COMPUTED_VALUE"""),154.0)</f>
        <v>154</v>
      </c>
      <c r="D578" s="11">
        <f>IFERROR(__xludf.DUMMYFUNCTION("""COMPUTED_VALUE"""),143.0)</f>
        <v>143</v>
      </c>
      <c r="E578" s="9"/>
    </row>
    <row r="579">
      <c r="A579" s="10">
        <f>IFERROR(__xludf.DUMMYFUNCTION("""COMPUTED_VALUE"""),117774.0)</f>
        <v>117774</v>
      </c>
      <c r="B579" s="11">
        <f>IFERROR(__xludf.DUMMYFUNCTION("""COMPUTED_VALUE"""),1.0)</f>
        <v>1</v>
      </c>
      <c r="C579" s="11">
        <f>IFERROR(__xludf.DUMMYFUNCTION("""COMPUTED_VALUE"""),206.0)</f>
        <v>206</v>
      </c>
      <c r="D579" s="11">
        <f>IFERROR(__xludf.DUMMYFUNCTION("""COMPUTED_VALUE"""),141.0)</f>
        <v>141</v>
      </c>
      <c r="E579" s="9"/>
    </row>
    <row r="580">
      <c r="A580" s="10">
        <f>IFERROR(__xludf.DUMMYFUNCTION("""COMPUTED_VALUE"""),110411.0)</f>
        <v>110411</v>
      </c>
      <c r="B580" s="11">
        <f>IFERROR(__xludf.DUMMYFUNCTION("""COMPUTED_VALUE"""),1.0)</f>
        <v>1</v>
      </c>
      <c r="C580" s="11">
        <f>IFERROR(__xludf.DUMMYFUNCTION("""COMPUTED_VALUE"""),933.0)</f>
        <v>933</v>
      </c>
      <c r="D580" s="11">
        <f>IFERROR(__xludf.DUMMYFUNCTION("""COMPUTED_VALUE"""),26.0)</f>
        <v>26</v>
      </c>
      <c r="E580" s="9"/>
    </row>
    <row r="581">
      <c r="A581" s="10">
        <f>IFERROR(__xludf.DUMMYFUNCTION("""COMPUTED_VALUE"""),86743.0)</f>
        <v>86743</v>
      </c>
      <c r="B581" s="11">
        <f>IFERROR(__xludf.DUMMYFUNCTION("""COMPUTED_VALUE"""),0.0)</f>
        <v>0</v>
      </c>
      <c r="C581" s="11">
        <f>IFERROR(__xludf.DUMMYFUNCTION("""COMPUTED_VALUE"""),78.0)</f>
        <v>78</v>
      </c>
      <c r="D581" s="11">
        <f>IFERROR(__xludf.DUMMYFUNCTION("""COMPUTED_VALUE"""),54.0)</f>
        <v>54</v>
      </c>
      <c r="E581" s="9"/>
    </row>
    <row r="582">
      <c r="A582" s="10">
        <f>IFERROR(__xludf.DUMMYFUNCTION("""COMPUTED_VALUE"""),86691.0)</f>
        <v>86691</v>
      </c>
      <c r="B582" s="11">
        <f>IFERROR(__xludf.DUMMYFUNCTION("""COMPUTED_VALUE"""),0.0)</f>
        <v>0</v>
      </c>
      <c r="C582" s="11">
        <f>IFERROR(__xludf.DUMMYFUNCTION("""COMPUTED_VALUE"""),487.0)</f>
        <v>487</v>
      </c>
      <c r="D582" s="11">
        <f>IFERROR(__xludf.DUMMYFUNCTION("""COMPUTED_VALUE"""),352.0)</f>
        <v>352</v>
      </c>
      <c r="E582" s="9"/>
    </row>
    <row r="583">
      <c r="A583" s="10">
        <f>IFERROR(__xludf.DUMMYFUNCTION("""COMPUTED_VALUE"""),7257.0)</f>
        <v>7257</v>
      </c>
      <c r="B583" s="11">
        <f>IFERROR(__xludf.DUMMYFUNCTION("""COMPUTED_VALUE"""),0.0)</f>
        <v>0</v>
      </c>
      <c r="C583" s="11">
        <f>IFERROR(__xludf.DUMMYFUNCTION("""COMPUTED_VALUE"""),76.0)</f>
        <v>76</v>
      </c>
      <c r="D583" s="11">
        <f>IFERROR(__xludf.DUMMYFUNCTION("""COMPUTED_VALUE"""),74.0)</f>
        <v>74</v>
      </c>
      <c r="E583" s="9"/>
    </row>
    <row r="584">
      <c r="A584" s="10">
        <f>IFERROR(__xludf.DUMMYFUNCTION("""COMPUTED_VALUE"""),77706.0)</f>
        <v>77706</v>
      </c>
      <c r="B584" s="11">
        <f>IFERROR(__xludf.DUMMYFUNCTION("""COMPUTED_VALUE"""),0.0)</f>
        <v>0</v>
      </c>
      <c r="C584" s="11">
        <f>IFERROR(__xludf.DUMMYFUNCTION("""COMPUTED_VALUE"""),787.0)</f>
        <v>787</v>
      </c>
      <c r="D584" s="11">
        <f>IFERROR(__xludf.DUMMYFUNCTION("""COMPUTED_VALUE"""),199.0)</f>
        <v>199</v>
      </c>
      <c r="E584" s="9"/>
    </row>
    <row r="585">
      <c r="A585" s="10">
        <f>IFERROR(__xludf.DUMMYFUNCTION("""COMPUTED_VALUE"""),122599.0)</f>
        <v>122599</v>
      </c>
      <c r="B585" s="11">
        <f>IFERROR(__xludf.DUMMYFUNCTION("""COMPUTED_VALUE"""),0.0)</f>
        <v>0</v>
      </c>
      <c r="C585" s="11">
        <f>IFERROR(__xludf.DUMMYFUNCTION("""COMPUTED_VALUE"""),88.0)</f>
        <v>88</v>
      </c>
      <c r="D585" s="11">
        <f>IFERROR(__xludf.DUMMYFUNCTION("""COMPUTED_VALUE"""),69.0)</f>
        <v>69</v>
      </c>
      <c r="E585" s="9"/>
    </row>
    <row r="586">
      <c r="A586" s="10">
        <f>IFERROR(__xludf.DUMMYFUNCTION("""COMPUTED_VALUE"""),109741.0)</f>
        <v>109741</v>
      </c>
      <c r="B586" s="11">
        <f>IFERROR(__xludf.DUMMYFUNCTION("""COMPUTED_VALUE"""),1.0)</f>
        <v>1</v>
      </c>
      <c r="C586" s="11">
        <f>IFERROR(__xludf.DUMMYFUNCTION("""COMPUTED_VALUE"""),432.0)</f>
        <v>432</v>
      </c>
      <c r="D586" s="11">
        <f>IFERROR(__xludf.DUMMYFUNCTION("""COMPUTED_VALUE"""),419.0)</f>
        <v>419</v>
      </c>
      <c r="E586" s="9"/>
    </row>
    <row r="587">
      <c r="A587" s="10">
        <f>IFERROR(__xludf.DUMMYFUNCTION("""COMPUTED_VALUE"""),69064.0)</f>
        <v>69064</v>
      </c>
      <c r="B587" s="11">
        <f>IFERROR(__xludf.DUMMYFUNCTION("""COMPUTED_VALUE"""),1.0)</f>
        <v>1</v>
      </c>
      <c r="C587" s="11">
        <f>IFERROR(__xludf.DUMMYFUNCTION("""COMPUTED_VALUE"""),577.0)</f>
        <v>577</v>
      </c>
      <c r="D587" s="11">
        <f>IFERROR(__xludf.DUMMYFUNCTION("""COMPUTED_VALUE"""),565.0)</f>
        <v>565</v>
      </c>
      <c r="E587" s="9"/>
    </row>
    <row r="588">
      <c r="A588" s="10">
        <f>IFERROR(__xludf.DUMMYFUNCTION("""COMPUTED_VALUE"""),119447.0)</f>
        <v>119447</v>
      </c>
      <c r="B588" s="11">
        <f>IFERROR(__xludf.DUMMYFUNCTION("""COMPUTED_VALUE"""),0.0)</f>
        <v>0</v>
      </c>
      <c r="C588" s="11">
        <f>IFERROR(__xludf.DUMMYFUNCTION("""COMPUTED_VALUE"""),323.0)</f>
        <v>323</v>
      </c>
      <c r="D588" s="11">
        <f>IFERROR(__xludf.DUMMYFUNCTION("""COMPUTED_VALUE"""),10.0)</f>
        <v>10</v>
      </c>
      <c r="E588" s="9"/>
    </row>
    <row r="589">
      <c r="A589" s="10">
        <f>IFERROR(__xludf.DUMMYFUNCTION("""COMPUTED_VALUE"""),111730.0)</f>
        <v>111730</v>
      </c>
      <c r="B589" s="11">
        <f>IFERROR(__xludf.DUMMYFUNCTION("""COMPUTED_VALUE"""),1.0)</f>
        <v>1</v>
      </c>
      <c r="C589" s="11">
        <f>IFERROR(__xludf.DUMMYFUNCTION("""COMPUTED_VALUE"""),448.0)</f>
        <v>448</v>
      </c>
      <c r="D589" s="11">
        <f>IFERROR(__xludf.DUMMYFUNCTION("""COMPUTED_VALUE"""),416.0)</f>
        <v>416</v>
      </c>
      <c r="E589" s="9"/>
    </row>
    <row r="590">
      <c r="A590" s="10">
        <f>IFERROR(__xludf.DUMMYFUNCTION("""COMPUTED_VALUE"""),100437.0)</f>
        <v>100437</v>
      </c>
      <c r="B590" s="11">
        <f>IFERROR(__xludf.DUMMYFUNCTION("""COMPUTED_VALUE"""),1.0)</f>
        <v>1</v>
      </c>
      <c r="C590" s="11">
        <f>IFERROR(__xludf.DUMMYFUNCTION("""COMPUTED_VALUE"""),244.0)</f>
        <v>244</v>
      </c>
      <c r="D590" s="11">
        <f>IFERROR(__xludf.DUMMYFUNCTION("""COMPUTED_VALUE"""),29.0)</f>
        <v>29</v>
      </c>
      <c r="E590" s="9"/>
    </row>
    <row r="591">
      <c r="A591" s="10">
        <f>IFERROR(__xludf.DUMMYFUNCTION("""COMPUTED_VALUE"""),92304.0)</f>
        <v>92304</v>
      </c>
      <c r="B591" s="11">
        <f>IFERROR(__xludf.DUMMYFUNCTION("""COMPUTED_VALUE"""),0.0)</f>
        <v>0</v>
      </c>
      <c r="C591" s="11">
        <f>IFERROR(__xludf.DUMMYFUNCTION("""COMPUTED_VALUE"""),898.0)</f>
        <v>898</v>
      </c>
      <c r="D591" s="11">
        <f>IFERROR(__xludf.DUMMYFUNCTION("""COMPUTED_VALUE"""),49.0)</f>
        <v>49</v>
      </c>
      <c r="E591" s="9"/>
    </row>
    <row r="592">
      <c r="A592" s="10">
        <f>IFERROR(__xludf.DUMMYFUNCTION("""COMPUTED_VALUE"""),103655.0)</f>
        <v>103655</v>
      </c>
      <c r="B592" s="11">
        <f>IFERROR(__xludf.DUMMYFUNCTION("""COMPUTED_VALUE"""),1.0)</f>
        <v>1</v>
      </c>
      <c r="C592" s="11">
        <f>IFERROR(__xludf.DUMMYFUNCTION("""COMPUTED_VALUE"""),70.0)</f>
        <v>70</v>
      </c>
      <c r="D592" s="11">
        <f>IFERROR(__xludf.DUMMYFUNCTION("""COMPUTED_VALUE"""),30.0)</f>
        <v>30</v>
      </c>
      <c r="E592" s="9"/>
    </row>
    <row r="593">
      <c r="A593" s="10">
        <f>IFERROR(__xludf.DUMMYFUNCTION("""COMPUTED_VALUE"""),103656.0)</f>
        <v>103656</v>
      </c>
      <c r="B593" s="11">
        <f>IFERROR(__xludf.DUMMYFUNCTION("""COMPUTED_VALUE"""),1.0)</f>
        <v>1</v>
      </c>
      <c r="C593" s="11">
        <f>IFERROR(__xludf.DUMMYFUNCTION("""COMPUTED_VALUE"""),938.0)</f>
        <v>938</v>
      </c>
      <c r="D593" s="11">
        <f>IFERROR(__xludf.DUMMYFUNCTION("""COMPUTED_VALUE"""),861.0)</f>
        <v>861</v>
      </c>
      <c r="E593" s="9"/>
    </row>
    <row r="594">
      <c r="A594" s="10">
        <f>IFERROR(__xludf.DUMMYFUNCTION("""COMPUTED_VALUE"""),103704.0)</f>
        <v>103704</v>
      </c>
      <c r="B594" s="11">
        <f>IFERROR(__xludf.DUMMYFUNCTION("""COMPUTED_VALUE"""),1.0)</f>
        <v>1</v>
      </c>
      <c r="C594" s="11">
        <f>IFERROR(__xludf.DUMMYFUNCTION("""COMPUTED_VALUE"""),452.0)</f>
        <v>452</v>
      </c>
      <c r="D594" s="11">
        <f>IFERROR(__xludf.DUMMYFUNCTION("""COMPUTED_VALUE"""),195.0)</f>
        <v>195</v>
      </c>
      <c r="E594" s="9"/>
    </row>
    <row r="595">
      <c r="A595" s="10">
        <f>IFERROR(__xludf.DUMMYFUNCTION("""COMPUTED_VALUE"""),46759.0)</f>
        <v>46759</v>
      </c>
      <c r="B595" s="11">
        <f>IFERROR(__xludf.DUMMYFUNCTION("""COMPUTED_VALUE"""),1.0)</f>
        <v>1</v>
      </c>
      <c r="C595" s="11">
        <f>IFERROR(__xludf.DUMMYFUNCTION("""COMPUTED_VALUE"""),913.0)</f>
        <v>913</v>
      </c>
      <c r="D595" s="11">
        <f>IFERROR(__xludf.DUMMYFUNCTION("""COMPUTED_VALUE"""),8.0)</f>
        <v>8</v>
      </c>
      <c r="E595" s="9"/>
    </row>
    <row r="596">
      <c r="A596" s="10">
        <f>IFERROR(__xludf.DUMMYFUNCTION("""COMPUTED_VALUE"""),113594.0)</f>
        <v>113594</v>
      </c>
      <c r="B596" s="11">
        <f>IFERROR(__xludf.DUMMYFUNCTION("""COMPUTED_VALUE"""),0.0)</f>
        <v>0</v>
      </c>
      <c r="C596" s="11">
        <f>IFERROR(__xludf.DUMMYFUNCTION("""COMPUTED_VALUE"""),679.0)</f>
        <v>679</v>
      </c>
      <c r="D596" s="11">
        <f>IFERROR(__xludf.DUMMYFUNCTION("""COMPUTED_VALUE"""),100.0)</f>
        <v>100</v>
      </c>
      <c r="E596" s="9"/>
    </row>
    <row r="597">
      <c r="A597" s="10">
        <f>IFERROR(__xludf.DUMMYFUNCTION("""COMPUTED_VALUE"""),111791.0)</f>
        <v>111791</v>
      </c>
      <c r="B597" s="11">
        <f>IFERROR(__xludf.DUMMYFUNCTION("""COMPUTED_VALUE"""),0.0)</f>
        <v>0</v>
      </c>
      <c r="C597" s="11">
        <f>IFERROR(__xludf.DUMMYFUNCTION("""COMPUTED_VALUE"""),82.0)</f>
        <v>82</v>
      </c>
      <c r="D597" s="11">
        <f>IFERROR(__xludf.DUMMYFUNCTION("""COMPUTED_VALUE"""),14.0)</f>
        <v>14</v>
      </c>
      <c r="E597" s="9"/>
    </row>
    <row r="598">
      <c r="A598" s="10">
        <f>IFERROR(__xludf.DUMMYFUNCTION("""COMPUTED_VALUE"""),44674.0)</f>
        <v>44674</v>
      </c>
      <c r="B598" s="11">
        <f>IFERROR(__xludf.DUMMYFUNCTION("""COMPUTED_VALUE"""),1.0)</f>
        <v>1</v>
      </c>
      <c r="C598" s="11">
        <f>IFERROR(__xludf.DUMMYFUNCTION("""COMPUTED_VALUE"""),979.0)</f>
        <v>979</v>
      </c>
      <c r="D598" s="11">
        <f>IFERROR(__xludf.DUMMYFUNCTION("""COMPUTED_VALUE"""),316.0)</f>
        <v>316</v>
      </c>
      <c r="E598" s="9"/>
    </row>
    <row r="599">
      <c r="A599" s="10">
        <f>IFERROR(__xludf.DUMMYFUNCTION("""COMPUTED_VALUE"""),48639.0)</f>
        <v>48639</v>
      </c>
      <c r="B599" s="11">
        <f>IFERROR(__xludf.DUMMYFUNCTION("""COMPUTED_VALUE"""),1.0)</f>
        <v>1</v>
      </c>
      <c r="C599" s="11">
        <f>IFERROR(__xludf.DUMMYFUNCTION("""COMPUTED_VALUE"""),630.0)</f>
        <v>630</v>
      </c>
      <c r="D599" s="11">
        <f>IFERROR(__xludf.DUMMYFUNCTION("""COMPUTED_VALUE"""),9.0)</f>
        <v>9</v>
      </c>
      <c r="E599" s="9"/>
    </row>
    <row r="600">
      <c r="A600" s="10">
        <f>IFERROR(__xludf.DUMMYFUNCTION("""COMPUTED_VALUE"""),76559.0)</f>
        <v>76559</v>
      </c>
      <c r="B600" s="11">
        <f>IFERROR(__xludf.DUMMYFUNCTION("""COMPUTED_VALUE"""),0.0)</f>
        <v>0</v>
      </c>
      <c r="C600" s="11">
        <f>IFERROR(__xludf.DUMMYFUNCTION("""COMPUTED_VALUE"""),566.0)</f>
        <v>566</v>
      </c>
      <c r="D600" s="11">
        <f>IFERROR(__xludf.DUMMYFUNCTION("""COMPUTED_VALUE"""),248.0)</f>
        <v>248</v>
      </c>
      <c r="E600" s="9"/>
    </row>
    <row r="601">
      <c r="A601" s="10">
        <f>IFERROR(__xludf.DUMMYFUNCTION("""COMPUTED_VALUE"""),22112.0)</f>
        <v>22112</v>
      </c>
      <c r="B601" s="11">
        <f>IFERROR(__xludf.DUMMYFUNCTION("""COMPUTED_VALUE"""),0.0)</f>
        <v>0</v>
      </c>
      <c r="C601" s="11">
        <f>IFERROR(__xludf.DUMMYFUNCTION("""COMPUTED_VALUE"""),626.0)</f>
        <v>626</v>
      </c>
      <c r="D601" s="11">
        <f>IFERROR(__xludf.DUMMYFUNCTION("""COMPUTED_VALUE"""),284.0)</f>
        <v>284</v>
      </c>
      <c r="E601" s="9"/>
    </row>
    <row r="602">
      <c r="A602" s="10">
        <f>IFERROR(__xludf.DUMMYFUNCTION("""COMPUTED_VALUE"""),84390.0)</f>
        <v>84390</v>
      </c>
      <c r="B602" s="11">
        <f>IFERROR(__xludf.DUMMYFUNCTION("""COMPUTED_VALUE"""),0.0)</f>
        <v>0</v>
      </c>
      <c r="C602" s="11">
        <f>IFERROR(__xludf.DUMMYFUNCTION("""COMPUTED_VALUE"""),572.0)</f>
        <v>572</v>
      </c>
      <c r="D602" s="11">
        <f>IFERROR(__xludf.DUMMYFUNCTION("""COMPUTED_VALUE"""),560.0)</f>
        <v>560</v>
      </c>
      <c r="E602" s="9"/>
    </row>
    <row r="603">
      <c r="A603" s="10">
        <f>IFERROR(__xludf.DUMMYFUNCTION("""COMPUTED_VALUE"""),100327.0)</f>
        <v>100327</v>
      </c>
      <c r="B603" s="11">
        <f>IFERROR(__xludf.DUMMYFUNCTION("""COMPUTED_VALUE"""),0.0)</f>
        <v>0</v>
      </c>
      <c r="C603" s="11">
        <f>IFERROR(__xludf.DUMMYFUNCTION("""COMPUTED_VALUE"""),711.0)</f>
        <v>711</v>
      </c>
      <c r="D603" s="11">
        <f>IFERROR(__xludf.DUMMYFUNCTION("""COMPUTED_VALUE"""),560.0)</f>
        <v>560</v>
      </c>
      <c r="E603" s="9"/>
    </row>
    <row r="604">
      <c r="A604" s="10">
        <f>IFERROR(__xludf.DUMMYFUNCTION("""COMPUTED_VALUE"""),81427.0)</f>
        <v>81427</v>
      </c>
      <c r="B604" s="11">
        <f>IFERROR(__xludf.DUMMYFUNCTION("""COMPUTED_VALUE"""),0.0)</f>
        <v>0</v>
      </c>
      <c r="C604" s="11">
        <f>IFERROR(__xludf.DUMMYFUNCTION("""COMPUTED_VALUE"""),202.0)</f>
        <v>202</v>
      </c>
      <c r="D604" s="11">
        <f>IFERROR(__xludf.DUMMYFUNCTION("""COMPUTED_VALUE"""),160.0)</f>
        <v>160</v>
      </c>
      <c r="E604" s="9"/>
    </row>
    <row r="605">
      <c r="A605" s="10">
        <f>IFERROR(__xludf.DUMMYFUNCTION("""COMPUTED_VALUE"""),19847.0)</f>
        <v>19847</v>
      </c>
      <c r="B605" s="11">
        <f>IFERROR(__xludf.DUMMYFUNCTION("""COMPUTED_VALUE"""),1.0)</f>
        <v>1</v>
      </c>
      <c r="C605" s="11">
        <f>IFERROR(__xludf.DUMMYFUNCTION("""COMPUTED_VALUE"""),287.0)</f>
        <v>287</v>
      </c>
      <c r="D605" s="11">
        <f>IFERROR(__xludf.DUMMYFUNCTION("""COMPUTED_VALUE"""),127.0)</f>
        <v>127</v>
      </c>
      <c r="E605" s="9"/>
    </row>
    <row r="606">
      <c r="A606" s="10">
        <f>IFERROR(__xludf.DUMMYFUNCTION("""COMPUTED_VALUE"""),121989.0)</f>
        <v>121989</v>
      </c>
      <c r="B606" s="11">
        <f>IFERROR(__xludf.DUMMYFUNCTION("""COMPUTED_VALUE"""),0.0)</f>
        <v>0</v>
      </c>
      <c r="C606" s="11">
        <f>IFERROR(__xludf.DUMMYFUNCTION("""COMPUTED_VALUE"""),590.0)</f>
        <v>590</v>
      </c>
      <c r="D606" s="11">
        <f>IFERROR(__xludf.DUMMYFUNCTION("""COMPUTED_VALUE"""),393.0)</f>
        <v>393</v>
      </c>
      <c r="E606" s="9"/>
    </row>
    <row r="607">
      <c r="A607" s="10">
        <f>IFERROR(__xludf.DUMMYFUNCTION("""COMPUTED_VALUE"""),3431.0)</f>
        <v>3431</v>
      </c>
      <c r="B607" s="11">
        <f>IFERROR(__xludf.DUMMYFUNCTION("""COMPUTED_VALUE"""),1.0)</f>
        <v>1</v>
      </c>
      <c r="C607" s="11">
        <f>IFERROR(__xludf.DUMMYFUNCTION("""COMPUTED_VALUE"""),849.0)</f>
        <v>849</v>
      </c>
      <c r="D607" s="11">
        <f>IFERROR(__xludf.DUMMYFUNCTION("""COMPUTED_VALUE"""),118.0)</f>
        <v>118</v>
      </c>
      <c r="E607" s="9"/>
    </row>
    <row r="608">
      <c r="A608" s="10">
        <f>IFERROR(__xludf.DUMMYFUNCTION("""COMPUTED_VALUE"""),68858.0)</f>
        <v>68858</v>
      </c>
      <c r="B608" s="11">
        <f>IFERROR(__xludf.DUMMYFUNCTION("""COMPUTED_VALUE"""),0.0)</f>
        <v>0</v>
      </c>
      <c r="C608" s="11">
        <f>IFERROR(__xludf.DUMMYFUNCTION("""COMPUTED_VALUE"""),181.0)</f>
        <v>181</v>
      </c>
      <c r="D608" s="11">
        <f>IFERROR(__xludf.DUMMYFUNCTION("""COMPUTED_VALUE"""),21.0)</f>
        <v>21</v>
      </c>
      <c r="E608" s="9"/>
    </row>
    <row r="609">
      <c r="A609" s="10">
        <f>IFERROR(__xludf.DUMMYFUNCTION("""COMPUTED_VALUE"""),147279.0)</f>
        <v>147279</v>
      </c>
      <c r="B609" s="11">
        <f>IFERROR(__xludf.DUMMYFUNCTION("""COMPUTED_VALUE"""),0.0)</f>
        <v>0</v>
      </c>
      <c r="C609" s="11">
        <f>IFERROR(__xludf.DUMMYFUNCTION("""COMPUTED_VALUE"""),886.0)</f>
        <v>886</v>
      </c>
      <c r="D609" s="11">
        <f>IFERROR(__xludf.DUMMYFUNCTION("""COMPUTED_VALUE"""),135.0)</f>
        <v>135</v>
      </c>
      <c r="E609" s="9"/>
    </row>
    <row r="610">
      <c r="A610" s="10">
        <f>IFERROR(__xludf.DUMMYFUNCTION("""COMPUTED_VALUE"""),19853.0)</f>
        <v>19853</v>
      </c>
      <c r="B610" s="11">
        <f>IFERROR(__xludf.DUMMYFUNCTION("""COMPUTED_VALUE"""),0.0)</f>
        <v>0</v>
      </c>
      <c r="C610" s="11">
        <f>IFERROR(__xludf.DUMMYFUNCTION("""COMPUTED_VALUE"""),547.0)</f>
        <v>547</v>
      </c>
      <c r="D610" s="11">
        <f>IFERROR(__xludf.DUMMYFUNCTION("""COMPUTED_VALUE"""),409.0)</f>
        <v>409</v>
      </c>
      <c r="E610" s="9"/>
    </row>
    <row r="611">
      <c r="A611" s="10">
        <f>IFERROR(__xludf.DUMMYFUNCTION("""COMPUTED_VALUE"""),84315.0)</f>
        <v>84315</v>
      </c>
      <c r="B611" s="11">
        <f>IFERROR(__xludf.DUMMYFUNCTION("""COMPUTED_VALUE"""),0.0)</f>
        <v>0</v>
      </c>
      <c r="C611" s="11">
        <f>IFERROR(__xludf.DUMMYFUNCTION("""COMPUTED_VALUE"""),356.0)</f>
        <v>356</v>
      </c>
      <c r="D611" s="11">
        <f>IFERROR(__xludf.DUMMYFUNCTION("""COMPUTED_VALUE"""),178.0)</f>
        <v>178</v>
      </c>
      <c r="E611" s="9"/>
    </row>
    <row r="612">
      <c r="A612" s="10">
        <f>IFERROR(__xludf.DUMMYFUNCTION("""COMPUTED_VALUE"""),3433.0)</f>
        <v>3433</v>
      </c>
      <c r="B612" s="11">
        <f>IFERROR(__xludf.DUMMYFUNCTION("""COMPUTED_VALUE"""),1.0)</f>
        <v>1</v>
      </c>
      <c r="C612" s="11">
        <f>IFERROR(__xludf.DUMMYFUNCTION("""COMPUTED_VALUE"""),541.0)</f>
        <v>541</v>
      </c>
      <c r="D612" s="11">
        <f>IFERROR(__xludf.DUMMYFUNCTION("""COMPUTED_VALUE"""),432.0)</f>
        <v>432</v>
      </c>
      <c r="E612" s="9"/>
    </row>
    <row r="613">
      <c r="A613" s="10">
        <f>IFERROR(__xludf.DUMMYFUNCTION("""COMPUTED_VALUE"""),48640.0)</f>
        <v>48640</v>
      </c>
      <c r="B613" s="11">
        <f>IFERROR(__xludf.DUMMYFUNCTION("""COMPUTED_VALUE"""),1.0)</f>
        <v>1</v>
      </c>
      <c r="C613" s="11">
        <f>IFERROR(__xludf.DUMMYFUNCTION("""COMPUTED_VALUE"""),908.0)</f>
        <v>908</v>
      </c>
      <c r="D613" s="11">
        <f>IFERROR(__xludf.DUMMYFUNCTION("""COMPUTED_VALUE"""),170.0)</f>
        <v>170</v>
      </c>
      <c r="E613" s="9"/>
    </row>
    <row r="614">
      <c r="A614" s="10">
        <f>IFERROR(__xludf.DUMMYFUNCTION("""COMPUTED_VALUE"""),81678.0)</f>
        <v>81678</v>
      </c>
      <c r="B614" s="11">
        <f>IFERROR(__xludf.DUMMYFUNCTION("""COMPUTED_VALUE"""),0.0)</f>
        <v>0</v>
      </c>
      <c r="C614" s="11">
        <f>IFERROR(__xludf.DUMMYFUNCTION("""COMPUTED_VALUE"""),34.0)</f>
        <v>34</v>
      </c>
      <c r="D614" s="11">
        <f>IFERROR(__xludf.DUMMYFUNCTION("""COMPUTED_VALUE"""),27.0)</f>
        <v>27</v>
      </c>
      <c r="E614" s="9"/>
    </row>
    <row r="615">
      <c r="A615" s="10">
        <f>IFERROR(__xludf.DUMMYFUNCTION("""COMPUTED_VALUE"""),117528.0)</f>
        <v>117528</v>
      </c>
      <c r="B615" s="11">
        <f>IFERROR(__xludf.DUMMYFUNCTION("""COMPUTED_VALUE"""),1.0)</f>
        <v>1</v>
      </c>
      <c r="C615" s="11">
        <f>IFERROR(__xludf.DUMMYFUNCTION("""COMPUTED_VALUE"""),97.0)</f>
        <v>97</v>
      </c>
      <c r="D615" s="11">
        <f>IFERROR(__xludf.DUMMYFUNCTION("""COMPUTED_VALUE"""),67.0)</f>
        <v>67</v>
      </c>
      <c r="E615" s="9"/>
    </row>
    <row r="616">
      <c r="A616" s="10">
        <f>IFERROR(__xludf.DUMMYFUNCTION("""COMPUTED_VALUE"""),84324.0)</f>
        <v>84324</v>
      </c>
      <c r="B616" s="11">
        <f>IFERROR(__xludf.DUMMYFUNCTION("""COMPUTED_VALUE"""),0.0)</f>
        <v>0</v>
      </c>
      <c r="C616" s="11">
        <f>IFERROR(__xludf.DUMMYFUNCTION("""COMPUTED_VALUE"""),916.0)</f>
        <v>916</v>
      </c>
      <c r="D616" s="11">
        <f>IFERROR(__xludf.DUMMYFUNCTION("""COMPUTED_VALUE"""),502.0)</f>
        <v>502</v>
      </c>
      <c r="E616" s="9"/>
    </row>
    <row r="617">
      <c r="A617" s="10">
        <f>IFERROR(__xludf.DUMMYFUNCTION("""COMPUTED_VALUE"""),3420.0)</f>
        <v>3420</v>
      </c>
      <c r="B617" s="11">
        <f>IFERROR(__xludf.DUMMYFUNCTION("""COMPUTED_VALUE"""),1.0)</f>
        <v>1</v>
      </c>
      <c r="C617" s="11">
        <f>IFERROR(__xludf.DUMMYFUNCTION("""COMPUTED_VALUE"""),284.0)</f>
        <v>284</v>
      </c>
      <c r="D617" s="11">
        <f>IFERROR(__xludf.DUMMYFUNCTION("""COMPUTED_VALUE"""),93.0)</f>
        <v>93</v>
      </c>
      <c r="E617" s="9"/>
    </row>
    <row r="618">
      <c r="A618" s="10">
        <f>IFERROR(__xludf.DUMMYFUNCTION("""COMPUTED_VALUE"""),19837.0)</f>
        <v>19837</v>
      </c>
      <c r="B618" s="11">
        <f>IFERROR(__xludf.DUMMYFUNCTION("""COMPUTED_VALUE"""),1.0)</f>
        <v>1</v>
      </c>
      <c r="C618" s="11">
        <f>IFERROR(__xludf.DUMMYFUNCTION("""COMPUTED_VALUE"""),393.0)</f>
        <v>393</v>
      </c>
      <c r="D618" s="11">
        <f>IFERROR(__xludf.DUMMYFUNCTION("""COMPUTED_VALUE"""),158.0)</f>
        <v>158</v>
      </c>
      <c r="E618" s="9"/>
    </row>
    <row r="619">
      <c r="A619" s="10">
        <f>IFERROR(__xludf.DUMMYFUNCTION("""COMPUTED_VALUE"""),19835.0)</f>
        <v>19835</v>
      </c>
      <c r="B619" s="11">
        <f>IFERROR(__xludf.DUMMYFUNCTION("""COMPUTED_VALUE"""),1.0)</f>
        <v>1</v>
      </c>
      <c r="C619" s="11">
        <f>IFERROR(__xludf.DUMMYFUNCTION("""COMPUTED_VALUE"""),553.0)</f>
        <v>553</v>
      </c>
      <c r="D619" s="11">
        <f>IFERROR(__xludf.DUMMYFUNCTION("""COMPUTED_VALUE"""),538.0)</f>
        <v>538</v>
      </c>
      <c r="E619" s="9"/>
    </row>
    <row r="620">
      <c r="A620" s="10">
        <f>IFERROR(__xludf.DUMMYFUNCTION("""COMPUTED_VALUE"""),69109.0)</f>
        <v>69109</v>
      </c>
      <c r="B620" s="11">
        <f>IFERROR(__xludf.DUMMYFUNCTION("""COMPUTED_VALUE"""),0.0)</f>
        <v>0</v>
      </c>
      <c r="C620" s="11">
        <f>IFERROR(__xludf.DUMMYFUNCTION("""COMPUTED_VALUE"""),169.0)</f>
        <v>169</v>
      </c>
      <c r="D620" s="11">
        <f>IFERROR(__xludf.DUMMYFUNCTION("""COMPUTED_VALUE"""),46.0)</f>
        <v>46</v>
      </c>
      <c r="E620" s="9"/>
    </row>
    <row r="621">
      <c r="A621" s="10">
        <f>IFERROR(__xludf.DUMMYFUNCTION("""COMPUTED_VALUE"""),104387.0)</f>
        <v>104387</v>
      </c>
      <c r="B621" s="11">
        <f>IFERROR(__xludf.DUMMYFUNCTION("""COMPUTED_VALUE"""),0.0)</f>
        <v>0</v>
      </c>
      <c r="C621" s="11">
        <f>IFERROR(__xludf.DUMMYFUNCTION("""COMPUTED_VALUE"""),455.0)</f>
        <v>455</v>
      </c>
      <c r="D621" s="11">
        <f>IFERROR(__xludf.DUMMYFUNCTION("""COMPUTED_VALUE"""),236.0)</f>
        <v>236</v>
      </c>
      <c r="E621" s="9"/>
    </row>
    <row r="622">
      <c r="A622" s="10">
        <f>IFERROR(__xludf.DUMMYFUNCTION("""COMPUTED_VALUE"""),19843.0)</f>
        <v>19843</v>
      </c>
      <c r="B622" s="11">
        <f>IFERROR(__xludf.DUMMYFUNCTION("""COMPUTED_VALUE"""),0.0)</f>
        <v>0</v>
      </c>
      <c r="C622" s="11">
        <f>IFERROR(__xludf.DUMMYFUNCTION("""COMPUTED_VALUE"""),549.0)</f>
        <v>549</v>
      </c>
      <c r="D622" s="11">
        <f>IFERROR(__xludf.DUMMYFUNCTION("""COMPUTED_VALUE"""),506.0)</f>
        <v>506</v>
      </c>
      <c r="E622" s="9"/>
    </row>
    <row r="623">
      <c r="A623" s="10">
        <f>IFERROR(__xludf.DUMMYFUNCTION("""COMPUTED_VALUE"""),117523.0)</f>
        <v>117523</v>
      </c>
      <c r="B623" s="11">
        <f>IFERROR(__xludf.DUMMYFUNCTION("""COMPUTED_VALUE"""),1.0)</f>
        <v>1</v>
      </c>
      <c r="C623" s="11">
        <f>IFERROR(__xludf.DUMMYFUNCTION("""COMPUTED_VALUE"""),94.0)</f>
        <v>94</v>
      </c>
      <c r="D623" s="11">
        <f>IFERROR(__xludf.DUMMYFUNCTION("""COMPUTED_VALUE"""),56.0)</f>
        <v>56</v>
      </c>
      <c r="E623" s="9"/>
    </row>
    <row r="624">
      <c r="A624" s="10">
        <f>IFERROR(__xludf.DUMMYFUNCTION("""COMPUTED_VALUE"""),121981.0)</f>
        <v>121981</v>
      </c>
      <c r="B624" s="11">
        <f>IFERROR(__xludf.DUMMYFUNCTION("""COMPUTED_VALUE"""),1.0)</f>
        <v>1</v>
      </c>
      <c r="C624" s="11">
        <f>IFERROR(__xludf.DUMMYFUNCTION("""COMPUTED_VALUE"""),264.0)</f>
        <v>264</v>
      </c>
      <c r="D624" s="11">
        <f>IFERROR(__xludf.DUMMYFUNCTION("""COMPUTED_VALUE"""),153.0)</f>
        <v>153</v>
      </c>
      <c r="E624" s="9"/>
    </row>
    <row r="625">
      <c r="A625" s="10">
        <f>IFERROR(__xludf.DUMMYFUNCTION("""COMPUTED_VALUE"""),121993.0)</f>
        <v>121993</v>
      </c>
      <c r="B625" s="11">
        <f>IFERROR(__xludf.DUMMYFUNCTION("""COMPUTED_VALUE"""),0.0)</f>
        <v>0</v>
      </c>
      <c r="C625" s="11">
        <f>IFERROR(__xludf.DUMMYFUNCTION("""COMPUTED_VALUE"""),256.0)</f>
        <v>256</v>
      </c>
      <c r="D625" s="11">
        <f>IFERROR(__xludf.DUMMYFUNCTION("""COMPUTED_VALUE"""),211.0)</f>
        <v>211</v>
      </c>
      <c r="E625" s="9"/>
    </row>
    <row r="626">
      <c r="A626" s="10">
        <f>IFERROR(__xludf.DUMMYFUNCTION("""COMPUTED_VALUE"""),81389.0)</f>
        <v>81389</v>
      </c>
      <c r="B626" s="11">
        <f>IFERROR(__xludf.DUMMYFUNCTION("""COMPUTED_VALUE"""),1.0)</f>
        <v>1</v>
      </c>
      <c r="C626" s="11">
        <f>IFERROR(__xludf.DUMMYFUNCTION("""COMPUTED_VALUE"""),704.0)</f>
        <v>704</v>
      </c>
      <c r="D626" s="11">
        <f>IFERROR(__xludf.DUMMYFUNCTION("""COMPUTED_VALUE"""),493.0)</f>
        <v>493</v>
      </c>
      <c r="E626" s="9"/>
    </row>
    <row r="627">
      <c r="A627" s="10">
        <f>IFERROR(__xludf.DUMMYFUNCTION("""COMPUTED_VALUE"""),99473.0)</f>
        <v>99473</v>
      </c>
      <c r="B627" s="11">
        <f>IFERROR(__xludf.DUMMYFUNCTION("""COMPUTED_VALUE"""),0.0)</f>
        <v>0</v>
      </c>
      <c r="C627" s="11">
        <f>IFERROR(__xludf.DUMMYFUNCTION("""COMPUTED_VALUE"""),847.0)</f>
        <v>847</v>
      </c>
      <c r="D627" s="11">
        <f>IFERROR(__xludf.DUMMYFUNCTION("""COMPUTED_VALUE"""),705.0)</f>
        <v>705</v>
      </c>
      <c r="E627" s="9"/>
    </row>
    <row r="628">
      <c r="A628" s="10">
        <f>IFERROR(__xludf.DUMMYFUNCTION("""COMPUTED_VALUE"""),81393.0)</f>
        <v>81393</v>
      </c>
      <c r="B628" s="11">
        <f>IFERROR(__xludf.DUMMYFUNCTION("""COMPUTED_VALUE"""),0.0)</f>
        <v>0</v>
      </c>
      <c r="C628" s="11">
        <f>IFERROR(__xludf.DUMMYFUNCTION("""COMPUTED_VALUE"""),915.0)</f>
        <v>915</v>
      </c>
      <c r="D628" s="11">
        <f>IFERROR(__xludf.DUMMYFUNCTION("""COMPUTED_VALUE"""),547.0)</f>
        <v>547</v>
      </c>
      <c r="E628" s="9"/>
    </row>
    <row r="629">
      <c r="A629" s="10">
        <f>IFERROR(__xludf.DUMMYFUNCTION("""COMPUTED_VALUE"""),104364.0)</f>
        <v>104364</v>
      </c>
      <c r="B629" s="11">
        <f>IFERROR(__xludf.DUMMYFUNCTION("""COMPUTED_VALUE"""),0.0)</f>
        <v>0</v>
      </c>
      <c r="C629" s="11">
        <f>IFERROR(__xludf.DUMMYFUNCTION("""COMPUTED_VALUE"""),141.0)</f>
        <v>141</v>
      </c>
      <c r="D629" s="11">
        <f>IFERROR(__xludf.DUMMYFUNCTION("""COMPUTED_VALUE"""),141.0)</f>
        <v>141</v>
      </c>
      <c r="E629" s="9"/>
    </row>
    <row r="630">
      <c r="A630" s="10">
        <f>IFERROR(__xludf.DUMMYFUNCTION("""COMPUTED_VALUE"""),76602.0)</f>
        <v>76602</v>
      </c>
      <c r="B630" s="11">
        <f>IFERROR(__xludf.DUMMYFUNCTION("""COMPUTED_VALUE"""),0.0)</f>
        <v>0</v>
      </c>
      <c r="C630" s="11">
        <f>IFERROR(__xludf.DUMMYFUNCTION("""COMPUTED_VALUE"""),465.0)</f>
        <v>465</v>
      </c>
      <c r="D630" s="11">
        <f>IFERROR(__xludf.DUMMYFUNCTION("""COMPUTED_VALUE"""),189.0)</f>
        <v>189</v>
      </c>
      <c r="E630" s="9"/>
    </row>
    <row r="631">
      <c r="A631" s="10">
        <f>IFERROR(__xludf.DUMMYFUNCTION("""COMPUTED_VALUE"""),119824.0)</f>
        <v>119824</v>
      </c>
      <c r="B631" s="11">
        <f>IFERROR(__xludf.DUMMYFUNCTION("""COMPUTED_VALUE"""),1.0)</f>
        <v>1</v>
      </c>
      <c r="C631" s="11">
        <f>IFERROR(__xludf.DUMMYFUNCTION("""COMPUTED_VALUE"""),406.0)</f>
        <v>406</v>
      </c>
      <c r="D631" s="11">
        <f>IFERROR(__xludf.DUMMYFUNCTION("""COMPUTED_VALUE"""),88.0)</f>
        <v>88</v>
      </c>
      <c r="E631" s="9"/>
    </row>
    <row r="632">
      <c r="A632" s="10">
        <f>IFERROR(__xludf.DUMMYFUNCTION("""COMPUTED_VALUE"""),112618.0)</f>
        <v>112618</v>
      </c>
      <c r="B632" s="11">
        <f>IFERROR(__xludf.DUMMYFUNCTION("""COMPUTED_VALUE"""),0.0)</f>
        <v>0</v>
      </c>
      <c r="C632" s="11">
        <f>IFERROR(__xludf.DUMMYFUNCTION("""COMPUTED_VALUE"""),465.0)</f>
        <v>465</v>
      </c>
      <c r="D632" s="11">
        <f>IFERROR(__xludf.DUMMYFUNCTION("""COMPUTED_VALUE"""),67.0)</f>
        <v>67</v>
      </c>
      <c r="E632" s="9"/>
    </row>
    <row r="633">
      <c r="A633" s="10">
        <f>IFERROR(__xludf.DUMMYFUNCTION("""COMPUTED_VALUE"""),112617.0)</f>
        <v>112617</v>
      </c>
      <c r="B633" s="11">
        <f>IFERROR(__xludf.DUMMYFUNCTION("""COMPUTED_VALUE"""),1.0)</f>
        <v>1</v>
      </c>
      <c r="C633" s="11">
        <f>IFERROR(__xludf.DUMMYFUNCTION("""COMPUTED_VALUE"""),382.0)</f>
        <v>382</v>
      </c>
      <c r="D633" s="11">
        <f>IFERROR(__xludf.DUMMYFUNCTION("""COMPUTED_VALUE"""),29.0)</f>
        <v>29</v>
      </c>
      <c r="E633" s="9"/>
    </row>
    <row r="634">
      <c r="A634" s="10">
        <f>IFERROR(__xludf.DUMMYFUNCTION("""COMPUTED_VALUE"""),113963.0)</f>
        <v>113963</v>
      </c>
      <c r="B634" s="11">
        <f>IFERROR(__xludf.DUMMYFUNCTION("""COMPUTED_VALUE"""),0.0)</f>
        <v>0</v>
      </c>
      <c r="C634" s="11">
        <f>IFERROR(__xludf.DUMMYFUNCTION("""COMPUTED_VALUE"""),547.0)</f>
        <v>547</v>
      </c>
      <c r="D634" s="11">
        <f>IFERROR(__xludf.DUMMYFUNCTION("""COMPUTED_VALUE"""),87.0)</f>
        <v>87</v>
      </c>
      <c r="E634" s="9"/>
    </row>
    <row r="635">
      <c r="A635" s="10">
        <f>IFERROR(__xludf.DUMMYFUNCTION("""COMPUTED_VALUE"""),104359.0)</f>
        <v>104359</v>
      </c>
      <c r="B635" s="11">
        <f>IFERROR(__xludf.DUMMYFUNCTION("""COMPUTED_VALUE"""),0.0)</f>
        <v>0</v>
      </c>
      <c r="C635" s="11">
        <f>IFERROR(__xludf.DUMMYFUNCTION("""COMPUTED_VALUE"""),790.0)</f>
        <v>790</v>
      </c>
      <c r="D635" s="11">
        <f>IFERROR(__xludf.DUMMYFUNCTION("""COMPUTED_VALUE"""),635.0)</f>
        <v>635</v>
      </c>
      <c r="E635" s="9"/>
    </row>
    <row r="636">
      <c r="A636" s="10">
        <f>IFERROR(__xludf.DUMMYFUNCTION("""COMPUTED_VALUE"""),81675.0)</f>
        <v>81675</v>
      </c>
      <c r="B636" s="11">
        <f>IFERROR(__xludf.DUMMYFUNCTION("""COMPUTED_VALUE"""),1.0)</f>
        <v>1</v>
      </c>
      <c r="C636" s="11">
        <f>IFERROR(__xludf.DUMMYFUNCTION("""COMPUTED_VALUE"""),575.0)</f>
        <v>575</v>
      </c>
      <c r="D636" s="11">
        <f>IFERROR(__xludf.DUMMYFUNCTION("""COMPUTED_VALUE"""),3.0)</f>
        <v>3</v>
      </c>
      <c r="E636" s="9"/>
    </row>
    <row r="637">
      <c r="A637" s="10">
        <f>IFERROR(__xludf.DUMMYFUNCTION("""COMPUTED_VALUE"""),84835.0)</f>
        <v>84835</v>
      </c>
      <c r="B637" s="11">
        <f>IFERROR(__xludf.DUMMYFUNCTION("""COMPUTED_VALUE"""),1.0)</f>
        <v>1</v>
      </c>
      <c r="C637" s="11">
        <f>IFERROR(__xludf.DUMMYFUNCTION("""COMPUTED_VALUE"""),483.0)</f>
        <v>483</v>
      </c>
      <c r="D637" s="11">
        <f>IFERROR(__xludf.DUMMYFUNCTION("""COMPUTED_VALUE"""),377.0)</f>
        <v>377</v>
      </c>
      <c r="E637" s="9"/>
    </row>
    <row r="638">
      <c r="A638" s="10">
        <f>IFERROR(__xludf.DUMMYFUNCTION("""COMPUTED_VALUE"""),81680.0)</f>
        <v>81680</v>
      </c>
      <c r="B638" s="11">
        <f>IFERROR(__xludf.DUMMYFUNCTION("""COMPUTED_VALUE"""),0.0)</f>
        <v>0</v>
      </c>
      <c r="C638" s="11">
        <f>IFERROR(__xludf.DUMMYFUNCTION("""COMPUTED_VALUE"""),153.0)</f>
        <v>153</v>
      </c>
      <c r="D638" s="11">
        <f>IFERROR(__xludf.DUMMYFUNCTION("""COMPUTED_VALUE"""),74.0)</f>
        <v>74</v>
      </c>
      <c r="E638" s="9"/>
    </row>
    <row r="639">
      <c r="A639" s="10">
        <f>IFERROR(__xludf.DUMMYFUNCTION("""COMPUTED_VALUE"""),104361.0)</f>
        <v>104361</v>
      </c>
      <c r="B639" s="11">
        <f>IFERROR(__xludf.DUMMYFUNCTION("""COMPUTED_VALUE"""),1.0)</f>
        <v>1</v>
      </c>
      <c r="C639" s="11">
        <f>IFERROR(__xludf.DUMMYFUNCTION("""COMPUTED_VALUE"""),429.0)</f>
        <v>429</v>
      </c>
      <c r="D639" s="11">
        <f>IFERROR(__xludf.DUMMYFUNCTION("""COMPUTED_VALUE"""),26.0)</f>
        <v>26</v>
      </c>
      <c r="E639" s="9"/>
    </row>
    <row r="640">
      <c r="A640" s="10">
        <f>IFERROR(__xludf.DUMMYFUNCTION("""COMPUTED_VALUE"""),83080.0)</f>
        <v>83080</v>
      </c>
      <c r="B640" s="11">
        <f>IFERROR(__xludf.DUMMYFUNCTION("""COMPUTED_VALUE"""),0.0)</f>
        <v>0</v>
      </c>
      <c r="C640" s="11">
        <f>IFERROR(__xludf.DUMMYFUNCTION("""COMPUTED_VALUE"""),324.0)</f>
        <v>324</v>
      </c>
      <c r="D640" s="11">
        <f>IFERROR(__xludf.DUMMYFUNCTION("""COMPUTED_VALUE"""),97.0)</f>
        <v>97</v>
      </c>
      <c r="E640" s="9"/>
    </row>
    <row r="641">
      <c r="A641" s="10">
        <f>IFERROR(__xludf.DUMMYFUNCTION("""COMPUTED_VALUE"""),84930.0)</f>
        <v>84930</v>
      </c>
      <c r="B641" s="11">
        <f>IFERROR(__xludf.DUMMYFUNCTION("""COMPUTED_VALUE"""),1.0)</f>
        <v>1</v>
      </c>
      <c r="C641" s="11">
        <f>IFERROR(__xludf.DUMMYFUNCTION("""COMPUTED_VALUE"""),639.0)</f>
        <v>639</v>
      </c>
      <c r="D641" s="11">
        <f>IFERROR(__xludf.DUMMYFUNCTION("""COMPUTED_VALUE"""),376.0)</f>
        <v>376</v>
      </c>
      <c r="E641" s="9"/>
    </row>
    <row r="642">
      <c r="A642" s="10">
        <f>IFERROR(__xludf.DUMMYFUNCTION("""COMPUTED_VALUE"""),19848.0)</f>
        <v>19848</v>
      </c>
      <c r="B642" s="11">
        <f>IFERROR(__xludf.DUMMYFUNCTION("""COMPUTED_VALUE"""),1.0)</f>
        <v>1</v>
      </c>
      <c r="C642" s="11">
        <f>IFERROR(__xludf.DUMMYFUNCTION("""COMPUTED_VALUE"""),130.0)</f>
        <v>130</v>
      </c>
      <c r="D642" s="11">
        <f>IFERROR(__xludf.DUMMYFUNCTION("""COMPUTED_VALUE"""),92.0)</f>
        <v>92</v>
      </c>
      <c r="E642" s="9"/>
    </row>
    <row r="643">
      <c r="A643" s="10">
        <f>IFERROR(__xludf.DUMMYFUNCTION("""COMPUTED_VALUE"""),104362.0)</f>
        <v>104362</v>
      </c>
      <c r="B643" s="11">
        <f>IFERROR(__xludf.DUMMYFUNCTION("""COMPUTED_VALUE"""),0.0)</f>
        <v>0</v>
      </c>
      <c r="C643" s="11">
        <f>IFERROR(__xludf.DUMMYFUNCTION("""COMPUTED_VALUE"""),668.0)</f>
        <v>668</v>
      </c>
      <c r="D643" s="11">
        <f>IFERROR(__xludf.DUMMYFUNCTION("""COMPUTED_VALUE"""),484.0)</f>
        <v>484</v>
      </c>
      <c r="E643" s="9"/>
    </row>
    <row r="644">
      <c r="A644" s="10">
        <f>IFERROR(__xludf.DUMMYFUNCTION("""COMPUTED_VALUE"""),92122.0)</f>
        <v>92122</v>
      </c>
      <c r="B644" s="11">
        <f>IFERROR(__xludf.DUMMYFUNCTION("""COMPUTED_VALUE"""),0.0)</f>
        <v>0</v>
      </c>
      <c r="C644" s="11">
        <f>IFERROR(__xludf.DUMMYFUNCTION("""COMPUTED_VALUE"""),682.0)</f>
        <v>682</v>
      </c>
      <c r="D644" s="11">
        <f>IFERROR(__xludf.DUMMYFUNCTION("""COMPUTED_VALUE"""),309.0)</f>
        <v>309</v>
      </c>
      <c r="E644" s="9"/>
    </row>
    <row r="645">
      <c r="A645" s="10">
        <f>IFERROR(__xludf.DUMMYFUNCTION("""COMPUTED_VALUE"""),15854.0)</f>
        <v>15854</v>
      </c>
      <c r="B645" s="11">
        <f>IFERROR(__xludf.DUMMYFUNCTION("""COMPUTED_VALUE"""),1.0)</f>
        <v>1</v>
      </c>
      <c r="C645" s="11">
        <f>IFERROR(__xludf.DUMMYFUNCTION("""COMPUTED_VALUE"""),924.0)</f>
        <v>924</v>
      </c>
      <c r="D645" s="11">
        <f>IFERROR(__xludf.DUMMYFUNCTION("""COMPUTED_VALUE"""),61.0)</f>
        <v>61</v>
      </c>
      <c r="E645" s="9"/>
    </row>
    <row r="646">
      <c r="A646" s="10">
        <f>IFERROR(__xludf.DUMMYFUNCTION("""COMPUTED_VALUE"""),81383.0)</f>
        <v>81383</v>
      </c>
      <c r="B646" s="11">
        <f>IFERROR(__xludf.DUMMYFUNCTION("""COMPUTED_VALUE"""),0.0)</f>
        <v>0</v>
      </c>
      <c r="C646" s="11">
        <f>IFERROR(__xludf.DUMMYFUNCTION("""COMPUTED_VALUE"""),343.0)</f>
        <v>343</v>
      </c>
      <c r="D646" s="11">
        <f>IFERROR(__xludf.DUMMYFUNCTION("""COMPUTED_VALUE"""),18.0)</f>
        <v>18</v>
      </c>
      <c r="E646" s="9"/>
    </row>
    <row r="647">
      <c r="A647" s="10">
        <f>IFERROR(__xludf.DUMMYFUNCTION("""COMPUTED_VALUE"""),81430.0)</f>
        <v>81430</v>
      </c>
      <c r="B647" s="11">
        <f>IFERROR(__xludf.DUMMYFUNCTION("""COMPUTED_VALUE"""),1.0)</f>
        <v>1</v>
      </c>
      <c r="C647" s="11">
        <f>IFERROR(__xludf.DUMMYFUNCTION("""COMPUTED_VALUE"""),357.0)</f>
        <v>357</v>
      </c>
      <c r="D647" s="11">
        <f>IFERROR(__xludf.DUMMYFUNCTION("""COMPUTED_VALUE"""),293.0)</f>
        <v>293</v>
      </c>
      <c r="E647" s="9"/>
    </row>
    <row r="648">
      <c r="A648" s="10">
        <f>IFERROR(__xludf.DUMMYFUNCTION("""COMPUTED_VALUE"""),84325.0)</f>
        <v>84325</v>
      </c>
      <c r="B648" s="11">
        <f>IFERROR(__xludf.DUMMYFUNCTION("""COMPUTED_VALUE"""),0.0)</f>
        <v>0</v>
      </c>
      <c r="C648" s="11">
        <f>IFERROR(__xludf.DUMMYFUNCTION("""COMPUTED_VALUE"""),270.0)</f>
        <v>270</v>
      </c>
      <c r="D648" s="11">
        <f>IFERROR(__xludf.DUMMYFUNCTION("""COMPUTED_VALUE"""),99.0)</f>
        <v>99</v>
      </c>
      <c r="E648" s="9"/>
    </row>
    <row r="649">
      <c r="A649" s="10">
        <f>IFERROR(__xludf.DUMMYFUNCTION("""COMPUTED_VALUE"""),127244.0)</f>
        <v>127244</v>
      </c>
      <c r="B649" s="11">
        <f>IFERROR(__xludf.DUMMYFUNCTION("""COMPUTED_VALUE"""),0.0)</f>
        <v>0</v>
      </c>
      <c r="C649" s="11">
        <f>IFERROR(__xludf.DUMMYFUNCTION("""COMPUTED_VALUE"""),107.0)</f>
        <v>107</v>
      </c>
      <c r="D649" s="11">
        <f>IFERROR(__xludf.DUMMYFUNCTION("""COMPUTED_VALUE"""),41.0)</f>
        <v>41</v>
      </c>
      <c r="E649" s="9"/>
    </row>
    <row r="650">
      <c r="A650" s="10">
        <f>IFERROR(__xludf.DUMMYFUNCTION("""COMPUTED_VALUE"""),15865.0)</f>
        <v>15865</v>
      </c>
      <c r="B650" s="11">
        <f>IFERROR(__xludf.DUMMYFUNCTION("""COMPUTED_VALUE"""),0.0)</f>
        <v>0</v>
      </c>
      <c r="C650" s="11">
        <f>IFERROR(__xludf.DUMMYFUNCTION("""COMPUTED_VALUE"""),960.0)</f>
        <v>960</v>
      </c>
      <c r="D650" s="11">
        <f>IFERROR(__xludf.DUMMYFUNCTION("""COMPUTED_VALUE"""),394.0)</f>
        <v>394</v>
      </c>
      <c r="E650" s="9"/>
    </row>
    <row r="651">
      <c r="A651" s="10">
        <f>IFERROR(__xludf.DUMMYFUNCTION("""COMPUTED_VALUE"""),121996.0)</f>
        <v>121996</v>
      </c>
      <c r="B651" s="11">
        <f>IFERROR(__xludf.DUMMYFUNCTION("""COMPUTED_VALUE"""),1.0)</f>
        <v>1</v>
      </c>
      <c r="C651" s="11">
        <f>IFERROR(__xludf.DUMMYFUNCTION("""COMPUTED_VALUE"""),915.0)</f>
        <v>915</v>
      </c>
      <c r="D651" s="11">
        <f>IFERROR(__xludf.DUMMYFUNCTION("""COMPUTED_VALUE"""),201.0)</f>
        <v>201</v>
      </c>
      <c r="E651" s="9"/>
    </row>
    <row r="652">
      <c r="A652" s="10">
        <f>IFERROR(__xludf.DUMMYFUNCTION("""COMPUTED_VALUE"""),93083.0)</f>
        <v>93083</v>
      </c>
      <c r="B652" s="11">
        <f>IFERROR(__xludf.DUMMYFUNCTION("""COMPUTED_VALUE"""),0.0)</f>
        <v>0</v>
      </c>
      <c r="C652" s="11">
        <f>IFERROR(__xludf.DUMMYFUNCTION("""COMPUTED_VALUE"""),882.0)</f>
        <v>882</v>
      </c>
      <c r="D652" s="11">
        <f>IFERROR(__xludf.DUMMYFUNCTION("""COMPUTED_VALUE"""),573.0)</f>
        <v>573</v>
      </c>
      <c r="E652" s="9"/>
    </row>
    <row r="653">
      <c r="A653" s="10">
        <f>IFERROR(__xludf.DUMMYFUNCTION("""COMPUTED_VALUE"""),3426.0)</f>
        <v>3426</v>
      </c>
      <c r="B653" s="11">
        <f>IFERROR(__xludf.DUMMYFUNCTION("""COMPUTED_VALUE"""),1.0)</f>
        <v>1</v>
      </c>
      <c r="C653" s="11">
        <f>IFERROR(__xludf.DUMMYFUNCTION("""COMPUTED_VALUE"""),462.0)</f>
        <v>462</v>
      </c>
      <c r="D653" s="11">
        <f>IFERROR(__xludf.DUMMYFUNCTION("""COMPUTED_VALUE"""),14.0)</f>
        <v>14</v>
      </c>
      <c r="E653" s="9"/>
    </row>
    <row r="654">
      <c r="A654" s="10">
        <f>IFERROR(__xludf.DUMMYFUNCTION("""COMPUTED_VALUE"""),111349.0)</f>
        <v>111349</v>
      </c>
      <c r="B654" s="11">
        <f>IFERROR(__xludf.DUMMYFUNCTION("""COMPUTED_VALUE"""),0.0)</f>
        <v>0</v>
      </c>
      <c r="C654" s="11">
        <f>IFERROR(__xludf.DUMMYFUNCTION("""COMPUTED_VALUE"""),896.0)</f>
        <v>896</v>
      </c>
      <c r="D654" s="11">
        <f>IFERROR(__xludf.DUMMYFUNCTION("""COMPUTED_VALUE"""),886.0)</f>
        <v>886</v>
      </c>
      <c r="E654" s="9"/>
    </row>
    <row r="655">
      <c r="A655" s="10">
        <f>IFERROR(__xludf.DUMMYFUNCTION("""COMPUTED_VALUE"""),74917.0)</f>
        <v>74917</v>
      </c>
      <c r="B655" s="11">
        <f>IFERROR(__xludf.DUMMYFUNCTION("""COMPUTED_VALUE"""),0.0)</f>
        <v>0</v>
      </c>
      <c r="C655" s="11">
        <f>IFERROR(__xludf.DUMMYFUNCTION("""COMPUTED_VALUE"""),859.0)</f>
        <v>859</v>
      </c>
      <c r="D655" s="11">
        <f>IFERROR(__xludf.DUMMYFUNCTION("""COMPUTED_VALUE"""),194.0)</f>
        <v>194</v>
      </c>
      <c r="E655" s="9"/>
    </row>
    <row r="656">
      <c r="A656" s="10">
        <f>IFERROR(__xludf.DUMMYFUNCTION("""COMPUTED_VALUE"""),69127.0)</f>
        <v>69127</v>
      </c>
      <c r="B656" s="11">
        <f>IFERROR(__xludf.DUMMYFUNCTION("""COMPUTED_VALUE"""),1.0)</f>
        <v>1</v>
      </c>
      <c r="C656" s="11">
        <f>IFERROR(__xludf.DUMMYFUNCTION("""COMPUTED_VALUE"""),559.0)</f>
        <v>559</v>
      </c>
      <c r="D656" s="11">
        <f>IFERROR(__xludf.DUMMYFUNCTION("""COMPUTED_VALUE"""),381.0)</f>
        <v>381</v>
      </c>
      <c r="E656" s="9"/>
    </row>
    <row r="657">
      <c r="A657" s="10">
        <f>IFERROR(__xludf.DUMMYFUNCTION("""COMPUTED_VALUE"""),84819.0)</f>
        <v>84819</v>
      </c>
      <c r="B657" s="11">
        <f>IFERROR(__xludf.DUMMYFUNCTION("""COMPUTED_VALUE"""),0.0)</f>
        <v>0</v>
      </c>
      <c r="C657" s="11">
        <f>IFERROR(__xludf.DUMMYFUNCTION("""COMPUTED_VALUE"""),535.0)</f>
        <v>535</v>
      </c>
      <c r="D657" s="11">
        <f>IFERROR(__xludf.DUMMYFUNCTION("""COMPUTED_VALUE"""),165.0)</f>
        <v>165</v>
      </c>
      <c r="E657" s="9"/>
    </row>
    <row r="658">
      <c r="A658" s="10">
        <f>IFERROR(__xludf.DUMMYFUNCTION("""COMPUTED_VALUE"""),104367.0)</f>
        <v>104367</v>
      </c>
      <c r="B658" s="11">
        <f>IFERROR(__xludf.DUMMYFUNCTION("""COMPUTED_VALUE"""),1.0)</f>
        <v>1</v>
      </c>
      <c r="C658" s="11">
        <f>IFERROR(__xludf.DUMMYFUNCTION("""COMPUTED_VALUE"""),384.0)</f>
        <v>384</v>
      </c>
      <c r="D658" s="11">
        <f>IFERROR(__xludf.DUMMYFUNCTION("""COMPUTED_VALUE"""),261.0)</f>
        <v>261</v>
      </c>
      <c r="E658" s="9"/>
    </row>
    <row r="659">
      <c r="A659" s="10">
        <f>IFERROR(__xludf.DUMMYFUNCTION("""COMPUTED_VALUE"""),121997.0)</f>
        <v>121997</v>
      </c>
      <c r="B659" s="11">
        <f>IFERROR(__xludf.DUMMYFUNCTION("""COMPUTED_VALUE"""),0.0)</f>
        <v>0</v>
      </c>
      <c r="C659" s="11">
        <f>IFERROR(__xludf.DUMMYFUNCTION("""COMPUTED_VALUE"""),587.0)</f>
        <v>587</v>
      </c>
      <c r="D659" s="11">
        <f>IFERROR(__xludf.DUMMYFUNCTION("""COMPUTED_VALUE"""),100.0)</f>
        <v>100</v>
      </c>
      <c r="E659" s="9"/>
    </row>
    <row r="660">
      <c r="A660" s="10">
        <f>IFERROR(__xludf.DUMMYFUNCTION("""COMPUTED_VALUE"""),117499.0)</f>
        <v>117499</v>
      </c>
      <c r="B660" s="11">
        <f>IFERROR(__xludf.DUMMYFUNCTION("""COMPUTED_VALUE"""),1.0)</f>
        <v>1</v>
      </c>
      <c r="C660" s="11">
        <f>IFERROR(__xludf.DUMMYFUNCTION("""COMPUTED_VALUE"""),661.0)</f>
        <v>661</v>
      </c>
      <c r="D660" s="11">
        <f>IFERROR(__xludf.DUMMYFUNCTION("""COMPUTED_VALUE"""),303.0)</f>
        <v>303</v>
      </c>
      <c r="E660" s="9"/>
    </row>
    <row r="661">
      <c r="A661" s="10">
        <f>IFERROR(__xludf.DUMMYFUNCTION("""COMPUTED_VALUE"""),69125.0)</f>
        <v>69125</v>
      </c>
      <c r="B661" s="11">
        <f>IFERROR(__xludf.DUMMYFUNCTION("""COMPUTED_VALUE"""),1.0)</f>
        <v>1</v>
      </c>
      <c r="C661" s="11">
        <f>IFERROR(__xludf.DUMMYFUNCTION("""COMPUTED_VALUE"""),423.0)</f>
        <v>423</v>
      </c>
      <c r="D661" s="11">
        <f>IFERROR(__xludf.DUMMYFUNCTION("""COMPUTED_VALUE"""),308.0)</f>
        <v>308</v>
      </c>
      <c r="E661" s="9"/>
    </row>
    <row r="662">
      <c r="A662" s="10">
        <f>IFERROR(__xludf.DUMMYFUNCTION("""COMPUTED_VALUE"""),19850.0)</f>
        <v>19850</v>
      </c>
      <c r="B662" s="11">
        <f>IFERROR(__xludf.DUMMYFUNCTION("""COMPUTED_VALUE"""),0.0)</f>
        <v>0</v>
      </c>
      <c r="C662" s="11">
        <f>IFERROR(__xludf.DUMMYFUNCTION("""COMPUTED_VALUE"""),455.0)</f>
        <v>455</v>
      </c>
      <c r="D662" s="11">
        <f>IFERROR(__xludf.DUMMYFUNCTION("""COMPUTED_VALUE"""),44.0)</f>
        <v>44</v>
      </c>
      <c r="E662" s="9"/>
    </row>
    <row r="663">
      <c r="A663" s="10">
        <f>IFERROR(__xludf.DUMMYFUNCTION("""COMPUTED_VALUE"""),3425.0)</f>
        <v>3425</v>
      </c>
      <c r="B663" s="11">
        <f>IFERROR(__xludf.DUMMYFUNCTION("""COMPUTED_VALUE"""),1.0)</f>
        <v>1</v>
      </c>
      <c r="C663" s="11">
        <f>IFERROR(__xludf.DUMMYFUNCTION("""COMPUTED_VALUE"""),485.0)</f>
        <v>485</v>
      </c>
      <c r="D663" s="11">
        <f>IFERROR(__xludf.DUMMYFUNCTION("""COMPUTED_VALUE"""),230.0)</f>
        <v>230</v>
      </c>
      <c r="E663" s="9"/>
    </row>
    <row r="664">
      <c r="A664" s="10">
        <f>IFERROR(__xludf.DUMMYFUNCTION("""COMPUTED_VALUE"""),84913.0)</f>
        <v>84913</v>
      </c>
      <c r="B664" s="11">
        <f>IFERROR(__xludf.DUMMYFUNCTION("""COMPUTED_VALUE"""),0.0)</f>
        <v>0</v>
      </c>
      <c r="C664" s="11">
        <f>IFERROR(__xludf.DUMMYFUNCTION("""COMPUTED_VALUE"""),238.0)</f>
        <v>238</v>
      </c>
      <c r="D664" s="11">
        <f>IFERROR(__xludf.DUMMYFUNCTION("""COMPUTED_VALUE"""),176.0)</f>
        <v>176</v>
      </c>
      <c r="E664" s="9"/>
    </row>
    <row r="665">
      <c r="A665" s="10">
        <f>IFERROR(__xludf.DUMMYFUNCTION("""COMPUTED_VALUE"""),120378.0)</f>
        <v>120378</v>
      </c>
      <c r="B665" s="11">
        <f>IFERROR(__xludf.DUMMYFUNCTION("""COMPUTED_VALUE"""),1.0)</f>
        <v>1</v>
      </c>
      <c r="C665" s="11">
        <f>IFERROR(__xludf.DUMMYFUNCTION("""COMPUTED_VALUE"""),827.0)</f>
        <v>827</v>
      </c>
      <c r="D665" s="11">
        <f>IFERROR(__xludf.DUMMYFUNCTION("""COMPUTED_VALUE"""),153.0)</f>
        <v>153</v>
      </c>
      <c r="E665" s="9"/>
    </row>
    <row r="666">
      <c r="A666" s="10">
        <f>IFERROR(__xludf.DUMMYFUNCTION("""COMPUTED_VALUE"""),5905.0)</f>
        <v>5905</v>
      </c>
      <c r="B666" s="11">
        <f>IFERROR(__xludf.DUMMYFUNCTION("""COMPUTED_VALUE"""),1.0)</f>
        <v>1</v>
      </c>
      <c r="C666" s="11">
        <f>IFERROR(__xludf.DUMMYFUNCTION("""COMPUTED_VALUE"""),223.0)</f>
        <v>223</v>
      </c>
      <c r="D666" s="11">
        <f>IFERROR(__xludf.DUMMYFUNCTION("""COMPUTED_VALUE"""),112.0)</f>
        <v>112</v>
      </c>
      <c r="E666" s="9"/>
    </row>
    <row r="667">
      <c r="A667" s="10">
        <f>IFERROR(__xludf.DUMMYFUNCTION("""COMPUTED_VALUE"""),23213.0)</f>
        <v>23213</v>
      </c>
      <c r="B667" s="11">
        <f>IFERROR(__xludf.DUMMYFUNCTION("""COMPUTED_VALUE"""),1.0)</f>
        <v>1</v>
      </c>
      <c r="C667" s="11">
        <f>IFERROR(__xludf.DUMMYFUNCTION("""COMPUTED_VALUE"""),380.0)</f>
        <v>380</v>
      </c>
      <c r="D667" s="11">
        <f>IFERROR(__xludf.DUMMYFUNCTION("""COMPUTED_VALUE"""),134.0)</f>
        <v>134</v>
      </c>
      <c r="E667" s="9"/>
    </row>
    <row r="668">
      <c r="A668" s="10">
        <f>IFERROR(__xludf.DUMMYFUNCTION("""COMPUTED_VALUE"""),47168.0)</f>
        <v>47168</v>
      </c>
      <c r="B668" s="11">
        <f>IFERROR(__xludf.DUMMYFUNCTION("""COMPUTED_VALUE"""),0.0)</f>
        <v>0</v>
      </c>
      <c r="C668" s="11">
        <f>IFERROR(__xludf.DUMMYFUNCTION("""COMPUTED_VALUE"""),957.0)</f>
        <v>957</v>
      </c>
      <c r="D668" s="11">
        <f>IFERROR(__xludf.DUMMYFUNCTION("""COMPUTED_VALUE"""),94.0)</f>
        <v>94</v>
      </c>
      <c r="E668" s="9"/>
    </row>
    <row r="669">
      <c r="A669" s="10">
        <f>IFERROR(__xludf.DUMMYFUNCTION("""COMPUTED_VALUE"""),102990.0)</f>
        <v>102990</v>
      </c>
      <c r="B669" s="11">
        <f>IFERROR(__xludf.DUMMYFUNCTION("""COMPUTED_VALUE"""),1.0)</f>
        <v>1</v>
      </c>
      <c r="C669" s="11">
        <f>IFERROR(__xludf.DUMMYFUNCTION("""COMPUTED_VALUE"""),977.0)</f>
        <v>977</v>
      </c>
      <c r="D669" s="11">
        <f>IFERROR(__xludf.DUMMYFUNCTION("""COMPUTED_VALUE"""),633.0)</f>
        <v>633</v>
      </c>
      <c r="E669" s="9"/>
    </row>
    <row r="670">
      <c r="A670" s="10">
        <f>IFERROR(__xludf.DUMMYFUNCTION("""COMPUTED_VALUE"""),46441.0)</f>
        <v>46441</v>
      </c>
      <c r="B670" s="11">
        <f>IFERROR(__xludf.DUMMYFUNCTION("""COMPUTED_VALUE"""),1.0)</f>
        <v>1</v>
      </c>
      <c r="C670" s="11">
        <f>IFERROR(__xludf.DUMMYFUNCTION("""COMPUTED_VALUE"""),644.0)</f>
        <v>644</v>
      </c>
      <c r="D670" s="11">
        <f>IFERROR(__xludf.DUMMYFUNCTION("""COMPUTED_VALUE"""),581.0)</f>
        <v>581</v>
      </c>
      <c r="E670" s="9"/>
    </row>
    <row r="671">
      <c r="A671" s="10">
        <f>IFERROR(__xludf.DUMMYFUNCTION("""COMPUTED_VALUE"""),11085.0)</f>
        <v>11085</v>
      </c>
      <c r="B671" s="11">
        <f>IFERROR(__xludf.DUMMYFUNCTION("""COMPUTED_VALUE"""),0.0)</f>
        <v>0</v>
      </c>
      <c r="C671" s="11">
        <f>IFERROR(__xludf.DUMMYFUNCTION("""COMPUTED_VALUE"""),843.0)</f>
        <v>843</v>
      </c>
      <c r="D671" s="11">
        <f>IFERROR(__xludf.DUMMYFUNCTION("""COMPUTED_VALUE"""),203.0)</f>
        <v>203</v>
      </c>
      <c r="E671" s="9"/>
    </row>
    <row r="672">
      <c r="A672" s="10">
        <f>IFERROR(__xludf.DUMMYFUNCTION("""COMPUTED_VALUE"""),96441.0)</f>
        <v>96441</v>
      </c>
      <c r="B672" s="11">
        <f>IFERROR(__xludf.DUMMYFUNCTION("""COMPUTED_VALUE"""),1.0)</f>
        <v>1</v>
      </c>
      <c r="C672" s="11">
        <f>IFERROR(__xludf.DUMMYFUNCTION("""COMPUTED_VALUE"""),835.0)</f>
        <v>835</v>
      </c>
      <c r="D672" s="11">
        <f>IFERROR(__xludf.DUMMYFUNCTION("""COMPUTED_VALUE"""),722.0)</f>
        <v>722</v>
      </c>
      <c r="E672" s="9"/>
    </row>
    <row r="673">
      <c r="A673" s="10">
        <f>IFERROR(__xludf.DUMMYFUNCTION("""COMPUTED_VALUE"""),82131.0)</f>
        <v>82131</v>
      </c>
      <c r="B673" s="11">
        <f>IFERROR(__xludf.DUMMYFUNCTION("""COMPUTED_VALUE"""),0.0)</f>
        <v>0</v>
      </c>
      <c r="C673" s="11">
        <f>IFERROR(__xludf.DUMMYFUNCTION("""COMPUTED_VALUE"""),163.0)</f>
        <v>163</v>
      </c>
      <c r="D673" s="11">
        <f>IFERROR(__xludf.DUMMYFUNCTION("""COMPUTED_VALUE"""),45.0)</f>
        <v>45</v>
      </c>
      <c r="E673" s="9"/>
    </row>
    <row r="674">
      <c r="A674" s="10">
        <f>IFERROR(__xludf.DUMMYFUNCTION("""COMPUTED_VALUE"""),46440.0)</f>
        <v>46440</v>
      </c>
      <c r="B674" s="11">
        <f>IFERROR(__xludf.DUMMYFUNCTION("""COMPUTED_VALUE"""),1.0)</f>
        <v>1</v>
      </c>
      <c r="C674" s="11">
        <f>IFERROR(__xludf.DUMMYFUNCTION("""COMPUTED_VALUE"""),375.0)</f>
        <v>375</v>
      </c>
      <c r="D674" s="11">
        <f>IFERROR(__xludf.DUMMYFUNCTION("""COMPUTED_VALUE"""),243.0)</f>
        <v>243</v>
      </c>
      <c r="E674" s="9"/>
    </row>
    <row r="675">
      <c r="A675" s="10">
        <f>IFERROR(__xludf.DUMMYFUNCTION("""COMPUTED_VALUE"""),23214.0)</f>
        <v>23214</v>
      </c>
      <c r="B675" s="11">
        <f>IFERROR(__xludf.DUMMYFUNCTION("""COMPUTED_VALUE"""),0.0)</f>
        <v>0</v>
      </c>
      <c r="C675" s="11">
        <f>IFERROR(__xludf.DUMMYFUNCTION("""COMPUTED_VALUE"""),269.0)</f>
        <v>269</v>
      </c>
      <c r="D675" s="11">
        <f>IFERROR(__xludf.DUMMYFUNCTION("""COMPUTED_VALUE"""),246.0)</f>
        <v>246</v>
      </c>
      <c r="E675" s="9"/>
    </row>
    <row r="676">
      <c r="A676" s="10">
        <f>IFERROR(__xludf.DUMMYFUNCTION("""COMPUTED_VALUE"""),82134.0)</f>
        <v>82134</v>
      </c>
      <c r="B676" s="11">
        <f>IFERROR(__xludf.DUMMYFUNCTION("""COMPUTED_VALUE"""),0.0)</f>
        <v>0</v>
      </c>
      <c r="C676" s="11">
        <f>IFERROR(__xludf.DUMMYFUNCTION("""COMPUTED_VALUE"""),416.0)</f>
        <v>416</v>
      </c>
      <c r="D676" s="11">
        <f>IFERROR(__xludf.DUMMYFUNCTION("""COMPUTED_VALUE"""),333.0)</f>
        <v>333</v>
      </c>
      <c r="E676" s="9"/>
    </row>
    <row r="677">
      <c r="A677" s="10">
        <f>IFERROR(__xludf.DUMMYFUNCTION("""COMPUTED_VALUE"""),46439.0)</f>
        <v>46439</v>
      </c>
      <c r="B677" s="11">
        <f>IFERROR(__xludf.DUMMYFUNCTION("""COMPUTED_VALUE"""),0.0)</f>
        <v>0</v>
      </c>
      <c r="C677" s="11">
        <f>IFERROR(__xludf.DUMMYFUNCTION("""COMPUTED_VALUE"""),880.0)</f>
        <v>880</v>
      </c>
      <c r="D677" s="11">
        <f>IFERROR(__xludf.DUMMYFUNCTION("""COMPUTED_VALUE"""),803.0)</f>
        <v>803</v>
      </c>
      <c r="E677" s="9"/>
    </row>
    <row r="678">
      <c r="A678" s="10">
        <f>IFERROR(__xludf.DUMMYFUNCTION("""COMPUTED_VALUE"""),116451.0)</f>
        <v>116451</v>
      </c>
      <c r="B678" s="11">
        <f>IFERROR(__xludf.DUMMYFUNCTION("""COMPUTED_VALUE"""),0.0)</f>
        <v>0</v>
      </c>
      <c r="C678" s="11">
        <f>IFERROR(__xludf.DUMMYFUNCTION("""COMPUTED_VALUE"""),27.0)</f>
        <v>27</v>
      </c>
      <c r="D678" s="11">
        <f>IFERROR(__xludf.DUMMYFUNCTION("""COMPUTED_VALUE"""),20.0)</f>
        <v>20</v>
      </c>
      <c r="E678" s="9"/>
    </row>
    <row r="679">
      <c r="A679" s="10">
        <f>IFERROR(__xludf.DUMMYFUNCTION("""COMPUTED_VALUE"""),147340.0)</f>
        <v>147340</v>
      </c>
      <c r="B679" s="11">
        <f>IFERROR(__xludf.DUMMYFUNCTION("""COMPUTED_VALUE"""),0.0)</f>
        <v>0</v>
      </c>
      <c r="C679" s="11">
        <f>IFERROR(__xludf.DUMMYFUNCTION("""COMPUTED_VALUE"""),397.0)</f>
        <v>397</v>
      </c>
      <c r="D679" s="11">
        <f>IFERROR(__xludf.DUMMYFUNCTION("""COMPUTED_VALUE"""),235.0)</f>
        <v>235</v>
      </c>
      <c r="E679" s="9"/>
    </row>
    <row r="680">
      <c r="A680" s="10">
        <f>IFERROR(__xludf.DUMMYFUNCTION("""COMPUTED_VALUE"""),140602.0)</f>
        <v>140602</v>
      </c>
      <c r="B680" s="11">
        <f>IFERROR(__xludf.DUMMYFUNCTION("""COMPUTED_VALUE"""),0.0)</f>
        <v>0</v>
      </c>
      <c r="C680" s="11">
        <f>IFERROR(__xludf.DUMMYFUNCTION("""COMPUTED_VALUE"""),297.0)</f>
        <v>297</v>
      </c>
      <c r="D680" s="11">
        <f>IFERROR(__xludf.DUMMYFUNCTION("""COMPUTED_VALUE"""),175.0)</f>
        <v>175</v>
      </c>
      <c r="E680" s="9"/>
    </row>
    <row r="681">
      <c r="A681" s="10">
        <f>IFERROR(__xludf.DUMMYFUNCTION("""COMPUTED_VALUE"""),109174.0)</f>
        <v>109174</v>
      </c>
      <c r="B681" s="11">
        <f>IFERROR(__xludf.DUMMYFUNCTION("""COMPUTED_VALUE"""),1.0)</f>
        <v>1</v>
      </c>
      <c r="C681" s="11">
        <f>IFERROR(__xludf.DUMMYFUNCTION("""COMPUTED_VALUE"""),236.0)</f>
        <v>236</v>
      </c>
      <c r="D681" s="11">
        <f>IFERROR(__xludf.DUMMYFUNCTION("""COMPUTED_VALUE"""),119.0)</f>
        <v>119</v>
      </c>
      <c r="E681" s="9"/>
    </row>
    <row r="682">
      <c r="A682" s="10">
        <f>IFERROR(__xludf.DUMMYFUNCTION("""COMPUTED_VALUE"""),2795.0)</f>
        <v>2795</v>
      </c>
      <c r="B682" s="11">
        <f>IFERROR(__xludf.DUMMYFUNCTION("""COMPUTED_VALUE"""),1.0)</f>
        <v>1</v>
      </c>
      <c r="C682" s="11">
        <f>IFERROR(__xludf.DUMMYFUNCTION("""COMPUTED_VALUE"""),545.0)</f>
        <v>545</v>
      </c>
      <c r="D682" s="11">
        <f>IFERROR(__xludf.DUMMYFUNCTION("""COMPUTED_VALUE"""),480.0)</f>
        <v>480</v>
      </c>
      <c r="E682" s="9"/>
    </row>
    <row r="683">
      <c r="A683" s="10">
        <f>IFERROR(__xludf.DUMMYFUNCTION("""COMPUTED_VALUE"""),141867.0)</f>
        <v>141867</v>
      </c>
      <c r="B683" s="11">
        <f>IFERROR(__xludf.DUMMYFUNCTION("""COMPUTED_VALUE"""),1.0)</f>
        <v>1</v>
      </c>
      <c r="C683" s="11">
        <f>IFERROR(__xludf.DUMMYFUNCTION("""COMPUTED_VALUE"""),692.0)</f>
        <v>692</v>
      </c>
      <c r="D683" s="11">
        <f>IFERROR(__xludf.DUMMYFUNCTION("""COMPUTED_VALUE"""),384.0)</f>
        <v>384</v>
      </c>
      <c r="E683" s="9"/>
    </row>
    <row r="684">
      <c r="A684" s="10">
        <f>IFERROR(__xludf.DUMMYFUNCTION("""COMPUTED_VALUE"""),118152.0)</f>
        <v>118152</v>
      </c>
      <c r="B684" s="11">
        <f>IFERROR(__xludf.DUMMYFUNCTION("""COMPUTED_VALUE"""),1.0)</f>
        <v>1</v>
      </c>
      <c r="C684" s="11">
        <f>IFERROR(__xludf.DUMMYFUNCTION("""COMPUTED_VALUE"""),884.0)</f>
        <v>884</v>
      </c>
      <c r="D684" s="11">
        <f>IFERROR(__xludf.DUMMYFUNCTION("""COMPUTED_VALUE"""),748.0)</f>
        <v>748</v>
      </c>
      <c r="E684" s="9"/>
    </row>
    <row r="685">
      <c r="A685" s="10">
        <f>IFERROR(__xludf.DUMMYFUNCTION("""COMPUTED_VALUE"""),1607.0)</f>
        <v>1607</v>
      </c>
      <c r="B685" s="11">
        <f>IFERROR(__xludf.DUMMYFUNCTION("""COMPUTED_VALUE"""),0.0)</f>
        <v>0</v>
      </c>
      <c r="C685" s="11">
        <f>IFERROR(__xludf.DUMMYFUNCTION("""COMPUTED_VALUE"""),379.0)</f>
        <v>379</v>
      </c>
      <c r="D685" s="11">
        <f>IFERROR(__xludf.DUMMYFUNCTION("""COMPUTED_VALUE"""),104.0)</f>
        <v>104</v>
      </c>
      <c r="E685" s="9"/>
    </row>
    <row r="686">
      <c r="A686" s="10">
        <f>IFERROR(__xludf.DUMMYFUNCTION("""COMPUTED_VALUE"""),71322.0)</f>
        <v>71322</v>
      </c>
      <c r="B686" s="11">
        <f>IFERROR(__xludf.DUMMYFUNCTION("""COMPUTED_VALUE"""),0.0)</f>
        <v>0</v>
      </c>
      <c r="C686" s="11">
        <f>IFERROR(__xludf.DUMMYFUNCTION("""COMPUTED_VALUE"""),611.0)</f>
        <v>611</v>
      </c>
      <c r="D686" s="11">
        <f>IFERROR(__xludf.DUMMYFUNCTION("""COMPUTED_VALUE"""),595.0)</f>
        <v>595</v>
      </c>
      <c r="E686" s="9"/>
    </row>
    <row r="687">
      <c r="A687" s="10">
        <f>IFERROR(__xludf.DUMMYFUNCTION("""COMPUTED_VALUE"""),88773.0)</f>
        <v>88773</v>
      </c>
      <c r="B687" s="11">
        <f>IFERROR(__xludf.DUMMYFUNCTION("""COMPUTED_VALUE"""),0.0)</f>
        <v>0</v>
      </c>
      <c r="C687" s="11">
        <f>IFERROR(__xludf.DUMMYFUNCTION("""COMPUTED_VALUE"""),187.0)</f>
        <v>187</v>
      </c>
      <c r="D687" s="11">
        <f>IFERROR(__xludf.DUMMYFUNCTION("""COMPUTED_VALUE"""),47.0)</f>
        <v>47</v>
      </c>
      <c r="E687" s="9"/>
    </row>
    <row r="688">
      <c r="A688" s="10">
        <f>IFERROR(__xludf.DUMMYFUNCTION("""COMPUTED_VALUE"""),46964.0)</f>
        <v>46964</v>
      </c>
      <c r="B688" s="11">
        <f>IFERROR(__xludf.DUMMYFUNCTION("""COMPUTED_VALUE"""),0.0)</f>
        <v>0</v>
      </c>
      <c r="C688" s="11">
        <f>IFERROR(__xludf.DUMMYFUNCTION("""COMPUTED_VALUE"""),266.0)</f>
        <v>266</v>
      </c>
      <c r="D688" s="11">
        <f>IFERROR(__xludf.DUMMYFUNCTION("""COMPUTED_VALUE"""),110.0)</f>
        <v>110</v>
      </c>
      <c r="E688" s="9"/>
    </row>
    <row r="689">
      <c r="A689" s="10">
        <f>IFERROR(__xludf.DUMMYFUNCTION("""COMPUTED_VALUE"""),104454.0)</f>
        <v>104454</v>
      </c>
      <c r="B689" s="11">
        <f>IFERROR(__xludf.DUMMYFUNCTION("""COMPUTED_VALUE"""),0.0)</f>
        <v>0</v>
      </c>
      <c r="C689" s="11">
        <f>IFERROR(__xludf.DUMMYFUNCTION("""COMPUTED_VALUE"""),277.0)</f>
        <v>277</v>
      </c>
      <c r="D689" s="11">
        <f>IFERROR(__xludf.DUMMYFUNCTION("""COMPUTED_VALUE"""),103.0)</f>
        <v>103</v>
      </c>
      <c r="E689" s="9"/>
    </row>
    <row r="690">
      <c r="A690" s="10">
        <f>IFERROR(__xludf.DUMMYFUNCTION("""COMPUTED_VALUE"""),8003.0)</f>
        <v>8003</v>
      </c>
      <c r="B690" s="11">
        <f>IFERROR(__xludf.DUMMYFUNCTION("""COMPUTED_VALUE"""),1.0)</f>
        <v>1</v>
      </c>
      <c r="C690" s="11">
        <f>IFERROR(__xludf.DUMMYFUNCTION("""COMPUTED_VALUE"""),110.0)</f>
        <v>110</v>
      </c>
      <c r="D690" s="11">
        <f>IFERROR(__xludf.DUMMYFUNCTION("""COMPUTED_VALUE"""),65.0)</f>
        <v>65</v>
      </c>
      <c r="E690" s="9"/>
    </row>
    <row r="691">
      <c r="A691" s="10">
        <f>IFERROR(__xludf.DUMMYFUNCTION("""COMPUTED_VALUE"""),90183.0)</f>
        <v>90183</v>
      </c>
      <c r="B691" s="11">
        <f>IFERROR(__xludf.DUMMYFUNCTION("""COMPUTED_VALUE"""),0.0)</f>
        <v>0</v>
      </c>
      <c r="C691" s="11">
        <f>IFERROR(__xludf.DUMMYFUNCTION("""COMPUTED_VALUE"""),781.0)</f>
        <v>781</v>
      </c>
      <c r="D691" s="11">
        <f>IFERROR(__xludf.DUMMYFUNCTION("""COMPUTED_VALUE"""),485.0)</f>
        <v>485</v>
      </c>
      <c r="E691" s="9"/>
    </row>
    <row r="692">
      <c r="A692" s="10">
        <f>IFERROR(__xludf.DUMMYFUNCTION("""COMPUTED_VALUE"""),45489.0)</f>
        <v>45489</v>
      </c>
      <c r="B692" s="11">
        <f>IFERROR(__xludf.DUMMYFUNCTION("""COMPUTED_VALUE"""),1.0)</f>
        <v>1</v>
      </c>
      <c r="C692" s="11">
        <f>IFERROR(__xludf.DUMMYFUNCTION("""COMPUTED_VALUE"""),710.0)</f>
        <v>710</v>
      </c>
      <c r="D692" s="11">
        <f>IFERROR(__xludf.DUMMYFUNCTION("""COMPUTED_VALUE"""),141.0)</f>
        <v>141</v>
      </c>
      <c r="E692" s="9"/>
    </row>
    <row r="693">
      <c r="A693" s="10">
        <f>IFERROR(__xludf.DUMMYFUNCTION("""COMPUTED_VALUE"""),147337.0)</f>
        <v>147337</v>
      </c>
      <c r="B693" s="11">
        <f>IFERROR(__xludf.DUMMYFUNCTION("""COMPUTED_VALUE"""),1.0)</f>
        <v>1</v>
      </c>
      <c r="C693" s="11">
        <f>IFERROR(__xludf.DUMMYFUNCTION("""COMPUTED_VALUE"""),574.0)</f>
        <v>574</v>
      </c>
      <c r="D693" s="11">
        <f>IFERROR(__xludf.DUMMYFUNCTION("""COMPUTED_VALUE"""),249.0)</f>
        <v>249</v>
      </c>
      <c r="E693" s="9"/>
    </row>
    <row r="694">
      <c r="A694" s="10">
        <f>IFERROR(__xludf.DUMMYFUNCTION("""COMPUTED_VALUE"""),116446.0)</f>
        <v>116446</v>
      </c>
      <c r="B694" s="11">
        <f>IFERROR(__xludf.DUMMYFUNCTION("""COMPUTED_VALUE"""),1.0)</f>
        <v>1</v>
      </c>
      <c r="C694" s="11">
        <f>IFERROR(__xludf.DUMMYFUNCTION("""COMPUTED_VALUE"""),849.0)</f>
        <v>849</v>
      </c>
      <c r="D694" s="11">
        <f>IFERROR(__xludf.DUMMYFUNCTION("""COMPUTED_VALUE"""),149.0)</f>
        <v>149</v>
      </c>
      <c r="E694" s="9"/>
    </row>
    <row r="695">
      <c r="A695" s="10">
        <f>IFERROR(__xludf.DUMMYFUNCTION("""COMPUTED_VALUE"""),44760.0)</f>
        <v>44760</v>
      </c>
      <c r="B695" s="11">
        <f>IFERROR(__xludf.DUMMYFUNCTION("""COMPUTED_VALUE"""),0.0)</f>
        <v>0</v>
      </c>
      <c r="C695" s="11">
        <f>IFERROR(__xludf.DUMMYFUNCTION("""COMPUTED_VALUE"""),849.0)</f>
        <v>849</v>
      </c>
      <c r="D695" s="11">
        <f>IFERROR(__xludf.DUMMYFUNCTION("""COMPUTED_VALUE"""),45.0)</f>
        <v>45</v>
      </c>
      <c r="E695" s="9"/>
    </row>
    <row r="696">
      <c r="A696" s="10">
        <f>IFERROR(__xludf.DUMMYFUNCTION("""COMPUTED_VALUE"""),44764.0)</f>
        <v>44764</v>
      </c>
      <c r="B696" s="11">
        <f>IFERROR(__xludf.DUMMYFUNCTION("""COMPUTED_VALUE"""),0.0)</f>
        <v>0</v>
      </c>
      <c r="C696" s="11">
        <f>IFERROR(__xludf.DUMMYFUNCTION("""COMPUTED_VALUE"""),958.0)</f>
        <v>958</v>
      </c>
      <c r="D696" s="11">
        <f>IFERROR(__xludf.DUMMYFUNCTION("""COMPUTED_VALUE"""),609.0)</f>
        <v>609</v>
      </c>
      <c r="E696" s="9"/>
    </row>
    <row r="697">
      <c r="A697" s="10">
        <f>IFERROR(__xludf.DUMMYFUNCTION("""COMPUTED_VALUE"""),72801.0)</f>
        <v>72801</v>
      </c>
      <c r="B697" s="11">
        <f>IFERROR(__xludf.DUMMYFUNCTION("""COMPUTED_VALUE"""),1.0)</f>
        <v>1</v>
      </c>
      <c r="C697" s="11">
        <f>IFERROR(__xludf.DUMMYFUNCTION("""COMPUTED_VALUE"""),377.0)</f>
        <v>377</v>
      </c>
      <c r="D697" s="11">
        <f>IFERROR(__xludf.DUMMYFUNCTION("""COMPUTED_VALUE"""),214.0)</f>
        <v>214</v>
      </c>
      <c r="E697" s="9"/>
    </row>
    <row r="698">
      <c r="A698" s="10">
        <f>IFERROR(__xludf.DUMMYFUNCTION("""COMPUTED_VALUE"""),86573.0)</f>
        <v>86573</v>
      </c>
      <c r="B698" s="11">
        <f>IFERROR(__xludf.DUMMYFUNCTION("""COMPUTED_VALUE"""),1.0)</f>
        <v>1</v>
      </c>
      <c r="C698" s="11">
        <f>IFERROR(__xludf.DUMMYFUNCTION("""COMPUTED_VALUE"""),125.0)</f>
        <v>125</v>
      </c>
      <c r="D698" s="11">
        <f>IFERROR(__xludf.DUMMYFUNCTION("""COMPUTED_VALUE"""),57.0)</f>
        <v>57</v>
      </c>
      <c r="E698" s="9"/>
    </row>
    <row r="699">
      <c r="A699" s="10">
        <f>IFERROR(__xludf.DUMMYFUNCTION("""COMPUTED_VALUE"""),107784.0)</f>
        <v>107784</v>
      </c>
      <c r="B699" s="11">
        <f>IFERROR(__xludf.DUMMYFUNCTION("""COMPUTED_VALUE"""),1.0)</f>
        <v>1</v>
      </c>
      <c r="C699" s="11">
        <f>IFERROR(__xludf.DUMMYFUNCTION("""COMPUTED_VALUE"""),113.0)</f>
        <v>113</v>
      </c>
      <c r="D699" s="11">
        <f>IFERROR(__xludf.DUMMYFUNCTION("""COMPUTED_VALUE"""),45.0)</f>
        <v>45</v>
      </c>
      <c r="E699" s="9"/>
    </row>
    <row r="700">
      <c r="A700" s="10">
        <f>IFERROR(__xludf.DUMMYFUNCTION("""COMPUTED_VALUE"""),103388.0)</f>
        <v>103388</v>
      </c>
      <c r="B700" s="11">
        <f>IFERROR(__xludf.DUMMYFUNCTION("""COMPUTED_VALUE"""),1.0)</f>
        <v>1</v>
      </c>
      <c r="C700" s="11">
        <f>IFERROR(__xludf.DUMMYFUNCTION("""COMPUTED_VALUE"""),769.0)</f>
        <v>769</v>
      </c>
      <c r="D700" s="11">
        <f>IFERROR(__xludf.DUMMYFUNCTION("""COMPUTED_VALUE"""),80.0)</f>
        <v>80</v>
      </c>
      <c r="E700" s="9"/>
    </row>
    <row r="701">
      <c r="A701" s="10">
        <f>IFERROR(__xludf.DUMMYFUNCTION("""COMPUTED_VALUE"""),8004.0)</f>
        <v>8004</v>
      </c>
      <c r="B701" s="11">
        <f>IFERROR(__xludf.DUMMYFUNCTION("""COMPUTED_VALUE"""),1.0)</f>
        <v>1</v>
      </c>
      <c r="C701" s="11">
        <f>IFERROR(__xludf.DUMMYFUNCTION("""COMPUTED_VALUE"""),651.0)</f>
        <v>651</v>
      </c>
      <c r="D701" s="11">
        <f>IFERROR(__xludf.DUMMYFUNCTION("""COMPUTED_VALUE"""),207.0)</f>
        <v>207</v>
      </c>
      <c r="E701" s="9"/>
    </row>
    <row r="702">
      <c r="A702" s="10">
        <f>IFERROR(__xludf.DUMMYFUNCTION("""COMPUTED_VALUE"""),103387.0)</f>
        <v>103387</v>
      </c>
      <c r="B702" s="11">
        <f>IFERROR(__xludf.DUMMYFUNCTION("""COMPUTED_VALUE"""),0.0)</f>
        <v>0</v>
      </c>
      <c r="C702" s="11">
        <f>IFERROR(__xludf.DUMMYFUNCTION("""COMPUTED_VALUE"""),362.0)</f>
        <v>362</v>
      </c>
      <c r="D702" s="11">
        <f>IFERROR(__xludf.DUMMYFUNCTION("""COMPUTED_VALUE"""),258.0)</f>
        <v>258</v>
      </c>
      <c r="E702" s="9"/>
    </row>
    <row r="703">
      <c r="A703" s="10">
        <f>IFERROR(__xludf.DUMMYFUNCTION("""COMPUTED_VALUE"""),76731.0)</f>
        <v>76731</v>
      </c>
      <c r="B703" s="11">
        <f>IFERROR(__xludf.DUMMYFUNCTION("""COMPUTED_VALUE"""),0.0)</f>
        <v>0</v>
      </c>
      <c r="C703" s="11">
        <f>IFERROR(__xludf.DUMMYFUNCTION("""COMPUTED_VALUE"""),980.0)</f>
        <v>980</v>
      </c>
      <c r="D703" s="11">
        <f>IFERROR(__xludf.DUMMYFUNCTION("""COMPUTED_VALUE"""),541.0)</f>
        <v>541</v>
      </c>
      <c r="E703" s="9"/>
    </row>
    <row r="704">
      <c r="A704" s="10">
        <f>IFERROR(__xludf.DUMMYFUNCTION("""COMPUTED_VALUE"""),116449.0)</f>
        <v>116449</v>
      </c>
      <c r="B704" s="11">
        <f>IFERROR(__xludf.DUMMYFUNCTION("""COMPUTED_VALUE"""),1.0)</f>
        <v>1</v>
      </c>
      <c r="C704" s="11">
        <f>IFERROR(__xludf.DUMMYFUNCTION("""COMPUTED_VALUE"""),336.0)</f>
        <v>336</v>
      </c>
      <c r="D704" s="11">
        <f>IFERROR(__xludf.DUMMYFUNCTION("""COMPUTED_VALUE"""),136.0)</f>
        <v>136</v>
      </c>
      <c r="E704" s="9"/>
    </row>
    <row r="705">
      <c r="A705" s="10">
        <f>IFERROR(__xludf.DUMMYFUNCTION("""COMPUTED_VALUE"""),95211.0)</f>
        <v>95211</v>
      </c>
      <c r="B705" s="11">
        <f>IFERROR(__xludf.DUMMYFUNCTION("""COMPUTED_VALUE"""),0.0)</f>
        <v>0</v>
      </c>
      <c r="C705" s="11">
        <f>IFERROR(__xludf.DUMMYFUNCTION("""COMPUTED_VALUE"""),390.0)</f>
        <v>390</v>
      </c>
      <c r="D705" s="11">
        <f>IFERROR(__xludf.DUMMYFUNCTION("""COMPUTED_VALUE"""),261.0)</f>
        <v>261</v>
      </c>
      <c r="E705" s="9"/>
    </row>
    <row r="706">
      <c r="A706" s="10">
        <f>IFERROR(__xludf.DUMMYFUNCTION("""COMPUTED_VALUE"""),118255.0)</f>
        <v>118255</v>
      </c>
      <c r="B706" s="11">
        <f>IFERROR(__xludf.DUMMYFUNCTION("""COMPUTED_VALUE"""),0.0)</f>
        <v>0</v>
      </c>
      <c r="C706" s="11">
        <f>IFERROR(__xludf.DUMMYFUNCTION("""COMPUTED_VALUE"""),943.0)</f>
        <v>943</v>
      </c>
      <c r="D706" s="11">
        <f>IFERROR(__xludf.DUMMYFUNCTION("""COMPUTED_VALUE"""),902.0)</f>
        <v>902</v>
      </c>
      <c r="E706" s="9"/>
    </row>
    <row r="707">
      <c r="A707" s="10">
        <f>IFERROR(__xludf.DUMMYFUNCTION("""COMPUTED_VALUE"""),8010.0)</f>
        <v>8010</v>
      </c>
      <c r="B707" s="11">
        <f>IFERROR(__xludf.DUMMYFUNCTION("""COMPUTED_VALUE"""),1.0)</f>
        <v>1</v>
      </c>
      <c r="C707" s="11">
        <f>IFERROR(__xludf.DUMMYFUNCTION("""COMPUTED_VALUE"""),923.0)</f>
        <v>923</v>
      </c>
      <c r="D707" s="11">
        <f>IFERROR(__xludf.DUMMYFUNCTION("""COMPUTED_VALUE"""),333.0)</f>
        <v>333</v>
      </c>
      <c r="E707" s="9"/>
    </row>
    <row r="708">
      <c r="A708" s="10">
        <f>IFERROR(__xludf.DUMMYFUNCTION("""COMPUTED_VALUE"""),128351.0)</f>
        <v>128351</v>
      </c>
      <c r="B708" s="11">
        <f>IFERROR(__xludf.DUMMYFUNCTION("""COMPUTED_VALUE"""),0.0)</f>
        <v>0</v>
      </c>
      <c r="C708" s="11">
        <f>IFERROR(__xludf.DUMMYFUNCTION("""COMPUTED_VALUE"""),289.0)</f>
        <v>289</v>
      </c>
      <c r="D708" s="11">
        <f>IFERROR(__xludf.DUMMYFUNCTION("""COMPUTED_VALUE"""),105.0)</f>
        <v>105</v>
      </c>
      <c r="E708" s="9"/>
    </row>
    <row r="709">
      <c r="A709" s="10">
        <f>IFERROR(__xludf.DUMMYFUNCTION("""COMPUTED_VALUE"""),12452.0)</f>
        <v>12452</v>
      </c>
      <c r="B709" s="11">
        <f>IFERROR(__xludf.DUMMYFUNCTION("""COMPUTED_VALUE"""),0.0)</f>
        <v>0</v>
      </c>
      <c r="C709" s="11">
        <f>IFERROR(__xludf.DUMMYFUNCTION("""COMPUTED_VALUE"""),496.0)</f>
        <v>496</v>
      </c>
      <c r="D709" s="11">
        <f>IFERROR(__xludf.DUMMYFUNCTION("""COMPUTED_VALUE"""),163.0)</f>
        <v>163</v>
      </c>
      <c r="E709" s="9"/>
    </row>
    <row r="710">
      <c r="A710" s="10">
        <f>IFERROR(__xludf.DUMMYFUNCTION("""COMPUTED_VALUE"""),108996.0)</f>
        <v>108996</v>
      </c>
      <c r="B710" s="11">
        <f>IFERROR(__xludf.DUMMYFUNCTION("""COMPUTED_VALUE"""),0.0)</f>
        <v>0</v>
      </c>
      <c r="C710" s="11">
        <f>IFERROR(__xludf.DUMMYFUNCTION("""COMPUTED_VALUE"""),644.0)</f>
        <v>644</v>
      </c>
      <c r="D710" s="11">
        <f>IFERROR(__xludf.DUMMYFUNCTION("""COMPUTED_VALUE"""),17.0)</f>
        <v>17</v>
      </c>
      <c r="E710" s="9"/>
    </row>
    <row r="711">
      <c r="A711" s="10">
        <f>IFERROR(__xludf.DUMMYFUNCTION("""COMPUTED_VALUE"""),15638.0)</f>
        <v>15638</v>
      </c>
      <c r="B711" s="11">
        <f>IFERROR(__xludf.DUMMYFUNCTION("""COMPUTED_VALUE"""),1.0)</f>
        <v>1</v>
      </c>
      <c r="C711" s="11">
        <f>IFERROR(__xludf.DUMMYFUNCTION("""COMPUTED_VALUE"""),270.0)</f>
        <v>270</v>
      </c>
      <c r="D711" s="11">
        <f>IFERROR(__xludf.DUMMYFUNCTION("""COMPUTED_VALUE"""),25.0)</f>
        <v>25</v>
      </c>
      <c r="E711" s="9"/>
    </row>
    <row r="712">
      <c r="A712" s="10">
        <f>IFERROR(__xludf.DUMMYFUNCTION("""COMPUTED_VALUE"""),118109.0)</f>
        <v>118109</v>
      </c>
      <c r="B712" s="11">
        <f>IFERROR(__xludf.DUMMYFUNCTION("""COMPUTED_VALUE"""),0.0)</f>
        <v>0</v>
      </c>
      <c r="C712" s="11">
        <f>IFERROR(__xludf.DUMMYFUNCTION("""COMPUTED_VALUE"""),791.0)</f>
        <v>791</v>
      </c>
      <c r="D712" s="11">
        <f>IFERROR(__xludf.DUMMYFUNCTION("""COMPUTED_VALUE"""),164.0)</f>
        <v>164</v>
      </c>
      <c r="E712" s="9"/>
    </row>
    <row r="713">
      <c r="A713" s="10">
        <f>IFERROR(__xludf.DUMMYFUNCTION("""COMPUTED_VALUE"""),15634.0)</f>
        <v>15634</v>
      </c>
      <c r="B713" s="11">
        <f>IFERROR(__xludf.DUMMYFUNCTION("""COMPUTED_VALUE"""),1.0)</f>
        <v>1</v>
      </c>
      <c r="C713" s="11">
        <f>IFERROR(__xludf.DUMMYFUNCTION("""COMPUTED_VALUE"""),610.0)</f>
        <v>610</v>
      </c>
      <c r="D713" s="11">
        <f>IFERROR(__xludf.DUMMYFUNCTION("""COMPUTED_VALUE"""),303.0)</f>
        <v>303</v>
      </c>
      <c r="E713" s="9"/>
    </row>
    <row r="714">
      <c r="A714" s="10">
        <f>IFERROR(__xludf.DUMMYFUNCTION("""COMPUTED_VALUE"""),2802.0)</f>
        <v>2802</v>
      </c>
      <c r="B714" s="11">
        <f>IFERROR(__xludf.DUMMYFUNCTION("""COMPUTED_VALUE"""),1.0)</f>
        <v>1</v>
      </c>
      <c r="C714" s="11">
        <f>IFERROR(__xludf.DUMMYFUNCTION("""COMPUTED_VALUE"""),903.0)</f>
        <v>903</v>
      </c>
      <c r="D714" s="11">
        <f>IFERROR(__xludf.DUMMYFUNCTION("""COMPUTED_VALUE"""),835.0)</f>
        <v>835</v>
      </c>
      <c r="E714" s="9"/>
    </row>
    <row r="715">
      <c r="A715" s="10">
        <f>IFERROR(__xludf.DUMMYFUNCTION("""COMPUTED_VALUE"""),46962.0)</f>
        <v>46962</v>
      </c>
      <c r="B715" s="11">
        <f>IFERROR(__xludf.DUMMYFUNCTION("""COMPUTED_VALUE"""),0.0)</f>
        <v>0</v>
      </c>
      <c r="C715" s="11">
        <f>IFERROR(__xludf.DUMMYFUNCTION("""COMPUTED_VALUE"""),80.0)</f>
        <v>80</v>
      </c>
      <c r="D715" s="11">
        <f>IFERROR(__xludf.DUMMYFUNCTION("""COMPUTED_VALUE"""),15.0)</f>
        <v>15</v>
      </c>
      <c r="E715" s="9"/>
    </row>
    <row r="716">
      <c r="A716" s="10">
        <f>IFERROR(__xludf.DUMMYFUNCTION("""COMPUTED_VALUE"""),128348.0)</f>
        <v>128348</v>
      </c>
      <c r="B716" s="11">
        <f>IFERROR(__xludf.DUMMYFUNCTION("""COMPUTED_VALUE"""),0.0)</f>
        <v>0</v>
      </c>
      <c r="C716" s="11">
        <f>IFERROR(__xludf.DUMMYFUNCTION("""COMPUTED_VALUE"""),39.0)</f>
        <v>39</v>
      </c>
      <c r="D716" s="11">
        <f>IFERROR(__xludf.DUMMYFUNCTION("""COMPUTED_VALUE"""),8.0)</f>
        <v>8</v>
      </c>
      <c r="E716" s="9"/>
    </row>
    <row r="717">
      <c r="A717" s="10">
        <f>IFERROR(__xludf.DUMMYFUNCTION("""COMPUTED_VALUE"""),108963.0)</f>
        <v>108963</v>
      </c>
      <c r="B717" s="11">
        <f>IFERROR(__xludf.DUMMYFUNCTION("""COMPUTED_VALUE"""),1.0)</f>
        <v>1</v>
      </c>
      <c r="C717" s="11">
        <f>IFERROR(__xludf.DUMMYFUNCTION("""COMPUTED_VALUE"""),790.0)</f>
        <v>790</v>
      </c>
      <c r="D717" s="11">
        <f>IFERROR(__xludf.DUMMYFUNCTION("""COMPUTED_VALUE"""),590.0)</f>
        <v>590</v>
      </c>
      <c r="E717" s="9"/>
    </row>
    <row r="718">
      <c r="A718" s="10">
        <f>IFERROR(__xludf.DUMMYFUNCTION("""COMPUTED_VALUE"""),2800.0)</f>
        <v>2800</v>
      </c>
      <c r="B718" s="11">
        <f>IFERROR(__xludf.DUMMYFUNCTION("""COMPUTED_VALUE"""),0.0)</f>
        <v>0</v>
      </c>
      <c r="C718" s="11">
        <f>IFERROR(__xludf.DUMMYFUNCTION("""COMPUTED_VALUE"""),965.0)</f>
        <v>965</v>
      </c>
      <c r="D718" s="11">
        <f>IFERROR(__xludf.DUMMYFUNCTION("""COMPUTED_VALUE"""),460.0)</f>
        <v>460</v>
      </c>
      <c r="E718" s="9"/>
    </row>
    <row r="719">
      <c r="A719" s="10">
        <f>IFERROR(__xludf.DUMMYFUNCTION("""COMPUTED_VALUE"""),12451.0)</f>
        <v>12451</v>
      </c>
      <c r="B719" s="11">
        <f>IFERROR(__xludf.DUMMYFUNCTION("""COMPUTED_VALUE"""),1.0)</f>
        <v>1</v>
      </c>
      <c r="C719" s="11">
        <f>IFERROR(__xludf.DUMMYFUNCTION("""COMPUTED_VALUE"""),288.0)</f>
        <v>288</v>
      </c>
      <c r="D719" s="11">
        <f>IFERROR(__xludf.DUMMYFUNCTION("""COMPUTED_VALUE"""),243.0)</f>
        <v>243</v>
      </c>
      <c r="E719" s="9"/>
    </row>
    <row r="720">
      <c r="A720" s="10">
        <f>IFERROR(__xludf.DUMMYFUNCTION("""COMPUTED_VALUE"""),19024.0)</f>
        <v>19024</v>
      </c>
      <c r="B720" s="11">
        <f>IFERROR(__xludf.DUMMYFUNCTION("""COMPUTED_VALUE"""),0.0)</f>
        <v>0</v>
      </c>
      <c r="C720" s="11">
        <f>IFERROR(__xludf.DUMMYFUNCTION("""COMPUTED_VALUE"""),291.0)</f>
        <v>291</v>
      </c>
      <c r="D720" s="11">
        <f>IFERROR(__xludf.DUMMYFUNCTION("""COMPUTED_VALUE"""),120.0)</f>
        <v>120</v>
      </c>
      <c r="E720" s="9"/>
    </row>
    <row r="721">
      <c r="A721" s="10">
        <f>IFERROR(__xludf.DUMMYFUNCTION("""COMPUTED_VALUE"""),9472.0)</f>
        <v>9472</v>
      </c>
      <c r="B721" s="11">
        <f>IFERROR(__xludf.DUMMYFUNCTION("""COMPUTED_VALUE"""),1.0)</f>
        <v>1</v>
      </c>
      <c r="C721" s="11">
        <f>IFERROR(__xludf.DUMMYFUNCTION("""COMPUTED_VALUE"""),825.0)</f>
        <v>825</v>
      </c>
      <c r="D721" s="11">
        <f>IFERROR(__xludf.DUMMYFUNCTION("""COMPUTED_VALUE"""),761.0)</f>
        <v>761</v>
      </c>
      <c r="E721" s="9"/>
    </row>
    <row r="722">
      <c r="A722" s="10">
        <f>IFERROR(__xludf.DUMMYFUNCTION("""COMPUTED_VALUE"""),1587.0)</f>
        <v>1587</v>
      </c>
      <c r="B722" s="11">
        <f>IFERROR(__xludf.DUMMYFUNCTION("""COMPUTED_VALUE"""),1.0)</f>
        <v>1</v>
      </c>
      <c r="C722" s="11">
        <f>IFERROR(__xludf.DUMMYFUNCTION("""COMPUTED_VALUE"""),846.0)</f>
        <v>846</v>
      </c>
      <c r="D722" s="11">
        <f>IFERROR(__xludf.DUMMYFUNCTION("""COMPUTED_VALUE"""),349.0)</f>
        <v>349</v>
      </c>
      <c r="E722" s="9"/>
    </row>
    <row r="723">
      <c r="A723" s="10">
        <f>IFERROR(__xludf.DUMMYFUNCTION("""COMPUTED_VALUE"""),118262.0)</f>
        <v>118262</v>
      </c>
      <c r="B723" s="11">
        <f>IFERROR(__xludf.DUMMYFUNCTION("""COMPUTED_VALUE"""),0.0)</f>
        <v>0</v>
      </c>
      <c r="C723" s="11">
        <f>IFERROR(__xludf.DUMMYFUNCTION("""COMPUTED_VALUE"""),627.0)</f>
        <v>627</v>
      </c>
      <c r="D723" s="11">
        <f>IFERROR(__xludf.DUMMYFUNCTION("""COMPUTED_VALUE"""),474.0)</f>
        <v>474</v>
      </c>
      <c r="E723" s="9"/>
    </row>
    <row r="724">
      <c r="A724" s="10">
        <f>IFERROR(__xludf.DUMMYFUNCTION("""COMPUTED_VALUE"""),44739.0)</f>
        <v>44739</v>
      </c>
      <c r="B724" s="11">
        <f>IFERROR(__xludf.DUMMYFUNCTION("""COMPUTED_VALUE"""),1.0)</f>
        <v>1</v>
      </c>
      <c r="C724" s="11">
        <f>IFERROR(__xludf.DUMMYFUNCTION("""COMPUTED_VALUE"""),270.0)</f>
        <v>270</v>
      </c>
      <c r="D724" s="11">
        <f>IFERROR(__xludf.DUMMYFUNCTION("""COMPUTED_VALUE"""),258.0)</f>
        <v>258</v>
      </c>
      <c r="E724" s="9"/>
    </row>
    <row r="725">
      <c r="A725" s="10">
        <f>IFERROR(__xludf.DUMMYFUNCTION("""COMPUTED_VALUE"""),199855.0)</f>
        <v>199855</v>
      </c>
      <c r="B725" s="11">
        <f>IFERROR(__xludf.DUMMYFUNCTION("""COMPUTED_VALUE"""),0.0)</f>
        <v>0</v>
      </c>
      <c r="C725" s="11">
        <f>IFERROR(__xludf.DUMMYFUNCTION("""COMPUTED_VALUE"""),741.0)</f>
        <v>741</v>
      </c>
      <c r="D725" s="11">
        <f>IFERROR(__xludf.DUMMYFUNCTION("""COMPUTED_VALUE"""),545.0)</f>
        <v>545</v>
      </c>
      <c r="E725" s="9"/>
    </row>
    <row r="726">
      <c r="A726" s="10">
        <f>IFERROR(__xludf.DUMMYFUNCTION("""COMPUTED_VALUE"""),71674.0)</f>
        <v>71674</v>
      </c>
      <c r="B726" s="11">
        <f>IFERROR(__xludf.DUMMYFUNCTION("""COMPUTED_VALUE"""),0.0)</f>
        <v>0</v>
      </c>
      <c r="C726" s="11">
        <f>IFERROR(__xludf.DUMMYFUNCTION("""COMPUTED_VALUE"""),724.0)</f>
        <v>724</v>
      </c>
      <c r="D726" s="11">
        <f>IFERROR(__xludf.DUMMYFUNCTION("""COMPUTED_VALUE"""),496.0)</f>
        <v>496</v>
      </c>
      <c r="E726" s="9"/>
    </row>
    <row r="727">
      <c r="A727" s="10">
        <f>IFERROR(__xludf.DUMMYFUNCTION("""COMPUTED_VALUE"""),101357.0)</f>
        <v>101357</v>
      </c>
      <c r="B727" s="11">
        <f>IFERROR(__xludf.DUMMYFUNCTION("""COMPUTED_VALUE"""),1.0)</f>
        <v>1</v>
      </c>
      <c r="C727" s="11">
        <f>IFERROR(__xludf.DUMMYFUNCTION("""COMPUTED_VALUE"""),924.0)</f>
        <v>924</v>
      </c>
      <c r="D727" s="11">
        <f>IFERROR(__xludf.DUMMYFUNCTION("""COMPUTED_VALUE"""),512.0)</f>
        <v>512</v>
      </c>
      <c r="E727" s="9"/>
    </row>
    <row r="728">
      <c r="A728" s="10">
        <f>IFERROR(__xludf.DUMMYFUNCTION("""COMPUTED_VALUE"""),121066.0)</f>
        <v>121066</v>
      </c>
      <c r="B728" s="11">
        <f>IFERROR(__xludf.DUMMYFUNCTION("""COMPUTED_VALUE"""),1.0)</f>
        <v>1</v>
      </c>
      <c r="C728" s="11">
        <f>IFERROR(__xludf.DUMMYFUNCTION("""COMPUTED_VALUE"""),149.0)</f>
        <v>149</v>
      </c>
      <c r="D728" s="11">
        <f>IFERROR(__xludf.DUMMYFUNCTION("""COMPUTED_VALUE"""),92.0)</f>
        <v>92</v>
      </c>
      <c r="E728" s="9"/>
    </row>
    <row r="729">
      <c r="A729" s="10">
        <f>IFERROR(__xludf.DUMMYFUNCTION("""COMPUTED_VALUE"""),72818.0)</f>
        <v>72818</v>
      </c>
      <c r="B729" s="11">
        <f>IFERROR(__xludf.DUMMYFUNCTION("""COMPUTED_VALUE"""),0.0)</f>
        <v>0</v>
      </c>
      <c r="C729" s="11">
        <f>IFERROR(__xludf.DUMMYFUNCTION("""COMPUTED_VALUE"""),519.0)</f>
        <v>519</v>
      </c>
      <c r="D729" s="11">
        <f>IFERROR(__xludf.DUMMYFUNCTION("""COMPUTED_VALUE"""),133.0)</f>
        <v>133</v>
      </c>
      <c r="E729" s="9"/>
    </row>
    <row r="730">
      <c r="A730" s="10">
        <f>IFERROR(__xludf.DUMMYFUNCTION("""COMPUTED_VALUE"""),109178.0)</f>
        <v>109178</v>
      </c>
      <c r="B730" s="11">
        <f>IFERROR(__xludf.DUMMYFUNCTION("""COMPUTED_VALUE"""),1.0)</f>
        <v>1</v>
      </c>
      <c r="C730" s="11">
        <f>IFERROR(__xludf.DUMMYFUNCTION("""COMPUTED_VALUE"""),791.0)</f>
        <v>791</v>
      </c>
      <c r="D730" s="11">
        <f>IFERROR(__xludf.DUMMYFUNCTION("""COMPUTED_VALUE"""),444.0)</f>
        <v>444</v>
      </c>
      <c r="E730" s="9"/>
    </row>
    <row r="731">
      <c r="A731" s="10">
        <f>IFERROR(__xludf.DUMMYFUNCTION("""COMPUTED_VALUE"""),114876.0)</f>
        <v>114876</v>
      </c>
      <c r="B731" s="11">
        <f>IFERROR(__xludf.DUMMYFUNCTION("""COMPUTED_VALUE"""),0.0)</f>
        <v>0</v>
      </c>
      <c r="C731" s="11">
        <f>IFERROR(__xludf.DUMMYFUNCTION("""COMPUTED_VALUE"""),312.0)</f>
        <v>312</v>
      </c>
      <c r="D731" s="11">
        <f>IFERROR(__xludf.DUMMYFUNCTION("""COMPUTED_VALUE"""),136.0)</f>
        <v>136</v>
      </c>
      <c r="E731" s="9"/>
    </row>
    <row r="732">
      <c r="A732" s="10">
        <f>IFERROR(__xludf.DUMMYFUNCTION("""COMPUTED_VALUE"""),9471.0)</f>
        <v>9471</v>
      </c>
      <c r="B732" s="11">
        <f>IFERROR(__xludf.DUMMYFUNCTION("""COMPUTED_VALUE"""),1.0)</f>
        <v>1</v>
      </c>
      <c r="C732" s="11">
        <f>IFERROR(__xludf.DUMMYFUNCTION("""COMPUTED_VALUE"""),656.0)</f>
        <v>656</v>
      </c>
      <c r="D732" s="11">
        <f>IFERROR(__xludf.DUMMYFUNCTION("""COMPUTED_VALUE"""),526.0)</f>
        <v>526</v>
      </c>
      <c r="E732" s="9"/>
    </row>
    <row r="733">
      <c r="A733" s="10">
        <f>IFERROR(__xludf.DUMMYFUNCTION("""COMPUTED_VALUE"""),87840.0)</f>
        <v>87840</v>
      </c>
      <c r="B733" s="11">
        <f>IFERROR(__xludf.DUMMYFUNCTION("""COMPUTED_VALUE"""),1.0)</f>
        <v>1</v>
      </c>
      <c r="C733" s="11">
        <f>IFERROR(__xludf.DUMMYFUNCTION("""COMPUTED_VALUE"""),749.0)</f>
        <v>749</v>
      </c>
      <c r="D733" s="11">
        <f>IFERROR(__xludf.DUMMYFUNCTION("""COMPUTED_VALUE"""),513.0)</f>
        <v>513</v>
      </c>
      <c r="E733" s="9"/>
    </row>
    <row r="734">
      <c r="A734" s="10">
        <f>IFERROR(__xludf.DUMMYFUNCTION("""COMPUTED_VALUE"""),72816.0)</f>
        <v>72816</v>
      </c>
      <c r="B734" s="11">
        <f>IFERROR(__xludf.DUMMYFUNCTION("""COMPUTED_VALUE"""),0.0)</f>
        <v>0</v>
      </c>
      <c r="C734" s="11">
        <f>IFERROR(__xludf.DUMMYFUNCTION("""COMPUTED_VALUE"""),100.0)</f>
        <v>100</v>
      </c>
      <c r="D734" s="11">
        <f>IFERROR(__xludf.DUMMYFUNCTION("""COMPUTED_VALUE"""),62.0)</f>
        <v>62</v>
      </c>
      <c r="E734" s="9"/>
    </row>
    <row r="735">
      <c r="A735" s="10">
        <f>IFERROR(__xludf.DUMMYFUNCTION("""COMPUTED_VALUE"""),122354.0)</f>
        <v>122354</v>
      </c>
      <c r="B735" s="11">
        <f>IFERROR(__xludf.DUMMYFUNCTION("""COMPUTED_VALUE"""),0.0)</f>
        <v>0</v>
      </c>
      <c r="C735" s="11">
        <f>IFERROR(__xludf.DUMMYFUNCTION("""COMPUTED_VALUE"""),595.0)</f>
        <v>595</v>
      </c>
      <c r="D735" s="11">
        <f>IFERROR(__xludf.DUMMYFUNCTION("""COMPUTED_VALUE"""),59.0)</f>
        <v>59</v>
      </c>
      <c r="E735" s="9"/>
    </row>
    <row r="736">
      <c r="A736" s="10">
        <f>IFERROR(__xludf.DUMMYFUNCTION("""COMPUTED_VALUE"""),109188.0)</f>
        <v>109188</v>
      </c>
      <c r="B736" s="11">
        <f>IFERROR(__xludf.DUMMYFUNCTION("""COMPUTED_VALUE"""),0.0)</f>
        <v>0</v>
      </c>
      <c r="C736" s="11">
        <f>IFERROR(__xludf.DUMMYFUNCTION("""COMPUTED_VALUE"""),978.0)</f>
        <v>978</v>
      </c>
      <c r="D736" s="11">
        <f>IFERROR(__xludf.DUMMYFUNCTION("""COMPUTED_VALUE"""),872.0)</f>
        <v>872</v>
      </c>
      <c r="E736" s="9"/>
    </row>
    <row r="737">
      <c r="A737" s="10">
        <f>IFERROR(__xludf.DUMMYFUNCTION("""COMPUTED_VALUE"""),7999.0)</f>
        <v>7999</v>
      </c>
      <c r="B737" s="11">
        <f>IFERROR(__xludf.DUMMYFUNCTION("""COMPUTED_VALUE"""),0.0)</f>
        <v>0</v>
      </c>
      <c r="C737" s="11">
        <f>IFERROR(__xludf.DUMMYFUNCTION("""COMPUTED_VALUE"""),236.0)</f>
        <v>236</v>
      </c>
      <c r="D737" s="11">
        <f>IFERROR(__xludf.DUMMYFUNCTION("""COMPUTED_VALUE"""),124.0)</f>
        <v>124</v>
      </c>
      <c r="E737" s="9"/>
    </row>
    <row r="738">
      <c r="A738" s="10">
        <f>IFERROR(__xludf.DUMMYFUNCTION("""COMPUTED_VALUE"""),9469.0)</f>
        <v>9469</v>
      </c>
      <c r="B738" s="11">
        <f>IFERROR(__xludf.DUMMYFUNCTION("""COMPUTED_VALUE"""),0.0)</f>
        <v>0</v>
      </c>
      <c r="C738" s="11">
        <f>IFERROR(__xludf.DUMMYFUNCTION("""COMPUTED_VALUE"""),881.0)</f>
        <v>881</v>
      </c>
      <c r="D738" s="11">
        <f>IFERROR(__xludf.DUMMYFUNCTION("""COMPUTED_VALUE"""),255.0)</f>
        <v>255</v>
      </c>
      <c r="E738" s="9"/>
    </row>
    <row r="739">
      <c r="A739" s="10">
        <f>IFERROR(__xludf.DUMMYFUNCTION("""COMPUTED_VALUE"""),46955.0)</f>
        <v>46955</v>
      </c>
      <c r="B739" s="11">
        <f>IFERROR(__xludf.DUMMYFUNCTION("""COMPUTED_VALUE"""),1.0)</f>
        <v>1</v>
      </c>
      <c r="C739" s="11">
        <f>IFERROR(__xludf.DUMMYFUNCTION("""COMPUTED_VALUE"""),147.0)</f>
        <v>147</v>
      </c>
      <c r="D739" s="11">
        <f>IFERROR(__xludf.DUMMYFUNCTION("""COMPUTED_VALUE"""),60.0)</f>
        <v>60</v>
      </c>
      <c r="E739" s="9"/>
    </row>
    <row r="740">
      <c r="A740" s="10">
        <f>IFERROR(__xludf.DUMMYFUNCTION("""COMPUTED_VALUE"""),9464.0)</f>
        <v>9464</v>
      </c>
      <c r="B740" s="11">
        <f>IFERROR(__xludf.DUMMYFUNCTION("""COMPUTED_VALUE"""),0.0)</f>
        <v>0</v>
      </c>
      <c r="C740" s="11">
        <f>IFERROR(__xludf.DUMMYFUNCTION("""COMPUTED_VALUE"""),911.0)</f>
        <v>911</v>
      </c>
      <c r="D740" s="11">
        <f>IFERROR(__xludf.DUMMYFUNCTION("""COMPUTED_VALUE"""),529.0)</f>
        <v>529</v>
      </c>
      <c r="E740" s="9"/>
    </row>
    <row r="741">
      <c r="A741" s="10">
        <f>IFERROR(__xludf.DUMMYFUNCTION("""COMPUTED_VALUE"""),79485.0)</f>
        <v>79485</v>
      </c>
      <c r="B741" s="11">
        <f>IFERROR(__xludf.DUMMYFUNCTION("""COMPUTED_VALUE"""),0.0)</f>
        <v>0</v>
      </c>
      <c r="C741" s="11">
        <f>IFERROR(__xludf.DUMMYFUNCTION("""COMPUTED_VALUE"""),849.0)</f>
        <v>849</v>
      </c>
      <c r="D741" s="11">
        <f>IFERROR(__xludf.DUMMYFUNCTION("""COMPUTED_VALUE"""),701.0)</f>
        <v>701</v>
      </c>
      <c r="E741" s="9"/>
    </row>
    <row r="742">
      <c r="A742" s="10">
        <f>IFERROR(__xludf.DUMMYFUNCTION("""COMPUTED_VALUE"""),118224.0)</f>
        <v>118224</v>
      </c>
      <c r="B742" s="11">
        <f>IFERROR(__xludf.DUMMYFUNCTION("""COMPUTED_VALUE"""),1.0)</f>
        <v>1</v>
      </c>
      <c r="C742" s="11">
        <f>IFERROR(__xludf.DUMMYFUNCTION("""COMPUTED_VALUE"""),937.0)</f>
        <v>937</v>
      </c>
      <c r="D742" s="11">
        <f>IFERROR(__xludf.DUMMYFUNCTION("""COMPUTED_VALUE"""),878.0)</f>
        <v>878</v>
      </c>
      <c r="E742" s="9"/>
    </row>
    <row r="743">
      <c r="A743" s="10">
        <f>IFERROR(__xludf.DUMMYFUNCTION("""COMPUTED_VALUE"""),122353.0)</f>
        <v>122353</v>
      </c>
      <c r="B743" s="11">
        <f>IFERROR(__xludf.DUMMYFUNCTION("""COMPUTED_VALUE"""),1.0)</f>
        <v>1</v>
      </c>
      <c r="C743" s="11">
        <f>IFERROR(__xludf.DUMMYFUNCTION("""COMPUTED_VALUE"""),681.0)</f>
        <v>681</v>
      </c>
      <c r="D743" s="11">
        <f>IFERROR(__xludf.DUMMYFUNCTION("""COMPUTED_VALUE"""),5.0)</f>
        <v>5</v>
      </c>
      <c r="E743" s="9"/>
    </row>
    <row r="744">
      <c r="A744" s="10">
        <f>IFERROR(__xludf.DUMMYFUNCTION("""COMPUTED_VALUE"""),1584.0)</f>
        <v>1584</v>
      </c>
      <c r="B744" s="11">
        <f>IFERROR(__xludf.DUMMYFUNCTION("""COMPUTED_VALUE"""),1.0)</f>
        <v>1</v>
      </c>
      <c r="C744" s="11">
        <f>IFERROR(__xludf.DUMMYFUNCTION("""COMPUTED_VALUE"""),831.0)</f>
        <v>831</v>
      </c>
      <c r="D744" s="11">
        <f>IFERROR(__xludf.DUMMYFUNCTION("""COMPUTED_VALUE"""),144.0)</f>
        <v>144</v>
      </c>
      <c r="E744" s="9"/>
    </row>
    <row r="745">
      <c r="A745" s="10">
        <f>IFERROR(__xludf.DUMMYFUNCTION("""COMPUTED_VALUE"""),2792.0)</f>
        <v>2792</v>
      </c>
      <c r="B745" s="11">
        <f>IFERROR(__xludf.DUMMYFUNCTION("""COMPUTED_VALUE"""),0.0)</f>
        <v>0</v>
      </c>
      <c r="C745" s="11">
        <f>IFERROR(__xludf.DUMMYFUNCTION("""COMPUTED_VALUE"""),518.0)</f>
        <v>518</v>
      </c>
      <c r="D745" s="11">
        <f>IFERROR(__xludf.DUMMYFUNCTION("""COMPUTED_VALUE"""),115.0)</f>
        <v>115</v>
      </c>
      <c r="E745" s="9"/>
    </row>
    <row r="746">
      <c r="A746" s="10">
        <f>IFERROR(__xludf.DUMMYFUNCTION("""COMPUTED_VALUE"""),109187.0)</f>
        <v>109187</v>
      </c>
      <c r="B746" s="11">
        <f>IFERROR(__xludf.DUMMYFUNCTION("""COMPUTED_VALUE"""),0.0)</f>
        <v>0</v>
      </c>
      <c r="C746" s="11">
        <f>IFERROR(__xludf.DUMMYFUNCTION("""COMPUTED_VALUE"""),292.0)</f>
        <v>292</v>
      </c>
      <c r="D746" s="11">
        <f>IFERROR(__xludf.DUMMYFUNCTION("""COMPUTED_VALUE"""),275.0)</f>
        <v>275</v>
      </c>
      <c r="E746" s="9"/>
    </row>
    <row r="747">
      <c r="A747" s="10">
        <f>IFERROR(__xludf.DUMMYFUNCTION("""COMPUTED_VALUE"""),118257.0)</f>
        <v>118257</v>
      </c>
      <c r="B747" s="11">
        <f>IFERROR(__xludf.DUMMYFUNCTION("""COMPUTED_VALUE"""),0.0)</f>
        <v>0</v>
      </c>
      <c r="C747" s="11">
        <f>IFERROR(__xludf.DUMMYFUNCTION("""COMPUTED_VALUE"""),733.0)</f>
        <v>733</v>
      </c>
      <c r="D747" s="11">
        <f>IFERROR(__xludf.DUMMYFUNCTION("""COMPUTED_VALUE"""),613.0)</f>
        <v>613</v>
      </c>
      <c r="E747" s="9"/>
    </row>
    <row r="748">
      <c r="A748" s="10">
        <f>IFERROR(__xludf.DUMMYFUNCTION("""COMPUTED_VALUE"""),7995.0)</f>
        <v>7995</v>
      </c>
      <c r="B748" s="11">
        <f>IFERROR(__xludf.DUMMYFUNCTION("""COMPUTED_VALUE"""),0.0)</f>
        <v>0</v>
      </c>
      <c r="C748" s="11">
        <f>IFERROR(__xludf.DUMMYFUNCTION("""COMPUTED_VALUE"""),16.0)</f>
        <v>16</v>
      </c>
      <c r="D748" s="11">
        <f>IFERROR(__xludf.DUMMYFUNCTION("""COMPUTED_VALUE"""),4.0)</f>
        <v>4</v>
      </c>
      <c r="E748" s="9"/>
    </row>
    <row r="749">
      <c r="A749" s="10">
        <f>IFERROR(__xludf.DUMMYFUNCTION("""COMPUTED_VALUE"""),99360.0)</f>
        <v>99360</v>
      </c>
      <c r="B749" s="11">
        <f>IFERROR(__xludf.DUMMYFUNCTION("""COMPUTED_VALUE"""),0.0)</f>
        <v>0</v>
      </c>
      <c r="C749" s="11">
        <f>IFERROR(__xludf.DUMMYFUNCTION("""COMPUTED_VALUE"""),746.0)</f>
        <v>746</v>
      </c>
      <c r="D749" s="11">
        <f>IFERROR(__xludf.DUMMYFUNCTION("""COMPUTED_VALUE"""),238.0)</f>
        <v>238</v>
      </c>
      <c r="E749" s="9"/>
    </row>
    <row r="750">
      <c r="A750" s="10">
        <f>IFERROR(__xludf.DUMMYFUNCTION("""COMPUTED_VALUE"""),118156.0)</f>
        <v>118156</v>
      </c>
      <c r="B750" s="11">
        <f>IFERROR(__xludf.DUMMYFUNCTION("""COMPUTED_VALUE"""),0.0)</f>
        <v>0</v>
      </c>
      <c r="C750" s="11">
        <f>IFERROR(__xludf.DUMMYFUNCTION("""COMPUTED_VALUE"""),208.0)</f>
        <v>208</v>
      </c>
      <c r="D750" s="11">
        <f>IFERROR(__xludf.DUMMYFUNCTION("""COMPUTED_VALUE"""),53.0)</f>
        <v>53</v>
      </c>
      <c r="E750" s="9"/>
    </row>
    <row r="751">
      <c r="A751" s="10">
        <f>IFERROR(__xludf.DUMMYFUNCTION("""COMPUTED_VALUE"""),44943.0)</f>
        <v>44943</v>
      </c>
      <c r="B751" s="11">
        <f>IFERROR(__xludf.DUMMYFUNCTION("""COMPUTED_VALUE"""),1.0)</f>
        <v>1</v>
      </c>
      <c r="C751" s="11">
        <f>IFERROR(__xludf.DUMMYFUNCTION("""COMPUTED_VALUE"""),200.0)</f>
        <v>200</v>
      </c>
      <c r="D751" s="11">
        <f>IFERROR(__xludf.DUMMYFUNCTION("""COMPUTED_VALUE"""),114.0)</f>
        <v>114</v>
      </c>
      <c r="E751" s="9"/>
    </row>
    <row r="752">
      <c r="A752" s="10">
        <f>IFERROR(__xludf.DUMMYFUNCTION("""COMPUTED_VALUE"""),9462.0)</f>
        <v>9462</v>
      </c>
      <c r="B752" s="11">
        <f>IFERROR(__xludf.DUMMYFUNCTION("""COMPUTED_VALUE"""),1.0)</f>
        <v>1</v>
      </c>
      <c r="C752" s="11">
        <f>IFERROR(__xludf.DUMMYFUNCTION("""COMPUTED_VALUE"""),944.0)</f>
        <v>944</v>
      </c>
      <c r="D752" s="11">
        <f>IFERROR(__xludf.DUMMYFUNCTION("""COMPUTED_VALUE"""),410.0)</f>
        <v>410</v>
      </c>
      <c r="E752" s="9"/>
    </row>
    <row r="753">
      <c r="A753" s="10">
        <f>IFERROR(__xludf.DUMMYFUNCTION("""COMPUTED_VALUE"""),79501.0)</f>
        <v>79501</v>
      </c>
      <c r="B753" s="11">
        <f>IFERROR(__xludf.DUMMYFUNCTION("""COMPUTED_VALUE"""),0.0)</f>
        <v>0</v>
      </c>
      <c r="C753" s="11">
        <f>IFERROR(__xludf.DUMMYFUNCTION("""COMPUTED_VALUE"""),882.0)</f>
        <v>882</v>
      </c>
      <c r="D753" s="11">
        <f>IFERROR(__xludf.DUMMYFUNCTION("""COMPUTED_VALUE"""),324.0)</f>
        <v>324</v>
      </c>
      <c r="E753" s="9"/>
    </row>
    <row r="754">
      <c r="A754" s="10">
        <f>IFERROR(__xludf.DUMMYFUNCTION("""COMPUTED_VALUE"""),97161.0)</f>
        <v>97161</v>
      </c>
      <c r="B754" s="11">
        <f>IFERROR(__xludf.DUMMYFUNCTION("""COMPUTED_VALUE"""),1.0)</f>
        <v>1</v>
      </c>
      <c r="C754" s="11">
        <f>IFERROR(__xludf.DUMMYFUNCTION("""COMPUTED_VALUE"""),817.0)</f>
        <v>817</v>
      </c>
      <c r="D754" s="11">
        <f>IFERROR(__xludf.DUMMYFUNCTION("""COMPUTED_VALUE"""),189.0)</f>
        <v>189</v>
      </c>
      <c r="E754" s="9"/>
    </row>
    <row r="755">
      <c r="A755" s="10">
        <f>IFERROR(__xludf.DUMMYFUNCTION("""COMPUTED_VALUE"""),112842.0)</f>
        <v>112842</v>
      </c>
      <c r="B755" s="11">
        <f>IFERROR(__xludf.DUMMYFUNCTION("""COMPUTED_VALUE"""),0.0)</f>
        <v>0</v>
      </c>
      <c r="C755" s="11">
        <f>IFERROR(__xludf.DUMMYFUNCTION("""COMPUTED_VALUE"""),432.0)</f>
        <v>432</v>
      </c>
      <c r="D755" s="11">
        <f>IFERROR(__xludf.DUMMYFUNCTION("""COMPUTED_VALUE"""),26.0)</f>
        <v>26</v>
      </c>
      <c r="E755" s="9"/>
    </row>
    <row r="756">
      <c r="A756" s="10">
        <f>IFERROR(__xludf.DUMMYFUNCTION("""COMPUTED_VALUE"""),109180.0)</f>
        <v>109180</v>
      </c>
      <c r="B756" s="11">
        <f>IFERROR(__xludf.DUMMYFUNCTION("""COMPUTED_VALUE"""),0.0)</f>
        <v>0</v>
      </c>
      <c r="C756" s="11">
        <f>IFERROR(__xludf.DUMMYFUNCTION("""COMPUTED_VALUE"""),82.0)</f>
        <v>82</v>
      </c>
      <c r="D756" s="11">
        <f>IFERROR(__xludf.DUMMYFUNCTION("""COMPUTED_VALUE"""),26.0)</f>
        <v>26</v>
      </c>
      <c r="E756" s="9"/>
    </row>
    <row r="757">
      <c r="A757" s="10">
        <f>IFERROR(__xludf.DUMMYFUNCTION("""COMPUTED_VALUE"""),46954.0)</f>
        <v>46954</v>
      </c>
      <c r="B757" s="11">
        <f>IFERROR(__xludf.DUMMYFUNCTION("""COMPUTED_VALUE"""),0.0)</f>
        <v>0</v>
      </c>
      <c r="C757" s="11">
        <f>IFERROR(__xludf.DUMMYFUNCTION("""COMPUTED_VALUE"""),646.0)</f>
        <v>646</v>
      </c>
      <c r="D757" s="11">
        <f>IFERROR(__xludf.DUMMYFUNCTION("""COMPUTED_VALUE"""),197.0)</f>
        <v>197</v>
      </c>
      <c r="E757" s="9"/>
    </row>
    <row r="758">
      <c r="A758" s="10">
        <f>IFERROR(__xludf.DUMMYFUNCTION("""COMPUTED_VALUE"""),79500.0)</f>
        <v>79500</v>
      </c>
      <c r="B758" s="11">
        <f>IFERROR(__xludf.DUMMYFUNCTION("""COMPUTED_VALUE"""),0.0)</f>
        <v>0</v>
      </c>
      <c r="C758" s="11">
        <f>IFERROR(__xludf.DUMMYFUNCTION("""COMPUTED_VALUE"""),56.0)</f>
        <v>56</v>
      </c>
      <c r="D758" s="11">
        <f>IFERROR(__xludf.DUMMYFUNCTION("""COMPUTED_VALUE"""),24.0)</f>
        <v>24</v>
      </c>
      <c r="E758" s="9"/>
    </row>
    <row r="759">
      <c r="A759" s="10">
        <f>IFERROR(__xludf.DUMMYFUNCTION("""COMPUTED_VALUE"""),99302.0)</f>
        <v>99302</v>
      </c>
      <c r="B759" s="11">
        <f>IFERROR(__xludf.DUMMYFUNCTION("""COMPUTED_VALUE"""),1.0)</f>
        <v>1</v>
      </c>
      <c r="C759" s="11">
        <f>IFERROR(__xludf.DUMMYFUNCTION("""COMPUTED_VALUE"""),331.0)</f>
        <v>331</v>
      </c>
      <c r="D759" s="11">
        <f>IFERROR(__xludf.DUMMYFUNCTION("""COMPUTED_VALUE"""),77.0)</f>
        <v>77</v>
      </c>
      <c r="E759" s="9"/>
    </row>
    <row r="760">
      <c r="A760" s="10">
        <f>IFERROR(__xludf.DUMMYFUNCTION("""COMPUTED_VALUE"""),105026.0)</f>
        <v>105026</v>
      </c>
      <c r="B760" s="11">
        <f>IFERROR(__xludf.DUMMYFUNCTION("""COMPUTED_VALUE"""),0.0)</f>
        <v>0</v>
      </c>
      <c r="C760" s="11">
        <f>IFERROR(__xludf.DUMMYFUNCTION("""COMPUTED_VALUE"""),213.0)</f>
        <v>213</v>
      </c>
      <c r="D760" s="11">
        <f>IFERROR(__xludf.DUMMYFUNCTION("""COMPUTED_VALUE"""),70.0)</f>
        <v>70</v>
      </c>
      <c r="E760" s="9"/>
    </row>
    <row r="761">
      <c r="A761" s="10">
        <f>IFERROR(__xludf.DUMMYFUNCTION("""COMPUTED_VALUE"""),19972.0)</f>
        <v>19972</v>
      </c>
      <c r="B761" s="11">
        <f>IFERROR(__xludf.DUMMYFUNCTION("""COMPUTED_VALUE"""),1.0)</f>
        <v>1</v>
      </c>
      <c r="C761" s="11">
        <f>IFERROR(__xludf.DUMMYFUNCTION("""COMPUTED_VALUE"""),632.0)</f>
        <v>632</v>
      </c>
      <c r="D761" s="11">
        <f>IFERROR(__xludf.DUMMYFUNCTION("""COMPUTED_VALUE"""),604.0)</f>
        <v>604</v>
      </c>
      <c r="E761" s="9"/>
    </row>
    <row r="762">
      <c r="A762" s="10">
        <f>IFERROR(__xludf.DUMMYFUNCTION("""COMPUTED_VALUE"""),99233.0)</f>
        <v>99233</v>
      </c>
      <c r="B762" s="11">
        <f>IFERROR(__xludf.DUMMYFUNCTION("""COMPUTED_VALUE"""),1.0)</f>
        <v>1</v>
      </c>
      <c r="C762" s="11">
        <f>IFERROR(__xludf.DUMMYFUNCTION("""COMPUTED_VALUE"""),477.0)</f>
        <v>477</v>
      </c>
      <c r="D762" s="11">
        <f>IFERROR(__xludf.DUMMYFUNCTION("""COMPUTED_VALUE"""),66.0)</f>
        <v>66</v>
      </c>
      <c r="E762" s="9"/>
    </row>
    <row r="763">
      <c r="A763" s="10">
        <f>IFERROR(__xludf.DUMMYFUNCTION("""COMPUTED_VALUE"""),118260.0)</f>
        <v>118260</v>
      </c>
      <c r="B763" s="11">
        <f>IFERROR(__xludf.DUMMYFUNCTION("""COMPUTED_VALUE"""),1.0)</f>
        <v>1</v>
      </c>
      <c r="C763" s="11">
        <f>IFERROR(__xludf.DUMMYFUNCTION("""COMPUTED_VALUE"""),907.0)</f>
        <v>907</v>
      </c>
      <c r="D763" s="11">
        <f>IFERROR(__xludf.DUMMYFUNCTION("""COMPUTED_VALUE"""),210.0)</f>
        <v>210</v>
      </c>
      <c r="E763" s="9"/>
    </row>
    <row r="764">
      <c r="A764" s="10">
        <f>IFERROR(__xludf.DUMMYFUNCTION("""COMPUTED_VALUE"""),128398.0)</f>
        <v>128398</v>
      </c>
      <c r="B764" s="11">
        <f>IFERROR(__xludf.DUMMYFUNCTION("""COMPUTED_VALUE"""),0.0)</f>
        <v>0</v>
      </c>
      <c r="C764" s="11">
        <f>IFERROR(__xludf.DUMMYFUNCTION("""COMPUTED_VALUE"""),518.0)</f>
        <v>518</v>
      </c>
      <c r="D764" s="11">
        <f>IFERROR(__xludf.DUMMYFUNCTION("""COMPUTED_VALUE"""),433.0)</f>
        <v>433</v>
      </c>
      <c r="E764" s="9"/>
    </row>
    <row r="765">
      <c r="A765" s="10">
        <f>IFERROR(__xludf.DUMMYFUNCTION("""COMPUTED_VALUE"""),8001.0)</f>
        <v>8001</v>
      </c>
      <c r="B765" s="11">
        <f>IFERROR(__xludf.DUMMYFUNCTION("""COMPUTED_VALUE"""),1.0)</f>
        <v>1</v>
      </c>
      <c r="C765" s="11">
        <f>IFERROR(__xludf.DUMMYFUNCTION("""COMPUTED_VALUE"""),337.0)</f>
        <v>337</v>
      </c>
      <c r="D765" s="11">
        <f>IFERROR(__xludf.DUMMYFUNCTION("""COMPUTED_VALUE"""),198.0)</f>
        <v>198</v>
      </c>
      <c r="E765" s="9"/>
    </row>
    <row r="766">
      <c r="A766" s="10">
        <f>IFERROR(__xludf.DUMMYFUNCTION("""COMPUTED_VALUE"""),106782.0)</f>
        <v>106782</v>
      </c>
      <c r="B766" s="11">
        <f>IFERROR(__xludf.DUMMYFUNCTION("""COMPUTED_VALUE"""),0.0)</f>
        <v>0</v>
      </c>
      <c r="C766" s="11">
        <f>IFERROR(__xludf.DUMMYFUNCTION("""COMPUTED_VALUE"""),761.0)</f>
        <v>761</v>
      </c>
      <c r="D766" s="11">
        <f>IFERROR(__xludf.DUMMYFUNCTION("""COMPUTED_VALUE"""),37.0)</f>
        <v>37</v>
      </c>
      <c r="E766" s="9"/>
    </row>
    <row r="767">
      <c r="A767" s="10">
        <f>IFERROR(__xludf.DUMMYFUNCTION("""COMPUTED_VALUE"""),110793.0)</f>
        <v>110793</v>
      </c>
      <c r="B767" s="11">
        <f>IFERROR(__xludf.DUMMYFUNCTION("""COMPUTED_VALUE"""),0.0)</f>
        <v>0</v>
      </c>
      <c r="C767" s="11">
        <f>IFERROR(__xludf.DUMMYFUNCTION("""COMPUTED_VALUE"""),386.0)</f>
        <v>386</v>
      </c>
      <c r="D767" s="11">
        <f>IFERROR(__xludf.DUMMYFUNCTION("""COMPUTED_VALUE"""),139.0)</f>
        <v>139</v>
      </c>
      <c r="E767" s="9"/>
    </row>
    <row r="768">
      <c r="A768" s="10">
        <f>IFERROR(__xludf.DUMMYFUNCTION("""COMPUTED_VALUE"""),86808.0)</f>
        <v>86808</v>
      </c>
      <c r="B768" s="11">
        <f>IFERROR(__xludf.DUMMYFUNCTION("""COMPUTED_VALUE"""),0.0)</f>
        <v>0</v>
      </c>
      <c r="C768" s="11">
        <f>IFERROR(__xludf.DUMMYFUNCTION("""COMPUTED_VALUE"""),7.0)</f>
        <v>7</v>
      </c>
      <c r="D768" s="11">
        <f>IFERROR(__xludf.DUMMYFUNCTION("""COMPUTED_VALUE"""),3.0)</f>
        <v>3</v>
      </c>
      <c r="E768" s="9"/>
    </row>
    <row r="769">
      <c r="A769" s="10">
        <f>IFERROR(__xludf.DUMMYFUNCTION("""COMPUTED_VALUE"""),50367.0)</f>
        <v>50367</v>
      </c>
      <c r="B769" s="11">
        <f>IFERROR(__xludf.DUMMYFUNCTION("""COMPUTED_VALUE"""),0.0)</f>
        <v>0</v>
      </c>
      <c r="C769" s="11">
        <f>IFERROR(__xludf.DUMMYFUNCTION("""COMPUTED_VALUE"""),554.0)</f>
        <v>554</v>
      </c>
      <c r="D769" s="11">
        <f>IFERROR(__xludf.DUMMYFUNCTION("""COMPUTED_VALUE"""),68.0)</f>
        <v>68</v>
      </c>
      <c r="E769" s="9"/>
    </row>
    <row r="770">
      <c r="A770" s="10">
        <f>IFERROR(__xludf.DUMMYFUNCTION("""COMPUTED_VALUE"""),102750.0)</f>
        <v>102750</v>
      </c>
      <c r="B770" s="11">
        <f>IFERROR(__xludf.DUMMYFUNCTION("""COMPUTED_VALUE"""),0.0)</f>
        <v>0</v>
      </c>
      <c r="C770" s="11">
        <f>IFERROR(__xludf.DUMMYFUNCTION("""COMPUTED_VALUE"""),67.0)</f>
        <v>67</v>
      </c>
      <c r="D770" s="11">
        <f>IFERROR(__xludf.DUMMYFUNCTION("""COMPUTED_VALUE"""),38.0)</f>
        <v>38</v>
      </c>
      <c r="E770" s="9"/>
    </row>
    <row r="771">
      <c r="A771" s="10">
        <f>IFERROR(__xludf.DUMMYFUNCTION("""COMPUTED_VALUE"""),102758.0)</f>
        <v>102758</v>
      </c>
      <c r="B771" s="11">
        <f>IFERROR(__xludf.DUMMYFUNCTION("""COMPUTED_VALUE"""),0.0)</f>
        <v>0</v>
      </c>
      <c r="C771" s="11">
        <f>IFERROR(__xludf.DUMMYFUNCTION("""COMPUTED_VALUE"""),267.0)</f>
        <v>267</v>
      </c>
      <c r="D771" s="11">
        <f>IFERROR(__xludf.DUMMYFUNCTION("""COMPUTED_VALUE"""),263.0)</f>
        <v>263</v>
      </c>
      <c r="E771" s="9"/>
    </row>
    <row r="772">
      <c r="A772" s="10">
        <f>IFERROR(__xludf.DUMMYFUNCTION("""COMPUTED_VALUE"""),86787.0)</f>
        <v>86787</v>
      </c>
      <c r="B772" s="11">
        <f>IFERROR(__xludf.DUMMYFUNCTION("""COMPUTED_VALUE"""),1.0)</f>
        <v>1</v>
      </c>
      <c r="C772" s="11">
        <f>IFERROR(__xludf.DUMMYFUNCTION("""COMPUTED_VALUE"""),805.0)</f>
        <v>805</v>
      </c>
      <c r="D772" s="11">
        <f>IFERROR(__xludf.DUMMYFUNCTION("""COMPUTED_VALUE"""),186.0)</f>
        <v>186</v>
      </c>
      <c r="E772" s="9"/>
    </row>
    <row r="773">
      <c r="A773" s="10">
        <f>IFERROR(__xludf.DUMMYFUNCTION("""COMPUTED_VALUE"""),102740.0)</f>
        <v>102740</v>
      </c>
      <c r="B773" s="11">
        <f>IFERROR(__xludf.DUMMYFUNCTION("""COMPUTED_VALUE"""),1.0)</f>
        <v>1</v>
      </c>
      <c r="C773" s="11">
        <f>IFERROR(__xludf.DUMMYFUNCTION("""COMPUTED_VALUE"""),137.0)</f>
        <v>137</v>
      </c>
      <c r="D773" s="11">
        <f>IFERROR(__xludf.DUMMYFUNCTION("""COMPUTED_VALUE"""),129.0)</f>
        <v>129</v>
      </c>
      <c r="E773" s="9"/>
    </row>
    <row r="774">
      <c r="A774" s="10">
        <f>IFERROR(__xludf.DUMMYFUNCTION("""COMPUTED_VALUE"""),102734.0)</f>
        <v>102734</v>
      </c>
      <c r="B774" s="11">
        <f>IFERROR(__xludf.DUMMYFUNCTION("""COMPUTED_VALUE"""),0.0)</f>
        <v>0</v>
      </c>
      <c r="C774" s="11">
        <f>IFERROR(__xludf.DUMMYFUNCTION("""COMPUTED_VALUE"""),152.0)</f>
        <v>152</v>
      </c>
      <c r="D774" s="11">
        <f>IFERROR(__xludf.DUMMYFUNCTION("""COMPUTED_VALUE"""),77.0)</f>
        <v>77</v>
      </c>
      <c r="E774" s="9"/>
    </row>
    <row r="775">
      <c r="A775" s="10">
        <f>IFERROR(__xludf.DUMMYFUNCTION("""COMPUTED_VALUE"""),102751.0)</f>
        <v>102751</v>
      </c>
      <c r="B775" s="11">
        <f>IFERROR(__xludf.DUMMYFUNCTION("""COMPUTED_VALUE"""),1.0)</f>
        <v>1</v>
      </c>
      <c r="C775" s="11">
        <f>IFERROR(__xludf.DUMMYFUNCTION("""COMPUTED_VALUE"""),418.0)</f>
        <v>418</v>
      </c>
      <c r="D775" s="11">
        <f>IFERROR(__xludf.DUMMYFUNCTION("""COMPUTED_VALUE"""),235.0)</f>
        <v>235</v>
      </c>
      <c r="E775" s="9"/>
    </row>
    <row r="776">
      <c r="A776" s="10">
        <f>IFERROR(__xludf.DUMMYFUNCTION("""COMPUTED_VALUE"""),102752.0)</f>
        <v>102752</v>
      </c>
      <c r="B776" s="11">
        <f>IFERROR(__xludf.DUMMYFUNCTION("""COMPUTED_VALUE"""),1.0)</f>
        <v>1</v>
      </c>
      <c r="C776" s="11">
        <f>IFERROR(__xludf.DUMMYFUNCTION("""COMPUTED_VALUE"""),947.0)</f>
        <v>947</v>
      </c>
      <c r="D776" s="11">
        <f>IFERROR(__xludf.DUMMYFUNCTION("""COMPUTED_VALUE"""),460.0)</f>
        <v>460</v>
      </c>
      <c r="E776" s="9"/>
    </row>
    <row r="777">
      <c r="A777" s="10">
        <f>IFERROR(__xludf.DUMMYFUNCTION("""COMPUTED_VALUE"""),102735.0)</f>
        <v>102735</v>
      </c>
      <c r="B777" s="11">
        <f>IFERROR(__xludf.DUMMYFUNCTION("""COMPUTED_VALUE"""),0.0)</f>
        <v>0</v>
      </c>
      <c r="C777" s="11">
        <f>IFERROR(__xludf.DUMMYFUNCTION("""COMPUTED_VALUE"""),894.0)</f>
        <v>894</v>
      </c>
      <c r="D777" s="11">
        <f>IFERROR(__xludf.DUMMYFUNCTION("""COMPUTED_VALUE"""),567.0)</f>
        <v>567</v>
      </c>
      <c r="E777" s="9"/>
    </row>
    <row r="778">
      <c r="A778" s="10">
        <f>IFERROR(__xludf.DUMMYFUNCTION("""COMPUTED_VALUE"""),86793.0)</f>
        <v>86793</v>
      </c>
      <c r="B778" s="11">
        <f>IFERROR(__xludf.DUMMYFUNCTION("""COMPUTED_VALUE"""),1.0)</f>
        <v>1</v>
      </c>
      <c r="C778" s="11">
        <f>IFERROR(__xludf.DUMMYFUNCTION("""COMPUTED_VALUE"""),626.0)</f>
        <v>626</v>
      </c>
      <c r="D778" s="11">
        <f>IFERROR(__xludf.DUMMYFUNCTION("""COMPUTED_VALUE"""),559.0)</f>
        <v>559</v>
      </c>
      <c r="E778" s="9"/>
    </row>
    <row r="779">
      <c r="A779" s="10">
        <f>IFERROR(__xludf.DUMMYFUNCTION("""COMPUTED_VALUE"""),86792.0)</f>
        <v>86792</v>
      </c>
      <c r="B779" s="11">
        <f>IFERROR(__xludf.DUMMYFUNCTION("""COMPUTED_VALUE"""),1.0)</f>
        <v>1</v>
      </c>
      <c r="C779" s="11">
        <f>IFERROR(__xludf.DUMMYFUNCTION("""COMPUTED_VALUE"""),409.0)</f>
        <v>409</v>
      </c>
      <c r="D779" s="11">
        <f>IFERROR(__xludf.DUMMYFUNCTION("""COMPUTED_VALUE"""),27.0)</f>
        <v>27</v>
      </c>
      <c r="E779" s="9"/>
    </row>
    <row r="780">
      <c r="A780" s="10">
        <f>IFERROR(__xludf.DUMMYFUNCTION("""COMPUTED_VALUE"""),86785.0)</f>
        <v>86785</v>
      </c>
      <c r="B780" s="11">
        <f>IFERROR(__xludf.DUMMYFUNCTION("""COMPUTED_VALUE"""),1.0)</f>
        <v>1</v>
      </c>
      <c r="C780" s="11">
        <f>IFERROR(__xludf.DUMMYFUNCTION("""COMPUTED_VALUE"""),967.0)</f>
        <v>967</v>
      </c>
      <c r="D780" s="11">
        <f>IFERROR(__xludf.DUMMYFUNCTION("""COMPUTED_VALUE"""),311.0)</f>
        <v>311</v>
      </c>
      <c r="E780" s="9"/>
    </row>
    <row r="781">
      <c r="A781" s="10">
        <f>IFERROR(__xludf.DUMMYFUNCTION("""COMPUTED_VALUE"""),102773.0)</f>
        <v>102773</v>
      </c>
      <c r="B781" s="11">
        <f>IFERROR(__xludf.DUMMYFUNCTION("""COMPUTED_VALUE"""),0.0)</f>
        <v>0</v>
      </c>
      <c r="C781" s="11">
        <f>IFERROR(__xludf.DUMMYFUNCTION("""COMPUTED_VALUE"""),704.0)</f>
        <v>704</v>
      </c>
      <c r="D781" s="11">
        <f>IFERROR(__xludf.DUMMYFUNCTION("""COMPUTED_VALUE"""),133.0)</f>
        <v>133</v>
      </c>
      <c r="E781" s="9"/>
    </row>
    <row r="782">
      <c r="A782" s="10">
        <f>IFERROR(__xludf.DUMMYFUNCTION("""COMPUTED_VALUE"""),42807.0)</f>
        <v>42807</v>
      </c>
      <c r="B782" s="11">
        <f>IFERROR(__xludf.DUMMYFUNCTION("""COMPUTED_VALUE"""),1.0)</f>
        <v>1</v>
      </c>
      <c r="C782" s="11">
        <f>IFERROR(__xludf.DUMMYFUNCTION("""COMPUTED_VALUE"""),626.0)</f>
        <v>626</v>
      </c>
      <c r="D782" s="11">
        <f>IFERROR(__xludf.DUMMYFUNCTION("""COMPUTED_VALUE"""),414.0)</f>
        <v>414</v>
      </c>
      <c r="E782" s="9"/>
    </row>
    <row r="783">
      <c r="A783" s="10">
        <f>IFERROR(__xludf.DUMMYFUNCTION("""COMPUTED_VALUE"""),42809.0)</f>
        <v>42809</v>
      </c>
      <c r="B783" s="11">
        <f>IFERROR(__xludf.DUMMYFUNCTION("""COMPUTED_VALUE"""),0.0)</f>
        <v>0</v>
      </c>
      <c r="C783" s="11">
        <f>IFERROR(__xludf.DUMMYFUNCTION("""COMPUTED_VALUE"""),399.0)</f>
        <v>399</v>
      </c>
      <c r="D783" s="11">
        <f>IFERROR(__xludf.DUMMYFUNCTION("""COMPUTED_VALUE"""),66.0)</f>
        <v>66</v>
      </c>
      <c r="E783" s="9"/>
    </row>
    <row r="784">
      <c r="A784" s="10">
        <f>IFERROR(__xludf.DUMMYFUNCTION("""COMPUTED_VALUE"""),86821.0)</f>
        <v>86821</v>
      </c>
      <c r="B784" s="11">
        <f>IFERROR(__xludf.DUMMYFUNCTION("""COMPUTED_VALUE"""),0.0)</f>
        <v>0</v>
      </c>
      <c r="C784" s="11">
        <f>IFERROR(__xludf.DUMMYFUNCTION("""COMPUTED_VALUE"""),977.0)</f>
        <v>977</v>
      </c>
      <c r="D784" s="11">
        <f>IFERROR(__xludf.DUMMYFUNCTION("""COMPUTED_VALUE"""),721.0)</f>
        <v>721</v>
      </c>
      <c r="E784" s="9"/>
    </row>
    <row r="785">
      <c r="A785" s="10">
        <f>IFERROR(__xludf.DUMMYFUNCTION("""COMPUTED_VALUE"""),110719.0)</f>
        <v>110719</v>
      </c>
      <c r="B785" s="11">
        <f>IFERROR(__xludf.DUMMYFUNCTION("""COMPUTED_VALUE"""),1.0)</f>
        <v>1</v>
      </c>
      <c r="C785" s="11">
        <f>IFERROR(__xludf.DUMMYFUNCTION("""COMPUTED_VALUE"""),89.0)</f>
        <v>89</v>
      </c>
      <c r="D785" s="11">
        <f>IFERROR(__xludf.DUMMYFUNCTION("""COMPUTED_VALUE"""),42.0)</f>
        <v>42</v>
      </c>
      <c r="E785" s="9"/>
    </row>
    <row r="786">
      <c r="A786" s="10">
        <f>IFERROR(__xludf.DUMMYFUNCTION("""COMPUTED_VALUE"""),86818.0)</f>
        <v>86818</v>
      </c>
      <c r="B786" s="11">
        <f>IFERROR(__xludf.DUMMYFUNCTION("""COMPUTED_VALUE"""),0.0)</f>
        <v>0</v>
      </c>
      <c r="C786" s="11">
        <f>IFERROR(__xludf.DUMMYFUNCTION("""COMPUTED_VALUE"""),509.0)</f>
        <v>509</v>
      </c>
      <c r="D786" s="11">
        <f>IFERROR(__xludf.DUMMYFUNCTION("""COMPUTED_VALUE"""),432.0)</f>
        <v>432</v>
      </c>
      <c r="E786" s="9"/>
    </row>
    <row r="787">
      <c r="A787" s="10">
        <f>IFERROR(__xludf.DUMMYFUNCTION("""COMPUTED_VALUE"""),71318.0)</f>
        <v>71318</v>
      </c>
      <c r="B787" s="11">
        <f>IFERROR(__xludf.DUMMYFUNCTION("""COMPUTED_VALUE"""),0.0)</f>
        <v>0</v>
      </c>
      <c r="C787" s="11">
        <f>IFERROR(__xludf.DUMMYFUNCTION("""COMPUTED_VALUE"""),487.0)</f>
        <v>487</v>
      </c>
      <c r="D787" s="11">
        <f>IFERROR(__xludf.DUMMYFUNCTION("""COMPUTED_VALUE"""),51.0)</f>
        <v>51</v>
      </c>
      <c r="E787" s="9"/>
    </row>
    <row r="788">
      <c r="A788" s="10">
        <f>IFERROR(__xludf.DUMMYFUNCTION("""COMPUTED_VALUE"""),122303.0)</f>
        <v>122303</v>
      </c>
      <c r="B788" s="11">
        <f>IFERROR(__xludf.DUMMYFUNCTION("""COMPUTED_VALUE"""),1.0)</f>
        <v>1</v>
      </c>
      <c r="C788" s="11">
        <f>IFERROR(__xludf.DUMMYFUNCTION("""COMPUTED_VALUE"""),875.0)</f>
        <v>875</v>
      </c>
      <c r="D788" s="11">
        <f>IFERROR(__xludf.DUMMYFUNCTION("""COMPUTED_VALUE"""),372.0)</f>
        <v>372</v>
      </c>
      <c r="E788" s="9"/>
    </row>
    <row r="789">
      <c r="A789" s="10">
        <f>IFERROR(__xludf.DUMMYFUNCTION("""COMPUTED_VALUE"""),110716.0)</f>
        <v>110716</v>
      </c>
      <c r="B789" s="11">
        <f>IFERROR(__xludf.DUMMYFUNCTION("""COMPUTED_VALUE"""),0.0)</f>
        <v>0</v>
      </c>
      <c r="C789" s="11">
        <f>IFERROR(__xludf.DUMMYFUNCTION("""COMPUTED_VALUE"""),873.0)</f>
        <v>873</v>
      </c>
      <c r="D789" s="11">
        <f>IFERROR(__xludf.DUMMYFUNCTION("""COMPUTED_VALUE"""),555.0)</f>
        <v>555</v>
      </c>
      <c r="E789" s="9"/>
    </row>
    <row r="790">
      <c r="A790" s="10">
        <f>IFERROR(__xludf.DUMMYFUNCTION("""COMPUTED_VALUE"""),9480.0)</f>
        <v>9480</v>
      </c>
      <c r="B790" s="11">
        <f>IFERROR(__xludf.DUMMYFUNCTION("""COMPUTED_VALUE"""),1.0)</f>
        <v>1</v>
      </c>
      <c r="C790" s="11">
        <f>IFERROR(__xludf.DUMMYFUNCTION("""COMPUTED_VALUE"""),704.0)</f>
        <v>704</v>
      </c>
      <c r="D790" s="11">
        <f>IFERROR(__xludf.DUMMYFUNCTION("""COMPUTED_VALUE"""),550.0)</f>
        <v>550</v>
      </c>
      <c r="E790" s="9"/>
    </row>
    <row r="791">
      <c r="A791" s="10">
        <f>IFERROR(__xludf.DUMMYFUNCTION("""COMPUTED_VALUE"""),113920.0)</f>
        <v>113920</v>
      </c>
      <c r="B791" s="11">
        <f>IFERROR(__xludf.DUMMYFUNCTION("""COMPUTED_VALUE"""),0.0)</f>
        <v>0</v>
      </c>
      <c r="C791" s="11">
        <f>IFERROR(__xludf.DUMMYFUNCTION("""COMPUTED_VALUE"""),864.0)</f>
        <v>864</v>
      </c>
      <c r="D791" s="11">
        <f>IFERROR(__xludf.DUMMYFUNCTION("""COMPUTED_VALUE"""),508.0)</f>
        <v>508</v>
      </c>
      <c r="E791" s="9"/>
    </row>
    <row r="792">
      <c r="A792" s="10">
        <f>IFERROR(__xludf.DUMMYFUNCTION("""COMPUTED_VALUE"""),166088.0)</f>
        <v>166088</v>
      </c>
      <c r="B792" s="11">
        <f>IFERROR(__xludf.DUMMYFUNCTION("""COMPUTED_VALUE"""),1.0)</f>
        <v>1</v>
      </c>
      <c r="C792" s="11">
        <f>IFERROR(__xludf.DUMMYFUNCTION("""COMPUTED_VALUE"""),410.0)</f>
        <v>410</v>
      </c>
      <c r="D792" s="11">
        <f>IFERROR(__xludf.DUMMYFUNCTION("""COMPUTED_VALUE"""),393.0)</f>
        <v>393</v>
      </c>
      <c r="E792" s="9"/>
    </row>
    <row r="793">
      <c r="A793" s="10">
        <f>IFERROR(__xludf.DUMMYFUNCTION("""COMPUTED_VALUE"""),122712.0)</f>
        <v>122712</v>
      </c>
      <c r="B793" s="11">
        <f>IFERROR(__xludf.DUMMYFUNCTION("""COMPUTED_VALUE"""),1.0)</f>
        <v>1</v>
      </c>
      <c r="C793" s="11">
        <f>IFERROR(__xludf.DUMMYFUNCTION("""COMPUTED_VALUE"""),900.0)</f>
        <v>900</v>
      </c>
      <c r="D793" s="11">
        <f>IFERROR(__xludf.DUMMYFUNCTION("""COMPUTED_VALUE"""),616.0)</f>
        <v>616</v>
      </c>
      <c r="E793" s="9"/>
    </row>
    <row r="794">
      <c r="A794" s="10">
        <f>IFERROR(__xludf.DUMMYFUNCTION("""COMPUTED_VALUE"""),86523.0)</f>
        <v>86523</v>
      </c>
      <c r="B794" s="11">
        <f>IFERROR(__xludf.DUMMYFUNCTION("""COMPUTED_VALUE"""),0.0)</f>
        <v>0</v>
      </c>
      <c r="C794" s="11">
        <f>IFERROR(__xludf.DUMMYFUNCTION("""COMPUTED_VALUE"""),961.0)</f>
        <v>961</v>
      </c>
      <c r="D794" s="11">
        <f>IFERROR(__xludf.DUMMYFUNCTION("""COMPUTED_VALUE"""),184.0)</f>
        <v>184</v>
      </c>
      <c r="E794" s="9"/>
    </row>
    <row r="795">
      <c r="A795" s="10">
        <f>IFERROR(__xludf.DUMMYFUNCTION("""COMPUTED_VALUE"""),106773.0)</f>
        <v>106773</v>
      </c>
      <c r="B795" s="11">
        <f>IFERROR(__xludf.DUMMYFUNCTION("""COMPUTED_VALUE"""),1.0)</f>
        <v>1</v>
      </c>
      <c r="C795" s="11">
        <f>IFERROR(__xludf.DUMMYFUNCTION("""COMPUTED_VALUE"""),624.0)</f>
        <v>624</v>
      </c>
      <c r="D795" s="11">
        <f>IFERROR(__xludf.DUMMYFUNCTION("""COMPUTED_VALUE"""),510.0)</f>
        <v>510</v>
      </c>
      <c r="E795" s="9"/>
    </row>
    <row r="796">
      <c r="A796" s="10">
        <f>IFERROR(__xludf.DUMMYFUNCTION("""COMPUTED_VALUE"""),128356.0)</f>
        <v>128356</v>
      </c>
      <c r="B796" s="11">
        <f>IFERROR(__xludf.DUMMYFUNCTION("""COMPUTED_VALUE"""),0.0)</f>
        <v>0</v>
      </c>
      <c r="C796" s="11">
        <f>IFERROR(__xludf.DUMMYFUNCTION("""COMPUTED_VALUE"""),723.0)</f>
        <v>723</v>
      </c>
      <c r="D796" s="11">
        <f>IFERROR(__xludf.DUMMYFUNCTION("""COMPUTED_VALUE"""),69.0)</f>
        <v>69</v>
      </c>
      <c r="E796" s="9"/>
    </row>
    <row r="797">
      <c r="A797" s="10">
        <f>IFERROR(__xludf.DUMMYFUNCTION("""COMPUTED_VALUE"""),28897.0)</f>
        <v>28897</v>
      </c>
      <c r="B797" s="11">
        <f>IFERROR(__xludf.DUMMYFUNCTION("""COMPUTED_VALUE"""),1.0)</f>
        <v>1</v>
      </c>
      <c r="C797" s="11">
        <f>IFERROR(__xludf.DUMMYFUNCTION("""COMPUTED_VALUE"""),831.0)</f>
        <v>831</v>
      </c>
      <c r="D797" s="11">
        <f>IFERROR(__xludf.DUMMYFUNCTION("""COMPUTED_VALUE"""),312.0)</f>
        <v>312</v>
      </c>
      <c r="E797" s="9"/>
    </row>
    <row r="798">
      <c r="A798" s="10">
        <f>IFERROR(__xludf.DUMMYFUNCTION("""COMPUTED_VALUE"""),181502.0)</f>
        <v>181502</v>
      </c>
      <c r="B798" s="11">
        <f>IFERROR(__xludf.DUMMYFUNCTION("""COMPUTED_VALUE"""),1.0)</f>
        <v>1</v>
      </c>
      <c r="C798" s="11">
        <f>IFERROR(__xludf.DUMMYFUNCTION("""COMPUTED_VALUE"""),238.0)</f>
        <v>238</v>
      </c>
      <c r="D798" s="11">
        <f>IFERROR(__xludf.DUMMYFUNCTION("""COMPUTED_VALUE"""),50.0)</f>
        <v>50</v>
      </c>
      <c r="E798" s="9"/>
    </row>
    <row r="799">
      <c r="A799" s="10">
        <f>IFERROR(__xludf.DUMMYFUNCTION("""COMPUTED_VALUE"""),13368.0)</f>
        <v>13368</v>
      </c>
      <c r="B799" s="11">
        <f>IFERROR(__xludf.DUMMYFUNCTION("""COMPUTED_VALUE"""),1.0)</f>
        <v>1</v>
      </c>
      <c r="C799" s="11">
        <f>IFERROR(__xludf.DUMMYFUNCTION("""COMPUTED_VALUE"""),352.0)</f>
        <v>352</v>
      </c>
      <c r="D799" s="11">
        <f>IFERROR(__xludf.DUMMYFUNCTION("""COMPUTED_VALUE"""),207.0)</f>
        <v>207</v>
      </c>
      <c r="E799" s="9"/>
    </row>
    <row r="800">
      <c r="A800" s="10">
        <f>IFERROR(__xludf.DUMMYFUNCTION("""COMPUTED_VALUE"""),105178.0)</f>
        <v>105178</v>
      </c>
      <c r="B800" s="11">
        <f>IFERROR(__xludf.DUMMYFUNCTION("""COMPUTED_VALUE"""),0.0)</f>
        <v>0</v>
      </c>
      <c r="C800" s="11">
        <f>IFERROR(__xludf.DUMMYFUNCTION("""COMPUTED_VALUE"""),204.0)</f>
        <v>204</v>
      </c>
      <c r="D800" s="11">
        <f>IFERROR(__xludf.DUMMYFUNCTION("""COMPUTED_VALUE"""),83.0)</f>
        <v>83</v>
      </c>
      <c r="E800" s="9"/>
    </row>
    <row r="801">
      <c r="A801" s="10">
        <f>IFERROR(__xludf.DUMMYFUNCTION("""COMPUTED_VALUE"""),158445.0)</f>
        <v>158445</v>
      </c>
      <c r="B801" s="11">
        <f>IFERROR(__xludf.DUMMYFUNCTION("""COMPUTED_VALUE"""),0.0)</f>
        <v>0</v>
      </c>
      <c r="C801" s="11">
        <f>IFERROR(__xludf.DUMMYFUNCTION("""COMPUTED_VALUE"""),485.0)</f>
        <v>485</v>
      </c>
      <c r="D801" s="11">
        <f>IFERROR(__xludf.DUMMYFUNCTION("""COMPUTED_VALUE"""),359.0)</f>
        <v>359</v>
      </c>
      <c r="E801" s="9"/>
    </row>
    <row r="802">
      <c r="A802" s="10">
        <f>IFERROR(__xludf.DUMMYFUNCTION("""COMPUTED_VALUE"""),105861.0)</f>
        <v>105861</v>
      </c>
      <c r="B802" s="11">
        <f>IFERROR(__xludf.DUMMYFUNCTION("""COMPUTED_VALUE"""),0.0)</f>
        <v>0</v>
      </c>
      <c r="C802" s="11">
        <f>IFERROR(__xludf.DUMMYFUNCTION("""COMPUTED_VALUE"""),905.0)</f>
        <v>905</v>
      </c>
      <c r="D802" s="11">
        <f>IFERROR(__xludf.DUMMYFUNCTION("""COMPUTED_VALUE"""),160.0)</f>
        <v>160</v>
      </c>
      <c r="E802" s="9"/>
    </row>
    <row r="803">
      <c r="A803" s="10">
        <f>IFERROR(__xludf.DUMMYFUNCTION("""COMPUTED_VALUE"""),28668.0)</f>
        <v>28668</v>
      </c>
      <c r="B803" s="11">
        <f>IFERROR(__xludf.DUMMYFUNCTION("""COMPUTED_VALUE"""),1.0)</f>
        <v>1</v>
      </c>
      <c r="C803" s="11">
        <f>IFERROR(__xludf.DUMMYFUNCTION("""COMPUTED_VALUE"""),57.0)</f>
        <v>57</v>
      </c>
      <c r="D803" s="11">
        <f>IFERROR(__xludf.DUMMYFUNCTION("""COMPUTED_VALUE"""),23.0)</f>
        <v>23</v>
      </c>
      <c r="E803" s="9"/>
    </row>
    <row r="804">
      <c r="A804" s="10">
        <f>IFERROR(__xludf.DUMMYFUNCTION("""COMPUTED_VALUE"""),28661.0)</f>
        <v>28661</v>
      </c>
      <c r="B804" s="11">
        <f>IFERROR(__xludf.DUMMYFUNCTION("""COMPUTED_VALUE"""),1.0)</f>
        <v>1</v>
      </c>
      <c r="C804" s="11">
        <f>IFERROR(__xludf.DUMMYFUNCTION("""COMPUTED_VALUE"""),375.0)</f>
        <v>375</v>
      </c>
      <c r="D804" s="11">
        <f>IFERROR(__xludf.DUMMYFUNCTION("""COMPUTED_VALUE"""),45.0)</f>
        <v>45</v>
      </c>
      <c r="E804" s="9"/>
    </row>
    <row r="805">
      <c r="A805" s="10">
        <f>IFERROR(__xludf.DUMMYFUNCTION("""COMPUTED_VALUE"""),13349.0)</f>
        <v>13349</v>
      </c>
      <c r="B805" s="11">
        <f>IFERROR(__xludf.DUMMYFUNCTION("""COMPUTED_VALUE"""),1.0)</f>
        <v>1</v>
      </c>
      <c r="C805" s="11">
        <f>IFERROR(__xludf.DUMMYFUNCTION("""COMPUTED_VALUE"""),485.0)</f>
        <v>485</v>
      </c>
      <c r="D805" s="11">
        <f>IFERROR(__xludf.DUMMYFUNCTION("""COMPUTED_VALUE"""),295.0)</f>
        <v>295</v>
      </c>
      <c r="E805" s="9"/>
    </row>
    <row r="806">
      <c r="A806" s="10">
        <f>IFERROR(__xludf.DUMMYFUNCTION("""COMPUTED_VALUE"""),1634.0)</f>
        <v>1634</v>
      </c>
      <c r="B806" s="11">
        <f>IFERROR(__xludf.DUMMYFUNCTION("""COMPUTED_VALUE"""),0.0)</f>
        <v>0</v>
      </c>
      <c r="C806" s="11">
        <f>IFERROR(__xludf.DUMMYFUNCTION("""COMPUTED_VALUE"""),616.0)</f>
        <v>616</v>
      </c>
      <c r="D806" s="11">
        <f>IFERROR(__xludf.DUMMYFUNCTION("""COMPUTED_VALUE"""),97.0)</f>
        <v>97</v>
      </c>
      <c r="E806" s="9"/>
    </row>
    <row r="807">
      <c r="A807" s="10">
        <f>IFERROR(__xludf.DUMMYFUNCTION("""COMPUTED_VALUE"""),86524.0)</f>
        <v>86524</v>
      </c>
      <c r="B807" s="11">
        <f>IFERROR(__xludf.DUMMYFUNCTION("""COMPUTED_VALUE"""),0.0)</f>
        <v>0</v>
      </c>
      <c r="C807" s="11">
        <f>IFERROR(__xludf.DUMMYFUNCTION("""COMPUTED_VALUE"""),908.0)</f>
        <v>908</v>
      </c>
      <c r="D807" s="11">
        <f>IFERROR(__xludf.DUMMYFUNCTION("""COMPUTED_VALUE"""),667.0)</f>
        <v>667</v>
      </c>
      <c r="E807" s="9"/>
    </row>
    <row r="808">
      <c r="A808" s="10">
        <f>IFERROR(__xludf.DUMMYFUNCTION("""COMPUTED_VALUE"""),86531.0)</f>
        <v>86531</v>
      </c>
      <c r="B808" s="11">
        <f>IFERROR(__xludf.DUMMYFUNCTION("""COMPUTED_VALUE"""),1.0)</f>
        <v>1</v>
      </c>
      <c r="C808" s="11">
        <f>IFERROR(__xludf.DUMMYFUNCTION("""COMPUTED_VALUE"""),625.0)</f>
        <v>625</v>
      </c>
      <c r="D808" s="11">
        <f>IFERROR(__xludf.DUMMYFUNCTION("""COMPUTED_VALUE"""),332.0)</f>
        <v>332</v>
      </c>
      <c r="E808" s="9"/>
    </row>
    <row r="809">
      <c r="A809" s="10">
        <f>IFERROR(__xludf.DUMMYFUNCTION("""COMPUTED_VALUE"""),95210.0)</f>
        <v>95210</v>
      </c>
      <c r="B809" s="11">
        <f>IFERROR(__xludf.DUMMYFUNCTION("""COMPUTED_VALUE"""),1.0)</f>
        <v>1</v>
      </c>
      <c r="C809" s="11">
        <f>IFERROR(__xludf.DUMMYFUNCTION("""COMPUTED_VALUE"""),976.0)</f>
        <v>976</v>
      </c>
      <c r="D809" s="11">
        <f>IFERROR(__xludf.DUMMYFUNCTION("""COMPUTED_VALUE"""),55.0)</f>
        <v>55</v>
      </c>
      <c r="E809" s="9"/>
    </row>
    <row r="810">
      <c r="A810" s="10">
        <f>IFERROR(__xludf.DUMMYFUNCTION("""COMPUTED_VALUE"""),158450.0)</f>
        <v>158450</v>
      </c>
      <c r="B810" s="11">
        <f>IFERROR(__xludf.DUMMYFUNCTION("""COMPUTED_VALUE"""),1.0)</f>
        <v>1</v>
      </c>
      <c r="C810" s="11">
        <f>IFERROR(__xludf.DUMMYFUNCTION("""COMPUTED_VALUE"""),150.0)</f>
        <v>150</v>
      </c>
      <c r="D810" s="11">
        <f>IFERROR(__xludf.DUMMYFUNCTION("""COMPUTED_VALUE"""),130.0)</f>
        <v>130</v>
      </c>
      <c r="E810" s="9"/>
    </row>
    <row r="811">
      <c r="A811" s="10">
        <f>IFERROR(__xludf.DUMMYFUNCTION("""COMPUTED_VALUE"""),103080.0)</f>
        <v>103080</v>
      </c>
      <c r="B811" s="11">
        <f>IFERROR(__xludf.DUMMYFUNCTION("""COMPUTED_VALUE"""),0.0)</f>
        <v>0</v>
      </c>
      <c r="C811" s="11">
        <f>IFERROR(__xludf.DUMMYFUNCTION("""COMPUTED_VALUE"""),619.0)</f>
        <v>619</v>
      </c>
      <c r="D811" s="11">
        <f>IFERROR(__xludf.DUMMYFUNCTION("""COMPUTED_VALUE"""),575.0)</f>
        <v>575</v>
      </c>
      <c r="E811" s="9"/>
    </row>
    <row r="812">
      <c r="A812" s="10">
        <f>IFERROR(__xludf.DUMMYFUNCTION("""COMPUTED_VALUE"""),121067.0)</f>
        <v>121067</v>
      </c>
      <c r="B812" s="11">
        <f>IFERROR(__xludf.DUMMYFUNCTION("""COMPUTED_VALUE"""),0.0)</f>
        <v>0</v>
      </c>
      <c r="C812" s="11">
        <f>IFERROR(__xludf.DUMMYFUNCTION("""COMPUTED_VALUE"""),408.0)</f>
        <v>408</v>
      </c>
      <c r="D812" s="11">
        <f>IFERROR(__xludf.DUMMYFUNCTION("""COMPUTED_VALUE"""),304.0)</f>
        <v>304</v>
      </c>
      <c r="E812" s="9"/>
    </row>
    <row r="813">
      <c r="A813" s="10">
        <f>IFERROR(__xludf.DUMMYFUNCTION("""COMPUTED_VALUE"""),41513.0)</f>
        <v>41513</v>
      </c>
      <c r="B813" s="11">
        <f>IFERROR(__xludf.DUMMYFUNCTION("""COMPUTED_VALUE"""),1.0)</f>
        <v>1</v>
      </c>
      <c r="C813" s="11">
        <f>IFERROR(__xludf.DUMMYFUNCTION("""COMPUTED_VALUE"""),806.0)</f>
        <v>806</v>
      </c>
      <c r="D813" s="11">
        <f>IFERROR(__xludf.DUMMYFUNCTION("""COMPUTED_VALUE"""),49.0)</f>
        <v>49</v>
      </c>
      <c r="E813" s="9"/>
    </row>
    <row r="814">
      <c r="A814" s="10">
        <f>IFERROR(__xludf.DUMMYFUNCTION("""COMPUTED_VALUE"""),166089.0)</f>
        <v>166089</v>
      </c>
      <c r="B814" s="11">
        <f>IFERROR(__xludf.DUMMYFUNCTION("""COMPUTED_VALUE"""),1.0)</f>
        <v>1</v>
      </c>
      <c r="C814" s="11">
        <f>IFERROR(__xludf.DUMMYFUNCTION("""COMPUTED_VALUE"""),146.0)</f>
        <v>146</v>
      </c>
      <c r="D814" s="11">
        <f>IFERROR(__xludf.DUMMYFUNCTION("""COMPUTED_VALUE"""),52.0)</f>
        <v>52</v>
      </c>
      <c r="E814" s="9"/>
    </row>
    <row r="815">
      <c r="A815" s="10">
        <f>IFERROR(__xludf.DUMMYFUNCTION("""COMPUTED_VALUE"""),26446.0)</f>
        <v>26446</v>
      </c>
      <c r="B815" s="11">
        <f>IFERROR(__xludf.DUMMYFUNCTION("""COMPUTED_VALUE"""),1.0)</f>
        <v>1</v>
      </c>
      <c r="C815" s="11">
        <f>IFERROR(__xludf.DUMMYFUNCTION("""COMPUTED_VALUE"""),789.0)</f>
        <v>789</v>
      </c>
      <c r="D815" s="11">
        <f>IFERROR(__xludf.DUMMYFUNCTION("""COMPUTED_VALUE"""),444.0)</f>
        <v>444</v>
      </c>
      <c r="E815" s="9"/>
    </row>
    <row r="816">
      <c r="A816" s="10">
        <f>IFERROR(__xludf.DUMMYFUNCTION("""COMPUTED_VALUE"""),13350.0)</f>
        <v>13350</v>
      </c>
      <c r="B816" s="11">
        <f>IFERROR(__xludf.DUMMYFUNCTION("""COMPUTED_VALUE"""),1.0)</f>
        <v>1</v>
      </c>
      <c r="C816" s="11">
        <f>IFERROR(__xludf.DUMMYFUNCTION("""COMPUTED_VALUE"""),798.0)</f>
        <v>798</v>
      </c>
      <c r="D816" s="11">
        <f>IFERROR(__xludf.DUMMYFUNCTION("""COMPUTED_VALUE"""),607.0)</f>
        <v>607</v>
      </c>
      <c r="E816" s="9"/>
    </row>
    <row r="817">
      <c r="A817" s="10">
        <f>IFERROR(__xludf.DUMMYFUNCTION("""COMPUTED_VALUE"""),111728.0)</f>
        <v>111728</v>
      </c>
      <c r="B817" s="11">
        <f>IFERROR(__xludf.DUMMYFUNCTION("""COMPUTED_VALUE"""),1.0)</f>
        <v>1</v>
      </c>
      <c r="C817" s="11">
        <f>IFERROR(__xludf.DUMMYFUNCTION("""COMPUTED_VALUE"""),893.0)</f>
        <v>893</v>
      </c>
      <c r="D817" s="11">
        <f>IFERROR(__xludf.DUMMYFUNCTION("""COMPUTED_VALUE"""),411.0)</f>
        <v>411</v>
      </c>
      <c r="E817" s="9"/>
    </row>
    <row r="818">
      <c r="A818" s="10">
        <f>IFERROR(__xludf.DUMMYFUNCTION("""COMPUTED_VALUE"""),28883.0)</f>
        <v>28883</v>
      </c>
      <c r="B818" s="11">
        <f>IFERROR(__xludf.DUMMYFUNCTION("""COMPUTED_VALUE"""),0.0)</f>
        <v>0</v>
      </c>
      <c r="C818" s="11">
        <f>IFERROR(__xludf.DUMMYFUNCTION("""COMPUTED_VALUE"""),67.0)</f>
        <v>67</v>
      </c>
      <c r="D818" s="11">
        <f>IFERROR(__xludf.DUMMYFUNCTION("""COMPUTED_VALUE"""),43.0)</f>
        <v>43</v>
      </c>
      <c r="E818" s="9"/>
    </row>
    <row r="819">
      <c r="A819" s="10">
        <f>IFERROR(__xludf.DUMMYFUNCTION("""COMPUTED_VALUE"""),121068.0)</f>
        <v>121068</v>
      </c>
      <c r="B819" s="11">
        <f>IFERROR(__xludf.DUMMYFUNCTION("""COMPUTED_VALUE"""),1.0)</f>
        <v>1</v>
      </c>
      <c r="C819" s="11">
        <f>IFERROR(__xludf.DUMMYFUNCTION("""COMPUTED_VALUE"""),196.0)</f>
        <v>196</v>
      </c>
      <c r="D819" s="11">
        <f>IFERROR(__xludf.DUMMYFUNCTION("""COMPUTED_VALUE"""),191.0)</f>
        <v>191</v>
      </c>
      <c r="E819" s="9"/>
    </row>
    <row r="820">
      <c r="A820" s="10">
        <f>IFERROR(__xludf.DUMMYFUNCTION("""COMPUTED_VALUE"""),181499.0)</f>
        <v>181499</v>
      </c>
      <c r="B820" s="11">
        <f>IFERROR(__xludf.DUMMYFUNCTION("""COMPUTED_VALUE"""),0.0)</f>
        <v>0</v>
      </c>
      <c r="C820" s="11">
        <f>IFERROR(__xludf.DUMMYFUNCTION("""COMPUTED_VALUE"""),106.0)</f>
        <v>106</v>
      </c>
      <c r="D820" s="11">
        <f>IFERROR(__xludf.DUMMYFUNCTION("""COMPUTED_VALUE"""),25.0)</f>
        <v>25</v>
      </c>
      <c r="E820" s="9"/>
    </row>
    <row r="821">
      <c r="A821" s="10">
        <f>IFERROR(__xludf.DUMMYFUNCTION("""COMPUTED_VALUE"""),16097.0)</f>
        <v>16097</v>
      </c>
      <c r="B821" s="11">
        <f>IFERROR(__xludf.DUMMYFUNCTION("""COMPUTED_VALUE"""),0.0)</f>
        <v>0</v>
      </c>
      <c r="C821" s="11">
        <f>IFERROR(__xludf.DUMMYFUNCTION("""COMPUTED_VALUE"""),471.0)</f>
        <v>471</v>
      </c>
      <c r="D821" s="11">
        <f>IFERROR(__xludf.DUMMYFUNCTION("""COMPUTED_VALUE"""),16.0)</f>
        <v>16</v>
      </c>
      <c r="E821" s="9"/>
    </row>
    <row r="822">
      <c r="A822" s="10">
        <f>IFERROR(__xludf.DUMMYFUNCTION("""COMPUTED_VALUE"""),117247.0)</f>
        <v>117247</v>
      </c>
      <c r="B822" s="11">
        <f>IFERROR(__xludf.DUMMYFUNCTION("""COMPUTED_VALUE"""),0.0)</f>
        <v>0</v>
      </c>
      <c r="C822" s="11">
        <f>IFERROR(__xludf.DUMMYFUNCTION("""COMPUTED_VALUE"""),773.0)</f>
        <v>773</v>
      </c>
      <c r="D822" s="11">
        <f>IFERROR(__xludf.DUMMYFUNCTION("""COMPUTED_VALUE"""),475.0)</f>
        <v>475</v>
      </c>
      <c r="E822" s="9"/>
    </row>
    <row r="823">
      <c r="A823" s="10">
        <f>IFERROR(__xludf.DUMMYFUNCTION("""COMPUTED_VALUE"""),1732.0)</f>
        <v>1732</v>
      </c>
      <c r="B823" s="11">
        <f>IFERROR(__xludf.DUMMYFUNCTION("""COMPUTED_VALUE"""),1.0)</f>
        <v>1</v>
      </c>
      <c r="C823" s="11">
        <f>IFERROR(__xludf.DUMMYFUNCTION("""COMPUTED_VALUE"""),855.0)</f>
        <v>855</v>
      </c>
      <c r="D823" s="11">
        <f>IFERROR(__xludf.DUMMYFUNCTION("""COMPUTED_VALUE"""),164.0)</f>
        <v>164</v>
      </c>
      <c r="E823" s="9"/>
    </row>
    <row r="824">
      <c r="A824" s="10">
        <f>IFERROR(__xludf.DUMMYFUNCTION("""COMPUTED_VALUE"""),105174.0)</f>
        <v>105174</v>
      </c>
      <c r="B824" s="11">
        <f>IFERROR(__xludf.DUMMYFUNCTION("""COMPUTED_VALUE"""),1.0)</f>
        <v>1</v>
      </c>
      <c r="C824" s="11">
        <f>IFERROR(__xludf.DUMMYFUNCTION("""COMPUTED_VALUE"""),873.0)</f>
        <v>873</v>
      </c>
      <c r="D824" s="11">
        <f>IFERROR(__xludf.DUMMYFUNCTION("""COMPUTED_VALUE"""),202.0)</f>
        <v>202</v>
      </c>
      <c r="E824" s="9"/>
    </row>
    <row r="825">
      <c r="A825" s="10">
        <f>IFERROR(__xludf.DUMMYFUNCTION("""COMPUTED_VALUE"""),128357.0)</f>
        <v>128357</v>
      </c>
      <c r="B825" s="11">
        <f>IFERROR(__xludf.DUMMYFUNCTION("""COMPUTED_VALUE"""),0.0)</f>
        <v>0</v>
      </c>
      <c r="C825" s="11">
        <f>IFERROR(__xludf.DUMMYFUNCTION("""COMPUTED_VALUE"""),552.0)</f>
        <v>552</v>
      </c>
      <c r="D825" s="11">
        <f>IFERROR(__xludf.DUMMYFUNCTION("""COMPUTED_VALUE"""),389.0)</f>
        <v>389</v>
      </c>
      <c r="E825" s="9"/>
    </row>
    <row r="826">
      <c r="A826" s="10">
        <f>IFERROR(__xludf.DUMMYFUNCTION("""COMPUTED_VALUE"""),166090.0)</f>
        <v>166090</v>
      </c>
      <c r="B826" s="11">
        <f>IFERROR(__xludf.DUMMYFUNCTION("""COMPUTED_VALUE"""),1.0)</f>
        <v>1</v>
      </c>
      <c r="C826" s="11">
        <f>IFERROR(__xludf.DUMMYFUNCTION("""COMPUTED_VALUE"""),829.0)</f>
        <v>829</v>
      </c>
      <c r="D826" s="11">
        <f>IFERROR(__xludf.DUMMYFUNCTION("""COMPUTED_VALUE"""),478.0)</f>
        <v>478</v>
      </c>
      <c r="E826" s="9"/>
    </row>
    <row r="827">
      <c r="A827" s="10">
        <f>IFERROR(__xludf.DUMMYFUNCTION("""COMPUTED_VALUE"""),121070.0)</f>
        <v>121070</v>
      </c>
      <c r="B827" s="11">
        <f>IFERROR(__xludf.DUMMYFUNCTION("""COMPUTED_VALUE"""),1.0)</f>
        <v>1</v>
      </c>
      <c r="C827" s="11">
        <f>IFERROR(__xludf.DUMMYFUNCTION("""COMPUTED_VALUE"""),333.0)</f>
        <v>333</v>
      </c>
      <c r="D827" s="11">
        <f>IFERROR(__xludf.DUMMYFUNCTION("""COMPUTED_VALUE"""),241.0)</f>
        <v>241</v>
      </c>
      <c r="E827" s="9"/>
    </row>
    <row r="828">
      <c r="A828" s="10">
        <f>IFERROR(__xludf.DUMMYFUNCTION("""COMPUTED_VALUE"""),80818.0)</f>
        <v>80818</v>
      </c>
      <c r="B828" s="11">
        <f>IFERROR(__xludf.DUMMYFUNCTION("""COMPUTED_VALUE"""),1.0)</f>
        <v>1</v>
      </c>
      <c r="C828" s="11">
        <f>IFERROR(__xludf.DUMMYFUNCTION("""COMPUTED_VALUE"""),628.0)</f>
        <v>628</v>
      </c>
      <c r="D828" s="11">
        <f>IFERROR(__xludf.DUMMYFUNCTION("""COMPUTED_VALUE"""),205.0)</f>
        <v>205</v>
      </c>
      <c r="E828" s="9"/>
    </row>
    <row r="829">
      <c r="A829" s="10">
        <f>IFERROR(__xludf.DUMMYFUNCTION("""COMPUTED_VALUE"""),13367.0)</f>
        <v>13367</v>
      </c>
      <c r="B829" s="11">
        <f>IFERROR(__xludf.DUMMYFUNCTION("""COMPUTED_VALUE"""),1.0)</f>
        <v>1</v>
      </c>
      <c r="C829" s="11">
        <f>IFERROR(__xludf.DUMMYFUNCTION("""COMPUTED_VALUE"""),976.0)</f>
        <v>976</v>
      </c>
      <c r="D829" s="11">
        <f>IFERROR(__xludf.DUMMYFUNCTION("""COMPUTED_VALUE"""),706.0)</f>
        <v>706</v>
      </c>
      <c r="E829" s="9"/>
    </row>
    <row r="830">
      <c r="A830" s="10">
        <f>IFERROR(__xludf.DUMMYFUNCTION("""COMPUTED_VALUE"""),44329.0)</f>
        <v>44329</v>
      </c>
      <c r="B830" s="11">
        <f>IFERROR(__xludf.DUMMYFUNCTION("""COMPUTED_VALUE"""),0.0)</f>
        <v>0</v>
      </c>
      <c r="C830" s="11">
        <f>IFERROR(__xludf.DUMMYFUNCTION("""COMPUTED_VALUE"""),341.0)</f>
        <v>341</v>
      </c>
      <c r="D830" s="11">
        <f>IFERROR(__xludf.DUMMYFUNCTION("""COMPUTED_VALUE"""),152.0)</f>
        <v>152</v>
      </c>
      <c r="E830" s="9"/>
    </row>
    <row r="831">
      <c r="A831" s="10">
        <f>IFERROR(__xludf.DUMMYFUNCTION("""COMPUTED_VALUE"""),70879.0)</f>
        <v>70879</v>
      </c>
      <c r="B831" s="11">
        <f>IFERROR(__xludf.DUMMYFUNCTION("""COMPUTED_VALUE"""),0.0)</f>
        <v>0</v>
      </c>
      <c r="C831" s="11">
        <f>IFERROR(__xludf.DUMMYFUNCTION("""COMPUTED_VALUE"""),352.0)</f>
        <v>352</v>
      </c>
      <c r="D831" s="11">
        <f>IFERROR(__xludf.DUMMYFUNCTION("""COMPUTED_VALUE"""),156.0)</f>
        <v>156</v>
      </c>
      <c r="E831" s="9"/>
    </row>
    <row r="832">
      <c r="A832" s="10">
        <f>IFERROR(__xludf.DUMMYFUNCTION("""COMPUTED_VALUE"""),99266.0)</f>
        <v>99266</v>
      </c>
      <c r="B832" s="11">
        <f>IFERROR(__xludf.DUMMYFUNCTION("""COMPUTED_VALUE"""),0.0)</f>
        <v>0</v>
      </c>
      <c r="C832" s="11">
        <f>IFERROR(__xludf.DUMMYFUNCTION("""COMPUTED_VALUE"""),953.0)</f>
        <v>953</v>
      </c>
      <c r="D832" s="11">
        <f>IFERROR(__xludf.DUMMYFUNCTION("""COMPUTED_VALUE"""),503.0)</f>
        <v>503</v>
      </c>
      <c r="E832" s="9"/>
    </row>
    <row r="833">
      <c r="A833" s="10">
        <f>IFERROR(__xludf.DUMMYFUNCTION("""COMPUTED_VALUE"""),88216.0)</f>
        <v>88216</v>
      </c>
      <c r="B833" s="11">
        <f>IFERROR(__xludf.DUMMYFUNCTION("""COMPUTED_VALUE"""),1.0)</f>
        <v>1</v>
      </c>
      <c r="C833" s="11">
        <f>IFERROR(__xludf.DUMMYFUNCTION("""COMPUTED_VALUE"""),917.0)</f>
        <v>917</v>
      </c>
      <c r="D833" s="11">
        <f>IFERROR(__xludf.DUMMYFUNCTION("""COMPUTED_VALUE"""),342.0)</f>
        <v>342</v>
      </c>
      <c r="E833" s="9"/>
    </row>
    <row r="834">
      <c r="A834" s="10">
        <f>IFERROR(__xludf.DUMMYFUNCTION("""COMPUTED_VALUE"""),28590.0)</f>
        <v>28590</v>
      </c>
      <c r="B834" s="11">
        <f>IFERROR(__xludf.DUMMYFUNCTION("""COMPUTED_VALUE"""),1.0)</f>
        <v>1</v>
      </c>
      <c r="C834" s="11">
        <f>IFERROR(__xludf.DUMMYFUNCTION("""COMPUTED_VALUE"""),447.0)</f>
        <v>447</v>
      </c>
      <c r="D834" s="11">
        <f>IFERROR(__xludf.DUMMYFUNCTION("""COMPUTED_VALUE"""),225.0)</f>
        <v>225</v>
      </c>
      <c r="E834" s="9"/>
    </row>
    <row r="835">
      <c r="A835" s="10">
        <f>IFERROR(__xludf.DUMMYFUNCTION("""COMPUTED_VALUE"""),88215.0)</f>
        <v>88215</v>
      </c>
      <c r="B835" s="11">
        <f>IFERROR(__xludf.DUMMYFUNCTION("""COMPUTED_VALUE"""),1.0)</f>
        <v>1</v>
      </c>
      <c r="C835" s="11">
        <f>IFERROR(__xludf.DUMMYFUNCTION("""COMPUTED_VALUE"""),370.0)</f>
        <v>370</v>
      </c>
      <c r="D835" s="11">
        <f>IFERROR(__xludf.DUMMYFUNCTION("""COMPUTED_VALUE"""),156.0)</f>
        <v>156</v>
      </c>
      <c r="E835" s="9"/>
    </row>
    <row r="836">
      <c r="A836" s="10">
        <f>IFERROR(__xludf.DUMMYFUNCTION("""COMPUTED_VALUE"""),81771.0)</f>
        <v>81771</v>
      </c>
      <c r="B836" s="11">
        <f>IFERROR(__xludf.DUMMYFUNCTION("""COMPUTED_VALUE"""),1.0)</f>
        <v>1</v>
      </c>
      <c r="C836" s="11">
        <f>IFERROR(__xludf.DUMMYFUNCTION("""COMPUTED_VALUE"""),246.0)</f>
        <v>246</v>
      </c>
      <c r="D836" s="11">
        <f>IFERROR(__xludf.DUMMYFUNCTION("""COMPUTED_VALUE"""),5.0)</f>
        <v>5</v>
      </c>
      <c r="E836" s="9"/>
    </row>
    <row r="837">
      <c r="A837" s="10">
        <f>IFERROR(__xludf.DUMMYFUNCTION("""COMPUTED_VALUE"""),194520.0)</f>
        <v>194520</v>
      </c>
      <c r="B837" s="11">
        <f>IFERROR(__xludf.DUMMYFUNCTION("""COMPUTED_VALUE"""),1.0)</f>
        <v>1</v>
      </c>
      <c r="C837" s="11">
        <f>IFERROR(__xludf.DUMMYFUNCTION("""COMPUTED_VALUE"""),275.0)</f>
        <v>275</v>
      </c>
      <c r="D837" s="11">
        <f>IFERROR(__xludf.DUMMYFUNCTION("""COMPUTED_VALUE"""),227.0)</f>
        <v>227</v>
      </c>
      <c r="E837" s="9"/>
    </row>
    <row r="838">
      <c r="A838" s="10">
        <f>IFERROR(__xludf.DUMMYFUNCTION("""COMPUTED_VALUE"""),5901.0)</f>
        <v>5901</v>
      </c>
      <c r="B838" s="11">
        <f>IFERROR(__xludf.DUMMYFUNCTION("""COMPUTED_VALUE"""),1.0)</f>
        <v>1</v>
      </c>
      <c r="C838" s="11">
        <f>IFERROR(__xludf.DUMMYFUNCTION("""COMPUTED_VALUE"""),755.0)</f>
        <v>755</v>
      </c>
      <c r="D838" s="11">
        <f>IFERROR(__xludf.DUMMYFUNCTION("""COMPUTED_VALUE"""),247.0)</f>
        <v>247</v>
      </c>
      <c r="E838" s="9"/>
    </row>
    <row r="839">
      <c r="A839" s="10">
        <f>IFERROR(__xludf.DUMMYFUNCTION("""COMPUTED_VALUE"""),156054.0)</f>
        <v>156054</v>
      </c>
      <c r="B839" s="11">
        <f>IFERROR(__xludf.DUMMYFUNCTION("""COMPUTED_VALUE"""),0.0)</f>
        <v>0</v>
      </c>
      <c r="C839" s="11">
        <f>IFERROR(__xludf.DUMMYFUNCTION("""COMPUTED_VALUE"""),215.0)</f>
        <v>215</v>
      </c>
      <c r="D839" s="11">
        <f>IFERROR(__xludf.DUMMYFUNCTION("""COMPUTED_VALUE"""),154.0)</f>
        <v>154</v>
      </c>
      <c r="E839" s="9"/>
    </row>
    <row r="840">
      <c r="A840" s="10">
        <f>IFERROR(__xludf.DUMMYFUNCTION("""COMPUTED_VALUE"""),5869.0)</f>
        <v>5869</v>
      </c>
      <c r="B840" s="11">
        <f>IFERROR(__xludf.DUMMYFUNCTION("""COMPUTED_VALUE"""),1.0)</f>
        <v>1</v>
      </c>
      <c r="C840" s="11">
        <f>IFERROR(__xludf.DUMMYFUNCTION("""COMPUTED_VALUE"""),968.0)</f>
        <v>968</v>
      </c>
      <c r="D840" s="11">
        <f>IFERROR(__xludf.DUMMYFUNCTION("""COMPUTED_VALUE"""),656.0)</f>
        <v>656</v>
      </c>
      <c r="E840" s="9"/>
    </row>
    <row r="841">
      <c r="A841" s="10">
        <f>IFERROR(__xludf.DUMMYFUNCTION("""COMPUTED_VALUE"""),7343.0)</f>
        <v>7343</v>
      </c>
      <c r="B841" s="11">
        <f>IFERROR(__xludf.DUMMYFUNCTION("""COMPUTED_VALUE"""),0.0)</f>
        <v>0</v>
      </c>
      <c r="C841" s="11">
        <f>IFERROR(__xludf.DUMMYFUNCTION("""COMPUTED_VALUE"""),104.0)</f>
        <v>104</v>
      </c>
      <c r="D841" s="11">
        <f>IFERROR(__xludf.DUMMYFUNCTION("""COMPUTED_VALUE"""),75.0)</f>
        <v>75</v>
      </c>
      <c r="E841" s="9"/>
    </row>
    <row r="842">
      <c r="A842" s="10">
        <f>IFERROR(__xludf.DUMMYFUNCTION("""COMPUTED_VALUE"""),88218.0)</f>
        <v>88218</v>
      </c>
      <c r="B842" s="11">
        <f>IFERROR(__xludf.DUMMYFUNCTION("""COMPUTED_VALUE"""),0.0)</f>
        <v>0</v>
      </c>
      <c r="C842" s="11">
        <f>IFERROR(__xludf.DUMMYFUNCTION("""COMPUTED_VALUE"""),98.0)</f>
        <v>98</v>
      </c>
      <c r="D842" s="11">
        <f>IFERROR(__xludf.DUMMYFUNCTION("""COMPUTED_VALUE"""),83.0)</f>
        <v>83</v>
      </c>
      <c r="E842" s="9"/>
    </row>
    <row r="843">
      <c r="A843" s="10">
        <f>IFERROR(__xludf.DUMMYFUNCTION("""COMPUTED_VALUE"""),99263.0)</f>
        <v>99263</v>
      </c>
      <c r="B843" s="11">
        <f>IFERROR(__xludf.DUMMYFUNCTION("""COMPUTED_VALUE"""),1.0)</f>
        <v>1</v>
      </c>
      <c r="C843" s="11">
        <f>IFERROR(__xludf.DUMMYFUNCTION("""COMPUTED_VALUE"""),779.0)</f>
        <v>779</v>
      </c>
      <c r="D843" s="11">
        <f>IFERROR(__xludf.DUMMYFUNCTION("""COMPUTED_VALUE"""),633.0)</f>
        <v>633</v>
      </c>
      <c r="E843" s="9"/>
    </row>
    <row r="844">
      <c r="A844" s="10">
        <f>IFERROR(__xludf.DUMMYFUNCTION("""COMPUTED_VALUE"""),7357.0)</f>
        <v>7357</v>
      </c>
      <c r="B844" s="11">
        <f>IFERROR(__xludf.DUMMYFUNCTION("""COMPUTED_VALUE"""),1.0)</f>
        <v>1</v>
      </c>
      <c r="C844" s="11">
        <f>IFERROR(__xludf.DUMMYFUNCTION("""COMPUTED_VALUE"""),205.0)</f>
        <v>205</v>
      </c>
      <c r="D844" s="11">
        <f>IFERROR(__xludf.DUMMYFUNCTION("""COMPUTED_VALUE"""),192.0)</f>
        <v>192</v>
      </c>
      <c r="E844" s="9"/>
    </row>
    <row r="845">
      <c r="A845" s="10">
        <f>IFERROR(__xludf.DUMMYFUNCTION("""COMPUTED_VALUE"""),28591.0)</f>
        <v>28591</v>
      </c>
      <c r="B845" s="11">
        <f>IFERROR(__xludf.DUMMYFUNCTION("""COMPUTED_VALUE"""),1.0)</f>
        <v>1</v>
      </c>
      <c r="C845" s="11">
        <f>IFERROR(__xludf.DUMMYFUNCTION("""COMPUTED_VALUE"""),388.0)</f>
        <v>388</v>
      </c>
      <c r="D845" s="11">
        <f>IFERROR(__xludf.DUMMYFUNCTION("""COMPUTED_VALUE"""),233.0)</f>
        <v>233</v>
      </c>
      <c r="E845" s="9"/>
    </row>
    <row r="846">
      <c r="A846" s="10">
        <f>IFERROR(__xludf.DUMMYFUNCTION("""COMPUTED_VALUE"""),5871.0)</f>
        <v>5871</v>
      </c>
      <c r="B846" s="11">
        <f>IFERROR(__xludf.DUMMYFUNCTION("""COMPUTED_VALUE"""),1.0)</f>
        <v>1</v>
      </c>
      <c r="C846" s="11">
        <f>IFERROR(__xludf.DUMMYFUNCTION("""COMPUTED_VALUE"""),863.0)</f>
        <v>863</v>
      </c>
      <c r="D846" s="11">
        <f>IFERROR(__xludf.DUMMYFUNCTION("""COMPUTED_VALUE"""),218.0)</f>
        <v>218</v>
      </c>
      <c r="E846" s="9"/>
    </row>
    <row r="847">
      <c r="A847" s="10">
        <f>IFERROR(__xludf.DUMMYFUNCTION("""COMPUTED_VALUE"""),81772.0)</f>
        <v>81772</v>
      </c>
      <c r="B847" s="11">
        <f>IFERROR(__xludf.DUMMYFUNCTION("""COMPUTED_VALUE"""),1.0)</f>
        <v>1</v>
      </c>
      <c r="C847" s="11">
        <f>IFERROR(__xludf.DUMMYFUNCTION("""COMPUTED_VALUE"""),898.0)</f>
        <v>898</v>
      </c>
      <c r="D847" s="11">
        <f>IFERROR(__xludf.DUMMYFUNCTION("""COMPUTED_VALUE"""),124.0)</f>
        <v>124</v>
      </c>
      <c r="E847" s="9"/>
    </row>
    <row r="848">
      <c r="A848" s="10">
        <f>IFERROR(__xludf.DUMMYFUNCTION("""COMPUTED_VALUE"""),110587.0)</f>
        <v>110587</v>
      </c>
      <c r="B848" s="11">
        <f>IFERROR(__xludf.DUMMYFUNCTION("""COMPUTED_VALUE"""),0.0)</f>
        <v>0</v>
      </c>
      <c r="C848" s="11">
        <f>IFERROR(__xludf.DUMMYFUNCTION("""COMPUTED_VALUE"""),32.0)</f>
        <v>32</v>
      </c>
      <c r="D848" s="11">
        <f>IFERROR(__xludf.DUMMYFUNCTION("""COMPUTED_VALUE"""),0.0)</f>
        <v>0</v>
      </c>
      <c r="E848" s="9"/>
    </row>
    <row r="849">
      <c r="A849" s="10">
        <f>IFERROR(__xludf.DUMMYFUNCTION("""COMPUTED_VALUE"""),5870.0)</f>
        <v>5870</v>
      </c>
      <c r="B849" s="11">
        <f>IFERROR(__xludf.DUMMYFUNCTION("""COMPUTED_VALUE"""),1.0)</f>
        <v>1</v>
      </c>
      <c r="C849" s="11">
        <f>IFERROR(__xludf.DUMMYFUNCTION("""COMPUTED_VALUE"""),852.0)</f>
        <v>852</v>
      </c>
      <c r="D849" s="11">
        <f>IFERROR(__xludf.DUMMYFUNCTION("""COMPUTED_VALUE"""),294.0)</f>
        <v>294</v>
      </c>
      <c r="E849" s="9"/>
    </row>
    <row r="850">
      <c r="A850" s="10">
        <f>IFERROR(__xludf.DUMMYFUNCTION("""COMPUTED_VALUE"""),158444.0)</f>
        <v>158444</v>
      </c>
      <c r="B850" s="11">
        <f>IFERROR(__xludf.DUMMYFUNCTION("""COMPUTED_VALUE"""),1.0)</f>
        <v>1</v>
      </c>
      <c r="C850" s="11">
        <f>IFERROR(__xludf.DUMMYFUNCTION("""COMPUTED_VALUE"""),863.0)</f>
        <v>863</v>
      </c>
      <c r="D850" s="11">
        <f>IFERROR(__xludf.DUMMYFUNCTION("""COMPUTED_VALUE"""),556.0)</f>
        <v>556</v>
      </c>
      <c r="E850" s="9"/>
    </row>
    <row r="851">
      <c r="A851" s="10">
        <f>IFERROR(__xludf.DUMMYFUNCTION("""COMPUTED_VALUE"""),80785.0)</f>
        <v>80785</v>
      </c>
      <c r="B851" s="11">
        <f>IFERROR(__xludf.DUMMYFUNCTION("""COMPUTED_VALUE"""),0.0)</f>
        <v>0</v>
      </c>
      <c r="C851" s="11">
        <f>IFERROR(__xludf.DUMMYFUNCTION("""COMPUTED_VALUE"""),380.0)</f>
        <v>380</v>
      </c>
      <c r="D851" s="11">
        <f>IFERROR(__xludf.DUMMYFUNCTION("""COMPUTED_VALUE"""),352.0)</f>
        <v>352</v>
      </c>
      <c r="E851" s="9"/>
    </row>
    <row r="852">
      <c r="A852" s="10">
        <f>IFERROR(__xludf.DUMMYFUNCTION("""COMPUTED_VALUE"""),110586.0)</f>
        <v>110586</v>
      </c>
      <c r="B852" s="11">
        <f>IFERROR(__xludf.DUMMYFUNCTION("""COMPUTED_VALUE"""),1.0)</f>
        <v>1</v>
      </c>
      <c r="C852" s="11">
        <f>IFERROR(__xludf.DUMMYFUNCTION("""COMPUTED_VALUE"""),720.0)</f>
        <v>720</v>
      </c>
      <c r="D852" s="11">
        <f>IFERROR(__xludf.DUMMYFUNCTION("""COMPUTED_VALUE"""),95.0)</f>
        <v>95</v>
      </c>
      <c r="E852" s="9"/>
    </row>
    <row r="853">
      <c r="A853" s="10">
        <f>IFERROR(__xludf.DUMMYFUNCTION("""COMPUTED_VALUE"""),99264.0)</f>
        <v>99264</v>
      </c>
      <c r="B853" s="11">
        <f>IFERROR(__xludf.DUMMYFUNCTION("""COMPUTED_VALUE"""),1.0)</f>
        <v>1</v>
      </c>
      <c r="C853" s="11">
        <f>IFERROR(__xludf.DUMMYFUNCTION("""COMPUTED_VALUE"""),696.0)</f>
        <v>696</v>
      </c>
      <c r="D853" s="11">
        <f>IFERROR(__xludf.DUMMYFUNCTION("""COMPUTED_VALUE"""),617.0)</f>
        <v>617</v>
      </c>
      <c r="E853" s="9"/>
    </row>
    <row r="854">
      <c r="A854" s="10">
        <f>IFERROR(__xludf.DUMMYFUNCTION("""COMPUTED_VALUE"""),110977.0)</f>
        <v>110977</v>
      </c>
      <c r="B854" s="11">
        <f>IFERROR(__xludf.DUMMYFUNCTION("""COMPUTED_VALUE"""),0.0)</f>
        <v>0</v>
      </c>
      <c r="C854" s="11">
        <f>IFERROR(__xludf.DUMMYFUNCTION("""COMPUTED_VALUE"""),20.0)</f>
        <v>20</v>
      </c>
      <c r="D854" s="11">
        <f>IFERROR(__xludf.DUMMYFUNCTION("""COMPUTED_VALUE"""),13.0)</f>
        <v>13</v>
      </c>
      <c r="E854" s="9"/>
    </row>
    <row r="855">
      <c r="A855" s="10">
        <f>IFERROR(__xludf.DUMMYFUNCTION("""COMPUTED_VALUE"""),45529.0)</f>
        <v>45529</v>
      </c>
      <c r="B855" s="11">
        <f>IFERROR(__xludf.DUMMYFUNCTION("""COMPUTED_VALUE"""),1.0)</f>
        <v>1</v>
      </c>
      <c r="C855" s="11">
        <f>IFERROR(__xludf.DUMMYFUNCTION("""COMPUTED_VALUE"""),588.0)</f>
        <v>588</v>
      </c>
      <c r="D855" s="11">
        <f>IFERROR(__xludf.DUMMYFUNCTION("""COMPUTED_VALUE"""),458.0)</f>
        <v>458</v>
      </c>
      <c r="E855" s="9"/>
    </row>
    <row r="856">
      <c r="A856" s="10">
        <f>IFERROR(__xludf.DUMMYFUNCTION("""COMPUTED_VALUE"""),84030.0)</f>
        <v>84030</v>
      </c>
      <c r="B856" s="11">
        <f>IFERROR(__xludf.DUMMYFUNCTION("""COMPUTED_VALUE"""),1.0)</f>
        <v>1</v>
      </c>
      <c r="C856" s="11">
        <f>IFERROR(__xludf.DUMMYFUNCTION("""COMPUTED_VALUE"""),963.0)</f>
        <v>963</v>
      </c>
      <c r="D856" s="11">
        <f>IFERROR(__xludf.DUMMYFUNCTION("""COMPUTED_VALUE"""),599.0)</f>
        <v>599</v>
      </c>
      <c r="E856" s="9"/>
    </row>
    <row r="857">
      <c r="A857" s="10">
        <f>IFERROR(__xludf.DUMMYFUNCTION("""COMPUTED_VALUE"""),99262.0)</f>
        <v>99262</v>
      </c>
      <c r="B857" s="11">
        <f>IFERROR(__xludf.DUMMYFUNCTION("""COMPUTED_VALUE"""),1.0)</f>
        <v>1</v>
      </c>
      <c r="C857" s="11">
        <f>IFERROR(__xludf.DUMMYFUNCTION("""COMPUTED_VALUE"""),293.0)</f>
        <v>293</v>
      </c>
      <c r="D857" s="11">
        <f>IFERROR(__xludf.DUMMYFUNCTION("""COMPUTED_VALUE"""),197.0)</f>
        <v>197</v>
      </c>
      <c r="E857" s="9"/>
    </row>
    <row r="858">
      <c r="A858" s="10">
        <f>IFERROR(__xludf.DUMMYFUNCTION("""COMPUTED_VALUE"""),110722.0)</f>
        <v>110722</v>
      </c>
      <c r="B858" s="11">
        <f>IFERROR(__xludf.DUMMYFUNCTION("""COMPUTED_VALUE"""),0.0)</f>
        <v>0</v>
      </c>
      <c r="C858" s="11">
        <f>IFERROR(__xludf.DUMMYFUNCTION("""COMPUTED_VALUE"""),785.0)</f>
        <v>785</v>
      </c>
      <c r="D858" s="11">
        <f>IFERROR(__xludf.DUMMYFUNCTION("""COMPUTED_VALUE"""),335.0)</f>
        <v>335</v>
      </c>
      <c r="E858" s="9"/>
    </row>
    <row r="859">
      <c r="A859" s="10">
        <f>IFERROR(__xludf.DUMMYFUNCTION("""COMPUTED_VALUE"""),80781.0)</f>
        <v>80781</v>
      </c>
      <c r="B859" s="11">
        <f>IFERROR(__xludf.DUMMYFUNCTION("""COMPUTED_VALUE"""),1.0)</f>
        <v>1</v>
      </c>
      <c r="C859" s="11">
        <f>IFERROR(__xludf.DUMMYFUNCTION("""COMPUTED_VALUE"""),769.0)</f>
        <v>769</v>
      </c>
      <c r="D859" s="11">
        <f>IFERROR(__xludf.DUMMYFUNCTION("""COMPUTED_VALUE"""),366.0)</f>
        <v>366</v>
      </c>
      <c r="E859" s="9"/>
    </row>
    <row r="860">
      <c r="A860" s="10">
        <f>IFERROR(__xludf.DUMMYFUNCTION("""COMPUTED_VALUE"""),122700.0)</f>
        <v>122700</v>
      </c>
      <c r="B860" s="11">
        <f>IFERROR(__xludf.DUMMYFUNCTION("""COMPUTED_VALUE"""),0.0)</f>
        <v>0</v>
      </c>
      <c r="C860" s="11">
        <f>IFERROR(__xludf.DUMMYFUNCTION("""COMPUTED_VALUE"""),279.0)</f>
        <v>279</v>
      </c>
      <c r="D860" s="11">
        <f>IFERROR(__xludf.DUMMYFUNCTION("""COMPUTED_VALUE"""),3.0)</f>
        <v>3</v>
      </c>
      <c r="E860" s="9"/>
    </row>
    <row r="861">
      <c r="A861" s="10">
        <f>IFERROR(__xludf.DUMMYFUNCTION("""COMPUTED_VALUE"""),111783.0)</f>
        <v>111783</v>
      </c>
      <c r="B861" s="11">
        <f>IFERROR(__xludf.DUMMYFUNCTION("""COMPUTED_VALUE"""),1.0)</f>
        <v>1</v>
      </c>
      <c r="C861" s="11">
        <f>IFERROR(__xludf.DUMMYFUNCTION("""COMPUTED_VALUE"""),883.0)</f>
        <v>883</v>
      </c>
      <c r="D861" s="11">
        <f>IFERROR(__xludf.DUMMYFUNCTION("""COMPUTED_VALUE"""),621.0)</f>
        <v>621</v>
      </c>
      <c r="E861" s="9"/>
    </row>
    <row r="862">
      <c r="A862" s="10">
        <f>IFERROR(__xludf.DUMMYFUNCTION("""COMPUTED_VALUE"""),110724.0)</f>
        <v>110724</v>
      </c>
      <c r="B862" s="11">
        <f>IFERROR(__xludf.DUMMYFUNCTION("""COMPUTED_VALUE"""),1.0)</f>
        <v>1</v>
      </c>
      <c r="C862" s="11">
        <f>IFERROR(__xludf.DUMMYFUNCTION("""COMPUTED_VALUE"""),248.0)</f>
        <v>248</v>
      </c>
      <c r="D862" s="11">
        <f>IFERROR(__xludf.DUMMYFUNCTION("""COMPUTED_VALUE"""),197.0)</f>
        <v>197</v>
      </c>
      <c r="E862" s="9"/>
    </row>
    <row r="863">
      <c r="A863" s="10">
        <f>IFERROR(__xludf.DUMMYFUNCTION("""COMPUTED_VALUE"""),13348.0)</f>
        <v>13348</v>
      </c>
      <c r="B863" s="11">
        <f>IFERROR(__xludf.DUMMYFUNCTION("""COMPUTED_VALUE"""),1.0)</f>
        <v>1</v>
      </c>
      <c r="C863" s="11">
        <f>IFERROR(__xludf.DUMMYFUNCTION("""COMPUTED_VALUE"""),918.0)</f>
        <v>918</v>
      </c>
      <c r="D863" s="11">
        <f>IFERROR(__xludf.DUMMYFUNCTION("""COMPUTED_VALUE"""),834.0)</f>
        <v>834</v>
      </c>
      <c r="E863" s="9"/>
    </row>
    <row r="864">
      <c r="A864" s="10">
        <f>IFERROR(__xludf.DUMMYFUNCTION("""COMPUTED_VALUE"""),28595.0)</f>
        <v>28595</v>
      </c>
      <c r="B864" s="11">
        <f>IFERROR(__xludf.DUMMYFUNCTION("""COMPUTED_VALUE"""),0.0)</f>
        <v>0</v>
      </c>
      <c r="C864" s="11">
        <f>IFERROR(__xludf.DUMMYFUNCTION("""COMPUTED_VALUE"""),349.0)</f>
        <v>349</v>
      </c>
      <c r="D864" s="11">
        <f>IFERROR(__xludf.DUMMYFUNCTION("""COMPUTED_VALUE"""),206.0)</f>
        <v>206</v>
      </c>
      <c r="E864" s="9"/>
    </row>
    <row r="865">
      <c r="A865" s="10">
        <f>IFERROR(__xludf.DUMMYFUNCTION("""COMPUTED_VALUE"""),81770.0)</f>
        <v>81770</v>
      </c>
      <c r="B865" s="11">
        <f>IFERROR(__xludf.DUMMYFUNCTION("""COMPUTED_VALUE"""),0.0)</f>
        <v>0</v>
      </c>
      <c r="C865" s="11">
        <f>IFERROR(__xludf.DUMMYFUNCTION("""COMPUTED_VALUE"""),346.0)</f>
        <v>346</v>
      </c>
      <c r="D865" s="11">
        <f>IFERROR(__xludf.DUMMYFUNCTION("""COMPUTED_VALUE"""),247.0)</f>
        <v>247</v>
      </c>
      <c r="E865" s="9"/>
    </row>
    <row r="866">
      <c r="A866" s="10">
        <f>IFERROR(__xludf.DUMMYFUNCTION("""COMPUTED_VALUE"""),85059.0)</f>
        <v>85059</v>
      </c>
      <c r="B866" s="11">
        <f>IFERROR(__xludf.DUMMYFUNCTION("""COMPUTED_VALUE"""),1.0)</f>
        <v>1</v>
      </c>
      <c r="C866" s="11">
        <f>IFERROR(__xludf.DUMMYFUNCTION("""COMPUTED_VALUE"""),426.0)</f>
        <v>426</v>
      </c>
      <c r="D866" s="11">
        <f>IFERROR(__xludf.DUMMYFUNCTION("""COMPUTED_VALUE"""),261.0)</f>
        <v>261</v>
      </c>
      <c r="E866" s="9"/>
    </row>
    <row r="867">
      <c r="A867" s="10">
        <f>IFERROR(__xludf.DUMMYFUNCTION("""COMPUTED_VALUE"""),110597.0)</f>
        <v>110597</v>
      </c>
      <c r="B867" s="11">
        <f>IFERROR(__xludf.DUMMYFUNCTION("""COMPUTED_VALUE"""),0.0)</f>
        <v>0</v>
      </c>
      <c r="C867" s="11">
        <f>IFERROR(__xludf.DUMMYFUNCTION("""COMPUTED_VALUE"""),187.0)</f>
        <v>187</v>
      </c>
      <c r="D867" s="11">
        <f>IFERROR(__xludf.DUMMYFUNCTION("""COMPUTED_VALUE"""),105.0)</f>
        <v>105</v>
      </c>
      <c r="E867" s="9"/>
    </row>
    <row r="868">
      <c r="A868" s="10">
        <f>IFERROR(__xludf.DUMMYFUNCTION("""COMPUTED_VALUE"""),7358.0)</f>
        <v>7358</v>
      </c>
      <c r="B868" s="11">
        <f>IFERROR(__xludf.DUMMYFUNCTION("""COMPUTED_VALUE"""),1.0)</f>
        <v>1</v>
      </c>
      <c r="C868" s="11">
        <f>IFERROR(__xludf.DUMMYFUNCTION("""COMPUTED_VALUE"""),820.0)</f>
        <v>820</v>
      </c>
      <c r="D868" s="11">
        <f>IFERROR(__xludf.DUMMYFUNCTION("""COMPUTED_VALUE"""),692.0)</f>
        <v>692</v>
      </c>
      <c r="E868" s="9"/>
    </row>
    <row r="869">
      <c r="A869" s="10">
        <f>IFERROR(__xludf.DUMMYFUNCTION("""COMPUTED_VALUE"""),86583.0)</f>
        <v>86583</v>
      </c>
      <c r="B869" s="11">
        <f>IFERROR(__xludf.DUMMYFUNCTION("""COMPUTED_VALUE"""),1.0)</f>
        <v>1</v>
      </c>
      <c r="C869" s="11">
        <f>IFERROR(__xludf.DUMMYFUNCTION("""COMPUTED_VALUE"""),459.0)</f>
        <v>459</v>
      </c>
      <c r="D869" s="11">
        <f>IFERROR(__xludf.DUMMYFUNCTION("""COMPUTED_VALUE"""),225.0)</f>
        <v>225</v>
      </c>
      <c r="E869" s="9"/>
    </row>
    <row r="870">
      <c r="A870" s="10">
        <f>IFERROR(__xludf.DUMMYFUNCTION("""COMPUTED_VALUE"""),98100.0)</f>
        <v>98100</v>
      </c>
      <c r="B870" s="11">
        <f>IFERROR(__xludf.DUMMYFUNCTION("""COMPUTED_VALUE"""),1.0)</f>
        <v>1</v>
      </c>
      <c r="C870" s="11">
        <f>IFERROR(__xludf.DUMMYFUNCTION("""COMPUTED_VALUE"""),120.0)</f>
        <v>120</v>
      </c>
      <c r="D870" s="11">
        <f>IFERROR(__xludf.DUMMYFUNCTION("""COMPUTED_VALUE"""),44.0)</f>
        <v>44</v>
      </c>
      <c r="E870" s="9"/>
    </row>
    <row r="871">
      <c r="A871" s="10">
        <f>IFERROR(__xludf.DUMMYFUNCTION("""COMPUTED_VALUE"""),118154.0)</f>
        <v>118154</v>
      </c>
      <c r="B871" s="11">
        <f>IFERROR(__xludf.DUMMYFUNCTION("""COMPUTED_VALUE"""),1.0)</f>
        <v>1</v>
      </c>
      <c r="C871" s="11">
        <f>IFERROR(__xludf.DUMMYFUNCTION("""COMPUTED_VALUE"""),47.0)</f>
        <v>47</v>
      </c>
      <c r="D871" s="11">
        <f>IFERROR(__xludf.DUMMYFUNCTION("""COMPUTED_VALUE"""),29.0)</f>
        <v>29</v>
      </c>
      <c r="E871" s="9"/>
    </row>
    <row r="872">
      <c r="A872" s="10">
        <f>IFERROR(__xludf.DUMMYFUNCTION("""COMPUTED_VALUE"""),42840.0)</f>
        <v>42840</v>
      </c>
      <c r="B872" s="11">
        <f>IFERROR(__xludf.DUMMYFUNCTION("""COMPUTED_VALUE"""),0.0)</f>
        <v>0</v>
      </c>
      <c r="C872" s="11">
        <f>IFERROR(__xludf.DUMMYFUNCTION("""COMPUTED_VALUE"""),724.0)</f>
        <v>724</v>
      </c>
      <c r="D872" s="11">
        <f>IFERROR(__xludf.DUMMYFUNCTION("""COMPUTED_VALUE"""),80.0)</f>
        <v>80</v>
      </c>
      <c r="E872" s="9"/>
    </row>
    <row r="873">
      <c r="A873" s="10">
        <f>IFERROR(__xludf.DUMMYFUNCTION("""COMPUTED_VALUE"""),47175.0)</f>
        <v>47175</v>
      </c>
      <c r="B873" s="11">
        <f>IFERROR(__xludf.DUMMYFUNCTION("""COMPUTED_VALUE"""),1.0)</f>
        <v>1</v>
      </c>
      <c r="C873" s="11">
        <f>IFERROR(__xludf.DUMMYFUNCTION("""COMPUTED_VALUE"""),762.0)</f>
        <v>762</v>
      </c>
      <c r="D873" s="11">
        <f>IFERROR(__xludf.DUMMYFUNCTION("""COMPUTED_VALUE"""),430.0)</f>
        <v>430</v>
      </c>
      <c r="E873" s="9"/>
    </row>
    <row r="874">
      <c r="A874" s="10">
        <f>IFERROR(__xludf.DUMMYFUNCTION("""COMPUTED_VALUE"""),112013.0)</f>
        <v>112013</v>
      </c>
      <c r="B874" s="11">
        <f>IFERROR(__xludf.DUMMYFUNCTION("""COMPUTED_VALUE"""),0.0)</f>
        <v>0</v>
      </c>
      <c r="C874" s="11">
        <f>IFERROR(__xludf.DUMMYFUNCTION("""COMPUTED_VALUE"""),807.0)</f>
        <v>807</v>
      </c>
      <c r="D874" s="11">
        <f>IFERROR(__xludf.DUMMYFUNCTION("""COMPUTED_VALUE"""),622.0)</f>
        <v>622</v>
      </c>
      <c r="E874" s="9"/>
    </row>
    <row r="875">
      <c r="A875" s="10">
        <f>IFERROR(__xludf.DUMMYFUNCTION("""COMPUTED_VALUE"""),107953.0)</f>
        <v>107953</v>
      </c>
      <c r="B875" s="11">
        <f>IFERROR(__xludf.DUMMYFUNCTION("""COMPUTED_VALUE"""),1.0)</f>
        <v>1</v>
      </c>
      <c r="C875" s="11">
        <f>IFERROR(__xludf.DUMMYFUNCTION("""COMPUTED_VALUE"""),466.0)</f>
        <v>466</v>
      </c>
      <c r="D875" s="11">
        <f>IFERROR(__xludf.DUMMYFUNCTION("""COMPUTED_VALUE"""),260.0)</f>
        <v>260</v>
      </c>
      <c r="E875" s="9"/>
    </row>
    <row r="876">
      <c r="A876" s="10">
        <f>IFERROR(__xludf.DUMMYFUNCTION("""COMPUTED_VALUE"""),44738.0)</f>
        <v>44738</v>
      </c>
      <c r="B876" s="11">
        <f>IFERROR(__xludf.DUMMYFUNCTION("""COMPUTED_VALUE"""),0.0)</f>
        <v>0</v>
      </c>
      <c r="C876" s="11">
        <f>IFERROR(__xludf.DUMMYFUNCTION("""COMPUTED_VALUE"""),59.0)</f>
        <v>59</v>
      </c>
      <c r="D876" s="11">
        <f>IFERROR(__xludf.DUMMYFUNCTION("""COMPUTED_VALUE"""),57.0)</f>
        <v>57</v>
      </c>
      <c r="E876" s="9"/>
    </row>
    <row r="877">
      <c r="A877" s="10">
        <f>IFERROR(__xludf.DUMMYFUNCTION("""COMPUTED_VALUE"""),103386.0)</f>
        <v>103386</v>
      </c>
      <c r="B877" s="11">
        <f>IFERROR(__xludf.DUMMYFUNCTION("""COMPUTED_VALUE"""),1.0)</f>
        <v>1</v>
      </c>
      <c r="C877" s="11">
        <f>IFERROR(__xludf.DUMMYFUNCTION("""COMPUTED_VALUE"""),672.0)</f>
        <v>672</v>
      </c>
      <c r="D877" s="11">
        <f>IFERROR(__xludf.DUMMYFUNCTION("""COMPUTED_VALUE"""),77.0)</f>
        <v>77</v>
      </c>
      <c r="E877" s="9"/>
    </row>
    <row r="878">
      <c r="A878" s="10">
        <f>IFERROR(__xludf.DUMMYFUNCTION("""COMPUTED_VALUE"""),86815.0)</f>
        <v>86815</v>
      </c>
      <c r="B878" s="11">
        <f>IFERROR(__xludf.DUMMYFUNCTION("""COMPUTED_VALUE"""),1.0)</f>
        <v>1</v>
      </c>
      <c r="C878" s="11">
        <f>IFERROR(__xludf.DUMMYFUNCTION("""COMPUTED_VALUE"""),157.0)</f>
        <v>157</v>
      </c>
      <c r="D878" s="11">
        <f>IFERROR(__xludf.DUMMYFUNCTION("""COMPUTED_VALUE"""),112.0)</f>
        <v>112</v>
      </c>
      <c r="E878" s="9"/>
    </row>
    <row r="879">
      <c r="A879" s="10">
        <f>IFERROR(__xludf.DUMMYFUNCTION("""COMPUTED_VALUE"""),46953.0)</f>
        <v>46953</v>
      </c>
      <c r="B879" s="11">
        <f>IFERROR(__xludf.DUMMYFUNCTION("""COMPUTED_VALUE"""),1.0)</f>
        <v>1</v>
      </c>
      <c r="C879" s="11">
        <f>IFERROR(__xludf.DUMMYFUNCTION("""COMPUTED_VALUE"""),321.0)</f>
        <v>321</v>
      </c>
      <c r="D879" s="11">
        <f>IFERROR(__xludf.DUMMYFUNCTION("""COMPUTED_VALUE"""),81.0)</f>
        <v>81</v>
      </c>
      <c r="E879" s="9"/>
    </row>
    <row r="880">
      <c r="A880" s="10">
        <f>IFERROR(__xludf.DUMMYFUNCTION("""COMPUTED_VALUE"""),108732.0)</f>
        <v>108732</v>
      </c>
      <c r="B880" s="11">
        <f>IFERROR(__xludf.DUMMYFUNCTION("""COMPUTED_VALUE"""),0.0)</f>
        <v>0</v>
      </c>
      <c r="C880" s="11">
        <f>IFERROR(__xludf.DUMMYFUNCTION("""COMPUTED_VALUE"""),242.0)</f>
        <v>242</v>
      </c>
      <c r="D880" s="11">
        <f>IFERROR(__xludf.DUMMYFUNCTION("""COMPUTED_VALUE"""),50.0)</f>
        <v>50</v>
      </c>
      <c r="E880" s="9"/>
    </row>
    <row r="881">
      <c r="A881" s="10">
        <f>IFERROR(__xludf.DUMMYFUNCTION("""COMPUTED_VALUE"""),118227.0)</f>
        <v>118227</v>
      </c>
      <c r="B881" s="11">
        <f>IFERROR(__xludf.DUMMYFUNCTION("""COMPUTED_VALUE"""),1.0)</f>
        <v>1</v>
      </c>
      <c r="C881" s="11">
        <f>IFERROR(__xludf.DUMMYFUNCTION("""COMPUTED_VALUE"""),878.0)</f>
        <v>878</v>
      </c>
      <c r="D881" s="11">
        <f>IFERROR(__xludf.DUMMYFUNCTION("""COMPUTED_VALUE"""),482.0)</f>
        <v>482</v>
      </c>
      <c r="E881" s="9"/>
    </row>
    <row r="882">
      <c r="A882" s="10">
        <f>IFERROR(__xludf.DUMMYFUNCTION("""COMPUTED_VALUE"""),122484.0)</f>
        <v>122484</v>
      </c>
      <c r="B882" s="11">
        <f>IFERROR(__xludf.DUMMYFUNCTION("""COMPUTED_VALUE"""),1.0)</f>
        <v>1</v>
      </c>
      <c r="C882" s="11">
        <f>IFERROR(__xludf.DUMMYFUNCTION("""COMPUTED_VALUE"""),444.0)</f>
        <v>444</v>
      </c>
      <c r="D882" s="11">
        <f>IFERROR(__xludf.DUMMYFUNCTION("""COMPUTED_VALUE"""),427.0)</f>
        <v>427</v>
      </c>
      <c r="E882" s="9"/>
    </row>
    <row r="883">
      <c r="A883" s="10">
        <f>IFERROR(__xludf.DUMMYFUNCTION("""COMPUTED_VALUE"""),71326.0)</f>
        <v>71326</v>
      </c>
      <c r="B883" s="11">
        <f>IFERROR(__xludf.DUMMYFUNCTION("""COMPUTED_VALUE"""),1.0)</f>
        <v>1</v>
      </c>
      <c r="C883" s="11">
        <f>IFERROR(__xludf.DUMMYFUNCTION("""COMPUTED_VALUE"""),935.0)</f>
        <v>935</v>
      </c>
      <c r="D883" s="11">
        <f>IFERROR(__xludf.DUMMYFUNCTION("""COMPUTED_VALUE"""),336.0)</f>
        <v>336</v>
      </c>
      <c r="E883" s="9"/>
    </row>
    <row r="884">
      <c r="A884" s="10">
        <f>IFERROR(__xludf.DUMMYFUNCTION("""COMPUTED_VALUE"""),110794.0)</f>
        <v>110794</v>
      </c>
      <c r="B884" s="11">
        <f>IFERROR(__xludf.DUMMYFUNCTION("""COMPUTED_VALUE"""),1.0)</f>
        <v>1</v>
      </c>
      <c r="C884" s="11">
        <f>IFERROR(__xludf.DUMMYFUNCTION("""COMPUTED_VALUE"""),530.0)</f>
        <v>530</v>
      </c>
      <c r="D884" s="11">
        <f>IFERROR(__xludf.DUMMYFUNCTION("""COMPUTED_VALUE"""),357.0)</f>
        <v>357</v>
      </c>
      <c r="E884" s="9"/>
    </row>
    <row r="885">
      <c r="A885" s="10">
        <f>IFERROR(__xludf.DUMMYFUNCTION("""COMPUTED_VALUE"""),80066.0)</f>
        <v>80066</v>
      </c>
      <c r="B885" s="11">
        <f>IFERROR(__xludf.DUMMYFUNCTION("""COMPUTED_VALUE"""),0.0)</f>
        <v>0</v>
      </c>
      <c r="C885" s="11">
        <f>IFERROR(__xludf.DUMMYFUNCTION("""COMPUTED_VALUE"""),158.0)</f>
        <v>158</v>
      </c>
      <c r="D885" s="11">
        <f>IFERROR(__xludf.DUMMYFUNCTION("""COMPUTED_VALUE"""),23.0)</f>
        <v>23</v>
      </c>
      <c r="E885" s="9"/>
    </row>
    <row r="886">
      <c r="A886" s="10">
        <f>IFERROR(__xludf.DUMMYFUNCTION("""COMPUTED_VALUE"""),106776.0)</f>
        <v>106776</v>
      </c>
      <c r="B886" s="11">
        <f>IFERROR(__xludf.DUMMYFUNCTION("""COMPUTED_VALUE"""),0.0)</f>
        <v>0</v>
      </c>
      <c r="C886" s="11">
        <f>IFERROR(__xludf.DUMMYFUNCTION("""COMPUTED_VALUE"""),586.0)</f>
        <v>586</v>
      </c>
      <c r="D886" s="11">
        <f>IFERROR(__xludf.DUMMYFUNCTION("""COMPUTED_VALUE"""),528.0)</f>
        <v>528</v>
      </c>
      <c r="E886" s="9"/>
    </row>
    <row r="887">
      <c r="A887" s="10">
        <f>IFERROR(__xludf.DUMMYFUNCTION("""COMPUTED_VALUE"""),113608.0)</f>
        <v>113608</v>
      </c>
      <c r="B887" s="11">
        <f>IFERROR(__xludf.DUMMYFUNCTION("""COMPUTED_VALUE"""),0.0)</f>
        <v>0</v>
      </c>
      <c r="C887" s="11">
        <f>IFERROR(__xludf.DUMMYFUNCTION("""COMPUTED_VALUE"""),102.0)</f>
        <v>102</v>
      </c>
      <c r="D887" s="11">
        <f>IFERROR(__xludf.DUMMYFUNCTION("""COMPUTED_VALUE"""),58.0)</f>
        <v>58</v>
      </c>
      <c r="E887" s="9"/>
    </row>
    <row r="888">
      <c r="A888" s="10">
        <f>IFERROR(__xludf.DUMMYFUNCTION("""COMPUTED_VALUE"""),116454.0)</f>
        <v>116454</v>
      </c>
      <c r="B888" s="11">
        <f>IFERROR(__xludf.DUMMYFUNCTION("""COMPUTED_VALUE"""),0.0)</f>
        <v>0</v>
      </c>
      <c r="C888" s="11">
        <f>IFERROR(__xludf.DUMMYFUNCTION("""COMPUTED_VALUE"""),831.0)</f>
        <v>831</v>
      </c>
      <c r="D888" s="11">
        <f>IFERROR(__xludf.DUMMYFUNCTION("""COMPUTED_VALUE"""),668.0)</f>
        <v>668</v>
      </c>
      <c r="E888" s="9"/>
    </row>
    <row r="889">
      <c r="A889" s="10">
        <f>IFERROR(__xludf.DUMMYFUNCTION("""COMPUTED_VALUE"""),108724.0)</f>
        <v>108724</v>
      </c>
      <c r="B889" s="11">
        <f>IFERROR(__xludf.DUMMYFUNCTION("""COMPUTED_VALUE"""),1.0)</f>
        <v>1</v>
      </c>
      <c r="C889" s="11">
        <f>IFERROR(__xludf.DUMMYFUNCTION("""COMPUTED_VALUE"""),53.0)</f>
        <v>53</v>
      </c>
      <c r="D889" s="11">
        <f>IFERROR(__xludf.DUMMYFUNCTION("""COMPUTED_VALUE"""),2.0)</f>
        <v>2</v>
      </c>
      <c r="E889" s="9"/>
    </row>
    <row r="890">
      <c r="A890" s="10">
        <f>IFERROR(__xludf.DUMMYFUNCTION("""COMPUTED_VALUE"""),118253.0)</f>
        <v>118253</v>
      </c>
      <c r="B890" s="11">
        <f>IFERROR(__xludf.DUMMYFUNCTION("""COMPUTED_VALUE"""),0.0)</f>
        <v>0</v>
      </c>
      <c r="C890" s="11">
        <f>IFERROR(__xludf.DUMMYFUNCTION("""COMPUTED_VALUE"""),375.0)</f>
        <v>375</v>
      </c>
      <c r="D890" s="11">
        <f>IFERROR(__xludf.DUMMYFUNCTION("""COMPUTED_VALUE"""),308.0)</f>
        <v>308</v>
      </c>
      <c r="E890" s="9"/>
    </row>
    <row r="891">
      <c r="A891" s="10">
        <f>IFERROR(__xludf.DUMMYFUNCTION("""COMPUTED_VALUE"""),110567.0)</f>
        <v>110567</v>
      </c>
      <c r="B891" s="11">
        <f>IFERROR(__xludf.DUMMYFUNCTION("""COMPUTED_VALUE"""),0.0)</f>
        <v>0</v>
      </c>
      <c r="C891" s="11">
        <f>IFERROR(__xludf.DUMMYFUNCTION("""COMPUTED_VALUE"""),481.0)</f>
        <v>481</v>
      </c>
      <c r="D891" s="11">
        <f>IFERROR(__xludf.DUMMYFUNCTION("""COMPUTED_VALUE"""),156.0)</f>
        <v>156</v>
      </c>
      <c r="E891" s="9"/>
    </row>
    <row r="892">
      <c r="A892" s="10">
        <f>IFERROR(__xludf.DUMMYFUNCTION("""COMPUTED_VALUE"""),122697.0)</f>
        <v>122697</v>
      </c>
      <c r="B892" s="11">
        <f>IFERROR(__xludf.DUMMYFUNCTION("""COMPUTED_VALUE"""),0.0)</f>
        <v>0</v>
      </c>
      <c r="C892" s="11">
        <f>IFERROR(__xludf.DUMMYFUNCTION("""COMPUTED_VALUE"""),410.0)</f>
        <v>410</v>
      </c>
      <c r="D892" s="11">
        <f>IFERROR(__xludf.DUMMYFUNCTION("""COMPUTED_VALUE"""),198.0)</f>
        <v>198</v>
      </c>
      <c r="E892" s="9"/>
    </row>
    <row r="893">
      <c r="A893" s="10">
        <f>IFERROR(__xludf.DUMMYFUNCTION("""COMPUTED_VALUE"""),109190.0)</f>
        <v>109190</v>
      </c>
      <c r="B893" s="11">
        <f>IFERROR(__xludf.DUMMYFUNCTION("""COMPUTED_VALUE"""),1.0)</f>
        <v>1</v>
      </c>
      <c r="C893" s="11">
        <f>IFERROR(__xludf.DUMMYFUNCTION("""COMPUTED_VALUE"""),434.0)</f>
        <v>434</v>
      </c>
      <c r="D893" s="11">
        <f>IFERROR(__xludf.DUMMYFUNCTION("""COMPUTED_VALUE"""),43.0)</f>
        <v>43</v>
      </c>
      <c r="E893" s="9"/>
    </row>
    <row r="894">
      <c r="A894" s="10">
        <f>IFERROR(__xludf.DUMMYFUNCTION("""COMPUTED_VALUE"""),109191.0)</f>
        <v>109191</v>
      </c>
      <c r="B894" s="11">
        <f>IFERROR(__xludf.DUMMYFUNCTION("""COMPUTED_VALUE"""),0.0)</f>
        <v>0</v>
      </c>
      <c r="C894" s="11">
        <f>IFERROR(__xludf.DUMMYFUNCTION("""COMPUTED_VALUE"""),0.0)</f>
        <v>0</v>
      </c>
      <c r="D894" s="11">
        <f>IFERROR(__xludf.DUMMYFUNCTION("""COMPUTED_VALUE"""),0.0)</f>
        <v>0</v>
      </c>
      <c r="E894" s="9"/>
    </row>
    <row r="895">
      <c r="A895" s="10">
        <f>IFERROR(__xludf.DUMMYFUNCTION("""COMPUTED_VALUE"""),44759.0)</f>
        <v>44759</v>
      </c>
      <c r="B895" s="11">
        <f>IFERROR(__xludf.DUMMYFUNCTION("""COMPUTED_VALUE"""),1.0)</f>
        <v>1</v>
      </c>
      <c r="C895" s="11">
        <f>IFERROR(__xludf.DUMMYFUNCTION("""COMPUTED_VALUE"""),389.0)</f>
        <v>389</v>
      </c>
      <c r="D895" s="11">
        <f>IFERROR(__xludf.DUMMYFUNCTION("""COMPUTED_VALUE"""),312.0)</f>
        <v>312</v>
      </c>
      <c r="E895" s="9"/>
    </row>
    <row r="896">
      <c r="A896" s="10">
        <f>IFERROR(__xludf.DUMMYFUNCTION("""COMPUTED_VALUE"""),109192.0)</f>
        <v>109192</v>
      </c>
      <c r="B896" s="11">
        <f>IFERROR(__xludf.DUMMYFUNCTION("""COMPUTED_VALUE"""),0.0)</f>
        <v>0</v>
      </c>
      <c r="C896" s="11">
        <f>IFERROR(__xludf.DUMMYFUNCTION("""COMPUTED_VALUE"""),488.0)</f>
        <v>488</v>
      </c>
      <c r="D896" s="11">
        <f>IFERROR(__xludf.DUMMYFUNCTION("""COMPUTED_VALUE"""),203.0)</f>
        <v>203</v>
      </c>
      <c r="E896" s="9"/>
    </row>
    <row r="897">
      <c r="A897" s="10">
        <f>IFERROR(__xludf.DUMMYFUNCTION("""COMPUTED_VALUE"""),113605.0)</f>
        <v>113605</v>
      </c>
      <c r="B897" s="11">
        <f>IFERROR(__xludf.DUMMYFUNCTION("""COMPUTED_VALUE"""),0.0)</f>
        <v>0</v>
      </c>
      <c r="C897" s="11">
        <f>IFERROR(__xludf.DUMMYFUNCTION("""COMPUTED_VALUE"""),786.0)</f>
        <v>786</v>
      </c>
      <c r="D897" s="11">
        <f>IFERROR(__xludf.DUMMYFUNCTION("""COMPUTED_VALUE"""),109.0)</f>
        <v>109</v>
      </c>
      <c r="E897" s="9"/>
    </row>
    <row r="898">
      <c r="A898" s="10">
        <f>IFERROR(__xludf.DUMMYFUNCTION("""COMPUTED_VALUE"""),147339.0)</f>
        <v>147339</v>
      </c>
      <c r="B898" s="11">
        <f>IFERROR(__xludf.DUMMYFUNCTION("""COMPUTED_VALUE"""),1.0)</f>
        <v>1</v>
      </c>
      <c r="C898" s="11">
        <f>IFERROR(__xludf.DUMMYFUNCTION("""COMPUTED_VALUE"""),848.0)</f>
        <v>848</v>
      </c>
      <c r="D898" s="11">
        <f>IFERROR(__xludf.DUMMYFUNCTION("""COMPUTED_VALUE"""),312.0)</f>
        <v>312</v>
      </c>
      <c r="E898" s="9"/>
    </row>
    <row r="899">
      <c r="A899" s="10">
        <f>IFERROR(__xludf.DUMMYFUNCTION("""COMPUTED_VALUE"""),118068.0)</f>
        <v>118068</v>
      </c>
      <c r="B899" s="11">
        <f>IFERROR(__xludf.DUMMYFUNCTION("""COMPUTED_VALUE"""),0.0)</f>
        <v>0</v>
      </c>
      <c r="C899" s="11">
        <f>IFERROR(__xludf.DUMMYFUNCTION("""COMPUTED_VALUE"""),772.0)</f>
        <v>772</v>
      </c>
      <c r="D899" s="11">
        <f>IFERROR(__xludf.DUMMYFUNCTION("""COMPUTED_VALUE"""),197.0)</f>
        <v>197</v>
      </c>
      <c r="E899" s="9"/>
    </row>
    <row r="900">
      <c r="A900" s="10">
        <f>IFERROR(__xludf.DUMMYFUNCTION("""COMPUTED_VALUE"""),44758.0)</f>
        <v>44758</v>
      </c>
      <c r="B900" s="11">
        <f>IFERROR(__xludf.DUMMYFUNCTION("""COMPUTED_VALUE"""),0.0)</f>
        <v>0</v>
      </c>
      <c r="C900" s="11">
        <f>IFERROR(__xludf.DUMMYFUNCTION("""COMPUTED_VALUE"""),122.0)</f>
        <v>122</v>
      </c>
      <c r="D900" s="11">
        <f>IFERROR(__xludf.DUMMYFUNCTION("""COMPUTED_VALUE"""),76.0)</f>
        <v>76</v>
      </c>
      <c r="E900" s="9"/>
    </row>
    <row r="901">
      <c r="A901" s="10">
        <f>IFERROR(__xludf.DUMMYFUNCTION("""COMPUTED_VALUE"""),110579.0)</f>
        <v>110579</v>
      </c>
      <c r="B901" s="11">
        <f>IFERROR(__xludf.DUMMYFUNCTION("""COMPUTED_VALUE"""),1.0)</f>
        <v>1</v>
      </c>
      <c r="C901" s="11">
        <f>IFERROR(__xludf.DUMMYFUNCTION("""COMPUTED_VALUE"""),328.0)</f>
        <v>328</v>
      </c>
      <c r="D901" s="11">
        <f>IFERROR(__xludf.DUMMYFUNCTION("""COMPUTED_VALUE"""),28.0)</f>
        <v>28</v>
      </c>
      <c r="E901" s="9"/>
    </row>
    <row r="902">
      <c r="A902" s="10">
        <f>IFERROR(__xludf.DUMMYFUNCTION("""COMPUTED_VALUE"""),116437.0)</f>
        <v>116437</v>
      </c>
      <c r="B902" s="11">
        <f>IFERROR(__xludf.DUMMYFUNCTION("""COMPUTED_VALUE"""),0.0)</f>
        <v>0</v>
      </c>
      <c r="C902" s="11">
        <f>IFERROR(__xludf.DUMMYFUNCTION("""COMPUTED_VALUE"""),749.0)</f>
        <v>749</v>
      </c>
      <c r="D902" s="11">
        <f>IFERROR(__xludf.DUMMYFUNCTION("""COMPUTED_VALUE"""),422.0)</f>
        <v>422</v>
      </c>
      <c r="E902" s="9"/>
    </row>
    <row r="903">
      <c r="A903" s="10">
        <f>IFERROR(__xludf.DUMMYFUNCTION("""COMPUTED_VALUE"""),9519.0)</f>
        <v>9519</v>
      </c>
      <c r="B903" s="11">
        <f>IFERROR(__xludf.DUMMYFUNCTION("""COMPUTED_VALUE"""),0.0)</f>
        <v>0</v>
      </c>
      <c r="C903" s="11">
        <f>IFERROR(__xludf.DUMMYFUNCTION("""COMPUTED_VALUE"""),247.0)</f>
        <v>247</v>
      </c>
      <c r="D903" s="11">
        <f>IFERROR(__xludf.DUMMYFUNCTION("""COMPUTED_VALUE"""),169.0)</f>
        <v>169</v>
      </c>
      <c r="E903" s="9"/>
    </row>
    <row r="904">
      <c r="A904" s="10">
        <f>IFERROR(__xludf.DUMMYFUNCTION("""COMPUTED_VALUE"""),147338.0)</f>
        <v>147338</v>
      </c>
      <c r="B904" s="11">
        <f>IFERROR(__xludf.DUMMYFUNCTION("""COMPUTED_VALUE"""),1.0)</f>
        <v>1</v>
      </c>
      <c r="C904" s="11">
        <f>IFERROR(__xludf.DUMMYFUNCTION("""COMPUTED_VALUE"""),419.0)</f>
        <v>419</v>
      </c>
      <c r="D904" s="11">
        <f>IFERROR(__xludf.DUMMYFUNCTION("""COMPUTED_VALUE"""),171.0)</f>
        <v>171</v>
      </c>
      <c r="E904" s="9"/>
    </row>
    <row r="905">
      <c r="A905" s="10">
        <f>IFERROR(__xludf.DUMMYFUNCTION("""COMPUTED_VALUE"""),118250.0)</f>
        <v>118250</v>
      </c>
      <c r="B905" s="11">
        <f>IFERROR(__xludf.DUMMYFUNCTION("""COMPUTED_VALUE"""),0.0)</f>
        <v>0</v>
      </c>
      <c r="C905" s="11">
        <f>IFERROR(__xludf.DUMMYFUNCTION("""COMPUTED_VALUE"""),77.0)</f>
        <v>77</v>
      </c>
      <c r="D905" s="11">
        <f>IFERROR(__xludf.DUMMYFUNCTION("""COMPUTED_VALUE"""),72.0)</f>
        <v>72</v>
      </c>
      <c r="E905" s="9"/>
    </row>
    <row r="906">
      <c r="A906" s="10">
        <f>IFERROR(__xludf.DUMMYFUNCTION("""COMPUTED_VALUE"""),20053.0)</f>
        <v>20053</v>
      </c>
      <c r="B906" s="11">
        <f>IFERROR(__xludf.DUMMYFUNCTION("""COMPUTED_VALUE"""),1.0)</f>
        <v>1</v>
      </c>
      <c r="C906" s="11">
        <f>IFERROR(__xludf.DUMMYFUNCTION("""COMPUTED_VALUE"""),32.0)</f>
        <v>32</v>
      </c>
      <c r="D906" s="11">
        <f>IFERROR(__xludf.DUMMYFUNCTION("""COMPUTED_VALUE"""),7.0)</f>
        <v>7</v>
      </c>
      <c r="E906" s="9"/>
    </row>
    <row r="907">
      <c r="A907" s="10">
        <f>IFERROR(__xludf.DUMMYFUNCTION("""COMPUTED_VALUE"""),71321.0)</f>
        <v>71321</v>
      </c>
      <c r="B907" s="11">
        <f>IFERROR(__xludf.DUMMYFUNCTION("""COMPUTED_VALUE"""),1.0)</f>
        <v>1</v>
      </c>
      <c r="C907" s="11">
        <f>IFERROR(__xludf.DUMMYFUNCTION("""COMPUTED_VALUE"""),927.0)</f>
        <v>927</v>
      </c>
      <c r="D907" s="11">
        <f>IFERROR(__xludf.DUMMYFUNCTION("""COMPUTED_VALUE"""),782.0)</f>
        <v>782</v>
      </c>
      <c r="E907" s="9"/>
    </row>
    <row r="908">
      <c r="A908" s="10">
        <f>IFERROR(__xludf.DUMMYFUNCTION("""COMPUTED_VALUE"""),79503.0)</f>
        <v>79503</v>
      </c>
      <c r="B908" s="11">
        <f>IFERROR(__xludf.DUMMYFUNCTION("""COMPUTED_VALUE"""),0.0)</f>
        <v>0</v>
      </c>
      <c r="C908" s="11">
        <f>IFERROR(__xludf.DUMMYFUNCTION("""COMPUTED_VALUE"""),75.0)</f>
        <v>75</v>
      </c>
      <c r="D908" s="11">
        <f>IFERROR(__xludf.DUMMYFUNCTION("""COMPUTED_VALUE"""),62.0)</f>
        <v>62</v>
      </c>
      <c r="E908" s="9"/>
    </row>
    <row r="909">
      <c r="A909" s="10">
        <f>IFERROR(__xludf.DUMMYFUNCTION("""COMPUTED_VALUE"""),99270.0)</f>
        <v>99270</v>
      </c>
      <c r="B909" s="11">
        <f>IFERROR(__xludf.DUMMYFUNCTION("""COMPUTED_VALUE"""),1.0)</f>
        <v>1</v>
      </c>
      <c r="C909" s="11">
        <f>IFERROR(__xludf.DUMMYFUNCTION("""COMPUTED_VALUE"""),844.0)</f>
        <v>844</v>
      </c>
      <c r="D909" s="11">
        <f>IFERROR(__xludf.DUMMYFUNCTION("""COMPUTED_VALUE"""),219.0)</f>
        <v>219</v>
      </c>
      <c r="E909" s="9"/>
    </row>
    <row r="910">
      <c r="A910" s="10">
        <f>IFERROR(__xludf.DUMMYFUNCTION("""COMPUTED_VALUE"""),112848.0)</f>
        <v>112848</v>
      </c>
      <c r="B910" s="11">
        <f>IFERROR(__xludf.DUMMYFUNCTION("""COMPUTED_VALUE"""),1.0)</f>
        <v>1</v>
      </c>
      <c r="C910" s="11">
        <f>IFERROR(__xludf.DUMMYFUNCTION("""COMPUTED_VALUE"""),685.0)</f>
        <v>685</v>
      </c>
      <c r="D910" s="11">
        <f>IFERROR(__xludf.DUMMYFUNCTION("""COMPUTED_VALUE"""),346.0)</f>
        <v>346</v>
      </c>
      <c r="E910" s="9"/>
    </row>
    <row r="911">
      <c r="A911" s="10">
        <f>IFERROR(__xludf.DUMMYFUNCTION("""COMPUTED_VALUE"""),13369.0)</f>
        <v>13369</v>
      </c>
      <c r="B911" s="11">
        <f>IFERROR(__xludf.DUMMYFUNCTION("""COMPUTED_VALUE"""),0.0)</f>
        <v>0</v>
      </c>
      <c r="C911" s="11">
        <f>IFERROR(__xludf.DUMMYFUNCTION("""COMPUTED_VALUE"""),386.0)</f>
        <v>386</v>
      </c>
      <c r="D911" s="11">
        <f>IFERROR(__xludf.DUMMYFUNCTION("""COMPUTED_VALUE"""),3.0)</f>
        <v>3</v>
      </c>
      <c r="E911" s="9"/>
    </row>
    <row r="912">
      <c r="A912" s="10">
        <f>IFERROR(__xludf.DUMMYFUNCTION("""COMPUTED_VALUE"""),147336.0)</f>
        <v>147336</v>
      </c>
      <c r="B912" s="11">
        <f>IFERROR(__xludf.DUMMYFUNCTION("""COMPUTED_VALUE"""),1.0)</f>
        <v>1</v>
      </c>
      <c r="C912" s="11">
        <f>IFERROR(__xludf.DUMMYFUNCTION("""COMPUTED_VALUE"""),47.0)</f>
        <v>47</v>
      </c>
      <c r="D912" s="11">
        <f>IFERROR(__xludf.DUMMYFUNCTION("""COMPUTED_VALUE"""),0.0)</f>
        <v>0</v>
      </c>
      <c r="E912" s="9"/>
    </row>
    <row r="913">
      <c r="A913" s="10">
        <f>IFERROR(__xludf.DUMMYFUNCTION("""COMPUTED_VALUE"""),114899.0)</f>
        <v>114899</v>
      </c>
      <c r="B913" s="11">
        <f>IFERROR(__xludf.DUMMYFUNCTION("""COMPUTED_VALUE"""),0.0)</f>
        <v>0</v>
      </c>
      <c r="C913" s="11">
        <f>IFERROR(__xludf.DUMMYFUNCTION("""COMPUTED_VALUE"""),970.0)</f>
        <v>970</v>
      </c>
      <c r="D913" s="11">
        <f>IFERROR(__xludf.DUMMYFUNCTION("""COMPUTED_VALUE"""),709.0)</f>
        <v>709</v>
      </c>
      <c r="E913" s="9"/>
    </row>
    <row r="914">
      <c r="A914" s="10">
        <f>IFERROR(__xludf.DUMMYFUNCTION("""COMPUTED_VALUE"""),113607.0)</f>
        <v>113607</v>
      </c>
      <c r="B914" s="11">
        <f>IFERROR(__xludf.DUMMYFUNCTION("""COMPUTED_VALUE"""),1.0)</f>
        <v>1</v>
      </c>
      <c r="C914" s="11">
        <f>IFERROR(__xludf.DUMMYFUNCTION("""COMPUTED_VALUE"""),476.0)</f>
        <v>476</v>
      </c>
      <c r="D914" s="11">
        <f>IFERROR(__xludf.DUMMYFUNCTION("""COMPUTED_VALUE"""),352.0)</f>
        <v>352</v>
      </c>
      <c r="E914" s="9"/>
    </row>
    <row r="915">
      <c r="A915" s="10">
        <f>IFERROR(__xludf.DUMMYFUNCTION("""COMPUTED_VALUE"""),47183.0)</f>
        <v>47183</v>
      </c>
      <c r="B915" s="11">
        <f>IFERROR(__xludf.DUMMYFUNCTION("""COMPUTED_VALUE"""),0.0)</f>
        <v>0</v>
      </c>
      <c r="C915" s="11">
        <f>IFERROR(__xludf.DUMMYFUNCTION("""COMPUTED_VALUE"""),689.0)</f>
        <v>689</v>
      </c>
      <c r="D915" s="11">
        <f>IFERROR(__xludf.DUMMYFUNCTION("""COMPUTED_VALUE"""),212.0)</f>
        <v>212</v>
      </c>
      <c r="E915" s="9"/>
    </row>
    <row r="916">
      <c r="A916" s="10">
        <f>IFERROR(__xludf.DUMMYFUNCTION("""COMPUTED_VALUE"""),78338.0)</f>
        <v>78338</v>
      </c>
      <c r="B916" s="11">
        <f>IFERROR(__xludf.DUMMYFUNCTION("""COMPUTED_VALUE"""),0.0)</f>
        <v>0</v>
      </c>
      <c r="C916" s="11">
        <f>IFERROR(__xludf.DUMMYFUNCTION("""COMPUTED_VALUE"""),482.0)</f>
        <v>482</v>
      </c>
      <c r="D916" s="11">
        <f>IFERROR(__xludf.DUMMYFUNCTION("""COMPUTED_VALUE"""),458.0)</f>
        <v>458</v>
      </c>
      <c r="E916" s="9"/>
    </row>
    <row r="917">
      <c r="A917" s="10">
        <f>IFERROR(__xludf.DUMMYFUNCTION("""COMPUTED_VALUE"""),9526.0)</f>
        <v>9526</v>
      </c>
      <c r="B917" s="11">
        <f>IFERROR(__xludf.DUMMYFUNCTION("""COMPUTED_VALUE"""),0.0)</f>
        <v>0</v>
      </c>
      <c r="C917" s="11">
        <f>IFERROR(__xludf.DUMMYFUNCTION("""COMPUTED_VALUE"""),36.0)</f>
        <v>36</v>
      </c>
      <c r="D917" s="11">
        <f>IFERROR(__xludf.DUMMYFUNCTION("""COMPUTED_VALUE"""),25.0)</f>
        <v>25</v>
      </c>
      <c r="E917" s="9"/>
    </row>
    <row r="918">
      <c r="A918" s="10">
        <f>IFERROR(__xludf.DUMMYFUNCTION("""COMPUTED_VALUE"""),107910.0)</f>
        <v>107910</v>
      </c>
      <c r="B918" s="11">
        <f>IFERROR(__xludf.DUMMYFUNCTION("""COMPUTED_VALUE"""),0.0)</f>
        <v>0</v>
      </c>
      <c r="C918" s="11">
        <f>IFERROR(__xludf.DUMMYFUNCTION("""COMPUTED_VALUE"""),142.0)</f>
        <v>142</v>
      </c>
      <c r="D918" s="11">
        <f>IFERROR(__xludf.DUMMYFUNCTION("""COMPUTED_VALUE"""),16.0)</f>
        <v>16</v>
      </c>
      <c r="E918" s="9"/>
    </row>
    <row r="919">
      <c r="A919" s="10">
        <f>IFERROR(__xludf.DUMMYFUNCTION("""COMPUTED_VALUE"""),20056.0)</f>
        <v>20056</v>
      </c>
      <c r="B919" s="11">
        <f>IFERROR(__xludf.DUMMYFUNCTION("""COMPUTED_VALUE"""),0.0)</f>
        <v>0</v>
      </c>
      <c r="C919" s="11">
        <f>IFERROR(__xludf.DUMMYFUNCTION("""COMPUTED_VALUE"""),182.0)</f>
        <v>182</v>
      </c>
      <c r="D919" s="11">
        <f>IFERROR(__xludf.DUMMYFUNCTION("""COMPUTED_VALUE"""),91.0)</f>
        <v>91</v>
      </c>
      <c r="E919" s="9"/>
    </row>
    <row r="920">
      <c r="A920" s="10">
        <f>IFERROR(__xludf.DUMMYFUNCTION("""COMPUTED_VALUE"""),108951.0)</f>
        <v>108951</v>
      </c>
      <c r="B920" s="11">
        <f>IFERROR(__xludf.DUMMYFUNCTION("""COMPUTED_VALUE"""),0.0)</f>
        <v>0</v>
      </c>
      <c r="C920" s="11">
        <f>IFERROR(__xludf.DUMMYFUNCTION("""COMPUTED_VALUE"""),266.0)</f>
        <v>266</v>
      </c>
      <c r="D920" s="11">
        <f>IFERROR(__xludf.DUMMYFUNCTION("""COMPUTED_VALUE"""),231.0)</f>
        <v>231</v>
      </c>
      <c r="E920" s="9"/>
    </row>
    <row r="921">
      <c r="A921" s="10">
        <f>IFERROR(__xludf.DUMMYFUNCTION("""COMPUTED_VALUE"""),107783.0)</f>
        <v>107783</v>
      </c>
      <c r="B921" s="11">
        <f>IFERROR(__xludf.DUMMYFUNCTION("""COMPUTED_VALUE"""),1.0)</f>
        <v>1</v>
      </c>
      <c r="C921" s="11">
        <f>IFERROR(__xludf.DUMMYFUNCTION("""COMPUTED_VALUE"""),921.0)</f>
        <v>921</v>
      </c>
      <c r="D921" s="11">
        <f>IFERROR(__xludf.DUMMYFUNCTION("""COMPUTED_VALUE"""),351.0)</f>
        <v>351</v>
      </c>
      <c r="E921" s="9"/>
    </row>
    <row r="922">
      <c r="A922" s="10">
        <f>IFERROR(__xludf.DUMMYFUNCTION("""COMPUTED_VALUE"""),80798.0)</f>
        <v>80798</v>
      </c>
      <c r="B922" s="11">
        <f>IFERROR(__xludf.DUMMYFUNCTION("""COMPUTED_VALUE"""),1.0)</f>
        <v>1</v>
      </c>
      <c r="C922" s="11">
        <f>IFERROR(__xludf.DUMMYFUNCTION("""COMPUTED_VALUE"""),844.0)</f>
        <v>844</v>
      </c>
      <c r="D922" s="11">
        <f>IFERROR(__xludf.DUMMYFUNCTION("""COMPUTED_VALUE"""),643.0)</f>
        <v>643</v>
      </c>
      <c r="E922" s="9"/>
    </row>
    <row r="923">
      <c r="A923" s="10">
        <f>IFERROR(__xludf.DUMMYFUNCTION("""COMPUTED_VALUE"""),108950.0)</f>
        <v>108950</v>
      </c>
      <c r="B923" s="11">
        <f>IFERROR(__xludf.DUMMYFUNCTION("""COMPUTED_VALUE"""),0.0)</f>
        <v>0</v>
      </c>
      <c r="C923" s="11">
        <f>IFERROR(__xludf.DUMMYFUNCTION("""COMPUTED_VALUE"""),914.0)</f>
        <v>914</v>
      </c>
      <c r="D923" s="11">
        <f>IFERROR(__xludf.DUMMYFUNCTION("""COMPUTED_VALUE"""),636.0)</f>
        <v>636</v>
      </c>
      <c r="E923" s="9"/>
    </row>
    <row r="924">
      <c r="A924" s="10">
        <f>IFERROR(__xludf.DUMMYFUNCTION("""COMPUTED_VALUE"""),112847.0)</f>
        <v>112847</v>
      </c>
      <c r="B924" s="11">
        <f>IFERROR(__xludf.DUMMYFUNCTION("""COMPUTED_VALUE"""),1.0)</f>
        <v>1</v>
      </c>
      <c r="C924" s="11">
        <f>IFERROR(__xludf.DUMMYFUNCTION("""COMPUTED_VALUE"""),708.0)</f>
        <v>708</v>
      </c>
      <c r="D924" s="11">
        <f>IFERROR(__xludf.DUMMYFUNCTION("""COMPUTED_VALUE"""),174.0)</f>
        <v>174</v>
      </c>
      <c r="E924" s="9"/>
    </row>
    <row r="925">
      <c r="A925" s="10">
        <f>IFERROR(__xludf.DUMMYFUNCTION("""COMPUTED_VALUE"""),109202.0)</f>
        <v>109202</v>
      </c>
      <c r="B925" s="11">
        <f>IFERROR(__xludf.DUMMYFUNCTION("""COMPUTED_VALUE"""),0.0)</f>
        <v>0</v>
      </c>
      <c r="C925" s="11">
        <f>IFERROR(__xludf.DUMMYFUNCTION("""COMPUTED_VALUE"""),873.0)</f>
        <v>873</v>
      </c>
      <c r="D925" s="11">
        <f>IFERROR(__xludf.DUMMYFUNCTION("""COMPUTED_VALUE"""),268.0)</f>
        <v>268</v>
      </c>
      <c r="E925" s="9"/>
    </row>
    <row r="926">
      <c r="A926" s="10">
        <f>IFERROR(__xludf.DUMMYFUNCTION("""COMPUTED_VALUE"""),109198.0)</f>
        <v>109198</v>
      </c>
      <c r="B926" s="11">
        <f>IFERROR(__xludf.DUMMYFUNCTION("""COMPUTED_VALUE"""),0.0)</f>
        <v>0</v>
      </c>
      <c r="C926" s="11">
        <f>IFERROR(__xludf.DUMMYFUNCTION("""COMPUTED_VALUE"""),323.0)</f>
        <v>323</v>
      </c>
      <c r="D926" s="11">
        <f>IFERROR(__xludf.DUMMYFUNCTION("""COMPUTED_VALUE"""),315.0)</f>
        <v>315</v>
      </c>
      <c r="E926" s="9"/>
    </row>
    <row r="927">
      <c r="A927" s="10">
        <f>IFERROR(__xludf.DUMMYFUNCTION("""COMPUTED_VALUE"""),108990.0)</f>
        <v>108990</v>
      </c>
      <c r="B927" s="11">
        <f>IFERROR(__xludf.DUMMYFUNCTION("""COMPUTED_VALUE"""),1.0)</f>
        <v>1</v>
      </c>
      <c r="C927" s="11">
        <f>IFERROR(__xludf.DUMMYFUNCTION("""COMPUTED_VALUE"""),128.0)</f>
        <v>128</v>
      </c>
      <c r="D927" s="11">
        <f>IFERROR(__xludf.DUMMYFUNCTION("""COMPUTED_VALUE"""),81.0)</f>
        <v>81</v>
      </c>
      <c r="E927" s="9"/>
    </row>
    <row r="928">
      <c r="A928" s="10">
        <f>IFERROR(__xludf.DUMMYFUNCTION("""COMPUTED_VALUE"""),72815.0)</f>
        <v>72815</v>
      </c>
      <c r="B928" s="11">
        <f>IFERROR(__xludf.DUMMYFUNCTION("""COMPUTED_VALUE"""),1.0)</f>
        <v>1</v>
      </c>
      <c r="C928" s="11">
        <f>IFERROR(__xludf.DUMMYFUNCTION("""COMPUTED_VALUE"""),252.0)</f>
        <v>252</v>
      </c>
      <c r="D928" s="11">
        <f>IFERROR(__xludf.DUMMYFUNCTION("""COMPUTED_VALUE"""),65.0)</f>
        <v>65</v>
      </c>
      <c r="E928" s="9"/>
    </row>
    <row r="929">
      <c r="A929" s="10">
        <f>IFERROR(__xludf.DUMMYFUNCTION("""COMPUTED_VALUE"""),9479.0)</f>
        <v>9479</v>
      </c>
      <c r="B929" s="11">
        <f>IFERROR(__xludf.DUMMYFUNCTION("""COMPUTED_VALUE"""),1.0)</f>
        <v>1</v>
      </c>
      <c r="C929" s="11">
        <f>IFERROR(__xludf.DUMMYFUNCTION("""COMPUTED_VALUE"""),199.0)</f>
        <v>199</v>
      </c>
      <c r="D929" s="11">
        <f>IFERROR(__xludf.DUMMYFUNCTION("""COMPUTED_VALUE"""),102.0)</f>
        <v>102</v>
      </c>
      <c r="E929" s="9"/>
    </row>
    <row r="930">
      <c r="A930" s="10">
        <f>IFERROR(__xludf.DUMMYFUNCTION("""COMPUTED_VALUE"""),46961.0)</f>
        <v>46961</v>
      </c>
      <c r="B930" s="11">
        <f>IFERROR(__xludf.DUMMYFUNCTION("""COMPUTED_VALUE"""),1.0)</f>
        <v>1</v>
      </c>
      <c r="C930" s="11">
        <f>IFERROR(__xludf.DUMMYFUNCTION("""COMPUTED_VALUE"""),709.0)</f>
        <v>709</v>
      </c>
      <c r="D930" s="11">
        <f>IFERROR(__xludf.DUMMYFUNCTION("""COMPUTED_VALUE"""),242.0)</f>
        <v>242</v>
      </c>
      <c r="E930" s="9"/>
    </row>
    <row r="931">
      <c r="A931" s="10">
        <f>IFERROR(__xludf.DUMMYFUNCTION("""COMPUTED_VALUE"""),122352.0)</f>
        <v>122352</v>
      </c>
      <c r="B931" s="11">
        <f>IFERROR(__xludf.DUMMYFUNCTION("""COMPUTED_VALUE"""),0.0)</f>
        <v>0</v>
      </c>
      <c r="C931" s="11">
        <f>IFERROR(__xludf.DUMMYFUNCTION("""COMPUTED_VALUE"""),260.0)</f>
        <v>260</v>
      </c>
      <c r="D931" s="11">
        <f>IFERROR(__xludf.DUMMYFUNCTION("""COMPUTED_VALUE"""),25.0)</f>
        <v>25</v>
      </c>
      <c r="E931" s="9"/>
    </row>
    <row r="932">
      <c r="A932" s="10">
        <f>IFERROR(__xludf.DUMMYFUNCTION("""COMPUTED_VALUE"""),44750.0)</f>
        <v>44750</v>
      </c>
      <c r="B932" s="11">
        <f>IFERROR(__xludf.DUMMYFUNCTION("""COMPUTED_VALUE"""),1.0)</f>
        <v>1</v>
      </c>
      <c r="C932" s="11">
        <f>IFERROR(__xludf.DUMMYFUNCTION("""COMPUTED_VALUE"""),717.0)</f>
        <v>717</v>
      </c>
      <c r="D932" s="11">
        <f>IFERROR(__xludf.DUMMYFUNCTION("""COMPUTED_VALUE"""),370.0)</f>
        <v>370</v>
      </c>
      <c r="E932" s="9"/>
    </row>
    <row r="933">
      <c r="A933" s="10">
        <f>IFERROR(__xludf.DUMMYFUNCTION("""COMPUTED_VALUE"""),114405.0)</f>
        <v>114405</v>
      </c>
      <c r="B933" s="11">
        <f>IFERROR(__xludf.DUMMYFUNCTION("""COMPUTED_VALUE"""),1.0)</f>
        <v>1</v>
      </c>
      <c r="C933" s="11">
        <f>IFERROR(__xludf.DUMMYFUNCTION("""COMPUTED_VALUE"""),387.0)</f>
        <v>387</v>
      </c>
      <c r="D933" s="11">
        <f>IFERROR(__xludf.DUMMYFUNCTION("""COMPUTED_VALUE"""),199.0)</f>
        <v>199</v>
      </c>
      <c r="E933" s="9"/>
    </row>
    <row r="934">
      <c r="A934" s="10">
        <f>IFERROR(__xludf.DUMMYFUNCTION("""COMPUTED_VALUE"""),2797.0)</f>
        <v>2797</v>
      </c>
      <c r="B934" s="11">
        <f>IFERROR(__xludf.DUMMYFUNCTION("""COMPUTED_VALUE"""),1.0)</f>
        <v>1</v>
      </c>
      <c r="C934" s="11">
        <f>IFERROR(__xludf.DUMMYFUNCTION("""COMPUTED_VALUE"""),911.0)</f>
        <v>911</v>
      </c>
      <c r="D934" s="11">
        <f>IFERROR(__xludf.DUMMYFUNCTION("""COMPUTED_VALUE"""),388.0)</f>
        <v>388</v>
      </c>
      <c r="E934" s="9"/>
    </row>
    <row r="935">
      <c r="A935" s="10">
        <f>IFERROR(__xludf.DUMMYFUNCTION("""COMPUTED_VALUE"""),79499.0)</f>
        <v>79499</v>
      </c>
      <c r="B935" s="11">
        <f>IFERROR(__xludf.DUMMYFUNCTION("""COMPUTED_VALUE"""),1.0)</f>
        <v>1</v>
      </c>
      <c r="C935" s="11">
        <f>IFERROR(__xludf.DUMMYFUNCTION("""COMPUTED_VALUE"""),402.0)</f>
        <v>402</v>
      </c>
      <c r="D935" s="11">
        <f>IFERROR(__xludf.DUMMYFUNCTION("""COMPUTED_VALUE"""),41.0)</f>
        <v>41</v>
      </c>
      <c r="E935" s="9"/>
    </row>
    <row r="936">
      <c r="A936" s="10">
        <f>IFERROR(__xludf.DUMMYFUNCTION("""COMPUTED_VALUE"""),5902.0)</f>
        <v>5902</v>
      </c>
      <c r="B936" s="11">
        <f>IFERROR(__xludf.DUMMYFUNCTION("""COMPUTED_VALUE"""),1.0)</f>
        <v>1</v>
      </c>
      <c r="C936" s="11">
        <f>IFERROR(__xludf.DUMMYFUNCTION("""COMPUTED_VALUE"""),845.0)</f>
        <v>845</v>
      </c>
      <c r="D936" s="11">
        <f>IFERROR(__xludf.DUMMYFUNCTION("""COMPUTED_VALUE"""),146.0)</f>
        <v>146</v>
      </c>
      <c r="E936" s="9"/>
    </row>
    <row r="937">
      <c r="A937" s="10">
        <f>IFERROR(__xludf.DUMMYFUNCTION("""COMPUTED_VALUE"""),46956.0)</f>
        <v>46956</v>
      </c>
      <c r="B937" s="11">
        <f>IFERROR(__xludf.DUMMYFUNCTION("""COMPUTED_VALUE"""),0.0)</f>
        <v>0</v>
      </c>
      <c r="C937" s="11">
        <f>IFERROR(__xludf.DUMMYFUNCTION("""COMPUTED_VALUE"""),209.0)</f>
        <v>209</v>
      </c>
      <c r="D937" s="11">
        <f>IFERROR(__xludf.DUMMYFUNCTION("""COMPUTED_VALUE"""),100.0)</f>
        <v>100</v>
      </c>
      <c r="E937" s="9"/>
    </row>
    <row r="938">
      <c r="A938" s="10">
        <f>IFERROR(__xludf.DUMMYFUNCTION("""COMPUTED_VALUE"""),11490.0)</f>
        <v>11490</v>
      </c>
      <c r="B938" s="11">
        <f>IFERROR(__xludf.DUMMYFUNCTION("""COMPUTED_VALUE"""),1.0)</f>
        <v>1</v>
      </c>
      <c r="C938" s="11">
        <f>IFERROR(__xludf.DUMMYFUNCTION("""COMPUTED_VALUE"""),339.0)</f>
        <v>339</v>
      </c>
      <c r="D938" s="11">
        <f>IFERROR(__xludf.DUMMYFUNCTION("""COMPUTED_VALUE"""),145.0)</f>
        <v>145</v>
      </c>
      <c r="E938" s="9"/>
    </row>
    <row r="939">
      <c r="A939" s="10">
        <f>IFERROR(__xludf.DUMMYFUNCTION("""COMPUTED_VALUE"""),8027.0)</f>
        <v>8027</v>
      </c>
      <c r="B939" s="11">
        <f>IFERROR(__xludf.DUMMYFUNCTION("""COMPUTED_VALUE"""),1.0)</f>
        <v>1</v>
      </c>
      <c r="C939" s="11">
        <f>IFERROR(__xludf.DUMMYFUNCTION("""COMPUTED_VALUE"""),957.0)</f>
        <v>957</v>
      </c>
      <c r="D939" s="11">
        <f>IFERROR(__xludf.DUMMYFUNCTION("""COMPUTED_VALUE"""),39.0)</f>
        <v>39</v>
      </c>
      <c r="E939" s="9"/>
    </row>
    <row r="940">
      <c r="A940" s="10">
        <f>IFERROR(__xludf.DUMMYFUNCTION("""COMPUTED_VALUE"""),121588.0)</f>
        <v>121588</v>
      </c>
      <c r="B940" s="11">
        <f>IFERROR(__xludf.DUMMYFUNCTION("""COMPUTED_VALUE"""),0.0)</f>
        <v>0</v>
      </c>
      <c r="C940" s="11">
        <f>IFERROR(__xludf.DUMMYFUNCTION("""COMPUTED_VALUE"""),622.0)</f>
        <v>622</v>
      </c>
      <c r="D940" s="11">
        <f>IFERROR(__xludf.DUMMYFUNCTION("""COMPUTED_VALUE"""),447.0)</f>
        <v>447</v>
      </c>
      <c r="E940" s="9"/>
    </row>
    <row r="941">
      <c r="A941" s="10">
        <f>IFERROR(__xludf.DUMMYFUNCTION("""COMPUTED_VALUE"""),1279.0)</f>
        <v>1279</v>
      </c>
      <c r="B941" s="11">
        <f>IFERROR(__xludf.DUMMYFUNCTION("""COMPUTED_VALUE"""),0.0)</f>
        <v>0</v>
      </c>
      <c r="C941" s="11">
        <f>IFERROR(__xludf.DUMMYFUNCTION("""COMPUTED_VALUE"""),253.0)</f>
        <v>253</v>
      </c>
      <c r="D941" s="11">
        <f>IFERROR(__xludf.DUMMYFUNCTION("""COMPUTED_VALUE"""),172.0)</f>
        <v>172</v>
      </c>
      <c r="E941" s="9"/>
    </row>
    <row r="942">
      <c r="A942" s="10">
        <f>IFERROR(__xludf.DUMMYFUNCTION("""COMPUTED_VALUE"""),5978.0)</f>
        <v>5978</v>
      </c>
      <c r="B942" s="11">
        <f>IFERROR(__xludf.DUMMYFUNCTION("""COMPUTED_VALUE"""),1.0)</f>
        <v>1</v>
      </c>
      <c r="C942" s="11">
        <f>IFERROR(__xludf.DUMMYFUNCTION("""COMPUTED_VALUE"""),34.0)</f>
        <v>34</v>
      </c>
      <c r="D942" s="11">
        <f>IFERROR(__xludf.DUMMYFUNCTION("""COMPUTED_VALUE"""),15.0)</f>
        <v>15</v>
      </c>
      <c r="E942" s="9"/>
    </row>
    <row r="943">
      <c r="A943" s="10">
        <f>IFERROR(__xludf.DUMMYFUNCTION("""COMPUTED_VALUE"""),72813.0)</f>
        <v>72813</v>
      </c>
      <c r="B943" s="11">
        <f>IFERROR(__xludf.DUMMYFUNCTION("""COMPUTED_VALUE"""),0.0)</f>
        <v>0</v>
      </c>
      <c r="C943" s="11">
        <f>IFERROR(__xludf.DUMMYFUNCTION("""COMPUTED_VALUE"""),182.0)</f>
        <v>182</v>
      </c>
      <c r="D943" s="11">
        <f>IFERROR(__xludf.DUMMYFUNCTION("""COMPUTED_VALUE"""),1.0)</f>
        <v>1</v>
      </c>
      <c r="E943" s="9"/>
    </row>
    <row r="944">
      <c r="A944" s="10">
        <f>IFERROR(__xludf.DUMMYFUNCTION("""COMPUTED_VALUE"""),9486.0)</f>
        <v>9486</v>
      </c>
      <c r="B944" s="11">
        <f>IFERROR(__xludf.DUMMYFUNCTION("""COMPUTED_VALUE"""),1.0)</f>
        <v>1</v>
      </c>
      <c r="C944" s="11">
        <f>IFERROR(__xludf.DUMMYFUNCTION("""COMPUTED_VALUE"""),285.0)</f>
        <v>285</v>
      </c>
      <c r="D944" s="11">
        <f>IFERROR(__xludf.DUMMYFUNCTION("""COMPUTED_VALUE"""),87.0)</f>
        <v>87</v>
      </c>
      <c r="E944" s="9"/>
    </row>
    <row r="945">
      <c r="A945" s="10">
        <f>IFERROR(__xludf.DUMMYFUNCTION("""COMPUTED_VALUE"""),2791.0)</f>
        <v>2791</v>
      </c>
      <c r="B945" s="11">
        <f>IFERROR(__xludf.DUMMYFUNCTION("""COMPUTED_VALUE"""),0.0)</f>
        <v>0</v>
      </c>
      <c r="C945" s="11">
        <f>IFERROR(__xludf.DUMMYFUNCTION("""COMPUTED_VALUE"""),122.0)</f>
        <v>122</v>
      </c>
      <c r="D945" s="11">
        <f>IFERROR(__xludf.DUMMYFUNCTION("""COMPUTED_VALUE"""),26.0)</f>
        <v>26</v>
      </c>
      <c r="E945" s="9"/>
    </row>
    <row r="946">
      <c r="A946" s="10">
        <f>IFERROR(__xludf.DUMMYFUNCTION("""COMPUTED_VALUE"""),109206.0)</f>
        <v>109206</v>
      </c>
      <c r="B946" s="11">
        <f>IFERROR(__xludf.DUMMYFUNCTION("""COMPUTED_VALUE"""),0.0)</f>
        <v>0</v>
      </c>
      <c r="C946" s="11">
        <f>IFERROR(__xludf.DUMMYFUNCTION("""COMPUTED_VALUE"""),219.0)</f>
        <v>219</v>
      </c>
      <c r="D946" s="11">
        <f>IFERROR(__xludf.DUMMYFUNCTION("""COMPUTED_VALUE"""),205.0)</f>
        <v>205</v>
      </c>
      <c r="E946" s="9"/>
    </row>
    <row r="947">
      <c r="A947" s="10">
        <f>IFERROR(__xludf.DUMMYFUNCTION("""COMPUTED_VALUE"""),9478.0)</f>
        <v>9478</v>
      </c>
      <c r="B947" s="11">
        <f>IFERROR(__xludf.DUMMYFUNCTION("""COMPUTED_VALUE"""),1.0)</f>
        <v>1</v>
      </c>
      <c r="C947" s="11">
        <f>IFERROR(__xludf.DUMMYFUNCTION("""COMPUTED_VALUE"""),451.0)</f>
        <v>451</v>
      </c>
      <c r="D947" s="11">
        <f>IFERROR(__xludf.DUMMYFUNCTION("""COMPUTED_VALUE"""),412.0)</f>
        <v>412</v>
      </c>
      <c r="E947" s="9"/>
    </row>
    <row r="948">
      <c r="A948" s="10">
        <f>IFERROR(__xludf.DUMMYFUNCTION("""COMPUTED_VALUE"""),122699.0)</f>
        <v>122699</v>
      </c>
      <c r="B948" s="11">
        <f>IFERROR(__xludf.DUMMYFUNCTION("""COMPUTED_VALUE"""),1.0)</f>
        <v>1</v>
      </c>
      <c r="C948" s="11">
        <f>IFERROR(__xludf.DUMMYFUNCTION("""COMPUTED_VALUE"""),418.0)</f>
        <v>418</v>
      </c>
      <c r="D948" s="11">
        <f>IFERROR(__xludf.DUMMYFUNCTION("""COMPUTED_VALUE"""),38.0)</f>
        <v>38</v>
      </c>
      <c r="E948" s="9"/>
    </row>
    <row r="949">
      <c r="A949" s="10">
        <f>IFERROR(__xludf.DUMMYFUNCTION("""COMPUTED_VALUE"""),2794.0)</f>
        <v>2794</v>
      </c>
      <c r="B949" s="11">
        <f>IFERROR(__xludf.DUMMYFUNCTION("""COMPUTED_VALUE"""),0.0)</f>
        <v>0</v>
      </c>
      <c r="C949" s="11">
        <f>IFERROR(__xludf.DUMMYFUNCTION("""COMPUTED_VALUE"""),699.0)</f>
        <v>699</v>
      </c>
      <c r="D949" s="11">
        <f>IFERROR(__xludf.DUMMYFUNCTION("""COMPUTED_VALUE"""),447.0)</f>
        <v>447</v>
      </c>
      <c r="E949" s="9"/>
    </row>
    <row r="950">
      <c r="A950" s="10">
        <f>IFERROR(__xludf.DUMMYFUNCTION("""COMPUTED_VALUE"""),109200.0)</f>
        <v>109200</v>
      </c>
      <c r="B950" s="11">
        <f>IFERROR(__xludf.DUMMYFUNCTION("""COMPUTED_VALUE"""),1.0)</f>
        <v>1</v>
      </c>
      <c r="C950" s="11">
        <f>IFERROR(__xludf.DUMMYFUNCTION("""COMPUTED_VALUE"""),962.0)</f>
        <v>962</v>
      </c>
      <c r="D950" s="11">
        <f>IFERROR(__xludf.DUMMYFUNCTION("""COMPUTED_VALUE"""),408.0)</f>
        <v>408</v>
      </c>
      <c r="E950" s="9"/>
    </row>
    <row r="951">
      <c r="A951" s="10">
        <f>IFERROR(__xludf.DUMMYFUNCTION("""COMPUTED_VALUE"""),118263.0)</f>
        <v>118263</v>
      </c>
      <c r="B951" s="11">
        <f>IFERROR(__xludf.DUMMYFUNCTION("""COMPUTED_VALUE"""),1.0)</f>
        <v>1</v>
      </c>
      <c r="C951" s="11">
        <f>IFERROR(__xludf.DUMMYFUNCTION("""COMPUTED_VALUE"""),659.0)</f>
        <v>659</v>
      </c>
      <c r="D951" s="11">
        <f>IFERROR(__xludf.DUMMYFUNCTION("""COMPUTED_VALUE"""),434.0)</f>
        <v>434</v>
      </c>
      <c r="E951" s="9"/>
    </row>
    <row r="952">
      <c r="A952" s="10">
        <f>IFERROR(__xludf.DUMMYFUNCTION("""COMPUTED_VALUE"""),71320.0)</f>
        <v>71320</v>
      </c>
      <c r="B952" s="11">
        <f>IFERROR(__xludf.DUMMYFUNCTION("""COMPUTED_VALUE"""),0.0)</f>
        <v>0</v>
      </c>
      <c r="C952" s="11">
        <f>IFERROR(__xludf.DUMMYFUNCTION("""COMPUTED_VALUE"""),741.0)</f>
        <v>741</v>
      </c>
      <c r="D952" s="11">
        <f>IFERROR(__xludf.DUMMYFUNCTION("""COMPUTED_VALUE"""),645.0)</f>
        <v>645</v>
      </c>
      <c r="E952" s="9"/>
    </row>
    <row r="953">
      <c r="A953" s="10">
        <f>IFERROR(__xludf.DUMMYFUNCTION("""COMPUTED_VALUE"""),108944.0)</f>
        <v>108944</v>
      </c>
      <c r="B953" s="11">
        <f>IFERROR(__xludf.DUMMYFUNCTION("""COMPUTED_VALUE"""),1.0)</f>
        <v>1</v>
      </c>
      <c r="C953" s="11">
        <f>IFERROR(__xludf.DUMMYFUNCTION("""COMPUTED_VALUE"""),450.0)</f>
        <v>450</v>
      </c>
      <c r="D953" s="11">
        <f>IFERROR(__xludf.DUMMYFUNCTION("""COMPUTED_VALUE"""),382.0)</f>
        <v>382</v>
      </c>
      <c r="E953" s="9"/>
    </row>
    <row r="954">
      <c r="A954" s="10">
        <f>IFERROR(__xludf.DUMMYFUNCTION("""COMPUTED_VALUE"""),122693.0)</f>
        <v>122693</v>
      </c>
      <c r="B954" s="11">
        <f>IFERROR(__xludf.DUMMYFUNCTION("""COMPUTED_VALUE"""),1.0)</f>
        <v>1</v>
      </c>
      <c r="C954" s="11">
        <f>IFERROR(__xludf.DUMMYFUNCTION("""COMPUTED_VALUE"""),390.0)</f>
        <v>390</v>
      </c>
      <c r="D954" s="11">
        <f>IFERROR(__xludf.DUMMYFUNCTION("""COMPUTED_VALUE"""),49.0)</f>
        <v>49</v>
      </c>
      <c r="E954" s="9"/>
    </row>
    <row r="955">
      <c r="A955" s="10">
        <f>IFERROR(__xludf.DUMMYFUNCTION("""COMPUTED_VALUE"""),20049.0)</f>
        <v>20049</v>
      </c>
      <c r="B955" s="11">
        <f>IFERROR(__xludf.DUMMYFUNCTION("""COMPUTED_VALUE"""),1.0)</f>
        <v>1</v>
      </c>
      <c r="C955" s="11">
        <f>IFERROR(__xludf.DUMMYFUNCTION("""COMPUTED_VALUE"""),922.0)</f>
        <v>922</v>
      </c>
      <c r="D955" s="11">
        <f>IFERROR(__xludf.DUMMYFUNCTION("""COMPUTED_VALUE"""),26.0)</f>
        <v>26</v>
      </c>
      <c r="E955" s="9"/>
    </row>
    <row r="956">
      <c r="A956" s="10">
        <f>IFERROR(__xludf.DUMMYFUNCTION("""COMPUTED_VALUE"""),20055.0)</f>
        <v>20055</v>
      </c>
      <c r="B956" s="11">
        <f>IFERROR(__xludf.DUMMYFUNCTION("""COMPUTED_VALUE"""),0.0)</f>
        <v>0</v>
      </c>
      <c r="C956" s="11">
        <f>IFERROR(__xludf.DUMMYFUNCTION("""COMPUTED_VALUE"""),294.0)</f>
        <v>294</v>
      </c>
      <c r="D956" s="11">
        <f>IFERROR(__xludf.DUMMYFUNCTION("""COMPUTED_VALUE"""),49.0)</f>
        <v>49</v>
      </c>
      <c r="E956" s="9"/>
    </row>
    <row r="957">
      <c r="A957" s="10">
        <f>IFERROR(__xludf.DUMMYFUNCTION("""COMPUTED_VALUE"""),112845.0)</f>
        <v>112845</v>
      </c>
      <c r="B957" s="11">
        <f>IFERROR(__xludf.DUMMYFUNCTION("""COMPUTED_VALUE"""),0.0)</f>
        <v>0</v>
      </c>
      <c r="C957" s="11">
        <f>IFERROR(__xludf.DUMMYFUNCTION("""COMPUTED_VALUE"""),757.0)</f>
        <v>757</v>
      </c>
      <c r="D957" s="11">
        <f>IFERROR(__xludf.DUMMYFUNCTION("""COMPUTED_VALUE"""),679.0)</f>
        <v>679</v>
      </c>
      <c r="E957" s="9"/>
    </row>
    <row r="958">
      <c r="A958" s="10">
        <f>IFERROR(__xludf.DUMMYFUNCTION("""COMPUTED_VALUE"""),9490.0)</f>
        <v>9490</v>
      </c>
      <c r="B958" s="11">
        <f>IFERROR(__xludf.DUMMYFUNCTION("""COMPUTED_VALUE"""),1.0)</f>
        <v>1</v>
      </c>
      <c r="C958" s="11">
        <f>IFERROR(__xludf.DUMMYFUNCTION("""COMPUTED_VALUE"""),734.0)</f>
        <v>734</v>
      </c>
      <c r="D958" s="11">
        <f>IFERROR(__xludf.DUMMYFUNCTION("""COMPUTED_VALUE"""),359.0)</f>
        <v>359</v>
      </c>
      <c r="E958" s="9"/>
    </row>
    <row r="959">
      <c r="A959" s="10">
        <f>IFERROR(__xludf.DUMMYFUNCTION("""COMPUTED_VALUE"""),105034.0)</f>
        <v>105034</v>
      </c>
      <c r="B959" s="11">
        <f>IFERROR(__xludf.DUMMYFUNCTION("""COMPUTED_VALUE"""),1.0)</f>
        <v>1</v>
      </c>
      <c r="C959" s="11">
        <f>IFERROR(__xludf.DUMMYFUNCTION("""COMPUTED_VALUE"""),186.0)</f>
        <v>186</v>
      </c>
      <c r="D959" s="11">
        <f>IFERROR(__xludf.DUMMYFUNCTION("""COMPUTED_VALUE"""),66.0)</f>
        <v>66</v>
      </c>
      <c r="E959" s="9"/>
    </row>
    <row r="960">
      <c r="A960" s="10">
        <f>IFERROR(__xludf.DUMMYFUNCTION("""COMPUTED_VALUE"""),122680.0)</f>
        <v>122680</v>
      </c>
      <c r="B960" s="11">
        <f>IFERROR(__xludf.DUMMYFUNCTION("""COMPUTED_VALUE"""),0.0)</f>
        <v>0</v>
      </c>
      <c r="C960" s="11">
        <f>IFERROR(__xludf.DUMMYFUNCTION("""COMPUTED_VALUE"""),115.0)</f>
        <v>115</v>
      </c>
      <c r="D960" s="11">
        <f>IFERROR(__xludf.DUMMYFUNCTION("""COMPUTED_VALUE"""),25.0)</f>
        <v>25</v>
      </c>
      <c r="E960" s="9"/>
    </row>
    <row r="961">
      <c r="A961" s="10">
        <f>IFERROR(__xludf.DUMMYFUNCTION("""COMPUTED_VALUE"""),112846.0)</f>
        <v>112846</v>
      </c>
      <c r="B961" s="11">
        <f>IFERROR(__xludf.DUMMYFUNCTION("""COMPUTED_VALUE"""),1.0)</f>
        <v>1</v>
      </c>
      <c r="C961" s="11">
        <f>IFERROR(__xludf.DUMMYFUNCTION("""COMPUTED_VALUE"""),857.0)</f>
        <v>857</v>
      </c>
      <c r="D961" s="11">
        <f>IFERROR(__xludf.DUMMYFUNCTION("""COMPUTED_VALUE"""),117.0)</f>
        <v>117</v>
      </c>
      <c r="E961" s="9"/>
    </row>
    <row r="962">
      <c r="A962" s="10">
        <f>IFERROR(__xludf.DUMMYFUNCTION("""COMPUTED_VALUE"""),80816.0)</f>
        <v>80816</v>
      </c>
      <c r="B962" s="11">
        <f>IFERROR(__xludf.DUMMYFUNCTION("""COMPUTED_VALUE"""),1.0)</f>
        <v>1</v>
      </c>
      <c r="C962" s="11">
        <f>IFERROR(__xludf.DUMMYFUNCTION("""COMPUTED_VALUE"""),908.0)</f>
        <v>908</v>
      </c>
      <c r="D962" s="11">
        <f>IFERROR(__xludf.DUMMYFUNCTION("""COMPUTED_VALUE"""),681.0)</f>
        <v>681</v>
      </c>
      <c r="E962" s="9"/>
    </row>
    <row r="963">
      <c r="A963" s="10">
        <f>IFERROR(__xludf.DUMMYFUNCTION("""COMPUTED_VALUE"""),44749.0)</f>
        <v>44749</v>
      </c>
      <c r="B963" s="11">
        <f>IFERROR(__xludf.DUMMYFUNCTION("""COMPUTED_VALUE"""),1.0)</f>
        <v>1</v>
      </c>
      <c r="C963" s="11">
        <f>IFERROR(__xludf.DUMMYFUNCTION("""COMPUTED_VALUE"""),257.0)</f>
        <v>257</v>
      </c>
      <c r="D963" s="11">
        <f>IFERROR(__xludf.DUMMYFUNCTION("""COMPUTED_VALUE"""),51.0)</f>
        <v>51</v>
      </c>
      <c r="E963" s="9"/>
    </row>
    <row r="964">
      <c r="A964" s="10">
        <f>IFERROR(__xludf.DUMMYFUNCTION("""COMPUTED_VALUE"""),79498.0)</f>
        <v>79498</v>
      </c>
      <c r="B964" s="11">
        <f>IFERROR(__xludf.DUMMYFUNCTION("""COMPUTED_VALUE"""),0.0)</f>
        <v>0</v>
      </c>
      <c r="C964" s="11">
        <f>IFERROR(__xludf.DUMMYFUNCTION("""COMPUTED_VALUE"""),194.0)</f>
        <v>194</v>
      </c>
      <c r="D964" s="11">
        <f>IFERROR(__xludf.DUMMYFUNCTION("""COMPUTED_VALUE"""),57.0)</f>
        <v>57</v>
      </c>
      <c r="E964" s="9"/>
    </row>
    <row r="965">
      <c r="A965" s="10">
        <f>IFERROR(__xludf.DUMMYFUNCTION("""COMPUTED_VALUE"""),2799.0)</f>
        <v>2799</v>
      </c>
      <c r="B965" s="11">
        <f>IFERROR(__xludf.DUMMYFUNCTION("""COMPUTED_VALUE"""),1.0)</f>
        <v>1</v>
      </c>
      <c r="C965" s="11">
        <f>IFERROR(__xludf.DUMMYFUNCTION("""COMPUTED_VALUE"""),578.0)</f>
        <v>578</v>
      </c>
      <c r="D965" s="11">
        <f>IFERROR(__xludf.DUMMYFUNCTION("""COMPUTED_VALUE"""),49.0)</f>
        <v>49</v>
      </c>
      <c r="E965" s="9"/>
    </row>
    <row r="966">
      <c r="A966" s="10">
        <f>IFERROR(__xludf.DUMMYFUNCTION("""COMPUTED_VALUE"""),194401.0)</f>
        <v>194401</v>
      </c>
      <c r="B966" s="11">
        <f>IFERROR(__xludf.DUMMYFUNCTION("""COMPUTED_VALUE"""),1.0)</f>
        <v>1</v>
      </c>
      <c r="C966" s="11">
        <f>IFERROR(__xludf.DUMMYFUNCTION("""COMPUTED_VALUE"""),880.0)</f>
        <v>880</v>
      </c>
      <c r="D966" s="11">
        <f>IFERROR(__xludf.DUMMYFUNCTION("""COMPUTED_VALUE"""),459.0)</f>
        <v>459</v>
      </c>
      <c r="E966" s="9"/>
    </row>
    <row r="967">
      <c r="A967" s="10">
        <f>IFERROR(__xludf.DUMMYFUNCTION("""COMPUTED_VALUE"""),5291.0)</f>
        <v>5291</v>
      </c>
      <c r="B967" s="11">
        <f>IFERROR(__xludf.DUMMYFUNCTION("""COMPUTED_VALUE"""),0.0)</f>
        <v>0</v>
      </c>
      <c r="C967" s="11">
        <f>IFERROR(__xludf.DUMMYFUNCTION("""COMPUTED_VALUE"""),711.0)</f>
        <v>711</v>
      </c>
      <c r="D967" s="11">
        <f>IFERROR(__xludf.DUMMYFUNCTION("""COMPUTED_VALUE"""),385.0)</f>
        <v>385</v>
      </c>
      <c r="E967" s="9"/>
    </row>
    <row r="968">
      <c r="A968" s="10">
        <f>IFERROR(__xludf.DUMMYFUNCTION("""COMPUTED_VALUE"""),2796.0)</f>
        <v>2796</v>
      </c>
      <c r="B968" s="11">
        <f>IFERROR(__xludf.DUMMYFUNCTION("""COMPUTED_VALUE"""),1.0)</f>
        <v>1</v>
      </c>
      <c r="C968" s="11">
        <f>IFERROR(__xludf.DUMMYFUNCTION("""COMPUTED_VALUE"""),806.0)</f>
        <v>806</v>
      </c>
      <c r="D968" s="11">
        <f>IFERROR(__xludf.DUMMYFUNCTION("""COMPUTED_VALUE"""),419.0)</f>
        <v>419</v>
      </c>
      <c r="E968" s="9"/>
    </row>
    <row r="969">
      <c r="A969" s="10">
        <f>IFERROR(__xludf.DUMMYFUNCTION("""COMPUTED_VALUE"""),71325.0)</f>
        <v>71325</v>
      </c>
      <c r="B969" s="11">
        <f>IFERROR(__xludf.DUMMYFUNCTION("""COMPUTED_VALUE"""),1.0)</f>
        <v>1</v>
      </c>
      <c r="C969" s="11">
        <f>IFERROR(__xludf.DUMMYFUNCTION("""COMPUTED_VALUE"""),349.0)</f>
        <v>349</v>
      </c>
      <c r="D969" s="11">
        <f>IFERROR(__xludf.DUMMYFUNCTION("""COMPUTED_VALUE"""),335.0)</f>
        <v>335</v>
      </c>
      <c r="E969" s="9"/>
    </row>
    <row r="970">
      <c r="A970" s="10">
        <f>IFERROR(__xludf.DUMMYFUNCTION("""COMPUTED_VALUE"""),2793.0)</f>
        <v>2793</v>
      </c>
      <c r="B970" s="11">
        <f>IFERROR(__xludf.DUMMYFUNCTION("""COMPUTED_VALUE"""),0.0)</f>
        <v>0</v>
      </c>
      <c r="C970" s="11">
        <f>IFERROR(__xludf.DUMMYFUNCTION("""COMPUTED_VALUE"""),70.0)</f>
        <v>70</v>
      </c>
      <c r="D970" s="11">
        <f>IFERROR(__xludf.DUMMYFUNCTION("""COMPUTED_VALUE"""),25.0)</f>
        <v>25</v>
      </c>
      <c r="E970" s="9"/>
    </row>
    <row r="971">
      <c r="A971" s="10">
        <f>IFERROR(__xludf.DUMMYFUNCTION("""COMPUTED_VALUE"""),102781.0)</f>
        <v>102781</v>
      </c>
      <c r="B971" s="11">
        <f>IFERROR(__xludf.DUMMYFUNCTION("""COMPUTED_VALUE"""),1.0)</f>
        <v>1</v>
      </c>
      <c r="C971" s="11">
        <f>IFERROR(__xludf.DUMMYFUNCTION("""COMPUTED_VALUE"""),866.0)</f>
        <v>866</v>
      </c>
      <c r="D971" s="11">
        <f>IFERROR(__xludf.DUMMYFUNCTION("""COMPUTED_VALUE"""),807.0)</f>
        <v>807</v>
      </c>
      <c r="E971" s="9"/>
    </row>
    <row r="972">
      <c r="A972" s="10">
        <f>IFERROR(__xludf.DUMMYFUNCTION("""COMPUTED_VALUE"""),109201.0)</f>
        <v>109201</v>
      </c>
      <c r="B972" s="11">
        <f>IFERROR(__xludf.DUMMYFUNCTION("""COMPUTED_VALUE"""),1.0)</f>
        <v>1</v>
      </c>
      <c r="C972" s="11">
        <f>IFERROR(__xludf.DUMMYFUNCTION("""COMPUTED_VALUE"""),493.0)</f>
        <v>493</v>
      </c>
      <c r="D972" s="11">
        <f>IFERROR(__xludf.DUMMYFUNCTION("""COMPUTED_VALUE"""),304.0)</f>
        <v>304</v>
      </c>
      <c r="E972" s="9"/>
    </row>
    <row r="973">
      <c r="A973" s="10">
        <f>IFERROR(__xludf.DUMMYFUNCTION("""COMPUTED_VALUE"""),72814.0)</f>
        <v>72814</v>
      </c>
      <c r="B973" s="11">
        <f>IFERROR(__xludf.DUMMYFUNCTION("""COMPUTED_VALUE"""),0.0)</f>
        <v>0</v>
      </c>
      <c r="C973" s="11">
        <f>IFERROR(__xludf.DUMMYFUNCTION("""COMPUTED_VALUE"""),862.0)</f>
        <v>862</v>
      </c>
      <c r="D973" s="11">
        <f>IFERROR(__xludf.DUMMYFUNCTION("""COMPUTED_VALUE"""),580.0)</f>
        <v>580</v>
      </c>
      <c r="E973" s="9"/>
    </row>
    <row r="974">
      <c r="A974" s="10">
        <f>IFERROR(__xludf.DUMMYFUNCTION("""COMPUTED_VALUE"""),122351.0)</f>
        <v>122351</v>
      </c>
      <c r="B974" s="11">
        <f>IFERROR(__xludf.DUMMYFUNCTION("""COMPUTED_VALUE"""),1.0)</f>
        <v>1</v>
      </c>
      <c r="C974" s="11">
        <f>IFERROR(__xludf.DUMMYFUNCTION("""COMPUTED_VALUE"""),218.0)</f>
        <v>218</v>
      </c>
      <c r="D974" s="11">
        <f>IFERROR(__xludf.DUMMYFUNCTION("""COMPUTED_VALUE"""),188.0)</f>
        <v>188</v>
      </c>
      <c r="E974" s="9"/>
    </row>
    <row r="975">
      <c r="A975" s="10">
        <f>IFERROR(__xludf.DUMMYFUNCTION("""COMPUTED_VALUE"""),99298.0)</f>
        <v>99298</v>
      </c>
      <c r="B975" s="11">
        <f>IFERROR(__xludf.DUMMYFUNCTION("""COMPUTED_VALUE"""),0.0)</f>
        <v>0</v>
      </c>
      <c r="C975" s="11">
        <f>IFERROR(__xludf.DUMMYFUNCTION("""COMPUTED_VALUE"""),680.0)</f>
        <v>680</v>
      </c>
      <c r="D975" s="11">
        <f>IFERROR(__xludf.DUMMYFUNCTION("""COMPUTED_VALUE"""),91.0)</f>
        <v>91</v>
      </c>
      <c r="E975" s="9"/>
    </row>
    <row r="976">
      <c r="A976" s="10">
        <f>IFERROR(__xludf.DUMMYFUNCTION("""COMPUTED_VALUE"""),3731.0)</f>
        <v>3731</v>
      </c>
      <c r="B976" s="11">
        <f>IFERROR(__xludf.DUMMYFUNCTION("""COMPUTED_VALUE"""),0.0)</f>
        <v>0</v>
      </c>
      <c r="C976" s="11">
        <f>IFERROR(__xludf.DUMMYFUNCTION("""COMPUTED_VALUE"""),608.0)</f>
        <v>608</v>
      </c>
      <c r="D976" s="11">
        <f>IFERROR(__xludf.DUMMYFUNCTION("""COMPUTED_VALUE"""),23.0)</f>
        <v>23</v>
      </c>
      <c r="E976" s="9"/>
    </row>
    <row r="977">
      <c r="A977" s="10">
        <f>IFERROR(__xludf.DUMMYFUNCTION("""COMPUTED_VALUE"""),11489.0)</f>
        <v>11489</v>
      </c>
      <c r="B977" s="11">
        <f>IFERROR(__xludf.DUMMYFUNCTION("""COMPUTED_VALUE"""),0.0)</f>
        <v>0</v>
      </c>
      <c r="C977" s="11">
        <f>IFERROR(__xludf.DUMMYFUNCTION("""COMPUTED_VALUE"""),397.0)</f>
        <v>397</v>
      </c>
      <c r="D977" s="11">
        <f>IFERROR(__xludf.DUMMYFUNCTION("""COMPUTED_VALUE"""),193.0)</f>
        <v>193</v>
      </c>
      <c r="E977" s="9"/>
    </row>
    <row r="978">
      <c r="A978" s="10">
        <f>IFERROR(__xludf.DUMMYFUNCTION("""COMPUTED_VALUE"""),122302.0)</f>
        <v>122302</v>
      </c>
      <c r="B978" s="11">
        <f>IFERROR(__xludf.DUMMYFUNCTION("""COMPUTED_VALUE"""),0.0)</f>
        <v>0</v>
      </c>
      <c r="C978" s="11">
        <f>IFERROR(__xludf.DUMMYFUNCTION("""COMPUTED_VALUE"""),57.0)</f>
        <v>57</v>
      </c>
      <c r="D978" s="11">
        <f>IFERROR(__xludf.DUMMYFUNCTION("""COMPUTED_VALUE"""),48.0)</f>
        <v>48</v>
      </c>
      <c r="E978" s="9"/>
    </row>
    <row r="979">
      <c r="A979" s="10">
        <f>IFERROR(__xludf.DUMMYFUNCTION("""COMPUTED_VALUE"""),28838.0)</f>
        <v>28838</v>
      </c>
      <c r="B979" s="11">
        <f>IFERROR(__xludf.DUMMYFUNCTION("""COMPUTED_VALUE"""),0.0)</f>
        <v>0</v>
      </c>
      <c r="C979" s="11">
        <f>IFERROR(__xludf.DUMMYFUNCTION("""COMPUTED_VALUE"""),413.0)</f>
        <v>413</v>
      </c>
      <c r="D979" s="11">
        <f>IFERROR(__xludf.DUMMYFUNCTION("""COMPUTED_VALUE"""),249.0)</f>
        <v>249</v>
      </c>
      <c r="E979" s="9"/>
    </row>
    <row r="980">
      <c r="A980" s="10">
        <f>IFERROR(__xludf.DUMMYFUNCTION("""COMPUTED_VALUE"""),72843.0)</f>
        <v>72843</v>
      </c>
      <c r="B980" s="11">
        <f>IFERROR(__xludf.DUMMYFUNCTION("""COMPUTED_VALUE"""),1.0)</f>
        <v>1</v>
      </c>
      <c r="C980" s="11">
        <f>IFERROR(__xludf.DUMMYFUNCTION("""COMPUTED_VALUE"""),964.0)</f>
        <v>964</v>
      </c>
      <c r="D980" s="11">
        <f>IFERROR(__xludf.DUMMYFUNCTION("""COMPUTED_VALUE"""),563.0)</f>
        <v>563</v>
      </c>
      <c r="E980" s="9"/>
    </row>
    <row r="981">
      <c r="A981" s="10">
        <f>IFERROR(__xludf.DUMMYFUNCTION("""COMPUTED_VALUE"""),80809.0)</f>
        <v>80809</v>
      </c>
      <c r="B981" s="11">
        <f>IFERROR(__xludf.DUMMYFUNCTION("""COMPUTED_VALUE"""),0.0)</f>
        <v>0</v>
      </c>
      <c r="C981" s="11">
        <f>IFERROR(__xludf.DUMMYFUNCTION("""COMPUTED_VALUE"""),541.0)</f>
        <v>541</v>
      </c>
      <c r="D981" s="11">
        <f>IFERROR(__xludf.DUMMYFUNCTION("""COMPUTED_VALUE"""),20.0)</f>
        <v>20</v>
      </c>
      <c r="E981" s="9"/>
    </row>
    <row r="982">
      <c r="A982" s="10">
        <f>IFERROR(__xludf.DUMMYFUNCTION("""COMPUTED_VALUE"""),127006.0)</f>
        <v>127006</v>
      </c>
      <c r="B982" s="11">
        <f>IFERROR(__xludf.DUMMYFUNCTION("""COMPUTED_VALUE"""),1.0)</f>
        <v>1</v>
      </c>
      <c r="C982" s="11">
        <f>IFERROR(__xludf.DUMMYFUNCTION("""COMPUTED_VALUE"""),611.0)</f>
        <v>611</v>
      </c>
      <c r="D982" s="11">
        <f>IFERROR(__xludf.DUMMYFUNCTION("""COMPUTED_VALUE"""),179.0)</f>
        <v>179</v>
      </c>
      <c r="E982" s="9"/>
    </row>
    <row r="983">
      <c r="A983" s="10">
        <f>IFERROR(__xludf.DUMMYFUNCTION("""COMPUTED_VALUE"""),82448.0)</f>
        <v>82448</v>
      </c>
      <c r="B983" s="11">
        <f>IFERROR(__xludf.DUMMYFUNCTION("""COMPUTED_VALUE"""),1.0)</f>
        <v>1</v>
      </c>
      <c r="C983" s="11">
        <f>IFERROR(__xludf.DUMMYFUNCTION("""COMPUTED_VALUE"""),909.0)</f>
        <v>909</v>
      </c>
      <c r="D983" s="11">
        <f>IFERROR(__xludf.DUMMYFUNCTION("""COMPUTED_VALUE"""),866.0)</f>
        <v>866</v>
      </c>
      <c r="E983" s="9"/>
    </row>
    <row r="984">
      <c r="A984" s="10">
        <f>IFERROR(__xludf.DUMMYFUNCTION("""COMPUTED_VALUE"""),13028.0)</f>
        <v>13028</v>
      </c>
      <c r="B984" s="11">
        <f>IFERROR(__xludf.DUMMYFUNCTION("""COMPUTED_VALUE"""),1.0)</f>
        <v>1</v>
      </c>
      <c r="C984" s="11">
        <f>IFERROR(__xludf.DUMMYFUNCTION("""COMPUTED_VALUE"""),836.0)</f>
        <v>836</v>
      </c>
      <c r="D984" s="11">
        <f>IFERROR(__xludf.DUMMYFUNCTION("""COMPUTED_VALUE"""),649.0)</f>
        <v>649</v>
      </c>
      <c r="E984" s="9"/>
    </row>
    <row r="985">
      <c r="A985" s="10">
        <f>IFERROR(__xludf.DUMMYFUNCTION("""COMPUTED_VALUE"""),118577.0)</f>
        <v>118577</v>
      </c>
      <c r="B985" s="11">
        <f>IFERROR(__xludf.DUMMYFUNCTION("""COMPUTED_VALUE"""),0.0)</f>
        <v>0</v>
      </c>
      <c r="C985" s="11">
        <f>IFERROR(__xludf.DUMMYFUNCTION("""COMPUTED_VALUE"""),963.0)</f>
        <v>963</v>
      </c>
      <c r="D985" s="11">
        <f>IFERROR(__xludf.DUMMYFUNCTION("""COMPUTED_VALUE"""),775.0)</f>
        <v>775</v>
      </c>
      <c r="E985" s="9"/>
    </row>
    <row r="986">
      <c r="A986" s="10">
        <f>IFERROR(__xludf.DUMMYFUNCTION("""COMPUTED_VALUE"""),117890.0)</f>
        <v>117890</v>
      </c>
      <c r="B986" s="11">
        <f>IFERROR(__xludf.DUMMYFUNCTION("""COMPUTED_VALUE"""),1.0)</f>
        <v>1</v>
      </c>
      <c r="C986" s="11">
        <f>IFERROR(__xludf.DUMMYFUNCTION("""COMPUTED_VALUE"""),449.0)</f>
        <v>449</v>
      </c>
      <c r="D986" s="11">
        <f>IFERROR(__xludf.DUMMYFUNCTION("""COMPUTED_VALUE"""),448.0)</f>
        <v>448</v>
      </c>
      <c r="E986" s="9"/>
    </row>
    <row r="987">
      <c r="A987" s="10">
        <f>IFERROR(__xludf.DUMMYFUNCTION("""COMPUTED_VALUE"""),118617.0)</f>
        <v>118617</v>
      </c>
      <c r="B987" s="11">
        <f>IFERROR(__xludf.DUMMYFUNCTION("""COMPUTED_VALUE"""),1.0)</f>
        <v>1</v>
      </c>
      <c r="C987" s="11">
        <f>IFERROR(__xludf.DUMMYFUNCTION("""COMPUTED_VALUE"""),377.0)</f>
        <v>377</v>
      </c>
      <c r="D987" s="11">
        <f>IFERROR(__xludf.DUMMYFUNCTION("""COMPUTED_VALUE"""),90.0)</f>
        <v>90</v>
      </c>
      <c r="E987" s="9"/>
    </row>
    <row r="988">
      <c r="A988" s="10">
        <f>IFERROR(__xludf.DUMMYFUNCTION("""COMPUTED_VALUE"""),109995.0)</f>
        <v>109995</v>
      </c>
      <c r="B988" s="11">
        <f>IFERROR(__xludf.DUMMYFUNCTION("""COMPUTED_VALUE"""),0.0)</f>
        <v>0</v>
      </c>
      <c r="C988" s="11">
        <f>IFERROR(__xludf.DUMMYFUNCTION("""COMPUTED_VALUE"""),413.0)</f>
        <v>413</v>
      </c>
      <c r="D988" s="11">
        <f>IFERROR(__xludf.DUMMYFUNCTION("""COMPUTED_VALUE"""),195.0)</f>
        <v>195</v>
      </c>
      <c r="E988" s="9"/>
    </row>
    <row r="989">
      <c r="A989" s="10">
        <f>IFERROR(__xludf.DUMMYFUNCTION("""COMPUTED_VALUE"""),109996.0)</f>
        <v>109996</v>
      </c>
      <c r="B989" s="11">
        <f>IFERROR(__xludf.DUMMYFUNCTION("""COMPUTED_VALUE"""),0.0)</f>
        <v>0</v>
      </c>
      <c r="C989" s="11">
        <f>IFERROR(__xludf.DUMMYFUNCTION("""COMPUTED_VALUE"""),0.0)</f>
        <v>0</v>
      </c>
      <c r="D989" s="11">
        <f>IFERROR(__xludf.DUMMYFUNCTION("""COMPUTED_VALUE"""),0.0)</f>
        <v>0</v>
      </c>
      <c r="E989" s="9"/>
    </row>
    <row r="990">
      <c r="A990" s="10">
        <f>IFERROR(__xludf.DUMMYFUNCTION("""COMPUTED_VALUE"""),49107.0)</f>
        <v>49107</v>
      </c>
      <c r="B990" s="11">
        <f>IFERROR(__xludf.DUMMYFUNCTION("""COMPUTED_VALUE"""),1.0)</f>
        <v>1</v>
      </c>
      <c r="C990" s="11">
        <f>IFERROR(__xludf.DUMMYFUNCTION("""COMPUTED_VALUE"""),832.0)</f>
        <v>832</v>
      </c>
      <c r="D990" s="11">
        <f>IFERROR(__xludf.DUMMYFUNCTION("""COMPUTED_VALUE"""),321.0)</f>
        <v>321</v>
      </c>
      <c r="E990" s="9"/>
    </row>
    <row r="991">
      <c r="A991" s="10">
        <f>IFERROR(__xludf.DUMMYFUNCTION("""COMPUTED_VALUE"""),29585.0)</f>
        <v>29585</v>
      </c>
      <c r="B991" s="11">
        <f>IFERROR(__xludf.DUMMYFUNCTION("""COMPUTED_VALUE"""),0.0)</f>
        <v>0</v>
      </c>
      <c r="C991" s="11">
        <f>IFERROR(__xludf.DUMMYFUNCTION("""COMPUTED_VALUE"""),111.0)</f>
        <v>111</v>
      </c>
      <c r="D991" s="11">
        <f>IFERROR(__xludf.DUMMYFUNCTION("""COMPUTED_VALUE"""),108.0)</f>
        <v>108</v>
      </c>
      <c r="E991" s="9"/>
    </row>
    <row r="992">
      <c r="A992" s="10">
        <f>IFERROR(__xludf.DUMMYFUNCTION("""COMPUTED_VALUE"""),111677.0)</f>
        <v>111677</v>
      </c>
      <c r="B992" s="11">
        <f>IFERROR(__xludf.DUMMYFUNCTION("""COMPUTED_VALUE"""),1.0)</f>
        <v>1</v>
      </c>
      <c r="C992" s="11">
        <f>IFERROR(__xludf.DUMMYFUNCTION("""COMPUTED_VALUE"""),318.0)</f>
        <v>318</v>
      </c>
      <c r="D992" s="11">
        <f>IFERROR(__xludf.DUMMYFUNCTION("""COMPUTED_VALUE"""),173.0)</f>
        <v>173</v>
      </c>
      <c r="E992" s="9"/>
    </row>
    <row r="993">
      <c r="A993" s="10">
        <f>IFERROR(__xludf.DUMMYFUNCTION("""COMPUTED_VALUE"""),93102.0)</f>
        <v>93102</v>
      </c>
      <c r="B993" s="11">
        <f>IFERROR(__xludf.DUMMYFUNCTION("""COMPUTED_VALUE"""),1.0)</f>
        <v>1</v>
      </c>
      <c r="C993" s="11">
        <f>IFERROR(__xludf.DUMMYFUNCTION("""COMPUTED_VALUE"""),296.0)</f>
        <v>296</v>
      </c>
      <c r="D993" s="11">
        <f>IFERROR(__xludf.DUMMYFUNCTION("""COMPUTED_VALUE"""),141.0)</f>
        <v>141</v>
      </c>
      <c r="E993" s="9"/>
    </row>
    <row r="994">
      <c r="A994" s="10">
        <f>IFERROR(__xludf.DUMMYFUNCTION("""COMPUTED_VALUE"""),30712.0)</f>
        <v>30712</v>
      </c>
      <c r="B994" s="11">
        <f>IFERROR(__xludf.DUMMYFUNCTION("""COMPUTED_VALUE"""),0.0)</f>
        <v>0</v>
      </c>
      <c r="C994" s="11">
        <f>IFERROR(__xludf.DUMMYFUNCTION("""COMPUTED_VALUE"""),541.0)</f>
        <v>541</v>
      </c>
      <c r="D994" s="11">
        <f>IFERROR(__xludf.DUMMYFUNCTION("""COMPUTED_VALUE"""),17.0)</f>
        <v>17</v>
      </c>
      <c r="E994" s="9"/>
    </row>
    <row r="995">
      <c r="A995" s="10">
        <f>IFERROR(__xludf.DUMMYFUNCTION("""COMPUTED_VALUE"""),89128.0)</f>
        <v>89128</v>
      </c>
      <c r="B995" s="11">
        <f>IFERROR(__xludf.DUMMYFUNCTION("""COMPUTED_VALUE"""),1.0)</f>
        <v>1</v>
      </c>
      <c r="C995" s="11">
        <f>IFERROR(__xludf.DUMMYFUNCTION("""COMPUTED_VALUE"""),921.0)</f>
        <v>921</v>
      </c>
      <c r="D995" s="11">
        <f>IFERROR(__xludf.DUMMYFUNCTION("""COMPUTED_VALUE"""),736.0)</f>
        <v>736</v>
      </c>
      <c r="E995" s="9"/>
    </row>
    <row r="996">
      <c r="A996" s="10">
        <f>IFERROR(__xludf.DUMMYFUNCTION("""COMPUTED_VALUE"""),29587.0)</f>
        <v>29587</v>
      </c>
      <c r="B996" s="11">
        <f>IFERROR(__xludf.DUMMYFUNCTION("""COMPUTED_VALUE"""),1.0)</f>
        <v>1</v>
      </c>
      <c r="C996" s="11">
        <f>IFERROR(__xludf.DUMMYFUNCTION("""COMPUTED_VALUE"""),542.0)</f>
        <v>542</v>
      </c>
      <c r="D996" s="11">
        <f>IFERROR(__xludf.DUMMYFUNCTION("""COMPUTED_VALUE"""),404.0)</f>
        <v>404</v>
      </c>
      <c r="E996" s="9"/>
    </row>
    <row r="997">
      <c r="A997" s="10">
        <f>IFERROR(__xludf.DUMMYFUNCTION("""COMPUTED_VALUE"""),30711.0)</f>
        <v>30711</v>
      </c>
      <c r="B997" s="11">
        <f>IFERROR(__xludf.DUMMYFUNCTION("""COMPUTED_VALUE"""),0.0)</f>
        <v>0</v>
      </c>
      <c r="C997" s="11">
        <f>IFERROR(__xludf.DUMMYFUNCTION("""COMPUTED_VALUE"""),701.0)</f>
        <v>701</v>
      </c>
      <c r="D997" s="11">
        <f>IFERROR(__xludf.DUMMYFUNCTION("""COMPUTED_VALUE"""),334.0)</f>
        <v>334</v>
      </c>
      <c r="E997" s="9"/>
    </row>
    <row r="998">
      <c r="A998" s="10">
        <f>IFERROR(__xludf.DUMMYFUNCTION("""COMPUTED_VALUE"""),45306.0)</f>
        <v>45306</v>
      </c>
      <c r="B998" s="11">
        <f>IFERROR(__xludf.DUMMYFUNCTION("""COMPUTED_VALUE"""),1.0)</f>
        <v>1</v>
      </c>
      <c r="C998" s="11">
        <f>IFERROR(__xludf.DUMMYFUNCTION("""COMPUTED_VALUE"""),112.0)</f>
        <v>112</v>
      </c>
      <c r="D998" s="11">
        <f>IFERROR(__xludf.DUMMYFUNCTION("""COMPUTED_VALUE"""),17.0)</f>
        <v>17</v>
      </c>
      <c r="E998" s="9"/>
    </row>
    <row r="999">
      <c r="A999" s="10">
        <f>IFERROR(__xludf.DUMMYFUNCTION("""COMPUTED_VALUE"""),120803.0)</f>
        <v>120803</v>
      </c>
      <c r="B999" s="11">
        <f>IFERROR(__xludf.DUMMYFUNCTION("""COMPUTED_VALUE"""),0.0)</f>
        <v>0</v>
      </c>
      <c r="C999" s="11">
        <f>IFERROR(__xludf.DUMMYFUNCTION("""COMPUTED_VALUE"""),162.0)</f>
        <v>162</v>
      </c>
      <c r="D999" s="11">
        <f>IFERROR(__xludf.DUMMYFUNCTION("""COMPUTED_VALUE"""),37.0)</f>
        <v>37</v>
      </c>
      <c r="E999" s="9"/>
    </row>
    <row r="1000">
      <c r="A1000" s="10">
        <f>IFERROR(__xludf.DUMMYFUNCTION("""COMPUTED_VALUE"""),108004.0)</f>
        <v>108004</v>
      </c>
      <c r="B1000" s="11">
        <f>IFERROR(__xludf.DUMMYFUNCTION("""COMPUTED_VALUE"""),0.0)</f>
        <v>0</v>
      </c>
      <c r="C1000" s="11">
        <f>IFERROR(__xludf.DUMMYFUNCTION("""COMPUTED_VALUE"""),27.0)</f>
        <v>27</v>
      </c>
      <c r="D1000" s="11">
        <f>IFERROR(__xludf.DUMMYFUNCTION("""COMPUTED_VALUE"""),24.0)</f>
        <v>24</v>
      </c>
      <c r="E1000" s="9"/>
    </row>
    <row r="1001">
      <c r="A1001" s="10">
        <f>IFERROR(__xludf.DUMMYFUNCTION("""COMPUTED_VALUE"""),92205.0)</f>
        <v>92205</v>
      </c>
      <c r="B1001" s="11">
        <f>IFERROR(__xludf.DUMMYFUNCTION("""COMPUTED_VALUE"""),1.0)</f>
        <v>1</v>
      </c>
      <c r="C1001" s="11">
        <f>IFERROR(__xludf.DUMMYFUNCTION("""COMPUTED_VALUE"""),731.0)</f>
        <v>731</v>
      </c>
      <c r="D1001" s="11">
        <f>IFERROR(__xludf.DUMMYFUNCTION("""COMPUTED_VALUE"""),225.0)</f>
        <v>225</v>
      </c>
      <c r="E1001" s="9"/>
    </row>
    <row r="1002">
      <c r="A1002" s="10">
        <f>IFERROR(__xludf.DUMMYFUNCTION("""COMPUTED_VALUE"""),119509.0)</f>
        <v>119509</v>
      </c>
      <c r="B1002" s="11">
        <f>IFERROR(__xludf.DUMMYFUNCTION("""COMPUTED_VALUE"""),1.0)</f>
        <v>1</v>
      </c>
      <c r="C1002" s="11">
        <f>IFERROR(__xludf.DUMMYFUNCTION("""COMPUTED_VALUE"""),242.0)</f>
        <v>242</v>
      </c>
      <c r="D1002" s="11">
        <f>IFERROR(__xludf.DUMMYFUNCTION("""COMPUTED_VALUE"""),57.0)</f>
        <v>57</v>
      </c>
      <c r="E1002" s="9"/>
    </row>
    <row r="1003">
      <c r="A1003" s="10">
        <f>IFERROR(__xludf.DUMMYFUNCTION("""COMPUTED_VALUE"""),109056.0)</f>
        <v>109056</v>
      </c>
      <c r="B1003" s="11">
        <f>IFERROR(__xludf.DUMMYFUNCTION("""COMPUTED_VALUE"""),1.0)</f>
        <v>1</v>
      </c>
      <c r="C1003" s="11">
        <f>IFERROR(__xludf.DUMMYFUNCTION("""COMPUTED_VALUE"""),803.0)</f>
        <v>803</v>
      </c>
      <c r="D1003" s="11">
        <f>IFERROR(__xludf.DUMMYFUNCTION("""COMPUTED_VALUE"""),500.0)</f>
        <v>500</v>
      </c>
      <c r="E1003" s="9"/>
    </row>
    <row r="1004">
      <c r="A1004" s="10">
        <f>IFERROR(__xludf.DUMMYFUNCTION("""COMPUTED_VALUE"""),45305.0)</f>
        <v>45305</v>
      </c>
      <c r="B1004" s="11">
        <f>IFERROR(__xludf.DUMMYFUNCTION("""COMPUTED_VALUE"""),0.0)</f>
        <v>0</v>
      </c>
      <c r="C1004" s="11">
        <f>IFERROR(__xludf.DUMMYFUNCTION("""COMPUTED_VALUE"""),195.0)</f>
        <v>195</v>
      </c>
      <c r="D1004" s="11">
        <f>IFERROR(__xludf.DUMMYFUNCTION("""COMPUTED_VALUE"""),139.0)</f>
        <v>139</v>
      </c>
      <c r="E1004" s="9"/>
    </row>
    <row r="1005">
      <c r="A1005" s="10">
        <f>IFERROR(__xludf.DUMMYFUNCTION("""COMPUTED_VALUE"""),29582.0)</f>
        <v>29582</v>
      </c>
      <c r="B1005" s="11">
        <f>IFERROR(__xludf.DUMMYFUNCTION("""COMPUTED_VALUE"""),1.0)</f>
        <v>1</v>
      </c>
      <c r="C1005" s="11">
        <f>IFERROR(__xludf.DUMMYFUNCTION("""COMPUTED_VALUE"""),135.0)</f>
        <v>135</v>
      </c>
      <c r="D1005" s="11">
        <f>IFERROR(__xludf.DUMMYFUNCTION("""COMPUTED_VALUE"""),44.0)</f>
        <v>44</v>
      </c>
      <c r="E1005" s="9"/>
    </row>
    <row r="1006">
      <c r="A1006" s="10">
        <f>IFERROR(__xludf.DUMMYFUNCTION("""COMPUTED_VALUE"""),111676.0)</f>
        <v>111676</v>
      </c>
      <c r="B1006" s="11">
        <f>IFERROR(__xludf.DUMMYFUNCTION("""COMPUTED_VALUE"""),1.0)</f>
        <v>1</v>
      </c>
      <c r="C1006" s="11">
        <f>IFERROR(__xludf.DUMMYFUNCTION("""COMPUTED_VALUE"""),766.0)</f>
        <v>766</v>
      </c>
      <c r="D1006" s="11">
        <f>IFERROR(__xludf.DUMMYFUNCTION("""COMPUTED_VALUE"""),638.0)</f>
        <v>638</v>
      </c>
      <c r="E1006" s="9"/>
    </row>
    <row r="1007">
      <c r="A1007" s="10">
        <f>IFERROR(__xludf.DUMMYFUNCTION("""COMPUTED_VALUE"""),30578.0)</f>
        <v>30578</v>
      </c>
      <c r="B1007" s="11">
        <f>IFERROR(__xludf.DUMMYFUNCTION("""COMPUTED_VALUE"""),0.0)</f>
        <v>0</v>
      </c>
      <c r="C1007" s="11">
        <f>IFERROR(__xludf.DUMMYFUNCTION("""COMPUTED_VALUE"""),267.0)</f>
        <v>267</v>
      </c>
      <c r="D1007" s="11">
        <f>IFERROR(__xludf.DUMMYFUNCTION("""COMPUTED_VALUE"""),149.0)</f>
        <v>149</v>
      </c>
      <c r="E1007" s="9"/>
    </row>
    <row r="1008">
      <c r="A1008" s="10">
        <f>IFERROR(__xludf.DUMMYFUNCTION("""COMPUTED_VALUE"""),93095.0)</f>
        <v>93095</v>
      </c>
      <c r="B1008" s="11">
        <f>IFERROR(__xludf.DUMMYFUNCTION("""COMPUTED_VALUE"""),1.0)</f>
        <v>1</v>
      </c>
      <c r="C1008" s="11">
        <f>IFERROR(__xludf.DUMMYFUNCTION("""COMPUTED_VALUE"""),231.0)</f>
        <v>231</v>
      </c>
      <c r="D1008" s="11">
        <f>IFERROR(__xludf.DUMMYFUNCTION("""COMPUTED_VALUE"""),131.0)</f>
        <v>131</v>
      </c>
      <c r="E1008" s="9"/>
    </row>
    <row r="1009">
      <c r="A1009" s="10">
        <f>IFERROR(__xludf.DUMMYFUNCTION("""COMPUTED_VALUE"""),70036.0)</f>
        <v>70036</v>
      </c>
      <c r="B1009" s="11">
        <f>IFERROR(__xludf.DUMMYFUNCTION("""COMPUTED_VALUE"""),0.0)</f>
        <v>0</v>
      </c>
      <c r="C1009" s="11">
        <f>IFERROR(__xludf.DUMMYFUNCTION("""COMPUTED_VALUE"""),454.0)</f>
        <v>454</v>
      </c>
      <c r="D1009" s="11">
        <f>IFERROR(__xludf.DUMMYFUNCTION("""COMPUTED_VALUE"""),317.0)</f>
        <v>317</v>
      </c>
      <c r="E1009" s="9"/>
    </row>
    <row r="1010">
      <c r="A1010" s="10">
        <f>IFERROR(__xludf.DUMMYFUNCTION("""COMPUTED_VALUE"""),90498.0)</f>
        <v>90498</v>
      </c>
      <c r="B1010" s="11">
        <f>IFERROR(__xludf.DUMMYFUNCTION("""COMPUTED_VALUE"""),0.0)</f>
        <v>0</v>
      </c>
      <c r="C1010" s="11">
        <f>IFERROR(__xludf.DUMMYFUNCTION("""COMPUTED_VALUE"""),371.0)</f>
        <v>371</v>
      </c>
      <c r="D1010" s="11">
        <f>IFERROR(__xludf.DUMMYFUNCTION("""COMPUTED_VALUE"""),266.0)</f>
        <v>266</v>
      </c>
      <c r="E1010" s="9"/>
    </row>
    <row r="1011">
      <c r="A1011" s="10">
        <f>IFERROR(__xludf.DUMMYFUNCTION("""COMPUTED_VALUE"""),89127.0)</f>
        <v>89127</v>
      </c>
      <c r="B1011" s="11">
        <f>IFERROR(__xludf.DUMMYFUNCTION("""COMPUTED_VALUE"""),1.0)</f>
        <v>1</v>
      </c>
      <c r="C1011" s="11">
        <f>IFERROR(__xludf.DUMMYFUNCTION("""COMPUTED_VALUE"""),752.0)</f>
        <v>752</v>
      </c>
      <c r="D1011" s="11">
        <f>IFERROR(__xludf.DUMMYFUNCTION("""COMPUTED_VALUE"""),350.0)</f>
        <v>350</v>
      </c>
      <c r="E1011" s="9"/>
    </row>
    <row r="1012">
      <c r="A1012" s="10">
        <f>IFERROR(__xludf.DUMMYFUNCTION("""COMPUTED_VALUE"""),75215.0)</f>
        <v>75215</v>
      </c>
      <c r="B1012" s="11">
        <f>IFERROR(__xludf.DUMMYFUNCTION("""COMPUTED_VALUE"""),0.0)</f>
        <v>0</v>
      </c>
      <c r="C1012" s="11">
        <f>IFERROR(__xludf.DUMMYFUNCTION("""COMPUTED_VALUE"""),758.0)</f>
        <v>758</v>
      </c>
      <c r="D1012" s="11">
        <f>IFERROR(__xludf.DUMMYFUNCTION("""COMPUTED_VALUE"""),126.0)</f>
        <v>126</v>
      </c>
      <c r="E1012" s="9"/>
    </row>
    <row r="1013">
      <c r="A1013" s="10">
        <f>IFERROR(__xludf.DUMMYFUNCTION("""COMPUTED_VALUE"""),119566.0)</f>
        <v>119566</v>
      </c>
      <c r="B1013" s="11">
        <f>IFERROR(__xludf.DUMMYFUNCTION("""COMPUTED_VALUE"""),0.0)</f>
        <v>0</v>
      </c>
      <c r="C1013" s="11">
        <f>IFERROR(__xludf.DUMMYFUNCTION("""COMPUTED_VALUE"""),939.0)</f>
        <v>939</v>
      </c>
      <c r="D1013" s="11">
        <f>IFERROR(__xludf.DUMMYFUNCTION("""COMPUTED_VALUE"""),505.0)</f>
        <v>505</v>
      </c>
      <c r="E1013" s="9"/>
    </row>
    <row r="1014">
      <c r="A1014" s="10">
        <f>IFERROR(__xludf.DUMMYFUNCTION("""COMPUTED_VALUE"""),92208.0)</f>
        <v>92208</v>
      </c>
      <c r="B1014" s="11">
        <f>IFERROR(__xludf.DUMMYFUNCTION("""COMPUTED_VALUE"""),0.0)</f>
        <v>0</v>
      </c>
      <c r="C1014" s="11">
        <f>IFERROR(__xludf.DUMMYFUNCTION("""COMPUTED_VALUE"""),535.0)</f>
        <v>535</v>
      </c>
      <c r="D1014" s="11">
        <f>IFERROR(__xludf.DUMMYFUNCTION("""COMPUTED_VALUE"""),212.0)</f>
        <v>212</v>
      </c>
      <c r="E1014" s="9"/>
    </row>
    <row r="1015">
      <c r="A1015" s="10">
        <f>IFERROR(__xludf.DUMMYFUNCTION("""COMPUTED_VALUE"""),119579.0)</f>
        <v>119579</v>
      </c>
      <c r="B1015" s="11">
        <f>IFERROR(__xludf.DUMMYFUNCTION("""COMPUTED_VALUE"""),0.0)</f>
        <v>0</v>
      </c>
      <c r="C1015" s="11">
        <f>IFERROR(__xludf.DUMMYFUNCTION("""COMPUTED_VALUE"""),606.0)</f>
        <v>606</v>
      </c>
      <c r="D1015" s="11">
        <f>IFERROR(__xludf.DUMMYFUNCTION("""COMPUTED_VALUE"""),29.0)</f>
        <v>29</v>
      </c>
      <c r="E1015" s="9"/>
    </row>
    <row r="1016">
      <c r="A1016" s="10">
        <f>IFERROR(__xludf.DUMMYFUNCTION("""COMPUTED_VALUE"""),45309.0)</f>
        <v>45309</v>
      </c>
      <c r="B1016" s="11">
        <f>IFERROR(__xludf.DUMMYFUNCTION("""COMPUTED_VALUE"""),1.0)</f>
        <v>1</v>
      </c>
      <c r="C1016" s="11">
        <f>IFERROR(__xludf.DUMMYFUNCTION("""COMPUTED_VALUE"""),734.0)</f>
        <v>734</v>
      </c>
      <c r="D1016" s="11">
        <f>IFERROR(__xludf.DUMMYFUNCTION("""COMPUTED_VALUE"""),611.0)</f>
        <v>611</v>
      </c>
      <c r="E1016" s="9"/>
    </row>
    <row r="1017">
      <c r="A1017" s="10">
        <f>IFERROR(__xludf.DUMMYFUNCTION("""COMPUTED_VALUE"""),30743.0)</f>
        <v>30743</v>
      </c>
      <c r="B1017" s="11">
        <f>IFERROR(__xludf.DUMMYFUNCTION("""COMPUTED_VALUE"""),0.0)</f>
        <v>0</v>
      </c>
      <c r="C1017" s="11">
        <f>IFERROR(__xludf.DUMMYFUNCTION("""COMPUTED_VALUE"""),444.0)</f>
        <v>444</v>
      </c>
      <c r="D1017" s="11">
        <f>IFERROR(__xludf.DUMMYFUNCTION("""COMPUTED_VALUE"""),45.0)</f>
        <v>45</v>
      </c>
      <c r="E1017" s="9"/>
    </row>
    <row r="1018">
      <c r="A1018" s="10">
        <f>IFERROR(__xludf.DUMMYFUNCTION("""COMPUTED_VALUE"""),49108.0)</f>
        <v>49108</v>
      </c>
      <c r="B1018" s="11">
        <f>IFERROR(__xludf.DUMMYFUNCTION("""COMPUTED_VALUE"""),0.0)</f>
        <v>0</v>
      </c>
      <c r="C1018" s="11">
        <f>IFERROR(__xludf.DUMMYFUNCTION("""COMPUTED_VALUE"""),463.0)</f>
        <v>463</v>
      </c>
      <c r="D1018" s="11">
        <f>IFERROR(__xludf.DUMMYFUNCTION("""COMPUTED_VALUE"""),196.0)</f>
        <v>196</v>
      </c>
      <c r="E1018" s="9"/>
    </row>
    <row r="1019">
      <c r="A1019" s="10">
        <f>IFERROR(__xludf.DUMMYFUNCTION("""COMPUTED_VALUE"""),29584.0)</f>
        <v>29584</v>
      </c>
      <c r="B1019" s="11">
        <f>IFERROR(__xludf.DUMMYFUNCTION("""COMPUTED_VALUE"""),0.0)</f>
        <v>0</v>
      </c>
      <c r="C1019" s="11">
        <f>IFERROR(__xludf.DUMMYFUNCTION("""COMPUTED_VALUE"""),86.0)</f>
        <v>86</v>
      </c>
      <c r="D1019" s="11">
        <f>IFERROR(__xludf.DUMMYFUNCTION("""COMPUTED_VALUE"""),14.0)</f>
        <v>14</v>
      </c>
      <c r="E1019" s="9"/>
    </row>
    <row r="1020">
      <c r="A1020" s="10">
        <f>IFERROR(__xludf.DUMMYFUNCTION("""COMPUTED_VALUE"""),119501.0)</f>
        <v>119501</v>
      </c>
      <c r="B1020" s="11">
        <f>IFERROR(__xludf.DUMMYFUNCTION("""COMPUTED_VALUE"""),1.0)</f>
        <v>1</v>
      </c>
      <c r="C1020" s="11">
        <f>IFERROR(__xludf.DUMMYFUNCTION("""COMPUTED_VALUE"""),500.0)</f>
        <v>500</v>
      </c>
      <c r="D1020" s="11">
        <f>IFERROR(__xludf.DUMMYFUNCTION("""COMPUTED_VALUE"""),437.0)</f>
        <v>437</v>
      </c>
      <c r="E1020" s="9"/>
    </row>
    <row r="1021">
      <c r="A1021" s="10">
        <f>IFERROR(__xludf.DUMMYFUNCTION("""COMPUTED_VALUE"""),30504.0)</f>
        <v>30504</v>
      </c>
      <c r="B1021" s="11">
        <f>IFERROR(__xludf.DUMMYFUNCTION("""COMPUTED_VALUE"""),0.0)</f>
        <v>0</v>
      </c>
      <c r="C1021" s="11">
        <f>IFERROR(__xludf.DUMMYFUNCTION("""COMPUTED_VALUE"""),238.0)</f>
        <v>238</v>
      </c>
      <c r="D1021" s="11">
        <f>IFERROR(__xludf.DUMMYFUNCTION("""COMPUTED_VALUE"""),172.0)</f>
        <v>172</v>
      </c>
      <c r="E1021" s="9"/>
    </row>
    <row r="1022">
      <c r="A1022" s="10">
        <f>IFERROR(__xludf.DUMMYFUNCTION("""COMPUTED_VALUE"""),93101.0)</f>
        <v>93101</v>
      </c>
      <c r="B1022" s="11">
        <f>IFERROR(__xludf.DUMMYFUNCTION("""COMPUTED_VALUE"""),1.0)</f>
        <v>1</v>
      </c>
      <c r="C1022" s="11">
        <f>IFERROR(__xludf.DUMMYFUNCTION("""COMPUTED_VALUE"""),852.0)</f>
        <v>852</v>
      </c>
      <c r="D1022" s="11">
        <f>IFERROR(__xludf.DUMMYFUNCTION("""COMPUTED_VALUE"""),641.0)</f>
        <v>641</v>
      </c>
      <c r="E1022" s="9"/>
    </row>
    <row r="1023">
      <c r="A1023" s="10">
        <f>IFERROR(__xludf.DUMMYFUNCTION("""COMPUTED_VALUE"""),30749.0)</f>
        <v>30749</v>
      </c>
      <c r="B1023" s="11">
        <f>IFERROR(__xludf.DUMMYFUNCTION("""COMPUTED_VALUE"""),0.0)</f>
        <v>0</v>
      </c>
      <c r="C1023" s="11">
        <f>IFERROR(__xludf.DUMMYFUNCTION("""COMPUTED_VALUE"""),2.0)</f>
        <v>2</v>
      </c>
      <c r="D1023" s="11">
        <f>IFERROR(__xludf.DUMMYFUNCTION("""COMPUTED_VALUE"""),0.0)</f>
        <v>0</v>
      </c>
      <c r="E1023" s="9"/>
    </row>
    <row r="1024">
      <c r="A1024" s="10">
        <f>IFERROR(__xludf.DUMMYFUNCTION("""COMPUTED_VALUE"""),120813.0)</f>
        <v>120813</v>
      </c>
      <c r="B1024" s="11">
        <f>IFERROR(__xludf.DUMMYFUNCTION("""COMPUTED_VALUE"""),1.0)</f>
        <v>1</v>
      </c>
      <c r="C1024" s="11">
        <f>IFERROR(__xludf.DUMMYFUNCTION("""COMPUTED_VALUE"""),283.0)</f>
        <v>283</v>
      </c>
      <c r="D1024" s="11">
        <f>IFERROR(__xludf.DUMMYFUNCTION("""COMPUTED_VALUE"""),28.0)</f>
        <v>28</v>
      </c>
      <c r="E1024" s="9"/>
    </row>
    <row r="1025">
      <c r="A1025" s="10">
        <f>IFERROR(__xludf.DUMMYFUNCTION("""COMPUTED_VALUE"""),29590.0)</f>
        <v>29590</v>
      </c>
      <c r="B1025" s="11">
        <f>IFERROR(__xludf.DUMMYFUNCTION("""COMPUTED_VALUE"""),1.0)</f>
        <v>1</v>
      </c>
      <c r="C1025" s="11">
        <f>IFERROR(__xludf.DUMMYFUNCTION("""COMPUTED_VALUE"""),176.0)</f>
        <v>176</v>
      </c>
      <c r="D1025" s="11">
        <f>IFERROR(__xludf.DUMMYFUNCTION("""COMPUTED_VALUE"""),133.0)</f>
        <v>133</v>
      </c>
      <c r="E1025" s="9"/>
    </row>
    <row r="1026">
      <c r="A1026" s="10">
        <f>IFERROR(__xludf.DUMMYFUNCTION("""COMPUTED_VALUE"""),118662.0)</f>
        <v>118662</v>
      </c>
      <c r="B1026" s="11">
        <f>IFERROR(__xludf.DUMMYFUNCTION("""COMPUTED_VALUE"""),0.0)</f>
        <v>0</v>
      </c>
      <c r="C1026" s="11">
        <f>IFERROR(__xludf.DUMMYFUNCTION("""COMPUTED_VALUE"""),313.0)</f>
        <v>313</v>
      </c>
      <c r="D1026" s="11">
        <f>IFERROR(__xludf.DUMMYFUNCTION("""COMPUTED_VALUE"""),192.0)</f>
        <v>192</v>
      </c>
      <c r="E1026" s="9"/>
    </row>
    <row r="1027">
      <c r="A1027" s="10">
        <f>IFERROR(__xludf.DUMMYFUNCTION("""COMPUTED_VALUE"""),30478.0)</f>
        <v>30478</v>
      </c>
      <c r="B1027" s="11">
        <f>IFERROR(__xludf.DUMMYFUNCTION("""COMPUTED_VALUE"""),0.0)</f>
        <v>0</v>
      </c>
      <c r="C1027" s="11">
        <f>IFERROR(__xludf.DUMMYFUNCTION("""COMPUTED_VALUE"""),201.0)</f>
        <v>201</v>
      </c>
      <c r="D1027" s="11">
        <f>IFERROR(__xludf.DUMMYFUNCTION("""COMPUTED_VALUE"""),1.0)</f>
        <v>1</v>
      </c>
      <c r="E1027" s="9"/>
    </row>
    <row r="1028">
      <c r="A1028" s="10">
        <f>IFERROR(__xludf.DUMMYFUNCTION("""COMPUTED_VALUE"""),90475.0)</f>
        <v>90475</v>
      </c>
      <c r="B1028" s="11">
        <f>IFERROR(__xludf.DUMMYFUNCTION("""COMPUTED_VALUE"""),0.0)</f>
        <v>0</v>
      </c>
      <c r="C1028" s="11">
        <f>IFERROR(__xludf.DUMMYFUNCTION("""COMPUTED_VALUE"""),99.0)</f>
        <v>99</v>
      </c>
      <c r="D1028" s="11">
        <f>IFERROR(__xludf.DUMMYFUNCTION("""COMPUTED_VALUE"""),2.0)</f>
        <v>2</v>
      </c>
      <c r="E1028" s="9"/>
    </row>
    <row r="1029">
      <c r="A1029" s="10">
        <f>IFERROR(__xludf.DUMMYFUNCTION("""COMPUTED_VALUE"""),29530.0)</f>
        <v>29530</v>
      </c>
      <c r="B1029" s="11">
        <f>IFERROR(__xludf.DUMMYFUNCTION("""COMPUTED_VALUE"""),0.0)</f>
        <v>0</v>
      </c>
      <c r="C1029" s="11">
        <f>IFERROR(__xludf.DUMMYFUNCTION("""COMPUTED_VALUE"""),111.0)</f>
        <v>111</v>
      </c>
      <c r="D1029" s="11">
        <f>IFERROR(__xludf.DUMMYFUNCTION("""COMPUTED_VALUE"""),64.0)</f>
        <v>64</v>
      </c>
      <c r="E1029" s="9"/>
    </row>
    <row r="1030">
      <c r="A1030" s="10">
        <f>IFERROR(__xludf.DUMMYFUNCTION("""COMPUTED_VALUE"""),81528.0)</f>
        <v>81528</v>
      </c>
      <c r="B1030" s="11">
        <f>IFERROR(__xludf.DUMMYFUNCTION("""COMPUTED_VALUE"""),1.0)</f>
        <v>1</v>
      </c>
      <c r="C1030" s="11">
        <f>IFERROR(__xludf.DUMMYFUNCTION("""COMPUTED_VALUE"""),569.0)</f>
        <v>569</v>
      </c>
      <c r="D1030" s="11">
        <f>IFERROR(__xludf.DUMMYFUNCTION("""COMPUTED_VALUE"""),502.0)</f>
        <v>502</v>
      </c>
      <c r="E1030" s="9"/>
    </row>
    <row r="1031">
      <c r="A1031" s="10">
        <f>IFERROR(__xludf.DUMMYFUNCTION("""COMPUTED_VALUE"""),100436.0)</f>
        <v>100436</v>
      </c>
      <c r="B1031" s="11">
        <f>IFERROR(__xludf.DUMMYFUNCTION("""COMPUTED_VALUE"""),1.0)</f>
        <v>1</v>
      </c>
      <c r="C1031" s="11">
        <f>IFERROR(__xludf.DUMMYFUNCTION("""COMPUTED_VALUE"""),831.0)</f>
        <v>831</v>
      </c>
      <c r="D1031" s="11">
        <f>IFERROR(__xludf.DUMMYFUNCTION("""COMPUTED_VALUE"""),10.0)</f>
        <v>10</v>
      </c>
      <c r="E1031" s="9"/>
    </row>
    <row r="1032">
      <c r="A1032" s="10">
        <f>IFERROR(__xludf.DUMMYFUNCTION("""COMPUTED_VALUE"""),29499.0)</f>
        <v>29499</v>
      </c>
      <c r="B1032" s="11">
        <f>IFERROR(__xludf.DUMMYFUNCTION("""COMPUTED_VALUE"""),0.0)</f>
        <v>0</v>
      </c>
      <c r="C1032" s="11">
        <f>IFERROR(__xludf.DUMMYFUNCTION("""COMPUTED_VALUE"""),331.0)</f>
        <v>331</v>
      </c>
      <c r="D1032" s="11">
        <f>IFERROR(__xludf.DUMMYFUNCTION("""COMPUTED_VALUE"""),18.0)</f>
        <v>18</v>
      </c>
      <c r="E1032" s="9"/>
    </row>
    <row r="1033">
      <c r="A1033" s="10">
        <f>IFERROR(__xludf.DUMMYFUNCTION("""COMPUTED_VALUE"""),30683.0)</f>
        <v>30683</v>
      </c>
      <c r="B1033" s="11">
        <f>IFERROR(__xludf.DUMMYFUNCTION("""COMPUTED_VALUE"""),1.0)</f>
        <v>1</v>
      </c>
      <c r="C1033" s="11">
        <f>IFERROR(__xludf.DUMMYFUNCTION("""COMPUTED_VALUE"""),24.0)</f>
        <v>24</v>
      </c>
      <c r="D1033" s="11">
        <f>IFERROR(__xludf.DUMMYFUNCTION("""COMPUTED_VALUE"""),15.0)</f>
        <v>15</v>
      </c>
      <c r="E1033" s="9"/>
    </row>
    <row r="1034">
      <c r="A1034" s="10">
        <f>IFERROR(__xludf.DUMMYFUNCTION("""COMPUTED_VALUE"""),69906.0)</f>
        <v>69906</v>
      </c>
      <c r="B1034" s="11">
        <f>IFERROR(__xludf.DUMMYFUNCTION("""COMPUTED_VALUE"""),0.0)</f>
        <v>0</v>
      </c>
      <c r="C1034" s="11">
        <f>IFERROR(__xludf.DUMMYFUNCTION("""COMPUTED_VALUE"""),906.0)</f>
        <v>906</v>
      </c>
      <c r="D1034" s="11">
        <f>IFERROR(__xludf.DUMMYFUNCTION("""COMPUTED_VALUE"""),878.0)</f>
        <v>878</v>
      </c>
      <c r="E1034" s="9"/>
    </row>
    <row r="1035">
      <c r="A1035" s="10">
        <f>IFERROR(__xludf.DUMMYFUNCTION("""COMPUTED_VALUE"""),90174.0)</f>
        <v>90174</v>
      </c>
      <c r="B1035" s="11">
        <f>IFERROR(__xludf.DUMMYFUNCTION("""COMPUTED_VALUE"""),0.0)</f>
        <v>0</v>
      </c>
      <c r="C1035" s="11">
        <f>IFERROR(__xludf.DUMMYFUNCTION("""COMPUTED_VALUE"""),309.0)</f>
        <v>309</v>
      </c>
      <c r="D1035" s="11">
        <f>IFERROR(__xludf.DUMMYFUNCTION("""COMPUTED_VALUE"""),46.0)</f>
        <v>46</v>
      </c>
      <c r="E1035" s="9"/>
    </row>
    <row r="1036">
      <c r="A1036" s="10">
        <f>IFERROR(__xludf.DUMMYFUNCTION("""COMPUTED_VALUE"""),90168.0)</f>
        <v>90168</v>
      </c>
      <c r="B1036" s="11">
        <f>IFERROR(__xludf.DUMMYFUNCTION("""COMPUTED_VALUE"""),0.0)</f>
        <v>0</v>
      </c>
      <c r="C1036" s="11">
        <f>IFERROR(__xludf.DUMMYFUNCTION("""COMPUTED_VALUE"""),598.0)</f>
        <v>598</v>
      </c>
      <c r="D1036" s="11">
        <f>IFERROR(__xludf.DUMMYFUNCTION("""COMPUTED_VALUE"""),297.0)</f>
        <v>297</v>
      </c>
      <c r="E1036" s="9"/>
    </row>
    <row r="1037">
      <c r="A1037" s="10">
        <f>IFERROR(__xludf.DUMMYFUNCTION("""COMPUTED_VALUE"""),79488.0)</f>
        <v>79488</v>
      </c>
      <c r="B1037" s="11">
        <f>IFERROR(__xludf.DUMMYFUNCTION("""COMPUTED_VALUE"""),0.0)</f>
        <v>0</v>
      </c>
      <c r="C1037" s="11">
        <f>IFERROR(__xludf.DUMMYFUNCTION("""COMPUTED_VALUE"""),844.0)</f>
        <v>844</v>
      </c>
      <c r="D1037" s="11">
        <f>IFERROR(__xludf.DUMMYFUNCTION("""COMPUTED_VALUE"""),359.0)</f>
        <v>359</v>
      </c>
      <c r="E1037" s="9"/>
    </row>
    <row r="1038">
      <c r="A1038" s="10">
        <f>IFERROR(__xludf.DUMMYFUNCTION("""COMPUTED_VALUE"""),119640.0)</f>
        <v>119640</v>
      </c>
      <c r="B1038" s="11">
        <f>IFERROR(__xludf.DUMMYFUNCTION("""COMPUTED_VALUE"""),0.0)</f>
        <v>0</v>
      </c>
      <c r="C1038" s="11">
        <f>IFERROR(__xludf.DUMMYFUNCTION("""COMPUTED_VALUE"""),861.0)</f>
        <v>861</v>
      </c>
      <c r="D1038" s="11">
        <f>IFERROR(__xludf.DUMMYFUNCTION("""COMPUTED_VALUE"""),532.0)</f>
        <v>532</v>
      </c>
      <c r="E1038" s="9"/>
    </row>
    <row r="1039">
      <c r="A1039" s="10">
        <f>IFERROR(__xludf.DUMMYFUNCTION("""COMPUTED_VALUE"""),119515.0)</f>
        <v>119515</v>
      </c>
      <c r="B1039" s="11">
        <f>IFERROR(__xludf.DUMMYFUNCTION("""COMPUTED_VALUE"""),0.0)</f>
        <v>0</v>
      </c>
      <c r="C1039" s="11">
        <f>IFERROR(__xludf.DUMMYFUNCTION("""COMPUTED_VALUE"""),341.0)</f>
        <v>341</v>
      </c>
      <c r="D1039" s="11">
        <f>IFERROR(__xludf.DUMMYFUNCTION("""COMPUTED_VALUE"""),76.0)</f>
        <v>76</v>
      </c>
      <c r="E1039" s="9"/>
    </row>
    <row r="1040">
      <c r="A1040" s="10">
        <f>IFERROR(__xludf.DUMMYFUNCTION("""COMPUTED_VALUE"""),103685.0)</f>
        <v>103685</v>
      </c>
      <c r="B1040" s="11">
        <f>IFERROR(__xludf.DUMMYFUNCTION("""COMPUTED_VALUE"""),1.0)</f>
        <v>1</v>
      </c>
      <c r="C1040" s="11">
        <f>IFERROR(__xludf.DUMMYFUNCTION("""COMPUTED_VALUE"""),899.0)</f>
        <v>899</v>
      </c>
      <c r="D1040" s="11">
        <f>IFERROR(__xludf.DUMMYFUNCTION("""COMPUTED_VALUE"""),619.0)</f>
        <v>619</v>
      </c>
      <c r="E1040" s="9"/>
    </row>
    <row r="1041">
      <c r="A1041" s="10">
        <f>IFERROR(__xludf.DUMMYFUNCTION("""COMPUTED_VALUE"""),111617.0)</f>
        <v>111617</v>
      </c>
      <c r="B1041" s="11">
        <f>IFERROR(__xludf.DUMMYFUNCTION("""COMPUTED_VALUE"""),0.0)</f>
        <v>0</v>
      </c>
      <c r="C1041" s="11">
        <f>IFERROR(__xludf.DUMMYFUNCTION("""COMPUTED_VALUE"""),115.0)</f>
        <v>115</v>
      </c>
      <c r="D1041" s="11">
        <f>IFERROR(__xludf.DUMMYFUNCTION("""COMPUTED_VALUE"""),10.0)</f>
        <v>10</v>
      </c>
      <c r="E1041" s="9"/>
    </row>
    <row r="1042">
      <c r="A1042" s="10">
        <f>IFERROR(__xludf.DUMMYFUNCTION("""COMPUTED_VALUE"""),98637.0)</f>
        <v>98637</v>
      </c>
      <c r="B1042" s="11">
        <f>IFERROR(__xludf.DUMMYFUNCTION("""COMPUTED_VALUE"""),0.0)</f>
        <v>0</v>
      </c>
      <c r="C1042" s="11">
        <f>IFERROR(__xludf.DUMMYFUNCTION("""COMPUTED_VALUE"""),648.0)</f>
        <v>648</v>
      </c>
      <c r="D1042" s="11">
        <f>IFERROR(__xludf.DUMMYFUNCTION("""COMPUTED_VALUE"""),529.0)</f>
        <v>529</v>
      </c>
      <c r="E1042" s="9"/>
    </row>
    <row r="1043">
      <c r="A1043" s="10">
        <f>IFERROR(__xludf.DUMMYFUNCTION("""COMPUTED_VALUE"""),90159.0)</f>
        <v>90159</v>
      </c>
      <c r="B1043" s="11">
        <f>IFERROR(__xludf.DUMMYFUNCTION("""COMPUTED_VALUE"""),1.0)</f>
        <v>1</v>
      </c>
      <c r="C1043" s="11">
        <f>IFERROR(__xludf.DUMMYFUNCTION("""COMPUTED_VALUE"""),501.0)</f>
        <v>501</v>
      </c>
      <c r="D1043" s="11">
        <f>IFERROR(__xludf.DUMMYFUNCTION("""COMPUTED_VALUE"""),481.0)</f>
        <v>481</v>
      </c>
      <c r="E1043" s="9"/>
    </row>
    <row r="1044">
      <c r="A1044" s="10">
        <f>IFERROR(__xludf.DUMMYFUNCTION("""COMPUTED_VALUE"""),76651.0)</f>
        <v>76651</v>
      </c>
      <c r="B1044" s="11">
        <f>IFERROR(__xludf.DUMMYFUNCTION("""COMPUTED_VALUE"""),0.0)</f>
        <v>0</v>
      </c>
      <c r="C1044" s="11">
        <f>IFERROR(__xludf.DUMMYFUNCTION("""COMPUTED_VALUE"""),799.0)</f>
        <v>799</v>
      </c>
      <c r="D1044" s="11">
        <f>IFERROR(__xludf.DUMMYFUNCTION("""COMPUTED_VALUE"""),766.0)</f>
        <v>766</v>
      </c>
      <c r="E1044" s="9"/>
    </row>
    <row r="1045">
      <c r="A1045" s="10">
        <f>IFERROR(__xludf.DUMMYFUNCTION("""COMPUTED_VALUE"""),119531.0)</f>
        <v>119531</v>
      </c>
      <c r="B1045" s="11">
        <f>IFERROR(__xludf.DUMMYFUNCTION("""COMPUTED_VALUE"""),1.0)</f>
        <v>1</v>
      </c>
      <c r="C1045" s="11">
        <f>IFERROR(__xludf.DUMMYFUNCTION("""COMPUTED_VALUE"""),678.0)</f>
        <v>678</v>
      </c>
      <c r="D1045" s="11">
        <f>IFERROR(__xludf.DUMMYFUNCTION("""COMPUTED_VALUE"""),388.0)</f>
        <v>388</v>
      </c>
      <c r="E1045" s="9"/>
    </row>
    <row r="1046">
      <c r="A1046" s="10">
        <f>IFERROR(__xludf.DUMMYFUNCTION("""COMPUTED_VALUE"""),93884.0)</f>
        <v>93884</v>
      </c>
      <c r="B1046" s="11">
        <f>IFERROR(__xludf.DUMMYFUNCTION("""COMPUTED_VALUE"""),0.0)</f>
        <v>0</v>
      </c>
      <c r="C1046" s="11">
        <f>IFERROR(__xludf.DUMMYFUNCTION("""COMPUTED_VALUE"""),176.0)</f>
        <v>176</v>
      </c>
      <c r="D1046" s="11">
        <f>IFERROR(__xludf.DUMMYFUNCTION("""COMPUTED_VALUE"""),39.0)</f>
        <v>39</v>
      </c>
      <c r="E1046" s="9"/>
    </row>
    <row r="1047">
      <c r="A1047" s="10">
        <f>IFERROR(__xludf.DUMMYFUNCTION("""COMPUTED_VALUE"""),79467.0)</f>
        <v>79467</v>
      </c>
      <c r="B1047" s="11">
        <f>IFERROR(__xludf.DUMMYFUNCTION("""COMPUTED_VALUE"""),1.0)</f>
        <v>1</v>
      </c>
      <c r="C1047" s="11">
        <f>IFERROR(__xludf.DUMMYFUNCTION("""COMPUTED_VALUE"""),709.0)</f>
        <v>709</v>
      </c>
      <c r="D1047" s="11">
        <f>IFERROR(__xludf.DUMMYFUNCTION("""COMPUTED_VALUE"""),613.0)</f>
        <v>613</v>
      </c>
      <c r="E1047" s="9"/>
    </row>
    <row r="1048">
      <c r="A1048" s="10">
        <f>IFERROR(__xludf.DUMMYFUNCTION("""COMPUTED_VALUE"""),29532.0)</f>
        <v>29532</v>
      </c>
      <c r="B1048" s="11">
        <f>IFERROR(__xludf.DUMMYFUNCTION("""COMPUTED_VALUE"""),1.0)</f>
        <v>1</v>
      </c>
      <c r="C1048" s="11">
        <f>IFERROR(__xludf.DUMMYFUNCTION("""COMPUTED_VALUE"""),92.0)</f>
        <v>92</v>
      </c>
      <c r="D1048" s="11">
        <f>IFERROR(__xludf.DUMMYFUNCTION("""COMPUTED_VALUE"""),35.0)</f>
        <v>35</v>
      </c>
      <c r="E1048" s="9"/>
    </row>
    <row r="1049">
      <c r="A1049" s="10">
        <f>IFERROR(__xludf.DUMMYFUNCTION("""COMPUTED_VALUE"""),104063.0)</f>
        <v>104063</v>
      </c>
      <c r="B1049" s="11">
        <f>IFERROR(__xludf.DUMMYFUNCTION("""COMPUTED_VALUE"""),1.0)</f>
        <v>1</v>
      </c>
      <c r="C1049" s="11">
        <f>IFERROR(__xludf.DUMMYFUNCTION("""COMPUTED_VALUE"""),352.0)</f>
        <v>352</v>
      </c>
      <c r="D1049" s="11">
        <f>IFERROR(__xludf.DUMMYFUNCTION("""COMPUTED_VALUE"""),97.0)</f>
        <v>97</v>
      </c>
      <c r="E1049" s="9"/>
    </row>
    <row r="1050">
      <c r="A1050" s="10">
        <f>IFERROR(__xludf.DUMMYFUNCTION("""COMPUTED_VALUE"""),90166.0)</f>
        <v>90166</v>
      </c>
      <c r="B1050" s="11">
        <f>IFERROR(__xludf.DUMMYFUNCTION("""COMPUTED_VALUE"""),0.0)</f>
        <v>0</v>
      </c>
      <c r="C1050" s="11">
        <f>IFERROR(__xludf.DUMMYFUNCTION("""COMPUTED_VALUE"""),731.0)</f>
        <v>731</v>
      </c>
      <c r="D1050" s="11">
        <f>IFERROR(__xludf.DUMMYFUNCTION("""COMPUTED_VALUE"""),123.0)</f>
        <v>123</v>
      </c>
      <c r="E1050" s="9"/>
    </row>
    <row r="1051">
      <c r="A1051" s="10">
        <f>IFERROR(__xludf.DUMMYFUNCTION("""COMPUTED_VALUE"""),29538.0)</f>
        <v>29538</v>
      </c>
      <c r="B1051" s="11">
        <f>IFERROR(__xludf.DUMMYFUNCTION("""COMPUTED_VALUE"""),1.0)</f>
        <v>1</v>
      </c>
      <c r="C1051" s="11">
        <f>IFERROR(__xludf.DUMMYFUNCTION("""COMPUTED_VALUE"""),972.0)</f>
        <v>972</v>
      </c>
      <c r="D1051" s="11">
        <f>IFERROR(__xludf.DUMMYFUNCTION("""COMPUTED_VALUE"""),69.0)</f>
        <v>69</v>
      </c>
      <c r="E1051" s="9"/>
    </row>
    <row r="1052">
      <c r="A1052" s="10">
        <f>IFERROR(__xludf.DUMMYFUNCTION("""COMPUTED_VALUE"""),70538.0)</f>
        <v>70538</v>
      </c>
      <c r="B1052" s="11">
        <f>IFERROR(__xludf.DUMMYFUNCTION("""COMPUTED_VALUE"""),0.0)</f>
        <v>0</v>
      </c>
      <c r="C1052" s="11">
        <f>IFERROR(__xludf.DUMMYFUNCTION("""COMPUTED_VALUE"""),372.0)</f>
        <v>372</v>
      </c>
      <c r="D1052" s="11">
        <f>IFERROR(__xludf.DUMMYFUNCTION("""COMPUTED_VALUE"""),190.0)</f>
        <v>190</v>
      </c>
      <c r="E1052" s="9"/>
    </row>
    <row r="1053">
      <c r="A1053" s="10">
        <f>IFERROR(__xludf.DUMMYFUNCTION("""COMPUTED_VALUE"""),93893.0)</f>
        <v>93893</v>
      </c>
      <c r="B1053" s="11">
        <f>IFERROR(__xludf.DUMMYFUNCTION("""COMPUTED_VALUE"""),1.0)</f>
        <v>1</v>
      </c>
      <c r="C1053" s="11">
        <f>IFERROR(__xludf.DUMMYFUNCTION("""COMPUTED_VALUE"""),531.0)</f>
        <v>531</v>
      </c>
      <c r="D1053" s="11">
        <f>IFERROR(__xludf.DUMMYFUNCTION("""COMPUTED_VALUE"""),353.0)</f>
        <v>353</v>
      </c>
      <c r="E1053" s="9"/>
    </row>
    <row r="1054">
      <c r="A1054" s="10">
        <f>IFERROR(__xludf.DUMMYFUNCTION("""COMPUTED_VALUE"""),119518.0)</f>
        <v>119518</v>
      </c>
      <c r="B1054" s="11">
        <f>IFERROR(__xludf.DUMMYFUNCTION("""COMPUTED_VALUE"""),1.0)</f>
        <v>1</v>
      </c>
      <c r="C1054" s="11">
        <f>IFERROR(__xludf.DUMMYFUNCTION("""COMPUTED_VALUE"""),511.0)</f>
        <v>511</v>
      </c>
      <c r="D1054" s="11">
        <f>IFERROR(__xludf.DUMMYFUNCTION("""COMPUTED_VALUE"""),98.0)</f>
        <v>98</v>
      </c>
      <c r="E1054" s="9"/>
    </row>
    <row r="1055">
      <c r="A1055" s="10">
        <f>IFERROR(__xludf.DUMMYFUNCTION("""COMPUTED_VALUE"""),111338.0)</f>
        <v>111338</v>
      </c>
      <c r="B1055" s="11">
        <f>IFERROR(__xludf.DUMMYFUNCTION("""COMPUTED_VALUE"""),0.0)</f>
        <v>0</v>
      </c>
      <c r="C1055" s="11">
        <f>IFERROR(__xludf.DUMMYFUNCTION("""COMPUTED_VALUE"""),826.0)</f>
        <v>826</v>
      </c>
      <c r="D1055" s="11">
        <f>IFERROR(__xludf.DUMMYFUNCTION("""COMPUTED_VALUE"""),84.0)</f>
        <v>84</v>
      </c>
      <c r="E1055" s="9"/>
    </row>
    <row r="1056">
      <c r="A1056" s="10">
        <f>IFERROR(__xludf.DUMMYFUNCTION("""COMPUTED_VALUE"""),100435.0)</f>
        <v>100435</v>
      </c>
      <c r="B1056" s="11">
        <f>IFERROR(__xludf.DUMMYFUNCTION("""COMPUTED_VALUE"""),0.0)</f>
        <v>0</v>
      </c>
      <c r="C1056" s="11">
        <f>IFERROR(__xludf.DUMMYFUNCTION("""COMPUTED_VALUE"""),221.0)</f>
        <v>221</v>
      </c>
      <c r="D1056" s="11">
        <f>IFERROR(__xludf.DUMMYFUNCTION("""COMPUTED_VALUE"""),69.0)</f>
        <v>69</v>
      </c>
      <c r="E1056" s="9"/>
    </row>
    <row r="1057">
      <c r="A1057" s="10">
        <f>IFERROR(__xludf.DUMMYFUNCTION("""COMPUTED_VALUE"""),89130.0)</f>
        <v>89130</v>
      </c>
      <c r="B1057" s="11">
        <f>IFERROR(__xludf.DUMMYFUNCTION("""COMPUTED_VALUE"""),1.0)</f>
        <v>1</v>
      </c>
      <c r="C1057" s="11">
        <f>IFERROR(__xludf.DUMMYFUNCTION("""COMPUTED_VALUE"""),666.0)</f>
        <v>666</v>
      </c>
      <c r="D1057" s="11">
        <f>IFERROR(__xludf.DUMMYFUNCTION("""COMPUTED_VALUE"""),468.0)</f>
        <v>468</v>
      </c>
      <c r="E1057" s="9"/>
    </row>
    <row r="1058">
      <c r="A1058" s="10">
        <f>IFERROR(__xludf.DUMMYFUNCTION("""COMPUTED_VALUE"""),103695.0)</f>
        <v>103695</v>
      </c>
      <c r="B1058" s="11">
        <f>IFERROR(__xludf.DUMMYFUNCTION("""COMPUTED_VALUE"""),0.0)</f>
        <v>0</v>
      </c>
      <c r="C1058" s="11">
        <f>IFERROR(__xludf.DUMMYFUNCTION("""COMPUTED_VALUE"""),302.0)</f>
        <v>302</v>
      </c>
      <c r="D1058" s="11">
        <f>IFERROR(__xludf.DUMMYFUNCTION("""COMPUTED_VALUE"""),212.0)</f>
        <v>212</v>
      </c>
      <c r="E1058" s="9"/>
    </row>
    <row r="1059">
      <c r="A1059" s="10">
        <f>IFERROR(__xludf.DUMMYFUNCTION("""COMPUTED_VALUE"""),90201.0)</f>
        <v>90201</v>
      </c>
      <c r="B1059" s="11">
        <f>IFERROR(__xludf.DUMMYFUNCTION("""COMPUTED_VALUE"""),1.0)</f>
        <v>1</v>
      </c>
      <c r="C1059" s="11">
        <f>IFERROR(__xludf.DUMMYFUNCTION("""COMPUTED_VALUE"""),205.0)</f>
        <v>205</v>
      </c>
      <c r="D1059" s="11">
        <f>IFERROR(__xludf.DUMMYFUNCTION("""COMPUTED_VALUE"""),139.0)</f>
        <v>139</v>
      </c>
      <c r="E1059" s="9"/>
    </row>
    <row r="1060">
      <c r="A1060" s="10">
        <f>IFERROR(__xludf.DUMMYFUNCTION("""COMPUTED_VALUE"""),70025.0)</f>
        <v>70025</v>
      </c>
      <c r="B1060" s="11">
        <f>IFERROR(__xludf.DUMMYFUNCTION("""COMPUTED_VALUE"""),0.0)</f>
        <v>0</v>
      </c>
      <c r="C1060" s="11">
        <f>IFERROR(__xludf.DUMMYFUNCTION("""COMPUTED_VALUE"""),479.0)</f>
        <v>479</v>
      </c>
      <c r="D1060" s="11">
        <f>IFERROR(__xludf.DUMMYFUNCTION("""COMPUTED_VALUE"""),324.0)</f>
        <v>324</v>
      </c>
      <c r="E1060" s="9"/>
    </row>
    <row r="1061">
      <c r="A1061" s="10">
        <f>IFERROR(__xludf.DUMMYFUNCTION("""COMPUTED_VALUE"""),29485.0)</f>
        <v>29485</v>
      </c>
      <c r="B1061" s="11">
        <f>IFERROR(__xludf.DUMMYFUNCTION("""COMPUTED_VALUE"""),0.0)</f>
        <v>0</v>
      </c>
      <c r="C1061" s="11">
        <f>IFERROR(__xludf.DUMMYFUNCTION("""COMPUTED_VALUE"""),593.0)</f>
        <v>593</v>
      </c>
      <c r="D1061" s="11">
        <f>IFERROR(__xludf.DUMMYFUNCTION("""COMPUTED_VALUE"""),537.0)</f>
        <v>537</v>
      </c>
      <c r="E1061" s="9"/>
    </row>
    <row r="1062">
      <c r="A1062" s="10">
        <f>IFERROR(__xludf.DUMMYFUNCTION("""COMPUTED_VALUE"""),119530.0)</f>
        <v>119530</v>
      </c>
      <c r="B1062" s="11">
        <f>IFERROR(__xludf.DUMMYFUNCTION("""COMPUTED_VALUE"""),0.0)</f>
        <v>0</v>
      </c>
      <c r="C1062" s="11">
        <f>IFERROR(__xludf.DUMMYFUNCTION("""COMPUTED_VALUE"""),464.0)</f>
        <v>464</v>
      </c>
      <c r="D1062" s="11">
        <f>IFERROR(__xludf.DUMMYFUNCTION("""COMPUTED_VALUE"""),438.0)</f>
        <v>438</v>
      </c>
      <c r="E1062" s="9"/>
    </row>
    <row r="1063">
      <c r="A1063" s="10">
        <f>IFERROR(__xludf.DUMMYFUNCTION("""COMPUTED_VALUE"""),103671.0)</f>
        <v>103671</v>
      </c>
      <c r="B1063" s="11">
        <f>IFERROR(__xludf.DUMMYFUNCTION("""COMPUTED_VALUE"""),1.0)</f>
        <v>1</v>
      </c>
      <c r="C1063" s="11">
        <f>IFERROR(__xludf.DUMMYFUNCTION("""COMPUTED_VALUE"""),666.0)</f>
        <v>666</v>
      </c>
      <c r="D1063" s="11">
        <f>IFERROR(__xludf.DUMMYFUNCTION("""COMPUTED_VALUE"""),507.0)</f>
        <v>507</v>
      </c>
      <c r="E1063" s="9"/>
    </row>
    <row r="1064">
      <c r="A1064" s="10">
        <f>IFERROR(__xludf.DUMMYFUNCTION("""COMPUTED_VALUE"""),102803.0)</f>
        <v>102803</v>
      </c>
      <c r="B1064" s="11">
        <f>IFERROR(__xludf.DUMMYFUNCTION("""COMPUTED_VALUE"""),1.0)</f>
        <v>1</v>
      </c>
      <c r="C1064" s="11">
        <f>IFERROR(__xludf.DUMMYFUNCTION("""COMPUTED_VALUE"""),211.0)</f>
        <v>211</v>
      </c>
      <c r="D1064" s="11">
        <f>IFERROR(__xludf.DUMMYFUNCTION("""COMPUTED_VALUE"""),118.0)</f>
        <v>118</v>
      </c>
      <c r="E1064" s="9"/>
    </row>
    <row r="1065">
      <c r="A1065" s="10">
        <f>IFERROR(__xludf.DUMMYFUNCTION("""COMPUTED_VALUE"""),122156.0)</f>
        <v>122156</v>
      </c>
      <c r="B1065" s="11">
        <f>IFERROR(__xludf.DUMMYFUNCTION("""COMPUTED_VALUE"""),0.0)</f>
        <v>0</v>
      </c>
      <c r="C1065" s="11">
        <f>IFERROR(__xludf.DUMMYFUNCTION("""COMPUTED_VALUE"""),816.0)</f>
        <v>816</v>
      </c>
      <c r="D1065" s="11">
        <f>IFERROR(__xludf.DUMMYFUNCTION("""COMPUTED_VALUE"""),747.0)</f>
        <v>747</v>
      </c>
      <c r="E1065" s="9"/>
    </row>
    <row r="1066">
      <c r="A1066" s="10">
        <f>IFERROR(__xludf.DUMMYFUNCTION("""COMPUTED_VALUE"""),103688.0)</f>
        <v>103688</v>
      </c>
      <c r="B1066" s="11">
        <f>IFERROR(__xludf.DUMMYFUNCTION("""COMPUTED_VALUE"""),1.0)</f>
        <v>1</v>
      </c>
      <c r="C1066" s="11">
        <f>IFERROR(__xludf.DUMMYFUNCTION("""COMPUTED_VALUE"""),687.0)</f>
        <v>687</v>
      </c>
      <c r="D1066" s="11">
        <f>IFERROR(__xludf.DUMMYFUNCTION("""COMPUTED_VALUE"""),630.0)</f>
        <v>630</v>
      </c>
      <c r="E1066" s="9"/>
    </row>
    <row r="1067">
      <c r="A1067" s="10">
        <f>IFERROR(__xludf.DUMMYFUNCTION("""COMPUTED_VALUE"""),128303.0)</f>
        <v>128303</v>
      </c>
      <c r="B1067" s="11">
        <f>IFERROR(__xludf.DUMMYFUNCTION("""COMPUTED_VALUE"""),1.0)</f>
        <v>1</v>
      </c>
      <c r="C1067" s="11">
        <f>IFERROR(__xludf.DUMMYFUNCTION("""COMPUTED_VALUE"""),78.0)</f>
        <v>78</v>
      </c>
      <c r="D1067" s="11">
        <f>IFERROR(__xludf.DUMMYFUNCTION("""COMPUTED_VALUE"""),44.0)</f>
        <v>44</v>
      </c>
      <c r="E1067" s="9"/>
    </row>
    <row r="1068">
      <c r="A1068" s="10">
        <f>IFERROR(__xludf.DUMMYFUNCTION("""COMPUTED_VALUE"""),122164.0)</f>
        <v>122164</v>
      </c>
      <c r="B1068" s="11">
        <f>IFERROR(__xludf.DUMMYFUNCTION("""COMPUTED_VALUE"""),1.0)</f>
        <v>1</v>
      </c>
      <c r="C1068" s="11">
        <f>IFERROR(__xludf.DUMMYFUNCTION("""COMPUTED_VALUE"""),834.0)</f>
        <v>834</v>
      </c>
      <c r="D1068" s="11">
        <f>IFERROR(__xludf.DUMMYFUNCTION("""COMPUTED_VALUE"""),733.0)</f>
        <v>733</v>
      </c>
      <c r="E1068" s="9"/>
    </row>
    <row r="1069">
      <c r="A1069" s="10">
        <f>IFERROR(__xludf.DUMMYFUNCTION("""COMPUTED_VALUE"""),119629.0)</f>
        <v>119629</v>
      </c>
      <c r="B1069" s="11">
        <f>IFERROR(__xludf.DUMMYFUNCTION("""COMPUTED_VALUE"""),1.0)</f>
        <v>1</v>
      </c>
      <c r="C1069" s="11">
        <f>IFERROR(__xludf.DUMMYFUNCTION("""COMPUTED_VALUE"""),516.0)</f>
        <v>516</v>
      </c>
      <c r="D1069" s="11">
        <f>IFERROR(__xludf.DUMMYFUNCTION("""COMPUTED_VALUE"""),456.0)</f>
        <v>456</v>
      </c>
      <c r="E1069" s="9"/>
    </row>
    <row r="1070">
      <c r="A1070" s="10">
        <f>IFERROR(__xludf.DUMMYFUNCTION("""COMPUTED_VALUE"""),122238.0)</f>
        <v>122238</v>
      </c>
      <c r="B1070" s="11">
        <f>IFERROR(__xludf.DUMMYFUNCTION("""COMPUTED_VALUE"""),1.0)</f>
        <v>1</v>
      </c>
      <c r="C1070" s="11">
        <f>IFERROR(__xludf.DUMMYFUNCTION("""COMPUTED_VALUE"""),766.0)</f>
        <v>766</v>
      </c>
      <c r="D1070" s="11">
        <f>IFERROR(__xludf.DUMMYFUNCTION("""COMPUTED_VALUE"""),277.0)</f>
        <v>277</v>
      </c>
      <c r="E1070" s="9"/>
    </row>
    <row r="1071">
      <c r="A1071" s="10">
        <f>IFERROR(__xludf.DUMMYFUNCTION("""COMPUTED_VALUE"""),100106.0)</f>
        <v>100106</v>
      </c>
      <c r="B1071" s="11">
        <f>IFERROR(__xludf.DUMMYFUNCTION("""COMPUTED_VALUE"""),1.0)</f>
        <v>1</v>
      </c>
      <c r="C1071" s="11">
        <f>IFERROR(__xludf.DUMMYFUNCTION("""COMPUTED_VALUE"""),357.0)</f>
        <v>357</v>
      </c>
      <c r="D1071" s="11">
        <f>IFERROR(__xludf.DUMMYFUNCTION("""COMPUTED_VALUE"""),211.0)</f>
        <v>211</v>
      </c>
      <c r="E1071" s="9"/>
    </row>
    <row r="1072">
      <c r="A1072" s="10">
        <f>IFERROR(__xludf.DUMMYFUNCTION("""COMPUTED_VALUE"""),74260.0)</f>
        <v>74260</v>
      </c>
      <c r="B1072" s="11">
        <f>IFERROR(__xludf.DUMMYFUNCTION("""COMPUTED_VALUE"""),0.0)</f>
        <v>0</v>
      </c>
      <c r="C1072" s="11">
        <f>IFERROR(__xludf.DUMMYFUNCTION("""COMPUTED_VALUE"""),284.0)</f>
        <v>284</v>
      </c>
      <c r="D1072" s="11">
        <f>IFERROR(__xludf.DUMMYFUNCTION("""COMPUTED_VALUE"""),223.0)</f>
        <v>223</v>
      </c>
      <c r="E1072" s="9"/>
    </row>
    <row r="1073">
      <c r="A1073" s="10">
        <f>IFERROR(__xludf.DUMMYFUNCTION("""COMPUTED_VALUE"""),122159.0)</f>
        <v>122159</v>
      </c>
      <c r="B1073" s="11">
        <f>IFERROR(__xludf.DUMMYFUNCTION("""COMPUTED_VALUE"""),0.0)</f>
        <v>0</v>
      </c>
      <c r="C1073" s="11">
        <f>IFERROR(__xludf.DUMMYFUNCTION("""COMPUTED_VALUE"""),270.0)</f>
        <v>270</v>
      </c>
      <c r="D1073" s="11">
        <f>IFERROR(__xludf.DUMMYFUNCTION("""COMPUTED_VALUE"""),102.0)</f>
        <v>102</v>
      </c>
      <c r="E1073" s="9"/>
    </row>
    <row r="1074">
      <c r="A1074" s="10">
        <f>IFERROR(__xludf.DUMMYFUNCTION("""COMPUTED_VALUE"""),100104.0)</f>
        <v>100104</v>
      </c>
      <c r="B1074" s="11">
        <f>IFERROR(__xludf.DUMMYFUNCTION("""COMPUTED_VALUE"""),1.0)</f>
        <v>1</v>
      </c>
      <c r="C1074" s="11">
        <f>IFERROR(__xludf.DUMMYFUNCTION("""COMPUTED_VALUE"""),814.0)</f>
        <v>814</v>
      </c>
      <c r="D1074" s="11">
        <f>IFERROR(__xludf.DUMMYFUNCTION("""COMPUTED_VALUE"""),72.0)</f>
        <v>72</v>
      </c>
      <c r="E1074" s="9"/>
    </row>
    <row r="1075">
      <c r="A1075" s="10">
        <f>IFERROR(__xludf.DUMMYFUNCTION("""COMPUTED_VALUE"""),103702.0)</f>
        <v>103702</v>
      </c>
      <c r="B1075" s="11">
        <f>IFERROR(__xludf.DUMMYFUNCTION("""COMPUTED_VALUE"""),0.0)</f>
        <v>0</v>
      </c>
      <c r="C1075" s="11">
        <f>IFERROR(__xludf.DUMMYFUNCTION("""COMPUTED_VALUE"""),602.0)</f>
        <v>602</v>
      </c>
      <c r="D1075" s="11">
        <f>IFERROR(__xludf.DUMMYFUNCTION("""COMPUTED_VALUE"""),430.0)</f>
        <v>430</v>
      </c>
      <c r="E1075" s="9"/>
    </row>
    <row r="1076">
      <c r="A1076" s="10">
        <f>IFERROR(__xludf.DUMMYFUNCTION("""COMPUTED_VALUE"""),103696.0)</f>
        <v>103696</v>
      </c>
      <c r="B1076" s="11">
        <f>IFERROR(__xludf.DUMMYFUNCTION("""COMPUTED_VALUE"""),0.0)</f>
        <v>0</v>
      </c>
      <c r="C1076" s="11">
        <f>IFERROR(__xludf.DUMMYFUNCTION("""COMPUTED_VALUE"""),199.0)</f>
        <v>199</v>
      </c>
      <c r="D1076" s="11">
        <f>IFERROR(__xludf.DUMMYFUNCTION("""COMPUTED_VALUE"""),151.0)</f>
        <v>151</v>
      </c>
      <c r="E1076" s="9"/>
    </row>
    <row r="1077">
      <c r="A1077" s="10">
        <f>IFERROR(__xludf.DUMMYFUNCTION("""COMPUTED_VALUE"""),111083.0)</f>
        <v>111083</v>
      </c>
      <c r="B1077" s="11">
        <f>IFERROR(__xludf.DUMMYFUNCTION("""COMPUTED_VALUE"""),1.0)</f>
        <v>1</v>
      </c>
      <c r="C1077" s="11">
        <f>IFERROR(__xludf.DUMMYFUNCTION("""COMPUTED_VALUE"""),420.0)</f>
        <v>420</v>
      </c>
      <c r="D1077" s="11">
        <f>IFERROR(__xludf.DUMMYFUNCTION("""COMPUTED_VALUE"""),95.0)</f>
        <v>95</v>
      </c>
      <c r="E1077" s="9"/>
    </row>
    <row r="1078">
      <c r="A1078" s="10">
        <f>IFERROR(__xludf.DUMMYFUNCTION("""COMPUTED_VALUE"""),76658.0)</f>
        <v>76658</v>
      </c>
      <c r="B1078" s="11">
        <f>IFERROR(__xludf.DUMMYFUNCTION("""COMPUTED_VALUE"""),0.0)</f>
        <v>0</v>
      </c>
      <c r="C1078" s="11">
        <f>IFERROR(__xludf.DUMMYFUNCTION("""COMPUTED_VALUE"""),168.0)</f>
        <v>168</v>
      </c>
      <c r="D1078" s="11">
        <f>IFERROR(__xludf.DUMMYFUNCTION("""COMPUTED_VALUE"""),57.0)</f>
        <v>57</v>
      </c>
      <c r="E1078" s="9"/>
    </row>
    <row r="1079">
      <c r="A1079" s="10">
        <f>IFERROR(__xludf.DUMMYFUNCTION("""COMPUTED_VALUE"""),111339.0)</f>
        <v>111339</v>
      </c>
      <c r="B1079" s="11">
        <f>IFERROR(__xludf.DUMMYFUNCTION("""COMPUTED_VALUE"""),1.0)</f>
        <v>1</v>
      </c>
      <c r="C1079" s="11">
        <f>IFERROR(__xludf.DUMMYFUNCTION("""COMPUTED_VALUE"""),783.0)</f>
        <v>783</v>
      </c>
      <c r="D1079" s="11">
        <f>IFERROR(__xludf.DUMMYFUNCTION("""COMPUTED_VALUE"""),607.0)</f>
        <v>607</v>
      </c>
      <c r="E1079" s="9"/>
    </row>
    <row r="1080">
      <c r="A1080" s="10">
        <f>IFERROR(__xludf.DUMMYFUNCTION("""COMPUTED_VALUE"""),79491.0)</f>
        <v>79491</v>
      </c>
      <c r="B1080" s="11">
        <f>IFERROR(__xludf.DUMMYFUNCTION("""COMPUTED_VALUE"""),1.0)</f>
        <v>1</v>
      </c>
      <c r="C1080" s="11">
        <f>IFERROR(__xludf.DUMMYFUNCTION("""COMPUTED_VALUE"""),86.0)</f>
        <v>86</v>
      </c>
      <c r="D1080" s="11">
        <f>IFERROR(__xludf.DUMMYFUNCTION("""COMPUTED_VALUE"""),30.0)</f>
        <v>30</v>
      </c>
      <c r="E1080" s="9"/>
    </row>
    <row r="1081">
      <c r="A1081" s="10">
        <f>IFERROR(__xludf.DUMMYFUNCTION("""COMPUTED_VALUE"""),110380.0)</f>
        <v>110380</v>
      </c>
      <c r="B1081" s="11">
        <f>IFERROR(__xludf.DUMMYFUNCTION("""COMPUTED_VALUE"""),1.0)</f>
        <v>1</v>
      </c>
      <c r="C1081" s="11">
        <f>IFERROR(__xludf.DUMMYFUNCTION("""COMPUTED_VALUE"""),930.0)</f>
        <v>930</v>
      </c>
      <c r="D1081" s="11">
        <f>IFERROR(__xludf.DUMMYFUNCTION("""COMPUTED_VALUE"""),429.0)</f>
        <v>429</v>
      </c>
      <c r="E1081" s="9"/>
    </row>
    <row r="1082">
      <c r="A1082" s="10">
        <f>IFERROR(__xludf.DUMMYFUNCTION("""COMPUTED_VALUE"""),111341.0)</f>
        <v>111341</v>
      </c>
      <c r="B1082" s="11">
        <f>IFERROR(__xludf.DUMMYFUNCTION("""COMPUTED_VALUE"""),1.0)</f>
        <v>1</v>
      </c>
      <c r="C1082" s="11">
        <f>IFERROR(__xludf.DUMMYFUNCTION("""COMPUTED_VALUE"""),608.0)</f>
        <v>608</v>
      </c>
      <c r="D1082" s="11">
        <f>IFERROR(__xludf.DUMMYFUNCTION("""COMPUTED_VALUE"""),458.0)</f>
        <v>458</v>
      </c>
      <c r="E1082" s="9"/>
    </row>
    <row r="1083">
      <c r="A1083" s="10">
        <f>IFERROR(__xludf.DUMMYFUNCTION("""COMPUTED_VALUE"""),81785.0)</f>
        <v>81785</v>
      </c>
      <c r="B1083" s="11">
        <f>IFERROR(__xludf.DUMMYFUNCTION("""COMPUTED_VALUE"""),1.0)</f>
        <v>1</v>
      </c>
      <c r="C1083" s="11">
        <f>IFERROR(__xludf.DUMMYFUNCTION("""COMPUTED_VALUE"""),568.0)</f>
        <v>568</v>
      </c>
      <c r="D1083" s="11">
        <f>IFERROR(__xludf.DUMMYFUNCTION("""COMPUTED_VALUE"""),362.0)</f>
        <v>362</v>
      </c>
      <c r="E1083" s="9"/>
    </row>
    <row r="1084">
      <c r="A1084" s="10">
        <f>IFERROR(__xludf.DUMMYFUNCTION("""COMPUTED_VALUE"""),89155.0)</f>
        <v>89155</v>
      </c>
      <c r="B1084" s="11">
        <f>IFERROR(__xludf.DUMMYFUNCTION("""COMPUTED_VALUE"""),1.0)</f>
        <v>1</v>
      </c>
      <c r="C1084" s="11">
        <f>IFERROR(__xludf.DUMMYFUNCTION("""COMPUTED_VALUE"""),712.0)</f>
        <v>712</v>
      </c>
      <c r="D1084" s="11">
        <f>IFERROR(__xludf.DUMMYFUNCTION("""COMPUTED_VALUE"""),670.0)</f>
        <v>670</v>
      </c>
      <c r="E1084" s="9"/>
    </row>
    <row r="1085">
      <c r="A1085" s="10">
        <f>IFERROR(__xludf.DUMMYFUNCTION("""COMPUTED_VALUE"""),90253.0)</f>
        <v>90253</v>
      </c>
      <c r="B1085" s="11">
        <f>IFERROR(__xludf.DUMMYFUNCTION("""COMPUTED_VALUE"""),0.0)</f>
        <v>0</v>
      </c>
      <c r="C1085" s="11">
        <f>IFERROR(__xludf.DUMMYFUNCTION("""COMPUTED_VALUE"""),187.0)</f>
        <v>187</v>
      </c>
      <c r="D1085" s="11">
        <f>IFERROR(__xludf.DUMMYFUNCTION("""COMPUTED_VALUE"""),85.0)</f>
        <v>85</v>
      </c>
      <c r="E1085" s="9"/>
    </row>
    <row r="1086">
      <c r="A1086" s="10">
        <f>IFERROR(__xludf.DUMMYFUNCTION("""COMPUTED_VALUE"""),119544.0)</f>
        <v>119544</v>
      </c>
      <c r="B1086" s="11">
        <f>IFERROR(__xludf.DUMMYFUNCTION("""COMPUTED_VALUE"""),0.0)</f>
        <v>0</v>
      </c>
      <c r="C1086" s="11">
        <f>IFERROR(__xludf.DUMMYFUNCTION("""COMPUTED_VALUE"""),48.0)</f>
        <v>48</v>
      </c>
      <c r="D1086" s="11">
        <f>IFERROR(__xludf.DUMMYFUNCTION("""COMPUTED_VALUE"""),36.0)</f>
        <v>36</v>
      </c>
      <c r="E1086" s="9"/>
    </row>
    <row r="1087">
      <c r="A1087" s="10">
        <f>IFERROR(__xludf.DUMMYFUNCTION("""COMPUTED_VALUE"""),108675.0)</f>
        <v>108675</v>
      </c>
      <c r="B1087" s="11">
        <f>IFERROR(__xludf.DUMMYFUNCTION("""COMPUTED_VALUE"""),1.0)</f>
        <v>1</v>
      </c>
      <c r="C1087" s="11">
        <f>IFERROR(__xludf.DUMMYFUNCTION("""COMPUTED_VALUE"""),82.0)</f>
        <v>82</v>
      </c>
      <c r="D1087" s="11">
        <f>IFERROR(__xludf.DUMMYFUNCTION("""COMPUTED_VALUE"""),27.0)</f>
        <v>27</v>
      </c>
      <c r="E1087" s="9"/>
    </row>
    <row r="1088">
      <c r="A1088" s="10">
        <f>IFERROR(__xludf.DUMMYFUNCTION("""COMPUTED_VALUE"""),119542.0)</f>
        <v>119542</v>
      </c>
      <c r="B1088" s="11">
        <f>IFERROR(__xludf.DUMMYFUNCTION("""COMPUTED_VALUE"""),0.0)</f>
        <v>0</v>
      </c>
      <c r="C1088" s="11">
        <f>IFERROR(__xludf.DUMMYFUNCTION("""COMPUTED_VALUE"""),53.0)</f>
        <v>53</v>
      </c>
      <c r="D1088" s="11">
        <f>IFERROR(__xludf.DUMMYFUNCTION("""COMPUTED_VALUE"""),10.0)</f>
        <v>10</v>
      </c>
      <c r="E1088" s="9"/>
    </row>
    <row r="1089">
      <c r="A1089" s="10">
        <f>IFERROR(__xludf.DUMMYFUNCTION("""COMPUTED_VALUE"""),30752.0)</f>
        <v>30752</v>
      </c>
      <c r="B1089" s="11">
        <f>IFERROR(__xludf.DUMMYFUNCTION("""COMPUTED_VALUE"""),1.0)</f>
        <v>1</v>
      </c>
      <c r="C1089" s="11">
        <f>IFERROR(__xludf.DUMMYFUNCTION("""COMPUTED_VALUE"""),961.0)</f>
        <v>961</v>
      </c>
      <c r="D1089" s="11">
        <f>IFERROR(__xludf.DUMMYFUNCTION("""COMPUTED_VALUE"""),539.0)</f>
        <v>539</v>
      </c>
      <c r="E1089" s="9"/>
    </row>
    <row r="1090">
      <c r="A1090" s="10">
        <f>IFERROR(__xludf.DUMMYFUNCTION("""COMPUTED_VALUE"""),116180.0)</f>
        <v>116180</v>
      </c>
      <c r="B1090" s="11">
        <f>IFERROR(__xludf.DUMMYFUNCTION("""COMPUTED_VALUE"""),0.0)</f>
        <v>0</v>
      </c>
      <c r="C1090" s="11">
        <f>IFERROR(__xludf.DUMMYFUNCTION("""COMPUTED_VALUE"""),914.0)</f>
        <v>914</v>
      </c>
      <c r="D1090" s="11">
        <f>IFERROR(__xludf.DUMMYFUNCTION("""COMPUTED_VALUE"""),740.0)</f>
        <v>740</v>
      </c>
      <c r="E1090" s="9"/>
    </row>
    <row r="1091">
      <c r="A1091" s="10">
        <f>IFERROR(__xludf.DUMMYFUNCTION("""COMPUTED_VALUE"""),96953.0)</f>
        <v>96953</v>
      </c>
      <c r="B1091" s="11">
        <f>IFERROR(__xludf.DUMMYFUNCTION("""COMPUTED_VALUE"""),1.0)</f>
        <v>1</v>
      </c>
      <c r="C1091" s="11">
        <f>IFERROR(__xludf.DUMMYFUNCTION("""COMPUTED_VALUE"""),60.0)</f>
        <v>60</v>
      </c>
      <c r="D1091" s="11">
        <f>IFERROR(__xludf.DUMMYFUNCTION("""COMPUTED_VALUE"""),38.0)</f>
        <v>38</v>
      </c>
      <c r="E1091" s="9"/>
    </row>
    <row r="1092">
      <c r="A1092" s="10">
        <f>IFERROR(__xludf.DUMMYFUNCTION("""COMPUTED_VALUE"""),118303.0)</f>
        <v>118303</v>
      </c>
      <c r="B1092" s="11">
        <f>IFERROR(__xludf.DUMMYFUNCTION("""COMPUTED_VALUE"""),0.0)</f>
        <v>0</v>
      </c>
      <c r="C1092" s="11">
        <f>IFERROR(__xludf.DUMMYFUNCTION("""COMPUTED_VALUE"""),975.0)</f>
        <v>975</v>
      </c>
      <c r="D1092" s="11">
        <f>IFERROR(__xludf.DUMMYFUNCTION("""COMPUTED_VALUE"""),141.0)</f>
        <v>141</v>
      </c>
      <c r="E1092" s="9"/>
    </row>
    <row r="1093">
      <c r="A1093" s="10">
        <f>IFERROR(__xludf.DUMMYFUNCTION("""COMPUTED_VALUE"""),117222.0)</f>
        <v>117222</v>
      </c>
      <c r="B1093" s="11">
        <f>IFERROR(__xludf.DUMMYFUNCTION("""COMPUTED_VALUE"""),1.0)</f>
        <v>1</v>
      </c>
      <c r="C1093" s="11">
        <f>IFERROR(__xludf.DUMMYFUNCTION("""COMPUTED_VALUE"""),657.0)</f>
        <v>657</v>
      </c>
      <c r="D1093" s="11">
        <f>IFERROR(__xludf.DUMMYFUNCTION("""COMPUTED_VALUE"""),431.0)</f>
        <v>431</v>
      </c>
      <c r="E1093" s="9"/>
    </row>
    <row r="1094">
      <c r="A1094" s="10">
        <f>IFERROR(__xludf.DUMMYFUNCTION("""COMPUTED_VALUE"""),5620.0)</f>
        <v>5620</v>
      </c>
      <c r="B1094" s="11">
        <f>IFERROR(__xludf.DUMMYFUNCTION("""COMPUTED_VALUE"""),0.0)</f>
        <v>0</v>
      </c>
      <c r="C1094" s="11">
        <f>IFERROR(__xludf.DUMMYFUNCTION("""COMPUTED_VALUE"""),33.0)</f>
        <v>33</v>
      </c>
      <c r="D1094" s="11">
        <f>IFERROR(__xludf.DUMMYFUNCTION("""COMPUTED_VALUE"""),15.0)</f>
        <v>15</v>
      </c>
      <c r="E1094" s="9"/>
    </row>
    <row r="1095">
      <c r="A1095" s="10">
        <f>IFERROR(__xludf.DUMMYFUNCTION("""COMPUTED_VALUE"""),122346.0)</f>
        <v>122346</v>
      </c>
      <c r="B1095" s="11">
        <f>IFERROR(__xludf.DUMMYFUNCTION("""COMPUTED_VALUE"""),0.0)</f>
        <v>0</v>
      </c>
      <c r="C1095" s="11">
        <f>IFERROR(__xludf.DUMMYFUNCTION("""COMPUTED_VALUE"""),237.0)</f>
        <v>237</v>
      </c>
      <c r="D1095" s="11">
        <f>IFERROR(__xludf.DUMMYFUNCTION("""COMPUTED_VALUE"""),108.0)</f>
        <v>108</v>
      </c>
      <c r="E1095" s="9"/>
    </row>
    <row r="1096">
      <c r="A1096" s="10">
        <f>IFERROR(__xludf.DUMMYFUNCTION("""COMPUTED_VALUE"""),96968.0)</f>
        <v>96968</v>
      </c>
      <c r="B1096" s="11">
        <f>IFERROR(__xludf.DUMMYFUNCTION("""COMPUTED_VALUE"""),1.0)</f>
        <v>1</v>
      </c>
      <c r="C1096" s="11">
        <f>IFERROR(__xludf.DUMMYFUNCTION("""COMPUTED_VALUE"""),423.0)</f>
        <v>423</v>
      </c>
      <c r="D1096" s="11">
        <f>IFERROR(__xludf.DUMMYFUNCTION("""COMPUTED_VALUE"""),408.0)</f>
        <v>408</v>
      </c>
      <c r="E1096" s="9"/>
    </row>
    <row r="1097">
      <c r="A1097" s="10">
        <f>IFERROR(__xludf.DUMMYFUNCTION("""COMPUTED_VALUE"""),126578.0)</f>
        <v>126578</v>
      </c>
      <c r="B1097" s="11">
        <f>IFERROR(__xludf.DUMMYFUNCTION("""COMPUTED_VALUE"""),0.0)</f>
        <v>0</v>
      </c>
      <c r="C1097" s="11">
        <f>IFERROR(__xludf.DUMMYFUNCTION("""COMPUTED_VALUE"""),627.0)</f>
        <v>627</v>
      </c>
      <c r="D1097" s="11">
        <f>IFERROR(__xludf.DUMMYFUNCTION("""COMPUTED_VALUE"""),364.0)</f>
        <v>364</v>
      </c>
      <c r="E1097" s="9"/>
    </row>
    <row r="1098">
      <c r="A1098" s="10">
        <f>IFERROR(__xludf.DUMMYFUNCTION("""COMPUTED_VALUE"""),126581.0)</f>
        <v>126581</v>
      </c>
      <c r="B1098" s="11">
        <f>IFERROR(__xludf.DUMMYFUNCTION("""COMPUTED_VALUE"""),0.0)</f>
        <v>0</v>
      </c>
      <c r="C1098" s="11">
        <f>IFERROR(__xludf.DUMMYFUNCTION("""COMPUTED_VALUE"""),507.0)</f>
        <v>507</v>
      </c>
      <c r="D1098" s="11">
        <f>IFERROR(__xludf.DUMMYFUNCTION("""COMPUTED_VALUE"""),280.0)</f>
        <v>280</v>
      </c>
      <c r="E1098" s="9"/>
    </row>
    <row r="1099">
      <c r="A1099" s="10">
        <f>IFERROR(__xludf.DUMMYFUNCTION("""COMPUTED_VALUE"""),96956.0)</f>
        <v>96956</v>
      </c>
      <c r="B1099" s="11">
        <f>IFERROR(__xludf.DUMMYFUNCTION("""COMPUTED_VALUE"""),0.0)</f>
        <v>0</v>
      </c>
      <c r="C1099" s="11">
        <f>IFERROR(__xludf.DUMMYFUNCTION("""COMPUTED_VALUE"""),39.0)</f>
        <v>39</v>
      </c>
      <c r="D1099" s="11">
        <f>IFERROR(__xludf.DUMMYFUNCTION("""COMPUTED_VALUE"""),26.0)</f>
        <v>26</v>
      </c>
      <c r="E1099" s="9"/>
    </row>
    <row r="1100">
      <c r="A1100" s="10">
        <f>IFERROR(__xludf.DUMMYFUNCTION("""COMPUTED_VALUE"""),116774.0)</f>
        <v>116774</v>
      </c>
      <c r="B1100" s="11">
        <f>IFERROR(__xludf.DUMMYFUNCTION("""COMPUTED_VALUE"""),1.0)</f>
        <v>1</v>
      </c>
      <c r="C1100" s="11">
        <f>IFERROR(__xludf.DUMMYFUNCTION("""COMPUTED_VALUE"""),374.0)</f>
        <v>374</v>
      </c>
      <c r="D1100" s="11">
        <f>IFERROR(__xludf.DUMMYFUNCTION("""COMPUTED_VALUE"""),262.0)</f>
        <v>262</v>
      </c>
      <c r="E1100" s="9"/>
    </row>
    <row r="1101">
      <c r="A1101" s="10">
        <f>IFERROR(__xludf.DUMMYFUNCTION("""COMPUTED_VALUE"""),147293.0)</f>
        <v>147293</v>
      </c>
      <c r="B1101" s="11">
        <f>IFERROR(__xludf.DUMMYFUNCTION("""COMPUTED_VALUE"""),1.0)</f>
        <v>1</v>
      </c>
      <c r="C1101" s="11">
        <f>IFERROR(__xludf.DUMMYFUNCTION("""COMPUTED_VALUE"""),757.0)</f>
        <v>757</v>
      </c>
      <c r="D1101" s="11">
        <f>IFERROR(__xludf.DUMMYFUNCTION("""COMPUTED_VALUE"""),695.0)</f>
        <v>695</v>
      </c>
      <c r="E1101" s="9"/>
    </row>
    <row r="1102">
      <c r="A1102" s="10">
        <f>IFERROR(__xludf.DUMMYFUNCTION("""COMPUTED_VALUE"""),119228.0)</f>
        <v>119228</v>
      </c>
      <c r="B1102" s="11">
        <f>IFERROR(__xludf.DUMMYFUNCTION("""COMPUTED_VALUE"""),1.0)</f>
        <v>1</v>
      </c>
      <c r="C1102" s="11">
        <f>IFERROR(__xludf.DUMMYFUNCTION("""COMPUTED_VALUE"""),533.0)</f>
        <v>533</v>
      </c>
      <c r="D1102" s="11">
        <f>IFERROR(__xludf.DUMMYFUNCTION("""COMPUTED_VALUE"""),275.0)</f>
        <v>275</v>
      </c>
      <c r="E1102" s="9"/>
    </row>
    <row r="1103">
      <c r="A1103" s="10">
        <f>IFERROR(__xludf.DUMMYFUNCTION("""COMPUTED_VALUE"""),5618.0)</f>
        <v>5618</v>
      </c>
      <c r="B1103" s="11">
        <f>IFERROR(__xludf.DUMMYFUNCTION("""COMPUTED_VALUE"""),0.0)</f>
        <v>0</v>
      </c>
      <c r="C1103" s="11">
        <f>IFERROR(__xludf.DUMMYFUNCTION("""COMPUTED_VALUE"""),964.0)</f>
        <v>964</v>
      </c>
      <c r="D1103" s="11">
        <f>IFERROR(__xludf.DUMMYFUNCTION("""COMPUTED_VALUE"""),862.0)</f>
        <v>862</v>
      </c>
      <c r="E1103" s="9"/>
    </row>
    <row r="1104">
      <c r="A1104" s="10">
        <f>IFERROR(__xludf.DUMMYFUNCTION("""COMPUTED_VALUE"""),126579.0)</f>
        <v>126579</v>
      </c>
      <c r="B1104" s="11">
        <f>IFERROR(__xludf.DUMMYFUNCTION("""COMPUTED_VALUE"""),1.0)</f>
        <v>1</v>
      </c>
      <c r="C1104" s="11">
        <f>IFERROR(__xludf.DUMMYFUNCTION("""COMPUTED_VALUE"""),345.0)</f>
        <v>345</v>
      </c>
      <c r="D1104" s="11">
        <f>IFERROR(__xludf.DUMMYFUNCTION("""COMPUTED_VALUE"""),343.0)</f>
        <v>343</v>
      </c>
      <c r="E1104" s="9"/>
    </row>
    <row r="1105">
      <c r="A1105" s="10">
        <f>IFERROR(__xludf.DUMMYFUNCTION("""COMPUTED_VALUE"""),117219.0)</f>
        <v>117219</v>
      </c>
      <c r="B1105" s="11">
        <f>IFERROR(__xludf.DUMMYFUNCTION("""COMPUTED_VALUE"""),1.0)</f>
        <v>1</v>
      </c>
      <c r="C1105" s="11">
        <f>IFERROR(__xludf.DUMMYFUNCTION("""COMPUTED_VALUE"""),82.0)</f>
        <v>82</v>
      </c>
      <c r="D1105" s="11">
        <f>IFERROR(__xludf.DUMMYFUNCTION("""COMPUTED_VALUE"""),28.0)</f>
        <v>28</v>
      </c>
      <c r="E1105" s="9"/>
    </row>
    <row r="1106">
      <c r="A1106" s="10">
        <f>IFERROR(__xludf.DUMMYFUNCTION("""COMPUTED_VALUE"""),44110.0)</f>
        <v>44110</v>
      </c>
      <c r="B1106" s="11">
        <f>IFERROR(__xludf.DUMMYFUNCTION("""COMPUTED_VALUE"""),0.0)</f>
        <v>0</v>
      </c>
      <c r="C1106" s="11">
        <f>IFERROR(__xludf.DUMMYFUNCTION("""COMPUTED_VALUE"""),831.0)</f>
        <v>831</v>
      </c>
      <c r="D1106" s="11">
        <f>IFERROR(__xludf.DUMMYFUNCTION("""COMPUTED_VALUE"""),118.0)</f>
        <v>118</v>
      </c>
      <c r="E1106" s="9"/>
    </row>
    <row r="1107">
      <c r="A1107" s="10">
        <f>IFERROR(__xludf.DUMMYFUNCTION("""COMPUTED_VALUE"""),76223.0)</f>
        <v>76223</v>
      </c>
      <c r="B1107" s="11">
        <f>IFERROR(__xludf.DUMMYFUNCTION("""COMPUTED_VALUE"""),1.0)</f>
        <v>1</v>
      </c>
      <c r="C1107" s="11">
        <f>IFERROR(__xludf.DUMMYFUNCTION("""COMPUTED_VALUE"""),330.0)</f>
        <v>330</v>
      </c>
      <c r="D1107" s="11">
        <f>IFERROR(__xludf.DUMMYFUNCTION("""COMPUTED_VALUE"""),235.0)</f>
        <v>235</v>
      </c>
      <c r="E1107" s="9"/>
    </row>
    <row r="1108">
      <c r="A1108" s="10">
        <f>IFERROR(__xludf.DUMMYFUNCTION("""COMPUTED_VALUE"""),48406.0)</f>
        <v>48406</v>
      </c>
      <c r="B1108" s="11">
        <f>IFERROR(__xludf.DUMMYFUNCTION("""COMPUTED_VALUE"""),0.0)</f>
        <v>0</v>
      </c>
      <c r="C1108" s="11">
        <f>IFERROR(__xludf.DUMMYFUNCTION("""COMPUTED_VALUE"""),39.0)</f>
        <v>39</v>
      </c>
      <c r="D1108" s="11">
        <f>IFERROR(__xludf.DUMMYFUNCTION("""COMPUTED_VALUE"""),34.0)</f>
        <v>34</v>
      </c>
      <c r="E1108" s="9"/>
    </row>
    <row r="1109">
      <c r="A1109" s="10">
        <f>IFERROR(__xludf.DUMMYFUNCTION("""COMPUTED_VALUE"""),77514.0)</f>
        <v>77514</v>
      </c>
      <c r="B1109" s="11">
        <f>IFERROR(__xludf.DUMMYFUNCTION("""COMPUTED_VALUE"""),0.0)</f>
        <v>0</v>
      </c>
      <c r="C1109" s="11">
        <f>IFERROR(__xludf.DUMMYFUNCTION("""COMPUTED_VALUE"""),554.0)</f>
        <v>554</v>
      </c>
      <c r="D1109" s="11">
        <f>IFERROR(__xludf.DUMMYFUNCTION("""COMPUTED_VALUE"""),360.0)</f>
        <v>360</v>
      </c>
      <c r="E1109" s="9"/>
    </row>
    <row r="1110">
      <c r="A1110" s="10">
        <f>IFERROR(__xludf.DUMMYFUNCTION("""COMPUTED_VALUE"""),117221.0)</f>
        <v>117221</v>
      </c>
      <c r="B1110" s="11">
        <f>IFERROR(__xludf.DUMMYFUNCTION("""COMPUTED_VALUE"""),1.0)</f>
        <v>1</v>
      </c>
      <c r="C1110" s="11">
        <f>IFERROR(__xludf.DUMMYFUNCTION("""COMPUTED_VALUE"""),869.0)</f>
        <v>869</v>
      </c>
      <c r="D1110" s="11">
        <f>IFERROR(__xludf.DUMMYFUNCTION("""COMPUTED_VALUE"""),384.0)</f>
        <v>384</v>
      </c>
      <c r="E1110" s="9"/>
    </row>
    <row r="1111">
      <c r="A1111" s="10">
        <f>IFERROR(__xludf.DUMMYFUNCTION("""COMPUTED_VALUE"""),115602.0)</f>
        <v>115602</v>
      </c>
      <c r="B1111" s="11">
        <f>IFERROR(__xludf.DUMMYFUNCTION("""COMPUTED_VALUE"""),0.0)</f>
        <v>0</v>
      </c>
      <c r="C1111" s="11">
        <f>IFERROR(__xludf.DUMMYFUNCTION("""COMPUTED_VALUE"""),479.0)</f>
        <v>479</v>
      </c>
      <c r="D1111" s="11">
        <f>IFERROR(__xludf.DUMMYFUNCTION("""COMPUTED_VALUE"""),444.0)</f>
        <v>444</v>
      </c>
      <c r="E1111" s="9"/>
    </row>
    <row r="1112">
      <c r="A1112" s="10">
        <f>IFERROR(__xludf.DUMMYFUNCTION("""COMPUTED_VALUE"""),44107.0)</f>
        <v>44107</v>
      </c>
      <c r="B1112" s="11">
        <f>IFERROR(__xludf.DUMMYFUNCTION("""COMPUTED_VALUE"""),1.0)</f>
        <v>1</v>
      </c>
      <c r="C1112" s="11">
        <f>IFERROR(__xludf.DUMMYFUNCTION("""COMPUTED_VALUE"""),797.0)</f>
        <v>797</v>
      </c>
      <c r="D1112" s="11">
        <f>IFERROR(__xludf.DUMMYFUNCTION("""COMPUTED_VALUE"""),293.0)</f>
        <v>293</v>
      </c>
      <c r="E1112" s="9"/>
    </row>
    <row r="1113">
      <c r="A1113" s="10">
        <f>IFERROR(__xludf.DUMMYFUNCTION("""COMPUTED_VALUE"""),115604.0)</f>
        <v>115604</v>
      </c>
      <c r="B1113" s="11">
        <f>IFERROR(__xludf.DUMMYFUNCTION("""COMPUTED_VALUE"""),0.0)</f>
        <v>0</v>
      </c>
      <c r="C1113" s="11">
        <f>IFERROR(__xludf.DUMMYFUNCTION("""COMPUTED_VALUE"""),680.0)</f>
        <v>680</v>
      </c>
      <c r="D1113" s="11">
        <f>IFERROR(__xludf.DUMMYFUNCTION("""COMPUTED_VALUE"""),437.0)</f>
        <v>437</v>
      </c>
      <c r="E1113" s="9"/>
    </row>
    <row r="1114">
      <c r="A1114" s="10">
        <f>IFERROR(__xludf.DUMMYFUNCTION("""COMPUTED_VALUE"""),118926.0)</f>
        <v>118926</v>
      </c>
      <c r="B1114" s="11">
        <f>IFERROR(__xludf.DUMMYFUNCTION("""COMPUTED_VALUE"""),1.0)</f>
        <v>1</v>
      </c>
      <c r="C1114" s="11">
        <f>IFERROR(__xludf.DUMMYFUNCTION("""COMPUTED_VALUE"""),871.0)</f>
        <v>871</v>
      </c>
      <c r="D1114" s="11">
        <f>IFERROR(__xludf.DUMMYFUNCTION("""COMPUTED_VALUE"""),317.0)</f>
        <v>317</v>
      </c>
      <c r="E1114" s="9"/>
    </row>
    <row r="1115">
      <c r="A1115" s="10">
        <f>IFERROR(__xludf.DUMMYFUNCTION("""COMPUTED_VALUE"""),118304.0)</f>
        <v>118304</v>
      </c>
      <c r="B1115" s="11">
        <f>IFERROR(__xludf.DUMMYFUNCTION("""COMPUTED_VALUE"""),1.0)</f>
        <v>1</v>
      </c>
      <c r="C1115" s="11">
        <f>IFERROR(__xludf.DUMMYFUNCTION("""COMPUTED_VALUE"""),534.0)</f>
        <v>534</v>
      </c>
      <c r="D1115" s="11">
        <f>IFERROR(__xludf.DUMMYFUNCTION("""COMPUTED_VALUE"""),264.0)</f>
        <v>264</v>
      </c>
      <c r="E1115" s="9"/>
    </row>
    <row r="1116">
      <c r="A1116" s="10">
        <f>IFERROR(__xludf.DUMMYFUNCTION("""COMPUTED_VALUE"""),5621.0)</f>
        <v>5621</v>
      </c>
      <c r="B1116" s="11">
        <f>IFERROR(__xludf.DUMMYFUNCTION("""COMPUTED_VALUE"""),0.0)</f>
        <v>0</v>
      </c>
      <c r="C1116" s="11">
        <f>IFERROR(__xludf.DUMMYFUNCTION("""COMPUTED_VALUE"""),849.0)</f>
        <v>849</v>
      </c>
      <c r="D1116" s="11">
        <f>IFERROR(__xludf.DUMMYFUNCTION("""COMPUTED_VALUE"""),491.0)</f>
        <v>491</v>
      </c>
      <c r="E1116" s="9"/>
    </row>
    <row r="1117">
      <c r="A1117" s="10">
        <f>IFERROR(__xludf.DUMMYFUNCTION("""COMPUTED_VALUE"""),44105.0)</f>
        <v>44105</v>
      </c>
      <c r="B1117" s="11">
        <f>IFERROR(__xludf.DUMMYFUNCTION("""COMPUTED_VALUE"""),1.0)</f>
        <v>1</v>
      </c>
      <c r="C1117" s="11">
        <f>IFERROR(__xludf.DUMMYFUNCTION("""COMPUTED_VALUE"""),837.0)</f>
        <v>837</v>
      </c>
      <c r="D1117" s="11">
        <f>IFERROR(__xludf.DUMMYFUNCTION("""COMPUTED_VALUE"""),133.0)</f>
        <v>133</v>
      </c>
      <c r="E1117" s="9"/>
    </row>
    <row r="1118">
      <c r="A1118" s="10">
        <f>IFERROR(__xludf.DUMMYFUNCTION("""COMPUTED_VALUE"""),126580.0)</f>
        <v>126580</v>
      </c>
      <c r="B1118" s="11">
        <f>IFERROR(__xludf.DUMMYFUNCTION("""COMPUTED_VALUE"""),0.0)</f>
        <v>0</v>
      </c>
      <c r="C1118" s="11">
        <f>IFERROR(__xludf.DUMMYFUNCTION("""COMPUTED_VALUE"""),541.0)</f>
        <v>541</v>
      </c>
      <c r="D1118" s="11">
        <f>IFERROR(__xludf.DUMMYFUNCTION("""COMPUTED_VALUE"""),69.0)</f>
        <v>69</v>
      </c>
      <c r="E1118" s="9"/>
    </row>
    <row r="1119">
      <c r="A1119" s="10">
        <f>IFERROR(__xludf.DUMMYFUNCTION("""COMPUTED_VALUE"""),5624.0)</f>
        <v>5624</v>
      </c>
      <c r="B1119" s="11">
        <f>IFERROR(__xludf.DUMMYFUNCTION("""COMPUTED_VALUE"""),0.0)</f>
        <v>0</v>
      </c>
      <c r="C1119" s="11">
        <f>IFERROR(__xludf.DUMMYFUNCTION("""COMPUTED_VALUE"""),455.0)</f>
        <v>455</v>
      </c>
      <c r="D1119" s="11">
        <f>IFERROR(__xludf.DUMMYFUNCTION("""COMPUTED_VALUE"""),262.0)</f>
        <v>262</v>
      </c>
      <c r="E1119" s="9"/>
    </row>
    <row r="1120">
      <c r="A1120" s="10">
        <f>IFERROR(__xludf.DUMMYFUNCTION("""COMPUTED_VALUE"""),88679.0)</f>
        <v>88679</v>
      </c>
      <c r="B1120" s="11">
        <f>IFERROR(__xludf.DUMMYFUNCTION("""COMPUTED_VALUE"""),1.0)</f>
        <v>1</v>
      </c>
      <c r="C1120" s="11">
        <f>IFERROR(__xludf.DUMMYFUNCTION("""COMPUTED_VALUE"""),530.0)</f>
        <v>530</v>
      </c>
      <c r="D1120" s="11">
        <f>IFERROR(__xludf.DUMMYFUNCTION("""COMPUTED_VALUE"""),38.0)</f>
        <v>38</v>
      </c>
      <c r="E1120" s="9"/>
    </row>
    <row r="1121">
      <c r="A1121" s="10">
        <f>IFERROR(__xludf.DUMMYFUNCTION("""COMPUTED_VALUE"""),118305.0)</f>
        <v>118305</v>
      </c>
      <c r="B1121" s="11">
        <f>IFERROR(__xludf.DUMMYFUNCTION("""COMPUTED_VALUE"""),0.0)</f>
        <v>0</v>
      </c>
      <c r="C1121" s="11">
        <f>IFERROR(__xludf.DUMMYFUNCTION("""COMPUTED_VALUE"""),46.0)</f>
        <v>46</v>
      </c>
      <c r="D1121" s="11">
        <f>IFERROR(__xludf.DUMMYFUNCTION("""COMPUTED_VALUE"""),1.0)</f>
        <v>1</v>
      </c>
      <c r="E1121" s="9"/>
    </row>
    <row r="1122">
      <c r="A1122" s="10">
        <f>IFERROR(__xludf.DUMMYFUNCTION("""COMPUTED_VALUE"""),60380.0)</f>
        <v>60380</v>
      </c>
      <c r="B1122" s="11">
        <f>IFERROR(__xludf.DUMMYFUNCTION("""COMPUTED_VALUE"""),0.0)</f>
        <v>0</v>
      </c>
      <c r="C1122" s="11">
        <f>IFERROR(__xludf.DUMMYFUNCTION("""COMPUTED_VALUE"""),160.0)</f>
        <v>160</v>
      </c>
      <c r="D1122" s="11">
        <f>IFERROR(__xludf.DUMMYFUNCTION("""COMPUTED_VALUE"""),108.0)</f>
        <v>108</v>
      </c>
      <c r="E1122" s="9"/>
    </row>
    <row r="1123">
      <c r="A1123" s="10">
        <f>IFERROR(__xludf.DUMMYFUNCTION("""COMPUTED_VALUE"""),77475.0)</f>
        <v>77475</v>
      </c>
      <c r="B1123" s="11">
        <f>IFERROR(__xludf.DUMMYFUNCTION("""COMPUTED_VALUE"""),0.0)</f>
        <v>0</v>
      </c>
      <c r="C1123" s="11">
        <f>IFERROR(__xludf.DUMMYFUNCTION("""COMPUTED_VALUE"""),806.0)</f>
        <v>806</v>
      </c>
      <c r="D1123" s="11">
        <f>IFERROR(__xludf.DUMMYFUNCTION("""COMPUTED_VALUE"""),122.0)</f>
        <v>122</v>
      </c>
      <c r="E1123" s="9"/>
    </row>
    <row r="1124">
      <c r="A1124" s="10">
        <f>IFERROR(__xludf.DUMMYFUNCTION("""COMPUTED_VALUE"""),110577.0)</f>
        <v>110577</v>
      </c>
      <c r="B1124" s="11">
        <f>IFERROR(__xludf.DUMMYFUNCTION("""COMPUTED_VALUE"""),1.0)</f>
        <v>1</v>
      </c>
      <c r="C1124" s="11">
        <f>IFERROR(__xludf.DUMMYFUNCTION("""COMPUTED_VALUE"""),85.0)</f>
        <v>85</v>
      </c>
      <c r="D1124" s="11">
        <f>IFERROR(__xludf.DUMMYFUNCTION("""COMPUTED_VALUE"""),37.0)</f>
        <v>37</v>
      </c>
      <c r="E1124" s="9"/>
    </row>
    <row r="1125">
      <c r="A1125" s="10">
        <f>IFERROR(__xludf.DUMMYFUNCTION("""COMPUTED_VALUE"""),110571.0)</f>
        <v>110571</v>
      </c>
      <c r="B1125" s="11">
        <f>IFERROR(__xludf.DUMMYFUNCTION("""COMPUTED_VALUE"""),1.0)</f>
        <v>1</v>
      </c>
      <c r="C1125" s="11">
        <f>IFERROR(__xludf.DUMMYFUNCTION("""COMPUTED_VALUE"""),870.0)</f>
        <v>870</v>
      </c>
      <c r="D1125" s="11">
        <f>IFERROR(__xludf.DUMMYFUNCTION("""COMPUTED_VALUE"""),143.0)</f>
        <v>143</v>
      </c>
      <c r="E1125" s="9"/>
    </row>
    <row r="1126">
      <c r="A1126" s="10">
        <f>IFERROR(__xludf.DUMMYFUNCTION("""COMPUTED_VALUE"""),103835.0)</f>
        <v>103835</v>
      </c>
      <c r="B1126" s="11">
        <f>IFERROR(__xludf.DUMMYFUNCTION("""COMPUTED_VALUE"""),1.0)</f>
        <v>1</v>
      </c>
      <c r="C1126" s="11">
        <f>IFERROR(__xludf.DUMMYFUNCTION("""COMPUTED_VALUE"""),676.0)</f>
        <v>676</v>
      </c>
      <c r="D1126" s="11">
        <f>IFERROR(__xludf.DUMMYFUNCTION("""COMPUTED_VALUE"""),86.0)</f>
        <v>86</v>
      </c>
      <c r="E1126" s="9"/>
    </row>
    <row r="1127">
      <c r="A1127" s="10">
        <f>IFERROR(__xludf.DUMMYFUNCTION("""COMPUTED_VALUE"""),5646.0)</f>
        <v>5646</v>
      </c>
      <c r="B1127" s="11">
        <f>IFERROR(__xludf.DUMMYFUNCTION("""COMPUTED_VALUE"""),0.0)</f>
        <v>0</v>
      </c>
      <c r="C1127" s="11">
        <f>IFERROR(__xludf.DUMMYFUNCTION("""COMPUTED_VALUE"""),915.0)</f>
        <v>915</v>
      </c>
      <c r="D1127" s="11">
        <f>IFERROR(__xludf.DUMMYFUNCTION("""COMPUTED_VALUE"""),35.0)</f>
        <v>35</v>
      </c>
      <c r="E1127" s="9"/>
    </row>
    <row r="1128">
      <c r="A1128" s="10">
        <f>IFERROR(__xludf.DUMMYFUNCTION("""COMPUTED_VALUE"""),5649.0)</f>
        <v>5649</v>
      </c>
      <c r="B1128" s="11">
        <f>IFERROR(__xludf.DUMMYFUNCTION("""COMPUTED_VALUE"""),1.0)</f>
        <v>1</v>
      </c>
      <c r="C1128" s="11">
        <f>IFERROR(__xludf.DUMMYFUNCTION("""COMPUTED_VALUE"""),23.0)</f>
        <v>23</v>
      </c>
      <c r="D1128" s="11">
        <f>IFERROR(__xludf.DUMMYFUNCTION("""COMPUTED_VALUE"""),20.0)</f>
        <v>20</v>
      </c>
      <c r="E1128" s="9"/>
    </row>
    <row r="1129">
      <c r="A1129" s="10">
        <f>IFERROR(__xludf.DUMMYFUNCTION("""COMPUTED_VALUE"""),5647.0)</f>
        <v>5647</v>
      </c>
      <c r="B1129" s="11">
        <f>IFERROR(__xludf.DUMMYFUNCTION("""COMPUTED_VALUE"""),0.0)</f>
        <v>0</v>
      </c>
      <c r="C1129" s="11">
        <f>IFERROR(__xludf.DUMMYFUNCTION("""COMPUTED_VALUE"""),831.0)</f>
        <v>831</v>
      </c>
      <c r="D1129" s="11">
        <f>IFERROR(__xludf.DUMMYFUNCTION("""COMPUTED_VALUE"""),460.0)</f>
        <v>460</v>
      </c>
      <c r="E1129" s="9"/>
    </row>
    <row r="1130">
      <c r="A1130" s="10">
        <f>IFERROR(__xludf.DUMMYFUNCTION("""COMPUTED_VALUE"""),5648.0)</f>
        <v>5648</v>
      </c>
      <c r="B1130" s="11">
        <f>IFERROR(__xludf.DUMMYFUNCTION("""COMPUTED_VALUE"""),0.0)</f>
        <v>0</v>
      </c>
      <c r="C1130" s="11">
        <f>IFERROR(__xludf.DUMMYFUNCTION("""COMPUTED_VALUE"""),669.0)</f>
        <v>669</v>
      </c>
      <c r="D1130" s="11">
        <f>IFERROR(__xludf.DUMMYFUNCTION("""COMPUTED_VALUE"""),597.0)</f>
        <v>597</v>
      </c>
      <c r="E1130" s="9"/>
    </row>
    <row r="1131">
      <c r="A1131" s="10">
        <f>IFERROR(__xludf.DUMMYFUNCTION("""COMPUTED_VALUE"""),108292.0)</f>
        <v>108292</v>
      </c>
      <c r="B1131" s="11">
        <f>IFERROR(__xludf.DUMMYFUNCTION("""COMPUTED_VALUE"""),1.0)</f>
        <v>1</v>
      </c>
      <c r="C1131" s="11">
        <f>IFERROR(__xludf.DUMMYFUNCTION("""COMPUTED_VALUE"""),623.0)</f>
        <v>623</v>
      </c>
      <c r="D1131" s="11">
        <f>IFERROR(__xludf.DUMMYFUNCTION("""COMPUTED_VALUE"""),161.0)</f>
        <v>161</v>
      </c>
      <c r="E1131" s="9"/>
    </row>
    <row r="1132">
      <c r="A1132" s="10">
        <f>IFERROR(__xludf.DUMMYFUNCTION("""COMPUTED_VALUE"""),110572.0)</f>
        <v>110572</v>
      </c>
      <c r="B1132" s="11">
        <f>IFERROR(__xludf.DUMMYFUNCTION("""COMPUTED_VALUE"""),1.0)</f>
        <v>1</v>
      </c>
      <c r="C1132" s="11">
        <f>IFERROR(__xludf.DUMMYFUNCTION("""COMPUTED_VALUE"""),366.0)</f>
        <v>366</v>
      </c>
      <c r="D1132" s="11">
        <f>IFERROR(__xludf.DUMMYFUNCTION("""COMPUTED_VALUE"""),42.0)</f>
        <v>42</v>
      </c>
      <c r="E1132" s="9"/>
    </row>
    <row r="1133">
      <c r="A1133" s="10">
        <f>IFERROR(__xludf.DUMMYFUNCTION("""COMPUTED_VALUE"""),77456.0)</f>
        <v>77456</v>
      </c>
      <c r="B1133" s="11">
        <f>IFERROR(__xludf.DUMMYFUNCTION("""COMPUTED_VALUE"""),1.0)</f>
        <v>1</v>
      </c>
      <c r="C1133" s="11">
        <f>IFERROR(__xludf.DUMMYFUNCTION("""COMPUTED_VALUE"""),129.0)</f>
        <v>129</v>
      </c>
      <c r="D1133" s="11">
        <f>IFERROR(__xludf.DUMMYFUNCTION("""COMPUTED_VALUE"""),15.0)</f>
        <v>15</v>
      </c>
      <c r="E1133" s="9"/>
    </row>
    <row r="1134">
      <c r="A1134" s="10">
        <f>IFERROR(__xludf.DUMMYFUNCTION("""COMPUTED_VALUE"""),77454.0)</f>
        <v>77454</v>
      </c>
      <c r="B1134" s="11">
        <f>IFERROR(__xludf.DUMMYFUNCTION("""COMPUTED_VALUE"""),0.0)</f>
        <v>0</v>
      </c>
      <c r="C1134" s="11">
        <f>IFERROR(__xludf.DUMMYFUNCTION("""COMPUTED_VALUE"""),932.0)</f>
        <v>932</v>
      </c>
      <c r="D1134" s="11">
        <f>IFERROR(__xludf.DUMMYFUNCTION("""COMPUTED_VALUE"""),131.0)</f>
        <v>131</v>
      </c>
      <c r="E1134" s="9"/>
    </row>
    <row r="1135">
      <c r="A1135" s="10">
        <f>IFERROR(__xludf.DUMMYFUNCTION("""COMPUTED_VALUE"""),44095.0)</f>
        <v>44095</v>
      </c>
      <c r="B1135" s="11">
        <f>IFERROR(__xludf.DUMMYFUNCTION("""COMPUTED_VALUE"""),1.0)</f>
        <v>1</v>
      </c>
      <c r="C1135" s="11">
        <f>IFERROR(__xludf.DUMMYFUNCTION("""COMPUTED_VALUE"""),524.0)</f>
        <v>524</v>
      </c>
      <c r="D1135" s="11">
        <f>IFERROR(__xludf.DUMMYFUNCTION("""COMPUTED_VALUE"""),284.0)</f>
        <v>284</v>
      </c>
      <c r="E1135" s="9"/>
    </row>
    <row r="1136">
      <c r="A1136" s="10">
        <f>IFERROR(__xludf.DUMMYFUNCTION("""COMPUTED_VALUE"""),87419.0)</f>
        <v>87419</v>
      </c>
      <c r="B1136" s="11">
        <f>IFERROR(__xludf.DUMMYFUNCTION("""COMPUTED_VALUE"""),1.0)</f>
        <v>1</v>
      </c>
      <c r="C1136" s="11">
        <f>IFERROR(__xludf.DUMMYFUNCTION("""COMPUTED_VALUE"""),234.0)</f>
        <v>234</v>
      </c>
      <c r="D1136" s="11">
        <f>IFERROR(__xludf.DUMMYFUNCTION("""COMPUTED_VALUE"""),120.0)</f>
        <v>120</v>
      </c>
      <c r="E1136" s="9"/>
    </row>
    <row r="1137">
      <c r="A1137" s="10">
        <f>IFERROR(__xludf.DUMMYFUNCTION("""COMPUTED_VALUE"""),44087.0)</f>
        <v>44087</v>
      </c>
      <c r="B1137" s="11">
        <f>IFERROR(__xludf.DUMMYFUNCTION("""COMPUTED_VALUE"""),1.0)</f>
        <v>1</v>
      </c>
      <c r="C1137" s="11">
        <f>IFERROR(__xludf.DUMMYFUNCTION("""COMPUTED_VALUE"""),329.0)</f>
        <v>329</v>
      </c>
      <c r="D1137" s="11">
        <f>IFERROR(__xludf.DUMMYFUNCTION("""COMPUTED_VALUE"""),299.0)</f>
        <v>299</v>
      </c>
      <c r="E1137" s="9"/>
    </row>
    <row r="1138">
      <c r="A1138" s="10">
        <f>IFERROR(__xludf.DUMMYFUNCTION("""COMPUTED_VALUE"""),44129.0)</f>
        <v>44129</v>
      </c>
      <c r="B1138" s="11">
        <f>IFERROR(__xludf.DUMMYFUNCTION("""COMPUTED_VALUE"""),0.0)</f>
        <v>0</v>
      </c>
      <c r="C1138" s="11">
        <f>IFERROR(__xludf.DUMMYFUNCTION("""COMPUTED_VALUE"""),554.0)</f>
        <v>554</v>
      </c>
      <c r="D1138" s="11">
        <f>IFERROR(__xludf.DUMMYFUNCTION("""COMPUTED_VALUE"""),18.0)</f>
        <v>18</v>
      </c>
      <c r="E1138" s="9"/>
    </row>
    <row r="1139">
      <c r="A1139" s="10">
        <f>IFERROR(__xludf.DUMMYFUNCTION("""COMPUTED_VALUE"""),103832.0)</f>
        <v>103832</v>
      </c>
      <c r="B1139" s="11">
        <f>IFERROR(__xludf.DUMMYFUNCTION("""COMPUTED_VALUE"""),1.0)</f>
        <v>1</v>
      </c>
      <c r="C1139" s="11">
        <f>IFERROR(__xludf.DUMMYFUNCTION("""COMPUTED_VALUE"""),827.0)</f>
        <v>827</v>
      </c>
      <c r="D1139" s="11">
        <f>IFERROR(__xludf.DUMMYFUNCTION("""COMPUTED_VALUE"""),97.0)</f>
        <v>97</v>
      </c>
      <c r="E1139" s="9"/>
    </row>
    <row r="1140">
      <c r="A1140" s="10">
        <f>IFERROR(__xludf.DUMMYFUNCTION("""COMPUTED_VALUE"""),103819.0)</f>
        <v>103819</v>
      </c>
      <c r="B1140" s="11">
        <f>IFERROR(__xludf.DUMMYFUNCTION("""COMPUTED_VALUE"""),0.0)</f>
        <v>0</v>
      </c>
      <c r="C1140" s="11">
        <f>IFERROR(__xludf.DUMMYFUNCTION("""COMPUTED_VALUE"""),599.0)</f>
        <v>599</v>
      </c>
      <c r="D1140" s="11">
        <f>IFERROR(__xludf.DUMMYFUNCTION("""COMPUTED_VALUE"""),291.0)</f>
        <v>291</v>
      </c>
      <c r="E1140" s="9"/>
    </row>
    <row r="1141">
      <c r="A1141" s="10">
        <f>IFERROR(__xludf.DUMMYFUNCTION("""COMPUTED_VALUE"""),88683.0)</f>
        <v>88683</v>
      </c>
      <c r="B1141" s="11">
        <f>IFERROR(__xludf.DUMMYFUNCTION("""COMPUTED_VALUE"""),0.0)</f>
        <v>0</v>
      </c>
      <c r="C1141" s="11">
        <f>IFERROR(__xludf.DUMMYFUNCTION("""COMPUTED_VALUE"""),276.0)</f>
        <v>276</v>
      </c>
      <c r="D1141" s="11">
        <f>IFERROR(__xludf.DUMMYFUNCTION("""COMPUTED_VALUE"""),142.0)</f>
        <v>142</v>
      </c>
      <c r="E1141" s="9"/>
    </row>
    <row r="1142">
      <c r="A1142" s="10">
        <f>IFERROR(__xludf.DUMMYFUNCTION("""COMPUTED_VALUE"""),5676.0)</f>
        <v>5676</v>
      </c>
      <c r="B1142" s="11">
        <f>IFERROR(__xludf.DUMMYFUNCTION("""COMPUTED_VALUE"""),1.0)</f>
        <v>1</v>
      </c>
      <c r="C1142" s="11">
        <f>IFERROR(__xludf.DUMMYFUNCTION("""COMPUTED_VALUE"""),158.0)</f>
        <v>158</v>
      </c>
      <c r="D1142" s="11">
        <f>IFERROR(__xludf.DUMMYFUNCTION("""COMPUTED_VALUE"""),144.0)</f>
        <v>144</v>
      </c>
      <c r="E1142" s="9"/>
    </row>
    <row r="1143">
      <c r="A1143" s="10">
        <f>IFERROR(__xludf.DUMMYFUNCTION("""COMPUTED_VALUE"""),116776.0)</f>
        <v>116776</v>
      </c>
      <c r="B1143" s="11">
        <f>IFERROR(__xludf.DUMMYFUNCTION("""COMPUTED_VALUE"""),0.0)</f>
        <v>0</v>
      </c>
      <c r="C1143" s="11">
        <f>IFERROR(__xludf.DUMMYFUNCTION("""COMPUTED_VALUE"""),284.0)</f>
        <v>284</v>
      </c>
      <c r="D1143" s="11">
        <f>IFERROR(__xludf.DUMMYFUNCTION("""COMPUTED_VALUE"""),23.0)</f>
        <v>23</v>
      </c>
      <c r="E1143" s="9"/>
    </row>
    <row r="1144">
      <c r="A1144" s="10">
        <f>IFERROR(__xludf.DUMMYFUNCTION("""COMPUTED_VALUE"""),5668.0)</f>
        <v>5668</v>
      </c>
      <c r="B1144" s="11">
        <f>IFERROR(__xludf.DUMMYFUNCTION("""COMPUTED_VALUE"""),0.0)</f>
        <v>0</v>
      </c>
      <c r="C1144" s="11">
        <f>IFERROR(__xludf.DUMMYFUNCTION("""COMPUTED_VALUE"""),800.0)</f>
        <v>800</v>
      </c>
      <c r="D1144" s="11">
        <f>IFERROR(__xludf.DUMMYFUNCTION("""COMPUTED_VALUE"""),417.0)</f>
        <v>417</v>
      </c>
      <c r="E1144" s="9"/>
    </row>
    <row r="1145">
      <c r="A1145" s="10">
        <f>IFERROR(__xludf.DUMMYFUNCTION("""COMPUTED_VALUE"""),119052.0)</f>
        <v>119052</v>
      </c>
      <c r="B1145" s="11">
        <f>IFERROR(__xludf.DUMMYFUNCTION("""COMPUTED_VALUE"""),1.0)</f>
        <v>1</v>
      </c>
      <c r="C1145" s="11">
        <f>IFERROR(__xludf.DUMMYFUNCTION("""COMPUTED_VALUE"""),7.0)</f>
        <v>7</v>
      </c>
      <c r="D1145" s="11">
        <f>IFERROR(__xludf.DUMMYFUNCTION("""COMPUTED_VALUE"""),7.0)</f>
        <v>7</v>
      </c>
      <c r="E1145" s="9"/>
    </row>
    <row r="1146">
      <c r="A1146" s="10">
        <f>IFERROR(__xludf.DUMMYFUNCTION("""COMPUTED_VALUE"""),118920.0)</f>
        <v>118920</v>
      </c>
      <c r="B1146" s="11">
        <f>IFERROR(__xludf.DUMMYFUNCTION("""COMPUTED_VALUE"""),1.0)</f>
        <v>1</v>
      </c>
      <c r="C1146" s="11">
        <f>IFERROR(__xludf.DUMMYFUNCTION("""COMPUTED_VALUE"""),441.0)</f>
        <v>441</v>
      </c>
      <c r="D1146" s="11">
        <f>IFERROR(__xludf.DUMMYFUNCTION("""COMPUTED_VALUE"""),54.0)</f>
        <v>54</v>
      </c>
      <c r="E1146" s="9"/>
    </row>
    <row r="1147">
      <c r="A1147" s="10">
        <f>IFERROR(__xludf.DUMMYFUNCTION("""COMPUTED_VALUE"""),96003.0)</f>
        <v>96003</v>
      </c>
      <c r="B1147" s="11">
        <f>IFERROR(__xludf.DUMMYFUNCTION("""COMPUTED_VALUE"""),0.0)</f>
        <v>0</v>
      </c>
      <c r="C1147" s="11">
        <f>IFERROR(__xludf.DUMMYFUNCTION("""COMPUTED_VALUE"""),696.0)</f>
        <v>696</v>
      </c>
      <c r="D1147" s="11">
        <f>IFERROR(__xludf.DUMMYFUNCTION("""COMPUTED_VALUE"""),256.0)</f>
        <v>256</v>
      </c>
      <c r="E1147" s="9"/>
    </row>
    <row r="1148">
      <c r="A1148" s="10">
        <f>IFERROR(__xludf.DUMMYFUNCTION("""COMPUTED_VALUE"""),116380.0)</f>
        <v>116380</v>
      </c>
      <c r="B1148" s="11">
        <f>IFERROR(__xludf.DUMMYFUNCTION("""COMPUTED_VALUE"""),0.0)</f>
        <v>0</v>
      </c>
      <c r="C1148" s="11">
        <f>IFERROR(__xludf.DUMMYFUNCTION("""COMPUTED_VALUE"""),711.0)</f>
        <v>711</v>
      </c>
      <c r="D1148" s="11">
        <f>IFERROR(__xludf.DUMMYFUNCTION("""COMPUTED_VALUE"""),97.0)</f>
        <v>97</v>
      </c>
      <c r="E1148" s="9"/>
    </row>
    <row r="1149">
      <c r="A1149" s="10">
        <f>IFERROR(__xludf.DUMMYFUNCTION("""COMPUTED_VALUE"""),46291.0)</f>
        <v>46291</v>
      </c>
      <c r="B1149" s="11">
        <f>IFERROR(__xludf.DUMMYFUNCTION("""COMPUTED_VALUE"""),0.0)</f>
        <v>0</v>
      </c>
      <c r="C1149" s="11">
        <f>IFERROR(__xludf.DUMMYFUNCTION("""COMPUTED_VALUE"""),919.0)</f>
        <v>919</v>
      </c>
      <c r="D1149" s="11">
        <f>IFERROR(__xludf.DUMMYFUNCTION("""COMPUTED_VALUE"""),444.0)</f>
        <v>444</v>
      </c>
      <c r="E1149" s="9"/>
    </row>
    <row r="1150">
      <c r="A1150" s="10">
        <f>IFERROR(__xludf.DUMMYFUNCTION("""COMPUTED_VALUE"""),148742.0)</f>
        <v>148742</v>
      </c>
      <c r="B1150" s="11">
        <f>IFERROR(__xludf.DUMMYFUNCTION("""COMPUTED_VALUE"""),0.0)</f>
        <v>0</v>
      </c>
      <c r="C1150" s="11">
        <f>IFERROR(__xludf.DUMMYFUNCTION("""COMPUTED_VALUE"""),536.0)</f>
        <v>536</v>
      </c>
      <c r="D1150" s="11">
        <f>IFERROR(__xludf.DUMMYFUNCTION("""COMPUTED_VALUE"""),504.0)</f>
        <v>504</v>
      </c>
      <c r="E1150" s="9"/>
    </row>
    <row r="1151">
      <c r="A1151" s="10">
        <f>IFERROR(__xludf.DUMMYFUNCTION("""COMPUTED_VALUE"""),83634.0)</f>
        <v>83634</v>
      </c>
      <c r="B1151" s="11">
        <f>IFERROR(__xludf.DUMMYFUNCTION("""COMPUTED_VALUE"""),0.0)</f>
        <v>0</v>
      </c>
      <c r="C1151" s="11">
        <f>IFERROR(__xludf.DUMMYFUNCTION("""COMPUTED_VALUE"""),80.0)</f>
        <v>80</v>
      </c>
      <c r="D1151" s="11">
        <f>IFERROR(__xludf.DUMMYFUNCTION("""COMPUTED_VALUE"""),59.0)</f>
        <v>59</v>
      </c>
      <c r="E1151" s="9"/>
    </row>
    <row r="1152">
      <c r="A1152" s="10">
        <f>IFERROR(__xludf.DUMMYFUNCTION("""COMPUTED_VALUE"""),5657.0)</f>
        <v>5657</v>
      </c>
      <c r="B1152" s="11">
        <f>IFERROR(__xludf.DUMMYFUNCTION("""COMPUTED_VALUE"""),0.0)</f>
        <v>0</v>
      </c>
      <c r="C1152" s="11">
        <f>IFERROR(__xludf.DUMMYFUNCTION("""COMPUTED_VALUE"""),680.0)</f>
        <v>680</v>
      </c>
      <c r="D1152" s="11">
        <f>IFERROR(__xludf.DUMMYFUNCTION("""COMPUTED_VALUE"""),253.0)</f>
        <v>253</v>
      </c>
      <c r="E1152" s="9"/>
    </row>
    <row r="1153">
      <c r="A1153" s="10">
        <f>IFERROR(__xludf.DUMMYFUNCTION("""COMPUTED_VALUE"""),78856.0)</f>
        <v>78856</v>
      </c>
      <c r="B1153" s="11">
        <f>IFERROR(__xludf.DUMMYFUNCTION("""COMPUTED_VALUE"""),0.0)</f>
        <v>0</v>
      </c>
      <c r="C1153" s="11">
        <f>IFERROR(__xludf.DUMMYFUNCTION("""COMPUTED_VALUE"""),651.0)</f>
        <v>651</v>
      </c>
      <c r="D1153" s="11">
        <f>IFERROR(__xludf.DUMMYFUNCTION("""COMPUTED_VALUE"""),302.0)</f>
        <v>302</v>
      </c>
      <c r="E1153" s="9"/>
    </row>
    <row r="1154">
      <c r="A1154" s="10">
        <f>IFERROR(__xludf.DUMMYFUNCTION("""COMPUTED_VALUE"""),44123.0)</f>
        <v>44123</v>
      </c>
      <c r="B1154" s="11">
        <f>IFERROR(__xludf.DUMMYFUNCTION("""COMPUTED_VALUE"""),0.0)</f>
        <v>0</v>
      </c>
      <c r="C1154" s="11">
        <f>IFERROR(__xludf.DUMMYFUNCTION("""COMPUTED_VALUE"""),9.0)</f>
        <v>9</v>
      </c>
      <c r="D1154" s="11">
        <f>IFERROR(__xludf.DUMMYFUNCTION("""COMPUTED_VALUE"""),0.0)</f>
        <v>0</v>
      </c>
      <c r="E1154" s="9"/>
    </row>
    <row r="1155">
      <c r="A1155" s="10">
        <f>IFERROR(__xludf.DUMMYFUNCTION("""COMPUTED_VALUE"""),78855.0)</f>
        <v>78855</v>
      </c>
      <c r="B1155" s="11">
        <f>IFERROR(__xludf.DUMMYFUNCTION("""COMPUTED_VALUE"""),0.0)</f>
        <v>0</v>
      </c>
      <c r="C1155" s="11">
        <f>IFERROR(__xludf.DUMMYFUNCTION("""COMPUTED_VALUE"""),714.0)</f>
        <v>714</v>
      </c>
      <c r="D1155" s="11">
        <f>IFERROR(__xludf.DUMMYFUNCTION("""COMPUTED_VALUE"""),184.0)</f>
        <v>184</v>
      </c>
      <c r="E1155" s="9"/>
    </row>
    <row r="1156">
      <c r="A1156" s="10">
        <f>IFERROR(__xludf.DUMMYFUNCTION("""COMPUTED_VALUE"""),48408.0)</f>
        <v>48408</v>
      </c>
      <c r="B1156" s="11">
        <f>IFERROR(__xludf.DUMMYFUNCTION("""COMPUTED_VALUE"""),0.0)</f>
        <v>0</v>
      </c>
      <c r="C1156" s="11">
        <f>IFERROR(__xludf.DUMMYFUNCTION("""COMPUTED_VALUE"""),219.0)</f>
        <v>219</v>
      </c>
      <c r="D1156" s="11">
        <f>IFERROR(__xludf.DUMMYFUNCTION("""COMPUTED_VALUE"""),19.0)</f>
        <v>19</v>
      </c>
      <c r="E1156" s="9"/>
    </row>
    <row r="1157">
      <c r="A1157" s="10">
        <f>IFERROR(__xludf.DUMMYFUNCTION("""COMPUTED_VALUE"""),46303.0)</f>
        <v>46303</v>
      </c>
      <c r="B1157" s="11">
        <f>IFERROR(__xludf.DUMMYFUNCTION("""COMPUTED_VALUE"""),0.0)</f>
        <v>0</v>
      </c>
      <c r="C1157" s="11">
        <f>IFERROR(__xludf.DUMMYFUNCTION("""COMPUTED_VALUE"""),604.0)</f>
        <v>604</v>
      </c>
      <c r="D1157" s="11">
        <f>IFERROR(__xludf.DUMMYFUNCTION("""COMPUTED_VALUE"""),293.0)</f>
        <v>293</v>
      </c>
      <c r="E1157" s="9"/>
    </row>
    <row r="1158">
      <c r="A1158" s="10">
        <f>IFERROR(__xludf.DUMMYFUNCTION("""COMPUTED_VALUE"""),147274.0)</f>
        <v>147274</v>
      </c>
      <c r="B1158" s="11">
        <f>IFERROR(__xludf.DUMMYFUNCTION("""COMPUTED_VALUE"""),0.0)</f>
        <v>0</v>
      </c>
      <c r="C1158" s="11">
        <f>IFERROR(__xludf.DUMMYFUNCTION("""COMPUTED_VALUE"""),433.0)</f>
        <v>433</v>
      </c>
      <c r="D1158" s="11">
        <f>IFERROR(__xludf.DUMMYFUNCTION("""COMPUTED_VALUE"""),337.0)</f>
        <v>337</v>
      </c>
      <c r="E1158" s="9"/>
    </row>
    <row r="1159">
      <c r="A1159" s="10">
        <f>IFERROR(__xludf.DUMMYFUNCTION("""COMPUTED_VALUE"""),44144.0)</f>
        <v>44144</v>
      </c>
      <c r="B1159" s="11">
        <f>IFERROR(__xludf.DUMMYFUNCTION("""COMPUTED_VALUE"""),1.0)</f>
        <v>1</v>
      </c>
      <c r="C1159" s="11">
        <f>IFERROR(__xludf.DUMMYFUNCTION("""COMPUTED_VALUE"""),344.0)</f>
        <v>344</v>
      </c>
      <c r="D1159" s="11">
        <f>IFERROR(__xludf.DUMMYFUNCTION("""COMPUTED_VALUE"""),184.0)</f>
        <v>184</v>
      </c>
      <c r="E1159" s="9"/>
    </row>
    <row r="1160">
      <c r="A1160" s="10">
        <f>IFERROR(__xludf.DUMMYFUNCTION("""COMPUTED_VALUE"""),96972.0)</f>
        <v>96972</v>
      </c>
      <c r="B1160" s="11">
        <f>IFERROR(__xludf.DUMMYFUNCTION("""COMPUTED_VALUE"""),0.0)</f>
        <v>0</v>
      </c>
      <c r="C1160" s="11">
        <f>IFERROR(__xludf.DUMMYFUNCTION("""COMPUTED_VALUE"""),497.0)</f>
        <v>497</v>
      </c>
      <c r="D1160" s="11">
        <f>IFERROR(__xludf.DUMMYFUNCTION("""COMPUTED_VALUE"""),494.0)</f>
        <v>494</v>
      </c>
      <c r="E1160" s="9"/>
    </row>
    <row r="1161">
      <c r="A1161" s="10">
        <f>IFERROR(__xludf.DUMMYFUNCTION("""COMPUTED_VALUE"""),5665.0)</f>
        <v>5665</v>
      </c>
      <c r="B1161" s="11">
        <f>IFERROR(__xludf.DUMMYFUNCTION("""COMPUTED_VALUE"""),0.0)</f>
        <v>0</v>
      </c>
      <c r="C1161" s="11">
        <f>IFERROR(__xludf.DUMMYFUNCTION("""COMPUTED_VALUE"""),121.0)</f>
        <v>121</v>
      </c>
      <c r="D1161" s="11">
        <f>IFERROR(__xludf.DUMMYFUNCTION("""COMPUTED_VALUE"""),38.0)</f>
        <v>38</v>
      </c>
      <c r="E1161" s="9"/>
    </row>
    <row r="1162">
      <c r="A1162" s="10">
        <f>IFERROR(__xludf.DUMMYFUNCTION("""COMPUTED_VALUE"""),26072.0)</f>
        <v>26072</v>
      </c>
      <c r="B1162" s="11">
        <f>IFERROR(__xludf.DUMMYFUNCTION("""COMPUTED_VALUE"""),1.0)</f>
        <v>1</v>
      </c>
      <c r="C1162" s="11">
        <f>IFERROR(__xludf.DUMMYFUNCTION("""COMPUTED_VALUE"""),161.0)</f>
        <v>161</v>
      </c>
      <c r="D1162" s="11">
        <f>IFERROR(__xludf.DUMMYFUNCTION("""COMPUTED_VALUE"""),95.0)</f>
        <v>95</v>
      </c>
      <c r="E1162" s="9"/>
    </row>
    <row r="1163">
      <c r="A1163" s="10">
        <f>IFERROR(__xludf.DUMMYFUNCTION("""COMPUTED_VALUE"""),5631.0)</f>
        <v>5631</v>
      </c>
      <c r="B1163" s="11">
        <f>IFERROR(__xludf.DUMMYFUNCTION("""COMPUTED_VALUE"""),0.0)</f>
        <v>0</v>
      </c>
      <c r="C1163" s="11">
        <f>IFERROR(__xludf.DUMMYFUNCTION("""COMPUTED_VALUE"""),355.0)</f>
        <v>355</v>
      </c>
      <c r="D1163" s="11">
        <f>IFERROR(__xludf.DUMMYFUNCTION("""COMPUTED_VALUE"""),56.0)</f>
        <v>56</v>
      </c>
      <c r="E1163" s="9"/>
    </row>
    <row r="1164">
      <c r="A1164" s="10">
        <f>IFERROR(__xludf.DUMMYFUNCTION("""COMPUTED_VALUE"""),104316.0)</f>
        <v>104316</v>
      </c>
      <c r="B1164" s="11">
        <f>IFERROR(__xludf.DUMMYFUNCTION("""COMPUTED_VALUE"""),1.0)</f>
        <v>1</v>
      </c>
      <c r="C1164" s="11">
        <f>IFERROR(__xludf.DUMMYFUNCTION("""COMPUTED_VALUE"""),313.0)</f>
        <v>313</v>
      </c>
      <c r="D1164" s="11">
        <f>IFERROR(__xludf.DUMMYFUNCTION("""COMPUTED_VALUE"""),274.0)</f>
        <v>274</v>
      </c>
      <c r="E1164" s="9"/>
    </row>
    <row r="1165">
      <c r="A1165" s="10">
        <f>IFERROR(__xludf.DUMMYFUNCTION("""COMPUTED_VALUE"""),83612.0)</f>
        <v>83612</v>
      </c>
      <c r="B1165" s="11">
        <f>IFERROR(__xludf.DUMMYFUNCTION("""COMPUTED_VALUE"""),1.0)</f>
        <v>1</v>
      </c>
      <c r="C1165" s="11">
        <f>IFERROR(__xludf.DUMMYFUNCTION("""COMPUTED_VALUE"""),38.0)</f>
        <v>38</v>
      </c>
      <c r="D1165" s="11">
        <f>IFERROR(__xludf.DUMMYFUNCTION("""COMPUTED_VALUE"""),31.0)</f>
        <v>31</v>
      </c>
      <c r="E1165" s="9"/>
    </row>
    <row r="1166">
      <c r="A1166" s="10">
        <f>IFERROR(__xludf.DUMMYFUNCTION("""COMPUTED_VALUE"""),87425.0)</f>
        <v>87425</v>
      </c>
      <c r="B1166" s="11">
        <f>IFERROR(__xludf.DUMMYFUNCTION("""COMPUTED_VALUE"""),0.0)</f>
        <v>0</v>
      </c>
      <c r="C1166" s="11">
        <f>IFERROR(__xludf.DUMMYFUNCTION("""COMPUTED_VALUE"""),694.0)</f>
        <v>694</v>
      </c>
      <c r="D1166" s="11">
        <f>IFERROR(__xludf.DUMMYFUNCTION("""COMPUTED_VALUE"""),463.0)</f>
        <v>463</v>
      </c>
      <c r="E1166" s="9"/>
    </row>
    <row r="1167">
      <c r="A1167" s="10">
        <f>IFERROR(__xludf.DUMMYFUNCTION("""COMPUTED_VALUE"""),115611.0)</f>
        <v>115611</v>
      </c>
      <c r="B1167" s="11">
        <f>IFERROR(__xludf.DUMMYFUNCTION("""COMPUTED_VALUE"""),0.0)</f>
        <v>0</v>
      </c>
      <c r="C1167" s="11">
        <f>IFERROR(__xludf.DUMMYFUNCTION("""COMPUTED_VALUE"""),706.0)</f>
        <v>706</v>
      </c>
      <c r="D1167" s="11">
        <f>IFERROR(__xludf.DUMMYFUNCTION("""COMPUTED_VALUE"""),58.0)</f>
        <v>58</v>
      </c>
      <c r="E1167" s="9"/>
    </row>
    <row r="1168">
      <c r="A1168" s="10">
        <f>IFERROR(__xludf.DUMMYFUNCTION("""COMPUTED_VALUE"""),88688.0)</f>
        <v>88688</v>
      </c>
      <c r="B1168" s="11">
        <f>IFERROR(__xludf.DUMMYFUNCTION("""COMPUTED_VALUE"""),0.0)</f>
        <v>0</v>
      </c>
      <c r="C1168" s="11">
        <f>IFERROR(__xludf.DUMMYFUNCTION("""COMPUTED_VALUE"""),240.0)</f>
        <v>240</v>
      </c>
      <c r="D1168" s="11">
        <f>IFERROR(__xludf.DUMMYFUNCTION("""COMPUTED_VALUE"""),10.0)</f>
        <v>10</v>
      </c>
      <c r="E1168" s="9"/>
    </row>
    <row r="1169">
      <c r="A1169" s="10">
        <f>IFERROR(__xludf.DUMMYFUNCTION("""COMPUTED_VALUE"""),83605.0)</f>
        <v>83605</v>
      </c>
      <c r="B1169" s="11">
        <f>IFERROR(__xludf.DUMMYFUNCTION("""COMPUTED_VALUE"""),0.0)</f>
        <v>0</v>
      </c>
      <c r="C1169" s="11">
        <f>IFERROR(__xludf.DUMMYFUNCTION("""COMPUTED_VALUE"""),119.0)</f>
        <v>119</v>
      </c>
      <c r="D1169" s="11">
        <f>IFERROR(__xludf.DUMMYFUNCTION("""COMPUTED_VALUE"""),109.0)</f>
        <v>109</v>
      </c>
      <c r="E1169" s="9"/>
    </row>
    <row r="1170">
      <c r="A1170" s="10">
        <f>IFERROR(__xludf.DUMMYFUNCTION("""COMPUTED_VALUE"""),44125.0)</f>
        <v>44125</v>
      </c>
      <c r="B1170" s="11">
        <f>IFERROR(__xludf.DUMMYFUNCTION("""COMPUTED_VALUE"""),0.0)</f>
        <v>0</v>
      </c>
      <c r="C1170" s="11">
        <f>IFERROR(__xludf.DUMMYFUNCTION("""COMPUTED_VALUE"""),807.0)</f>
        <v>807</v>
      </c>
      <c r="D1170" s="11">
        <f>IFERROR(__xludf.DUMMYFUNCTION("""COMPUTED_VALUE"""),542.0)</f>
        <v>542</v>
      </c>
      <c r="E1170" s="9"/>
    </row>
    <row r="1171">
      <c r="A1171" s="10">
        <f>IFERROR(__xludf.DUMMYFUNCTION("""COMPUTED_VALUE"""),83639.0)</f>
        <v>83639</v>
      </c>
      <c r="B1171" s="11">
        <f>IFERROR(__xludf.DUMMYFUNCTION("""COMPUTED_VALUE"""),1.0)</f>
        <v>1</v>
      </c>
      <c r="C1171" s="11">
        <f>IFERROR(__xludf.DUMMYFUNCTION("""COMPUTED_VALUE"""),64.0)</f>
        <v>64</v>
      </c>
      <c r="D1171" s="11">
        <f>IFERROR(__xludf.DUMMYFUNCTION("""COMPUTED_VALUE"""),9.0)</f>
        <v>9</v>
      </c>
      <c r="E1171" s="9"/>
    </row>
    <row r="1172">
      <c r="A1172" s="10">
        <f>IFERROR(__xludf.DUMMYFUNCTION("""COMPUTED_VALUE"""),5656.0)</f>
        <v>5656</v>
      </c>
      <c r="B1172" s="11">
        <f>IFERROR(__xludf.DUMMYFUNCTION("""COMPUTED_VALUE"""),0.0)</f>
        <v>0</v>
      </c>
      <c r="C1172" s="11">
        <f>IFERROR(__xludf.DUMMYFUNCTION("""COMPUTED_VALUE"""),794.0)</f>
        <v>794</v>
      </c>
      <c r="D1172" s="11">
        <f>IFERROR(__xludf.DUMMYFUNCTION("""COMPUTED_VALUE"""),238.0)</f>
        <v>238</v>
      </c>
      <c r="E1172" s="9"/>
    </row>
    <row r="1173">
      <c r="A1173" s="10">
        <f>IFERROR(__xludf.DUMMYFUNCTION("""COMPUTED_VALUE"""),88686.0)</f>
        <v>88686</v>
      </c>
      <c r="B1173" s="11">
        <f>IFERROR(__xludf.DUMMYFUNCTION("""COMPUTED_VALUE"""),1.0)</f>
        <v>1</v>
      </c>
      <c r="C1173" s="11">
        <f>IFERROR(__xludf.DUMMYFUNCTION("""COMPUTED_VALUE"""),835.0)</f>
        <v>835</v>
      </c>
      <c r="D1173" s="11">
        <f>IFERROR(__xludf.DUMMYFUNCTION("""COMPUTED_VALUE"""),165.0)</f>
        <v>165</v>
      </c>
      <c r="E1173" s="9"/>
    </row>
    <row r="1174">
      <c r="A1174" s="10">
        <f>IFERROR(__xludf.DUMMYFUNCTION("""COMPUTED_VALUE"""),83601.0)</f>
        <v>83601</v>
      </c>
      <c r="B1174" s="11">
        <f>IFERROR(__xludf.DUMMYFUNCTION("""COMPUTED_VALUE"""),1.0)</f>
        <v>1</v>
      </c>
      <c r="C1174" s="11">
        <f>IFERROR(__xludf.DUMMYFUNCTION("""COMPUTED_VALUE"""),310.0)</f>
        <v>310</v>
      </c>
      <c r="D1174" s="11">
        <f>IFERROR(__xludf.DUMMYFUNCTION("""COMPUTED_VALUE"""),267.0)</f>
        <v>267</v>
      </c>
      <c r="E1174" s="9"/>
    </row>
    <row r="1175">
      <c r="A1175" s="10">
        <f>IFERROR(__xludf.DUMMYFUNCTION("""COMPUTED_VALUE"""),48407.0)</f>
        <v>48407</v>
      </c>
      <c r="B1175" s="11">
        <f>IFERROR(__xludf.DUMMYFUNCTION("""COMPUTED_VALUE"""),1.0)</f>
        <v>1</v>
      </c>
      <c r="C1175" s="11">
        <f>IFERROR(__xludf.DUMMYFUNCTION("""COMPUTED_VALUE"""),550.0)</f>
        <v>550</v>
      </c>
      <c r="D1175" s="11">
        <f>IFERROR(__xludf.DUMMYFUNCTION("""COMPUTED_VALUE"""),206.0)</f>
        <v>206</v>
      </c>
      <c r="E1175" s="9"/>
    </row>
    <row r="1176">
      <c r="A1176" s="10">
        <f>IFERROR(__xludf.DUMMYFUNCTION("""COMPUTED_VALUE"""),5692.0)</f>
        <v>5692</v>
      </c>
      <c r="B1176" s="11">
        <f>IFERROR(__xludf.DUMMYFUNCTION("""COMPUTED_VALUE"""),1.0)</f>
        <v>1</v>
      </c>
      <c r="C1176" s="11">
        <f>IFERROR(__xludf.DUMMYFUNCTION("""COMPUTED_VALUE"""),923.0)</f>
        <v>923</v>
      </c>
      <c r="D1176" s="11">
        <f>IFERROR(__xludf.DUMMYFUNCTION("""COMPUTED_VALUE"""),63.0)</f>
        <v>63</v>
      </c>
      <c r="E1176" s="9"/>
    </row>
    <row r="1177">
      <c r="A1177" s="10">
        <f>IFERROR(__xludf.DUMMYFUNCTION("""COMPUTED_VALUE"""),112803.0)</f>
        <v>112803</v>
      </c>
      <c r="B1177" s="11">
        <f>IFERROR(__xludf.DUMMYFUNCTION("""COMPUTED_VALUE"""),0.0)</f>
        <v>0</v>
      </c>
      <c r="C1177" s="11">
        <f>IFERROR(__xludf.DUMMYFUNCTION("""COMPUTED_VALUE"""),204.0)</f>
        <v>204</v>
      </c>
      <c r="D1177" s="11">
        <f>IFERROR(__xludf.DUMMYFUNCTION("""COMPUTED_VALUE"""),61.0)</f>
        <v>61</v>
      </c>
      <c r="E1177" s="9"/>
    </row>
    <row r="1178">
      <c r="A1178" s="10">
        <f>IFERROR(__xludf.DUMMYFUNCTION("""COMPUTED_VALUE"""),83600.0)</f>
        <v>83600</v>
      </c>
      <c r="B1178" s="11">
        <f>IFERROR(__xludf.DUMMYFUNCTION("""COMPUTED_VALUE"""),0.0)</f>
        <v>0</v>
      </c>
      <c r="C1178" s="11">
        <f>IFERROR(__xludf.DUMMYFUNCTION("""COMPUTED_VALUE"""),220.0)</f>
        <v>220</v>
      </c>
      <c r="D1178" s="11">
        <f>IFERROR(__xludf.DUMMYFUNCTION("""COMPUTED_VALUE"""),177.0)</f>
        <v>177</v>
      </c>
      <c r="E1178" s="9"/>
    </row>
    <row r="1179">
      <c r="A1179" s="10">
        <f>IFERROR(__xludf.DUMMYFUNCTION("""COMPUTED_VALUE"""),83621.0)</f>
        <v>83621</v>
      </c>
      <c r="B1179" s="11">
        <f>IFERROR(__xludf.DUMMYFUNCTION("""COMPUTED_VALUE"""),0.0)</f>
        <v>0</v>
      </c>
      <c r="C1179" s="11">
        <f>IFERROR(__xludf.DUMMYFUNCTION("""COMPUTED_VALUE"""),190.0)</f>
        <v>190</v>
      </c>
      <c r="D1179" s="11">
        <f>IFERROR(__xludf.DUMMYFUNCTION("""COMPUTED_VALUE"""),140.0)</f>
        <v>140</v>
      </c>
      <c r="E1179" s="9"/>
    </row>
    <row r="1180">
      <c r="A1180" s="10">
        <f>IFERROR(__xludf.DUMMYFUNCTION("""COMPUTED_VALUE"""),115599.0)</f>
        <v>115599</v>
      </c>
      <c r="B1180" s="11">
        <f>IFERROR(__xludf.DUMMYFUNCTION("""COMPUTED_VALUE"""),0.0)</f>
        <v>0</v>
      </c>
      <c r="C1180" s="11">
        <f>IFERROR(__xludf.DUMMYFUNCTION("""COMPUTED_VALUE"""),80.0)</f>
        <v>80</v>
      </c>
      <c r="D1180" s="11">
        <f>IFERROR(__xludf.DUMMYFUNCTION("""COMPUTED_VALUE"""),43.0)</f>
        <v>43</v>
      </c>
      <c r="E1180" s="9"/>
    </row>
    <row r="1181">
      <c r="A1181" s="10">
        <f>IFERROR(__xludf.DUMMYFUNCTION("""COMPUTED_VALUE"""),83598.0)</f>
        <v>83598</v>
      </c>
      <c r="B1181" s="11">
        <f>IFERROR(__xludf.DUMMYFUNCTION("""COMPUTED_VALUE"""),1.0)</f>
        <v>1</v>
      </c>
      <c r="C1181" s="11">
        <f>IFERROR(__xludf.DUMMYFUNCTION("""COMPUTED_VALUE"""),208.0)</f>
        <v>208</v>
      </c>
      <c r="D1181" s="11">
        <f>IFERROR(__xludf.DUMMYFUNCTION("""COMPUTED_VALUE"""),160.0)</f>
        <v>160</v>
      </c>
      <c r="E1181" s="9"/>
    </row>
    <row r="1182">
      <c r="A1182" s="10">
        <f>IFERROR(__xludf.DUMMYFUNCTION("""COMPUTED_VALUE"""),5652.0)</f>
        <v>5652</v>
      </c>
      <c r="B1182" s="11">
        <f>IFERROR(__xludf.DUMMYFUNCTION("""COMPUTED_VALUE"""),1.0)</f>
        <v>1</v>
      </c>
      <c r="C1182" s="11">
        <f>IFERROR(__xludf.DUMMYFUNCTION("""COMPUTED_VALUE"""),777.0)</f>
        <v>777</v>
      </c>
      <c r="D1182" s="11">
        <f>IFERROR(__xludf.DUMMYFUNCTION("""COMPUTED_VALUE"""),738.0)</f>
        <v>738</v>
      </c>
      <c r="E1182" s="9"/>
    </row>
    <row r="1183">
      <c r="A1183" s="10">
        <f>IFERROR(__xludf.DUMMYFUNCTION("""COMPUTED_VALUE"""),122661.0)</f>
        <v>122661</v>
      </c>
      <c r="B1183" s="11">
        <f>IFERROR(__xludf.DUMMYFUNCTION("""COMPUTED_VALUE"""),0.0)</f>
        <v>0</v>
      </c>
      <c r="C1183" s="11">
        <f>IFERROR(__xludf.DUMMYFUNCTION("""COMPUTED_VALUE"""),712.0)</f>
        <v>712</v>
      </c>
      <c r="D1183" s="11">
        <f>IFERROR(__xludf.DUMMYFUNCTION("""COMPUTED_VALUE"""),383.0)</f>
        <v>383</v>
      </c>
      <c r="E1183" s="9"/>
    </row>
    <row r="1184">
      <c r="A1184" s="10">
        <f>IFERROR(__xludf.DUMMYFUNCTION("""COMPUTED_VALUE"""),116384.0)</f>
        <v>116384</v>
      </c>
      <c r="B1184" s="11">
        <f>IFERROR(__xludf.DUMMYFUNCTION("""COMPUTED_VALUE"""),0.0)</f>
        <v>0</v>
      </c>
      <c r="C1184" s="11">
        <f>IFERROR(__xludf.DUMMYFUNCTION("""COMPUTED_VALUE"""),405.0)</f>
        <v>405</v>
      </c>
      <c r="D1184" s="11">
        <f>IFERROR(__xludf.DUMMYFUNCTION("""COMPUTED_VALUE"""),297.0)</f>
        <v>297</v>
      </c>
      <c r="E1184" s="9"/>
    </row>
    <row r="1185">
      <c r="A1185" s="10">
        <f>IFERROR(__xludf.DUMMYFUNCTION("""COMPUTED_VALUE"""),78859.0)</f>
        <v>78859</v>
      </c>
      <c r="B1185" s="11">
        <f>IFERROR(__xludf.DUMMYFUNCTION("""COMPUTED_VALUE"""),1.0)</f>
        <v>1</v>
      </c>
      <c r="C1185" s="11">
        <f>IFERROR(__xludf.DUMMYFUNCTION("""COMPUTED_VALUE"""),691.0)</f>
        <v>691</v>
      </c>
      <c r="D1185" s="11">
        <f>IFERROR(__xludf.DUMMYFUNCTION("""COMPUTED_VALUE"""),132.0)</f>
        <v>132</v>
      </c>
      <c r="E1185" s="9"/>
    </row>
    <row r="1186">
      <c r="A1186" s="10">
        <f>IFERROR(__xludf.DUMMYFUNCTION("""COMPUTED_VALUE"""),87096.0)</f>
        <v>87096</v>
      </c>
      <c r="B1186" s="11">
        <f>IFERROR(__xludf.DUMMYFUNCTION("""COMPUTED_VALUE"""),0.0)</f>
        <v>0</v>
      </c>
      <c r="C1186" s="11">
        <f>IFERROR(__xludf.DUMMYFUNCTION("""COMPUTED_VALUE"""),225.0)</f>
        <v>225</v>
      </c>
      <c r="D1186" s="11">
        <f>IFERROR(__xludf.DUMMYFUNCTION("""COMPUTED_VALUE"""),140.0)</f>
        <v>140</v>
      </c>
      <c r="E1186" s="9"/>
    </row>
    <row r="1187">
      <c r="A1187" s="10">
        <f>IFERROR(__xludf.DUMMYFUNCTION("""COMPUTED_VALUE"""),87428.0)</f>
        <v>87428</v>
      </c>
      <c r="B1187" s="11">
        <f>IFERROR(__xludf.DUMMYFUNCTION("""COMPUTED_VALUE"""),1.0)</f>
        <v>1</v>
      </c>
      <c r="C1187" s="11">
        <f>IFERROR(__xludf.DUMMYFUNCTION("""COMPUTED_VALUE"""),665.0)</f>
        <v>665</v>
      </c>
      <c r="D1187" s="11">
        <f>IFERROR(__xludf.DUMMYFUNCTION("""COMPUTED_VALUE"""),86.0)</f>
        <v>86</v>
      </c>
      <c r="E1187" s="9"/>
    </row>
    <row r="1188">
      <c r="A1188" s="10">
        <f>IFERROR(__xludf.DUMMYFUNCTION("""COMPUTED_VALUE"""),5690.0)</f>
        <v>5690</v>
      </c>
      <c r="B1188" s="11">
        <f>IFERROR(__xludf.DUMMYFUNCTION("""COMPUTED_VALUE"""),0.0)</f>
        <v>0</v>
      </c>
      <c r="C1188" s="11">
        <f>IFERROR(__xludf.DUMMYFUNCTION("""COMPUTED_VALUE"""),889.0)</f>
        <v>889</v>
      </c>
      <c r="D1188" s="11">
        <f>IFERROR(__xludf.DUMMYFUNCTION("""COMPUTED_VALUE"""),356.0)</f>
        <v>356</v>
      </c>
      <c r="E1188" s="9"/>
    </row>
    <row r="1189">
      <c r="A1189" s="10">
        <f>IFERROR(__xludf.DUMMYFUNCTION("""COMPUTED_VALUE"""),5663.0)</f>
        <v>5663</v>
      </c>
      <c r="B1189" s="11">
        <f>IFERROR(__xludf.DUMMYFUNCTION("""COMPUTED_VALUE"""),1.0)</f>
        <v>1</v>
      </c>
      <c r="C1189" s="11">
        <f>IFERROR(__xludf.DUMMYFUNCTION("""COMPUTED_VALUE"""),915.0)</f>
        <v>915</v>
      </c>
      <c r="D1189" s="11">
        <f>IFERROR(__xludf.DUMMYFUNCTION("""COMPUTED_VALUE"""),168.0)</f>
        <v>168</v>
      </c>
      <c r="E1189" s="9"/>
    </row>
    <row r="1190">
      <c r="A1190" s="10">
        <f>IFERROR(__xludf.DUMMYFUNCTION("""COMPUTED_VALUE"""),5654.0)</f>
        <v>5654</v>
      </c>
      <c r="B1190" s="11">
        <f>IFERROR(__xludf.DUMMYFUNCTION("""COMPUTED_VALUE"""),0.0)</f>
        <v>0</v>
      </c>
      <c r="C1190" s="11">
        <f>IFERROR(__xludf.DUMMYFUNCTION("""COMPUTED_VALUE"""),479.0)</f>
        <v>479</v>
      </c>
      <c r="D1190" s="11">
        <f>IFERROR(__xludf.DUMMYFUNCTION("""COMPUTED_VALUE"""),445.0)</f>
        <v>445</v>
      </c>
      <c r="E1190" s="9"/>
    </row>
    <row r="1191">
      <c r="A1191" s="10">
        <f>IFERROR(__xludf.DUMMYFUNCTION("""COMPUTED_VALUE"""),44607.0)</f>
        <v>44607</v>
      </c>
      <c r="B1191" s="11">
        <f>IFERROR(__xludf.DUMMYFUNCTION("""COMPUTED_VALUE"""),0.0)</f>
        <v>0</v>
      </c>
      <c r="C1191" s="11">
        <f>IFERROR(__xludf.DUMMYFUNCTION("""COMPUTED_VALUE"""),915.0)</f>
        <v>915</v>
      </c>
      <c r="D1191" s="11">
        <f>IFERROR(__xludf.DUMMYFUNCTION("""COMPUTED_VALUE"""),401.0)</f>
        <v>401</v>
      </c>
      <c r="E1191" s="9"/>
    </row>
    <row r="1192">
      <c r="A1192" s="10">
        <f>IFERROR(__xludf.DUMMYFUNCTION("""COMPUTED_VALUE"""),5662.0)</f>
        <v>5662</v>
      </c>
      <c r="B1192" s="11">
        <f>IFERROR(__xludf.DUMMYFUNCTION("""COMPUTED_VALUE"""),1.0)</f>
        <v>1</v>
      </c>
      <c r="C1192" s="11">
        <f>IFERROR(__xludf.DUMMYFUNCTION("""COMPUTED_VALUE"""),319.0)</f>
        <v>319</v>
      </c>
      <c r="D1192" s="11">
        <f>IFERROR(__xludf.DUMMYFUNCTION("""COMPUTED_VALUE"""),205.0)</f>
        <v>205</v>
      </c>
      <c r="E1192" s="9"/>
    </row>
    <row r="1193">
      <c r="A1193" s="10">
        <f>IFERROR(__xludf.DUMMYFUNCTION("""COMPUTED_VALUE"""),87426.0)</f>
        <v>87426</v>
      </c>
      <c r="B1193" s="11">
        <f>IFERROR(__xludf.DUMMYFUNCTION("""COMPUTED_VALUE"""),1.0)</f>
        <v>1</v>
      </c>
      <c r="C1193" s="11">
        <f>IFERROR(__xludf.DUMMYFUNCTION("""COMPUTED_VALUE"""),975.0)</f>
        <v>975</v>
      </c>
      <c r="D1193" s="11">
        <f>IFERROR(__xludf.DUMMYFUNCTION("""COMPUTED_VALUE"""),103.0)</f>
        <v>103</v>
      </c>
      <c r="E1193" s="9"/>
    </row>
    <row r="1194">
      <c r="A1194" s="10">
        <f>IFERROR(__xludf.DUMMYFUNCTION("""COMPUTED_VALUE"""),5680.0)</f>
        <v>5680</v>
      </c>
      <c r="B1194" s="11">
        <f>IFERROR(__xludf.DUMMYFUNCTION("""COMPUTED_VALUE"""),1.0)</f>
        <v>1</v>
      </c>
      <c r="C1194" s="11">
        <f>IFERROR(__xludf.DUMMYFUNCTION("""COMPUTED_VALUE"""),124.0)</f>
        <v>124</v>
      </c>
      <c r="D1194" s="11">
        <f>IFERROR(__xludf.DUMMYFUNCTION("""COMPUTED_VALUE"""),35.0)</f>
        <v>35</v>
      </c>
      <c r="E1194" s="9"/>
    </row>
    <row r="1195">
      <c r="A1195" s="10">
        <f>IFERROR(__xludf.DUMMYFUNCTION("""COMPUTED_VALUE"""),5661.0)</f>
        <v>5661</v>
      </c>
      <c r="B1195" s="11">
        <f>IFERROR(__xludf.DUMMYFUNCTION("""COMPUTED_VALUE"""),0.0)</f>
        <v>0</v>
      </c>
      <c r="C1195" s="11">
        <f>IFERROR(__xludf.DUMMYFUNCTION("""COMPUTED_VALUE"""),557.0)</f>
        <v>557</v>
      </c>
      <c r="D1195" s="11">
        <f>IFERROR(__xludf.DUMMYFUNCTION("""COMPUTED_VALUE"""),271.0)</f>
        <v>271</v>
      </c>
      <c r="E1195" s="9"/>
    </row>
    <row r="1196">
      <c r="A1196" s="10">
        <f>IFERROR(__xludf.DUMMYFUNCTION("""COMPUTED_VALUE"""),83629.0)</f>
        <v>83629</v>
      </c>
      <c r="B1196" s="11">
        <f>IFERROR(__xludf.DUMMYFUNCTION("""COMPUTED_VALUE"""),0.0)</f>
        <v>0</v>
      </c>
      <c r="C1196" s="11">
        <f>IFERROR(__xludf.DUMMYFUNCTION("""COMPUTED_VALUE"""),884.0)</f>
        <v>884</v>
      </c>
      <c r="D1196" s="11">
        <f>IFERROR(__xludf.DUMMYFUNCTION("""COMPUTED_VALUE"""),769.0)</f>
        <v>769</v>
      </c>
      <c r="E1196" s="9"/>
    </row>
    <row r="1197">
      <c r="A1197" s="10">
        <f>IFERROR(__xludf.DUMMYFUNCTION("""COMPUTED_VALUE"""),83599.0)</f>
        <v>83599</v>
      </c>
      <c r="B1197" s="11">
        <f>IFERROR(__xludf.DUMMYFUNCTION("""COMPUTED_VALUE"""),0.0)</f>
        <v>0</v>
      </c>
      <c r="C1197" s="11">
        <f>IFERROR(__xludf.DUMMYFUNCTION("""COMPUTED_VALUE"""),72.0)</f>
        <v>72</v>
      </c>
      <c r="D1197" s="11">
        <f>IFERROR(__xludf.DUMMYFUNCTION("""COMPUTED_VALUE"""),49.0)</f>
        <v>49</v>
      </c>
      <c r="E1197" s="9"/>
    </row>
    <row r="1198">
      <c r="A1198" s="10">
        <f>IFERROR(__xludf.DUMMYFUNCTION("""COMPUTED_VALUE"""),83625.0)</f>
        <v>83625</v>
      </c>
      <c r="B1198" s="11">
        <f>IFERROR(__xludf.DUMMYFUNCTION("""COMPUTED_VALUE"""),1.0)</f>
        <v>1</v>
      </c>
      <c r="C1198" s="11">
        <f>IFERROR(__xludf.DUMMYFUNCTION("""COMPUTED_VALUE"""),871.0)</f>
        <v>871</v>
      </c>
      <c r="D1198" s="11">
        <f>IFERROR(__xludf.DUMMYFUNCTION("""COMPUTED_VALUE"""),764.0)</f>
        <v>764</v>
      </c>
      <c r="E1198" s="9"/>
    </row>
    <row r="1199">
      <c r="A1199" s="10">
        <f>IFERROR(__xludf.DUMMYFUNCTION("""COMPUTED_VALUE"""),87887.0)</f>
        <v>87887</v>
      </c>
      <c r="B1199" s="11">
        <f>IFERROR(__xludf.DUMMYFUNCTION("""COMPUTED_VALUE"""),1.0)</f>
        <v>1</v>
      </c>
      <c r="C1199" s="11">
        <f>IFERROR(__xludf.DUMMYFUNCTION("""COMPUTED_VALUE"""),545.0)</f>
        <v>545</v>
      </c>
      <c r="D1199" s="11">
        <f>IFERROR(__xludf.DUMMYFUNCTION("""COMPUTED_VALUE"""),207.0)</f>
        <v>207</v>
      </c>
      <c r="E1199" s="9"/>
    </row>
    <row r="1200">
      <c r="A1200" s="10">
        <f>IFERROR(__xludf.DUMMYFUNCTION("""COMPUTED_VALUE"""),118923.0)</f>
        <v>118923</v>
      </c>
      <c r="B1200" s="11">
        <f>IFERROR(__xludf.DUMMYFUNCTION("""COMPUTED_VALUE"""),0.0)</f>
        <v>0</v>
      </c>
      <c r="C1200" s="11">
        <f>IFERROR(__xludf.DUMMYFUNCTION("""COMPUTED_VALUE"""),95.0)</f>
        <v>95</v>
      </c>
      <c r="D1200" s="11">
        <f>IFERROR(__xludf.DUMMYFUNCTION("""COMPUTED_VALUE"""),46.0)</f>
        <v>46</v>
      </c>
      <c r="E1200" s="9"/>
    </row>
    <row r="1201">
      <c r="A1201" s="10">
        <f>IFERROR(__xludf.DUMMYFUNCTION("""COMPUTED_VALUE"""),87421.0)</f>
        <v>87421</v>
      </c>
      <c r="B1201" s="11">
        <f>IFERROR(__xludf.DUMMYFUNCTION("""COMPUTED_VALUE"""),1.0)</f>
        <v>1</v>
      </c>
      <c r="C1201" s="11">
        <f>IFERROR(__xludf.DUMMYFUNCTION("""COMPUTED_VALUE"""),718.0)</f>
        <v>718</v>
      </c>
      <c r="D1201" s="11">
        <f>IFERROR(__xludf.DUMMYFUNCTION("""COMPUTED_VALUE"""),94.0)</f>
        <v>94</v>
      </c>
      <c r="E1201" s="9"/>
    </row>
    <row r="1202">
      <c r="A1202" s="10">
        <f>IFERROR(__xludf.DUMMYFUNCTION("""COMPUTED_VALUE"""),117531.0)</f>
        <v>117531</v>
      </c>
      <c r="B1202" s="11">
        <f>IFERROR(__xludf.DUMMYFUNCTION("""COMPUTED_VALUE"""),0.0)</f>
        <v>0</v>
      </c>
      <c r="C1202" s="11">
        <f>IFERROR(__xludf.DUMMYFUNCTION("""COMPUTED_VALUE"""),782.0)</f>
        <v>782</v>
      </c>
      <c r="D1202" s="11">
        <f>IFERROR(__xludf.DUMMYFUNCTION("""COMPUTED_VALUE"""),376.0)</f>
        <v>376</v>
      </c>
      <c r="E1202" s="9"/>
    </row>
    <row r="1203">
      <c r="A1203" s="10">
        <f>IFERROR(__xludf.DUMMYFUNCTION("""COMPUTED_VALUE"""),122267.0)</f>
        <v>122267</v>
      </c>
      <c r="B1203" s="11">
        <f>IFERROR(__xludf.DUMMYFUNCTION("""COMPUTED_VALUE"""),1.0)</f>
        <v>1</v>
      </c>
      <c r="C1203" s="11">
        <f>IFERROR(__xludf.DUMMYFUNCTION("""COMPUTED_VALUE"""),786.0)</f>
        <v>786</v>
      </c>
      <c r="D1203" s="11">
        <f>IFERROR(__xludf.DUMMYFUNCTION("""COMPUTED_VALUE"""),106.0)</f>
        <v>106</v>
      </c>
      <c r="E1203" s="9"/>
    </row>
    <row r="1204">
      <c r="A1204" s="10">
        <f>IFERROR(__xludf.DUMMYFUNCTION("""COMPUTED_VALUE"""),117527.0)</f>
        <v>117527</v>
      </c>
      <c r="B1204" s="11">
        <f>IFERROR(__xludf.DUMMYFUNCTION("""COMPUTED_VALUE"""),0.0)</f>
        <v>0</v>
      </c>
      <c r="C1204" s="11">
        <f>IFERROR(__xludf.DUMMYFUNCTION("""COMPUTED_VALUE"""),803.0)</f>
        <v>803</v>
      </c>
      <c r="D1204" s="11">
        <f>IFERROR(__xludf.DUMMYFUNCTION("""COMPUTED_VALUE"""),276.0)</f>
        <v>276</v>
      </c>
      <c r="E1204" s="9"/>
    </row>
    <row r="1205">
      <c r="A1205" s="10">
        <f>IFERROR(__xludf.DUMMYFUNCTION("""COMPUTED_VALUE"""),44138.0)</f>
        <v>44138</v>
      </c>
      <c r="B1205" s="11">
        <f>IFERROR(__xludf.DUMMYFUNCTION("""COMPUTED_VALUE"""),1.0)</f>
        <v>1</v>
      </c>
      <c r="C1205" s="11">
        <f>IFERROR(__xludf.DUMMYFUNCTION("""COMPUTED_VALUE"""),195.0)</f>
        <v>195</v>
      </c>
      <c r="D1205" s="11">
        <f>IFERROR(__xludf.DUMMYFUNCTION("""COMPUTED_VALUE"""),43.0)</f>
        <v>43</v>
      </c>
      <c r="E1205" s="9"/>
    </row>
    <row r="1206">
      <c r="A1206" s="10">
        <f>IFERROR(__xludf.DUMMYFUNCTION("""COMPUTED_VALUE"""),117529.0)</f>
        <v>117529</v>
      </c>
      <c r="B1206" s="11">
        <f>IFERROR(__xludf.DUMMYFUNCTION("""COMPUTED_VALUE"""),1.0)</f>
        <v>1</v>
      </c>
      <c r="C1206" s="11">
        <f>IFERROR(__xludf.DUMMYFUNCTION("""COMPUTED_VALUE"""),393.0)</f>
        <v>393</v>
      </c>
      <c r="D1206" s="11">
        <f>IFERROR(__xludf.DUMMYFUNCTION("""COMPUTED_VALUE"""),187.0)</f>
        <v>187</v>
      </c>
      <c r="E1206" s="9"/>
    </row>
    <row r="1207">
      <c r="A1207" s="10">
        <f>IFERROR(__xludf.DUMMYFUNCTION("""COMPUTED_VALUE"""),122269.0)</f>
        <v>122269</v>
      </c>
      <c r="B1207" s="11">
        <f>IFERROR(__xludf.DUMMYFUNCTION("""COMPUTED_VALUE"""),0.0)</f>
        <v>0</v>
      </c>
      <c r="C1207" s="11">
        <f>IFERROR(__xludf.DUMMYFUNCTION("""COMPUTED_VALUE"""),775.0)</f>
        <v>775</v>
      </c>
      <c r="D1207" s="11">
        <f>IFERROR(__xludf.DUMMYFUNCTION("""COMPUTED_VALUE"""),249.0)</f>
        <v>249</v>
      </c>
      <c r="E1207" s="9"/>
    </row>
    <row r="1208">
      <c r="A1208" s="10">
        <f>IFERROR(__xludf.DUMMYFUNCTION("""COMPUTED_VALUE"""),87886.0)</f>
        <v>87886</v>
      </c>
      <c r="B1208" s="11">
        <f>IFERROR(__xludf.DUMMYFUNCTION("""COMPUTED_VALUE"""),0.0)</f>
        <v>0</v>
      </c>
      <c r="C1208" s="11">
        <f>IFERROR(__xludf.DUMMYFUNCTION("""COMPUTED_VALUE"""),407.0)</f>
        <v>407</v>
      </c>
      <c r="D1208" s="11">
        <f>IFERROR(__xludf.DUMMYFUNCTION("""COMPUTED_VALUE"""),192.0)</f>
        <v>192</v>
      </c>
      <c r="E1208" s="9"/>
    </row>
    <row r="1209">
      <c r="A1209" s="10">
        <f>IFERROR(__xludf.DUMMYFUNCTION("""COMPUTED_VALUE"""),104317.0)</f>
        <v>104317</v>
      </c>
      <c r="B1209" s="11">
        <f>IFERROR(__xludf.DUMMYFUNCTION("""COMPUTED_VALUE"""),1.0)</f>
        <v>1</v>
      </c>
      <c r="C1209" s="11">
        <f>IFERROR(__xludf.DUMMYFUNCTION("""COMPUTED_VALUE"""),726.0)</f>
        <v>726</v>
      </c>
      <c r="D1209" s="11">
        <f>IFERROR(__xludf.DUMMYFUNCTION("""COMPUTED_VALUE"""),77.0)</f>
        <v>77</v>
      </c>
      <c r="E1209" s="9"/>
    </row>
    <row r="1210">
      <c r="A1210" s="10">
        <f>IFERROR(__xludf.DUMMYFUNCTION("""COMPUTED_VALUE"""),114943.0)</f>
        <v>114943</v>
      </c>
      <c r="B1210" s="11">
        <f>IFERROR(__xludf.DUMMYFUNCTION("""COMPUTED_VALUE"""),1.0)</f>
        <v>1</v>
      </c>
      <c r="C1210" s="11">
        <f>IFERROR(__xludf.DUMMYFUNCTION("""COMPUTED_VALUE"""),309.0)</f>
        <v>309</v>
      </c>
      <c r="D1210" s="11">
        <f>IFERROR(__xludf.DUMMYFUNCTION("""COMPUTED_VALUE"""),246.0)</f>
        <v>246</v>
      </c>
      <c r="E1210" s="9"/>
    </row>
    <row r="1211">
      <c r="A1211" s="10">
        <f>IFERROR(__xludf.DUMMYFUNCTION("""COMPUTED_VALUE"""),44134.0)</f>
        <v>44134</v>
      </c>
      <c r="B1211" s="11">
        <f>IFERROR(__xludf.DUMMYFUNCTION("""COMPUTED_VALUE"""),0.0)</f>
        <v>0</v>
      </c>
      <c r="C1211" s="11">
        <f>IFERROR(__xludf.DUMMYFUNCTION("""COMPUTED_VALUE"""),816.0)</f>
        <v>816</v>
      </c>
      <c r="D1211" s="11">
        <f>IFERROR(__xludf.DUMMYFUNCTION("""COMPUTED_VALUE"""),615.0)</f>
        <v>615</v>
      </c>
      <c r="E1211" s="9"/>
    </row>
    <row r="1212">
      <c r="A1212" s="10">
        <f>IFERROR(__xludf.DUMMYFUNCTION("""COMPUTED_VALUE"""),5637.0)</f>
        <v>5637</v>
      </c>
      <c r="B1212" s="11">
        <f>IFERROR(__xludf.DUMMYFUNCTION("""COMPUTED_VALUE"""),0.0)</f>
        <v>0</v>
      </c>
      <c r="C1212" s="11">
        <f>IFERROR(__xludf.DUMMYFUNCTION("""COMPUTED_VALUE"""),49.0)</f>
        <v>49</v>
      </c>
      <c r="D1212" s="11">
        <f>IFERROR(__xludf.DUMMYFUNCTION("""COMPUTED_VALUE"""),5.0)</f>
        <v>5</v>
      </c>
      <c r="E1212" s="9"/>
    </row>
    <row r="1213">
      <c r="A1213" s="10">
        <f>IFERROR(__xludf.DUMMYFUNCTION("""COMPUTED_VALUE"""),5641.0)</f>
        <v>5641</v>
      </c>
      <c r="B1213" s="11">
        <f>IFERROR(__xludf.DUMMYFUNCTION("""COMPUTED_VALUE"""),0.0)</f>
        <v>0</v>
      </c>
      <c r="C1213" s="11">
        <f>IFERROR(__xludf.DUMMYFUNCTION("""COMPUTED_VALUE"""),677.0)</f>
        <v>677</v>
      </c>
      <c r="D1213" s="11">
        <f>IFERROR(__xludf.DUMMYFUNCTION("""COMPUTED_VALUE"""),155.0)</f>
        <v>155</v>
      </c>
      <c r="E1213" s="9"/>
    </row>
    <row r="1214">
      <c r="A1214" s="10">
        <f>IFERROR(__xludf.DUMMYFUNCTION("""COMPUTED_VALUE"""),147323.0)</f>
        <v>147323</v>
      </c>
      <c r="B1214" s="11">
        <f>IFERROR(__xludf.DUMMYFUNCTION("""COMPUTED_VALUE"""),0.0)</f>
        <v>0</v>
      </c>
      <c r="C1214" s="11">
        <f>IFERROR(__xludf.DUMMYFUNCTION("""COMPUTED_VALUE"""),341.0)</f>
        <v>341</v>
      </c>
      <c r="D1214" s="11">
        <f>IFERROR(__xludf.DUMMYFUNCTION("""COMPUTED_VALUE"""),260.0)</f>
        <v>260</v>
      </c>
      <c r="E1214" s="9"/>
    </row>
    <row r="1215">
      <c r="A1215" s="10">
        <f>IFERROR(__xludf.DUMMYFUNCTION("""COMPUTED_VALUE"""),44118.0)</f>
        <v>44118</v>
      </c>
      <c r="B1215" s="11">
        <f>IFERROR(__xludf.DUMMYFUNCTION("""COMPUTED_VALUE"""),1.0)</f>
        <v>1</v>
      </c>
      <c r="C1215" s="11">
        <f>IFERROR(__xludf.DUMMYFUNCTION("""COMPUTED_VALUE"""),436.0)</f>
        <v>436</v>
      </c>
      <c r="D1215" s="11">
        <f>IFERROR(__xludf.DUMMYFUNCTION("""COMPUTED_VALUE"""),152.0)</f>
        <v>152</v>
      </c>
      <c r="E1215" s="9"/>
    </row>
    <row r="1216">
      <c r="A1216" s="10">
        <f>IFERROR(__xludf.DUMMYFUNCTION("""COMPUTED_VALUE"""),115608.0)</f>
        <v>115608</v>
      </c>
      <c r="B1216" s="11">
        <f>IFERROR(__xludf.DUMMYFUNCTION("""COMPUTED_VALUE"""),1.0)</f>
        <v>1</v>
      </c>
      <c r="C1216" s="11">
        <f>IFERROR(__xludf.DUMMYFUNCTION("""COMPUTED_VALUE"""),376.0)</f>
        <v>376</v>
      </c>
      <c r="D1216" s="11">
        <f>IFERROR(__xludf.DUMMYFUNCTION("""COMPUTED_VALUE"""),119.0)</f>
        <v>119</v>
      </c>
      <c r="E1216" s="9"/>
    </row>
    <row r="1217">
      <c r="A1217" s="10">
        <f>IFERROR(__xludf.DUMMYFUNCTION("""COMPUTED_VALUE"""),44127.0)</f>
        <v>44127</v>
      </c>
      <c r="B1217" s="11">
        <f>IFERROR(__xludf.DUMMYFUNCTION("""COMPUTED_VALUE"""),0.0)</f>
        <v>0</v>
      </c>
      <c r="C1217" s="11">
        <f>IFERROR(__xludf.DUMMYFUNCTION("""COMPUTED_VALUE"""),652.0)</f>
        <v>652</v>
      </c>
      <c r="D1217" s="11">
        <f>IFERROR(__xludf.DUMMYFUNCTION("""COMPUTED_VALUE"""),150.0)</f>
        <v>150</v>
      </c>
      <c r="E1217" s="9"/>
    </row>
    <row r="1218">
      <c r="A1218" s="10">
        <f>IFERROR(__xludf.DUMMYFUNCTION("""COMPUTED_VALUE"""),122348.0)</f>
        <v>122348</v>
      </c>
      <c r="B1218" s="11">
        <f>IFERROR(__xludf.DUMMYFUNCTION("""COMPUTED_VALUE"""),1.0)</f>
        <v>1</v>
      </c>
      <c r="C1218" s="11">
        <f>IFERROR(__xludf.DUMMYFUNCTION("""COMPUTED_VALUE"""),309.0)</f>
        <v>309</v>
      </c>
      <c r="D1218" s="11">
        <f>IFERROR(__xludf.DUMMYFUNCTION("""COMPUTED_VALUE"""),161.0)</f>
        <v>161</v>
      </c>
      <c r="E1218" s="9"/>
    </row>
    <row r="1219">
      <c r="A1219" s="10">
        <f>IFERROR(__xludf.DUMMYFUNCTION("""COMPUTED_VALUE"""),147304.0)</f>
        <v>147304</v>
      </c>
      <c r="B1219" s="11">
        <f>IFERROR(__xludf.DUMMYFUNCTION("""COMPUTED_VALUE"""),0.0)</f>
        <v>0</v>
      </c>
      <c r="C1219" s="11">
        <f>IFERROR(__xludf.DUMMYFUNCTION("""COMPUTED_VALUE"""),944.0)</f>
        <v>944</v>
      </c>
      <c r="D1219" s="11">
        <f>IFERROR(__xludf.DUMMYFUNCTION("""COMPUTED_VALUE"""),812.0)</f>
        <v>812</v>
      </c>
      <c r="E1219" s="9"/>
    </row>
    <row r="1220">
      <c r="A1220" s="10">
        <f>IFERROR(__xludf.DUMMYFUNCTION("""COMPUTED_VALUE"""),118310.0)</f>
        <v>118310</v>
      </c>
      <c r="B1220" s="11">
        <f>IFERROR(__xludf.DUMMYFUNCTION("""COMPUTED_VALUE"""),0.0)</f>
        <v>0</v>
      </c>
      <c r="C1220" s="11">
        <f>IFERROR(__xludf.DUMMYFUNCTION("""COMPUTED_VALUE"""),960.0)</f>
        <v>960</v>
      </c>
      <c r="D1220" s="11">
        <f>IFERROR(__xludf.DUMMYFUNCTION("""COMPUTED_VALUE"""),882.0)</f>
        <v>882</v>
      </c>
      <c r="E1220" s="9"/>
    </row>
    <row r="1221">
      <c r="A1221" s="10">
        <f>IFERROR(__xludf.DUMMYFUNCTION("""COMPUTED_VALUE"""),77175.0)</f>
        <v>77175</v>
      </c>
      <c r="B1221" s="11">
        <f>IFERROR(__xludf.DUMMYFUNCTION("""COMPUTED_VALUE"""),1.0)</f>
        <v>1</v>
      </c>
      <c r="C1221" s="11">
        <f>IFERROR(__xludf.DUMMYFUNCTION("""COMPUTED_VALUE"""),797.0)</f>
        <v>797</v>
      </c>
      <c r="D1221" s="11">
        <f>IFERROR(__xludf.DUMMYFUNCTION("""COMPUTED_VALUE"""),313.0)</f>
        <v>313</v>
      </c>
      <c r="E1221" s="9"/>
    </row>
    <row r="1222">
      <c r="A1222" s="10">
        <f>IFERROR(__xludf.DUMMYFUNCTION("""COMPUTED_VALUE"""),5645.0)</f>
        <v>5645</v>
      </c>
      <c r="B1222" s="11">
        <f>IFERROR(__xludf.DUMMYFUNCTION("""COMPUTED_VALUE"""),0.0)</f>
        <v>0</v>
      </c>
      <c r="C1222" s="11">
        <f>IFERROR(__xludf.DUMMYFUNCTION("""COMPUTED_VALUE"""),107.0)</f>
        <v>107</v>
      </c>
      <c r="D1222" s="11">
        <f>IFERROR(__xludf.DUMMYFUNCTION("""COMPUTED_VALUE"""),85.0)</f>
        <v>85</v>
      </c>
      <c r="E1222" s="9"/>
    </row>
    <row r="1223">
      <c r="A1223" s="10">
        <f>IFERROR(__xludf.DUMMYFUNCTION("""COMPUTED_VALUE"""),76679.0)</f>
        <v>76679</v>
      </c>
      <c r="B1223" s="11">
        <f>IFERROR(__xludf.DUMMYFUNCTION("""COMPUTED_VALUE"""),1.0)</f>
        <v>1</v>
      </c>
      <c r="C1223" s="11">
        <f>IFERROR(__xludf.DUMMYFUNCTION("""COMPUTED_VALUE"""),829.0)</f>
        <v>829</v>
      </c>
      <c r="D1223" s="11">
        <f>IFERROR(__xludf.DUMMYFUNCTION("""COMPUTED_VALUE"""),287.0)</f>
        <v>287</v>
      </c>
      <c r="E1223" s="9"/>
    </row>
    <row r="1224">
      <c r="A1224" s="10">
        <f>IFERROR(__xludf.DUMMYFUNCTION("""COMPUTED_VALUE"""),5635.0)</f>
        <v>5635</v>
      </c>
      <c r="B1224" s="11">
        <f>IFERROR(__xludf.DUMMYFUNCTION("""COMPUTED_VALUE"""),0.0)</f>
        <v>0</v>
      </c>
      <c r="C1224" s="11">
        <f>IFERROR(__xludf.DUMMYFUNCTION("""COMPUTED_VALUE"""),558.0)</f>
        <v>558</v>
      </c>
      <c r="D1224" s="11">
        <f>IFERROR(__xludf.DUMMYFUNCTION("""COMPUTED_VALUE"""),151.0)</f>
        <v>151</v>
      </c>
      <c r="E1224" s="9"/>
    </row>
    <row r="1225">
      <c r="A1225" s="10">
        <f>IFERROR(__xludf.DUMMYFUNCTION("""COMPUTED_VALUE"""),110960.0)</f>
        <v>110960</v>
      </c>
      <c r="B1225" s="11">
        <f>IFERROR(__xludf.DUMMYFUNCTION("""COMPUTED_VALUE"""),1.0)</f>
        <v>1</v>
      </c>
      <c r="C1225" s="11">
        <f>IFERROR(__xludf.DUMMYFUNCTION("""COMPUTED_VALUE"""),670.0)</f>
        <v>670</v>
      </c>
      <c r="D1225" s="11">
        <f>IFERROR(__xludf.DUMMYFUNCTION("""COMPUTED_VALUE"""),241.0)</f>
        <v>241</v>
      </c>
      <c r="E1225" s="9"/>
    </row>
    <row r="1226">
      <c r="A1226" s="10">
        <f>IFERROR(__xludf.DUMMYFUNCTION("""COMPUTED_VALUE"""),108290.0)</f>
        <v>108290</v>
      </c>
      <c r="B1226" s="11">
        <f>IFERROR(__xludf.DUMMYFUNCTION("""COMPUTED_VALUE"""),1.0)</f>
        <v>1</v>
      </c>
      <c r="C1226" s="11">
        <f>IFERROR(__xludf.DUMMYFUNCTION("""COMPUTED_VALUE"""),698.0)</f>
        <v>698</v>
      </c>
      <c r="D1226" s="11">
        <f>IFERROR(__xludf.DUMMYFUNCTION("""COMPUTED_VALUE"""),121.0)</f>
        <v>121</v>
      </c>
      <c r="E1226" s="9"/>
    </row>
    <row r="1227">
      <c r="A1227" s="10">
        <f>IFERROR(__xludf.DUMMYFUNCTION("""COMPUTED_VALUE"""),117680.0)</f>
        <v>117680</v>
      </c>
      <c r="B1227" s="11">
        <f>IFERROR(__xludf.DUMMYFUNCTION("""COMPUTED_VALUE"""),0.0)</f>
        <v>0</v>
      </c>
      <c r="C1227" s="11">
        <f>IFERROR(__xludf.DUMMYFUNCTION("""COMPUTED_VALUE"""),484.0)</f>
        <v>484</v>
      </c>
      <c r="D1227" s="11">
        <f>IFERROR(__xludf.DUMMYFUNCTION("""COMPUTED_VALUE"""),102.0)</f>
        <v>102</v>
      </c>
      <c r="E1227" s="9"/>
    </row>
    <row r="1228">
      <c r="A1228" s="10">
        <f>IFERROR(__xludf.DUMMYFUNCTION("""COMPUTED_VALUE"""),77183.0)</f>
        <v>77183</v>
      </c>
      <c r="B1228" s="11">
        <f>IFERROR(__xludf.DUMMYFUNCTION("""COMPUTED_VALUE"""),1.0)</f>
        <v>1</v>
      </c>
      <c r="C1228" s="11">
        <f>IFERROR(__xludf.DUMMYFUNCTION("""COMPUTED_VALUE"""),98.0)</f>
        <v>98</v>
      </c>
      <c r="D1228" s="11">
        <f>IFERROR(__xludf.DUMMYFUNCTION("""COMPUTED_VALUE"""),92.0)</f>
        <v>92</v>
      </c>
      <c r="E1228" s="9"/>
    </row>
    <row r="1229">
      <c r="A1229" s="10">
        <f>IFERROR(__xludf.DUMMYFUNCTION("""COMPUTED_VALUE"""),147322.0)</f>
        <v>147322</v>
      </c>
      <c r="B1229" s="11">
        <f>IFERROR(__xludf.DUMMYFUNCTION("""COMPUTED_VALUE"""),1.0)</f>
        <v>1</v>
      </c>
      <c r="C1229" s="11">
        <f>IFERROR(__xludf.DUMMYFUNCTION("""COMPUTED_VALUE"""),447.0)</f>
        <v>447</v>
      </c>
      <c r="D1229" s="11">
        <f>IFERROR(__xludf.DUMMYFUNCTION("""COMPUTED_VALUE"""),257.0)</f>
        <v>257</v>
      </c>
      <c r="E1229" s="9"/>
    </row>
    <row r="1230">
      <c r="A1230" s="10">
        <f>IFERROR(__xludf.DUMMYFUNCTION("""COMPUTED_VALUE"""),44120.0)</f>
        <v>44120</v>
      </c>
      <c r="B1230" s="11">
        <f>IFERROR(__xludf.DUMMYFUNCTION("""COMPUTED_VALUE"""),1.0)</f>
        <v>1</v>
      </c>
      <c r="C1230" s="11">
        <f>IFERROR(__xludf.DUMMYFUNCTION("""COMPUTED_VALUE"""),611.0)</f>
        <v>611</v>
      </c>
      <c r="D1230" s="11">
        <f>IFERROR(__xludf.DUMMYFUNCTION("""COMPUTED_VALUE"""),100.0)</f>
        <v>100</v>
      </c>
      <c r="E1230" s="9"/>
    </row>
    <row r="1231">
      <c r="A1231" s="10">
        <f>IFERROR(__xludf.DUMMYFUNCTION("""COMPUTED_VALUE"""),44115.0)</f>
        <v>44115</v>
      </c>
      <c r="B1231" s="11">
        <f>IFERROR(__xludf.DUMMYFUNCTION("""COMPUTED_VALUE"""),1.0)</f>
        <v>1</v>
      </c>
      <c r="C1231" s="11">
        <f>IFERROR(__xludf.DUMMYFUNCTION("""COMPUTED_VALUE"""),571.0)</f>
        <v>571</v>
      </c>
      <c r="D1231" s="11">
        <f>IFERROR(__xludf.DUMMYFUNCTION("""COMPUTED_VALUE"""),35.0)</f>
        <v>35</v>
      </c>
      <c r="E1231" s="9"/>
    </row>
    <row r="1232">
      <c r="A1232" s="10">
        <f>IFERROR(__xludf.DUMMYFUNCTION("""COMPUTED_VALUE"""),44117.0)</f>
        <v>44117</v>
      </c>
      <c r="B1232" s="11">
        <f>IFERROR(__xludf.DUMMYFUNCTION("""COMPUTED_VALUE"""),1.0)</f>
        <v>1</v>
      </c>
      <c r="C1232" s="11">
        <f>IFERROR(__xludf.DUMMYFUNCTION("""COMPUTED_VALUE"""),463.0)</f>
        <v>463</v>
      </c>
      <c r="D1232" s="11">
        <f>IFERROR(__xludf.DUMMYFUNCTION("""COMPUTED_VALUE"""),418.0)</f>
        <v>418</v>
      </c>
      <c r="E1232" s="9"/>
    </row>
    <row r="1233">
      <c r="A1233" s="10">
        <f>IFERROR(__xludf.DUMMYFUNCTION("""COMPUTED_VALUE"""),76670.0)</f>
        <v>76670</v>
      </c>
      <c r="B1233" s="11">
        <f>IFERROR(__xludf.DUMMYFUNCTION("""COMPUTED_VALUE"""),1.0)</f>
        <v>1</v>
      </c>
      <c r="C1233" s="11">
        <f>IFERROR(__xludf.DUMMYFUNCTION("""COMPUTED_VALUE"""),798.0)</f>
        <v>798</v>
      </c>
      <c r="D1233" s="11">
        <f>IFERROR(__xludf.DUMMYFUNCTION("""COMPUTED_VALUE"""),429.0)</f>
        <v>429</v>
      </c>
      <c r="E1233" s="9"/>
    </row>
    <row r="1234">
      <c r="A1234" s="10">
        <f>IFERROR(__xludf.DUMMYFUNCTION("""COMPUTED_VALUE"""),122347.0)</f>
        <v>122347</v>
      </c>
      <c r="B1234" s="11">
        <f>IFERROR(__xludf.DUMMYFUNCTION("""COMPUTED_VALUE"""),1.0)</f>
        <v>1</v>
      </c>
      <c r="C1234" s="11">
        <f>IFERROR(__xludf.DUMMYFUNCTION("""COMPUTED_VALUE"""),587.0)</f>
        <v>587</v>
      </c>
      <c r="D1234" s="11">
        <f>IFERROR(__xludf.DUMMYFUNCTION("""COMPUTED_VALUE"""),172.0)</f>
        <v>172</v>
      </c>
      <c r="E1234" s="9"/>
    </row>
    <row r="1235">
      <c r="A1235" s="10">
        <f>IFERROR(__xludf.DUMMYFUNCTION("""COMPUTED_VALUE"""),112462.0)</f>
        <v>112462</v>
      </c>
      <c r="B1235" s="11">
        <f>IFERROR(__xludf.DUMMYFUNCTION("""COMPUTED_VALUE"""),1.0)</f>
        <v>1</v>
      </c>
      <c r="C1235" s="11">
        <f>IFERROR(__xludf.DUMMYFUNCTION("""COMPUTED_VALUE"""),74.0)</f>
        <v>74</v>
      </c>
      <c r="D1235" s="11">
        <f>IFERROR(__xludf.DUMMYFUNCTION("""COMPUTED_VALUE"""),68.0)</f>
        <v>68</v>
      </c>
      <c r="E1235" s="9"/>
    </row>
    <row r="1236">
      <c r="A1236" s="10">
        <f>IFERROR(__xludf.DUMMYFUNCTION("""COMPUTED_VALUE"""),5636.0)</f>
        <v>5636</v>
      </c>
      <c r="B1236" s="11">
        <f>IFERROR(__xludf.DUMMYFUNCTION("""COMPUTED_VALUE"""),1.0)</f>
        <v>1</v>
      </c>
      <c r="C1236" s="11">
        <f>IFERROR(__xludf.DUMMYFUNCTION("""COMPUTED_VALUE"""),32.0)</f>
        <v>32</v>
      </c>
      <c r="D1236" s="11">
        <f>IFERROR(__xludf.DUMMYFUNCTION("""COMPUTED_VALUE"""),3.0)</f>
        <v>3</v>
      </c>
      <c r="E1236" s="9"/>
    </row>
    <row r="1237">
      <c r="A1237" s="10">
        <f>IFERROR(__xludf.DUMMYFUNCTION("""COMPUTED_VALUE"""),112464.0)</f>
        <v>112464</v>
      </c>
      <c r="B1237" s="11">
        <f>IFERROR(__xludf.DUMMYFUNCTION("""COMPUTED_VALUE"""),1.0)</f>
        <v>1</v>
      </c>
      <c r="C1237" s="11">
        <f>IFERROR(__xludf.DUMMYFUNCTION("""COMPUTED_VALUE"""),697.0)</f>
        <v>697</v>
      </c>
      <c r="D1237" s="11">
        <f>IFERROR(__xludf.DUMMYFUNCTION("""COMPUTED_VALUE"""),630.0)</f>
        <v>630</v>
      </c>
      <c r="E1237" s="9"/>
    </row>
    <row r="1238">
      <c r="A1238" s="10">
        <f>IFERROR(__xludf.DUMMYFUNCTION("""COMPUTED_VALUE"""),5639.0)</f>
        <v>5639</v>
      </c>
      <c r="B1238" s="11">
        <f>IFERROR(__xludf.DUMMYFUNCTION("""COMPUTED_VALUE"""),0.0)</f>
        <v>0</v>
      </c>
      <c r="C1238" s="11">
        <f>IFERROR(__xludf.DUMMYFUNCTION("""COMPUTED_VALUE"""),692.0)</f>
        <v>692</v>
      </c>
      <c r="D1238" s="11">
        <f>IFERROR(__xludf.DUMMYFUNCTION("""COMPUTED_VALUE"""),381.0)</f>
        <v>381</v>
      </c>
      <c r="E1238" s="9"/>
    </row>
    <row r="1239">
      <c r="A1239" s="10">
        <f>IFERROR(__xludf.DUMMYFUNCTION("""COMPUTED_VALUE"""),44147.0)</f>
        <v>44147</v>
      </c>
      <c r="B1239" s="11">
        <f>IFERROR(__xludf.DUMMYFUNCTION("""COMPUTED_VALUE"""),0.0)</f>
        <v>0</v>
      </c>
      <c r="C1239" s="11">
        <f>IFERROR(__xludf.DUMMYFUNCTION("""COMPUTED_VALUE"""),103.0)</f>
        <v>103</v>
      </c>
      <c r="D1239" s="11">
        <f>IFERROR(__xludf.DUMMYFUNCTION("""COMPUTED_VALUE"""),6.0)</f>
        <v>6</v>
      </c>
      <c r="E1239" s="9"/>
    </row>
    <row r="1240">
      <c r="A1240" s="10">
        <f>IFERROR(__xludf.DUMMYFUNCTION("""COMPUTED_VALUE"""),5638.0)</f>
        <v>5638</v>
      </c>
      <c r="B1240" s="11">
        <f>IFERROR(__xludf.DUMMYFUNCTION("""COMPUTED_VALUE"""),1.0)</f>
        <v>1</v>
      </c>
      <c r="C1240" s="11">
        <f>IFERROR(__xludf.DUMMYFUNCTION("""COMPUTED_VALUE"""),172.0)</f>
        <v>172</v>
      </c>
      <c r="D1240" s="11">
        <f>IFERROR(__xludf.DUMMYFUNCTION("""COMPUTED_VALUE"""),113.0)</f>
        <v>113</v>
      </c>
      <c r="E1240" s="9"/>
    </row>
    <row r="1241">
      <c r="A1241" s="10">
        <f>IFERROR(__xludf.DUMMYFUNCTION("""COMPUTED_VALUE"""),103074.0)</f>
        <v>103074</v>
      </c>
      <c r="B1241" s="11">
        <f>IFERROR(__xludf.DUMMYFUNCTION("""COMPUTED_VALUE"""),1.0)</f>
        <v>1</v>
      </c>
      <c r="C1241" s="11">
        <f>IFERROR(__xludf.DUMMYFUNCTION("""COMPUTED_VALUE"""),620.0)</f>
        <v>620</v>
      </c>
      <c r="D1241" s="11">
        <f>IFERROR(__xludf.DUMMYFUNCTION("""COMPUTED_VALUE"""),304.0)</f>
        <v>304</v>
      </c>
      <c r="E1241" s="9"/>
    </row>
    <row r="1242">
      <c r="A1242" s="10">
        <f>IFERROR(__xludf.DUMMYFUNCTION("""COMPUTED_VALUE"""),45913.0)</f>
        <v>45913</v>
      </c>
      <c r="B1242" s="11">
        <f>IFERROR(__xludf.DUMMYFUNCTION("""COMPUTED_VALUE"""),1.0)</f>
        <v>1</v>
      </c>
      <c r="C1242" s="11">
        <f>IFERROR(__xludf.DUMMYFUNCTION("""COMPUTED_VALUE"""),408.0)</f>
        <v>408</v>
      </c>
      <c r="D1242" s="11">
        <f>IFERROR(__xludf.DUMMYFUNCTION("""COMPUTED_VALUE"""),133.0)</f>
        <v>133</v>
      </c>
      <c r="E1242" s="9"/>
    </row>
    <row r="1243">
      <c r="A1243" s="10">
        <f>IFERROR(__xludf.DUMMYFUNCTION("""COMPUTED_VALUE"""),120044.0)</f>
        <v>120044</v>
      </c>
      <c r="B1243" s="11">
        <f>IFERROR(__xludf.DUMMYFUNCTION("""COMPUTED_VALUE"""),0.0)</f>
        <v>0</v>
      </c>
      <c r="C1243" s="11">
        <f>IFERROR(__xludf.DUMMYFUNCTION("""COMPUTED_VALUE"""),831.0)</f>
        <v>831</v>
      </c>
      <c r="D1243" s="11">
        <f>IFERROR(__xludf.DUMMYFUNCTION("""COMPUTED_VALUE"""),329.0)</f>
        <v>329</v>
      </c>
      <c r="E1243" s="9"/>
    </row>
    <row r="1244">
      <c r="A1244" s="10">
        <f>IFERROR(__xludf.DUMMYFUNCTION("""COMPUTED_VALUE"""),90973.0)</f>
        <v>90973</v>
      </c>
      <c r="B1244" s="11">
        <f>IFERROR(__xludf.DUMMYFUNCTION("""COMPUTED_VALUE"""),1.0)</f>
        <v>1</v>
      </c>
      <c r="C1244" s="11">
        <f>IFERROR(__xludf.DUMMYFUNCTION("""COMPUTED_VALUE"""),806.0)</f>
        <v>806</v>
      </c>
      <c r="D1244" s="11">
        <f>IFERROR(__xludf.DUMMYFUNCTION("""COMPUTED_VALUE"""),749.0)</f>
        <v>749</v>
      </c>
      <c r="E1244" s="9"/>
    </row>
    <row r="1245">
      <c r="A1245" s="10">
        <f>IFERROR(__xludf.DUMMYFUNCTION("""COMPUTED_VALUE"""),103830.0)</f>
        <v>103830</v>
      </c>
      <c r="B1245" s="11">
        <f>IFERROR(__xludf.DUMMYFUNCTION("""COMPUTED_VALUE"""),0.0)</f>
        <v>0</v>
      </c>
      <c r="C1245" s="11">
        <f>IFERROR(__xludf.DUMMYFUNCTION("""COMPUTED_VALUE"""),724.0)</f>
        <v>724</v>
      </c>
      <c r="D1245" s="11">
        <f>IFERROR(__xludf.DUMMYFUNCTION("""COMPUTED_VALUE"""),319.0)</f>
        <v>319</v>
      </c>
      <c r="E1245" s="9"/>
    </row>
    <row r="1246">
      <c r="A1246" s="10">
        <f>IFERROR(__xludf.DUMMYFUNCTION("""COMPUTED_VALUE"""),111765.0)</f>
        <v>111765</v>
      </c>
      <c r="B1246" s="11">
        <f>IFERROR(__xludf.DUMMYFUNCTION("""COMPUTED_VALUE"""),0.0)</f>
        <v>0</v>
      </c>
      <c r="C1246" s="11">
        <f>IFERROR(__xludf.DUMMYFUNCTION("""COMPUTED_VALUE"""),882.0)</f>
        <v>882</v>
      </c>
      <c r="D1246" s="11">
        <f>IFERROR(__xludf.DUMMYFUNCTION("""COMPUTED_VALUE"""),600.0)</f>
        <v>600</v>
      </c>
      <c r="E1246" s="9"/>
    </row>
    <row r="1247">
      <c r="A1247" s="10">
        <f>IFERROR(__xludf.DUMMYFUNCTION("""COMPUTED_VALUE"""),45952.0)</f>
        <v>45952</v>
      </c>
      <c r="B1247" s="11">
        <f>IFERROR(__xludf.DUMMYFUNCTION("""COMPUTED_VALUE"""),1.0)</f>
        <v>1</v>
      </c>
      <c r="C1247" s="11">
        <f>IFERROR(__xludf.DUMMYFUNCTION("""COMPUTED_VALUE"""),371.0)</f>
        <v>371</v>
      </c>
      <c r="D1247" s="11">
        <f>IFERROR(__xludf.DUMMYFUNCTION("""COMPUTED_VALUE"""),88.0)</f>
        <v>88</v>
      </c>
      <c r="E1247" s="9"/>
    </row>
    <row r="1248">
      <c r="A1248" s="10">
        <f>IFERROR(__xludf.DUMMYFUNCTION("""COMPUTED_VALUE"""),91749.0)</f>
        <v>91749</v>
      </c>
      <c r="B1248" s="11">
        <f>IFERROR(__xludf.DUMMYFUNCTION("""COMPUTED_VALUE"""),0.0)</f>
        <v>0</v>
      </c>
      <c r="C1248" s="11">
        <f>IFERROR(__xludf.DUMMYFUNCTION("""COMPUTED_VALUE"""),211.0)</f>
        <v>211</v>
      </c>
      <c r="D1248" s="11">
        <f>IFERROR(__xludf.DUMMYFUNCTION("""COMPUTED_VALUE"""),80.0)</f>
        <v>80</v>
      </c>
      <c r="E1248" s="9"/>
    </row>
    <row r="1249">
      <c r="A1249" s="10">
        <f>IFERROR(__xludf.DUMMYFUNCTION("""COMPUTED_VALUE"""),120040.0)</f>
        <v>120040</v>
      </c>
      <c r="B1249" s="11">
        <f>IFERROR(__xludf.DUMMYFUNCTION("""COMPUTED_VALUE"""),0.0)</f>
        <v>0</v>
      </c>
      <c r="C1249" s="11">
        <f>IFERROR(__xludf.DUMMYFUNCTION("""COMPUTED_VALUE"""),434.0)</f>
        <v>434</v>
      </c>
      <c r="D1249" s="11">
        <f>IFERROR(__xludf.DUMMYFUNCTION("""COMPUTED_VALUE"""),65.0)</f>
        <v>65</v>
      </c>
      <c r="E1249" s="9"/>
    </row>
    <row r="1250">
      <c r="A1250" s="10">
        <f>IFERROR(__xludf.DUMMYFUNCTION("""COMPUTED_VALUE"""),17143.0)</f>
        <v>17143</v>
      </c>
      <c r="B1250" s="11">
        <f>IFERROR(__xludf.DUMMYFUNCTION("""COMPUTED_VALUE"""),1.0)</f>
        <v>1</v>
      </c>
      <c r="C1250" s="11">
        <f>IFERROR(__xludf.DUMMYFUNCTION("""COMPUTED_VALUE"""),698.0)</f>
        <v>698</v>
      </c>
      <c r="D1250" s="11">
        <f>IFERROR(__xludf.DUMMYFUNCTION("""COMPUTED_VALUE"""),434.0)</f>
        <v>434</v>
      </c>
      <c r="E1250" s="9"/>
    </row>
    <row r="1251">
      <c r="A1251" s="10">
        <f>IFERROR(__xludf.DUMMYFUNCTION("""COMPUTED_VALUE"""),120515.0)</f>
        <v>120515</v>
      </c>
      <c r="B1251" s="11">
        <f>IFERROR(__xludf.DUMMYFUNCTION("""COMPUTED_VALUE"""),1.0)</f>
        <v>1</v>
      </c>
      <c r="C1251" s="11">
        <f>IFERROR(__xludf.DUMMYFUNCTION("""COMPUTED_VALUE"""),236.0)</f>
        <v>236</v>
      </c>
      <c r="D1251" s="11">
        <f>IFERROR(__xludf.DUMMYFUNCTION("""COMPUTED_VALUE"""),98.0)</f>
        <v>98</v>
      </c>
      <c r="E1251" s="9"/>
    </row>
    <row r="1252">
      <c r="A1252" s="10">
        <f>IFERROR(__xludf.DUMMYFUNCTION("""COMPUTED_VALUE"""),120045.0)</f>
        <v>120045</v>
      </c>
      <c r="B1252" s="11">
        <f>IFERROR(__xludf.DUMMYFUNCTION("""COMPUTED_VALUE"""),0.0)</f>
        <v>0</v>
      </c>
      <c r="C1252" s="11">
        <f>IFERROR(__xludf.DUMMYFUNCTION("""COMPUTED_VALUE"""),176.0)</f>
        <v>176</v>
      </c>
      <c r="D1252" s="11">
        <f>IFERROR(__xludf.DUMMYFUNCTION("""COMPUTED_VALUE"""),29.0)</f>
        <v>29</v>
      </c>
      <c r="E1252" s="9"/>
    </row>
    <row r="1253">
      <c r="A1253" s="10">
        <f>IFERROR(__xludf.DUMMYFUNCTION("""COMPUTED_VALUE"""),122268.0)</f>
        <v>122268</v>
      </c>
      <c r="B1253" s="11">
        <f>IFERROR(__xludf.DUMMYFUNCTION("""COMPUTED_VALUE"""),1.0)</f>
        <v>1</v>
      </c>
      <c r="C1253" s="11">
        <f>IFERROR(__xludf.DUMMYFUNCTION("""COMPUTED_VALUE"""),558.0)</f>
        <v>558</v>
      </c>
      <c r="D1253" s="11">
        <f>IFERROR(__xludf.DUMMYFUNCTION("""COMPUTED_VALUE"""),60.0)</f>
        <v>60</v>
      </c>
      <c r="E1253" s="9"/>
    </row>
    <row r="1254">
      <c r="A1254" s="10">
        <f>IFERROR(__xludf.DUMMYFUNCTION("""COMPUTED_VALUE"""),195737.0)</f>
        <v>195737</v>
      </c>
      <c r="B1254" s="11">
        <f>IFERROR(__xludf.DUMMYFUNCTION("""COMPUTED_VALUE"""),1.0)</f>
        <v>1</v>
      </c>
      <c r="C1254" s="11">
        <f>IFERROR(__xludf.DUMMYFUNCTION("""COMPUTED_VALUE"""),779.0)</f>
        <v>779</v>
      </c>
      <c r="D1254" s="11">
        <f>IFERROR(__xludf.DUMMYFUNCTION("""COMPUTED_VALUE"""),342.0)</f>
        <v>342</v>
      </c>
      <c r="E1254" s="9"/>
    </row>
    <row r="1255">
      <c r="A1255" s="10">
        <f>IFERROR(__xludf.DUMMYFUNCTION("""COMPUTED_VALUE"""),78759.0)</f>
        <v>78759</v>
      </c>
      <c r="B1255" s="11">
        <f>IFERROR(__xludf.DUMMYFUNCTION("""COMPUTED_VALUE"""),1.0)</f>
        <v>1</v>
      </c>
      <c r="C1255" s="11">
        <f>IFERROR(__xludf.DUMMYFUNCTION("""COMPUTED_VALUE"""),114.0)</f>
        <v>114</v>
      </c>
      <c r="D1255" s="11">
        <f>IFERROR(__xludf.DUMMYFUNCTION("""COMPUTED_VALUE"""),95.0)</f>
        <v>95</v>
      </c>
      <c r="E1255" s="9"/>
    </row>
    <row r="1256">
      <c r="A1256" s="10">
        <f>IFERROR(__xludf.DUMMYFUNCTION("""COMPUTED_VALUE"""),8857.0)</f>
        <v>8857</v>
      </c>
      <c r="B1256" s="11">
        <f>IFERROR(__xludf.DUMMYFUNCTION("""COMPUTED_VALUE"""),0.0)</f>
        <v>0</v>
      </c>
      <c r="C1256" s="11">
        <f>IFERROR(__xludf.DUMMYFUNCTION("""COMPUTED_VALUE"""),906.0)</f>
        <v>906</v>
      </c>
      <c r="D1256" s="11">
        <f>IFERROR(__xludf.DUMMYFUNCTION("""COMPUTED_VALUE"""),355.0)</f>
        <v>355</v>
      </c>
      <c r="E1256" s="9"/>
    </row>
    <row r="1257">
      <c r="A1257" s="10">
        <f>IFERROR(__xludf.DUMMYFUNCTION("""COMPUTED_VALUE"""),8860.0)</f>
        <v>8860</v>
      </c>
      <c r="B1257" s="11">
        <f>IFERROR(__xludf.DUMMYFUNCTION("""COMPUTED_VALUE"""),0.0)</f>
        <v>0</v>
      </c>
      <c r="C1257" s="11">
        <f>IFERROR(__xludf.DUMMYFUNCTION("""COMPUTED_VALUE"""),202.0)</f>
        <v>202</v>
      </c>
      <c r="D1257" s="11">
        <f>IFERROR(__xludf.DUMMYFUNCTION("""COMPUTED_VALUE"""),88.0)</f>
        <v>88</v>
      </c>
      <c r="E1257" s="9"/>
    </row>
    <row r="1258">
      <c r="A1258" s="10">
        <f>IFERROR(__xludf.DUMMYFUNCTION("""COMPUTED_VALUE"""),182790.0)</f>
        <v>182790</v>
      </c>
      <c r="B1258" s="11">
        <f>IFERROR(__xludf.DUMMYFUNCTION("""COMPUTED_VALUE"""),0.0)</f>
        <v>0</v>
      </c>
      <c r="C1258" s="11">
        <f>IFERROR(__xludf.DUMMYFUNCTION("""COMPUTED_VALUE"""),80.0)</f>
        <v>80</v>
      </c>
      <c r="D1258" s="11">
        <f>IFERROR(__xludf.DUMMYFUNCTION("""COMPUTED_VALUE"""),70.0)</f>
        <v>70</v>
      </c>
      <c r="E1258" s="9"/>
    </row>
    <row r="1259">
      <c r="A1259" s="10">
        <f>IFERROR(__xludf.DUMMYFUNCTION("""COMPUTED_VALUE"""),120042.0)</f>
        <v>120042</v>
      </c>
      <c r="B1259" s="11">
        <f>IFERROR(__xludf.DUMMYFUNCTION("""COMPUTED_VALUE"""),0.0)</f>
        <v>0</v>
      </c>
      <c r="C1259" s="11">
        <f>IFERROR(__xludf.DUMMYFUNCTION("""COMPUTED_VALUE"""),558.0)</f>
        <v>558</v>
      </c>
      <c r="D1259" s="11">
        <f>IFERROR(__xludf.DUMMYFUNCTION("""COMPUTED_VALUE"""),517.0)</f>
        <v>517</v>
      </c>
      <c r="E1259" s="9"/>
    </row>
    <row r="1260">
      <c r="A1260" s="10">
        <f>IFERROR(__xludf.DUMMYFUNCTION("""COMPUTED_VALUE"""),114941.0)</f>
        <v>114941</v>
      </c>
      <c r="B1260" s="11">
        <f>IFERROR(__xludf.DUMMYFUNCTION("""COMPUTED_VALUE"""),1.0)</f>
        <v>1</v>
      </c>
      <c r="C1260" s="11">
        <f>IFERROR(__xludf.DUMMYFUNCTION("""COMPUTED_VALUE"""),556.0)</f>
        <v>556</v>
      </c>
      <c r="D1260" s="11">
        <f>IFERROR(__xludf.DUMMYFUNCTION("""COMPUTED_VALUE"""),487.0)</f>
        <v>487</v>
      </c>
      <c r="E1260" s="9"/>
    </row>
    <row r="1261">
      <c r="A1261" s="10">
        <f>IFERROR(__xludf.DUMMYFUNCTION("""COMPUTED_VALUE"""),108473.0)</f>
        <v>108473</v>
      </c>
      <c r="B1261" s="11">
        <f>IFERROR(__xludf.DUMMYFUNCTION("""COMPUTED_VALUE"""),1.0)</f>
        <v>1</v>
      </c>
      <c r="C1261" s="11">
        <f>IFERROR(__xludf.DUMMYFUNCTION("""COMPUTED_VALUE"""),779.0)</f>
        <v>779</v>
      </c>
      <c r="D1261" s="11">
        <f>IFERROR(__xludf.DUMMYFUNCTION("""COMPUTED_VALUE"""),563.0)</f>
        <v>563</v>
      </c>
      <c r="E1261" s="9"/>
    </row>
    <row r="1262">
      <c r="A1262" s="10">
        <f>IFERROR(__xludf.DUMMYFUNCTION("""COMPUTED_VALUE"""),90968.0)</f>
        <v>90968</v>
      </c>
      <c r="B1262" s="11">
        <f>IFERROR(__xludf.DUMMYFUNCTION("""COMPUTED_VALUE"""),1.0)</f>
        <v>1</v>
      </c>
      <c r="C1262" s="11">
        <f>IFERROR(__xludf.DUMMYFUNCTION("""COMPUTED_VALUE"""),40.0)</f>
        <v>40</v>
      </c>
      <c r="D1262" s="11">
        <f>IFERROR(__xludf.DUMMYFUNCTION("""COMPUTED_VALUE"""),0.0)</f>
        <v>0</v>
      </c>
      <c r="E1262" s="9"/>
    </row>
    <row r="1263">
      <c r="A1263" s="10">
        <f>IFERROR(__xludf.DUMMYFUNCTION("""COMPUTED_VALUE"""),114929.0)</f>
        <v>114929</v>
      </c>
      <c r="B1263" s="11">
        <f>IFERROR(__xludf.DUMMYFUNCTION("""COMPUTED_VALUE"""),0.0)</f>
        <v>0</v>
      </c>
      <c r="C1263" s="11">
        <f>IFERROR(__xludf.DUMMYFUNCTION("""COMPUTED_VALUE"""),300.0)</f>
        <v>300</v>
      </c>
      <c r="D1263" s="11">
        <f>IFERROR(__xludf.DUMMYFUNCTION("""COMPUTED_VALUE"""),65.0)</f>
        <v>65</v>
      </c>
      <c r="E1263" s="9"/>
    </row>
    <row r="1264">
      <c r="A1264" s="10">
        <f>IFERROR(__xludf.DUMMYFUNCTION("""COMPUTED_VALUE"""),68868.0)</f>
        <v>68868</v>
      </c>
      <c r="B1264" s="11">
        <f>IFERROR(__xludf.DUMMYFUNCTION("""COMPUTED_VALUE"""),0.0)</f>
        <v>0</v>
      </c>
      <c r="C1264" s="11">
        <f>IFERROR(__xludf.DUMMYFUNCTION("""COMPUTED_VALUE"""),753.0)</f>
        <v>753</v>
      </c>
      <c r="D1264" s="11">
        <f>IFERROR(__xludf.DUMMYFUNCTION("""COMPUTED_VALUE"""),532.0)</f>
        <v>532</v>
      </c>
      <c r="E1264" s="9"/>
    </row>
    <row r="1265">
      <c r="A1265" s="10">
        <f>IFERROR(__xludf.DUMMYFUNCTION("""COMPUTED_VALUE"""),103831.0)</f>
        <v>103831</v>
      </c>
      <c r="B1265" s="11">
        <f>IFERROR(__xludf.DUMMYFUNCTION("""COMPUTED_VALUE"""),0.0)</f>
        <v>0</v>
      </c>
      <c r="C1265" s="11">
        <f>IFERROR(__xludf.DUMMYFUNCTION("""COMPUTED_VALUE"""),756.0)</f>
        <v>756</v>
      </c>
      <c r="D1265" s="11">
        <f>IFERROR(__xludf.DUMMYFUNCTION("""COMPUTED_VALUE"""),628.0)</f>
        <v>628</v>
      </c>
      <c r="E1265" s="9"/>
    </row>
    <row r="1266">
      <c r="A1266" s="10">
        <f>IFERROR(__xludf.DUMMYFUNCTION("""COMPUTED_VALUE"""),83272.0)</f>
        <v>83272</v>
      </c>
      <c r="B1266" s="11">
        <f>IFERROR(__xludf.DUMMYFUNCTION("""COMPUTED_VALUE"""),1.0)</f>
        <v>1</v>
      </c>
      <c r="C1266" s="11">
        <f>IFERROR(__xludf.DUMMYFUNCTION("""COMPUTED_VALUE"""),121.0)</f>
        <v>121</v>
      </c>
      <c r="D1266" s="11">
        <f>IFERROR(__xludf.DUMMYFUNCTION("""COMPUTED_VALUE"""),62.0)</f>
        <v>62</v>
      </c>
      <c r="E1266" s="9"/>
    </row>
    <row r="1267">
      <c r="A1267" s="10">
        <f>IFERROR(__xludf.DUMMYFUNCTION("""COMPUTED_VALUE"""),120046.0)</f>
        <v>120046</v>
      </c>
      <c r="B1267" s="11">
        <f>IFERROR(__xludf.DUMMYFUNCTION("""COMPUTED_VALUE"""),1.0)</f>
        <v>1</v>
      </c>
      <c r="C1267" s="11">
        <f>IFERROR(__xludf.DUMMYFUNCTION("""COMPUTED_VALUE"""),732.0)</f>
        <v>732</v>
      </c>
      <c r="D1267" s="11">
        <f>IFERROR(__xludf.DUMMYFUNCTION("""COMPUTED_VALUE"""),301.0)</f>
        <v>301</v>
      </c>
      <c r="E1267" s="9"/>
    </row>
    <row r="1268">
      <c r="A1268" s="10">
        <f>IFERROR(__xludf.DUMMYFUNCTION("""COMPUTED_VALUE"""),181989.0)</f>
        <v>181989</v>
      </c>
      <c r="B1268" s="11">
        <f>IFERROR(__xludf.DUMMYFUNCTION("""COMPUTED_VALUE"""),1.0)</f>
        <v>1</v>
      </c>
      <c r="C1268" s="11">
        <f>IFERROR(__xludf.DUMMYFUNCTION("""COMPUTED_VALUE"""),232.0)</f>
        <v>232</v>
      </c>
      <c r="D1268" s="11">
        <f>IFERROR(__xludf.DUMMYFUNCTION("""COMPUTED_VALUE"""),209.0)</f>
        <v>209</v>
      </c>
      <c r="E1268" s="9"/>
    </row>
    <row r="1269">
      <c r="A1269" s="10">
        <f>IFERROR(__xludf.DUMMYFUNCTION("""COMPUTED_VALUE"""),84359.0)</f>
        <v>84359</v>
      </c>
      <c r="B1269" s="11">
        <f>IFERROR(__xludf.DUMMYFUNCTION("""COMPUTED_VALUE"""),0.0)</f>
        <v>0</v>
      </c>
      <c r="C1269" s="11">
        <f>IFERROR(__xludf.DUMMYFUNCTION("""COMPUTED_VALUE"""),289.0)</f>
        <v>289</v>
      </c>
      <c r="D1269" s="11">
        <f>IFERROR(__xludf.DUMMYFUNCTION("""COMPUTED_VALUE"""),89.0)</f>
        <v>89</v>
      </c>
      <c r="E1269" s="9"/>
    </row>
    <row r="1270">
      <c r="A1270" s="10">
        <f>IFERROR(__xludf.DUMMYFUNCTION("""COMPUTED_VALUE"""),102939.0)</f>
        <v>102939</v>
      </c>
      <c r="B1270" s="11">
        <f>IFERROR(__xludf.DUMMYFUNCTION("""COMPUTED_VALUE"""),1.0)</f>
        <v>1</v>
      </c>
      <c r="C1270" s="11">
        <f>IFERROR(__xludf.DUMMYFUNCTION("""COMPUTED_VALUE"""),504.0)</f>
        <v>504</v>
      </c>
      <c r="D1270" s="11">
        <f>IFERROR(__xludf.DUMMYFUNCTION("""COMPUTED_VALUE"""),147.0)</f>
        <v>147</v>
      </c>
      <c r="E1270" s="9"/>
    </row>
    <row r="1271">
      <c r="A1271" s="10">
        <f>IFERROR(__xludf.DUMMYFUNCTION("""COMPUTED_VALUE"""),111504.0)</f>
        <v>111504</v>
      </c>
      <c r="B1271" s="11">
        <f>IFERROR(__xludf.DUMMYFUNCTION("""COMPUTED_VALUE"""),1.0)</f>
        <v>1</v>
      </c>
      <c r="C1271" s="11">
        <f>IFERROR(__xludf.DUMMYFUNCTION("""COMPUTED_VALUE"""),33.0)</f>
        <v>33</v>
      </c>
      <c r="D1271" s="11">
        <f>IFERROR(__xludf.DUMMYFUNCTION("""COMPUTED_VALUE"""),30.0)</f>
        <v>30</v>
      </c>
      <c r="E1271" s="9"/>
    </row>
    <row r="1272">
      <c r="A1272" s="10">
        <f>IFERROR(__xludf.DUMMYFUNCTION("""COMPUTED_VALUE"""),75678.0)</f>
        <v>75678</v>
      </c>
      <c r="B1272" s="11">
        <f>IFERROR(__xludf.DUMMYFUNCTION("""COMPUTED_VALUE"""),1.0)</f>
        <v>1</v>
      </c>
      <c r="C1272" s="11">
        <f>IFERROR(__xludf.DUMMYFUNCTION("""COMPUTED_VALUE"""),450.0)</f>
        <v>450</v>
      </c>
      <c r="D1272" s="11">
        <f>IFERROR(__xludf.DUMMYFUNCTION("""COMPUTED_VALUE"""),232.0)</f>
        <v>232</v>
      </c>
      <c r="E1272" s="9"/>
    </row>
    <row r="1273">
      <c r="A1273" s="10">
        <f>IFERROR(__xludf.DUMMYFUNCTION("""COMPUTED_VALUE"""),79005.0)</f>
        <v>79005</v>
      </c>
      <c r="B1273" s="11">
        <f>IFERROR(__xludf.DUMMYFUNCTION("""COMPUTED_VALUE"""),1.0)</f>
        <v>1</v>
      </c>
      <c r="C1273" s="11">
        <f>IFERROR(__xludf.DUMMYFUNCTION("""COMPUTED_VALUE"""),214.0)</f>
        <v>214</v>
      </c>
      <c r="D1273" s="11">
        <f>IFERROR(__xludf.DUMMYFUNCTION("""COMPUTED_VALUE"""),116.0)</f>
        <v>116</v>
      </c>
      <c r="E1273" s="9"/>
    </row>
    <row r="1274">
      <c r="A1274" s="10">
        <f>IFERROR(__xludf.DUMMYFUNCTION("""COMPUTED_VALUE"""),188360.0)</f>
        <v>188360</v>
      </c>
      <c r="B1274" s="11">
        <f>IFERROR(__xludf.DUMMYFUNCTION("""COMPUTED_VALUE"""),0.0)</f>
        <v>0</v>
      </c>
      <c r="C1274" s="11">
        <f>IFERROR(__xludf.DUMMYFUNCTION("""COMPUTED_VALUE"""),466.0)</f>
        <v>466</v>
      </c>
      <c r="D1274" s="11">
        <f>IFERROR(__xludf.DUMMYFUNCTION("""COMPUTED_VALUE"""),427.0)</f>
        <v>427</v>
      </c>
      <c r="E1274" s="9"/>
    </row>
    <row r="1275">
      <c r="A1275" s="10">
        <f>IFERROR(__xludf.DUMMYFUNCTION("""COMPUTED_VALUE"""),79695.0)</f>
        <v>79695</v>
      </c>
      <c r="B1275" s="11">
        <f>IFERROR(__xludf.DUMMYFUNCTION("""COMPUTED_VALUE"""),0.0)</f>
        <v>0</v>
      </c>
      <c r="C1275" s="11">
        <f>IFERROR(__xludf.DUMMYFUNCTION("""COMPUTED_VALUE"""),748.0)</f>
        <v>748</v>
      </c>
      <c r="D1275" s="11">
        <f>IFERROR(__xludf.DUMMYFUNCTION("""COMPUTED_VALUE"""),662.0)</f>
        <v>662</v>
      </c>
      <c r="E1275" s="9"/>
    </row>
    <row r="1276">
      <c r="A1276" s="10">
        <f>IFERROR(__xludf.DUMMYFUNCTION("""COMPUTED_VALUE"""),73768.0)</f>
        <v>73768</v>
      </c>
      <c r="B1276" s="11">
        <f>IFERROR(__xludf.DUMMYFUNCTION("""COMPUTED_VALUE"""),1.0)</f>
        <v>1</v>
      </c>
      <c r="C1276" s="11">
        <f>IFERROR(__xludf.DUMMYFUNCTION("""COMPUTED_VALUE"""),643.0)</f>
        <v>643</v>
      </c>
      <c r="D1276" s="11">
        <f>IFERROR(__xludf.DUMMYFUNCTION("""COMPUTED_VALUE"""),390.0)</f>
        <v>390</v>
      </c>
      <c r="E1276" s="9"/>
    </row>
    <row r="1277">
      <c r="A1277" s="10">
        <f>IFERROR(__xludf.DUMMYFUNCTION("""COMPUTED_VALUE"""),44663.0)</f>
        <v>44663</v>
      </c>
      <c r="B1277" s="11">
        <f>IFERROR(__xludf.DUMMYFUNCTION("""COMPUTED_VALUE"""),0.0)</f>
        <v>0</v>
      </c>
      <c r="C1277" s="11">
        <f>IFERROR(__xludf.DUMMYFUNCTION("""COMPUTED_VALUE"""),447.0)</f>
        <v>447</v>
      </c>
      <c r="D1277" s="11">
        <f>IFERROR(__xludf.DUMMYFUNCTION("""COMPUTED_VALUE"""),36.0)</f>
        <v>36</v>
      </c>
      <c r="E1277" s="9"/>
    </row>
    <row r="1278">
      <c r="A1278" s="10">
        <f>IFERROR(__xludf.DUMMYFUNCTION("""COMPUTED_VALUE"""),766.0)</f>
        <v>766</v>
      </c>
      <c r="B1278" s="11">
        <f>IFERROR(__xludf.DUMMYFUNCTION("""COMPUTED_VALUE"""),1.0)</f>
        <v>1</v>
      </c>
      <c r="C1278" s="11">
        <f>IFERROR(__xludf.DUMMYFUNCTION("""COMPUTED_VALUE"""),314.0)</f>
        <v>314</v>
      </c>
      <c r="D1278" s="11">
        <f>IFERROR(__xludf.DUMMYFUNCTION("""COMPUTED_VALUE"""),260.0)</f>
        <v>260</v>
      </c>
      <c r="E1278" s="9"/>
    </row>
    <row r="1279">
      <c r="A1279" s="10">
        <f>IFERROR(__xludf.DUMMYFUNCTION("""COMPUTED_VALUE"""),109961.0)</f>
        <v>109961</v>
      </c>
      <c r="B1279" s="11">
        <f>IFERROR(__xludf.DUMMYFUNCTION("""COMPUTED_VALUE"""),0.0)</f>
        <v>0</v>
      </c>
      <c r="C1279" s="11">
        <f>IFERROR(__xludf.DUMMYFUNCTION("""COMPUTED_VALUE"""),812.0)</f>
        <v>812</v>
      </c>
      <c r="D1279" s="11">
        <f>IFERROR(__xludf.DUMMYFUNCTION("""COMPUTED_VALUE"""),235.0)</f>
        <v>235</v>
      </c>
      <c r="E1279" s="9"/>
    </row>
    <row r="1280">
      <c r="A1280" s="10">
        <f>IFERROR(__xludf.DUMMYFUNCTION("""COMPUTED_VALUE"""),109932.0)</f>
        <v>109932</v>
      </c>
      <c r="B1280" s="11">
        <f>IFERROR(__xludf.DUMMYFUNCTION("""COMPUTED_VALUE"""),0.0)</f>
        <v>0</v>
      </c>
      <c r="C1280" s="11">
        <f>IFERROR(__xludf.DUMMYFUNCTION("""COMPUTED_VALUE"""),834.0)</f>
        <v>834</v>
      </c>
      <c r="D1280" s="11">
        <f>IFERROR(__xludf.DUMMYFUNCTION("""COMPUTED_VALUE"""),90.0)</f>
        <v>90</v>
      </c>
      <c r="E1280" s="9"/>
    </row>
    <row r="1281">
      <c r="A1281" s="10">
        <f>IFERROR(__xludf.DUMMYFUNCTION("""COMPUTED_VALUE"""),109956.0)</f>
        <v>109956</v>
      </c>
      <c r="B1281" s="11">
        <f>IFERROR(__xludf.DUMMYFUNCTION("""COMPUTED_VALUE"""),1.0)</f>
        <v>1</v>
      </c>
      <c r="C1281" s="11">
        <f>IFERROR(__xludf.DUMMYFUNCTION("""COMPUTED_VALUE"""),355.0)</f>
        <v>355</v>
      </c>
      <c r="D1281" s="11">
        <f>IFERROR(__xludf.DUMMYFUNCTION("""COMPUTED_VALUE"""),79.0)</f>
        <v>79</v>
      </c>
      <c r="E1281" s="9"/>
    </row>
    <row r="1282">
      <c r="A1282" s="10">
        <f>IFERROR(__xludf.DUMMYFUNCTION("""COMPUTED_VALUE"""),109962.0)</f>
        <v>109962</v>
      </c>
      <c r="B1282" s="11">
        <f>IFERROR(__xludf.DUMMYFUNCTION("""COMPUTED_VALUE"""),1.0)</f>
        <v>1</v>
      </c>
      <c r="C1282" s="11">
        <f>IFERROR(__xludf.DUMMYFUNCTION("""COMPUTED_VALUE"""),283.0)</f>
        <v>283</v>
      </c>
      <c r="D1282" s="11">
        <f>IFERROR(__xludf.DUMMYFUNCTION("""COMPUTED_VALUE"""),121.0)</f>
        <v>121</v>
      </c>
      <c r="E1282" s="9"/>
    </row>
    <row r="1283">
      <c r="A1283" s="10">
        <f>IFERROR(__xludf.DUMMYFUNCTION("""COMPUTED_VALUE"""),101622.0)</f>
        <v>101622</v>
      </c>
      <c r="B1283" s="11">
        <f>IFERROR(__xludf.DUMMYFUNCTION("""COMPUTED_VALUE"""),1.0)</f>
        <v>1</v>
      </c>
      <c r="C1283" s="11">
        <f>IFERROR(__xludf.DUMMYFUNCTION("""COMPUTED_VALUE"""),767.0)</f>
        <v>767</v>
      </c>
      <c r="D1283" s="11">
        <f>IFERROR(__xludf.DUMMYFUNCTION("""COMPUTED_VALUE"""),663.0)</f>
        <v>663</v>
      </c>
      <c r="E1283" s="9"/>
    </row>
    <row r="1284">
      <c r="A1284" s="10">
        <f>IFERROR(__xludf.DUMMYFUNCTION("""COMPUTED_VALUE"""),101623.0)</f>
        <v>101623</v>
      </c>
      <c r="B1284" s="11">
        <f>IFERROR(__xludf.DUMMYFUNCTION("""COMPUTED_VALUE"""),1.0)</f>
        <v>1</v>
      </c>
      <c r="C1284" s="11">
        <f>IFERROR(__xludf.DUMMYFUNCTION("""COMPUTED_VALUE"""),929.0)</f>
        <v>929</v>
      </c>
      <c r="D1284" s="11">
        <f>IFERROR(__xludf.DUMMYFUNCTION("""COMPUTED_VALUE"""),588.0)</f>
        <v>588</v>
      </c>
      <c r="E1284" s="9"/>
    </row>
    <row r="1285">
      <c r="A1285" s="10">
        <f>IFERROR(__xludf.DUMMYFUNCTION("""COMPUTED_VALUE"""),4513.0)</f>
        <v>4513</v>
      </c>
      <c r="B1285" s="11">
        <f>IFERROR(__xludf.DUMMYFUNCTION("""COMPUTED_VALUE"""),1.0)</f>
        <v>1</v>
      </c>
      <c r="C1285" s="11">
        <f>IFERROR(__xludf.DUMMYFUNCTION("""COMPUTED_VALUE"""),522.0)</f>
        <v>522</v>
      </c>
      <c r="D1285" s="11">
        <f>IFERROR(__xludf.DUMMYFUNCTION("""COMPUTED_VALUE"""),392.0)</f>
        <v>392</v>
      </c>
      <c r="E1285" s="9"/>
    </row>
    <row r="1286">
      <c r="A1286" s="10">
        <f>IFERROR(__xludf.DUMMYFUNCTION("""COMPUTED_VALUE"""),24648.0)</f>
        <v>24648</v>
      </c>
      <c r="B1286" s="11">
        <f>IFERROR(__xludf.DUMMYFUNCTION("""COMPUTED_VALUE"""),0.0)</f>
        <v>0</v>
      </c>
      <c r="C1286" s="11">
        <f>IFERROR(__xludf.DUMMYFUNCTION("""COMPUTED_VALUE"""),608.0)</f>
        <v>608</v>
      </c>
      <c r="D1286" s="11">
        <f>IFERROR(__xludf.DUMMYFUNCTION("""COMPUTED_VALUE"""),146.0)</f>
        <v>146</v>
      </c>
      <c r="E1286" s="9"/>
    </row>
    <row r="1287">
      <c r="A1287" s="10">
        <f>IFERROR(__xludf.DUMMYFUNCTION("""COMPUTED_VALUE"""),16386.0)</f>
        <v>16386</v>
      </c>
      <c r="B1287" s="11">
        <f>IFERROR(__xludf.DUMMYFUNCTION("""COMPUTED_VALUE"""),1.0)</f>
        <v>1</v>
      </c>
      <c r="C1287" s="11">
        <f>IFERROR(__xludf.DUMMYFUNCTION("""COMPUTED_VALUE"""),27.0)</f>
        <v>27</v>
      </c>
      <c r="D1287" s="11">
        <f>IFERROR(__xludf.DUMMYFUNCTION("""COMPUTED_VALUE"""),15.0)</f>
        <v>15</v>
      </c>
      <c r="E1287" s="9"/>
    </row>
    <row r="1288">
      <c r="A1288" s="10">
        <f>IFERROR(__xludf.DUMMYFUNCTION("""COMPUTED_VALUE"""),16383.0)</f>
        <v>16383</v>
      </c>
      <c r="B1288" s="11">
        <f>IFERROR(__xludf.DUMMYFUNCTION("""COMPUTED_VALUE"""),1.0)</f>
        <v>1</v>
      </c>
      <c r="C1288" s="11">
        <f>IFERROR(__xludf.DUMMYFUNCTION("""COMPUTED_VALUE"""),867.0)</f>
        <v>867</v>
      </c>
      <c r="D1288" s="11">
        <f>IFERROR(__xludf.DUMMYFUNCTION("""COMPUTED_VALUE"""),634.0)</f>
        <v>634</v>
      </c>
      <c r="E1288" s="9"/>
    </row>
    <row r="1289">
      <c r="A1289" s="10">
        <f>IFERROR(__xludf.DUMMYFUNCTION("""COMPUTED_VALUE"""),113588.0)</f>
        <v>113588</v>
      </c>
      <c r="B1289" s="11">
        <f>IFERROR(__xludf.DUMMYFUNCTION("""COMPUTED_VALUE"""),1.0)</f>
        <v>1</v>
      </c>
      <c r="C1289" s="11">
        <f>IFERROR(__xludf.DUMMYFUNCTION("""COMPUTED_VALUE"""),693.0)</f>
        <v>693</v>
      </c>
      <c r="D1289" s="11">
        <f>IFERROR(__xludf.DUMMYFUNCTION("""COMPUTED_VALUE"""),384.0)</f>
        <v>384</v>
      </c>
      <c r="E1289" s="9"/>
    </row>
    <row r="1290">
      <c r="A1290" s="10">
        <f>IFERROR(__xludf.DUMMYFUNCTION("""COMPUTED_VALUE"""),99392.0)</f>
        <v>99392</v>
      </c>
      <c r="B1290" s="11">
        <f>IFERROR(__xludf.DUMMYFUNCTION("""COMPUTED_VALUE"""),0.0)</f>
        <v>0</v>
      </c>
      <c r="C1290" s="11">
        <f>IFERROR(__xludf.DUMMYFUNCTION("""COMPUTED_VALUE"""),687.0)</f>
        <v>687</v>
      </c>
      <c r="D1290" s="11">
        <f>IFERROR(__xludf.DUMMYFUNCTION("""COMPUTED_VALUE"""),336.0)</f>
        <v>336</v>
      </c>
      <c r="E1290" s="9"/>
    </row>
    <row r="1291">
      <c r="A1291" s="10">
        <f>IFERROR(__xludf.DUMMYFUNCTION("""COMPUTED_VALUE"""),99412.0)</f>
        <v>99412</v>
      </c>
      <c r="B1291" s="11">
        <f>IFERROR(__xludf.DUMMYFUNCTION("""COMPUTED_VALUE"""),1.0)</f>
        <v>1</v>
      </c>
      <c r="C1291" s="11">
        <f>IFERROR(__xludf.DUMMYFUNCTION("""COMPUTED_VALUE"""),941.0)</f>
        <v>941</v>
      </c>
      <c r="D1291" s="11">
        <f>IFERROR(__xludf.DUMMYFUNCTION("""COMPUTED_VALUE"""),841.0)</f>
        <v>841</v>
      </c>
      <c r="E1291" s="9"/>
    </row>
    <row r="1292">
      <c r="A1292" s="10">
        <f>IFERROR(__xludf.DUMMYFUNCTION("""COMPUTED_VALUE"""),25306.0)</f>
        <v>25306</v>
      </c>
      <c r="B1292" s="11">
        <f>IFERROR(__xludf.DUMMYFUNCTION("""COMPUTED_VALUE"""),0.0)</f>
        <v>0</v>
      </c>
      <c r="C1292" s="11">
        <f>IFERROR(__xludf.DUMMYFUNCTION("""COMPUTED_VALUE"""),227.0)</f>
        <v>227</v>
      </c>
      <c r="D1292" s="11">
        <f>IFERROR(__xludf.DUMMYFUNCTION("""COMPUTED_VALUE"""),177.0)</f>
        <v>177</v>
      </c>
      <c r="E1292" s="9"/>
    </row>
    <row r="1293">
      <c r="A1293" s="10">
        <f>IFERROR(__xludf.DUMMYFUNCTION("""COMPUTED_VALUE"""),99399.0)</f>
        <v>99399</v>
      </c>
      <c r="B1293" s="11">
        <f>IFERROR(__xludf.DUMMYFUNCTION("""COMPUTED_VALUE"""),0.0)</f>
        <v>0</v>
      </c>
      <c r="C1293" s="11">
        <f>IFERROR(__xludf.DUMMYFUNCTION("""COMPUTED_VALUE"""),84.0)</f>
        <v>84</v>
      </c>
      <c r="D1293" s="11">
        <f>IFERROR(__xludf.DUMMYFUNCTION("""COMPUTED_VALUE"""),1.0)</f>
        <v>1</v>
      </c>
      <c r="E1293" s="9"/>
    </row>
    <row r="1294">
      <c r="A1294" s="10">
        <f>IFERROR(__xludf.DUMMYFUNCTION("""COMPUTED_VALUE"""),25304.0)</f>
        <v>25304</v>
      </c>
      <c r="B1294" s="11">
        <f>IFERROR(__xludf.DUMMYFUNCTION("""COMPUTED_VALUE"""),0.0)</f>
        <v>0</v>
      </c>
      <c r="C1294" s="11">
        <f>IFERROR(__xludf.DUMMYFUNCTION("""COMPUTED_VALUE"""),455.0)</f>
        <v>455</v>
      </c>
      <c r="D1294" s="11">
        <f>IFERROR(__xludf.DUMMYFUNCTION("""COMPUTED_VALUE"""),360.0)</f>
        <v>360</v>
      </c>
      <c r="E1294" s="9"/>
    </row>
    <row r="1295">
      <c r="A1295" s="10">
        <f>IFERROR(__xludf.DUMMYFUNCTION("""COMPUTED_VALUE"""),99400.0)</f>
        <v>99400</v>
      </c>
      <c r="B1295" s="11">
        <f>IFERROR(__xludf.DUMMYFUNCTION("""COMPUTED_VALUE"""),1.0)</f>
        <v>1</v>
      </c>
      <c r="C1295" s="11">
        <f>IFERROR(__xludf.DUMMYFUNCTION("""COMPUTED_VALUE"""),887.0)</f>
        <v>887</v>
      </c>
      <c r="D1295" s="11">
        <f>IFERROR(__xludf.DUMMYFUNCTION("""COMPUTED_VALUE"""),287.0)</f>
        <v>287</v>
      </c>
      <c r="E1295" s="9"/>
    </row>
    <row r="1296">
      <c r="A1296" s="10">
        <f>IFERROR(__xludf.DUMMYFUNCTION("""COMPUTED_VALUE"""),80484.0)</f>
        <v>80484</v>
      </c>
      <c r="B1296" s="11">
        <f>IFERROR(__xludf.DUMMYFUNCTION("""COMPUTED_VALUE"""),1.0)</f>
        <v>1</v>
      </c>
      <c r="C1296" s="11">
        <f>IFERROR(__xludf.DUMMYFUNCTION("""COMPUTED_VALUE"""),123.0)</f>
        <v>123</v>
      </c>
      <c r="D1296" s="11">
        <f>IFERROR(__xludf.DUMMYFUNCTION("""COMPUTED_VALUE"""),14.0)</f>
        <v>14</v>
      </c>
      <c r="E1296" s="9"/>
    </row>
    <row r="1297">
      <c r="A1297" s="10">
        <f>IFERROR(__xludf.DUMMYFUNCTION("""COMPUTED_VALUE"""),14477.0)</f>
        <v>14477</v>
      </c>
      <c r="B1297" s="11">
        <f>IFERROR(__xludf.DUMMYFUNCTION("""COMPUTED_VALUE"""),1.0)</f>
        <v>1</v>
      </c>
      <c r="C1297" s="11">
        <f>IFERROR(__xludf.DUMMYFUNCTION("""COMPUTED_VALUE"""),410.0)</f>
        <v>410</v>
      </c>
      <c r="D1297" s="11">
        <f>IFERROR(__xludf.DUMMYFUNCTION("""COMPUTED_VALUE"""),83.0)</f>
        <v>83</v>
      </c>
      <c r="E1297" s="9"/>
    </row>
    <row r="1298">
      <c r="A1298" s="10">
        <f>IFERROR(__xludf.DUMMYFUNCTION("""COMPUTED_VALUE"""),95056.0)</f>
        <v>95056</v>
      </c>
      <c r="B1298" s="11">
        <f>IFERROR(__xludf.DUMMYFUNCTION("""COMPUTED_VALUE"""),0.0)</f>
        <v>0</v>
      </c>
      <c r="C1298" s="11">
        <f>IFERROR(__xludf.DUMMYFUNCTION("""COMPUTED_VALUE"""),146.0)</f>
        <v>146</v>
      </c>
      <c r="D1298" s="11">
        <f>IFERROR(__xludf.DUMMYFUNCTION("""COMPUTED_VALUE"""),73.0)</f>
        <v>73</v>
      </c>
      <c r="E1298" s="9"/>
    </row>
    <row r="1299">
      <c r="A1299" s="10">
        <f>IFERROR(__xludf.DUMMYFUNCTION("""COMPUTED_VALUE"""),78519.0)</f>
        <v>78519</v>
      </c>
      <c r="B1299" s="11">
        <f>IFERROR(__xludf.DUMMYFUNCTION("""COMPUTED_VALUE"""),0.0)</f>
        <v>0</v>
      </c>
      <c r="C1299" s="11">
        <f>IFERROR(__xludf.DUMMYFUNCTION("""COMPUTED_VALUE"""),352.0)</f>
        <v>352</v>
      </c>
      <c r="D1299" s="11">
        <f>IFERROR(__xludf.DUMMYFUNCTION("""COMPUTED_VALUE"""),160.0)</f>
        <v>160</v>
      </c>
      <c r="E1299" s="9"/>
    </row>
    <row r="1300">
      <c r="A1300" s="10">
        <f>IFERROR(__xludf.DUMMYFUNCTION("""COMPUTED_VALUE"""),90377.0)</f>
        <v>90377</v>
      </c>
      <c r="B1300" s="11">
        <f>IFERROR(__xludf.DUMMYFUNCTION("""COMPUTED_VALUE"""),0.0)</f>
        <v>0</v>
      </c>
      <c r="C1300" s="11">
        <f>IFERROR(__xludf.DUMMYFUNCTION("""COMPUTED_VALUE"""),30.0)</f>
        <v>30</v>
      </c>
      <c r="D1300" s="11">
        <f>IFERROR(__xludf.DUMMYFUNCTION("""COMPUTED_VALUE"""),13.0)</f>
        <v>13</v>
      </c>
      <c r="E1300" s="9"/>
    </row>
    <row r="1301">
      <c r="A1301" s="10">
        <f>IFERROR(__xludf.DUMMYFUNCTION("""COMPUTED_VALUE"""),90375.0)</f>
        <v>90375</v>
      </c>
      <c r="B1301" s="11">
        <f>IFERROR(__xludf.DUMMYFUNCTION("""COMPUTED_VALUE"""),1.0)</f>
        <v>1</v>
      </c>
      <c r="C1301" s="11">
        <f>IFERROR(__xludf.DUMMYFUNCTION("""COMPUTED_VALUE"""),676.0)</f>
        <v>676</v>
      </c>
      <c r="D1301" s="11">
        <f>IFERROR(__xludf.DUMMYFUNCTION("""COMPUTED_VALUE"""),276.0)</f>
        <v>276</v>
      </c>
      <c r="E1301" s="9"/>
    </row>
    <row r="1302">
      <c r="A1302" s="10">
        <f>IFERROR(__xludf.DUMMYFUNCTION("""COMPUTED_VALUE"""),112073.0)</f>
        <v>112073</v>
      </c>
      <c r="B1302" s="11">
        <f>IFERROR(__xludf.DUMMYFUNCTION("""COMPUTED_VALUE"""),1.0)</f>
        <v>1</v>
      </c>
      <c r="C1302" s="11">
        <f>IFERROR(__xludf.DUMMYFUNCTION("""COMPUTED_VALUE"""),104.0)</f>
        <v>104</v>
      </c>
      <c r="D1302" s="11">
        <f>IFERROR(__xludf.DUMMYFUNCTION("""COMPUTED_VALUE"""),41.0)</f>
        <v>41</v>
      </c>
      <c r="E1302" s="9"/>
    </row>
    <row r="1303">
      <c r="A1303" s="10">
        <f>IFERROR(__xludf.DUMMYFUNCTION("""COMPUTED_VALUE"""),101339.0)</f>
        <v>101339</v>
      </c>
      <c r="B1303" s="11">
        <f>IFERROR(__xludf.DUMMYFUNCTION("""COMPUTED_VALUE"""),1.0)</f>
        <v>1</v>
      </c>
      <c r="C1303" s="11">
        <f>IFERROR(__xludf.DUMMYFUNCTION("""COMPUTED_VALUE"""),511.0)</f>
        <v>511</v>
      </c>
      <c r="D1303" s="11">
        <f>IFERROR(__xludf.DUMMYFUNCTION("""COMPUTED_VALUE"""),491.0)</f>
        <v>491</v>
      </c>
      <c r="E1303" s="9"/>
    </row>
    <row r="1304">
      <c r="A1304" s="10">
        <f>IFERROR(__xludf.DUMMYFUNCTION("""COMPUTED_VALUE"""),92421.0)</f>
        <v>92421</v>
      </c>
      <c r="B1304" s="11">
        <f>IFERROR(__xludf.DUMMYFUNCTION("""COMPUTED_VALUE"""),1.0)</f>
        <v>1</v>
      </c>
      <c r="C1304" s="11">
        <f>IFERROR(__xludf.DUMMYFUNCTION("""COMPUTED_VALUE"""),621.0)</f>
        <v>621</v>
      </c>
      <c r="D1304" s="11">
        <f>IFERROR(__xludf.DUMMYFUNCTION("""COMPUTED_VALUE"""),431.0)</f>
        <v>431</v>
      </c>
      <c r="E1304" s="9"/>
    </row>
    <row r="1305">
      <c r="A1305" s="10">
        <f>IFERROR(__xludf.DUMMYFUNCTION("""COMPUTED_VALUE"""),112079.0)</f>
        <v>112079</v>
      </c>
      <c r="B1305" s="11">
        <f>IFERROR(__xludf.DUMMYFUNCTION("""COMPUTED_VALUE"""),0.0)</f>
        <v>0</v>
      </c>
      <c r="C1305" s="11">
        <f>IFERROR(__xludf.DUMMYFUNCTION("""COMPUTED_VALUE"""),101.0)</f>
        <v>101</v>
      </c>
      <c r="D1305" s="11">
        <f>IFERROR(__xludf.DUMMYFUNCTION("""COMPUTED_VALUE"""),94.0)</f>
        <v>94</v>
      </c>
      <c r="E1305" s="9"/>
    </row>
    <row r="1306">
      <c r="A1306" s="10">
        <f>IFERROR(__xludf.DUMMYFUNCTION("""COMPUTED_VALUE"""),44716.0)</f>
        <v>44716</v>
      </c>
      <c r="B1306" s="11">
        <f>IFERROR(__xludf.DUMMYFUNCTION("""COMPUTED_VALUE"""),0.0)</f>
        <v>0</v>
      </c>
      <c r="C1306" s="11">
        <f>IFERROR(__xludf.DUMMYFUNCTION("""COMPUTED_VALUE"""),595.0)</f>
        <v>595</v>
      </c>
      <c r="D1306" s="11">
        <f>IFERROR(__xludf.DUMMYFUNCTION("""COMPUTED_VALUE"""),62.0)</f>
        <v>62</v>
      </c>
      <c r="E1306" s="9"/>
    </row>
    <row r="1307">
      <c r="A1307" s="10">
        <f>IFERROR(__xludf.DUMMYFUNCTION("""COMPUTED_VALUE"""),89640.0)</f>
        <v>89640</v>
      </c>
      <c r="B1307" s="11">
        <f>IFERROR(__xludf.DUMMYFUNCTION("""COMPUTED_VALUE"""),1.0)</f>
        <v>1</v>
      </c>
      <c r="C1307" s="11">
        <f>IFERROR(__xludf.DUMMYFUNCTION("""COMPUTED_VALUE"""),568.0)</f>
        <v>568</v>
      </c>
      <c r="D1307" s="11">
        <f>IFERROR(__xludf.DUMMYFUNCTION("""COMPUTED_VALUE"""),196.0)</f>
        <v>196</v>
      </c>
      <c r="E1307" s="9"/>
    </row>
    <row r="1308">
      <c r="A1308" s="10">
        <f>IFERROR(__xludf.DUMMYFUNCTION("""COMPUTED_VALUE"""),112072.0)</f>
        <v>112072</v>
      </c>
      <c r="B1308" s="11">
        <f>IFERROR(__xludf.DUMMYFUNCTION("""COMPUTED_VALUE"""),1.0)</f>
        <v>1</v>
      </c>
      <c r="C1308" s="11">
        <f>IFERROR(__xludf.DUMMYFUNCTION("""COMPUTED_VALUE"""),117.0)</f>
        <v>117</v>
      </c>
      <c r="D1308" s="11">
        <f>IFERROR(__xludf.DUMMYFUNCTION("""COMPUTED_VALUE"""),12.0)</f>
        <v>12</v>
      </c>
      <c r="E1308" s="9"/>
    </row>
    <row r="1309">
      <c r="A1309" s="10">
        <f>IFERROR(__xludf.DUMMYFUNCTION("""COMPUTED_VALUE"""),112991.0)</f>
        <v>112991</v>
      </c>
      <c r="B1309" s="11">
        <f>IFERROR(__xludf.DUMMYFUNCTION("""COMPUTED_VALUE"""),1.0)</f>
        <v>1</v>
      </c>
      <c r="C1309" s="11">
        <f>IFERROR(__xludf.DUMMYFUNCTION("""COMPUTED_VALUE"""),293.0)</f>
        <v>293</v>
      </c>
      <c r="D1309" s="11">
        <f>IFERROR(__xludf.DUMMYFUNCTION("""COMPUTED_VALUE"""),269.0)</f>
        <v>269</v>
      </c>
      <c r="E1309" s="9"/>
    </row>
    <row r="1310">
      <c r="A1310" s="10">
        <f>IFERROR(__xludf.DUMMYFUNCTION("""COMPUTED_VALUE"""),101587.0)</f>
        <v>101587</v>
      </c>
      <c r="B1310" s="11">
        <f>IFERROR(__xludf.DUMMYFUNCTION("""COMPUTED_VALUE"""),1.0)</f>
        <v>1</v>
      </c>
      <c r="C1310" s="11">
        <f>IFERROR(__xludf.DUMMYFUNCTION("""COMPUTED_VALUE"""),482.0)</f>
        <v>482</v>
      </c>
      <c r="D1310" s="11">
        <f>IFERROR(__xludf.DUMMYFUNCTION("""COMPUTED_VALUE"""),248.0)</f>
        <v>248</v>
      </c>
      <c r="E1310" s="9"/>
    </row>
    <row r="1311">
      <c r="A1311" s="10">
        <f>IFERROR(__xludf.DUMMYFUNCTION("""COMPUTED_VALUE"""),10525.0)</f>
        <v>10525</v>
      </c>
      <c r="B1311" s="11">
        <f>IFERROR(__xludf.DUMMYFUNCTION("""COMPUTED_VALUE"""),0.0)</f>
        <v>0</v>
      </c>
      <c r="C1311" s="11">
        <f>IFERROR(__xludf.DUMMYFUNCTION("""COMPUTED_VALUE"""),572.0)</f>
        <v>572</v>
      </c>
      <c r="D1311" s="11">
        <f>IFERROR(__xludf.DUMMYFUNCTION("""COMPUTED_VALUE"""),104.0)</f>
        <v>104</v>
      </c>
      <c r="E1311" s="9"/>
    </row>
    <row r="1312">
      <c r="A1312" s="10">
        <f>IFERROR(__xludf.DUMMYFUNCTION("""COMPUTED_VALUE"""),121349.0)</f>
        <v>121349</v>
      </c>
      <c r="B1312" s="11">
        <f>IFERROR(__xludf.DUMMYFUNCTION("""COMPUTED_VALUE"""),1.0)</f>
        <v>1</v>
      </c>
      <c r="C1312" s="11">
        <f>IFERROR(__xludf.DUMMYFUNCTION("""COMPUTED_VALUE"""),192.0)</f>
        <v>192</v>
      </c>
      <c r="D1312" s="11">
        <f>IFERROR(__xludf.DUMMYFUNCTION("""COMPUTED_VALUE"""),131.0)</f>
        <v>131</v>
      </c>
      <c r="E1312" s="9"/>
    </row>
    <row r="1313">
      <c r="A1313" s="10">
        <f>IFERROR(__xludf.DUMMYFUNCTION("""COMPUTED_VALUE"""),127811.0)</f>
        <v>127811</v>
      </c>
      <c r="B1313" s="11">
        <f>IFERROR(__xludf.DUMMYFUNCTION("""COMPUTED_VALUE"""),1.0)</f>
        <v>1</v>
      </c>
      <c r="C1313" s="11">
        <f>IFERROR(__xludf.DUMMYFUNCTION("""COMPUTED_VALUE"""),446.0)</f>
        <v>446</v>
      </c>
      <c r="D1313" s="11">
        <f>IFERROR(__xludf.DUMMYFUNCTION("""COMPUTED_VALUE"""),367.0)</f>
        <v>367</v>
      </c>
      <c r="E1313" s="9"/>
    </row>
    <row r="1314">
      <c r="A1314" s="10">
        <f>IFERROR(__xludf.DUMMYFUNCTION("""COMPUTED_VALUE"""),81507.0)</f>
        <v>81507</v>
      </c>
      <c r="B1314" s="11">
        <f>IFERROR(__xludf.DUMMYFUNCTION("""COMPUTED_VALUE"""),1.0)</f>
        <v>1</v>
      </c>
      <c r="C1314" s="11">
        <f>IFERROR(__xludf.DUMMYFUNCTION("""COMPUTED_VALUE"""),67.0)</f>
        <v>67</v>
      </c>
      <c r="D1314" s="11">
        <f>IFERROR(__xludf.DUMMYFUNCTION("""COMPUTED_VALUE"""),5.0)</f>
        <v>5</v>
      </c>
      <c r="E1314" s="9"/>
    </row>
    <row r="1315">
      <c r="A1315" s="10">
        <f>IFERROR(__xludf.DUMMYFUNCTION("""COMPUTED_VALUE"""),78412.0)</f>
        <v>78412</v>
      </c>
      <c r="B1315" s="11">
        <f>IFERROR(__xludf.DUMMYFUNCTION("""COMPUTED_VALUE"""),0.0)</f>
        <v>0</v>
      </c>
      <c r="C1315" s="11">
        <f>IFERROR(__xludf.DUMMYFUNCTION("""COMPUTED_VALUE"""),920.0)</f>
        <v>920</v>
      </c>
      <c r="D1315" s="11">
        <f>IFERROR(__xludf.DUMMYFUNCTION("""COMPUTED_VALUE"""),787.0)</f>
        <v>787</v>
      </c>
      <c r="E1315" s="9"/>
    </row>
    <row r="1316">
      <c r="A1316" s="10">
        <f>IFERROR(__xludf.DUMMYFUNCTION("""COMPUTED_VALUE"""),109312.0)</f>
        <v>109312</v>
      </c>
      <c r="B1316" s="11">
        <f>IFERROR(__xludf.DUMMYFUNCTION("""COMPUTED_VALUE"""),0.0)</f>
        <v>0</v>
      </c>
      <c r="C1316" s="11">
        <f>IFERROR(__xludf.DUMMYFUNCTION("""COMPUTED_VALUE"""),457.0)</f>
        <v>457</v>
      </c>
      <c r="D1316" s="11">
        <f>IFERROR(__xludf.DUMMYFUNCTION("""COMPUTED_VALUE"""),450.0)</f>
        <v>450</v>
      </c>
      <c r="E1316" s="9"/>
    </row>
    <row r="1317">
      <c r="A1317" s="10">
        <f>IFERROR(__xludf.DUMMYFUNCTION("""COMPUTED_VALUE"""),78502.0)</f>
        <v>78502</v>
      </c>
      <c r="B1317" s="11">
        <f>IFERROR(__xludf.DUMMYFUNCTION("""COMPUTED_VALUE"""),1.0)</f>
        <v>1</v>
      </c>
      <c r="C1317" s="11">
        <f>IFERROR(__xludf.DUMMYFUNCTION("""COMPUTED_VALUE"""),968.0)</f>
        <v>968</v>
      </c>
      <c r="D1317" s="11">
        <f>IFERROR(__xludf.DUMMYFUNCTION("""COMPUTED_VALUE"""),927.0)</f>
        <v>927</v>
      </c>
      <c r="E1317" s="9"/>
    </row>
    <row r="1318">
      <c r="A1318" s="10">
        <f>IFERROR(__xludf.DUMMYFUNCTION("""COMPUTED_VALUE"""),111498.0)</f>
        <v>111498</v>
      </c>
      <c r="B1318" s="11">
        <f>IFERROR(__xludf.DUMMYFUNCTION("""COMPUTED_VALUE"""),0.0)</f>
        <v>0</v>
      </c>
      <c r="C1318" s="11">
        <f>IFERROR(__xludf.DUMMYFUNCTION("""COMPUTED_VALUE"""),869.0)</f>
        <v>869</v>
      </c>
      <c r="D1318" s="11">
        <f>IFERROR(__xludf.DUMMYFUNCTION("""COMPUTED_VALUE"""),472.0)</f>
        <v>472</v>
      </c>
      <c r="E1318" s="9"/>
    </row>
    <row r="1319">
      <c r="A1319" s="10">
        <f>IFERROR(__xludf.DUMMYFUNCTION("""COMPUTED_VALUE"""),87242.0)</f>
        <v>87242</v>
      </c>
      <c r="B1319" s="11">
        <f>IFERROR(__xludf.DUMMYFUNCTION("""COMPUTED_VALUE"""),0.0)</f>
        <v>0</v>
      </c>
      <c r="C1319" s="11">
        <f>IFERROR(__xludf.DUMMYFUNCTION("""COMPUTED_VALUE"""),739.0)</f>
        <v>739</v>
      </c>
      <c r="D1319" s="11">
        <f>IFERROR(__xludf.DUMMYFUNCTION("""COMPUTED_VALUE"""),535.0)</f>
        <v>535</v>
      </c>
      <c r="E1319" s="9"/>
    </row>
    <row r="1320">
      <c r="A1320" s="10">
        <f>IFERROR(__xludf.DUMMYFUNCTION("""COMPUTED_VALUE"""),139286.0)</f>
        <v>139286</v>
      </c>
      <c r="B1320" s="11">
        <f>IFERROR(__xludf.DUMMYFUNCTION("""COMPUTED_VALUE"""),1.0)</f>
        <v>1</v>
      </c>
      <c r="C1320" s="11">
        <f>IFERROR(__xludf.DUMMYFUNCTION("""COMPUTED_VALUE"""),204.0)</f>
        <v>204</v>
      </c>
      <c r="D1320" s="11">
        <f>IFERROR(__xludf.DUMMYFUNCTION("""COMPUTED_VALUE"""),121.0)</f>
        <v>121</v>
      </c>
      <c r="E1320" s="9"/>
    </row>
    <row r="1321">
      <c r="A1321" s="10">
        <f>IFERROR(__xludf.DUMMYFUNCTION("""COMPUTED_VALUE"""),10524.0)</f>
        <v>10524</v>
      </c>
      <c r="B1321" s="11">
        <f>IFERROR(__xludf.DUMMYFUNCTION("""COMPUTED_VALUE"""),0.0)</f>
        <v>0</v>
      </c>
      <c r="C1321" s="11">
        <f>IFERROR(__xludf.DUMMYFUNCTION("""COMPUTED_VALUE"""),52.0)</f>
        <v>52</v>
      </c>
      <c r="D1321" s="11">
        <f>IFERROR(__xludf.DUMMYFUNCTION("""COMPUTED_VALUE"""),1.0)</f>
        <v>1</v>
      </c>
      <c r="E1321" s="9"/>
    </row>
    <row r="1322">
      <c r="A1322" s="10">
        <f>IFERROR(__xludf.DUMMYFUNCTION("""COMPUTED_VALUE"""),78397.0)</f>
        <v>78397</v>
      </c>
      <c r="B1322" s="11">
        <f>IFERROR(__xludf.DUMMYFUNCTION("""COMPUTED_VALUE"""),1.0)</f>
        <v>1</v>
      </c>
      <c r="C1322" s="11">
        <f>IFERROR(__xludf.DUMMYFUNCTION("""COMPUTED_VALUE"""),854.0)</f>
        <v>854</v>
      </c>
      <c r="D1322" s="11">
        <f>IFERROR(__xludf.DUMMYFUNCTION("""COMPUTED_VALUE"""),841.0)</f>
        <v>841</v>
      </c>
      <c r="E1322" s="9"/>
    </row>
    <row r="1323">
      <c r="A1323" s="10">
        <f>IFERROR(__xludf.DUMMYFUNCTION("""COMPUTED_VALUE"""),78421.0)</f>
        <v>78421</v>
      </c>
      <c r="B1323" s="11">
        <f>IFERROR(__xludf.DUMMYFUNCTION("""COMPUTED_VALUE"""),0.0)</f>
        <v>0</v>
      </c>
      <c r="C1323" s="11">
        <f>IFERROR(__xludf.DUMMYFUNCTION("""COMPUTED_VALUE"""),345.0)</f>
        <v>345</v>
      </c>
      <c r="D1323" s="11">
        <f>IFERROR(__xludf.DUMMYFUNCTION("""COMPUTED_VALUE"""),113.0)</f>
        <v>113</v>
      </c>
      <c r="E1323" s="9"/>
    </row>
    <row r="1324">
      <c r="A1324" s="10">
        <f>IFERROR(__xludf.DUMMYFUNCTION("""COMPUTED_VALUE"""),23420.0)</f>
        <v>23420</v>
      </c>
      <c r="B1324" s="11">
        <f>IFERROR(__xludf.DUMMYFUNCTION("""COMPUTED_VALUE"""),1.0)</f>
        <v>1</v>
      </c>
      <c r="C1324" s="11">
        <f>IFERROR(__xludf.DUMMYFUNCTION("""COMPUTED_VALUE"""),164.0)</f>
        <v>164</v>
      </c>
      <c r="D1324" s="11">
        <f>IFERROR(__xludf.DUMMYFUNCTION("""COMPUTED_VALUE"""),90.0)</f>
        <v>90</v>
      </c>
      <c r="E1324" s="9"/>
    </row>
    <row r="1325">
      <c r="A1325" s="10">
        <f>IFERROR(__xludf.DUMMYFUNCTION("""COMPUTED_VALUE"""),78498.0)</f>
        <v>78498</v>
      </c>
      <c r="B1325" s="11">
        <f>IFERROR(__xludf.DUMMYFUNCTION("""COMPUTED_VALUE"""),1.0)</f>
        <v>1</v>
      </c>
      <c r="C1325" s="11">
        <f>IFERROR(__xludf.DUMMYFUNCTION("""COMPUTED_VALUE"""),941.0)</f>
        <v>941</v>
      </c>
      <c r="D1325" s="11">
        <f>IFERROR(__xludf.DUMMYFUNCTION("""COMPUTED_VALUE"""),609.0)</f>
        <v>609</v>
      </c>
      <c r="E1325" s="9"/>
    </row>
    <row r="1326">
      <c r="A1326" s="10">
        <f>IFERROR(__xludf.DUMMYFUNCTION("""COMPUTED_VALUE"""),78427.0)</f>
        <v>78427</v>
      </c>
      <c r="B1326" s="11">
        <f>IFERROR(__xludf.DUMMYFUNCTION("""COMPUTED_VALUE"""),0.0)</f>
        <v>0</v>
      </c>
      <c r="C1326" s="11">
        <f>IFERROR(__xludf.DUMMYFUNCTION("""COMPUTED_VALUE"""),835.0)</f>
        <v>835</v>
      </c>
      <c r="D1326" s="11">
        <f>IFERROR(__xludf.DUMMYFUNCTION("""COMPUTED_VALUE"""),556.0)</f>
        <v>556</v>
      </c>
      <c r="E1326" s="9"/>
    </row>
    <row r="1327">
      <c r="A1327" s="10">
        <f>IFERROR(__xludf.DUMMYFUNCTION("""COMPUTED_VALUE"""),119256.0)</f>
        <v>119256</v>
      </c>
      <c r="B1327" s="11">
        <f>IFERROR(__xludf.DUMMYFUNCTION("""COMPUTED_VALUE"""),0.0)</f>
        <v>0</v>
      </c>
      <c r="C1327" s="11">
        <f>IFERROR(__xludf.DUMMYFUNCTION("""COMPUTED_VALUE"""),171.0)</f>
        <v>171</v>
      </c>
      <c r="D1327" s="11">
        <f>IFERROR(__xludf.DUMMYFUNCTION("""COMPUTED_VALUE"""),78.0)</f>
        <v>78</v>
      </c>
      <c r="E1327" s="9"/>
    </row>
    <row r="1328">
      <c r="A1328" s="10">
        <f>IFERROR(__xludf.DUMMYFUNCTION("""COMPUTED_VALUE"""),44731.0)</f>
        <v>44731</v>
      </c>
      <c r="B1328" s="11">
        <f>IFERROR(__xludf.DUMMYFUNCTION("""COMPUTED_VALUE"""),1.0)</f>
        <v>1</v>
      </c>
      <c r="C1328" s="11">
        <f>IFERROR(__xludf.DUMMYFUNCTION("""COMPUTED_VALUE"""),685.0)</f>
        <v>685</v>
      </c>
      <c r="D1328" s="11">
        <f>IFERROR(__xludf.DUMMYFUNCTION("""COMPUTED_VALUE"""),590.0)</f>
        <v>590</v>
      </c>
      <c r="E1328" s="9"/>
    </row>
    <row r="1329">
      <c r="A1329" s="10">
        <f>IFERROR(__xludf.DUMMYFUNCTION("""COMPUTED_VALUE"""),86852.0)</f>
        <v>86852</v>
      </c>
      <c r="B1329" s="11">
        <f>IFERROR(__xludf.DUMMYFUNCTION("""COMPUTED_VALUE"""),0.0)</f>
        <v>0</v>
      </c>
      <c r="C1329" s="11">
        <f>IFERROR(__xludf.DUMMYFUNCTION("""COMPUTED_VALUE"""),868.0)</f>
        <v>868</v>
      </c>
      <c r="D1329" s="11">
        <f>IFERROR(__xludf.DUMMYFUNCTION("""COMPUTED_VALUE"""),322.0)</f>
        <v>322</v>
      </c>
      <c r="E1329" s="9"/>
    </row>
    <row r="1330">
      <c r="A1330" s="10">
        <f>IFERROR(__xludf.DUMMYFUNCTION("""COMPUTED_VALUE"""),103137.0)</f>
        <v>103137</v>
      </c>
      <c r="B1330" s="11">
        <f>IFERROR(__xludf.DUMMYFUNCTION("""COMPUTED_VALUE"""),0.0)</f>
        <v>0</v>
      </c>
      <c r="C1330" s="11">
        <f>IFERROR(__xludf.DUMMYFUNCTION("""COMPUTED_VALUE"""),671.0)</f>
        <v>671</v>
      </c>
      <c r="D1330" s="11">
        <f>IFERROR(__xludf.DUMMYFUNCTION("""COMPUTED_VALUE"""),164.0)</f>
        <v>164</v>
      </c>
      <c r="E1330" s="9"/>
    </row>
    <row r="1331">
      <c r="A1331" s="10">
        <f>IFERROR(__xludf.DUMMYFUNCTION("""COMPUTED_VALUE"""),95079.0)</f>
        <v>95079</v>
      </c>
      <c r="B1331" s="11">
        <f>IFERROR(__xludf.DUMMYFUNCTION("""COMPUTED_VALUE"""),0.0)</f>
        <v>0</v>
      </c>
      <c r="C1331" s="11">
        <f>IFERROR(__xludf.DUMMYFUNCTION("""COMPUTED_VALUE"""),252.0)</f>
        <v>252</v>
      </c>
      <c r="D1331" s="11">
        <f>IFERROR(__xludf.DUMMYFUNCTION("""COMPUTED_VALUE"""),234.0)</f>
        <v>234</v>
      </c>
      <c r="E1331" s="9"/>
    </row>
    <row r="1332">
      <c r="A1332" s="10">
        <f>IFERROR(__xludf.DUMMYFUNCTION("""COMPUTED_VALUE"""),121568.0)</f>
        <v>121568</v>
      </c>
      <c r="B1332" s="11">
        <f>IFERROR(__xludf.DUMMYFUNCTION("""COMPUTED_VALUE"""),1.0)</f>
        <v>1</v>
      </c>
      <c r="C1332" s="11">
        <f>IFERROR(__xludf.DUMMYFUNCTION("""COMPUTED_VALUE"""),502.0)</f>
        <v>502</v>
      </c>
      <c r="D1332" s="11">
        <f>IFERROR(__xludf.DUMMYFUNCTION("""COMPUTED_VALUE"""),356.0)</f>
        <v>356</v>
      </c>
      <c r="E1332" s="9"/>
    </row>
    <row r="1333">
      <c r="A1333" s="10">
        <f>IFERROR(__xludf.DUMMYFUNCTION("""COMPUTED_VALUE"""),89645.0)</f>
        <v>89645</v>
      </c>
      <c r="B1333" s="11">
        <f>IFERROR(__xludf.DUMMYFUNCTION("""COMPUTED_VALUE"""),0.0)</f>
        <v>0</v>
      </c>
      <c r="C1333" s="11">
        <f>IFERROR(__xludf.DUMMYFUNCTION("""COMPUTED_VALUE"""),23.0)</f>
        <v>23</v>
      </c>
      <c r="D1333" s="11">
        <f>IFERROR(__xludf.DUMMYFUNCTION("""COMPUTED_VALUE"""),12.0)</f>
        <v>12</v>
      </c>
      <c r="E1333" s="9"/>
    </row>
    <row r="1334">
      <c r="A1334" s="10">
        <f>IFERROR(__xludf.DUMMYFUNCTION("""COMPUTED_VALUE"""),44691.0)</f>
        <v>44691</v>
      </c>
      <c r="B1334" s="11">
        <f>IFERROR(__xludf.DUMMYFUNCTION("""COMPUTED_VALUE"""),0.0)</f>
        <v>0</v>
      </c>
      <c r="C1334" s="11">
        <f>IFERROR(__xludf.DUMMYFUNCTION("""COMPUTED_VALUE"""),18.0)</f>
        <v>18</v>
      </c>
      <c r="D1334" s="11">
        <f>IFERROR(__xludf.DUMMYFUNCTION("""COMPUTED_VALUE"""),6.0)</f>
        <v>6</v>
      </c>
      <c r="E1334" s="9"/>
    </row>
    <row r="1335">
      <c r="A1335" s="10">
        <f>IFERROR(__xludf.DUMMYFUNCTION("""COMPUTED_VALUE"""),94055.0)</f>
        <v>94055</v>
      </c>
      <c r="B1335" s="11">
        <f>IFERROR(__xludf.DUMMYFUNCTION("""COMPUTED_VALUE"""),0.0)</f>
        <v>0</v>
      </c>
      <c r="C1335" s="11">
        <f>IFERROR(__xludf.DUMMYFUNCTION("""COMPUTED_VALUE"""),185.0)</f>
        <v>185</v>
      </c>
      <c r="D1335" s="11">
        <f>IFERROR(__xludf.DUMMYFUNCTION("""COMPUTED_VALUE"""),66.0)</f>
        <v>66</v>
      </c>
      <c r="E1335" s="9"/>
    </row>
    <row r="1336">
      <c r="A1336" s="10">
        <f>IFERROR(__xludf.DUMMYFUNCTION("""COMPUTED_VALUE"""),101586.0)</f>
        <v>101586</v>
      </c>
      <c r="B1336" s="11">
        <f>IFERROR(__xludf.DUMMYFUNCTION("""COMPUTED_VALUE"""),1.0)</f>
        <v>1</v>
      </c>
      <c r="C1336" s="11">
        <f>IFERROR(__xludf.DUMMYFUNCTION("""COMPUTED_VALUE"""),271.0)</f>
        <v>271</v>
      </c>
      <c r="D1336" s="11">
        <f>IFERROR(__xludf.DUMMYFUNCTION("""COMPUTED_VALUE"""),157.0)</f>
        <v>157</v>
      </c>
      <c r="E1336" s="9"/>
    </row>
    <row r="1337">
      <c r="A1337" s="10">
        <f>IFERROR(__xludf.DUMMYFUNCTION("""COMPUTED_VALUE"""),106731.0)</f>
        <v>106731</v>
      </c>
      <c r="B1337" s="11">
        <f>IFERROR(__xludf.DUMMYFUNCTION("""COMPUTED_VALUE"""),0.0)</f>
        <v>0</v>
      </c>
      <c r="C1337" s="11">
        <f>IFERROR(__xludf.DUMMYFUNCTION("""COMPUTED_VALUE"""),369.0)</f>
        <v>369</v>
      </c>
      <c r="D1337" s="11">
        <f>IFERROR(__xludf.DUMMYFUNCTION("""COMPUTED_VALUE"""),262.0)</f>
        <v>262</v>
      </c>
      <c r="E1337" s="9"/>
    </row>
    <row r="1338">
      <c r="A1338" s="10">
        <f>IFERROR(__xludf.DUMMYFUNCTION("""COMPUTED_VALUE"""),87072.0)</f>
        <v>87072</v>
      </c>
      <c r="B1338" s="11">
        <f>IFERROR(__xludf.DUMMYFUNCTION("""COMPUTED_VALUE"""),0.0)</f>
        <v>0</v>
      </c>
      <c r="C1338" s="11">
        <f>IFERROR(__xludf.DUMMYFUNCTION("""COMPUTED_VALUE"""),245.0)</f>
        <v>245</v>
      </c>
      <c r="D1338" s="11">
        <f>IFERROR(__xludf.DUMMYFUNCTION("""COMPUTED_VALUE"""),101.0)</f>
        <v>101</v>
      </c>
      <c r="E1338" s="9"/>
    </row>
    <row r="1339">
      <c r="A1339" s="10">
        <f>IFERROR(__xludf.DUMMYFUNCTION("""COMPUTED_VALUE"""),44711.0)</f>
        <v>44711</v>
      </c>
      <c r="B1339" s="11">
        <f>IFERROR(__xludf.DUMMYFUNCTION("""COMPUTED_VALUE"""),0.0)</f>
        <v>0</v>
      </c>
      <c r="C1339" s="11">
        <f>IFERROR(__xludf.DUMMYFUNCTION("""COMPUTED_VALUE"""),183.0)</f>
        <v>183</v>
      </c>
      <c r="D1339" s="11">
        <f>IFERROR(__xludf.DUMMYFUNCTION("""COMPUTED_VALUE"""),130.0)</f>
        <v>130</v>
      </c>
      <c r="E1339" s="9"/>
    </row>
    <row r="1340">
      <c r="A1340" s="10">
        <f>IFERROR(__xludf.DUMMYFUNCTION("""COMPUTED_VALUE"""),78428.0)</f>
        <v>78428</v>
      </c>
      <c r="B1340" s="11">
        <f>IFERROR(__xludf.DUMMYFUNCTION("""COMPUTED_VALUE"""),0.0)</f>
        <v>0</v>
      </c>
      <c r="C1340" s="11">
        <f>IFERROR(__xludf.DUMMYFUNCTION("""COMPUTED_VALUE"""),562.0)</f>
        <v>562</v>
      </c>
      <c r="D1340" s="11">
        <f>IFERROR(__xludf.DUMMYFUNCTION("""COMPUTED_VALUE"""),543.0)</f>
        <v>543</v>
      </c>
      <c r="E1340" s="9"/>
    </row>
    <row r="1341">
      <c r="A1341" s="10">
        <f>IFERROR(__xludf.DUMMYFUNCTION("""COMPUTED_VALUE"""),10531.0)</f>
        <v>10531</v>
      </c>
      <c r="B1341" s="11">
        <f>IFERROR(__xludf.DUMMYFUNCTION("""COMPUTED_VALUE"""),1.0)</f>
        <v>1</v>
      </c>
      <c r="C1341" s="11">
        <f>IFERROR(__xludf.DUMMYFUNCTION("""COMPUTED_VALUE"""),926.0)</f>
        <v>926</v>
      </c>
      <c r="D1341" s="11">
        <f>IFERROR(__xludf.DUMMYFUNCTION("""COMPUTED_VALUE"""),44.0)</f>
        <v>44</v>
      </c>
      <c r="E1341" s="9"/>
    </row>
    <row r="1342">
      <c r="A1342" s="10">
        <f>IFERROR(__xludf.DUMMYFUNCTION("""COMPUTED_VALUE"""),158475.0)</f>
        <v>158475</v>
      </c>
      <c r="B1342" s="11">
        <f>IFERROR(__xludf.DUMMYFUNCTION("""COMPUTED_VALUE"""),0.0)</f>
        <v>0</v>
      </c>
      <c r="C1342" s="11">
        <f>IFERROR(__xludf.DUMMYFUNCTION("""COMPUTED_VALUE"""),362.0)</f>
        <v>362</v>
      </c>
      <c r="D1342" s="11">
        <f>IFERROR(__xludf.DUMMYFUNCTION("""COMPUTED_VALUE"""),318.0)</f>
        <v>318</v>
      </c>
      <c r="E1342" s="9"/>
    </row>
    <row r="1343">
      <c r="A1343" s="10">
        <f>IFERROR(__xludf.DUMMYFUNCTION("""COMPUTED_VALUE"""),89633.0)</f>
        <v>89633</v>
      </c>
      <c r="B1343" s="11">
        <f>IFERROR(__xludf.DUMMYFUNCTION("""COMPUTED_VALUE"""),1.0)</f>
        <v>1</v>
      </c>
      <c r="C1343" s="11">
        <f>IFERROR(__xludf.DUMMYFUNCTION("""COMPUTED_VALUE"""),490.0)</f>
        <v>490</v>
      </c>
      <c r="D1343" s="11">
        <f>IFERROR(__xludf.DUMMYFUNCTION("""COMPUTED_VALUE"""),490.0)</f>
        <v>490</v>
      </c>
      <c r="E1343" s="9"/>
    </row>
    <row r="1344">
      <c r="A1344" s="10">
        <f>IFERROR(__xludf.DUMMYFUNCTION("""COMPUTED_VALUE"""),86836.0)</f>
        <v>86836</v>
      </c>
      <c r="B1344" s="11">
        <f>IFERROR(__xludf.DUMMYFUNCTION("""COMPUTED_VALUE"""),1.0)</f>
        <v>1</v>
      </c>
      <c r="C1344" s="11">
        <f>IFERROR(__xludf.DUMMYFUNCTION("""COMPUTED_VALUE"""),29.0)</f>
        <v>29</v>
      </c>
      <c r="D1344" s="11">
        <f>IFERROR(__xludf.DUMMYFUNCTION("""COMPUTED_VALUE"""),18.0)</f>
        <v>18</v>
      </c>
      <c r="E1344" s="9"/>
    </row>
    <row r="1345">
      <c r="A1345" s="10">
        <f>IFERROR(__xludf.DUMMYFUNCTION("""COMPUTED_VALUE"""),44698.0)</f>
        <v>44698</v>
      </c>
      <c r="B1345" s="11">
        <f>IFERROR(__xludf.DUMMYFUNCTION("""COMPUTED_VALUE"""),0.0)</f>
        <v>0</v>
      </c>
      <c r="C1345" s="11">
        <f>IFERROR(__xludf.DUMMYFUNCTION("""COMPUTED_VALUE"""),968.0)</f>
        <v>968</v>
      </c>
      <c r="D1345" s="11">
        <f>IFERROR(__xludf.DUMMYFUNCTION("""COMPUTED_VALUE"""),60.0)</f>
        <v>60</v>
      </c>
      <c r="E1345" s="9"/>
    </row>
    <row r="1346">
      <c r="A1346" s="10">
        <f>IFERROR(__xludf.DUMMYFUNCTION("""COMPUTED_VALUE"""),127870.0)</f>
        <v>127870</v>
      </c>
      <c r="B1346" s="11">
        <f>IFERROR(__xludf.DUMMYFUNCTION("""COMPUTED_VALUE"""),1.0)</f>
        <v>1</v>
      </c>
      <c r="C1346" s="11">
        <f>IFERROR(__xludf.DUMMYFUNCTION("""COMPUTED_VALUE"""),192.0)</f>
        <v>192</v>
      </c>
      <c r="D1346" s="11">
        <f>IFERROR(__xludf.DUMMYFUNCTION("""COMPUTED_VALUE"""),124.0)</f>
        <v>124</v>
      </c>
      <c r="E1346" s="9"/>
    </row>
    <row r="1347">
      <c r="A1347" s="10">
        <f>IFERROR(__xludf.DUMMYFUNCTION("""COMPUTED_VALUE"""),141891.0)</f>
        <v>141891</v>
      </c>
      <c r="B1347" s="11">
        <f>IFERROR(__xludf.DUMMYFUNCTION("""COMPUTED_VALUE"""),1.0)</f>
        <v>1</v>
      </c>
      <c r="C1347" s="11">
        <f>IFERROR(__xludf.DUMMYFUNCTION("""COMPUTED_VALUE"""),861.0)</f>
        <v>861</v>
      </c>
      <c r="D1347" s="11">
        <f>IFERROR(__xludf.DUMMYFUNCTION("""COMPUTED_VALUE"""),284.0)</f>
        <v>284</v>
      </c>
      <c r="E1347" s="9"/>
    </row>
    <row r="1348">
      <c r="A1348" s="10">
        <f>IFERROR(__xludf.DUMMYFUNCTION("""COMPUTED_VALUE"""),78426.0)</f>
        <v>78426</v>
      </c>
      <c r="B1348" s="11">
        <f>IFERROR(__xludf.DUMMYFUNCTION("""COMPUTED_VALUE"""),1.0)</f>
        <v>1</v>
      </c>
      <c r="C1348" s="11">
        <f>IFERROR(__xludf.DUMMYFUNCTION("""COMPUTED_VALUE"""),954.0)</f>
        <v>954</v>
      </c>
      <c r="D1348" s="11">
        <f>IFERROR(__xludf.DUMMYFUNCTION("""COMPUTED_VALUE"""),543.0)</f>
        <v>543</v>
      </c>
      <c r="E1348" s="9"/>
    </row>
    <row r="1349">
      <c r="A1349" s="10">
        <f>IFERROR(__xludf.DUMMYFUNCTION("""COMPUTED_VALUE"""),77792.0)</f>
        <v>77792</v>
      </c>
      <c r="B1349" s="11">
        <f>IFERROR(__xludf.DUMMYFUNCTION("""COMPUTED_VALUE"""),0.0)</f>
        <v>0</v>
      </c>
      <c r="C1349" s="11">
        <f>IFERROR(__xludf.DUMMYFUNCTION("""COMPUTED_VALUE"""),352.0)</f>
        <v>352</v>
      </c>
      <c r="D1349" s="11">
        <f>IFERROR(__xludf.DUMMYFUNCTION("""COMPUTED_VALUE"""),225.0)</f>
        <v>225</v>
      </c>
      <c r="E1349" s="9"/>
    </row>
    <row r="1350">
      <c r="A1350" s="10">
        <f>IFERROR(__xludf.DUMMYFUNCTION("""COMPUTED_VALUE"""),21027.0)</f>
        <v>21027</v>
      </c>
      <c r="B1350" s="11">
        <f>IFERROR(__xludf.DUMMYFUNCTION("""COMPUTED_VALUE"""),0.0)</f>
        <v>0</v>
      </c>
      <c r="C1350" s="11">
        <f>IFERROR(__xludf.DUMMYFUNCTION("""COMPUTED_VALUE"""),970.0)</f>
        <v>970</v>
      </c>
      <c r="D1350" s="11">
        <f>IFERROR(__xludf.DUMMYFUNCTION("""COMPUTED_VALUE"""),593.0)</f>
        <v>593</v>
      </c>
      <c r="E1350" s="9"/>
    </row>
    <row r="1351">
      <c r="A1351" s="10">
        <f>IFERROR(__xludf.DUMMYFUNCTION("""COMPUTED_VALUE"""),95063.0)</f>
        <v>95063</v>
      </c>
      <c r="B1351" s="11">
        <f>IFERROR(__xludf.DUMMYFUNCTION("""COMPUTED_VALUE"""),1.0)</f>
        <v>1</v>
      </c>
      <c r="C1351" s="11">
        <f>IFERROR(__xludf.DUMMYFUNCTION("""COMPUTED_VALUE"""),238.0)</f>
        <v>238</v>
      </c>
      <c r="D1351" s="11">
        <f>IFERROR(__xludf.DUMMYFUNCTION("""COMPUTED_VALUE"""),141.0)</f>
        <v>141</v>
      </c>
      <c r="E1351" s="9"/>
    </row>
    <row r="1352">
      <c r="A1352" s="10">
        <f>IFERROR(__xludf.DUMMYFUNCTION("""COMPUTED_VALUE"""),30314.0)</f>
        <v>30314</v>
      </c>
      <c r="B1352" s="11">
        <f>IFERROR(__xludf.DUMMYFUNCTION("""COMPUTED_VALUE"""),0.0)</f>
        <v>0</v>
      </c>
      <c r="C1352" s="11">
        <f>IFERROR(__xludf.DUMMYFUNCTION("""COMPUTED_VALUE"""),618.0)</f>
        <v>618</v>
      </c>
      <c r="D1352" s="11">
        <f>IFERROR(__xludf.DUMMYFUNCTION("""COMPUTED_VALUE"""),319.0)</f>
        <v>319</v>
      </c>
      <c r="E1352" s="9"/>
    </row>
    <row r="1353">
      <c r="A1353" s="10">
        <f>IFERROR(__xludf.DUMMYFUNCTION("""COMPUTED_VALUE"""),19838.0)</f>
        <v>19838</v>
      </c>
      <c r="B1353" s="11">
        <f>IFERROR(__xludf.DUMMYFUNCTION("""COMPUTED_VALUE"""),1.0)</f>
        <v>1</v>
      </c>
      <c r="C1353" s="11">
        <f>IFERROR(__xludf.DUMMYFUNCTION("""COMPUTED_VALUE"""),661.0)</f>
        <v>661</v>
      </c>
      <c r="D1353" s="11">
        <f>IFERROR(__xludf.DUMMYFUNCTION("""COMPUTED_VALUE"""),468.0)</f>
        <v>468</v>
      </c>
      <c r="E1353" s="9"/>
    </row>
    <row r="1354">
      <c r="A1354" s="10">
        <f>IFERROR(__xludf.DUMMYFUNCTION("""COMPUTED_VALUE"""),111283.0)</f>
        <v>111283</v>
      </c>
      <c r="B1354" s="11">
        <f>IFERROR(__xludf.DUMMYFUNCTION("""COMPUTED_VALUE"""),1.0)</f>
        <v>1</v>
      </c>
      <c r="C1354" s="11">
        <f>IFERROR(__xludf.DUMMYFUNCTION("""COMPUTED_VALUE"""),510.0)</f>
        <v>510</v>
      </c>
      <c r="D1354" s="11">
        <f>IFERROR(__xludf.DUMMYFUNCTION("""COMPUTED_VALUE"""),379.0)</f>
        <v>379</v>
      </c>
      <c r="E1354" s="9"/>
    </row>
    <row r="1355">
      <c r="A1355" s="10">
        <f>IFERROR(__xludf.DUMMYFUNCTION("""COMPUTED_VALUE"""),87568.0)</f>
        <v>87568</v>
      </c>
      <c r="B1355" s="11">
        <f>IFERROR(__xludf.DUMMYFUNCTION("""COMPUTED_VALUE"""),0.0)</f>
        <v>0</v>
      </c>
      <c r="C1355" s="11">
        <f>IFERROR(__xludf.DUMMYFUNCTION("""COMPUTED_VALUE"""),7.0)</f>
        <v>7</v>
      </c>
      <c r="D1355" s="11">
        <f>IFERROR(__xludf.DUMMYFUNCTION("""COMPUTED_VALUE"""),7.0)</f>
        <v>7</v>
      </c>
      <c r="E1355" s="9"/>
    </row>
    <row r="1356">
      <c r="A1356" s="10">
        <f>IFERROR(__xludf.DUMMYFUNCTION("""COMPUTED_VALUE"""),78419.0)</f>
        <v>78419</v>
      </c>
      <c r="B1356" s="11">
        <f>IFERROR(__xludf.DUMMYFUNCTION("""COMPUTED_VALUE"""),0.0)</f>
        <v>0</v>
      </c>
      <c r="C1356" s="11">
        <f>IFERROR(__xludf.DUMMYFUNCTION("""COMPUTED_VALUE"""),694.0)</f>
        <v>694</v>
      </c>
      <c r="D1356" s="11">
        <f>IFERROR(__xludf.DUMMYFUNCTION("""COMPUTED_VALUE"""),490.0)</f>
        <v>490</v>
      </c>
      <c r="E1356" s="9"/>
    </row>
    <row r="1357">
      <c r="A1357" s="10">
        <f>IFERROR(__xludf.DUMMYFUNCTION("""COMPUTED_VALUE"""),106806.0)</f>
        <v>106806</v>
      </c>
      <c r="B1357" s="11">
        <f>IFERROR(__xludf.DUMMYFUNCTION("""COMPUTED_VALUE"""),1.0)</f>
        <v>1</v>
      </c>
      <c r="C1357" s="11">
        <f>IFERROR(__xludf.DUMMYFUNCTION("""COMPUTED_VALUE"""),171.0)</f>
        <v>171</v>
      </c>
      <c r="D1357" s="11">
        <f>IFERROR(__xludf.DUMMYFUNCTION("""COMPUTED_VALUE"""),170.0)</f>
        <v>170</v>
      </c>
      <c r="E1357" s="9"/>
    </row>
    <row r="1358">
      <c r="A1358" s="10">
        <f>IFERROR(__xludf.DUMMYFUNCTION("""COMPUTED_VALUE"""),78420.0)</f>
        <v>78420</v>
      </c>
      <c r="B1358" s="11">
        <f>IFERROR(__xludf.DUMMYFUNCTION("""COMPUTED_VALUE"""),1.0)</f>
        <v>1</v>
      </c>
      <c r="C1358" s="11">
        <f>IFERROR(__xludf.DUMMYFUNCTION("""COMPUTED_VALUE"""),476.0)</f>
        <v>476</v>
      </c>
      <c r="D1358" s="11">
        <f>IFERROR(__xludf.DUMMYFUNCTION("""COMPUTED_VALUE"""),445.0)</f>
        <v>445</v>
      </c>
      <c r="E1358" s="9"/>
    </row>
    <row r="1359">
      <c r="A1359" s="10">
        <f>IFERROR(__xludf.DUMMYFUNCTION("""COMPUTED_VALUE"""),78442.0)</f>
        <v>78442</v>
      </c>
      <c r="B1359" s="11">
        <f>IFERROR(__xludf.DUMMYFUNCTION("""COMPUTED_VALUE"""),1.0)</f>
        <v>1</v>
      </c>
      <c r="C1359" s="11">
        <f>IFERROR(__xludf.DUMMYFUNCTION("""COMPUTED_VALUE"""),719.0)</f>
        <v>719</v>
      </c>
      <c r="D1359" s="11">
        <f>IFERROR(__xludf.DUMMYFUNCTION("""COMPUTED_VALUE"""),525.0)</f>
        <v>525</v>
      </c>
      <c r="E1359" s="9"/>
    </row>
    <row r="1360">
      <c r="A1360" s="10">
        <f>IFERROR(__xludf.DUMMYFUNCTION("""COMPUTED_VALUE"""),78492.0)</f>
        <v>78492</v>
      </c>
      <c r="B1360" s="11">
        <f>IFERROR(__xludf.DUMMYFUNCTION("""COMPUTED_VALUE"""),1.0)</f>
        <v>1</v>
      </c>
      <c r="C1360" s="11">
        <f>IFERROR(__xludf.DUMMYFUNCTION("""COMPUTED_VALUE"""),168.0)</f>
        <v>168</v>
      </c>
      <c r="D1360" s="11">
        <f>IFERROR(__xludf.DUMMYFUNCTION("""COMPUTED_VALUE"""),20.0)</f>
        <v>20</v>
      </c>
      <c r="E1360" s="9"/>
    </row>
    <row r="1361">
      <c r="A1361" s="10">
        <f>IFERROR(__xludf.DUMMYFUNCTION("""COMPUTED_VALUE"""),80297.0)</f>
        <v>80297</v>
      </c>
      <c r="B1361" s="11">
        <f>IFERROR(__xludf.DUMMYFUNCTION("""COMPUTED_VALUE"""),0.0)</f>
        <v>0</v>
      </c>
      <c r="C1361" s="11">
        <f>IFERROR(__xludf.DUMMYFUNCTION("""COMPUTED_VALUE"""),755.0)</f>
        <v>755</v>
      </c>
      <c r="D1361" s="11">
        <f>IFERROR(__xludf.DUMMYFUNCTION("""COMPUTED_VALUE"""),623.0)</f>
        <v>623</v>
      </c>
      <c r="E1361" s="9"/>
    </row>
    <row r="1362">
      <c r="A1362" s="10">
        <f>IFERROR(__xludf.DUMMYFUNCTION("""COMPUTED_VALUE"""),44712.0)</f>
        <v>44712</v>
      </c>
      <c r="B1362" s="11">
        <f>IFERROR(__xludf.DUMMYFUNCTION("""COMPUTED_VALUE"""),1.0)</f>
        <v>1</v>
      </c>
      <c r="C1362" s="11">
        <f>IFERROR(__xludf.DUMMYFUNCTION("""COMPUTED_VALUE"""),557.0)</f>
        <v>557</v>
      </c>
      <c r="D1362" s="11">
        <f>IFERROR(__xludf.DUMMYFUNCTION("""COMPUTED_VALUE"""),150.0)</f>
        <v>150</v>
      </c>
      <c r="E1362" s="9"/>
    </row>
    <row r="1363">
      <c r="A1363" s="10">
        <f>IFERROR(__xludf.DUMMYFUNCTION("""COMPUTED_VALUE"""),89736.0)</f>
        <v>89736</v>
      </c>
      <c r="B1363" s="11">
        <f>IFERROR(__xludf.DUMMYFUNCTION("""COMPUTED_VALUE"""),0.0)</f>
        <v>0</v>
      </c>
      <c r="C1363" s="11">
        <f>IFERROR(__xludf.DUMMYFUNCTION("""COMPUTED_VALUE"""),913.0)</f>
        <v>913</v>
      </c>
      <c r="D1363" s="11">
        <f>IFERROR(__xludf.DUMMYFUNCTION("""COMPUTED_VALUE"""),74.0)</f>
        <v>74</v>
      </c>
      <c r="E1363" s="9"/>
    </row>
    <row r="1364">
      <c r="A1364" s="10">
        <f>IFERROR(__xludf.DUMMYFUNCTION("""COMPUTED_VALUE"""),83270.0)</f>
        <v>83270</v>
      </c>
      <c r="B1364" s="11">
        <f>IFERROR(__xludf.DUMMYFUNCTION("""COMPUTED_VALUE"""),1.0)</f>
        <v>1</v>
      </c>
      <c r="C1364" s="11">
        <f>IFERROR(__xludf.DUMMYFUNCTION("""COMPUTED_VALUE"""),191.0)</f>
        <v>191</v>
      </c>
      <c r="D1364" s="11">
        <f>IFERROR(__xludf.DUMMYFUNCTION("""COMPUTED_VALUE"""),19.0)</f>
        <v>19</v>
      </c>
      <c r="E1364" s="9"/>
    </row>
    <row r="1365">
      <c r="A1365" s="10">
        <f>IFERROR(__xludf.DUMMYFUNCTION("""COMPUTED_VALUE"""),101588.0)</f>
        <v>101588</v>
      </c>
      <c r="B1365" s="11">
        <f>IFERROR(__xludf.DUMMYFUNCTION("""COMPUTED_VALUE"""),0.0)</f>
        <v>0</v>
      </c>
      <c r="C1365" s="11">
        <f>IFERROR(__xludf.DUMMYFUNCTION("""COMPUTED_VALUE"""),613.0)</f>
        <v>613</v>
      </c>
      <c r="D1365" s="11">
        <f>IFERROR(__xludf.DUMMYFUNCTION("""COMPUTED_VALUE"""),599.0)</f>
        <v>599</v>
      </c>
      <c r="E1365" s="9"/>
    </row>
    <row r="1366">
      <c r="A1366" s="10">
        <f>IFERROR(__xludf.DUMMYFUNCTION("""COMPUTED_VALUE"""),104171.0)</f>
        <v>104171</v>
      </c>
      <c r="B1366" s="11">
        <f>IFERROR(__xludf.DUMMYFUNCTION("""COMPUTED_VALUE"""),1.0)</f>
        <v>1</v>
      </c>
      <c r="C1366" s="11">
        <f>IFERROR(__xludf.DUMMYFUNCTION("""COMPUTED_VALUE"""),531.0)</f>
        <v>531</v>
      </c>
      <c r="D1366" s="11">
        <f>IFERROR(__xludf.DUMMYFUNCTION("""COMPUTED_VALUE"""),527.0)</f>
        <v>527</v>
      </c>
      <c r="E1366" s="9"/>
    </row>
    <row r="1367">
      <c r="A1367" s="10">
        <f>IFERROR(__xludf.DUMMYFUNCTION("""COMPUTED_VALUE"""),101042.0)</f>
        <v>101042</v>
      </c>
      <c r="B1367" s="11">
        <f>IFERROR(__xludf.DUMMYFUNCTION("""COMPUTED_VALUE"""),1.0)</f>
        <v>1</v>
      </c>
      <c r="C1367" s="11">
        <f>IFERROR(__xludf.DUMMYFUNCTION("""COMPUTED_VALUE"""),834.0)</f>
        <v>834</v>
      </c>
      <c r="D1367" s="11">
        <f>IFERROR(__xludf.DUMMYFUNCTION("""COMPUTED_VALUE"""),249.0)</f>
        <v>249</v>
      </c>
      <c r="E1367" s="9"/>
    </row>
    <row r="1368">
      <c r="A1368" s="10">
        <f>IFERROR(__xludf.DUMMYFUNCTION("""COMPUTED_VALUE"""),108881.0)</f>
        <v>108881</v>
      </c>
      <c r="B1368" s="11">
        <f>IFERROR(__xludf.DUMMYFUNCTION("""COMPUTED_VALUE"""),1.0)</f>
        <v>1</v>
      </c>
      <c r="C1368" s="11">
        <f>IFERROR(__xludf.DUMMYFUNCTION("""COMPUTED_VALUE"""),504.0)</f>
        <v>504</v>
      </c>
      <c r="D1368" s="11">
        <f>IFERROR(__xludf.DUMMYFUNCTION("""COMPUTED_VALUE"""),290.0)</f>
        <v>290</v>
      </c>
      <c r="E1368" s="9"/>
    </row>
    <row r="1369">
      <c r="A1369" s="10">
        <f>IFERROR(__xludf.DUMMYFUNCTION("""COMPUTED_VALUE"""),87571.0)</f>
        <v>87571</v>
      </c>
      <c r="B1369" s="11">
        <f>IFERROR(__xludf.DUMMYFUNCTION("""COMPUTED_VALUE"""),0.0)</f>
        <v>0</v>
      </c>
      <c r="C1369" s="11">
        <f>IFERROR(__xludf.DUMMYFUNCTION("""COMPUTED_VALUE"""),77.0)</f>
        <v>77</v>
      </c>
      <c r="D1369" s="11">
        <f>IFERROR(__xludf.DUMMYFUNCTION("""COMPUTED_VALUE"""),34.0)</f>
        <v>34</v>
      </c>
      <c r="E1369" s="9"/>
    </row>
    <row r="1370">
      <c r="A1370" s="10">
        <f>IFERROR(__xludf.DUMMYFUNCTION("""COMPUTED_VALUE"""),44718.0)</f>
        <v>44718</v>
      </c>
      <c r="B1370" s="11">
        <f>IFERROR(__xludf.DUMMYFUNCTION("""COMPUTED_VALUE"""),1.0)</f>
        <v>1</v>
      </c>
      <c r="C1370" s="11">
        <f>IFERROR(__xludf.DUMMYFUNCTION("""COMPUTED_VALUE"""),570.0)</f>
        <v>570</v>
      </c>
      <c r="D1370" s="11">
        <f>IFERROR(__xludf.DUMMYFUNCTION("""COMPUTED_VALUE"""),315.0)</f>
        <v>315</v>
      </c>
      <c r="E1370" s="9"/>
    </row>
    <row r="1371">
      <c r="A1371" s="10">
        <f>IFERROR(__xludf.DUMMYFUNCTION("""COMPUTED_VALUE"""),44735.0)</f>
        <v>44735</v>
      </c>
      <c r="B1371" s="11">
        <f>IFERROR(__xludf.DUMMYFUNCTION("""COMPUTED_VALUE"""),0.0)</f>
        <v>0</v>
      </c>
      <c r="C1371" s="11">
        <f>IFERROR(__xludf.DUMMYFUNCTION("""COMPUTED_VALUE"""),37.0)</f>
        <v>37</v>
      </c>
      <c r="D1371" s="11">
        <f>IFERROR(__xludf.DUMMYFUNCTION("""COMPUTED_VALUE"""),34.0)</f>
        <v>34</v>
      </c>
      <c r="E1371" s="9"/>
    </row>
    <row r="1372">
      <c r="A1372" s="10">
        <f>IFERROR(__xludf.DUMMYFUNCTION("""COMPUTED_VALUE"""),21035.0)</f>
        <v>21035</v>
      </c>
      <c r="B1372" s="11">
        <f>IFERROR(__xludf.DUMMYFUNCTION("""COMPUTED_VALUE"""),1.0)</f>
        <v>1</v>
      </c>
      <c r="C1372" s="11">
        <f>IFERROR(__xludf.DUMMYFUNCTION("""COMPUTED_VALUE"""),897.0)</f>
        <v>897</v>
      </c>
      <c r="D1372" s="11">
        <f>IFERROR(__xludf.DUMMYFUNCTION("""COMPUTED_VALUE"""),618.0)</f>
        <v>618</v>
      </c>
      <c r="E1372" s="9"/>
    </row>
    <row r="1373">
      <c r="A1373" s="10">
        <f>IFERROR(__xludf.DUMMYFUNCTION("""COMPUTED_VALUE"""),30308.0)</f>
        <v>30308</v>
      </c>
      <c r="B1373" s="11">
        <f>IFERROR(__xludf.DUMMYFUNCTION("""COMPUTED_VALUE"""),0.0)</f>
        <v>0</v>
      </c>
      <c r="C1373" s="11">
        <f>IFERROR(__xludf.DUMMYFUNCTION("""COMPUTED_VALUE"""),412.0)</f>
        <v>412</v>
      </c>
      <c r="D1373" s="11">
        <f>IFERROR(__xludf.DUMMYFUNCTION("""COMPUTED_VALUE"""),160.0)</f>
        <v>160</v>
      </c>
      <c r="E1373" s="9"/>
    </row>
    <row r="1374">
      <c r="A1374" s="10">
        <f>IFERROR(__xludf.DUMMYFUNCTION("""COMPUTED_VALUE"""),44694.0)</f>
        <v>44694</v>
      </c>
      <c r="B1374" s="11">
        <f>IFERROR(__xludf.DUMMYFUNCTION("""COMPUTED_VALUE"""),1.0)</f>
        <v>1</v>
      </c>
      <c r="C1374" s="11">
        <f>IFERROR(__xludf.DUMMYFUNCTION("""COMPUTED_VALUE"""),296.0)</f>
        <v>296</v>
      </c>
      <c r="D1374" s="11">
        <f>IFERROR(__xludf.DUMMYFUNCTION("""COMPUTED_VALUE"""),215.0)</f>
        <v>215</v>
      </c>
      <c r="E1374" s="9"/>
    </row>
    <row r="1375">
      <c r="A1375" s="10">
        <f>IFERROR(__xludf.DUMMYFUNCTION("""COMPUTED_VALUE"""),78493.0)</f>
        <v>78493</v>
      </c>
      <c r="B1375" s="11">
        <f>IFERROR(__xludf.DUMMYFUNCTION("""COMPUTED_VALUE"""),0.0)</f>
        <v>0</v>
      </c>
      <c r="C1375" s="11">
        <f>IFERROR(__xludf.DUMMYFUNCTION("""COMPUTED_VALUE"""),312.0)</f>
        <v>312</v>
      </c>
      <c r="D1375" s="11">
        <f>IFERROR(__xludf.DUMMYFUNCTION("""COMPUTED_VALUE"""),91.0)</f>
        <v>91</v>
      </c>
      <c r="E1375" s="9"/>
    </row>
    <row r="1376">
      <c r="A1376" s="10">
        <f>IFERROR(__xludf.DUMMYFUNCTION("""COMPUTED_VALUE"""),78409.0)</f>
        <v>78409</v>
      </c>
      <c r="B1376" s="11">
        <f>IFERROR(__xludf.DUMMYFUNCTION("""COMPUTED_VALUE"""),0.0)</f>
        <v>0</v>
      </c>
      <c r="C1376" s="11">
        <f>IFERROR(__xludf.DUMMYFUNCTION("""COMPUTED_VALUE"""),137.0)</f>
        <v>137</v>
      </c>
      <c r="D1376" s="11">
        <f>IFERROR(__xludf.DUMMYFUNCTION("""COMPUTED_VALUE"""),40.0)</f>
        <v>40</v>
      </c>
      <c r="E1376" s="9"/>
    </row>
    <row r="1377">
      <c r="A1377" s="10">
        <f>IFERROR(__xludf.DUMMYFUNCTION("""COMPUTED_VALUE"""),86844.0)</f>
        <v>86844</v>
      </c>
      <c r="B1377" s="11">
        <f>IFERROR(__xludf.DUMMYFUNCTION("""COMPUTED_VALUE"""),1.0)</f>
        <v>1</v>
      </c>
      <c r="C1377" s="11">
        <f>IFERROR(__xludf.DUMMYFUNCTION("""COMPUTED_VALUE"""),233.0)</f>
        <v>233</v>
      </c>
      <c r="D1377" s="11">
        <f>IFERROR(__xludf.DUMMYFUNCTION("""COMPUTED_VALUE"""),164.0)</f>
        <v>164</v>
      </c>
      <c r="E1377" s="9"/>
    </row>
    <row r="1378">
      <c r="A1378" s="10">
        <f>IFERROR(__xludf.DUMMYFUNCTION("""COMPUTED_VALUE"""),86771.0)</f>
        <v>86771</v>
      </c>
      <c r="B1378" s="11">
        <f>IFERROR(__xludf.DUMMYFUNCTION("""COMPUTED_VALUE"""),0.0)</f>
        <v>0</v>
      </c>
      <c r="C1378" s="11">
        <f>IFERROR(__xludf.DUMMYFUNCTION("""COMPUTED_VALUE"""),162.0)</f>
        <v>162</v>
      </c>
      <c r="D1378" s="11">
        <f>IFERROR(__xludf.DUMMYFUNCTION("""COMPUTED_VALUE"""),101.0)</f>
        <v>101</v>
      </c>
      <c r="E1378" s="9"/>
    </row>
    <row r="1379">
      <c r="A1379" s="10">
        <f>IFERROR(__xludf.DUMMYFUNCTION("""COMPUTED_VALUE"""),78511.0)</f>
        <v>78511</v>
      </c>
      <c r="B1379" s="11">
        <f>IFERROR(__xludf.DUMMYFUNCTION("""COMPUTED_VALUE"""),0.0)</f>
        <v>0</v>
      </c>
      <c r="C1379" s="11">
        <f>IFERROR(__xludf.DUMMYFUNCTION("""COMPUTED_VALUE"""),560.0)</f>
        <v>560</v>
      </c>
      <c r="D1379" s="11">
        <f>IFERROR(__xludf.DUMMYFUNCTION("""COMPUTED_VALUE"""),284.0)</f>
        <v>284</v>
      </c>
      <c r="E1379" s="9"/>
    </row>
    <row r="1380">
      <c r="A1380" s="10">
        <f>IFERROR(__xludf.DUMMYFUNCTION("""COMPUTED_VALUE"""),83267.0)</f>
        <v>83267</v>
      </c>
      <c r="B1380" s="11">
        <f>IFERROR(__xludf.DUMMYFUNCTION("""COMPUTED_VALUE"""),0.0)</f>
        <v>0</v>
      </c>
      <c r="C1380" s="11">
        <f>IFERROR(__xludf.DUMMYFUNCTION("""COMPUTED_VALUE"""),300.0)</f>
        <v>300</v>
      </c>
      <c r="D1380" s="11">
        <f>IFERROR(__xludf.DUMMYFUNCTION("""COMPUTED_VALUE"""),41.0)</f>
        <v>41</v>
      </c>
      <c r="E1380" s="9"/>
    </row>
    <row r="1381">
      <c r="A1381" s="10">
        <f>IFERROR(__xludf.DUMMYFUNCTION("""COMPUTED_VALUE"""),78490.0)</f>
        <v>78490</v>
      </c>
      <c r="B1381" s="11">
        <f>IFERROR(__xludf.DUMMYFUNCTION("""COMPUTED_VALUE"""),1.0)</f>
        <v>1</v>
      </c>
      <c r="C1381" s="11">
        <f>IFERROR(__xludf.DUMMYFUNCTION("""COMPUTED_VALUE"""),634.0)</f>
        <v>634</v>
      </c>
      <c r="D1381" s="11">
        <f>IFERROR(__xludf.DUMMYFUNCTION("""COMPUTED_VALUE"""),176.0)</f>
        <v>176</v>
      </c>
      <c r="E1381" s="9"/>
    </row>
    <row r="1382">
      <c r="A1382" s="10">
        <f>IFERROR(__xludf.DUMMYFUNCTION("""COMPUTED_VALUE"""),73175.0)</f>
        <v>73175</v>
      </c>
      <c r="B1382" s="11">
        <f>IFERROR(__xludf.DUMMYFUNCTION("""COMPUTED_VALUE"""),0.0)</f>
        <v>0</v>
      </c>
      <c r="C1382" s="11">
        <f>IFERROR(__xludf.DUMMYFUNCTION("""COMPUTED_VALUE"""),545.0)</f>
        <v>545</v>
      </c>
      <c r="D1382" s="11">
        <f>IFERROR(__xludf.DUMMYFUNCTION("""COMPUTED_VALUE"""),442.0)</f>
        <v>442</v>
      </c>
      <c r="E1382" s="9"/>
    </row>
    <row r="1383">
      <c r="A1383" s="10">
        <f>IFERROR(__xludf.DUMMYFUNCTION("""COMPUTED_VALUE"""),44730.0)</f>
        <v>44730</v>
      </c>
      <c r="B1383" s="11">
        <f>IFERROR(__xludf.DUMMYFUNCTION("""COMPUTED_VALUE"""),1.0)</f>
        <v>1</v>
      </c>
      <c r="C1383" s="11">
        <f>IFERROR(__xludf.DUMMYFUNCTION("""COMPUTED_VALUE"""),354.0)</f>
        <v>354</v>
      </c>
      <c r="D1383" s="11">
        <f>IFERROR(__xludf.DUMMYFUNCTION("""COMPUTED_VALUE"""),161.0)</f>
        <v>161</v>
      </c>
      <c r="E1383" s="9"/>
    </row>
    <row r="1384">
      <c r="A1384" s="10">
        <f>IFERROR(__xludf.DUMMYFUNCTION("""COMPUTED_VALUE"""),10535.0)</f>
        <v>10535</v>
      </c>
      <c r="B1384" s="11">
        <f>IFERROR(__xludf.DUMMYFUNCTION("""COMPUTED_VALUE"""),0.0)</f>
        <v>0</v>
      </c>
      <c r="C1384" s="11">
        <f>IFERROR(__xludf.DUMMYFUNCTION("""COMPUTED_VALUE"""),796.0)</f>
        <v>796</v>
      </c>
      <c r="D1384" s="11">
        <f>IFERROR(__xludf.DUMMYFUNCTION("""COMPUTED_VALUE"""),118.0)</f>
        <v>118</v>
      </c>
      <c r="E1384" s="9"/>
    </row>
    <row r="1385">
      <c r="A1385" s="10">
        <f>IFERROR(__xludf.DUMMYFUNCTION("""COMPUTED_VALUE"""),80299.0)</f>
        <v>80299</v>
      </c>
      <c r="B1385" s="11">
        <f>IFERROR(__xludf.DUMMYFUNCTION("""COMPUTED_VALUE"""),0.0)</f>
        <v>0</v>
      </c>
      <c r="C1385" s="11">
        <f>IFERROR(__xludf.DUMMYFUNCTION("""COMPUTED_VALUE"""),639.0)</f>
        <v>639</v>
      </c>
      <c r="D1385" s="11">
        <f>IFERROR(__xludf.DUMMYFUNCTION("""COMPUTED_VALUE"""),434.0)</f>
        <v>434</v>
      </c>
      <c r="E1385" s="9"/>
    </row>
    <row r="1386">
      <c r="A1386" s="10">
        <f>IFERROR(__xludf.DUMMYFUNCTION("""COMPUTED_VALUE"""),121350.0)</f>
        <v>121350</v>
      </c>
      <c r="B1386" s="11">
        <f>IFERROR(__xludf.DUMMYFUNCTION("""COMPUTED_VALUE"""),1.0)</f>
        <v>1</v>
      </c>
      <c r="C1386" s="11">
        <f>IFERROR(__xludf.DUMMYFUNCTION("""COMPUTED_VALUE"""),235.0)</f>
        <v>235</v>
      </c>
      <c r="D1386" s="11">
        <f>IFERROR(__xludf.DUMMYFUNCTION("""COMPUTED_VALUE"""),100.0)</f>
        <v>100</v>
      </c>
      <c r="E1386" s="9"/>
    </row>
    <row r="1387">
      <c r="A1387" s="10">
        <f>IFERROR(__xludf.DUMMYFUNCTION("""COMPUTED_VALUE"""),79958.0)</f>
        <v>79958</v>
      </c>
      <c r="B1387" s="11">
        <f>IFERROR(__xludf.DUMMYFUNCTION("""COMPUTED_VALUE"""),1.0)</f>
        <v>1</v>
      </c>
      <c r="C1387" s="11">
        <f>IFERROR(__xludf.DUMMYFUNCTION("""COMPUTED_VALUE"""),49.0)</f>
        <v>49</v>
      </c>
      <c r="D1387" s="11">
        <f>IFERROR(__xludf.DUMMYFUNCTION("""COMPUTED_VALUE"""),33.0)</f>
        <v>33</v>
      </c>
      <c r="E1387" s="9"/>
    </row>
    <row r="1388">
      <c r="A1388" s="10">
        <f>IFERROR(__xludf.DUMMYFUNCTION("""COMPUTED_VALUE"""),95074.0)</f>
        <v>95074</v>
      </c>
      <c r="B1388" s="11">
        <f>IFERROR(__xludf.DUMMYFUNCTION("""COMPUTED_VALUE"""),0.0)</f>
        <v>0</v>
      </c>
      <c r="C1388" s="11">
        <f>IFERROR(__xludf.DUMMYFUNCTION("""COMPUTED_VALUE"""),794.0)</f>
        <v>794</v>
      </c>
      <c r="D1388" s="11">
        <f>IFERROR(__xludf.DUMMYFUNCTION("""COMPUTED_VALUE"""),330.0)</f>
        <v>330</v>
      </c>
      <c r="E1388" s="9"/>
    </row>
    <row r="1389">
      <c r="A1389" s="10">
        <f>IFERROR(__xludf.DUMMYFUNCTION("""COMPUTED_VALUE"""),87574.0)</f>
        <v>87574</v>
      </c>
      <c r="B1389" s="11">
        <f>IFERROR(__xludf.DUMMYFUNCTION("""COMPUTED_VALUE"""),1.0)</f>
        <v>1</v>
      </c>
      <c r="C1389" s="11">
        <f>IFERROR(__xludf.DUMMYFUNCTION("""COMPUTED_VALUE"""),361.0)</f>
        <v>361</v>
      </c>
      <c r="D1389" s="11">
        <f>IFERROR(__xludf.DUMMYFUNCTION("""COMPUTED_VALUE"""),252.0)</f>
        <v>252</v>
      </c>
      <c r="E1389" s="9"/>
    </row>
    <row r="1390">
      <c r="A1390" s="10">
        <f>IFERROR(__xludf.DUMMYFUNCTION("""COMPUTED_VALUE"""),77769.0)</f>
        <v>77769</v>
      </c>
      <c r="B1390" s="11">
        <f>IFERROR(__xludf.DUMMYFUNCTION("""COMPUTED_VALUE"""),0.0)</f>
        <v>0</v>
      </c>
      <c r="C1390" s="11">
        <f>IFERROR(__xludf.DUMMYFUNCTION("""COMPUTED_VALUE"""),904.0)</f>
        <v>904</v>
      </c>
      <c r="D1390" s="11">
        <f>IFERROR(__xludf.DUMMYFUNCTION("""COMPUTED_VALUE"""),423.0)</f>
        <v>423</v>
      </c>
      <c r="E1390" s="9"/>
    </row>
    <row r="1391">
      <c r="A1391" s="10">
        <f>IFERROR(__xludf.DUMMYFUNCTION("""COMPUTED_VALUE"""),141889.0)</f>
        <v>141889</v>
      </c>
      <c r="B1391" s="11">
        <f>IFERROR(__xludf.DUMMYFUNCTION("""COMPUTED_VALUE"""),0.0)</f>
        <v>0</v>
      </c>
      <c r="C1391" s="11">
        <f>IFERROR(__xludf.DUMMYFUNCTION("""COMPUTED_VALUE"""),459.0)</f>
        <v>459</v>
      </c>
      <c r="D1391" s="11">
        <f>IFERROR(__xludf.DUMMYFUNCTION("""COMPUTED_VALUE"""),445.0)</f>
        <v>445</v>
      </c>
      <c r="E1391" s="9"/>
    </row>
    <row r="1392">
      <c r="A1392" s="10">
        <f>IFERROR(__xludf.DUMMYFUNCTION("""COMPUTED_VALUE"""),83269.0)</f>
        <v>83269</v>
      </c>
      <c r="B1392" s="11">
        <f>IFERROR(__xludf.DUMMYFUNCTION("""COMPUTED_VALUE"""),1.0)</f>
        <v>1</v>
      </c>
      <c r="C1392" s="11">
        <f>IFERROR(__xludf.DUMMYFUNCTION("""COMPUTED_VALUE"""),525.0)</f>
        <v>525</v>
      </c>
      <c r="D1392" s="11">
        <f>IFERROR(__xludf.DUMMYFUNCTION("""COMPUTED_VALUE"""),384.0)</f>
        <v>384</v>
      </c>
      <c r="E1392" s="9"/>
    </row>
    <row r="1393">
      <c r="A1393" s="10">
        <f>IFERROR(__xludf.DUMMYFUNCTION("""COMPUTED_VALUE"""),89647.0)</f>
        <v>89647</v>
      </c>
      <c r="B1393" s="11">
        <f>IFERROR(__xludf.DUMMYFUNCTION("""COMPUTED_VALUE"""),0.0)</f>
        <v>0</v>
      </c>
      <c r="C1393" s="11">
        <f>IFERROR(__xludf.DUMMYFUNCTION("""COMPUTED_VALUE"""),531.0)</f>
        <v>531</v>
      </c>
      <c r="D1393" s="11">
        <f>IFERROR(__xludf.DUMMYFUNCTION("""COMPUTED_VALUE"""),196.0)</f>
        <v>196</v>
      </c>
      <c r="E1393" s="9"/>
    </row>
    <row r="1394">
      <c r="A1394" s="10">
        <f>IFERROR(__xludf.DUMMYFUNCTION("""COMPUTED_VALUE"""),77256.0)</f>
        <v>77256</v>
      </c>
      <c r="B1394" s="11">
        <f>IFERROR(__xludf.DUMMYFUNCTION("""COMPUTED_VALUE"""),0.0)</f>
        <v>0</v>
      </c>
      <c r="C1394" s="11">
        <f>IFERROR(__xludf.DUMMYFUNCTION("""COMPUTED_VALUE"""),309.0)</f>
        <v>309</v>
      </c>
      <c r="D1394" s="11">
        <f>IFERROR(__xludf.DUMMYFUNCTION("""COMPUTED_VALUE"""),237.0)</f>
        <v>237</v>
      </c>
      <c r="E1394" s="9"/>
    </row>
    <row r="1395">
      <c r="A1395" s="10">
        <f>IFERROR(__xludf.DUMMYFUNCTION("""COMPUTED_VALUE"""),86840.0)</f>
        <v>86840</v>
      </c>
      <c r="B1395" s="11">
        <f>IFERROR(__xludf.DUMMYFUNCTION("""COMPUTED_VALUE"""),0.0)</f>
        <v>0</v>
      </c>
      <c r="C1395" s="11">
        <f>IFERROR(__xludf.DUMMYFUNCTION("""COMPUTED_VALUE"""),623.0)</f>
        <v>623</v>
      </c>
      <c r="D1395" s="11">
        <f>IFERROR(__xludf.DUMMYFUNCTION("""COMPUTED_VALUE"""),96.0)</f>
        <v>96</v>
      </c>
      <c r="E1395" s="9"/>
    </row>
    <row r="1396">
      <c r="A1396" s="10">
        <f>IFERROR(__xludf.DUMMYFUNCTION("""COMPUTED_VALUE"""),30306.0)</f>
        <v>30306</v>
      </c>
      <c r="B1396" s="11">
        <f>IFERROR(__xludf.DUMMYFUNCTION("""COMPUTED_VALUE"""),1.0)</f>
        <v>1</v>
      </c>
      <c r="C1396" s="11">
        <f>IFERROR(__xludf.DUMMYFUNCTION("""COMPUTED_VALUE"""),188.0)</f>
        <v>188</v>
      </c>
      <c r="D1396" s="11">
        <f>IFERROR(__xludf.DUMMYFUNCTION("""COMPUTED_VALUE"""),138.0)</f>
        <v>138</v>
      </c>
      <c r="E1396" s="9"/>
    </row>
    <row r="1397">
      <c r="A1397" s="10">
        <f>IFERROR(__xludf.DUMMYFUNCTION("""COMPUTED_VALUE"""),76427.0)</f>
        <v>76427</v>
      </c>
      <c r="B1397" s="11">
        <f>IFERROR(__xludf.DUMMYFUNCTION("""COMPUTED_VALUE"""),1.0)</f>
        <v>1</v>
      </c>
      <c r="C1397" s="11">
        <f>IFERROR(__xludf.DUMMYFUNCTION("""COMPUTED_VALUE"""),82.0)</f>
        <v>82</v>
      </c>
      <c r="D1397" s="11">
        <f>IFERROR(__xludf.DUMMYFUNCTION("""COMPUTED_VALUE"""),4.0)</f>
        <v>4</v>
      </c>
      <c r="E1397" s="9"/>
    </row>
    <row r="1398">
      <c r="A1398" s="10">
        <f>IFERROR(__xludf.DUMMYFUNCTION("""COMPUTED_VALUE"""),44706.0)</f>
        <v>44706</v>
      </c>
      <c r="B1398" s="11">
        <f>IFERROR(__xludf.DUMMYFUNCTION("""COMPUTED_VALUE"""),1.0)</f>
        <v>1</v>
      </c>
      <c r="C1398" s="11">
        <f>IFERROR(__xludf.DUMMYFUNCTION("""COMPUTED_VALUE"""),473.0)</f>
        <v>473</v>
      </c>
      <c r="D1398" s="11">
        <f>IFERROR(__xludf.DUMMYFUNCTION("""COMPUTED_VALUE"""),151.0)</f>
        <v>151</v>
      </c>
      <c r="E1398" s="9"/>
    </row>
    <row r="1399">
      <c r="A1399" s="10">
        <f>IFERROR(__xludf.DUMMYFUNCTION("""COMPUTED_VALUE"""),44701.0)</f>
        <v>44701</v>
      </c>
      <c r="B1399" s="11">
        <f>IFERROR(__xludf.DUMMYFUNCTION("""COMPUTED_VALUE"""),0.0)</f>
        <v>0</v>
      </c>
      <c r="C1399" s="11">
        <f>IFERROR(__xludf.DUMMYFUNCTION("""COMPUTED_VALUE"""),265.0)</f>
        <v>265</v>
      </c>
      <c r="D1399" s="11">
        <f>IFERROR(__xludf.DUMMYFUNCTION("""COMPUTED_VALUE"""),176.0)</f>
        <v>176</v>
      </c>
      <c r="E1399" s="9"/>
    </row>
    <row r="1400">
      <c r="A1400" s="10">
        <f>IFERROR(__xludf.DUMMYFUNCTION("""COMPUTED_VALUE"""),10537.0)</f>
        <v>10537</v>
      </c>
      <c r="B1400" s="11">
        <f>IFERROR(__xludf.DUMMYFUNCTION("""COMPUTED_VALUE"""),1.0)</f>
        <v>1</v>
      </c>
      <c r="C1400" s="11">
        <f>IFERROR(__xludf.DUMMYFUNCTION("""COMPUTED_VALUE"""),588.0)</f>
        <v>588</v>
      </c>
      <c r="D1400" s="11">
        <f>IFERROR(__xludf.DUMMYFUNCTION("""COMPUTED_VALUE"""),359.0)</f>
        <v>359</v>
      </c>
      <c r="E1400" s="9"/>
    </row>
    <row r="1401">
      <c r="A1401" s="10">
        <f>IFERROR(__xludf.DUMMYFUNCTION("""COMPUTED_VALUE"""),10523.0)</f>
        <v>10523</v>
      </c>
      <c r="B1401" s="11">
        <f>IFERROR(__xludf.DUMMYFUNCTION("""COMPUTED_VALUE"""),1.0)</f>
        <v>1</v>
      </c>
      <c r="C1401" s="11">
        <f>IFERROR(__xludf.DUMMYFUNCTION("""COMPUTED_VALUE"""),902.0)</f>
        <v>902</v>
      </c>
      <c r="D1401" s="11">
        <f>IFERROR(__xludf.DUMMYFUNCTION("""COMPUTED_VALUE"""),455.0)</f>
        <v>455</v>
      </c>
      <c r="E1401" s="9"/>
    </row>
    <row r="1402">
      <c r="A1402" s="10">
        <f>IFERROR(__xludf.DUMMYFUNCTION("""COMPUTED_VALUE"""),76664.0)</f>
        <v>76664</v>
      </c>
      <c r="B1402" s="11">
        <f>IFERROR(__xludf.DUMMYFUNCTION("""COMPUTED_VALUE"""),1.0)</f>
        <v>1</v>
      </c>
      <c r="C1402" s="11">
        <f>IFERROR(__xludf.DUMMYFUNCTION("""COMPUTED_VALUE"""),171.0)</f>
        <v>171</v>
      </c>
      <c r="D1402" s="11">
        <f>IFERROR(__xludf.DUMMYFUNCTION("""COMPUTED_VALUE"""),155.0)</f>
        <v>155</v>
      </c>
      <c r="E1402" s="9"/>
    </row>
    <row r="1403">
      <c r="A1403" s="10">
        <f>IFERROR(__xludf.DUMMYFUNCTION("""COMPUTED_VALUE"""),78472.0)</f>
        <v>78472</v>
      </c>
      <c r="B1403" s="11">
        <f>IFERROR(__xludf.DUMMYFUNCTION("""COMPUTED_VALUE"""),1.0)</f>
        <v>1</v>
      </c>
      <c r="C1403" s="11">
        <f>IFERROR(__xludf.DUMMYFUNCTION("""COMPUTED_VALUE"""),63.0)</f>
        <v>63</v>
      </c>
      <c r="D1403" s="11">
        <f>IFERROR(__xludf.DUMMYFUNCTION("""COMPUTED_VALUE"""),12.0)</f>
        <v>12</v>
      </c>
      <c r="E1403" s="9"/>
    </row>
    <row r="1404">
      <c r="A1404" s="10">
        <f>IFERROR(__xludf.DUMMYFUNCTION("""COMPUTED_VALUE"""),44721.0)</f>
        <v>44721</v>
      </c>
      <c r="B1404" s="11">
        <f>IFERROR(__xludf.DUMMYFUNCTION("""COMPUTED_VALUE"""),1.0)</f>
        <v>1</v>
      </c>
      <c r="C1404" s="11">
        <f>IFERROR(__xludf.DUMMYFUNCTION("""COMPUTED_VALUE"""),551.0)</f>
        <v>551</v>
      </c>
      <c r="D1404" s="11">
        <f>IFERROR(__xludf.DUMMYFUNCTION("""COMPUTED_VALUE"""),242.0)</f>
        <v>242</v>
      </c>
      <c r="E1404" s="9"/>
    </row>
    <row r="1405">
      <c r="A1405" s="10">
        <f>IFERROR(__xludf.DUMMYFUNCTION("""COMPUTED_VALUE"""),121576.0)</f>
        <v>121576</v>
      </c>
      <c r="B1405" s="11">
        <f>IFERROR(__xludf.DUMMYFUNCTION("""COMPUTED_VALUE"""),0.0)</f>
        <v>0</v>
      </c>
      <c r="C1405" s="11">
        <f>IFERROR(__xludf.DUMMYFUNCTION("""COMPUTED_VALUE"""),462.0)</f>
        <v>462</v>
      </c>
      <c r="D1405" s="11">
        <f>IFERROR(__xludf.DUMMYFUNCTION("""COMPUTED_VALUE"""),191.0)</f>
        <v>191</v>
      </c>
      <c r="E1405" s="9"/>
    </row>
    <row r="1406">
      <c r="A1406" s="10">
        <f>IFERROR(__xludf.DUMMYFUNCTION("""COMPUTED_VALUE"""),117208.0)</f>
        <v>117208</v>
      </c>
      <c r="B1406" s="11">
        <f>IFERROR(__xludf.DUMMYFUNCTION("""COMPUTED_VALUE"""),1.0)</f>
        <v>1</v>
      </c>
      <c r="C1406" s="11">
        <f>IFERROR(__xludf.DUMMYFUNCTION("""COMPUTED_VALUE"""),585.0)</f>
        <v>585</v>
      </c>
      <c r="D1406" s="11">
        <f>IFERROR(__xludf.DUMMYFUNCTION("""COMPUTED_VALUE"""),403.0)</f>
        <v>403</v>
      </c>
      <c r="E1406" s="9"/>
    </row>
    <row r="1407">
      <c r="A1407" s="10">
        <f>IFERROR(__xludf.DUMMYFUNCTION("""COMPUTED_VALUE"""),78497.0)</f>
        <v>78497</v>
      </c>
      <c r="B1407" s="11">
        <f>IFERROR(__xludf.DUMMYFUNCTION("""COMPUTED_VALUE"""),0.0)</f>
        <v>0</v>
      </c>
      <c r="C1407" s="11">
        <f>IFERROR(__xludf.DUMMYFUNCTION("""COMPUTED_VALUE"""),733.0)</f>
        <v>733</v>
      </c>
      <c r="D1407" s="11">
        <f>IFERROR(__xludf.DUMMYFUNCTION("""COMPUTED_VALUE"""),302.0)</f>
        <v>302</v>
      </c>
      <c r="E1407" s="9"/>
    </row>
    <row r="1408">
      <c r="A1408" s="10">
        <f>IFERROR(__xludf.DUMMYFUNCTION("""COMPUTED_VALUE"""),44726.0)</f>
        <v>44726</v>
      </c>
      <c r="B1408" s="11">
        <f>IFERROR(__xludf.DUMMYFUNCTION("""COMPUTED_VALUE"""),1.0)</f>
        <v>1</v>
      </c>
      <c r="C1408" s="11">
        <f>IFERROR(__xludf.DUMMYFUNCTION("""COMPUTED_VALUE"""),708.0)</f>
        <v>708</v>
      </c>
      <c r="D1408" s="11">
        <f>IFERROR(__xludf.DUMMYFUNCTION("""COMPUTED_VALUE"""),615.0)</f>
        <v>615</v>
      </c>
      <c r="E1408" s="9"/>
    </row>
    <row r="1409">
      <c r="A1409" s="10">
        <f>IFERROR(__xludf.DUMMYFUNCTION("""COMPUTED_VALUE"""),117210.0)</f>
        <v>117210</v>
      </c>
      <c r="B1409" s="11">
        <f>IFERROR(__xludf.DUMMYFUNCTION("""COMPUTED_VALUE"""),1.0)</f>
        <v>1</v>
      </c>
      <c r="C1409" s="11">
        <f>IFERROR(__xludf.DUMMYFUNCTION("""COMPUTED_VALUE"""),520.0)</f>
        <v>520</v>
      </c>
      <c r="D1409" s="11">
        <f>IFERROR(__xludf.DUMMYFUNCTION("""COMPUTED_VALUE"""),144.0)</f>
        <v>144</v>
      </c>
      <c r="E1409" s="9"/>
    </row>
    <row r="1410">
      <c r="A1410" s="10">
        <f>IFERROR(__xludf.DUMMYFUNCTION("""COMPUTED_VALUE"""),87082.0)</f>
        <v>87082</v>
      </c>
      <c r="B1410" s="11">
        <f>IFERROR(__xludf.DUMMYFUNCTION("""COMPUTED_VALUE"""),1.0)</f>
        <v>1</v>
      </c>
      <c r="C1410" s="11">
        <f>IFERROR(__xludf.DUMMYFUNCTION("""COMPUTED_VALUE"""),285.0)</f>
        <v>285</v>
      </c>
      <c r="D1410" s="11">
        <f>IFERROR(__xludf.DUMMYFUNCTION("""COMPUTED_VALUE"""),216.0)</f>
        <v>216</v>
      </c>
      <c r="E1410" s="9"/>
    </row>
    <row r="1411">
      <c r="A1411" s="10">
        <f>IFERROR(__xludf.DUMMYFUNCTION("""COMPUTED_VALUE"""),10529.0)</f>
        <v>10529</v>
      </c>
      <c r="B1411" s="11">
        <f>IFERROR(__xludf.DUMMYFUNCTION("""COMPUTED_VALUE"""),0.0)</f>
        <v>0</v>
      </c>
      <c r="C1411" s="11">
        <f>IFERROR(__xludf.DUMMYFUNCTION("""COMPUTED_VALUE"""),15.0)</f>
        <v>15</v>
      </c>
      <c r="D1411" s="11">
        <f>IFERROR(__xludf.DUMMYFUNCTION("""COMPUTED_VALUE"""),1.0)</f>
        <v>1</v>
      </c>
      <c r="E1411" s="9"/>
    </row>
    <row r="1412">
      <c r="A1412" s="10">
        <f>IFERROR(__xludf.DUMMYFUNCTION("""COMPUTED_VALUE"""),44705.0)</f>
        <v>44705</v>
      </c>
      <c r="B1412" s="11">
        <f>IFERROR(__xludf.DUMMYFUNCTION("""COMPUTED_VALUE"""),1.0)</f>
        <v>1</v>
      </c>
      <c r="C1412" s="11">
        <f>IFERROR(__xludf.DUMMYFUNCTION("""COMPUTED_VALUE"""),696.0)</f>
        <v>696</v>
      </c>
      <c r="D1412" s="11">
        <f>IFERROR(__xludf.DUMMYFUNCTION("""COMPUTED_VALUE"""),570.0)</f>
        <v>570</v>
      </c>
      <c r="E1412" s="9"/>
    </row>
    <row r="1413">
      <c r="A1413" s="10">
        <f>IFERROR(__xludf.DUMMYFUNCTION("""COMPUTED_VALUE"""),100564.0)</f>
        <v>100564</v>
      </c>
      <c r="B1413" s="11">
        <f>IFERROR(__xludf.DUMMYFUNCTION("""COMPUTED_VALUE"""),0.0)</f>
        <v>0</v>
      </c>
      <c r="C1413" s="11">
        <f>IFERROR(__xludf.DUMMYFUNCTION("""COMPUTED_VALUE"""),102.0)</f>
        <v>102</v>
      </c>
      <c r="D1413" s="11">
        <f>IFERROR(__xludf.DUMMYFUNCTION("""COMPUTED_VALUE"""),50.0)</f>
        <v>50</v>
      </c>
      <c r="E1413" s="9"/>
    </row>
    <row r="1414">
      <c r="A1414" s="10">
        <f>IFERROR(__xludf.DUMMYFUNCTION("""COMPUTED_VALUE"""),87193.0)</f>
        <v>87193</v>
      </c>
      <c r="B1414" s="11">
        <f>IFERROR(__xludf.DUMMYFUNCTION("""COMPUTED_VALUE"""),0.0)</f>
        <v>0</v>
      </c>
      <c r="C1414" s="11">
        <f>IFERROR(__xludf.DUMMYFUNCTION("""COMPUTED_VALUE"""),807.0)</f>
        <v>807</v>
      </c>
      <c r="D1414" s="11">
        <f>IFERROR(__xludf.DUMMYFUNCTION("""COMPUTED_VALUE"""),29.0)</f>
        <v>29</v>
      </c>
      <c r="E1414" s="9"/>
    </row>
    <row r="1415">
      <c r="A1415" s="10">
        <f>IFERROR(__xludf.DUMMYFUNCTION("""COMPUTED_VALUE"""),76044.0)</f>
        <v>76044</v>
      </c>
      <c r="B1415" s="11">
        <f>IFERROR(__xludf.DUMMYFUNCTION("""COMPUTED_VALUE"""),1.0)</f>
        <v>1</v>
      </c>
      <c r="C1415" s="11">
        <f>IFERROR(__xludf.DUMMYFUNCTION("""COMPUTED_VALUE"""),272.0)</f>
        <v>272</v>
      </c>
      <c r="D1415" s="11">
        <f>IFERROR(__xludf.DUMMYFUNCTION("""COMPUTED_VALUE"""),196.0)</f>
        <v>196</v>
      </c>
      <c r="E1415" s="9"/>
    </row>
    <row r="1416">
      <c r="A1416" s="10">
        <f>IFERROR(__xludf.DUMMYFUNCTION("""COMPUTED_VALUE"""),121578.0)</f>
        <v>121578</v>
      </c>
      <c r="B1416" s="11">
        <f>IFERROR(__xludf.DUMMYFUNCTION("""COMPUTED_VALUE"""),1.0)</f>
        <v>1</v>
      </c>
      <c r="C1416" s="11">
        <f>IFERROR(__xludf.DUMMYFUNCTION("""COMPUTED_VALUE"""),547.0)</f>
        <v>547</v>
      </c>
      <c r="D1416" s="11">
        <f>IFERROR(__xludf.DUMMYFUNCTION("""COMPUTED_VALUE"""),214.0)</f>
        <v>214</v>
      </c>
      <c r="E1416" s="9"/>
    </row>
    <row r="1417">
      <c r="A1417" s="10">
        <f>IFERROR(__xludf.DUMMYFUNCTION("""COMPUTED_VALUE"""),117206.0)</f>
        <v>117206</v>
      </c>
      <c r="B1417" s="11">
        <f>IFERROR(__xludf.DUMMYFUNCTION("""COMPUTED_VALUE"""),1.0)</f>
        <v>1</v>
      </c>
      <c r="C1417" s="11">
        <f>IFERROR(__xludf.DUMMYFUNCTION("""COMPUTED_VALUE"""),61.0)</f>
        <v>61</v>
      </c>
      <c r="D1417" s="11">
        <f>IFERROR(__xludf.DUMMYFUNCTION("""COMPUTED_VALUE"""),14.0)</f>
        <v>14</v>
      </c>
      <c r="E1417" s="9"/>
    </row>
    <row r="1418">
      <c r="A1418" s="10">
        <f>IFERROR(__xludf.DUMMYFUNCTION("""COMPUTED_VALUE"""),81519.0)</f>
        <v>81519</v>
      </c>
      <c r="B1418" s="11">
        <f>IFERROR(__xludf.DUMMYFUNCTION("""COMPUTED_VALUE"""),0.0)</f>
        <v>0</v>
      </c>
      <c r="C1418" s="11">
        <f>IFERROR(__xludf.DUMMYFUNCTION("""COMPUTED_VALUE"""),556.0)</f>
        <v>556</v>
      </c>
      <c r="D1418" s="11">
        <f>IFERROR(__xludf.DUMMYFUNCTION("""COMPUTED_VALUE"""),33.0)</f>
        <v>33</v>
      </c>
      <c r="E1418" s="9"/>
    </row>
    <row r="1419">
      <c r="A1419" s="10">
        <f>IFERROR(__xludf.DUMMYFUNCTION("""COMPUTED_VALUE"""),44724.0)</f>
        <v>44724</v>
      </c>
      <c r="B1419" s="11">
        <f>IFERROR(__xludf.DUMMYFUNCTION("""COMPUTED_VALUE"""),1.0)</f>
        <v>1</v>
      </c>
      <c r="C1419" s="11">
        <f>IFERROR(__xludf.DUMMYFUNCTION("""COMPUTED_VALUE"""),12.0)</f>
        <v>12</v>
      </c>
      <c r="D1419" s="11">
        <f>IFERROR(__xludf.DUMMYFUNCTION("""COMPUTED_VALUE"""),10.0)</f>
        <v>10</v>
      </c>
      <c r="E1419" s="9"/>
    </row>
    <row r="1420">
      <c r="A1420" s="10">
        <f>IFERROR(__xludf.DUMMYFUNCTION("""COMPUTED_VALUE"""),82114.0)</f>
        <v>82114</v>
      </c>
      <c r="B1420" s="11">
        <f>IFERROR(__xludf.DUMMYFUNCTION("""COMPUTED_VALUE"""),1.0)</f>
        <v>1</v>
      </c>
      <c r="C1420" s="11">
        <f>IFERROR(__xludf.DUMMYFUNCTION("""COMPUTED_VALUE"""),654.0)</f>
        <v>654</v>
      </c>
      <c r="D1420" s="11">
        <f>IFERROR(__xludf.DUMMYFUNCTION("""COMPUTED_VALUE"""),526.0)</f>
        <v>526</v>
      </c>
      <c r="E1420" s="9"/>
    </row>
    <row r="1421">
      <c r="A1421" s="10">
        <f>IFERROR(__xludf.DUMMYFUNCTION("""COMPUTED_VALUE"""),82115.0)</f>
        <v>82115</v>
      </c>
      <c r="B1421" s="11">
        <f>IFERROR(__xludf.DUMMYFUNCTION("""COMPUTED_VALUE"""),1.0)</f>
        <v>1</v>
      </c>
      <c r="C1421" s="11">
        <f>IFERROR(__xludf.DUMMYFUNCTION("""COMPUTED_VALUE"""),51.0)</f>
        <v>51</v>
      </c>
      <c r="D1421" s="11">
        <f>IFERROR(__xludf.DUMMYFUNCTION("""COMPUTED_VALUE"""),3.0)</f>
        <v>3</v>
      </c>
      <c r="E1421" s="9"/>
    </row>
    <row r="1422">
      <c r="A1422" s="10">
        <f>IFERROR(__xludf.DUMMYFUNCTION("""COMPUTED_VALUE"""),109307.0)</f>
        <v>109307</v>
      </c>
      <c r="B1422" s="11">
        <f>IFERROR(__xludf.DUMMYFUNCTION("""COMPUTED_VALUE"""),0.0)</f>
        <v>0</v>
      </c>
      <c r="C1422" s="11">
        <f>IFERROR(__xludf.DUMMYFUNCTION("""COMPUTED_VALUE"""),170.0)</f>
        <v>170</v>
      </c>
      <c r="D1422" s="11">
        <f>IFERROR(__xludf.DUMMYFUNCTION("""COMPUTED_VALUE"""),83.0)</f>
        <v>83</v>
      </c>
      <c r="E1422" s="9"/>
    </row>
    <row r="1423">
      <c r="A1423" s="10">
        <f>IFERROR(__xludf.DUMMYFUNCTION("""COMPUTED_VALUE"""),76046.0)</f>
        <v>76046</v>
      </c>
      <c r="B1423" s="11">
        <f>IFERROR(__xludf.DUMMYFUNCTION("""COMPUTED_VALUE"""),0.0)</f>
        <v>0</v>
      </c>
      <c r="C1423" s="11">
        <f>IFERROR(__xludf.DUMMYFUNCTION("""COMPUTED_VALUE"""),234.0)</f>
        <v>234</v>
      </c>
      <c r="D1423" s="11">
        <f>IFERROR(__xludf.DUMMYFUNCTION("""COMPUTED_VALUE"""),159.0)</f>
        <v>159</v>
      </c>
      <c r="E1423" s="9"/>
    </row>
    <row r="1424">
      <c r="A1424" s="10">
        <f>IFERROR(__xludf.DUMMYFUNCTION("""COMPUTED_VALUE"""),117187.0)</f>
        <v>117187</v>
      </c>
      <c r="B1424" s="11">
        <f>IFERROR(__xludf.DUMMYFUNCTION("""COMPUTED_VALUE"""),0.0)</f>
        <v>0</v>
      </c>
      <c r="C1424" s="11">
        <f>IFERROR(__xludf.DUMMYFUNCTION("""COMPUTED_VALUE"""),101.0)</f>
        <v>101</v>
      </c>
      <c r="D1424" s="11">
        <f>IFERROR(__xludf.DUMMYFUNCTION("""COMPUTED_VALUE"""),65.0)</f>
        <v>65</v>
      </c>
      <c r="E1424" s="9"/>
    </row>
    <row r="1425">
      <c r="A1425" s="10">
        <f>IFERROR(__xludf.DUMMYFUNCTION("""COMPUTED_VALUE"""),10538.0)</f>
        <v>10538</v>
      </c>
      <c r="B1425" s="11">
        <f>IFERROR(__xludf.DUMMYFUNCTION("""COMPUTED_VALUE"""),1.0)</f>
        <v>1</v>
      </c>
      <c r="C1425" s="11">
        <f>IFERROR(__xludf.DUMMYFUNCTION("""COMPUTED_VALUE"""),189.0)</f>
        <v>189</v>
      </c>
      <c r="D1425" s="11">
        <f>IFERROR(__xludf.DUMMYFUNCTION("""COMPUTED_VALUE"""),168.0)</f>
        <v>168</v>
      </c>
      <c r="E1425" s="9"/>
    </row>
    <row r="1426">
      <c r="A1426" s="10">
        <f>IFERROR(__xludf.DUMMYFUNCTION("""COMPUTED_VALUE"""),78508.0)</f>
        <v>78508</v>
      </c>
      <c r="B1426" s="11">
        <f>IFERROR(__xludf.DUMMYFUNCTION("""COMPUTED_VALUE"""),1.0)</f>
        <v>1</v>
      </c>
      <c r="C1426" s="11">
        <f>IFERROR(__xludf.DUMMYFUNCTION("""COMPUTED_VALUE"""),217.0)</f>
        <v>217</v>
      </c>
      <c r="D1426" s="11">
        <f>IFERROR(__xludf.DUMMYFUNCTION("""COMPUTED_VALUE"""),2.0)</f>
        <v>2</v>
      </c>
      <c r="E1426" s="9"/>
    </row>
    <row r="1427">
      <c r="A1427" s="10">
        <f>IFERROR(__xludf.DUMMYFUNCTION("""COMPUTED_VALUE"""),44723.0)</f>
        <v>44723</v>
      </c>
      <c r="B1427" s="11">
        <f>IFERROR(__xludf.DUMMYFUNCTION("""COMPUTED_VALUE"""),0.0)</f>
        <v>0</v>
      </c>
      <c r="C1427" s="11">
        <f>IFERROR(__xludf.DUMMYFUNCTION("""COMPUTED_VALUE"""),229.0)</f>
        <v>229</v>
      </c>
      <c r="D1427" s="11">
        <f>IFERROR(__xludf.DUMMYFUNCTION("""COMPUTED_VALUE"""),47.0)</f>
        <v>47</v>
      </c>
      <c r="E1427" s="9"/>
    </row>
    <row r="1428">
      <c r="A1428" s="10">
        <f>IFERROR(__xludf.DUMMYFUNCTION("""COMPUTED_VALUE"""),109309.0)</f>
        <v>109309</v>
      </c>
      <c r="B1428" s="11">
        <f>IFERROR(__xludf.DUMMYFUNCTION("""COMPUTED_VALUE"""),1.0)</f>
        <v>1</v>
      </c>
      <c r="C1428" s="11">
        <f>IFERROR(__xludf.DUMMYFUNCTION("""COMPUTED_VALUE"""),627.0)</f>
        <v>627</v>
      </c>
      <c r="D1428" s="11">
        <f>IFERROR(__xludf.DUMMYFUNCTION("""COMPUTED_VALUE"""),32.0)</f>
        <v>32</v>
      </c>
      <c r="E1428" s="9"/>
    </row>
    <row r="1429">
      <c r="A1429" s="10">
        <f>IFERROR(__xludf.DUMMYFUNCTION("""COMPUTED_VALUE"""),76656.0)</f>
        <v>76656</v>
      </c>
      <c r="B1429" s="11">
        <f>IFERROR(__xludf.DUMMYFUNCTION("""COMPUTED_VALUE"""),0.0)</f>
        <v>0</v>
      </c>
      <c r="C1429" s="11">
        <f>IFERROR(__xludf.DUMMYFUNCTION("""COMPUTED_VALUE"""),545.0)</f>
        <v>545</v>
      </c>
      <c r="D1429" s="11">
        <f>IFERROR(__xludf.DUMMYFUNCTION("""COMPUTED_VALUE"""),76.0)</f>
        <v>76</v>
      </c>
      <c r="E1429" s="9"/>
    </row>
    <row r="1430">
      <c r="A1430" s="10">
        <f>IFERROR(__xludf.DUMMYFUNCTION("""COMPUTED_VALUE"""),80305.0)</f>
        <v>80305</v>
      </c>
      <c r="B1430" s="11">
        <f>IFERROR(__xludf.DUMMYFUNCTION("""COMPUTED_VALUE"""),0.0)</f>
        <v>0</v>
      </c>
      <c r="C1430" s="11">
        <f>IFERROR(__xludf.DUMMYFUNCTION("""COMPUTED_VALUE"""),160.0)</f>
        <v>160</v>
      </c>
      <c r="D1430" s="11">
        <f>IFERROR(__xludf.DUMMYFUNCTION("""COMPUTED_VALUE"""),89.0)</f>
        <v>89</v>
      </c>
      <c r="E1430" s="9"/>
    </row>
    <row r="1431">
      <c r="A1431" s="10">
        <f>IFERROR(__xludf.DUMMYFUNCTION("""COMPUTED_VALUE"""),78506.0)</f>
        <v>78506</v>
      </c>
      <c r="B1431" s="11">
        <f>IFERROR(__xludf.DUMMYFUNCTION("""COMPUTED_VALUE"""),1.0)</f>
        <v>1</v>
      </c>
      <c r="C1431" s="11">
        <f>IFERROR(__xludf.DUMMYFUNCTION("""COMPUTED_VALUE"""),177.0)</f>
        <v>177</v>
      </c>
      <c r="D1431" s="11">
        <f>IFERROR(__xludf.DUMMYFUNCTION("""COMPUTED_VALUE"""),131.0)</f>
        <v>131</v>
      </c>
      <c r="E1431" s="9"/>
    </row>
    <row r="1432">
      <c r="A1432" s="10">
        <f>IFERROR(__xludf.DUMMYFUNCTION("""COMPUTED_VALUE"""),82133.0)</f>
        <v>82133</v>
      </c>
      <c r="B1432" s="11">
        <f>IFERROR(__xludf.DUMMYFUNCTION("""COMPUTED_VALUE"""),1.0)</f>
        <v>1</v>
      </c>
      <c r="C1432" s="11">
        <f>IFERROR(__xludf.DUMMYFUNCTION("""COMPUTED_VALUE"""),735.0)</f>
        <v>735</v>
      </c>
      <c r="D1432" s="11">
        <f>IFERROR(__xludf.DUMMYFUNCTION("""COMPUTED_VALUE"""),664.0)</f>
        <v>664</v>
      </c>
      <c r="E1432" s="9"/>
    </row>
    <row r="1433">
      <c r="A1433" s="10">
        <f>IFERROR(__xludf.DUMMYFUNCTION("""COMPUTED_VALUE"""),188805.0)</f>
        <v>188805</v>
      </c>
      <c r="B1433" s="11">
        <f>IFERROR(__xludf.DUMMYFUNCTION("""COMPUTED_VALUE"""),0.0)</f>
        <v>0</v>
      </c>
      <c r="C1433" s="11">
        <f>IFERROR(__xludf.DUMMYFUNCTION("""COMPUTED_VALUE"""),236.0)</f>
        <v>236</v>
      </c>
      <c r="D1433" s="11">
        <f>IFERROR(__xludf.DUMMYFUNCTION("""COMPUTED_VALUE"""),157.0)</f>
        <v>157</v>
      </c>
      <c r="E1433" s="9"/>
    </row>
    <row r="1434">
      <c r="A1434" s="10">
        <f>IFERROR(__xludf.DUMMYFUNCTION("""COMPUTED_VALUE"""),78481.0)</f>
        <v>78481</v>
      </c>
      <c r="B1434" s="11">
        <f>IFERROR(__xludf.DUMMYFUNCTION("""COMPUTED_VALUE"""),0.0)</f>
        <v>0</v>
      </c>
      <c r="C1434" s="11">
        <f>IFERROR(__xludf.DUMMYFUNCTION("""COMPUTED_VALUE"""),898.0)</f>
        <v>898</v>
      </c>
      <c r="D1434" s="11">
        <f>IFERROR(__xludf.DUMMYFUNCTION("""COMPUTED_VALUE"""),202.0)</f>
        <v>202</v>
      </c>
      <c r="E1434" s="9"/>
    </row>
    <row r="1435">
      <c r="A1435" s="10">
        <f>IFERROR(__xludf.DUMMYFUNCTION("""COMPUTED_VALUE"""),109310.0)</f>
        <v>109310</v>
      </c>
      <c r="B1435" s="11">
        <f>IFERROR(__xludf.DUMMYFUNCTION("""COMPUTED_VALUE"""),1.0)</f>
        <v>1</v>
      </c>
      <c r="C1435" s="11">
        <f>IFERROR(__xludf.DUMMYFUNCTION("""COMPUTED_VALUE"""),832.0)</f>
        <v>832</v>
      </c>
      <c r="D1435" s="11">
        <f>IFERROR(__xludf.DUMMYFUNCTION("""COMPUTED_VALUE"""),789.0)</f>
        <v>789</v>
      </c>
      <c r="E1435" s="9"/>
    </row>
    <row r="1436">
      <c r="A1436" s="10">
        <f>IFERROR(__xludf.DUMMYFUNCTION("""COMPUTED_VALUE"""),120689.0)</f>
        <v>120689</v>
      </c>
      <c r="B1436" s="11">
        <f>IFERROR(__xludf.DUMMYFUNCTION("""COMPUTED_VALUE"""),0.0)</f>
        <v>0</v>
      </c>
      <c r="C1436" s="11">
        <f>IFERROR(__xludf.DUMMYFUNCTION("""COMPUTED_VALUE"""),687.0)</f>
        <v>687</v>
      </c>
      <c r="D1436" s="11">
        <f>IFERROR(__xludf.DUMMYFUNCTION("""COMPUTED_VALUE"""),644.0)</f>
        <v>644</v>
      </c>
      <c r="E1436" s="9"/>
    </row>
    <row r="1437">
      <c r="A1437" s="10">
        <f>IFERROR(__xludf.DUMMYFUNCTION("""COMPUTED_VALUE"""),10540.0)</f>
        <v>10540</v>
      </c>
      <c r="B1437" s="11">
        <f>IFERROR(__xludf.DUMMYFUNCTION("""COMPUTED_VALUE"""),1.0)</f>
        <v>1</v>
      </c>
      <c r="C1437" s="11">
        <f>IFERROR(__xludf.DUMMYFUNCTION("""COMPUTED_VALUE"""),184.0)</f>
        <v>184</v>
      </c>
      <c r="D1437" s="11">
        <f>IFERROR(__xludf.DUMMYFUNCTION("""COMPUTED_VALUE"""),27.0)</f>
        <v>27</v>
      </c>
      <c r="E1437" s="9"/>
    </row>
    <row r="1438">
      <c r="A1438" s="10">
        <f>IFERROR(__xludf.DUMMYFUNCTION("""COMPUTED_VALUE"""),44727.0)</f>
        <v>44727</v>
      </c>
      <c r="B1438" s="11">
        <f>IFERROR(__xludf.DUMMYFUNCTION("""COMPUTED_VALUE"""),0.0)</f>
        <v>0</v>
      </c>
      <c r="C1438" s="11">
        <f>IFERROR(__xludf.DUMMYFUNCTION("""COMPUTED_VALUE"""),332.0)</f>
        <v>332</v>
      </c>
      <c r="D1438" s="11">
        <f>IFERROR(__xludf.DUMMYFUNCTION("""COMPUTED_VALUE"""),188.0)</f>
        <v>188</v>
      </c>
      <c r="E1438" s="9"/>
    </row>
    <row r="1439">
      <c r="A1439" s="10">
        <f>IFERROR(__xludf.DUMMYFUNCTION("""COMPUTED_VALUE"""),73190.0)</f>
        <v>73190</v>
      </c>
      <c r="B1439" s="11">
        <f>IFERROR(__xludf.DUMMYFUNCTION("""COMPUTED_VALUE"""),0.0)</f>
        <v>0</v>
      </c>
      <c r="C1439" s="11">
        <f>IFERROR(__xludf.DUMMYFUNCTION("""COMPUTED_VALUE"""),769.0)</f>
        <v>769</v>
      </c>
      <c r="D1439" s="11">
        <f>IFERROR(__xludf.DUMMYFUNCTION("""COMPUTED_VALUE"""),45.0)</f>
        <v>45</v>
      </c>
      <c r="E1439" s="9"/>
    </row>
    <row r="1440">
      <c r="A1440" s="10">
        <f>IFERROR(__xludf.DUMMYFUNCTION("""COMPUTED_VALUE"""),112169.0)</f>
        <v>112169</v>
      </c>
      <c r="B1440" s="11">
        <f>IFERROR(__xludf.DUMMYFUNCTION("""COMPUTED_VALUE"""),0.0)</f>
        <v>0</v>
      </c>
      <c r="C1440" s="11">
        <f>IFERROR(__xludf.DUMMYFUNCTION("""COMPUTED_VALUE"""),23.0)</f>
        <v>23</v>
      </c>
      <c r="D1440" s="11">
        <f>IFERROR(__xludf.DUMMYFUNCTION("""COMPUTED_VALUE"""),6.0)</f>
        <v>6</v>
      </c>
      <c r="E1440" s="9"/>
    </row>
    <row r="1441">
      <c r="A1441" s="10">
        <f>IFERROR(__xludf.DUMMYFUNCTION("""COMPUTED_VALUE"""),120695.0)</f>
        <v>120695</v>
      </c>
      <c r="B1441" s="11">
        <f>IFERROR(__xludf.DUMMYFUNCTION("""COMPUTED_VALUE"""),1.0)</f>
        <v>1</v>
      </c>
      <c r="C1441" s="11">
        <f>IFERROR(__xludf.DUMMYFUNCTION("""COMPUTED_VALUE"""),494.0)</f>
        <v>494</v>
      </c>
      <c r="D1441" s="11">
        <f>IFERROR(__xludf.DUMMYFUNCTION("""COMPUTED_VALUE"""),256.0)</f>
        <v>256</v>
      </c>
      <c r="E1441" s="9"/>
    </row>
    <row r="1442">
      <c r="A1442" s="10">
        <f>IFERROR(__xludf.DUMMYFUNCTION("""COMPUTED_VALUE"""),80270.0)</f>
        <v>80270</v>
      </c>
      <c r="B1442" s="11">
        <f>IFERROR(__xludf.DUMMYFUNCTION("""COMPUTED_VALUE"""),0.0)</f>
        <v>0</v>
      </c>
      <c r="C1442" s="11">
        <f>IFERROR(__xludf.DUMMYFUNCTION("""COMPUTED_VALUE"""),424.0)</f>
        <v>424</v>
      </c>
      <c r="D1442" s="11">
        <f>IFERROR(__xludf.DUMMYFUNCTION("""COMPUTED_VALUE"""),10.0)</f>
        <v>10</v>
      </c>
      <c r="E1442" s="9"/>
    </row>
    <row r="1443">
      <c r="A1443" s="10">
        <f>IFERROR(__xludf.DUMMYFUNCTION("""COMPUTED_VALUE"""),5795.0)</f>
        <v>5795</v>
      </c>
      <c r="B1443" s="11">
        <f>IFERROR(__xludf.DUMMYFUNCTION("""COMPUTED_VALUE"""),1.0)</f>
        <v>1</v>
      </c>
      <c r="C1443" s="11">
        <f>IFERROR(__xludf.DUMMYFUNCTION("""COMPUTED_VALUE"""),708.0)</f>
        <v>708</v>
      </c>
      <c r="D1443" s="11">
        <f>IFERROR(__xludf.DUMMYFUNCTION("""COMPUTED_VALUE"""),558.0)</f>
        <v>558</v>
      </c>
      <c r="E1443" s="9"/>
    </row>
    <row r="1444">
      <c r="A1444" s="10">
        <f>IFERROR(__xludf.DUMMYFUNCTION("""COMPUTED_VALUE"""),107316.0)</f>
        <v>107316</v>
      </c>
      <c r="B1444" s="11">
        <f>IFERROR(__xludf.DUMMYFUNCTION("""COMPUTED_VALUE"""),1.0)</f>
        <v>1</v>
      </c>
      <c r="C1444" s="11">
        <f>IFERROR(__xludf.DUMMYFUNCTION("""COMPUTED_VALUE"""),864.0)</f>
        <v>864</v>
      </c>
      <c r="D1444" s="11">
        <f>IFERROR(__xludf.DUMMYFUNCTION("""COMPUTED_VALUE"""),314.0)</f>
        <v>314</v>
      </c>
      <c r="E1444" s="9"/>
    </row>
    <row r="1445">
      <c r="A1445" s="10">
        <f>IFERROR(__xludf.DUMMYFUNCTION("""COMPUTED_VALUE"""),78482.0)</f>
        <v>78482</v>
      </c>
      <c r="B1445" s="11">
        <f>IFERROR(__xludf.DUMMYFUNCTION("""COMPUTED_VALUE"""),1.0)</f>
        <v>1</v>
      </c>
      <c r="C1445" s="11">
        <f>IFERROR(__xludf.DUMMYFUNCTION("""COMPUTED_VALUE"""),177.0)</f>
        <v>177</v>
      </c>
      <c r="D1445" s="11">
        <f>IFERROR(__xludf.DUMMYFUNCTION("""COMPUTED_VALUE"""),143.0)</f>
        <v>143</v>
      </c>
      <c r="E1445" s="9"/>
    </row>
    <row r="1446">
      <c r="A1446" s="10">
        <f>IFERROR(__xludf.DUMMYFUNCTION("""COMPUTED_VALUE"""),158473.0)</f>
        <v>158473</v>
      </c>
      <c r="B1446" s="11">
        <f>IFERROR(__xludf.DUMMYFUNCTION("""COMPUTED_VALUE"""),0.0)</f>
        <v>0</v>
      </c>
      <c r="C1446" s="11">
        <f>IFERROR(__xludf.DUMMYFUNCTION("""COMPUTED_VALUE"""),258.0)</f>
        <v>258</v>
      </c>
      <c r="D1446" s="11">
        <f>IFERROR(__xludf.DUMMYFUNCTION("""COMPUTED_VALUE"""),105.0)</f>
        <v>105</v>
      </c>
      <c r="E1446" s="9"/>
    </row>
    <row r="1447">
      <c r="A1447" s="10">
        <f>IFERROR(__xludf.DUMMYFUNCTION("""COMPUTED_VALUE"""),109308.0)</f>
        <v>109308</v>
      </c>
      <c r="B1447" s="11">
        <f>IFERROR(__xludf.DUMMYFUNCTION("""COMPUTED_VALUE"""),0.0)</f>
        <v>0</v>
      </c>
      <c r="C1447" s="11">
        <f>IFERROR(__xludf.DUMMYFUNCTION("""COMPUTED_VALUE"""),99.0)</f>
        <v>99</v>
      </c>
      <c r="D1447" s="11">
        <f>IFERROR(__xludf.DUMMYFUNCTION("""COMPUTED_VALUE"""),31.0)</f>
        <v>31</v>
      </c>
      <c r="E1447" s="9"/>
    </row>
    <row r="1448">
      <c r="A1448" s="10">
        <f>IFERROR(__xludf.DUMMYFUNCTION("""COMPUTED_VALUE"""),78507.0)</f>
        <v>78507</v>
      </c>
      <c r="B1448" s="11">
        <f>IFERROR(__xludf.DUMMYFUNCTION("""COMPUTED_VALUE"""),1.0)</f>
        <v>1</v>
      </c>
      <c r="C1448" s="11">
        <f>IFERROR(__xludf.DUMMYFUNCTION("""COMPUTED_VALUE"""),261.0)</f>
        <v>261</v>
      </c>
      <c r="D1448" s="11">
        <f>IFERROR(__xludf.DUMMYFUNCTION("""COMPUTED_VALUE"""),204.0)</f>
        <v>204</v>
      </c>
      <c r="E1448" s="9"/>
    </row>
    <row r="1449">
      <c r="A1449" s="10">
        <f>IFERROR(__xludf.DUMMYFUNCTION("""COMPUTED_VALUE"""),100827.0)</f>
        <v>100827</v>
      </c>
      <c r="B1449" s="11">
        <f>IFERROR(__xludf.DUMMYFUNCTION("""COMPUTED_VALUE"""),0.0)</f>
        <v>0</v>
      </c>
      <c r="C1449" s="11">
        <f>IFERROR(__xludf.DUMMYFUNCTION("""COMPUTED_VALUE"""),557.0)</f>
        <v>557</v>
      </c>
      <c r="D1449" s="11">
        <f>IFERROR(__xludf.DUMMYFUNCTION("""COMPUTED_VALUE"""),60.0)</f>
        <v>60</v>
      </c>
      <c r="E1449" s="9"/>
    </row>
    <row r="1450">
      <c r="A1450" s="10">
        <f>IFERROR(__xludf.DUMMYFUNCTION("""COMPUTED_VALUE"""),102189.0)</f>
        <v>102189</v>
      </c>
      <c r="B1450" s="11">
        <f>IFERROR(__xludf.DUMMYFUNCTION("""COMPUTED_VALUE"""),0.0)</f>
        <v>0</v>
      </c>
      <c r="C1450" s="11">
        <f>IFERROR(__xludf.DUMMYFUNCTION("""COMPUTED_VALUE"""),512.0)</f>
        <v>512</v>
      </c>
      <c r="D1450" s="11">
        <f>IFERROR(__xludf.DUMMYFUNCTION("""COMPUTED_VALUE"""),190.0)</f>
        <v>190</v>
      </c>
      <c r="E1450" s="9"/>
    </row>
    <row r="1451">
      <c r="A1451" s="10">
        <f>IFERROR(__xludf.DUMMYFUNCTION("""COMPUTED_VALUE"""),10522.0)</f>
        <v>10522</v>
      </c>
      <c r="B1451" s="11">
        <f>IFERROR(__xludf.DUMMYFUNCTION("""COMPUTED_VALUE"""),1.0)</f>
        <v>1</v>
      </c>
      <c r="C1451" s="11">
        <f>IFERROR(__xludf.DUMMYFUNCTION("""COMPUTED_VALUE"""),617.0)</f>
        <v>617</v>
      </c>
      <c r="D1451" s="11">
        <f>IFERROR(__xludf.DUMMYFUNCTION("""COMPUTED_VALUE"""),181.0)</f>
        <v>181</v>
      </c>
      <c r="E1451" s="9"/>
    </row>
    <row r="1452">
      <c r="A1452" s="10">
        <f>IFERROR(__xludf.DUMMYFUNCTION("""COMPUTED_VALUE"""),78467.0)</f>
        <v>78467</v>
      </c>
      <c r="B1452" s="11">
        <f>IFERROR(__xludf.DUMMYFUNCTION("""COMPUTED_VALUE"""),1.0)</f>
        <v>1</v>
      </c>
      <c r="C1452" s="11">
        <f>IFERROR(__xludf.DUMMYFUNCTION("""COMPUTED_VALUE"""),563.0)</f>
        <v>563</v>
      </c>
      <c r="D1452" s="11">
        <f>IFERROR(__xludf.DUMMYFUNCTION("""COMPUTED_VALUE"""),275.0)</f>
        <v>275</v>
      </c>
      <c r="E1452" s="9"/>
    </row>
    <row r="1453">
      <c r="A1453" s="10">
        <f>IFERROR(__xludf.DUMMYFUNCTION("""COMPUTED_VALUE"""),84367.0)</f>
        <v>84367</v>
      </c>
      <c r="B1453" s="11">
        <f>IFERROR(__xludf.DUMMYFUNCTION("""COMPUTED_VALUE"""),1.0)</f>
        <v>1</v>
      </c>
      <c r="C1453" s="11">
        <f>IFERROR(__xludf.DUMMYFUNCTION("""COMPUTED_VALUE"""),842.0)</f>
        <v>842</v>
      </c>
      <c r="D1453" s="11">
        <f>IFERROR(__xludf.DUMMYFUNCTION("""COMPUTED_VALUE"""),537.0)</f>
        <v>537</v>
      </c>
      <c r="E1453" s="9"/>
    </row>
    <row r="1454">
      <c r="A1454" s="10">
        <f>IFERROR(__xludf.DUMMYFUNCTION("""COMPUTED_VALUE"""),87402.0)</f>
        <v>87402</v>
      </c>
      <c r="B1454" s="11">
        <f>IFERROR(__xludf.DUMMYFUNCTION("""COMPUTED_VALUE"""),0.0)</f>
        <v>0</v>
      </c>
      <c r="C1454" s="11">
        <f>IFERROR(__xludf.DUMMYFUNCTION("""COMPUTED_VALUE"""),160.0)</f>
        <v>160</v>
      </c>
      <c r="D1454" s="11">
        <f>IFERROR(__xludf.DUMMYFUNCTION("""COMPUTED_VALUE"""),86.0)</f>
        <v>86</v>
      </c>
      <c r="E1454" s="9"/>
    </row>
    <row r="1455">
      <c r="A1455" s="10">
        <f>IFERROR(__xludf.DUMMYFUNCTION("""COMPUTED_VALUE"""),44707.0)</f>
        <v>44707</v>
      </c>
      <c r="B1455" s="11">
        <f>IFERROR(__xludf.DUMMYFUNCTION("""COMPUTED_VALUE"""),0.0)</f>
        <v>0</v>
      </c>
      <c r="C1455" s="11">
        <f>IFERROR(__xludf.DUMMYFUNCTION("""COMPUTED_VALUE"""),806.0)</f>
        <v>806</v>
      </c>
      <c r="D1455" s="11">
        <f>IFERROR(__xludf.DUMMYFUNCTION("""COMPUTED_VALUE"""),175.0)</f>
        <v>175</v>
      </c>
      <c r="E1455" s="9"/>
    </row>
    <row r="1456">
      <c r="A1456" s="10">
        <f>IFERROR(__xludf.DUMMYFUNCTION("""COMPUTED_VALUE"""),78400.0)</f>
        <v>78400</v>
      </c>
      <c r="B1456" s="11">
        <f>IFERROR(__xludf.DUMMYFUNCTION("""COMPUTED_VALUE"""),1.0)</f>
        <v>1</v>
      </c>
      <c r="C1456" s="11">
        <f>IFERROR(__xludf.DUMMYFUNCTION("""COMPUTED_VALUE"""),767.0)</f>
        <v>767</v>
      </c>
      <c r="D1456" s="11">
        <f>IFERROR(__xludf.DUMMYFUNCTION("""COMPUTED_VALUE"""),455.0)</f>
        <v>455</v>
      </c>
      <c r="E1456" s="9"/>
    </row>
    <row r="1457">
      <c r="A1457" s="10">
        <f>IFERROR(__xludf.DUMMYFUNCTION("""COMPUTED_VALUE"""),102188.0)</f>
        <v>102188</v>
      </c>
      <c r="B1457" s="11">
        <f>IFERROR(__xludf.DUMMYFUNCTION("""COMPUTED_VALUE"""),1.0)</f>
        <v>1</v>
      </c>
      <c r="C1457" s="11">
        <f>IFERROR(__xludf.DUMMYFUNCTION("""COMPUTED_VALUE"""),143.0)</f>
        <v>143</v>
      </c>
      <c r="D1457" s="11">
        <f>IFERROR(__xludf.DUMMYFUNCTION("""COMPUTED_VALUE"""),49.0)</f>
        <v>49</v>
      </c>
      <c r="E1457" s="9"/>
    </row>
    <row r="1458">
      <c r="A1458" s="10">
        <f>IFERROR(__xludf.DUMMYFUNCTION("""COMPUTED_VALUE"""),73173.0)</f>
        <v>73173</v>
      </c>
      <c r="B1458" s="11">
        <f>IFERROR(__xludf.DUMMYFUNCTION("""COMPUTED_VALUE"""),1.0)</f>
        <v>1</v>
      </c>
      <c r="C1458" s="11">
        <f>IFERROR(__xludf.DUMMYFUNCTION("""COMPUTED_VALUE"""),693.0)</f>
        <v>693</v>
      </c>
      <c r="D1458" s="11">
        <f>IFERROR(__xludf.DUMMYFUNCTION("""COMPUTED_VALUE"""),9.0)</f>
        <v>9</v>
      </c>
      <c r="E1458" s="9"/>
    </row>
    <row r="1459">
      <c r="A1459" s="10">
        <f>IFERROR(__xludf.DUMMYFUNCTION("""COMPUTED_VALUE"""),76661.0)</f>
        <v>76661</v>
      </c>
      <c r="B1459" s="11">
        <f>IFERROR(__xludf.DUMMYFUNCTION("""COMPUTED_VALUE"""),0.0)</f>
        <v>0</v>
      </c>
      <c r="C1459" s="11">
        <f>IFERROR(__xludf.DUMMYFUNCTION("""COMPUTED_VALUE"""),309.0)</f>
        <v>309</v>
      </c>
      <c r="D1459" s="11">
        <f>IFERROR(__xludf.DUMMYFUNCTION("""COMPUTED_VALUE"""),68.0)</f>
        <v>68</v>
      </c>
      <c r="E1459" s="9"/>
    </row>
    <row r="1460">
      <c r="A1460" s="10">
        <f>IFERROR(__xludf.DUMMYFUNCTION("""COMPUTED_VALUE"""),78479.0)</f>
        <v>78479</v>
      </c>
      <c r="B1460" s="11">
        <f>IFERROR(__xludf.DUMMYFUNCTION("""COMPUTED_VALUE"""),0.0)</f>
        <v>0</v>
      </c>
      <c r="C1460" s="11">
        <f>IFERROR(__xludf.DUMMYFUNCTION("""COMPUTED_VALUE"""),369.0)</f>
        <v>369</v>
      </c>
      <c r="D1460" s="11">
        <f>IFERROR(__xludf.DUMMYFUNCTION("""COMPUTED_VALUE"""),268.0)</f>
        <v>268</v>
      </c>
      <c r="E1460" s="9"/>
    </row>
    <row r="1461">
      <c r="A1461" s="10">
        <f>IFERROR(__xludf.DUMMYFUNCTION("""COMPUTED_VALUE"""),103401.0)</f>
        <v>103401</v>
      </c>
      <c r="B1461" s="11">
        <f>IFERROR(__xludf.DUMMYFUNCTION("""COMPUTED_VALUE"""),0.0)</f>
        <v>0</v>
      </c>
      <c r="C1461" s="11">
        <f>IFERROR(__xludf.DUMMYFUNCTION("""COMPUTED_VALUE"""),321.0)</f>
        <v>321</v>
      </c>
      <c r="D1461" s="11">
        <f>IFERROR(__xludf.DUMMYFUNCTION("""COMPUTED_VALUE"""),60.0)</f>
        <v>60</v>
      </c>
      <c r="E1461" s="9"/>
    </row>
    <row r="1462">
      <c r="A1462" s="10">
        <f>IFERROR(__xludf.DUMMYFUNCTION("""COMPUTED_VALUE"""),83340.0)</f>
        <v>83340</v>
      </c>
      <c r="B1462" s="11">
        <f>IFERROR(__xludf.DUMMYFUNCTION("""COMPUTED_VALUE"""),0.0)</f>
        <v>0</v>
      </c>
      <c r="C1462" s="11">
        <f>IFERROR(__xludf.DUMMYFUNCTION("""COMPUTED_VALUE"""),669.0)</f>
        <v>669</v>
      </c>
      <c r="D1462" s="11">
        <f>IFERROR(__xludf.DUMMYFUNCTION("""COMPUTED_VALUE"""),296.0)</f>
        <v>296</v>
      </c>
      <c r="E1462" s="9"/>
    </row>
    <row r="1463">
      <c r="A1463" s="10">
        <f>IFERROR(__xludf.DUMMYFUNCTION("""COMPUTED_VALUE"""),44725.0)</f>
        <v>44725</v>
      </c>
      <c r="B1463" s="11">
        <f>IFERROR(__xludf.DUMMYFUNCTION("""COMPUTED_VALUE"""),0.0)</f>
        <v>0</v>
      </c>
      <c r="C1463" s="11">
        <f>IFERROR(__xludf.DUMMYFUNCTION("""COMPUTED_VALUE"""),531.0)</f>
        <v>531</v>
      </c>
      <c r="D1463" s="11">
        <f>IFERROR(__xludf.DUMMYFUNCTION("""COMPUTED_VALUE"""),125.0)</f>
        <v>125</v>
      </c>
      <c r="E1463" s="9"/>
    </row>
    <row r="1464">
      <c r="A1464" s="10">
        <f>IFERROR(__xludf.DUMMYFUNCTION("""COMPUTED_VALUE"""),109311.0)</f>
        <v>109311</v>
      </c>
      <c r="B1464" s="11">
        <f>IFERROR(__xludf.DUMMYFUNCTION("""COMPUTED_VALUE"""),1.0)</f>
        <v>1</v>
      </c>
      <c r="C1464" s="11">
        <f>IFERROR(__xludf.DUMMYFUNCTION("""COMPUTED_VALUE"""),221.0)</f>
        <v>221</v>
      </c>
      <c r="D1464" s="11">
        <f>IFERROR(__xludf.DUMMYFUNCTION("""COMPUTED_VALUE"""),215.0)</f>
        <v>215</v>
      </c>
      <c r="E1464" s="9"/>
    </row>
    <row r="1465">
      <c r="A1465" s="10">
        <f>IFERROR(__xludf.DUMMYFUNCTION("""COMPUTED_VALUE"""),133901.0)</f>
        <v>133901</v>
      </c>
      <c r="B1465" s="11">
        <f>IFERROR(__xludf.DUMMYFUNCTION("""COMPUTED_VALUE"""),1.0)</f>
        <v>1</v>
      </c>
      <c r="C1465" s="11">
        <f>IFERROR(__xludf.DUMMYFUNCTION("""COMPUTED_VALUE"""),227.0)</f>
        <v>227</v>
      </c>
      <c r="D1465" s="11">
        <f>IFERROR(__xludf.DUMMYFUNCTION("""COMPUTED_VALUE"""),212.0)</f>
        <v>212</v>
      </c>
      <c r="E1465" s="9"/>
    </row>
    <row r="1466">
      <c r="A1466" s="10">
        <f>IFERROR(__xludf.DUMMYFUNCTION("""COMPUTED_VALUE"""),92678.0)</f>
        <v>92678</v>
      </c>
      <c r="B1466" s="11">
        <f>IFERROR(__xludf.DUMMYFUNCTION("""COMPUTED_VALUE"""),1.0)</f>
        <v>1</v>
      </c>
      <c r="C1466" s="11">
        <f>IFERROR(__xludf.DUMMYFUNCTION("""COMPUTED_VALUE"""),155.0)</f>
        <v>155</v>
      </c>
      <c r="D1466" s="11">
        <f>IFERROR(__xludf.DUMMYFUNCTION("""COMPUTED_VALUE"""),96.0)</f>
        <v>96</v>
      </c>
      <c r="E1466" s="9"/>
    </row>
    <row r="1467">
      <c r="A1467" s="10">
        <f>IFERROR(__xludf.DUMMYFUNCTION("""COMPUTED_VALUE"""),82447.0)</f>
        <v>82447</v>
      </c>
      <c r="B1467" s="11">
        <f>IFERROR(__xludf.DUMMYFUNCTION("""COMPUTED_VALUE"""),0.0)</f>
        <v>0</v>
      </c>
      <c r="C1467" s="11">
        <f>IFERROR(__xludf.DUMMYFUNCTION("""COMPUTED_VALUE"""),38.0)</f>
        <v>38</v>
      </c>
      <c r="D1467" s="11">
        <f>IFERROR(__xludf.DUMMYFUNCTION("""COMPUTED_VALUE"""),18.0)</f>
        <v>18</v>
      </c>
      <c r="E1467" s="9"/>
    </row>
    <row r="1468">
      <c r="A1468" s="10">
        <f>IFERROR(__xludf.DUMMYFUNCTION("""COMPUTED_VALUE"""),110126.0)</f>
        <v>110126</v>
      </c>
      <c r="B1468" s="11">
        <f>IFERROR(__xludf.DUMMYFUNCTION("""COMPUTED_VALUE"""),1.0)</f>
        <v>1</v>
      </c>
      <c r="C1468" s="11">
        <f>IFERROR(__xludf.DUMMYFUNCTION("""COMPUTED_VALUE"""),751.0)</f>
        <v>751</v>
      </c>
      <c r="D1468" s="11">
        <f>IFERROR(__xludf.DUMMYFUNCTION("""COMPUTED_VALUE"""),483.0)</f>
        <v>483</v>
      </c>
      <c r="E1468" s="9"/>
    </row>
    <row r="1469">
      <c r="A1469" s="10">
        <f>IFERROR(__xludf.DUMMYFUNCTION("""COMPUTED_VALUE"""),3219.0)</f>
        <v>3219</v>
      </c>
      <c r="B1469" s="11">
        <f>IFERROR(__xludf.DUMMYFUNCTION("""COMPUTED_VALUE"""),0.0)</f>
        <v>0</v>
      </c>
      <c r="C1469" s="11">
        <f>IFERROR(__xludf.DUMMYFUNCTION("""COMPUTED_VALUE"""),853.0)</f>
        <v>853</v>
      </c>
      <c r="D1469" s="11">
        <f>IFERROR(__xludf.DUMMYFUNCTION("""COMPUTED_VALUE"""),337.0)</f>
        <v>337</v>
      </c>
      <c r="E1469" s="9"/>
    </row>
    <row r="1470">
      <c r="A1470" s="10">
        <f>IFERROR(__xludf.DUMMYFUNCTION("""COMPUTED_VALUE"""),127007.0)</f>
        <v>127007</v>
      </c>
      <c r="B1470" s="11">
        <f>IFERROR(__xludf.DUMMYFUNCTION("""COMPUTED_VALUE"""),0.0)</f>
        <v>0</v>
      </c>
      <c r="C1470" s="11">
        <f>IFERROR(__xludf.DUMMYFUNCTION("""COMPUTED_VALUE"""),447.0)</f>
        <v>447</v>
      </c>
      <c r="D1470" s="11">
        <f>IFERROR(__xludf.DUMMYFUNCTION("""COMPUTED_VALUE"""),435.0)</f>
        <v>435</v>
      </c>
      <c r="E1470" s="9"/>
    </row>
    <row r="1471">
      <c r="A1471" s="10">
        <f>IFERROR(__xludf.DUMMYFUNCTION("""COMPUTED_VALUE"""),102277.0)</f>
        <v>102277</v>
      </c>
      <c r="B1471" s="11">
        <f>IFERROR(__xludf.DUMMYFUNCTION("""COMPUTED_VALUE"""),1.0)</f>
        <v>1</v>
      </c>
      <c r="C1471" s="11">
        <f>IFERROR(__xludf.DUMMYFUNCTION("""COMPUTED_VALUE"""),283.0)</f>
        <v>283</v>
      </c>
      <c r="D1471" s="11">
        <f>IFERROR(__xludf.DUMMYFUNCTION("""COMPUTED_VALUE"""),32.0)</f>
        <v>32</v>
      </c>
      <c r="E1471" s="9"/>
    </row>
    <row r="1472">
      <c r="A1472" s="10">
        <f>IFERROR(__xludf.DUMMYFUNCTION("""COMPUTED_VALUE"""),122544.0)</f>
        <v>122544</v>
      </c>
      <c r="B1472" s="11">
        <f>IFERROR(__xludf.DUMMYFUNCTION("""COMPUTED_VALUE"""),1.0)</f>
        <v>1</v>
      </c>
      <c r="C1472" s="11">
        <f>IFERROR(__xludf.DUMMYFUNCTION("""COMPUTED_VALUE"""),240.0)</f>
        <v>240</v>
      </c>
      <c r="D1472" s="11">
        <f>IFERROR(__xludf.DUMMYFUNCTION("""COMPUTED_VALUE"""),130.0)</f>
        <v>130</v>
      </c>
      <c r="E1472" s="9"/>
    </row>
    <row r="1473">
      <c r="A1473" s="10">
        <f>IFERROR(__xludf.DUMMYFUNCTION("""COMPUTED_VALUE"""),91486.0)</f>
        <v>91486</v>
      </c>
      <c r="B1473" s="11">
        <f>IFERROR(__xludf.DUMMYFUNCTION("""COMPUTED_VALUE"""),0.0)</f>
        <v>0</v>
      </c>
      <c r="C1473" s="11">
        <f>IFERROR(__xludf.DUMMYFUNCTION("""COMPUTED_VALUE"""),635.0)</f>
        <v>635</v>
      </c>
      <c r="D1473" s="11">
        <f>IFERROR(__xludf.DUMMYFUNCTION("""COMPUTED_VALUE"""),615.0)</f>
        <v>615</v>
      </c>
      <c r="E1473" s="9"/>
    </row>
    <row r="1474">
      <c r="A1474" s="10">
        <f>IFERROR(__xludf.DUMMYFUNCTION("""COMPUTED_VALUE"""),28009.0)</f>
        <v>28009</v>
      </c>
      <c r="B1474" s="11">
        <f>IFERROR(__xludf.DUMMYFUNCTION("""COMPUTED_VALUE"""),0.0)</f>
        <v>0</v>
      </c>
      <c r="C1474" s="11">
        <f>IFERROR(__xludf.DUMMYFUNCTION("""COMPUTED_VALUE"""),951.0)</f>
        <v>951</v>
      </c>
      <c r="D1474" s="11">
        <f>IFERROR(__xludf.DUMMYFUNCTION("""COMPUTED_VALUE"""),895.0)</f>
        <v>895</v>
      </c>
      <c r="E1474" s="9"/>
    </row>
    <row r="1475">
      <c r="A1475" s="10">
        <f>IFERROR(__xludf.DUMMYFUNCTION("""COMPUTED_VALUE"""),110814.0)</f>
        <v>110814</v>
      </c>
      <c r="B1475" s="11">
        <f>IFERROR(__xludf.DUMMYFUNCTION("""COMPUTED_VALUE"""),1.0)</f>
        <v>1</v>
      </c>
      <c r="C1475" s="11">
        <f>IFERROR(__xludf.DUMMYFUNCTION("""COMPUTED_VALUE"""),436.0)</f>
        <v>436</v>
      </c>
      <c r="D1475" s="11">
        <f>IFERROR(__xludf.DUMMYFUNCTION("""COMPUTED_VALUE"""),415.0)</f>
        <v>415</v>
      </c>
      <c r="E1475" s="9"/>
    </row>
    <row r="1476">
      <c r="A1476" s="10">
        <f>IFERROR(__xludf.DUMMYFUNCTION("""COMPUTED_VALUE"""),117437.0)</f>
        <v>117437</v>
      </c>
      <c r="B1476" s="11">
        <f>IFERROR(__xludf.DUMMYFUNCTION("""COMPUTED_VALUE"""),0.0)</f>
        <v>0</v>
      </c>
      <c r="C1476" s="11">
        <f>IFERROR(__xludf.DUMMYFUNCTION("""COMPUTED_VALUE"""),273.0)</f>
        <v>273</v>
      </c>
      <c r="D1476" s="11">
        <f>IFERROR(__xludf.DUMMYFUNCTION("""COMPUTED_VALUE"""),170.0)</f>
        <v>170</v>
      </c>
      <c r="E1476" s="9"/>
    </row>
    <row r="1477">
      <c r="A1477" s="10">
        <f>IFERROR(__xludf.DUMMYFUNCTION("""COMPUTED_VALUE"""),23074.0)</f>
        <v>23074</v>
      </c>
      <c r="B1477" s="11">
        <f>IFERROR(__xludf.DUMMYFUNCTION("""COMPUTED_VALUE"""),1.0)</f>
        <v>1</v>
      </c>
      <c r="C1477" s="11">
        <f>IFERROR(__xludf.DUMMYFUNCTION("""COMPUTED_VALUE"""),689.0)</f>
        <v>689</v>
      </c>
      <c r="D1477" s="11">
        <f>IFERROR(__xludf.DUMMYFUNCTION("""COMPUTED_VALUE"""),518.0)</f>
        <v>518</v>
      </c>
      <c r="E1477" s="9"/>
    </row>
    <row r="1478">
      <c r="A1478" s="10">
        <f>IFERROR(__xludf.DUMMYFUNCTION("""COMPUTED_VALUE"""),8900.0)</f>
        <v>8900</v>
      </c>
      <c r="B1478" s="11">
        <f>IFERROR(__xludf.DUMMYFUNCTION("""COMPUTED_VALUE"""),0.0)</f>
        <v>0</v>
      </c>
      <c r="C1478" s="11">
        <f>IFERROR(__xludf.DUMMYFUNCTION("""COMPUTED_VALUE"""),462.0)</f>
        <v>462</v>
      </c>
      <c r="D1478" s="11">
        <f>IFERROR(__xludf.DUMMYFUNCTION("""COMPUTED_VALUE"""),91.0)</f>
        <v>91</v>
      </c>
      <c r="E1478" s="9"/>
    </row>
    <row r="1479">
      <c r="A1479" s="10">
        <f>IFERROR(__xludf.DUMMYFUNCTION("""COMPUTED_VALUE"""),92676.0)</f>
        <v>92676</v>
      </c>
      <c r="B1479" s="11">
        <f>IFERROR(__xludf.DUMMYFUNCTION("""COMPUTED_VALUE"""),1.0)</f>
        <v>1</v>
      </c>
      <c r="C1479" s="11">
        <f>IFERROR(__xludf.DUMMYFUNCTION("""COMPUTED_VALUE"""),757.0)</f>
        <v>757</v>
      </c>
      <c r="D1479" s="11">
        <f>IFERROR(__xludf.DUMMYFUNCTION("""COMPUTED_VALUE"""),214.0)</f>
        <v>214</v>
      </c>
      <c r="E1479" s="9"/>
    </row>
    <row r="1480">
      <c r="A1480" s="10">
        <f>IFERROR(__xludf.DUMMYFUNCTION("""COMPUTED_VALUE"""),117266.0)</f>
        <v>117266</v>
      </c>
      <c r="B1480" s="11">
        <f>IFERROR(__xludf.DUMMYFUNCTION("""COMPUTED_VALUE"""),1.0)</f>
        <v>1</v>
      </c>
      <c r="C1480" s="11">
        <f>IFERROR(__xludf.DUMMYFUNCTION("""COMPUTED_VALUE"""),632.0)</f>
        <v>632</v>
      </c>
      <c r="D1480" s="11">
        <f>IFERROR(__xludf.DUMMYFUNCTION("""COMPUTED_VALUE"""),87.0)</f>
        <v>87</v>
      </c>
      <c r="E1480" s="9"/>
    </row>
    <row r="1481">
      <c r="A1481" s="10">
        <f>IFERROR(__xludf.DUMMYFUNCTION("""COMPUTED_VALUE"""),14527.0)</f>
        <v>14527</v>
      </c>
      <c r="B1481" s="11">
        <f>IFERROR(__xludf.DUMMYFUNCTION("""COMPUTED_VALUE"""),1.0)</f>
        <v>1</v>
      </c>
      <c r="C1481" s="11">
        <f>IFERROR(__xludf.DUMMYFUNCTION("""COMPUTED_VALUE"""),249.0)</f>
        <v>249</v>
      </c>
      <c r="D1481" s="11">
        <f>IFERROR(__xludf.DUMMYFUNCTION("""COMPUTED_VALUE"""),214.0)</f>
        <v>214</v>
      </c>
      <c r="E1481" s="9"/>
    </row>
    <row r="1482">
      <c r="A1482" s="10">
        <f>IFERROR(__xludf.DUMMYFUNCTION("""COMPUTED_VALUE"""),27534.0)</f>
        <v>27534</v>
      </c>
      <c r="B1482" s="11">
        <f>IFERROR(__xludf.DUMMYFUNCTION("""COMPUTED_VALUE"""),0.0)</f>
        <v>0</v>
      </c>
      <c r="C1482" s="11">
        <f>IFERROR(__xludf.DUMMYFUNCTION("""COMPUTED_VALUE"""),390.0)</f>
        <v>390</v>
      </c>
      <c r="D1482" s="11">
        <f>IFERROR(__xludf.DUMMYFUNCTION("""COMPUTED_VALUE"""),151.0)</f>
        <v>151</v>
      </c>
      <c r="E1482" s="9"/>
    </row>
    <row r="1483">
      <c r="A1483" s="10">
        <f>IFERROR(__xludf.DUMMYFUNCTION("""COMPUTED_VALUE"""),91636.0)</f>
        <v>91636</v>
      </c>
      <c r="B1483" s="11">
        <f>IFERROR(__xludf.DUMMYFUNCTION("""COMPUTED_VALUE"""),1.0)</f>
        <v>1</v>
      </c>
      <c r="C1483" s="11">
        <f>IFERROR(__xludf.DUMMYFUNCTION("""COMPUTED_VALUE"""),865.0)</f>
        <v>865</v>
      </c>
      <c r="D1483" s="11">
        <f>IFERROR(__xludf.DUMMYFUNCTION("""COMPUTED_VALUE"""),67.0)</f>
        <v>67</v>
      </c>
      <c r="E1483" s="9"/>
    </row>
    <row r="1484">
      <c r="A1484" s="10">
        <f>IFERROR(__xludf.DUMMYFUNCTION("""COMPUTED_VALUE"""),120941.0)</f>
        <v>120941</v>
      </c>
      <c r="B1484" s="11">
        <f>IFERROR(__xludf.DUMMYFUNCTION("""COMPUTED_VALUE"""),0.0)</f>
        <v>0</v>
      </c>
      <c r="C1484" s="11">
        <f>IFERROR(__xludf.DUMMYFUNCTION("""COMPUTED_VALUE"""),44.0)</f>
        <v>44</v>
      </c>
      <c r="D1484" s="11">
        <f>IFERROR(__xludf.DUMMYFUNCTION("""COMPUTED_VALUE"""),16.0)</f>
        <v>16</v>
      </c>
      <c r="E1484" s="9"/>
    </row>
    <row r="1485">
      <c r="A1485" s="10">
        <f>IFERROR(__xludf.DUMMYFUNCTION("""COMPUTED_VALUE"""),111897.0)</f>
        <v>111897</v>
      </c>
      <c r="B1485" s="11">
        <f>IFERROR(__xludf.DUMMYFUNCTION("""COMPUTED_VALUE"""),0.0)</f>
        <v>0</v>
      </c>
      <c r="C1485" s="11">
        <f>IFERROR(__xludf.DUMMYFUNCTION("""COMPUTED_VALUE"""),38.0)</f>
        <v>38</v>
      </c>
      <c r="D1485" s="11">
        <f>IFERROR(__xludf.DUMMYFUNCTION("""COMPUTED_VALUE"""),4.0)</f>
        <v>4</v>
      </c>
      <c r="E1485" s="9"/>
    </row>
    <row r="1486">
      <c r="A1486" s="10">
        <f>IFERROR(__xludf.DUMMYFUNCTION("""COMPUTED_VALUE"""),158485.0)</f>
        <v>158485</v>
      </c>
      <c r="B1486" s="11">
        <f>IFERROR(__xludf.DUMMYFUNCTION("""COMPUTED_VALUE"""),1.0)</f>
        <v>1</v>
      </c>
      <c r="C1486" s="11">
        <f>IFERROR(__xludf.DUMMYFUNCTION("""COMPUTED_VALUE"""),398.0)</f>
        <v>398</v>
      </c>
      <c r="D1486" s="11">
        <f>IFERROR(__xludf.DUMMYFUNCTION("""COMPUTED_VALUE"""),301.0)</f>
        <v>301</v>
      </c>
      <c r="E1486" s="9"/>
    </row>
    <row r="1487">
      <c r="A1487" s="10">
        <f>IFERROR(__xludf.DUMMYFUNCTION("""COMPUTED_VALUE"""),199530.0)</f>
        <v>199530</v>
      </c>
      <c r="B1487" s="11">
        <f>IFERROR(__xludf.DUMMYFUNCTION("""COMPUTED_VALUE"""),0.0)</f>
        <v>0</v>
      </c>
      <c r="C1487" s="11">
        <f>IFERROR(__xludf.DUMMYFUNCTION("""COMPUTED_VALUE"""),115.0)</f>
        <v>115</v>
      </c>
      <c r="D1487" s="11">
        <f>IFERROR(__xludf.DUMMYFUNCTION("""COMPUTED_VALUE"""),29.0)</f>
        <v>29</v>
      </c>
      <c r="E1487" s="9"/>
    </row>
    <row r="1488">
      <c r="A1488" s="10">
        <f>IFERROR(__xludf.DUMMYFUNCTION("""COMPUTED_VALUE"""),120946.0)</f>
        <v>120946</v>
      </c>
      <c r="B1488" s="11">
        <f>IFERROR(__xludf.DUMMYFUNCTION("""COMPUTED_VALUE"""),1.0)</f>
        <v>1</v>
      </c>
      <c r="C1488" s="11">
        <f>IFERROR(__xludf.DUMMYFUNCTION("""COMPUTED_VALUE"""),584.0)</f>
        <v>584</v>
      </c>
      <c r="D1488" s="11">
        <f>IFERROR(__xludf.DUMMYFUNCTION("""COMPUTED_VALUE"""),58.0)</f>
        <v>58</v>
      </c>
      <c r="E1488" s="9"/>
    </row>
    <row r="1489">
      <c r="A1489" s="10">
        <f>IFERROR(__xludf.DUMMYFUNCTION("""COMPUTED_VALUE"""),82957.0)</f>
        <v>82957</v>
      </c>
      <c r="B1489" s="11">
        <f>IFERROR(__xludf.DUMMYFUNCTION("""COMPUTED_VALUE"""),0.0)</f>
        <v>0</v>
      </c>
      <c r="C1489" s="11">
        <f>IFERROR(__xludf.DUMMYFUNCTION("""COMPUTED_VALUE"""),393.0)</f>
        <v>393</v>
      </c>
      <c r="D1489" s="11">
        <f>IFERROR(__xludf.DUMMYFUNCTION("""COMPUTED_VALUE"""),39.0)</f>
        <v>39</v>
      </c>
      <c r="E1489" s="9"/>
    </row>
    <row r="1490">
      <c r="A1490" s="10">
        <f>IFERROR(__xludf.DUMMYFUNCTION("""COMPUTED_VALUE"""),109830.0)</f>
        <v>109830</v>
      </c>
      <c r="B1490" s="11">
        <f>IFERROR(__xludf.DUMMYFUNCTION("""COMPUTED_VALUE"""),0.0)</f>
        <v>0</v>
      </c>
      <c r="C1490" s="11">
        <f>IFERROR(__xludf.DUMMYFUNCTION("""COMPUTED_VALUE"""),895.0)</f>
        <v>895</v>
      </c>
      <c r="D1490" s="11">
        <f>IFERROR(__xludf.DUMMYFUNCTION("""COMPUTED_VALUE"""),383.0)</f>
        <v>383</v>
      </c>
      <c r="E1490" s="9"/>
    </row>
    <row r="1491">
      <c r="A1491" s="10">
        <f>IFERROR(__xludf.DUMMYFUNCTION("""COMPUTED_VALUE"""),109831.0)</f>
        <v>109831</v>
      </c>
      <c r="B1491" s="11">
        <f>IFERROR(__xludf.DUMMYFUNCTION("""COMPUTED_VALUE"""),1.0)</f>
        <v>1</v>
      </c>
      <c r="C1491" s="11">
        <f>IFERROR(__xludf.DUMMYFUNCTION("""COMPUTED_VALUE"""),533.0)</f>
        <v>533</v>
      </c>
      <c r="D1491" s="11">
        <f>IFERROR(__xludf.DUMMYFUNCTION("""COMPUTED_VALUE"""),245.0)</f>
        <v>245</v>
      </c>
      <c r="E1491" s="9"/>
    </row>
    <row r="1492">
      <c r="A1492" s="10">
        <f>IFERROR(__xludf.DUMMYFUNCTION("""COMPUTED_VALUE"""),107899.0)</f>
        <v>107899</v>
      </c>
      <c r="B1492" s="11">
        <f>IFERROR(__xludf.DUMMYFUNCTION("""COMPUTED_VALUE"""),1.0)</f>
        <v>1</v>
      </c>
      <c r="C1492" s="11">
        <f>IFERROR(__xludf.DUMMYFUNCTION("""COMPUTED_VALUE"""),848.0)</f>
        <v>848</v>
      </c>
      <c r="D1492" s="11">
        <f>IFERROR(__xludf.DUMMYFUNCTION("""COMPUTED_VALUE"""),610.0)</f>
        <v>610</v>
      </c>
      <c r="E1492" s="9"/>
    </row>
    <row r="1493">
      <c r="A1493" s="10">
        <f>IFERROR(__xludf.DUMMYFUNCTION("""COMPUTED_VALUE"""),139289.0)</f>
        <v>139289</v>
      </c>
      <c r="B1493" s="11">
        <f>IFERROR(__xludf.DUMMYFUNCTION("""COMPUTED_VALUE"""),1.0)</f>
        <v>1</v>
      </c>
      <c r="C1493" s="11">
        <f>IFERROR(__xludf.DUMMYFUNCTION("""COMPUTED_VALUE"""),611.0)</f>
        <v>611</v>
      </c>
      <c r="D1493" s="11">
        <f>IFERROR(__xludf.DUMMYFUNCTION("""COMPUTED_VALUE"""),220.0)</f>
        <v>220</v>
      </c>
      <c r="E1493" s="9"/>
    </row>
    <row r="1494">
      <c r="A1494" s="10">
        <f>IFERROR(__xludf.DUMMYFUNCTION("""COMPUTED_VALUE"""),72129.0)</f>
        <v>72129</v>
      </c>
      <c r="B1494" s="11">
        <f>IFERROR(__xludf.DUMMYFUNCTION("""COMPUTED_VALUE"""),0.0)</f>
        <v>0</v>
      </c>
      <c r="C1494" s="11">
        <f>IFERROR(__xludf.DUMMYFUNCTION("""COMPUTED_VALUE"""),402.0)</f>
        <v>402</v>
      </c>
      <c r="D1494" s="11">
        <f>IFERROR(__xludf.DUMMYFUNCTION("""COMPUTED_VALUE"""),332.0)</f>
        <v>332</v>
      </c>
      <c r="E1494" s="9"/>
    </row>
    <row r="1495">
      <c r="A1495" s="10">
        <f>IFERROR(__xludf.DUMMYFUNCTION("""COMPUTED_VALUE"""),106541.0)</f>
        <v>106541</v>
      </c>
      <c r="B1495" s="11">
        <f>IFERROR(__xludf.DUMMYFUNCTION("""COMPUTED_VALUE"""),0.0)</f>
        <v>0</v>
      </c>
      <c r="C1495" s="11">
        <f>IFERROR(__xludf.DUMMYFUNCTION("""COMPUTED_VALUE"""),53.0)</f>
        <v>53</v>
      </c>
      <c r="D1495" s="11">
        <f>IFERROR(__xludf.DUMMYFUNCTION("""COMPUTED_VALUE"""),28.0)</f>
        <v>28</v>
      </c>
      <c r="E1495" s="9"/>
    </row>
    <row r="1496">
      <c r="A1496" s="10">
        <f>IFERROR(__xludf.DUMMYFUNCTION("""COMPUTED_VALUE"""),43810.0)</f>
        <v>43810</v>
      </c>
      <c r="B1496" s="11">
        <f>IFERROR(__xludf.DUMMYFUNCTION("""COMPUTED_VALUE"""),0.0)</f>
        <v>0</v>
      </c>
      <c r="C1496" s="11">
        <f>IFERROR(__xludf.DUMMYFUNCTION("""COMPUTED_VALUE"""),653.0)</f>
        <v>653</v>
      </c>
      <c r="D1496" s="11">
        <f>IFERROR(__xludf.DUMMYFUNCTION("""COMPUTED_VALUE"""),591.0)</f>
        <v>591</v>
      </c>
      <c r="E1496" s="9"/>
    </row>
    <row r="1497">
      <c r="A1497" s="10">
        <f>IFERROR(__xludf.DUMMYFUNCTION("""COMPUTED_VALUE"""),83117.0)</f>
        <v>83117</v>
      </c>
      <c r="B1497" s="11">
        <f>IFERROR(__xludf.DUMMYFUNCTION("""COMPUTED_VALUE"""),0.0)</f>
        <v>0</v>
      </c>
      <c r="C1497" s="11">
        <f>IFERROR(__xludf.DUMMYFUNCTION("""COMPUTED_VALUE"""),392.0)</f>
        <v>392</v>
      </c>
      <c r="D1497" s="11">
        <f>IFERROR(__xludf.DUMMYFUNCTION("""COMPUTED_VALUE"""),252.0)</f>
        <v>252</v>
      </c>
      <c r="E1497" s="9"/>
    </row>
    <row r="1498">
      <c r="A1498" s="10">
        <f>IFERROR(__xludf.DUMMYFUNCTION("""COMPUTED_VALUE"""),78863.0)</f>
        <v>78863</v>
      </c>
      <c r="B1498" s="11">
        <f>IFERROR(__xludf.DUMMYFUNCTION("""COMPUTED_VALUE"""),0.0)</f>
        <v>0</v>
      </c>
      <c r="C1498" s="11">
        <f>IFERROR(__xludf.DUMMYFUNCTION("""COMPUTED_VALUE"""),136.0)</f>
        <v>136</v>
      </c>
      <c r="D1498" s="11">
        <f>IFERROR(__xludf.DUMMYFUNCTION("""COMPUTED_VALUE"""),100.0)</f>
        <v>100</v>
      </c>
      <c r="E1498" s="9"/>
    </row>
    <row r="1499">
      <c r="A1499" s="10">
        <f>IFERROR(__xludf.DUMMYFUNCTION("""COMPUTED_VALUE"""),107898.0)</f>
        <v>107898</v>
      </c>
      <c r="B1499" s="11">
        <f>IFERROR(__xludf.DUMMYFUNCTION("""COMPUTED_VALUE"""),0.0)</f>
        <v>0</v>
      </c>
      <c r="C1499" s="11">
        <f>IFERROR(__xludf.DUMMYFUNCTION("""COMPUTED_VALUE"""),22.0)</f>
        <v>22</v>
      </c>
      <c r="D1499" s="11">
        <f>IFERROR(__xludf.DUMMYFUNCTION("""COMPUTED_VALUE"""),3.0)</f>
        <v>3</v>
      </c>
      <c r="E1499" s="9"/>
    </row>
    <row r="1500">
      <c r="A1500" s="10">
        <f>IFERROR(__xludf.DUMMYFUNCTION("""COMPUTED_VALUE"""),80181.0)</f>
        <v>80181</v>
      </c>
      <c r="B1500" s="11">
        <f>IFERROR(__xludf.DUMMYFUNCTION("""COMPUTED_VALUE"""),1.0)</f>
        <v>1</v>
      </c>
      <c r="C1500" s="11">
        <f>IFERROR(__xludf.DUMMYFUNCTION("""COMPUTED_VALUE"""),183.0)</f>
        <v>183</v>
      </c>
      <c r="D1500" s="11">
        <f>IFERROR(__xludf.DUMMYFUNCTION("""COMPUTED_VALUE"""),31.0)</f>
        <v>31</v>
      </c>
      <c r="E1500" s="9"/>
    </row>
    <row r="1501">
      <c r="A1501" s="10">
        <f>IFERROR(__xludf.DUMMYFUNCTION("""COMPUTED_VALUE"""),150280.0)</f>
        <v>150280</v>
      </c>
      <c r="B1501" s="11">
        <f>IFERROR(__xludf.DUMMYFUNCTION("""COMPUTED_VALUE"""),1.0)</f>
        <v>1</v>
      </c>
      <c r="C1501" s="11">
        <f>IFERROR(__xludf.DUMMYFUNCTION("""COMPUTED_VALUE"""),153.0)</f>
        <v>153</v>
      </c>
      <c r="D1501" s="11">
        <f>IFERROR(__xludf.DUMMYFUNCTION("""COMPUTED_VALUE"""),37.0)</f>
        <v>37</v>
      </c>
      <c r="E1501" s="9"/>
    </row>
    <row r="1502">
      <c r="A1502" s="10">
        <f>IFERROR(__xludf.DUMMYFUNCTION("""COMPUTED_VALUE"""),80173.0)</f>
        <v>80173</v>
      </c>
      <c r="B1502" s="11">
        <f>IFERROR(__xludf.DUMMYFUNCTION("""COMPUTED_VALUE"""),0.0)</f>
        <v>0</v>
      </c>
      <c r="C1502" s="11">
        <f>IFERROR(__xludf.DUMMYFUNCTION("""COMPUTED_VALUE"""),38.0)</f>
        <v>38</v>
      </c>
      <c r="D1502" s="11">
        <f>IFERROR(__xludf.DUMMYFUNCTION("""COMPUTED_VALUE"""),7.0)</f>
        <v>7</v>
      </c>
      <c r="E1502" s="9"/>
    </row>
    <row r="1503">
      <c r="A1503" s="10">
        <f>IFERROR(__xludf.DUMMYFUNCTION("""COMPUTED_VALUE"""),100647.0)</f>
        <v>100647</v>
      </c>
      <c r="B1503" s="11">
        <f>IFERROR(__xludf.DUMMYFUNCTION("""COMPUTED_VALUE"""),1.0)</f>
        <v>1</v>
      </c>
      <c r="C1503" s="11">
        <f>IFERROR(__xludf.DUMMYFUNCTION("""COMPUTED_VALUE"""),795.0)</f>
        <v>795</v>
      </c>
      <c r="D1503" s="11">
        <f>IFERROR(__xludf.DUMMYFUNCTION("""COMPUTED_VALUE"""),557.0)</f>
        <v>557</v>
      </c>
      <c r="E1503" s="9"/>
    </row>
    <row r="1504">
      <c r="A1504" s="10">
        <f>IFERROR(__xludf.DUMMYFUNCTION("""COMPUTED_VALUE"""),147273.0)</f>
        <v>147273</v>
      </c>
      <c r="B1504" s="11">
        <f>IFERROR(__xludf.DUMMYFUNCTION("""COMPUTED_VALUE"""),1.0)</f>
        <v>1</v>
      </c>
      <c r="C1504" s="11">
        <f>IFERROR(__xludf.DUMMYFUNCTION("""COMPUTED_VALUE"""),662.0)</f>
        <v>662</v>
      </c>
      <c r="D1504" s="11">
        <f>IFERROR(__xludf.DUMMYFUNCTION("""COMPUTED_VALUE"""),298.0)</f>
        <v>298</v>
      </c>
      <c r="E1504" s="9"/>
    </row>
    <row r="1505">
      <c r="A1505" s="10">
        <f>IFERROR(__xludf.DUMMYFUNCTION("""COMPUTED_VALUE"""),83770.0)</f>
        <v>83770</v>
      </c>
      <c r="B1505" s="11">
        <f>IFERROR(__xludf.DUMMYFUNCTION("""COMPUTED_VALUE"""),1.0)</f>
        <v>1</v>
      </c>
      <c r="C1505" s="11">
        <f>IFERROR(__xludf.DUMMYFUNCTION("""COMPUTED_VALUE"""),77.0)</f>
        <v>77</v>
      </c>
      <c r="D1505" s="11">
        <f>IFERROR(__xludf.DUMMYFUNCTION("""COMPUTED_VALUE"""),70.0)</f>
        <v>70</v>
      </c>
      <c r="E1505" s="9"/>
    </row>
    <row r="1506">
      <c r="A1506" s="10">
        <f>IFERROR(__xludf.DUMMYFUNCTION("""COMPUTED_VALUE"""),180773.0)</f>
        <v>180773</v>
      </c>
      <c r="B1506" s="11">
        <f>IFERROR(__xludf.DUMMYFUNCTION("""COMPUTED_VALUE"""),1.0)</f>
        <v>1</v>
      </c>
      <c r="C1506" s="11">
        <f>IFERROR(__xludf.DUMMYFUNCTION("""COMPUTED_VALUE"""),22.0)</f>
        <v>22</v>
      </c>
      <c r="D1506" s="11">
        <f>IFERROR(__xludf.DUMMYFUNCTION("""COMPUTED_VALUE"""),1.0)</f>
        <v>1</v>
      </c>
      <c r="E1506" s="9"/>
    </row>
    <row r="1507">
      <c r="A1507" s="10">
        <f>IFERROR(__xludf.DUMMYFUNCTION("""COMPUTED_VALUE"""),80125.0)</f>
        <v>80125</v>
      </c>
      <c r="B1507" s="11">
        <f>IFERROR(__xludf.DUMMYFUNCTION("""COMPUTED_VALUE"""),0.0)</f>
        <v>0</v>
      </c>
      <c r="C1507" s="11">
        <f>IFERROR(__xludf.DUMMYFUNCTION("""COMPUTED_VALUE"""),157.0)</f>
        <v>157</v>
      </c>
      <c r="D1507" s="11">
        <f>IFERROR(__xludf.DUMMYFUNCTION("""COMPUTED_VALUE"""),99.0)</f>
        <v>99</v>
      </c>
      <c r="E1507" s="9"/>
    </row>
    <row r="1508">
      <c r="A1508" s="10">
        <f>IFERROR(__xludf.DUMMYFUNCTION("""COMPUTED_VALUE"""),89909.0)</f>
        <v>89909</v>
      </c>
      <c r="B1508" s="11">
        <f>IFERROR(__xludf.DUMMYFUNCTION("""COMPUTED_VALUE"""),1.0)</f>
        <v>1</v>
      </c>
      <c r="C1508" s="11">
        <f>IFERROR(__xludf.DUMMYFUNCTION("""COMPUTED_VALUE"""),656.0)</f>
        <v>656</v>
      </c>
      <c r="D1508" s="11">
        <f>IFERROR(__xludf.DUMMYFUNCTION("""COMPUTED_VALUE"""),173.0)</f>
        <v>173</v>
      </c>
      <c r="E1508" s="9"/>
    </row>
    <row r="1509">
      <c r="A1509" s="10">
        <f>IFERROR(__xludf.DUMMYFUNCTION("""COMPUTED_VALUE"""),80114.0)</f>
        <v>80114</v>
      </c>
      <c r="B1509" s="11">
        <f>IFERROR(__xludf.DUMMYFUNCTION("""COMPUTED_VALUE"""),1.0)</f>
        <v>1</v>
      </c>
      <c r="C1509" s="11">
        <f>IFERROR(__xludf.DUMMYFUNCTION("""COMPUTED_VALUE"""),300.0)</f>
        <v>300</v>
      </c>
      <c r="D1509" s="11">
        <f>IFERROR(__xludf.DUMMYFUNCTION("""COMPUTED_VALUE"""),36.0)</f>
        <v>36</v>
      </c>
      <c r="E1509" s="9"/>
    </row>
    <row r="1510">
      <c r="A1510" s="10">
        <f>IFERROR(__xludf.DUMMYFUNCTION("""COMPUTED_VALUE"""),73916.0)</f>
        <v>73916</v>
      </c>
      <c r="B1510" s="11">
        <f>IFERROR(__xludf.DUMMYFUNCTION("""COMPUTED_VALUE"""),1.0)</f>
        <v>1</v>
      </c>
      <c r="C1510" s="11">
        <f>IFERROR(__xludf.DUMMYFUNCTION("""COMPUTED_VALUE"""),284.0)</f>
        <v>284</v>
      </c>
      <c r="D1510" s="11">
        <f>IFERROR(__xludf.DUMMYFUNCTION("""COMPUTED_VALUE"""),3.0)</f>
        <v>3</v>
      </c>
      <c r="E1510" s="9"/>
    </row>
    <row r="1511">
      <c r="A1511" s="10">
        <f>IFERROR(__xludf.DUMMYFUNCTION("""COMPUTED_VALUE"""),80117.0)</f>
        <v>80117</v>
      </c>
      <c r="B1511" s="11">
        <f>IFERROR(__xludf.DUMMYFUNCTION("""COMPUTED_VALUE"""),1.0)</f>
        <v>1</v>
      </c>
      <c r="C1511" s="11">
        <f>IFERROR(__xludf.DUMMYFUNCTION("""COMPUTED_VALUE"""),190.0)</f>
        <v>190</v>
      </c>
      <c r="D1511" s="11">
        <f>IFERROR(__xludf.DUMMYFUNCTION("""COMPUTED_VALUE"""),135.0)</f>
        <v>135</v>
      </c>
      <c r="E1511" s="9"/>
    </row>
    <row r="1512">
      <c r="A1512" s="10">
        <f>IFERROR(__xludf.DUMMYFUNCTION("""COMPUTED_VALUE"""),22008.0)</f>
        <v>22008</v>
      </c>
      <c r="B1512" s="11">
        <f>IFERROR(__xludf.DUMMYFUNCTION("""COMPUTED_VALUE"""),0.0)</f>
        <v>0</v>
      </c>
      <c r="C1512" s="11">
        <f>IFERROR(__xludf.DUMMYFUNCTION("""COMPUTED_VALUE"""),646.0)</f>
        <v>646</v>
      </c>
      <c r="D1512" s="11">
        <f>IFERROR(__xludf.DUMMYFUNCTION("""COMPUTED_VALUE"""),285.0)</f>
        <v>285</v>
      </c>
      <c r="E1512" s="9"/>
    </row>
    <row r="1513">
      <c r="A1513" s="10">
        <f>IFERROR(__xludf.DUMMYFUNCTION("""COMPUTED_VALUE"""),76608.0)</f>
        <v>76608</v>
      </c>
      <c r="B1513" s="11">
        <f>IFERROR(__xludf.DUMMYFUNCTION("""COMPUTED_VALUE"""),0.0)</f>
        <v>0</v>
      </c>
      <c r="C1513" s="11">
        <f>IFERROR(__xludf.DUMMYFUNCTION("""COMPUTED_VALUE"""),711.0)</f>
        <v>711</v>
      </c>
      <c r="D1513" s="11">
        <f>IFERROR(__xludf.DUMMYFUNCTION("""COMPUTED_VALUE"""),463.0)</f>
        <v>463</v>
      </c>
      <c r="E1513" s="9"/>
    </row>
    <row r="1514">
      <c r="A1514" s="10">
        <f>IFERROR(__xludf.DUMMYFUNCTION("""COMPUTED_VALUE"""),80793.0)</f>
        <v>80793</v>
      </c>
      <c r="B1514" s="11">
        <f>IFERROR(__xludf.DUMMYFUNCTION("""COMPUTED_VALUE"""),1.0)</f>
        <v>1</v>
      </c>
      <c r="C1514" s="11">
        <f>IFERROR(__xludf.DUMMYFUNCTION("""COMPUTED_VALUE"""),775.0)</f>
        <v>775</v>
      </c>
      <c r="D1514" s="11">
        <f>IFERROR(__xludf.DUMMYFUNCTION("""COMPUTED_VALUE"""),210.0)</f>
        <v>210</v>
      </c>
      <c r="E1514" s="9"/>
    </row>
    <row r="1515">
      <c r="A1515" s="10">
        <f>IFERROR(__xludf.DUMMYFUNCTION("""COMPUTED_VALUE"""),102588.0)</f>
        <v>102588</v>
      </c>
      <c r="B1515" s="11">
        <f>IFERROR(__xludf.DUMMYFUNCTION("""COMPUTED_VALUE"""),0.0)</f>
        <v>0</v>
      </c>
      <c r="C1515" s="11">
        <f>IFERROR(__xludf.DUMMYFUNCTION("""COMPUTED_VALUE"""),286.0)</f>
        <v>286</v>
      </c>
      <c r="D1515" s="11">
        <f>IFERROR(__xludf.DUMMYFUNCTION("""COMPUTED_VALUE"""),31.0)</f>
        <v>31</v>
      </c>
      <c r="E1515" s="9"/>
    </row>
    <row r="1516">
      <c r="A1516" s="10">
        <f>IFERROR(__xludf.DUMMYFUNCTION("""COMPUTED_VALUE"""),80794.0)</f>
        <v>80794</v>
      </c>
      <c r="B1516" s="11">
        <f>IFERROR(__xludf.DUMMYFUNCTION("""COMPUTED_VALUE"""),1.0)</f>
        <v>1</v>
      </c>
      <c r="C1516" s="11">
        <f>IFERROR(__xludf.DUMMYFUNCTION("""COMPUTED_VALUE"""),168.0)</f>
        <v>168</v>
      </c>
      <c r="D1516" s="11">
        <f>IFERROR(__xludf.DUMMYFUNCTION("""COMPUTED_VALUE"""),118.0)</f>
        <v>118</v>
      </c>
      <c r="E1516" s="9"/>
    </row>
    <row r="1517">
      <c r="A1517" s="10">
        <f>IFERROR(__xludf.DUMMYFUNCTION("""COMPUTED_VALUE"""),80174.0)</f>
        <v>80174</v>
      </c>
      <c r="B1517" s="11">
        <f>IFERROR(__xludf.DUMMYFUNCTION("""COMPUTED_VALUE"""),1.0)</f>
        <v>1</v>
      </c>
      <c r="C1517" s="11">
        <f>IFERROR(__xludf.DUMMYFUNCTION("""COMPUTED_VALUE"""),207.0)</f>
        <v>207</v>
      </c>
      <c r="D1517" s="11">
        <f>IFERROR(__xludf.DUMMYFUNCTION("""COMPUTED_VALUE"""),85.0)</f>
        <v>85</v>
      </c>
      <c r="E1517" s="9"/>
    </row>
    <row r="1518">
      <c r="A1518" s="10">
        <f>IFERROR(__xludf.DUMMYFUNCTION("""COMPUTED_VALUE"""),114722.0)</f>
        <v>114722</v>
      </c>
      <c r="B1518" s="11">
        <f>IFERROR(__xludf.DUMMYFUNCTION("""COMPUTED_VALUE"""),0.0)</f>
        <v>0</v>
      </c>
      <c r="C1518" s="11">
        <f>IFERROR(__xludf.DUMMYFUNCTION("""COMPUTED_VALUE"""),940.0)</f>
        <v>940</v>
      </c>
      <c r="D1518" s="11">
        <f>IFERROR(__xludf.DUMMYFUNCTION("""COMPUTED_VALUE"""),331.0)</f>
        <v>331</v>
      </c>
      <c r="E1518" s="9"/>
    </row>
    <row r="1519">
      <c r="A1519" s="10">
        <f>IFERROR(__xludf.DUMMYFUNCTION("""COMPUTED_VALUE"""),180843.0)</f>
        <v>180843</v>
      </c>
      <c r="B1519" s="11">
        <f>IFERROR(__xludf.DUMMYFUNCTION("""COMPUTED_VALUE"""),1.0)</f>
        <v>1</v>
      </c>
      <c r="C1519" s="11">
        <f>IFERROR(__xludf.DUMMYFUNCTION("""COMPUTED_VALUE"""),585.0)</f>
        <v>585</v>
      </c>
      <c r="D1519" s="11">
        <f>IFERROR(__xludf.DUMMYFUNCTION("""COMPUTED_VALUE"""),258.0)</f>
        <v>258</v>
      </c>
      <c r="E1519" s="9"/>
    </row>
    <row r="1520">
      <c r="A1520" s="10">
        <f>IFERROR(__xludf.DUMMYFUNCTION("""COMPUTED_VALUE"""),22020.0)</f>
        <v>22020</v>
      </c>
      <c r="B1520" s="11">
        <f>IFERROR(__xludf.DUMMYFUNCTION("""COMPUTED_VALUE"""),0.0)</f>
        <v>0</v>
      </c>
      <c r="C1520" s="11">
        <f>IFERROR(__xludf.DUMMYFUNCTION("""COMPUTED_VALUE"""),444.0)</f>
        <v>444</v>
      </c>
      <c r="D1520" s="11">
        <f>IFERROR(__xludf.DUMMYFUNCTION("""COMPUTED_VALUE"""),277.0)</f>
        <v>277</v>
      </c>
      <c r="E1520" s="9"/>
    </row>
    <row r="1521">
      <c r="A1521" s="10">
        <f>IFERROR(__xludf.DUMMYFUNCTION("""COMPUTED_VALUE"""),111259.0)</f>
        <v>111259</v>
      </c>
      <c r="B1521" s="11">
        <f>IFERROR(__xludf.DUMMYFUNCTION("""COMPUTED_VALUE"""),0.0)</f>
        <v>0</v>
      </c>
      <c r="C1521" s="11">
        <f>IFERROR(__xludf.DUMMYFUNCTION("""COMPUTED_VALUE"""),928.0)</f>
        <v>928</v>
      </c>
      <c r="D1521" s="11">
        <f>IFERROR(__xludf.DUMMYFUNCTION("""COMPUTED_VALUE"""),351.0)</f>
        <v>351</v>
      </c>
      <c r="E1521" s="9"/>
    </row>
    <row r="1522">
      <c r="A1522" s="10">
        <f>IFERROR(__xludf.DUMMYFUNCTION("""COMPUTED_VALUE"""),89895.0)</f>
        <v>89895</v>
      </c>
      <c r="B1522" s="11">
        <f>IFERROR(__xludf.DUMMYFUNCTION("""COMPUTED_VALUE"""),1.0)</f>
        <v>1</v>
      </c>
      <c r="C1522" s="11">
        <f>IFERROR(__xludf.DUMMYFUNCTION("""COMPUTED_VALUE"""),545.0)</f>
        <v>545</v>
      </c>
      <c r="D1522" s="11">
        <f>IFERROR(__xludf.DUMMYFUNCTION("""COMPUTED_VALUE"""),379.0)</f>
        <v>379</v>
      </c>
      <c r="E1522" s="9"/>
    </row>
    <row r="1523">
      <c r="A1523" s="10">
        <f>IFERROR(__xludf.DUMMYFUNCTION("""COMPUTED_VALUE"""),22014.0)</f>
        <v>22014</v>
      </c>
      <c r="B1523" s="11">
        <f>IFERROR(__xludf.DUMMYFUNCTION("""COMPUTED_VALUE"""),1.0)</f>
        <v>1</v>
      </c>
      <c r="C1523" s="11">
        <f>IFERROR(__xludf.DUMMYFUNCTION("""COMPUTED_VALUE"""),263.0)</f>
        <v>263</v>
      </c>
      <c r="D1523" s="11">
        <f>IFERROR(__xludf.DUMMYFUNCTION("""COMPUTED_VALUE"""),15.0)</f>
        <v>15</v>
      </c>
      <c r="E1523" s="9"/>
    </row>
    <row r="1524">
      <c r="A1524" s="10">
        <f>IFERROR(__xludf.DUMMYFUNCTION("""COMPUTED_VALUE"""),44254.0)</f>
        <v>44254</v>
      </c>
      <c r="B1524" s="11">
        <f>IFERROR(__xludf.DUMMYFUNCTION("""COMPUTED_VALUE"""),0.0)</f>
        <v>0</v>
      </c>
      <c r="C1524" s="11">
        <f>IFERROR(__xludf.DUMMYFUNCTION("""COMPUTED_VALUE"""),366.0)</f>
        <v>366</v>
      </c>
      <c r="D1524" s="11">
        <f>IFERROR(__xludf.DUMMYFUNCTION("""COMPUTED_VALUE"""),243.0)</f>
        <v>243</v>
      </c>
      <c r="E1524" s="9"/>
    </row>
    <row r="1525">
      <c r="A1525" s="10">
        <f>IFERROR(__xludf.DUMMYFUNCTION("""COMPUTED_VALUE"""),22025.0)</f>
        <v>22025</v>
      </c>
      <c r="B1525" s="11">
        <f>IFERROR(__xludf.DUMMYFUNCTION("""COMPUTED_VALUE"""),0.0)</f>
        <v>0</v>
      </c>
      <c r="C1525" s="11">
        <f>IFERROR(__xludf.DUMMYFUNCTION("""COMPUTED_VALUE"""),651.0)</f>
        <v>651</v>
      </c>
      <c r="D1525" s="11">
        <f>IFERROR(__xludf.DUMMYFUNCTION("""COMPUTED_VALUE"""),637.0)</f>
        <v>637</v>
      </c>
      <c r="E1525" s="9"/>
    </row>
    <row r="1526">
      <c r="A1526" s="10">
        <f>IFERROR(__xludf.DUMMYFUNCTION("""COMPUTED_VALUE"""),83765.0)</f>
        <v>83765</v>
      </c>
      <c r="B1526" s="11">
        <f>IFERROR(__xludf.DUMMYFUNCTION("""COMPUTED_VALUE"""),1.0)</f>
        <v>1</v>
      </c>
      <c r="C1526" s="11">
        <f>IFERROR(__xludf.DUMMYFUNCTION("""COMPUTED_VALUE"""),741.0)</f>
        <v>741</v>
      </c>
      <c r="D1526" s="11">
        <f>IFERROR(__xludf.DUMMYFUNCTION("""COMPUTED_VALUE"""),324.0)</f>
        <v>324</v>
      </c>
      <c r="E1526" s="9"/>
    </row>
    <row r="1527">
      <c r="A1527" s="10">
        <f>IFERROR(__xludf.DUMMYFUNCTION("""COMPUTED_VALUE"""),89930.0)</f>
        <v>89930</v>
      </c>
      <c r="B1527" s="11">
        <f>IFERROR(__xludf.DUMMYFUNCTION("""COMPUTED_VALUE"""),1.0)</f>
        <v>1</v>
      </c>
      <c r="C1527" s="11">
        <f>IFERROR(__xludf.DUMMYFUNCTION("""COMPUTED_VALUE"""),906.0)</f>
        <v>906</v>
      </c>
      <c r="D1527" s="11">
        <f>IFERROR(__xludf.DUMMYFUNCTION("""COMPUTED_VALUE"""),151.0)</f>
        <v>151</v>
      </c>
      <c r="E1527" s="9"/>
    </row>
    <row r="1528">
      <c r="A1528" s="10">
        <f>IFERROR(__xludf.DUMMYFUNCTION("""COMPUTED_VALUE"""),83767.0)</f>
        <v>83767</v>
      </c>
      <c r="B1528" s="11">
        <f>IFERROR(__xludf.DUMMYFUNCTION("""COMPUTED_VALUE"""),1.0)</f>
        <v>1</v>
      </c>
      <c r="C1528" s="11">
        <f>IFERROR(__xludf.DUMMYFUNCTION("""COMPUTED_VALUE"""),658.0)</f>
        <v>658</v>
      </c>
      <c r="D1528" s="11">
        <f>IFERROR(__xludf.DUMMYFUNCTION("""COMPUTED_VALUE"""),568.0)</f>
        <v>568</v>
      </c>
      <c r="E1528" s="9"/>
    </row>
    <row r="1529">
      <c r="A1529" s="10">
        <f>IFERROR(__xludf.DUMMYFUNCTION("""COMPUTED_VALUE"""),83745.0)</f>
        <v>83745</v>
      </c>
      <c r="B1529" s="11">
        <f>IFERROR(__xludf.DUMMYFUNCTION("""COMPUTED_VALUE"""),0.0)</f>
        <v>0</v>
      </c>
      <c r="C1529" s="11">
        <f>IFERROR(__xludf.DUMMYFUNCTION("""COMPUTED_VALUE"""),273.0)</f>
        <v>273</v>
      </c>
      <c r="D1529" s="11">
        <f>IFERROR(__xludf.DUMMYFUNCTION("""COMPUTED_VALUE"""),210.0)</f>
        <v>210</v>
      </c>
      <c r="E1529" s="9"/>
    </row>
    <row r="1530">
      <c r="A1530" s="10">
        <f>IFERROR(__xludf.DUMMYFUNCTION("""COMPUTED_VALUE"""),78827.0)</f>
        <v>78827</v>
      </c>
      <c r="B1530" s="11">
        <f>IFERROR(__xludf.DUMMYFUNCTION("""COMPUTED_VALUE"""),0.0)</f>
        <v>0</v>
      </c>
      <c r="C1530" s="11">
        <f>IFERROR(__xludf.DUMMYFUNCTION("""COMPUTED_VALUE"""),626.0)</f>
        <v>626</v>
      </c>
      <c r="D1530" s="11">
        <f>IFERROR(__xludf.DUMMYFUNCTION("""COMPUTED_VALUE"""),170.0)</f>
        <v>170</v>
      </c>
      <c r="E1530" s="9"/>
    </row>
    <row r="1531">
      <c r="A1531" s="10">
        <f>IFERROR(__xludf.DUMMYFUNCTION("""COMPUTED_VALUE"""),122266.0)</f>
        <v>122266</v>
      </c>
      <c r="B1531" s="11">
        <f>IFERROR(__xludf.DUMMYFUNCTION("""COMPUTED_VALUE"""),1.0)</f>
        <v>1</v>
      </c>
      <c r="C1531" s="11">
        <f>IFERROR(__xludf.DUMMYFUNCTION("""COMPUTED_VALUE"""),826.0)</f>
        <v>826</v>
      </c>
      <c r="D1531" s="11">
        <f>IFERROR(__xludf.DUMMYFUNCTION("""COMPUTED_VALUE"""),806.0)</f>
        <v>806</v>
      </c>
      <c r="E1531" s="9"/>
    </row>
    <row r="1532">
      <c r="A1532" s="10">
        <f>IFERROR(__xludf.DUMMYFUNCTION("""COMPUTED_VALUE"""),949.0)</f>
        <v>949</v>
      </c>
      <c r="B1532" s="11">
        <f>IFERROR(__xludf.DUMMYFUNCTION("""COMPUTED_VALUE"""),1.0)</f>
        <v>1</v>
      </c>
      <c r="C1532" s="11">
        <f>IFERROR(__xludf.DUMMYFUNCTION("""COMPUTED_VALUE"""),365.0)</f>
        <v>365</v>
      </c>
      <c r="D1532" s="11">
        <f>IFERROR(__xludf.DUMMYFUNCTION("""COMPUTED_VALUE"""),349.0)</f>
        <v>349</v>
      </c>
      <c r="E1532" s="9"/>
    </row>
    <row r="1533">
      <c r="A1533" s="10">
        <f>IFERROR(__xludf.DUMMYFUNCTION("""COMPUTED_VALUE"""),102595.0)</f>
        <v>102595</v>
      </c>
      <c r="B1533" s="11">
        <f>IFERROR(__xludf.DUMMYFUNCTION("""COMPUTED_VALUE"""),0.0)</f>
        <v>0</v>
      </c>
      <c r="C1533" s="11">
        <f>IFERROR(__xludf.DUMMYFUNCTION("""COMPUTED_VALUE"""),385.0)</f>
        <v>385</v>
      </c>
      <c r="D1533" s="11">
        <f>IFERROR(__xludf.DUMMYFUNCTION("""COMPUTED_VALUE"""),307.0)</f>
        <v>307</v>
      </c>
      <c r="E1533" s="9"/>
    </row>
    <row r="1534">
      <c r="A1534" s="10">
        <f>IFERROR(__xludf.DUMMYFUNCTION("""COMPUTED_VALUE"""),80790.0)</f>
        <v>80790</v>
      </c>
      <c r="B1534" s="11">
        <f>IFERROR(__xludf.DUMMYFUNCTION("""COMPUTED_VALUE"""),1.0)</f>
        <v>1</v>
      </c>
      <c r="C1534" s="11">
        <f>IFERROR(__xludf.DUMMYFUNCTION("""COMPUTED_VALUE"""),889.0)</f>
        <v>889</v>
      </c>
      <c r="D1534" s="11">
        <f>IFERROR(__xludf.DUMMYFUNCTION("""COMPUTED_VALUE"""),253.0)</f>
        <v>253</v>
      </c>
      <c r="E1534" s="9"/>
    </row>
    <row r="1535">
      <c r="A1535" s="10">
        <f>IFERROR(__xludf.DUMMYFUNCTION("""COMPUTED_VALUE"""),114257.0)</f>
        <v>114257</v>
      </c>
      <c r="B1535" s="11">
        <f>IFERROR(__xludf.DUMMYFUNCTION("""COMPUTED_VALUE"""),1.0)</f>
        <v>1</v>
      </c>
      <c r="C1535" s="11">
        <f>IFERROR(__xludf.DUMMYFUNCTION("""COMPUTED_VALUE"""),654.0)</f>
        <v>654</v>
      </c>
      <c r="D1535" s="11">
        <f>IFERROR(__xludf.DUMMYFUNCTION("""COMPUTED_VALUE"""),325.0)</f>
        <v>325</v>
      </c>
      <c r="E1535" s="9"/>
    </row>
    <row r="1536">
      <c r="A1536" s="10">
        <f>IFERROR(__xludf.DUMMYFUNCTION("""COMPUTED_VALUE"""),80121.0)</f>
        <v>80121</v>
      </c>
      <c r="B1536" s="11">
        <f>IFERROR(__xludf.DUMMYFUNCTION("""COMPUTED_VALUE"""),0.0)</f>
        <v>0</v>
      </c>
      <c r="C1536" s="11">
        <f>IFERROR(__xludf.DUMMYFUNCTION("""COMPUTED_VALUE"""),95.0)</f>
        <v>95</v>
      </c>
      <c r="D1536" s="11">
        <f>IFERROR(__xludf.DUMMYFUNCTION("""COMPUTED_VALUE"""),26.0)</f>
        <v>26</v>
      </c>
      <c r="E1536" s="9"/>
    </row>
    <row r="1537">
      <c r="A1537" s="10">
        <f>IFERROR(__xludf.DUMMYFUNCTION("""COMPUTED_VALUE"""),164929.0)</f>
        <v>164929</v>
      </c>
      <c r="B1537" s="11">
        <f>IFERROR(__xludf.DUMMYFUNCTION("""COMPUTED_VALUE"""),1.0)</f>
        <v>1</v>
      </c>
      <c r="C1537" s="11">
        <f>IFERROR(__xludf.DUMMYFUNCTION("""COMPUTED_VALUE"""),557.0)</f>
        <v>557</v>
      </c>
      <c r="D1537" s="11">
        <f>IFERROR(__xludf.DUMMYFUNCTION("""COMPUTED_VALUE"""),251.0)</f>
        <v>251</v>
      </c>
      <c r="E1537" s="9"/>
    </row>
    <row r="1538">
      <c r="A1538" s="10">
        <f>IFERROR(__xludf.DUMMYFUNCTION("""COMPUTED_VALUE"""),80180.0)</f>
        <v>80180</v>
      </c>
      <c r="B1538" s="11">
        <f>IFERROR(__xludf.DUMMYFUNCTION("""COMPUTED_VALUE"""),1.0)</f>
        <v>1</v>
      </c>
      <c r="C1538" s="11">
        <f>IFERROR(__xludf.DUMMYFUNCTION("""COMPUTED_VALUE"""),909.0)</f>
        <v>909</v>
      </c>
      <c r="D1538" s="11">
        <f>IFERROR(__xludf.DUMMYFUNCTION("""COMPUTED_VALUE"""),780.0)</f>
        <v>780</v>
      </c>
      <c r="E1538" s="9"/>
    </row>
    <row r="1539">
      <c r="A1539" s="10">
        <f>IFERROR(__xludf.DUMMYFUNCTION("""COMPUTED_VALUE"""),92930.0)</f>
        <v>92930</v>
      </c>
      <c r="B1539" s="11">
        <f>IFERROR(__xludf.DUMMYFUNCTION("""COMPUTED_VALUE"""),0.0)</f>
        <v>0</v>
      </c>
      <c r="C1539" s="11">
        <f>IFERROR(__xludf.DUMMYFUNCTION("""COMPUTED_VALUE"""),296.0)</f>
        <v>296</v>
      </c>
      <c r="D1539" s="11">
        <f>IFERROR(__xludf.DUMMYFUNCTION("""COMPUTED_VALUE"""),226.0)</f>
        <v>226</v>
      </c>
      <c r="E1539" s="9"/>
    </row>
    <row r="1540">
      <c r="A1540" s="10">
        <f>IFERROR(__xludf.DUMMYFUNCTION("""COMPUTED_VALUE"""),147271.0)</f>
        <v>147271</v>
      </c>
      <c r="B1540" s="11">
        <f>IFERROR(__xludf.DUMMYFUNCTION("""COMPUTED_VALUE"""),0.0)</f>
        <v>0</v>
      </c>
      <c r="C1540" s="11">
        <f>IFERROR(__xludf.DUMMYFUNCTION("""COMPUTED_VALUE"""),910.0)</f>
        <v>910</v>
      </c>
      <c r="D1540" s="11">
        <f>IFERROR(__xludf.DUMMYFUNCTION("""COMPUTED_VALUE"""),711.0)</f>
        <v>711</v>
      </c>
      <c r="E1540" s="9"/>
    </row>
    <row r="1541">
      <c r="A1541" s="10">
        <f>IFERROR(__xludf.DUMMYFUNCTION("""COMPUTED_VALUE"""),83748.0)</f>
        <v>83748</v>
      </c>
      <c r="B1541" s="11">
        <f>IFERROR(__xludf.DUMMYFUNCTION("""COMPUTED_VALUE"""),0.0)</f>
        <v>0</v>
      </c>
      <c r="C1541" s="11">
        <f>IFERROR(__xludf.DUMMYFUNCTION("""COMPUTED_VALUE"""),123.0)</f>
        <v>123</v>
      </c>
      <c r="D1541" s="11">
        <f>IFERROR(__xludf.DUMMYFUNCTION("""COMPUTED_VALUE"""),67.0)</f>
        <v>67</v>
      </c>
      <c r="E1541" s="9"/>
    </row>
    <row r="1542">
      <c r="A1542" s="10">
        <f>IFERROR(__xludf.DUMMYFUNCTION("""COMPUTED_VALUE"""),80120.0)</f>
        <v>80120</v>
      </c>
      <c r="B1542" s="11">
        <f>IFERROR(__xludf.DUMMYFUNCTION("""COMPUTED_VALUE"""),1.0)</f>
        <v>1</v>
      </c>
      <c r="C1542" s="11">
        <f>IFERROR(__xludf.DUMMYFUNCTION("""COMPUTED_VALUE"""),186.0)</f>
        <v>186</v>
      </c>
      <c r="D1542" s="11">
        <f>IFERROR(__xludf.DUMMYFUNCTION("""COMPUTED_VALUE"""),43.0)</f>
        <v>43</v>
      </c>
      <c r="E1542" s="9"/>
    </row>
    <row r="1543">
      <c r="A1543" s="10">
        <f>IFERROR(__xludf.DUMMYFUNCTION("""COMPUTED_VALUE"""),164931.0)</f>
        <v>164931</v>
      </c>
      <c r="B1543" s="11">
        <f>IFERROR(__xludf.DUMMYFUNCTION("""COMPUTED_VALUE"""),1.0)</f>
        <v>1</v>
      </c>
      <c r="C1543" s="11">
        <f>IFERROR(__xludf.DUMMYFUNCTION("""COMPUTED_VALUE"""),613.0)</f>
        <v>613</v>
      </c>
      <c r="D1543" s="11">
        <f>IFERROR(__xludf.DUMMYFUNCTION("""COMPUTED_VALUE"""),497.0)</f>
        <v>497</v>
      </c>
      <c r="E1543" s="9"/>
    </row>
    <row r="1544">
      <c r="A1544" s="10">
        <f>IFERROR(__xludf.DUMMYFUNCTION("""COMPUTED_VALUE"""),78804.0)</f>
        <v>78804</v>
      </c>
      <c r="B1544" s="11">
        <f>IFERROR(__xludf.DUMMYFUNCTION("""COMPUTED_VALUE"""),1.0)</f>
        <v>1</v>
      </c>
      <c r="C1544" s="11">
        <f>IFERROR(__xludf.DUMMYFUNCTION("""COMPUTED_VALUE"""),737.0)</f>
        <v>737</v>
      </c>
      <c r="D1544" s="11">
        <f>IFERROR(__xludf.DUMMYFUNCTION("""COMPUTED_VALUE"""),718.0)</f>
        <v>718</v>
      </c>
      <c r="E1544" s="9"/>
    </row>
    <row r="1545">
      <c r="A1545" s="10">
        <f>IFERROR(__xludf.DUMMYFUNCTION("""COMPUTED_VALUE"""),103096.0)</f>
        <v>103096</v>
      </c>
      <c r="B1545" s="11">
        <f>IFERROR(__xludf.DUMMYFUNCTION("""COMPUTED_VALUE"""),0.0)</f>
        <v>0</v>
      </c>
      <c r="C1545" s="11">
        <f>IFERROR(__xludf.DUMMYFUNCTION("""COMPUTED_VALUE"""),431.0)</f>
        <v>431</v>
      </c>
      <c r="D1545" s="11">
        <f>IFERROR(__xludf.DUMMYFUNCTION("""COMPUTED_VALUE"""),79.0)</f>
        <v>79</v>
      </c>
      <c r="E1545" s="9"/>
    </row>
    <row r="1546">
      <c r="A1546" s="10">
        <f>IFERROR(__xludf.DUMMYFUNCTION("""COMPUTED_VALUE"""),180770.0)</f>
        <v>180770</v>
      </c>
      <c r="B1546" s="11">
        <f>IFERROR(__xludf.DUMMYFUNCTION("""COMPUTED_VALUE"""),1.0)</f>
        <v>1</v>
      </c>
      <c r="C1546" s="11">
        <f>IFERROR(__xludf.DUMMYFUNCTION("""COMPUTED_VALUE"""),872.0)</f>
        <v>872</v>
      </c>
      <c r="D1546" s="11">
        <f>IFERROR(__xludf.DUMMYFUNCTION("""COMPUTED_VALUE"""),358.0)</f>
        <v>358</v>
      </c>
      <c r="E1546" s="9"/>
    </row>
    <row r="1547">
      <c r="A1547" s="10">
        <f>IFERROR(__xludf.DUMMYFUNCTION("""COMPUTED_VALUE"""),80115.0)</f>
        <v>80115</v>
      </c>
      <c r="B1547" s="11">
        <f>IFERROR(__xludf.DUMMYFUNCTION("""COMPUTED_VALUE"""),1.0)</f>
        <v>1</v>
      </c>
      <c r="C1547" s="11">
        <f>IFERROR(__xludf.DUMMYFUNCTION("""COMPUTED_VALUE"""),456.0)</f>
        <v>456</v>
      </c>
      <c r="D1547" s="11">
        <f>IFERROR(__xludf.DUMMYFUNCTION("""COMPUTED_VALUE"""),124.0)</f>
        <v>124</v>
      </c>
      <c r="E1547" s="9"/>
    </row>
    <row r="1548">
      <c r="A1548" s="10">
        <f>IFERROR(__xludf.DUMMYFUNCTION("""COMPUTED_VALUE"""),83771.0)</f>
        <v>83771</v>
      </c>
      <c r="B1548" s="11">
        <f>IFERROR(__xludf.DUMMYFUNCTION("""COMPUTED_VALUE"""),0.0)</f>
        <v>0</v>
      </c>
      <c r="C1548" s="11">
        <f>IFERROR(__xludf.DUMMYFUNCTION("""COMPUTED_VALUE"""),234.0)</f>
        <v>234</v>
      </c>
      <c r="D1548" s="11">
        <f>IFERROR(__xludf.DUMMYFUNCTION("""COMPUTED_VALUE"""),76.0)</f>
        <v>76</v>
      </c>
      <c r="E1548" s="9"/>
    </row>
    <row r="1549">
      <c r="A1549" s="10">
        <f>IFERROR(__xludf.DUMMYFUNCTION("""COMPUTED_VALUE"""),80124.0)</f>
        <v>80124</v>
      </c>
      <c r="B1549" s="11">
        <f>IFERROR(__xludf.DUMMYFUNCTION("""COMPUTED_VALUE"""),0.0)</f>
        <v>0</v>
      </c>
      <c r="C1549" s="11">
        <f>IFERROR(__xludf.DUMMYFUNCTION("""COMPUTED_VALUE"""),348.0)</f>
        <v>348</v>
      </c>
      <c r="D1549" s="11">
        <f>IFERROR(__xludf.DUMMYFUNCTION("""COMPUTED_VALUE"""),18.0)</f>
        <v>18</v>
      </c>
      <c r="E1549" s="9"/>
    </row>
    <row r="1550">
      <c r="A1550" s="10">
        <f>IFERROR(__xludf.DUMMYFUNCTION("""COMPUTED_VALUE"""),80111.0)</f>
        <v>80111</v>
      </c>
      <c r="B1550" s="11">
        <f>IFERROR(__xludf.DUMMYFUNCTION("""COMPUTED_VALUE"""),1.0)</f>
        <v>1</v>
      </c>
      <c r="C1550" s="11">
        <f>IFERROR(__xludf.DUMMYFUNCTION("""COMPUTED_VALUE"""),596.0)</f>
        <v>596</v>
      </c>
      <c r="D1550" s="11">
        <f>IFERROR(__xludf.DUMMYFUNCTION("""COMPUTED_VALUE"""),219.0)</f>
        <v>219</v>
      </c>
      <c r="E1550" s="9"/>
    </row>
    <row r="1551">
      <c r="A1551" s="10">
        <f>IFERROR(__xludf.DUMMYFUNCTION("""COMPUTED_VALUE"""),63864.0)</f>
        <v>63864</v>
      </c>
      <c r="B1551" s="11">
        <f>IFERROR(__xludf.DUMMYFUNCTION("""COMPUTED_VALUE"""),1.0)</f>
        <v>1</v>
      </c>
      <c r="C1551" s="11">
        <f>IFERROR(__xludf.DUMMYFUNCTION("""COMPUTED_VALUE"""),1.0)</f>
        <v>1</v>
      </c>
      <c r="D1551" s="11">
        <f>IFERROR(__xludf.DUMMYFUNCTION("""COMPUTED_VALUE"""),0.0)</f>
        <v>0</v>
      </c>
      <c r="E1551" s="9"/>
    </row>
    <row r="1552">
      <c r="A1552" s="10">
        <f>IFERROR(__xludf.DUMMYFUNCTION("""COMPUTED_VALUE"""),76824.0)</f>
        <v>76824</v>
      </c>
      <c r="B1552" s="11">
        <f>IFERROR(__xludf.DUMMYFUNCTION("""COMPUTED_VALUE"""),0.0)</f>
        <v>0</v>
      </c>
      <c r="C1552" s="11">
        <f>IFERROR(__xludf.DUMMYFUNCTION("""COMPUTED_VALUE"""),165.0)</f>
        <v>165</v>
      </c>
      <c r="D1552" s="11">
        <f>IFERROR(__xludf.DUMMYFUNCTION("""COMPUTED_VALUE"""),5.0)</f>
        <v>5</v>
      </c>
      <c r="E1552" s="9"/>
    </row>
    <row r="1553">
      <c r="A1553" s="10">
        <f>IFERROR(__xludf.DUMMYFUNCTION("""COMPUTED_VALUE"""),102599.0)</f>
        <v>102599</v>
      </c>
      <c r="B1553" s="11">
        <f>IFERROR(__xludf.DUMMYFUNCTION("""COMPUTED_VALUE"""),0.0)</f>
        <v>0</v>
      </c>
      <c r="C1553" s="11">
        <f>IFERROR(__xludf.DUMMYFUNCTION("""COMPUTED_VALUE"""),398.0)</f>
        <v>398</v>
      </c>
      <c r="D1553" s="11">
        <f>IFERROR(__xludf.DUMMYFUNCTION("""COMPUTED_VALUE"""),29.0)</f>
        <v>29</v>
      </c>
      <c r="E1553" s="9"/>
    </row>
    <row r="1554">
      <c r="A1554" s="10">
        <f>IFERROR(__xludf.DUMMYFUNCTION("""COMPUTED_VALUE"""),103001.0)</f>
        <v>103001</v>
      </c>
      <c r="B1554" s="11">
        <f>IFERROR(__xludf.DUMMYFUNCTION("""COMPUTED_VALUE"""),1.0)</f>
        <v>1</v>
      </c>
      <c r="C1554" s="11">
        <f>IFERROR(__xludf.DUMMYFUNCTION("""COMPUTED_VALUE"""),25.0)</f>
        <v>25</v>
      </c>
      <c r="D1554" s="11">
        <f>IFERROR(__xludf.DUMMYFUNCTION("""COMPUTED_VALUE"""),11.0)</f>
        <v>11</v>
      </c>
      <c r="E1554" s="9"/>
    </row>
    <row r="1555">
      <c r="A1555" s="10">
        <f>IFERROR(__xludf.DUMMYFUNCTION("""COMPUTED_VALUE"""),164928.0)</f>
        <v>164928</v>
      </c>
      <c r="B1555" s="11">
        <f>IFERROR(__xludf.DUMMYFUNCTION("""COMPUTED_VALUE"""),1.0)</f>
        <v>1</v>
      </c>
      <c r="C1555" s="11">
        <f>IFERROR(__xludf.DUMMYFUNCTION("""COMPUTED_VALUE"""),371.0)</f>
        <v>371</v>
      </c>
      <c r="D1555" s="11">
        <f>IFERROR(__xludf.DUMMYFUNCTION("""COMPUTED_VALUE"""),321.0)</f>
        <v>321</v>
      </c>
      <c r="E1555" s="9"/>
    </row>
    <row r="1556">
      <c r="A1556" s="10">
        <f>IFERROR(__xludf.DUMMYFUNCTION("""COMPUTED_VALUE"""),80791.0)</f>
        <v>80791</v>
      </c>
      <c r="B1556" s="11">
        <f>IFERROR(__xludf.DUMMYFUNCTION("""COMPUTED_VALUE"""),1.0)</f>
        <v>1</v>
      </c>
      <c r="C1556" s="11">
        <f>IFERROR(__xludf.DUMMYFUNCTION("""COMPUTED_VALUE"""),396.0)</f>
        <v>396</v>
      </c>
      <c r="D1556" s="11">
        <f>IFERROR(__xludf.DUMMYFUNCTION("""COMPUTED_VALUE"""),180.0)</f>
        <v>180</v>
      </c>
      <c r="E1556" s="9"/>
    </row>
    <row r="1557">
      <c r="A1557" s="10">
        <f>IFERROR(__xludf.DUMMYFUNCTION("""COMPUTED_VALUE"""),83223.0)</f>
        <v>83223</v>
      </c>
      <c r="B1557" s="11">
        <f>IFERROR(__xludf.DUMMYFUNCTION("""COMPUTED_VALUE"""),0.0)</f>
        <v>0</v>
      </c>
      <c r="C1557" s="11">
        <f>IFERROR(__xludf.DUMMYFUNCTION("""COMPUTED_VALUE"""),960.0)</f>
        <v>960</v>
      </c>
      <c r="D1557" s="11">
        <f>IFERROR(__xludf.DUMMYFUNCTION("""COMPUTED_VALUE"""),658.0)</f>
        <v>658</v>
      </c>
      <c r="E1557" s="9"/>
    </row>
    <row r="1558">
      <c r="A1558" s="10">
        <f>IFERROR(__xludf.DUMMYFUNCTION("""COMPUTED_VALUE"""),951.0)</f>
        <v>951</v>
      </c>
      <c r="B1558" s="11">
        <f>IFERROR(__xludf.DUMMYFUNCTION("""COMPUTED_VALUE"""),1.0)</f>
        <v>1</v>
      </c>
      <c r="C1558" s="11">
        <f>IFERROR(__xludf.DUMMYFUNCTION("""COMPUTED_VALUE"""),157.0)</f>
        <v>157</v>
      </c>
      <c r="D1558" s="11">
        <f>IFERROR(__xludf.DUMMYFUNCTION("""COMPUTED_VALUE"""),154.0)</f>
        <v>154</v>
      </c>
      <c r="E1558" s="9"/>
    </row>
    <row r="1559">
      <c r="A1559" s="10">
        <f>IFERROR(__xludf.DUMMYFUNCTION("""COMPUTED_VALUE"""),149928.0)</f>
        <v>149928</v>
      </c>
      <c r="B1559" s="11">
        <f>IFERROR(__xludf.DUMMYFUNCTION("""COMPUTED_VALUE"""),1.0)</f>
        <v>1</v>
      </c>
      <c r="C1559" s="11">
        <f>IFERROR(__xludf.DUMMYFUNCTION("""COMPUTED_VALUE"""),856.0)</f>
        <v>856</v>
      </c>
      <c r="D1559" s="11">
        <f>IFERROR(__xludf.DUMMYFUNCTION("""COMPUTED_VALUE"""),549.0)</f>
        <v>549</v>
      </c>
      <c r="E1559" s="9"/>
    </row>
    <row r="1560">
      <c r="A1560" s="10">
        <f>IFERROR(__xludf.DUMMYFUNCTION("""COMPUTED_VALUE"""),60375.0)</f>
        <v>60375</v>
      </c>
      <c r="B1560" s="11">
        <f>IFERROR(__xludf.DUMMYFUNCTION("""COMPUTED_VALUE"""),1.0)</f>
        <v>1</v>
      </c>
      <c r="C1560" s="11">
        <f>IFERROR(__xludf.DUMMYFUNCTION("""COMPUTED_VALUE"""),622.0)</f>
        <v>622</v>
      </c>
      <c r="D1560" s="11">
        <f>IFERROR(__xludf.DUMMYFUNCTION("""COMPUTED_VALUE"""),526.0)</f>
        <v>526</v>
      </c>
      <c r="E1560" s="9"/>
    </row>
    <row r="1561">
      <c r="A1561" s="10">
        <f>IFERROR(__xludf.DUMMYFUNCTION("""COMPUTED_VALUE"""),102594.0)</f>
        <v>102594</v>
      </c>
      <c r="B1561" s="11">
        <f>IFERROR(__xludf.DUMMYFUNCTION("""COMPUTED_VALUE"""),1.0)</f>
        <v>1</v>
      </c>
      <c r="C1561" s="11">
        <f>IFERROR(__xludf.DUMMYFUNCTION("""COMPUTED_VALUE"""),395.0)</f>
        <v>395</v>
      </c>
      <c r="D1561" s="11">
        <f>IFERROR(__xludf.DUMMYFUNCTION("""COMPUTED_VALUE"""),210.0)</f>
        <v>210</v>
      </c>
      <c r="E1561" s="9"/>
    </row>
    <row r="1562">
      <c r="A1562" s="10">
        <f>IFERROR(__xludf.DUMMYFUNCTION("""COMPUTED_VALUE"""),128218.0)</f>
        <v>128218</v>
      </c>
      <c r="B1562" s="11">
        <f>IFERROR(__xludf.DUMMYFUNCTION("""COMPUTED_VALUE"""),0.0)</f>
        <v>0</v>
      </c>
      <c r="C1562" s="11">
        <f>IFERROR(__xludf.DUMMYFUNCTION("""COMPUTED_VALUE"""),871.0)</f>
        <v>871</v>
      </c>
      <c r="D1562" s="11">
        <f>IFERROR(__xludf.DUMMYFUNCTION("""COMPUTED_VALUE"""),567.0)</f>
        <v>567</v>
      </c>
      <c r="E1562" s="9"/>
    </row>
    <row r="1563">
      <c r="A1563" s="10">
        <f>IFERROR(__xludf.DUMMYFUNCTION("""COMPUTED_VALUE"""),80178.0)</f>
        <v>80178</v>
      </c>
      <c r="B1563" s="11">
        <f>IFERROR(__xludf.DUMMYFUNCTION("""COMPUTED_VALUE"""),1.0)</f>
        <v>1</v>
      </c>
      <c r="C1563" s="11">
        <f>IFERROR(__xludf.DUMMYFUNCTION("""COMPUTED_VALUE"""),357.0)</f>
        <v>357</v>
      </c>
      <c r="D1563" s="11">
        <f>IFERROR(__xludf.DUMMYFUNCTION("""COMPUTED_VALUE"""),23.0)</f>
        <v>23</v>
      </c>
      <c r="E1563" s="9"/>
    </row>
    <row r="1564">
      <c r="A1564" s="10">
        <f>IFERROR(__xludf.DUMMYFUNCTION("""COMPUTED_VALUE"""),164932.0)</f>
        <v>164932</v>
      </c>
      <c r="B1564" s="11">
        <f>IFERROR(__xludf.DUMMYFUNCTION("""COMPUTED_VALUE"""),0.0)</f>
        <v>0</v>
      </c>
      <c r="C1564" s="11">
        <f>IFERROR(__xludf.DUMMYFUNCTION("""COMPUTED_VALUE"""),934.0)</f>
        <v>934</v>
      </c>
      <c r="D1564" s="11">
        <f>IFERROR(__xludf.DUMMYFUNCTION("""COMPUTED_VALUE"""),160.0)</f>
        <v>160</v>
      </c>
      <c r="E1564" s="9"/>
    </row>
    <row r="1565">
      <c r="A1565" s="10">
        <f>IFERROR(__xludf.DUMMYFUNCTION("""COMPUTED_VALUE"""),22036.0)</f>
        <v>22036</v>
      </c>
      <c r="B1565" s="11">
        <f>IFERROR(__xludf.DUMMYFUNCTION("""COMPUTED_VALUE"""),0.0)</f>
        <v>0</v>
      </c>
      <c r="C1565" s="11">
        <f>IFERROR(__xludf.DUMMYFUNCTION("""COMPUTED_VALUE"""),250.0)</f>
        <v>250</v>
      </c>
      <c r="D1565" s="11">
        <f>IFERROR(__xludf.DUMMYFUNCTION("""COMPUTED_VALUE"""),38.0)</f>
        <v>38</v>
      </c>
      <c r="E1565" s="9"/>
    </row>
    <row r="1566">
      <c r="A1566" s="10">
        <f>IFERROR(__xludf.DUMMYFUNCTION("""COMPUTED_VALUE"""),102585.0)</f>
        <v>102585</v>
      </c>
      <c r="B1566" s="11">
        <f>IFERROR(__xludf.DUMMYFUNCTION("""COMPUTED_VALUE"""),0.0)</f>
        <v>0</v>
      </c>
      <c r="C1566" s="11">
        <f>IFERROR(__xludf.DUMMYFUNCTION("""COMPUTED_VALUE"""),417.0)</f>
        <v>417</v>
      </c>
      <c r="D1566" s="11">
        <f>IFERROR(__xludf.DUMMYFUNCTION("""COMPUTED_VALUE"""),217.0)</f>
        <v>217</v>
      </c>
      <c r="E1566" s="9"/>
    </row>
    <row r="1567">
      <c r="A1567" s="10">
        <f>IFERROR(__xludf.DUMMYFUNCTION("""COMPUTED_VALUE"""),78816.0)</f>
        <v>78816</v>
      </c>
      <c r="B1567" s="11">
        <f>IFERROR(__xludf.DUMMYFUNCTION("""COMPUTED_VALUE"""),1.0)</f>
        <v>1</v>
      </c>
      <c r="C1567" s="11">
        <f>IFERROR(__xludf.DUMMYFUNCTION("""COMPUTED_VALUE"""),258.0)</f>
        <v>258</v>
      </c>
      <c r="D1567" s="11">
        <f>IFERROR(__xludf.DUMMYFUNCTION("""COMPUTED_VALUE"""),81.0)</f>
        <v>81</v>
      </c>
      <c r="E1567" s="9"/>
    </row>
    <row r="1568">
      <c r="A1568" s="10">
        <f>IFERROR(__xludf.DUMMYFUNCTION("""COMPUTED_VALUE"""),78822.0)</f>
        <v>78822</v>
      </c>
      <c r="B1568" s="11">
        <f>IFERROR(__xludf.DUMMYFUNCTION("""COMPUTED_VALUE"""),1.0)</f>
        <v>1</v>
      </c>
      <c r="C1568" s="11">
        <f>IFERROR(__xludf.DUMMYFUNCTION("""COMPUTED_VALUE"""),416.0)</f>
        <v>416</v>
      </c>
      <c r="D1568" s="11">
        <f>IFERROR(__xludf.DUMMYFUNCTION("""COMPUTED_VALUE"""),378.0)</f>
        <v>378</v>
      </c>
      <c r="E1568" s="9"/>
    </row>
    <row r="1569">
      <c r="A1569" s="10">
        <f>IFERROR(__xludf.DUMMYFUNCTION("""COMPUTED_VALUE"""),83773.0)</f>
        <v>83773</v>
      </c>
      <c r="B1569" s="11">
        <f>IFERROR(__xludf.DUMMYFUNCTION("""COMPUTED_VALUE"""),0.0)</f>
        <v>0</v>
      </c>
      <c r="C1569" s="11">
        <f>IFERROR(__xludf.DUMMYFUNCTION("""COMPUTED_VALUE"""),802.0)</f>
        <v>802</v>
      </c>
      <c r="D1569" s="11">
        <f>IFERROR(__xludf.DUMMYFUNCTION("""COMPUTED_VALUE"""),19.0)</f>
        <v>19</v>
      </c>
      <c r="E1569" s="9"/>
    </row>
    <row r="1570">
      <c r="A1570" s="10">
        <f>IFERROR(__xludf.DUMMYFUNCTION("""COMPUTED_VALUE"""),114720.0)</f>
        <v>114720</v>
      </c>
      <c r="B1570" s="11">
        <f>IFERROR(__xludf.DUMMYFUNCTION("""COMPUTED_VALUE"""),0.0)</f>
        <v>0</v>
      </c>
      <c r="C1570" s="11">
        <f>IFERROR(__xludf.DUMMYFUNCTION("""COMPUTED_VALUE"""),942.0)</f>
        <v>942</v>
      </c>
      <c r="D1570" s="11">
        <f>IFERROR(__xludf.DUMMYFUNCTION("""COMPUTED_VALUE"""),516.0)</f>
        <v>516</v>
      </c>
      <c r="E1570" s="9"/>
    </row>
    <row r="1571">
      <c r="A1571" s="10">
        <f>IFERROR(__xludf.DUMMYFUNCTION("""COMPUTED_VALUE"""),83777.0)</f>
        <v>83777</v>
      </c>
      <c r="B1571" s="11">
        <f>IFERROR(__xludf.DUMMYFUNCTION("""COMPUTED_VALUE"""),0.0)</f>
        <v>0</v>
      </c>
      <c r="C1571" s="11">
        <f>IFERROR(__xludf.DUMMYFUNCTION("""COMPUTED_VALUE"""),238.0)</f>
        <v>238</v>
      </c>
      <c r="D1571" s="11">
        <f>IFERROR(__xludf.DUMMYFUNCTION("""COMPUTED_VALUE"""),154.0)</f>
        <v>154</v>
      </c>
      <c r="E1571" s="9"/>
    </row>
    <row r="1572">
      <c r="A1572" s="10">
        <f>IFERROR(__xludf.DUMMYFUNCTION("""COMPUTED_VALUE"""),102593.0)</f>
        <v>102593</v>
      </c>
      <c r="B1572" s="11">
        <f>IFERROR(__xludf.DUMMYFUNCTION("""COMPUTED_VALUE"""),0.0)</f>
        <v>0</v>
      </c>
      <c r="C1572" s="11">
        <f>IFERROR(__xludf.DUMMYFUNCTION("""COMPUTED_VALUE"""),95.0)</f>
        <v>95</v>
      </c>
      <c r="D1572" s="11">
        <f>IFERROR(__xludf.DUMMYFUNCTION("""COMPUTED_VALUE"""),67.0)</f>
        <v>67</v>
      </c>
      <c r="E1572" s="9"/>
    </row>
    <row r="1573">
      <c r="A1573" s="10">
        <f>IFERROR(__xludf.DUMMYFUNCTION("""COMPUTED_VALUE"""),164930.0)</f>
        <v>164930</v>
      </c>
      <c r="B1573" s="11">
        <f>IFERROR(__xludf.DUMMYFUNCTION("""COMPUTED_VALUE"""),1.0)</f>
        <v>1</v>
      </c>
      <c r="C1573" s="11">
        <f>IFERROR(__xludf.DUMMYFUNCTION("""COMPUTED_VALUE"""),712.0)</f>
        <v>712</v>
      </c>
      <c r="D1573" s="11">
        <f>IFERROR(__xludf.DUMMYFUNCTION("""COMPUTED_VALUE"""),211.0)</f>
        <v>211</v>
      </c>
      <c r="E1573" s="9"/>
    </row>
    <row r="1574">
      <c r="A1574" s="10">
        <f>IFERROR(__xludf.DUMMYFUNCTION("""COMPUTED_VALUE"""),102584.0)</f>
        <v>102584</v>
      </c>
      <c r="B1574" s="11">
        <f>IFERROR(__xludf.DUMMYFUNCTION("""COMPUTED_VALUE"""),0.0)</f>
        <v>0</v>
      </c>
      <c r="C1574" s="11">
        <f>IFERROR(__xludf.DUMMYFUNCTION("""COMPUTED_VALUE"""),883.0)</f>
        <v>883</v>
      </c>
      <c r="D1574" s="11">
        <f>IFERROR(__xludf.DUMMYFUNCTION("""COMPUTED_VALUE"""),619.0)</f>
        <v>619</v>
      </c>
      <c r="E1574" s="9"/>
    </row>
    <row r="1575">
      <c r="A1575" s="10">
        <f>IFERROR(__xludf.DUMMYFUNCTION("""COMPUTED_VALUE"""),102586.0)</f>
        <v>102586</v>
      </c>
      <c r="B1575" s="11">
        <f>IFERROR(__xludf.DUMMYFUNCTION("""COMPUTED_VALUE"""),1.0)</f>
        <v>1</v>
      </c>
      <c r="C1575" s="11">
        <f>IFERROR(__xludf.DUMMYFUNCTION("""COMPUTED_VALUE"""),311.0)</f>
        <v>311</v>
      </c>
      <c r="D1575" s="11">
        <f>IFERROR(__xludf.DUMMYFUNCTION("""COMPUTED_VALUE"""),104.0)</f>
        <v>104</v>
      </c>
      <c r="E1575" s="9"/>
    </row>
    <row r="1576">
      <c r="A1576" s="10">
        <f>IFERROR(__xludf.DUMMYFUNCTION("""COMPUTED_VALUE"""),83758.0)</f>
        <v>83758</v>
      </c>
      <c r="B1576" s="11">
        <f>IFERROR(__xludf.DUMMYFUNCTION("""COMPUTED_VALUE"""),1.0)</f>
        <v>1</v>
      </c>
      <c r="C1576" s="11">
        <f>IFERROR(__xludf.DUMMYFUNCTION("""COMPUTED_VALUE"""),284.0)</f>
        <v>284</v>
      </c>
      <c r="D1576" s="11">
        <f>IFERROR(__xludf.DUMMYFUNCTION("""COMPUTED_VALUE"""),202.0)</f>
        <v>202</v>
      </c>
      <c r="E1576" s="9"/>
    </row>
    <row r="1577">
      <c r="A1577" s="10">
        <f>IFERROR(__xludf.DUMMYFUNCTION("""COMPUTED_VALUE"""),80189.0)</f>
        <v>80189</v>
      </c>
      <c r="B1577" s="11">
        <f>IFERROR(__xludf.DUMMYFUNCTION("""COMPUTED_VALUE"""),0.0)</f>
        <v>0</v>
      </c>
      <c r="C1577" s="11">
        <f>IFERROR(__xludf.DUMMYFUNCTION("""COMPUTED_VALUE"""),302.0)</f>
        <v>302</v>
      </c>
      <c r="D1577" s="11">
        <f>IFERROR(__xludf.DUMMYFUNCTION("""COMPUTED_VALUE"""),272.0)</f>
        <v>272</v>
      </c>
      <c r="E1577" s="9"/>
    </row>
    <row r="1578">
      <c r="A1578" s="10">
        <f>IFERROR(__xludf.DUMMYFUNCTION("""COMPUTED_VALUE"""),26148.0)</f>
        <v>26148</v>
      </c>
      <c r="B1578" s="11">
        <f>IFERROR(__xludf.DUMMYFUNCTION("""COMPUTED_VALUE"""),0.0)</f>
        <v>0</v>
      </c>
      <c r="C1578" s="11">
        <f>IFERROR(__xludf.DUMMYFUNCTION("""COMPUTED_VALUE"""),11.0)</f>
        <v>11</v>
      </c>
      <c r="D1578" s="11">
        <f>IFERROR(__xludf.DUMMYFUNCTION("""COMPUTED_VALUE"""),9.0)</f>
        <v>9</v>
      </c>
      <c r="E1578" s="9"/>
    </row>
    <row r="1579">
      <c r="A1579" s="10">
        <f>IFERROR(__xludf.DUMMYFUNCTION("""COMPUTED_VALUE"""),121902.0)</f>
        <v>121902</v>
      </c>
      <c r="B1579" s="11">
        <f>IFERROR(__xludf.DUMMYFUNCTION("""COMPUTED_VALUE"""),0.0)</f>
        <v>0</v>
      </c>
      <c r="C1579" s="11">
        <f>IFERROR(__xludf.DUMMYFUNCTION("""COMPUTED_VALUE"""),867.0)</f>
        <v>867</v>
      </c>
      <c r="D1579" s="11">
        <f>IFERROR(__xludf.DUMMYFUNCTION("""COMPUTED_VALUE"""),602.0)</f>
        <v>602</v>
      </c>
      <c r="E1579" s="9"/>
    </row>
    <row r="1580">
      <c r="A1580" s="10">
        <f>IFERROR(__xludf.DUMMYFUNCTION("""COMPUTED_VALUE"""),21032.0)</f>
        <v>21032</v>
      </c>
      <c r="B1580" s="11">
        <f>IFERROR(__xludf.DUMMYFUNCTION("""COMPUTED_VALUE"""),1.0)</f>
        <v>1</v>
      </c>
      <c r="C1580" s="11">
        <f>IFERROR(__xludf.DUMMYFUNCTION("""COMPUTED_VALUE"""),581.0)</f>
        <v>581</v>
      </c>
      <c r="D1580" s="11">
        <f>IFERROR(__xludf.DUMMYFUNCTION("""COMPUTED_VALUE"""),169.0)</f>
        <v>169</v>
      </c>
      <c r="E1580" s="9"/>
    </row>
    <row r="1581">
      <c r="A1581" s="10">
        <f>IFERROR(__xludf.DUMMYFUNCTION("""COMPUTED_VALUE"""),22071.0)</f>
        <v>22071</v>
      </c>
      <c r="B1581" s="11">
        <f>IFERROR(__xludf.DUMMYFUNCTION("""COMPUTED_VALUE"""),1.0)</f>
        <v>1</v>
      </c>
      <c r="C1581" s="11">
        <f>IFERROR(__xludf.DUMMYFUNCTION("""COMPUTED_VALUE"""),58.0)</f>
        <v>58</v>
      </c>
      <c r="D1581" s="11">
        <f>IFERROR(__xludf.DUMMYFUNCTION("""COMPUTED_VALUE"""),46.0)</f>
        <v>46</v>
      </c>
      <c r="E1581" s="9"/>
    </row>
    <row r="1582">
      <c r="A1582" s="10">
        <f>IFERROR(__xludf.DUMMYFUNCTION("""COMPUTED_VALUE"""),87404.0)</f>
        <v>87404</v>
      </c>
      <c r="B1582" s="11">
        <f>IFERROR(__xludf.DUMMYFUNCTION("""COMPUTED_VALUE"""),1.0)</f>
        <v>1</v>
      </c>
      <c r="C1582" s="11">
        <f>IFERROR(__xludf.DUMMYFUNCTION("""COMPUTED_VALUE"""),308.0)</f>
        <v>308</v>
      </c>
      <c r="D1582" s="11">
        <f>IFERROR(__xludf.DUMMYFUNCTION("""COMPUTED_VALUE"""),204.0)</f>
        <v>204</v>
      </c>
      <c r="E1582" s="9"/>
    </row>
    <row r="1583">
      <c r="A1583" s="10">
        <f>IFERROR(__xludf.DUMMYFUNCTION("""COMPUTED_VALUE"""),42712.0)</f>
        <v>42712</v>
      </c>
      <c r="B1583" s="11">
        <f>IFERROR(__xludf.DUMMYFUNCTION("""COMPUTED_VALUE"""),0.0)</f>
        <v>0</v>
      </c>
      <c r="C1583" s="11">
        <f>IFERROR(__xludf.DUMMYFUNCTION("""COMPUTED_VALUE"""),288.0)</f>
        <v>288</v>
      </c>
      <c r="D1583" s="11">
        <f>IFERROR(__xludf.DUMMYFUNCTION("""COMPUTED_VALUE"""),229.0)</f>
        <v>229</v>
      </c>
      <c r="E1583" s="9"/>
    </row>
    <row r="1584">
      <c r="A1584" s="10">
        <f>IFERROR(__xludf.DUMMYFUNCTION("""COMPUTED_VALUE"""),76609.0)</f>
        <v>76609</v>
      </c>
      <c r="B1584" s="11">
        <f>IFERROR(__xludf.DUMMYFUNCTION("""COMPUTED_VALUE"""),1.0)</f>
        <v>1</v>
      </c>
      <c r="C1584" s="11">
        <f>IFERROR(__xludf.DUMMYFUNCTION("""COMPUTED_VALUE"""),719.0)</f>
        <v>719</v>
      </c>
      <c r="D1584" s="11">
        <f>IFERROR(__xludf.DUMMYFUNCTION("""COMPUTED_VALUE"""),224.0)</f>
        <v>224</v>
      </c>
      <c r="E1584" s="9"/>
    </row>
    <row r="1585">
      <c r="A1585" s="10">
        <f>IFERROR(__xludf.DUMMYFUNCTION("""COMPUTED_VALUE"""),952.0)</f>
        <v>952</v>
      </c>
      <c r="B1585" s="11">
        <f>IFERROR(__xludf.DUMMYFUNCTION("""COMPUTED_VALUE"""),0.0)</f>
        <v>0</v>
      </c>
      <c r="C1585" s="11">
        <f>IFERROR(__xludf.DUMMYFUNCTION("""COMPUTED_VALUE"""),927.0)</f>
        <v>927</v>
      </c>
      <c r="D1585" s="11">
        <f>IFERROR(__xludf.DUMMYFUNCTION("""COMPUTED_VALUE"""),705.0)</f>
        <v>705</v>
      </c>
      <c r="E1585" s="9"/>
    </row>
    <row r="1586">
      <c r="A1586" s="10">
        <f>IFERROR(__xludf.DUMMYFUNCTION("""COMPUTED_VALUE"""),26136.0)</f>
        <v>26136</v>
      </c>
      <c r="B1586" s="11">
        <f>IFERROR(__xludf.DUMMYFUNCTION("""COMPUTED_VALUE"""),0.0)</f>
        <v>0</v>
      </c>
      <c r="C1586" s="11">
        <f>IFERROR(__xludf.DUMMYFUNCTION("""COMPUTED_VALUE"""),716.0)</f>
        <v>716</v>
      </c>
      <c r="D1586" s="11">
        <f>IFERROR(__xludf.DUMMYFUNCTION("""COMPUTED_VALUE"""),135.0)</f>
        <v>135</v>
      </c>
      <c r="E1586" s="9"/>
    </row>
    <row r="1587">
      <c r="A1587" s="10">
        <f>IFERROR(__xludf.DUMMYFUNCTION("""COMPUTED_VALUE"""),87502.0)</f>
        <v>87502</v>
      </c>
      <c r="B1587" s="11">
        <f>IFERROR(__xludf.DUMMYFUNCTION("""COMPUTED_VALUE"""),0.0)</f>
        <v>0</v>
      </c>
      <c r="C1587" s="11">
        <f>IFERROR(__xludf.DUMMYFUNCTION("""COMPUTED_VALUE"""),402.0)</f>
        <v>402</v>
      </c>
      <c r="D1587" s="11">
        <f>IFERROR(__xludf.DUMMYFUNCTION("""COMPUTED_VALUE"""),224.0)</f>
        <v>224</v>
      </c>
      <c r="E1587" s="9"/>
    </row>
    <row r="1588">
      <c r="A1588" s="10">
        <f>IFERROR(__xludf.DUMMYFUNCTION("""COMPUTED_VALUE"""),73923.0)</f>
        <v>73923</v>
      </c>
      <c r="B1588" s="11">
        <f>IFERROR(__xludf.DUMMYFUNCTION("""COMPUTED_VALUE"""),0.0)</f>
        <v>0</v>
      </c>
      <c r="C1588" s="11">
        <f>IFERROR(__xludf.DUMMYFUNCTION("""COMPUTED_VALUE"""),354.0)</f>
        <v>354</v>
      </c>
      <c r="D1588" s="11">
        <f>IFERROR(__xludf.DUMMYFUNCTION("""COMPUTED_VALUE"""),44.0)</f>
        <v>44</v>
      </c>
      <c r="E1588" s="9"/>
    </row>
    <row r="1589">
      <c r="A1589" s="10">
        <f>IFERROR(__xludf.DUMMYFUNCTION("""COMPUTED_VALUE"""),164927.0)</f>
        <v>164927</v>
      </c>
      <c r="B1589" s="11">
        <f>IFERROR(__xludf.DUMMYFUNCTION("""COMPUTED_VALUE"""),0.0)</f>
        <v>0</v>
      </c>
      <c r="C1589" s="11">
        <f>IFERROR(__xludf.DUMMYFUNCTION("""COMPUTED_VALUE"""),946.0)</f>
        <v>946</v>
      </c>
      <c r="D1589" s="11">
        <f>IFERROR(__xludf.DUMMYFUNCTION("""COMPUTED_VALUE"""),835.0)</f>
        <v>835</v>
      </c>
      <c r="E1589" s="9"/>
    </row>
    <row r="1590">
      <c r="A1590" s="10">
        <f>IFERROR(__xludf.DUMMYFUNCTION("""COMPUTED_VALUE"""),108749.0)</f>
        <v>108749</v>
      </c>
      <c r="B1590" s="11">
        <f>IFERROR(__xludf.DUMMYFUNCTION("""COMPUTED_VALUE"""),1.0)</f>
        <v>1</v>
      </c>
      <c r="C1590" s="11">
        <f>IFERROR(__xludf.DUMMYFUNCTION("""COMPUTED_VALUE"""),353.0)</f>
        <v>353</v>
      </c>
      <c r="D1590" s="11">
        <f>IFERROR(__xludf.DUMMYFUNCTION("""COMPUTED_VALUE"""),145.0)</f>
        <v>145</v>
      </c>
      <c r="E1590" s="9"/>
    </row>
    <row r="1591">
      <c r="A1591" s="10">
        <f>IFERROR(__xludf.DUMMYFUNCTION("""COMPUTED_VALUE"""),89919.0)</f>
        <v>89919</v>
      </c>
      <c r="B1591" s="11">
        <f>IFERROR(__xludf.DUMMYFUNCTION("""COMPUTED_VALUE"""),0.0)</f>
        <v>0</v>
      </c>
      <c r="C1591" s="11">
        <f>IFERROR(__xludf.DUMMYFUNCTION("""COMPUTED_VALUE"""),393.0)</f>
        <v>393</v>
      </c>
      <c r="D1591" s="11">
        <f>IFERROR(__xludf.DUMMYFUNCTION("""COMPUTED_VALUE"""),144.0)</f>
        <v>144</v>
      </c>
      <c r="E1591" s="9"/>
    </row>
    <row r="1592">
      <c r="A1592" s="10">
        <f>IFERROR(__xludf.DUMMYFUNCTION("""COMPUTED_VALUE"""),112897.0)</f>
        <v>112897</v>
      </c>
      <c r="B1592" s="11">
        <f>IFERROR(__xludf.DUMMYFUNCTION("""COMPUTED_VALUE"""),0.0)</f>
        <v>0</v>
      </c>
      <c r="C1592" s="11">
        <f>IFERROR(__xludf.DUMMYFUNCTION("""COMPUTED_VALUE"""),812.0)</f>
        <v>812</v>
      </c>
      <c r="D1592" s="11">
        <f>IFERROR(__xludf.DUMMYFUNCTION("""COMPUTED_VALUE"""),575.0)</f>
        <v>575</v>
      </c>
      <c r="E1592" s="9"/>
    </row>
    <row r="1593">
      <c r="A1593" s="10">
        <f>IFERROR(__xludf.DUMMYFUNCTION("""COMPUTED_VALUE"""),122013.0)</f>
        <v>122013</v>
      </c>
      <c r="B1593" s="11">
        <f>IFERROR(__xludf.DUMMYFUNCTION("""COMPUTED_VALUE"""),1.0)</f>
        <v>1</v>
      </c>
      <c r="C1593" s="11">
        <f>IFERROR(__xludf.DUMMYFUNCTION("""COMPUTED_VALUE"""),506.0)</f>
        <v>506</v>
      </c>
      <c r="D1593" s="11">
        <f>IFERROR(__xludf.DUMMYFUNCTION("""COMPUTED_VALUE"""),105.0)</f>
        <v>105</v>
      </c>
      <c r="E1593" s="9"/>
    </row>
    <row r="1594">
      <c r="A1594" s="10">
        <f>IFERROR(__xludf.DUMMYFUNCTION("""COMPUTED_VALUE"""),89902.0)</f>
        <v>89902</v>
      </c>
      <c r="B1594" s="11">
        <f>IFERROR(__xludf.DUMMYFUNCTION("""COMPUTED_VALUE"""),0.0)</f>
        <v>0</v>
      </c>
      <c r="C1594" s="11">
        <f>IFERROR(__xludf.DUMMYFUNCTION("""COMPUTED_VALUE"""),724.0)</f>
        <v>724</v>
      </c>
      <c r="D1594" s="11">
        <f>IFERROR(__xludf.DUMMYFUNCTION("""COMPUTED_VALUE"""),5.0)</f>
        <v>5</v>
      </c>
      <c r="E1594" s="9"/>
    </row>
    <row r="1595">
      <c r="A1595" s="10">
        <f>IFERROR(__xludf.DUMMYFUNCTION("""COMPUTED_VALUE"""),89900.0)</f>
        <v>89900</v>
      </c>
      <c r="B1595" s="11">
        <f>IFERROR(__xludf.DUMMYFUNCTION("""COMPUTED_VALUE"""),0.0)</f>
        <v>0</v>
      </c>
      <c r="C1595" s="11">
        <f>IFERROR(__xludf.DUMMYFUNCTION("""COMPUTED_VALUE"""),685.0)</f>
        <v>685</v>
      </c>
      <c r="D1595" s="11">
        <f>IFERROR(__xludf.DUMMYFUNCTION("""COMPUTED_VALUE"""),460.0)</f>
        <v>460</v>
      </c>
      <c r="E1595" s="9"/>
    </row>
    <row r="1596">
      <c r="A1596" s="10">
        <f>IFERROR(__xludf.DUMMYFUNCTION("""COMPUTED_VALUE"""),92461.0)</f>
        <v>92461</v>
      </c>
      <c r="B1596" s="11">
        <f>IFERROR(__xludf.DUMMYFUNCTION("""COMPUTED_VALUE"""),0.0)</f>
        <v>0</v>
      </c>
      <c r="C1596" s="11">
        <f>IFERROR(__xludf.DUMMYFUNCTION("""COMPUTED_VALUE"""),261.0)</f>
        <v>261</v>
      </c>
      <c r="D1596" s="11">
        <f>IFERROR(__xludf.DUMMYFUNCTION("""COMPUTED_VALUE"""),238.0)</f>
        <v>238</v>
      </c>
      <c r="E1596" s="9"/>
    </row>
    <row r="1597">
      <c r="A1597" s="10">
        <f>IFERROR(__xludf.DUMMYFUNCTION("""COMPUTED_VALUE"""),128834.0)</f>
        <v>128834</v>
      </c>
      <c r="B1597" s="11">
        <f>IFERROR(__xludf.DUMMYFUNCTION("""COMPUTED_VALUE"""),0.0)</f>
        <v>0</v>
      </c>
      <c r="C1597" s="11">
        <f>IFERROR(__xludf.DUMMYFUNCTION("""COMPUTED_VALUE"""),609.0)</f>
        <v>609</v>
      </c>
      <c r="D1597" s="11">
        <f>IFERROR(__xludf.DUMMYFUNCTION("""COMPUTED_VALUE"""),407.0)</f>
        <v>407</v>
      </c>
      <c r="E1597" s="9"/>
    </row>
    <row r="1598">
      <c r="A1598" s="10">
        <f>IFERROR(__xludf.DUMMYFUNCTION("""COMPUTED_VALUE"""),135180.0)</f>
        <v>135180</v>
      </c>
      <c r="B1598" s="11">
        <f>IFERROR(__xludf.DUMMYFUNCTION("""COMPUTED_VALUE"""),1.0)</f>
        <v>1</v>
      </c>
      <c r="C1598" s="11">
        <f>IFERROR(__xludf.DUMMYFUNCTION("""COMPUTED_VALUE"""),563.0)</f>
        <v>563</v>
      </c>
      <c r="D1598" s="11">
        <f>IFERROR(__xludf.DUMMYFUNCTION("""COMPUTED_VALUE"""),524.0)</f>
        <v>524</v>
      </c>
      <c r="E1598" s="9"/>
    </row>
    <row r="1599">
      <c r="A1599" s="10">
        <f>IFERROR(__xludf.DUMMYFUNCTION("""COMPUTED_VALUE"""),120582.0)</f>
        <v>120582</v>
      </c>
      <c r="B1599" s="11">
        <f>IFERROR(__xludf.DUMMYFUNCTION("""COMPUTED_VALUE"""),1.0)</f>
        <v>1</v>
      </c>
      <c r="C1599" s="11">
        <f>IFERROR(__xludf.DUMMYFUNCTION("""COMPUTED_VALUE"""),658.0)</f>
        <v>658</v>
      </c>
      <c r="D1599" s="11">
        <f>IFERROR(__xludf.DUMMYFUNCTION("""COMPUTED_VALUE"""),598.0)</f>
        <v>598</v>
      </c>
      <c r="E1599" s="9"/>
    </row>
    <row r="1600">
      <c r="A1600" s="10">
        <f>IFERROR(__xludf.DUMMYFUNCTION("""COMPUTED_VALUE"""),105794.0)</f>
        <v>105794</v>
      </c>
      <c r="B1600" s="11">
        <f>IFERROR(__xludf.DUMMYFUNCTION("""COMPUTED_VALUE"""),0.0)</f>
        <v>0</v>
      </c>
      <c r="C1600" s="11">
        <f>IFERROR(__xludf.DUMMYFUNCTION("""COMPUTED_VALUE"""),593.0)</f>
        <v>593</v>
      </c>
      <c r="D1600" s="11">
        <f>IFERROR(__xludf.DUMMYFUNCTION("""COMPUTED_VALUE"""),88.0)</f>
        <v>88</v>
      </c>
      <c r="E1600" s="9"/>
    </row>
    <row r="1601">
      <c r="A1601" s="10">
        <f>IFERROR(__xludf.DUMMYFUNCTION("""COMPUTED_VALUE"""),81049.0)</f>
        <v>81049</v>
      </c>
      <c r="B1601" s="11">
        <f>IFERROR(__xludf.DUMMYFUNCTION("""COMPUTED_VALUE"""),1.0)</f>
        <v>1</v>
      </c>
      <c r="C1601" s="11">
        <f>IFERROR(__xludf.DUMMYFUNCTION("""COMPUTED_VALUE"""),977.0)</f>
        <v>977</v>
      </c>
      <c r="D1601" s="11">
        <f>IFERROR(__xludf.DUMMYFUNCTION("""COMPUTED_VALUE"""),908.0)</f>
        <v>908</v>
      </c>
      <c r="E1601" s="9"/>
    </row>
    <row r="1602">
      <c r="A1602" s="10">
        <f>IFERROR(__xludf.DUMMYFUNCTION("""COMPUTED_VALUE"""),13364.0)</f>
        <v>13364</v>
      </c>
      <c r="B1602" s="11">
        <f>IFERROR(__xludf.DUMMYFUNCTION("""COMPUTED_VALUE"""),1.0)</f>
        <v>1</v>
      </c>
      <c r="C1602" s="11">
        <f>IFERROR(__xludf.DUMMYFUNCTION("""COMPUTED_VALUE"""),307.0)</f>
        <v>307</v>
      </c>
      <c r="D1602" s="11">
        <f>IFERROR(__xludf.DUMMYFUNCTION("""COMPUTED_VALUE"""),176.0)</f>
        <v>176</v>
      </c>
      <c r="E1602" s="9"/>
    </row>
    <row r="1603">
      <c r="A1603" s="10">
        <f>IFERROR(__xludf.DUMMYFUNCTION("""COMPUTED_VALUE"""),13361.0)</f>
        <v>13361</v>
      </c>
      <c r="B1603" s="11">
        <f>IFERROR(__xludf.DUMMYFUNCTION("""COMPUTED_VALUE"""),1.0)</f>
        <v>1</v>
      </c>
      <c r="C1603" s="11">
        <f>IFERROR(__xludf.DUMMYFUNCTION("""COMPUTED_VALUE"""),21.0)</f>
        <v>21</v>
      </c>
      <c r="D1603" s="11">
        <f>IFERROR(__xludf.DUMMYFUNCTION("""COMPUTED_VALUE"""),14.0)</f>
        <v>14</v>
      </c>
      <c r="E1603" s="9"/>
    </row>
    <row r="1604">
      <c r="A1604" s="10">
        <f>IFERROR(__xludf.DUMMYFUNCTION("""COMPUTED_VALUE"""),75659.0)</f>
        <v>75659</v>
      </c>
      <c r="B1604" s="11">
        <f>IFERROR(__xludf.DUMMYFUNCTION("""COMPUTED_VALUE"""),0.0)</f>
        <v>0</v>
      </c>
      <c r="C1604" s="11">
        <f>IFERROR(__xludf.DUMMYFUNCTION("""COMPUTED_VALUE"""),668.0)</f>
        <v>668</v>
      </c>
      <c r="D1604" s="11">
        <f>IFERROR(__xludf.DUMMYFUNCTION("""COMPUTED_VALUE"""),47.0)</f>
        <v>47</v>
      </c>
      <c r="E1604" s="9"/>
    </row>
    <row r="1605">
      <c r="A1605" s="10">
        <f>IFERROR(__xludf.DUMMYFUNCTION("""COMPUTED_VALUE"""),75655.0)</f>
        <v>75655</v>
      </c>
      <c r="B1605" s="11">
        <f>IFERROR(__xludf.DUMMYFUNCTION("""COMPUTED_VALUE"""),1.0)</f>
        <v>1</v>
      </c>
      <c r="C1605" s="11">
        <f>IFERROR(__xludf.DUMMYFUNCTION("""COMPUTED_VALUE"""),281.0)</f>
        <v>281</v>
      </c>
      <c r="D1605" s="11">
        <f>IFERROR(__xludf.DUMMYFUNCTION("""COMPUTED_VALUE"""),91.0)</f>
        <v>91</v>
      </c>
      <c r="E1605" s="9"/>
    </row>
    <row r="1606">
      <c r="A1606" s="10">
        <f>IFERROR(__xludf.DUMMYFUNCTION("""COMPUTED_VALUE"""),117866.0)</f>
        <v>117866</v>
      </c>
      <c r="B1606" s="11">
        <f>IFERROR(__xludf.DUMMYFUNCTION("""COMPUTED_VALUE"""),0.0)</f>
        <v>0</v>
      </c>
      <c r="C1606" s="11">
        <f>IFERROR(__xludf.DUMMYFUNCTION("""COMPUTED_VALUE"""),284.0)</f>
        <v>284</v>
      </c>
      <c r="D1606" s="11">
        <f>IFERROR(__xludf.DUMMYFUNCTION("""COMPUTED_VALUE"""),183.0)</f>
        <v>183</v>
      </c>
      <c r="E1606" s="9"/>
    </row>
    <row r="1607">
      <c r="A1607" s="10">
        <f>IFERROR(__xludf.DUMMYFUNCTION("""COMPUTED_VALUE"""),90556.0)</f>
        <v>90556</v>
      </c>
      <c r="B1607" s="11">
        <f>IFERROR(__xludf.DUMMYFUNCTION("""COMPUTED_VALUE"""),0.0)</f>
        <v>0</v>
      </c>
      <c r="C1607" s="11">
        <f>IFERROR(__xludf.DUMMYFUNCTION("""COMPUTED_VALUE"""),392.0)</f>
        <v>392</v>
      </c>
      <c r="D1607" s="11">
        <f>IFERROR(__xludf.DUMMYFUNCTION("""COMPUTED_VALUE"""),74.0)</f>
        <v>74</v>
      </c>
      <c r="E1607" s="9"/>
    </row>
    <row r="1608">
      <c r="A1608" s="10">
        <f>IFERROR(__xludf.DUMMYFUNCTION("""COMPUTED_VALUE"""),68605.0)</f>
        <v>68605</v>
      </c>
      <c r="B1608" s="11">
        <f>IFERROR(__xludf.DUMMYFUNCTION("""COMPUTED_VALUE"""),1.0)</f>
        <v>1</v>
      </c>
      <c r="C1608" s="11">
        <f>IFERROR(__xludf.DUMMYFUNCTION("""COMPUTED_VALUE"""),275.0)</f>
        <v>275</v>
      </c>
      <c r="D1608" s="11">
        <f>IFERROR(__xludf.DUMMYFUNCTION("""COMPUTED_VALUE"""),262.0)</f>
        <v>262</v>
      </c>
      <c r="E1608" s="9"/>
    </row>
    <row r="1609">
      <c r="A1609" s="10">
        <f>IFERROR(__xludf.DUMMYFUNCTION("""COMPUTED_VALUE"""),103829.0)</f>
        <v>103829</v>
      </c>
      <c r="B1609" s="11">
        <f>IFERROR(__xludf.DUMMYFUNCTION("""COMPUTED_VALUE"""),0.0)</f>
        <v>0</v>
      </c>
      <c r="C1609" s="11">
        <f>IFERROR(__xludf.DUMMYFUNCTION("""COMPUTED_VALUE"""),516.0)</f>
        <v>516</v>
      </c>
      <c r="D1609" s="11">
        <f>IFERROR(__xludf.DUMMYFUNCTION("""COMPUTED_VALUE"""),226.0)</f>
        <v>226</v>
      </c>
      <c r="E1609" s="9"/>
    </row>
    <row r="1610">
      <c r="A1610" s="10">
        <f>IFERROR(__xludf.DUMMYFUNCTION("""COMPUTED_VALUE"""),90558.0)</f>
        <v>90558</v>
      </c>
      <c r="B1610" s="11">
        <f>IFERROR(__xludf.DUMMYFUNCTION("""COMPUTED_VALUE"""),0.0)</f>
        <v>0</v>
      </c>
      <c r="C1610" s="11">
        <f>IFERROR(__xludf.DUMMYFUNCTION("""COMPUTED_VALUE"""),383.0)</f>
        <v>383</v>
      </c>
      <c r="D1610" s="11">
        <f>IFERROR(__xludf.DUMMYFUNCTION("""COMPUTED_VALUE"""),171.0)</f>
        <v>171</v>
      </c>
      <c r="E1610" s="9"/>
    </row>
    <row r="1611">
      <c r="A1611" s="10">
        <f>IFERROR(__xludf.DUMMYFUNCTION("""COMPUTED_VALUE"""),120490.0)</f>
        <v>120490</v>
      </c>
      <c r="B1611" s="11">
        <f>IFERROR(__xludf.DUMMYFUNCTION("""COMPUTED_VALUE"""),1.0)</f>
        <v>1</v>
      </c>
      <c r="C1611" s="11">
        <f>IFERROR(__xludf.DUMMYFUNCTION("""COMPUTED_VALUE"""),936.0)</f>
        <v>936</v>
      </c>
      <c r="D1611" s="11">
        <f>IFERROR(__xludf.DUMMYFUNCTION("""COMPUTED_VALUE"""),258.0)</f>
        <v>258</v>
      </c>
      <c r="E1611" s="9"/>
    </row>
    <row r="1612">
      <c r="A1612" s="10">
        <f>IFERROR(__xludf.DUMMYFUNCTION("""COMPUTED_VALUE"""),75662.0)</f>
        <v>75662</v>
      </c>
      <c r="B1612" s="11">
        <f>IFERROR(__xludf.DUMMYFUNCTION("""COMPUTED_VALUE"""),1.0)</f>
        <v>1</v>
      </c>
      <c r="C1612" s="11">
        <f>IFERROR(__xludf.DUMMYFUNCTION("""COMPUTED_VALUE"""),736.0)</f>
        <v>736</v>
      </c>
      <c r="D1612" s="11">
        <f>IFERROR(__xludf.DUMMYFUNCTION("""COMPUTED_VALUE"""),434.0)</f>
        <v>434</v>
      </c>
      <c r="E1612" s="9"/>
    </row>
    <row r="1613">
      <c r="A1613" s="10">
        <f>IFERROR(__xludf.DUMMYFUNCTION("""COMPUTED_VALUE"""),121298.0)</f>
        <v>121298</v>
      </c>
      <c r="B1613" s="11">
        <f>IFERROR(__xludf.DUMMYFUNCTION("""COMPUTED_VALUE"""),0.0)</f>
        <v>0</v>
      </c>
      <c r="C1613" s="11">
        <f>IFERROR(__xludf.DUMMYFUNCTION("""COMPUTED_VALUE"""),21.0)</f>
        <v>21</v>
      </c>
      <c r="D1613" s="11">
        <f>IFERROR(__xludf.DUMMYFUNCTION("""COMPUTED_VALUE"""),9.0)</f>
        <v>9</v>
      </c>
      <c r="E1613" s="9"/>
    </row>
    <row r="1614">
      <c r="A1614" s="10">
        <f>IFERROR(__xludf.DUMMYFUNCTION("""COMPUTED_VALUE"""),13363.0)</f>
        <v>13363</v>
      </c>
      <c r="B1614" s="11">
        <f>IFERROR(__xludf.DUMMYFUNCTION("""COMPUTED_VALUE"""),0.0)</f>
        <v>0</v>
      </c>
      <c r="C1614" s="11">
        <f>IFERROR(__xludf.DUMMYFUNCTION("""COMPUTED_VALUE"""),887.0)</f>
        <v>887</v>
      </c>
      <c r="D1614" s="11">
        <f>IFERROR(__xludf.DUMMYFUNCTION("""COMPUTED_VALUE"""),154.0)</f>
        <v>154</v>
      </c>
      <c r="E1614" s="9"/>
    </row>
    <row r="1615">
      <c r="A1615" s="10">
        <f>IFERROR(__xludf.DUMMYFUNCTION("""COMPUTED_VALUE"""),117863.0)</f>
        <v>117863</v>
      </c>
      <c r="B1615" s="11">
        <f>IFERROR(__xludf.DUMMYFUNCTION("""COMPUTED_VALUE"""),1.0)</f>
        <v>1</v>
      </c>
      <c r="C1615" s="11">
        <f>IFERROR(__xludf.DUMMYFUNCTION("""COMPUTED_VALUE"""),844.0)</f>
        <v>844</v>
      </c>
      <c r="D1615" s="11">
        <f>IFERROR(__xludf.DUMMYFUNCTION("""COMPUTED_VALUE"""),832.0)</f>
        <v>832</v>
      </c>
      <c r="E1615" s="9"/>
    </row>
    <row r="1616">
      <c r="A1616" s="10">
        <f>IFERROR(__xludf.DUMMYFUNCTION("""COMPUTED_VALUE"""),68607.0)</f>
        <v>68607</v>
      </c>
      <c r="B1616" s="11">
        <f>IFERROR(__xludf.DUMMYFUNCTION("""COMPUTED_VALUE"""),1.0)</f>
        <v>1</v>
      </c>
      <c r="C1616" s="11">
        <f>IFERROR(__xludf.DUMMYFUNCTION("""COMPUTED_VALUE"""),820.0)</f>
        <v>820</v>
      </c>
      <c r="D1616" s="11">
        <f>IFERROR(__xludf.DUMMYFUNCTION("""COMPUTED_VALUE"""),401.0)</f>
        <v>401</v>
      </c>
      <c r="E1616" s="9"/>
    </row>
    <row r="1617">
      <c r="A1617" s="10">
        <f>IFERROR(__xludf.DUMMYFUNCTION("""COMPUTED_VALUE"""),122705.0)</f>
        <v>122705</v>
      </c>
      <c r="B1617" s="11">
        <f>IFERROR(__xludf.DUMMYFUNCTION("""COMPUTED_VALUE"""),0.0)</f>
        <v>0</v>
      </c>
      <c r="C1617" s="11">
        <f>IFERROR(__xludf.DUMMYFUNCTION("""COMPUTED_VALUE"""),416.0)</f>
        <v>416</v>
      </c>
      <c r="D1617" s="11">
        <f>IFERROR(__xludf.DUMMYFUNCTION("""COMPUTED_VALUE"""),399.0)</f>
        <v>399</v>
      </c>
      <c r="E1617" s="9"/>
    </row>
    <row r="1618">
      <c r="A1618" s="10">
        <f>IFERROR(__xludf.DUMMYFUNCTION("""COMPUTED_VALUE"""),88195.0)</f>
        <v>88195</v>
      </c>
      <c r="B1618" s="11">
        <f>IFERROR(__xludf.DUMMYFUNCTION("""COMPUTED_VALUE"""),0.0)</f>
        <v>0</v>
      </c>
      <c r="C1618" s="11">
        <f>IFERROR(__xludf.DUMMYFUNCTION("""COMPUTED_VALUE"""),681.0)</f>
        <v>681</v>
      </c>
      <c r="D1618" s="11">
        <f>IFERROR(__xludf.DUMMYFUNCTION("""COMPUTED_VALUE"""),96.0)</f>
        <v>96</v>
      </c>
      <c r="E1618" s="9"/>
    </row>
    <row r="1619">
      <c r="A1619" s="10">
        <f>IFERROR(__xludf.DUMMYFUNCTION("""COMPUTED_VALUE"""),45523.0)</f>
        <v>45523</v>
      </c>
      <c r="B1619" s="11">
        <f>IFERROR(__xludf.DUMMYFUNCTION("""COMPUTED_VALUE"""),1.0)</f>
        <v>1</v>
      </c>
      <c r="C1619" s="11">
        <f>IFERROR(__xludf.DUMMYFUNCTION("""COMPUTED_VALUE"""),885.0)</f>
        <v>885</v>
      </c>
      <c r="D1619" s="11">
        <f>IFERROR(__xludf.DUMMYFUNCTION("""COMPUTED_VALUE"""),866.0)</f>
        <v>866</v>
      </c>
      <c r="E1619" s="9"/>
    </row>
    <row r="1620">
      <c r="A1620" s="10">
        <f>IFERROR(__xludf.DUMMYFUNCTION("""COMPUTED_VALUE"""),158449.0)</f>
        <v>158449</v>
      </c>
      <c r="B1620" s="11">
        <f>IFERROR(__xludf.DUMMYFUNCTION("""COMPUTED_VALUE"""),1.0)</f>
        <v>1</v>
      </c>
      <c r="C1620" s="11">
        <f>IFERROR(__xludf.DUMMYFUNCTION("""COMPUTED_VALUE"""),478.0)</f>
        <v>478</v>
      </c>
      <c r="D1620" s="11">
        <f>IFERROR(__xludf.DUMMYFUNCTION("""COMPUTED_VALUE"""),445.0)</f>
        <v>445</v>
      </c>
      <c r="E1620" s="9"/>
    </row>
    <row r="1621">
      <c r="A1621" s="10">
        <f>IFERROR(__xludf.DUMMYFUNCTION("""COMPUTED_VALUE"""),45518.0)</f>
        <v>45518</v>
      </c>
      <c r="B1621" s="11">
        <f>IFERROR(__xludf.DUMMYFUNCTION("""COMPUTED_VALUE"""),1.0)</f>
        <v>1</v>
      </c>
      <c r="C1621" s="11">
        <f>IFERROR(__xludf.DUMMYFUNCTION("""COMPUTED_VALUE"""),680.0)</f>
        <v>680</v>
      </c>
      <c r="D1621" s="11">
        <f>IFERROR(__xludf.DUMMYFUNCTION("""COMPUTED_VALUE"""),273.0)</f>
        <v>273</v>
      </c>
      <c r="E1621" s="9"/>
    </row>
    <row r="1622">
      <c r="A1622" s="10">
        <f>IFERROR(__xludf.DUMMYFUNCTION("""COMPUTED_VALUE"""),96288.0)</f>
        <v>96288</v>
      </c>
      <c r="B1622" s="11">
        <f>IFERROR(__xludf.DUMMYFUNCTION("""COMPUTED_VALUE"""),1.0)</f>
        <v>1</v>
      </c>
      <c r="C1622" s="11">
        <f>IFERROR(__xludf.DUMMYFUNCTION("""COMPUTED_VALUE"""),872.0)</f>
        <v>872</v>
      </c>
      <c r="D1622" s="11">
        <f>IFERROR(__xludf.DUMMYFUNCTION("""COMPUTED_VALUE"""),462.0)</f>
        <v>462</v>
      </c>
      <c r="E1622" s="9"/>
    </row>
    <row r="1623">
      <c r="A1623" s="10">
        <f>IFERROR(__xludf.DUMMYFUNCTION("""COMPUTED_VALUE"""),76981.0)</f>
        <v>76981</v>
      </c>
      <c r="B1623" s="11">
        <f>IFERROR(__xludf.DUMMYFUNCTION("""COMPUTED_VALUE"""),1.0)</f>
        <v>1</v>
      </c>
      <c r="C1623" s="11">
        <f>IFERROR(__xludf.DUMMYFUNCTION("""COMPUTED_VALUE"""),296.0)</f>
        <v>296</v>
      </c>
      <c r="D1623" s="11">
        <f>IFERROR(__xludf.DUMMYFUNCTION("""COMPUTED_VALUE"""),284.0)</f>
        <v>284</v>
      </c>
      <c r="E1623" s="9"/>
    </row>
    <row r="1624">
      <c r="A1624" s="10">
        <f>IFERROR(__xludf.DUMMYFUNCTION("""COMPUTED_VALUE"""),113827.0)</f>
        <v>113827</v>
      </c>
      <c r="B1624" s="11">
        <f>IFERROR(__xludf.DUMMYFUNCTION("""COMPUTED_VALUE"""),0.0)</f>
        <v>0</v>
      </c>
      <c r="C1624" s="11">
        <f>IFERROR(__xludf.DUMMYFUNCTION("""COMPUTED_VALUE"""),718.0)</f>
        <v>718</v>
      </c>
      <c r="D1624" s="11">
        <f>IFERROR(__xludf.DUMMYFUNCTION("""COMPUTED_VALUE"""),302.0)</f>
        <v>302</v>
      </c>
      <c r="E1624" s="9"/>
    </row>
    <row r="1625">
      <c r="A1625" s="10">
        <f>IFERROR(__xludf.DUMMYFUNCTION("""COMPUTED_VALUE"""),76987.0)</f>
        <v>76987</v>
      </c>
      <c r="B1625" s="11">
        <f>IFERROR(__xludf.DUMMYFUNCTION("""COMPUTED_VALUE"""),1.0)</f>
        <v>1</v>
      </c>
      <c r="C1625" s="11">
        <f>IFERROR(__xludf.DUMMYFUNCTION("""COMPUTED_VALUE"""),40.0)</f>
        <v>40</v>
      </c>
      <c r="D1625" s="11">
        <f>IFERROR(__xludf.DUMMYFUNCTION("""COMPUTED_VALUE"""),9.0)</f>
        <v>9</v>
      </c>
      <c r="E1625" s="9"/>
    </row>
    <row r="1626">
      <c r="A1626" s="10">
        <f>IFERROR(__xludf.DUMMYFUNCTION("""COMPUTED_VALUE"""),113824.0)</f>
        <v>113824</v>
      </c>
      <c r="B1626" s="11">
        <f>IFERROR(__xludf.DUMMYFUNCTION("""COMPUTED_VALUE"""),1.0)</f>
        <v>1</v>
      </c>
      <c r="C1626" s="11">
        <f>IFERROR(__xludf.DUMMYFUNCTION("""COMPUTED_VALUE"""),61.0)</f>
        <v>61</v>
      </c>
      <c r="D1626" s="11">
        <f>IFERROR(__xludf.DUMMYFUNCTION("""COMPUTED_VALUE"""),24.0)</f>
        <v>24</v>
      </c>
      <c r="E1626" s="9"/>
    </row>
    <row r="1627">
      <c r="A1627" s="10">
        <f>IFERROR(__xludf.DUMMYFUNCTION("""COMPUTED_VALUE"""),113823.0)</f>
        <v>113823</v>
      </c>
      <c r="B1627" s="11">
        <f>IFERROR(__xludf.DUMMYFUNCTION("""COMPUTED_VALUE"""),0.0)</f>
        <v>0</v>
      </c>
      <c r="C1627" s="11">
        <f>IFERROR(__xludf.DUMMYFUNCTION("""COMPUTED_VALUE"""),854.0)</f>
        <v>854</v>
      </c>
      <c r="D1627" s="11">
        <f>IFERROR(__xludf.DUMMYFUNCTION("""COMPUTED_VALUE"""),255.0)</f>
        <v>255</v>
      </c>
      <c r="E1627" s="9"/>
    </row>
    <row r="1628">
      <c r="A1628" s="10">
        <f>IFERROR(__xludf.DUMMYFUNCTION("""COMPUTED_VALUE"""),156053.0)</f>
        <v>156053</v>
      </c>
      <c r="B1628" s="11">
        <f>IFERROR(__xludf.DUMMYFUNCTION("""COMPUTED_VALUE"""),0.0)</f>
        <v>0</v>
      </c>
      <c r="C1628" s="11">
        <f>IFERROR(__xludf.DUMMYFUNCTION("""COMPUTED_VALUE"""),100.0)</f>
        <v>100</v>
      </c>
      <c r="D1628" s="11">
        <f>IFERROR(__xludf.DUMMYFUNCTION("""COMPUTED_VALUE"""),59.0)</f>
        <v>59</v>
      </c>
      <c r="E1628" s="9"/>
    </row>
    <row r="1629">
      <c r="A1629" s="10">
        <f>IFERROR(__xludf.DUMMYFUNCTION("""COMPUTED_VALUE"""),45522.0)</f>
        <v>45522</v>
      </c>
      <c r="B1629" s="11">
        <f>IFERROR(__xludf.DUMMYFUNCTION("""COMPUTED_VALUE"""),0.0)</f>
        <v>0</v>
      </c>
      <c r="C1629" s="11">
        <f>IFERROR(__xludf.DUMMYFUNCTION("""COMPUTED_VALUE"""),679.0)</f>
        <v>679</v>
      </c>
      <c r="D1629" s="11">
        <f>IFERROR(__xludf.DUMMYFUNCTION("""COMPUTED_VALUE"""),285.0)</f>
        <v>285</v>
      </c>
      <c r="E1629" s="9"/>
    </row>
    <row r="1630">
      <c r="A1630" s="10">
        <f>IFERROR(__xludf.DUMMYFUNCTION("""COMPUTED_VALUE"""),99176.0)</f>
        <v>99176</v>
      </c>
      <c r="B1630" s="11">
        <f>IFERROR(__xludf.DUMMYFUNCTION("""COMPUTED_VALUE"""),0.0)</f>
        <v>0</v>
      </c>
      <c r="C1630" s="11">
        <f>IFERROR(__xludf.DUMMYFUNCTION("""COMPUTED_VALUE"""),258.0)</f>
        <v>258</v>
      </c>
      <c r="D1630" s="11">
        <f>IFERROR(__xludf.DUMMYFUNCTION("""COMPUTED_VALUE"""),56.0)</f>
        <v>56</v>
      </c>
      <c r="E1630" s="9"/>
    </row>
    <row r="1631">
      <c r="A1631" s="10">
        <f>IFERROR(__xludf.DUMMYFUNCTION("""COMPUTED_VALUE"""),49219.0)</f>
        <v>49219</v>
      </c>
      <c r="B1631" s="11">
        <f>IFERROR(__xludf.DUMMYFUNCTION("""COMPUTED_VALUE"""),0.0)</f>
        <v>0</v>
      </c>
      <c r="C1631" s="11">
        <f>IFERROR(__xludf.DUMMYFUNCTION("""COMPUTED_VALUE"""),441.0)</f>
        <v>441</v>
      </c>
      <c r="D1631" s="11">
        <f>IFERROR(__xludf.DUMMYFUNCTION("""COMPUTED_VALUE"""),18.0)</f>
        <v>18</v>
      </c>
      <c r="E1631" s="9"/>
    </row>
    <row r="1632">
      <c r="A1632" s="10">
        <f>IFERROR(__xludf.DUMMYFUNCTION("""COMPUTED_VALUE"""),102370.0)</f>
        <v>102370</v>
      </c>
      <c r="B1632" s="11">
        <f>IFERROR(__xludf.DUMMYFUNCTION("""COMPUTED_VALUE"""),0.0)</f>
        <v>0</v>
      </c>
      <c r="C1632" s="11">
        <f>IFERROR(__xludf.DUMMYFUNCTION("""COMPUTED_VALUE"""),747.0)</f>
        <v>747</v>
      </c>
      <c r="D1632" s="11">
        <f>IFERROR(__xludf.DUMMYFUNCTION("""COMPUTED_VALUE"""),233.0)</f>
        <v>233</v>
      </c>
      <c r="E1632" s="9"/>
    </row>
    <row r="1633">
      <c r="A1633" s="10">
        <f>IFERROR(__xludf.DUMMYFUNCTION("""COMPUTED_VALUE"""),49222.0)</f>
        <v>49222</v>
      </c>
      <c r="B1633" s="11">
        <f>IFERROR(__xludf.DUMMYFUNCTION("""COMPUTED_VALUE"""),1.0)</f>
        <v>1</v>
      </c>
      <c r="C1633" s="11">
        <f>IFERROR(__xludf.DUMMYFUNCTION("""COMPUTED_VALUE"""),496.0)</f>
        <v>496</v>
      </c>
      <c r="D1633" s="11">
        <f>IFERROR(__xludf.DUMMYFUNCTION("""COMPUTED_VALUE"""),138.0)</f>
        <v>138</v>
      </c>
      <c r="E1633" s="9"/>
    </row>
    <row r="1634">
      <c r="A1634" s="10">
        <f>IFERROR(__xludf.DUMMYFUNCTION("""COMPUTED_VALUE"""),102352.0)</f>
        <v>102352</v>
      </c>
      <c r="B1634" s="11">
        <f>IFERROR(__xludf.DUMMYFUNCTION("""COMPUTED_VALUE"""),0.0)</f>
        <v>0</v>
      </c>
      <c r="C1634" s="11">
        <f>IFERROR(__xludf.DUMMYFUNCTION("""COMPUTED_VALUE"""),303.0)</f>
        <v>303</v>
      </c>
      <c r="D1634" s="11">
        <f>IFERROR(__xludf.DUMMYFUNCTION("""COMPUTED_VALUE"""),9.0)</f>
        <v>9</v>
      </c>
      <c r="E1634" s="9"/>
    </row>
    <row r="1635">
      <c r="A1635" s="10">
        <f>IFERROR(__xludf.DUMMYFUNCTION("""COMPUTED_VALUE"""),49233.0)</f>
        <v>49233</v>
      </c>
      <c r="B1635" s="11">
        <f>IFERROR(__xludf.DUMMYFUNCTION("""COMPUTED_VALUE"""),0.0)</f>
        <v>0</v>
      </c>
      <c r="C1635" s="11">
        <f>IFERROR(__xludf.DUMMYFUNCTION("""COMPUTED_VALUE"""),323.0)</f>
        <v>323</v>
      </c>
      <c r="D1635" s="11">
        <f>IFERROR(__xludf.DUMMYFUNCTION("""COMPUTED_VALUE"""),85.0)</f>
        <v>85</v>
      </c>
      <c r="E1635" s="9"/>
    </row>
    <row r="1636">
      <c r="A1636" s="10">
        <f>IFERROR(__xludf.DUMMYFUNCTION("""COMPUTED_VALUE"""),99163.0)</f>
        <v>99163</v>
      </c>
      <c r="B1636" s="11">
        <f>IFERROR(__xludf.DUMMYFUNCTION("""COMPUTED_VALUE"""),1.0)</f>
        <v>1</v>
      </c>
      <c r="C1636" s="11">
        <f>IFERROR(__xludf.DUMMYFUNCTION("""COMPUTED_VALUE"""),199.0)</f>
        <v>199</v>
      </c>
      <c r="D1636" s="11">
        <f>IFERROR(__xludf.DUMMYFUNCTION("""COMPUTED_VALUE"""),40.0)</f>
        <v>40</v>
      </c>
      <c r="E1636" s="9"/>
    </row>
    <row r="1637">
      <c r="A1637" s="10">
        <f>IFERROR(__xludf.DUMMYFUNCTION("""COMPUTED_VALUE"""),142785.0)</f>
        <v>142785</v>
      </c>
      <c r="B1637" s="11">
        <f>IFERROR(__xludf.DUMMYFUNCTION("""COMPUTED_VALUE"""),1.0)</f>
        <v>1</v>
      </c>
      <c r="C1637" s="11">
        <f>IFERROR(__xludf.DUMMYFUNCTION("""COMPUTED_VALUE"""),37.0)</f>
        <v>37</v>
      </c>
      <c r="D1637" s="11">
        <f>IFERROR(__xludf.DUMMYFUNCTION("""COMPUTED_VALUE"""),21.0)</f>
        <v>21</v>
      </c>
      <c r="E1637" s="9"/>
    </row>
    <row r="1638">
      <c r="A1638" s="10">
        <f>IFERROR(__xludf.DUMMYFUNCTION("""COMPUTED_VALUE"""),113054.0)</f>
        <v>113054</v>
      </c>
      <c r="B1638" s="11">
        <f>IFERROR(__xludf.DUMMYFUNCTION("""COMPUTED_VALUE"""),0.0)</f>
        <v>0</v>
      </c>
      <c r="C1638" s="11">
        <f>IFERROR(__xludf.DUMMYFUNCTION("""COMPUTED_VALUE"""),485.0)</f>
        <v>485</v>
      </c>
      <c r="D1638" s="11">
        <f>IFERROR(__xludf.DUMMYFUNCTION("""COMPUTED_VALUE"""),424.0)</f>
        <v>424</v>
      </c>
      <c r="E1638" s="9"/>
    </row>
    <row r="1639">
      <c r="A1639" s="10">
        <f>IFERROR(__xludf.DUMMYFUNCTION("""COMPUTED_VALUE"""),88105.0)</f>
        <v>88105</v>
      </c>
      <c r="B1639" s="11">
        <f>IFERROR(__xludf.DUMMYFUNCTION("""COMPUTED_VALUE"""),0.0)</f>
        <v>0</v>
      </c>
      <c r="C1639" s="11">
        <f>IFERROR(__xludf.DUMMYFUNCTION("""COMPUTED_VALUE"""),19.0)</f>
        <v>19</v>
      </c>
      <c r="D1639" s="11">
        <f>IFERROR(__xludf.DUMMYFUNCTION("""COMPUTED_VALUE"""),6.0)</f>
        <v>6</v>
      </c>
      <c r="E1639" s="9"/>
    </row>
    <row r="1640">
      <c r="A1640" s="10">
        <f>IFERROR(__xludf.DUMMYFUNCTION("""COMPUTED_VALUE"""),97036.0)</f>
        <v>97036</v>
      </c>
      <c r="B1640" s="11">
        <f>IFERROR(__xludf.DUMMYFUNCTION("""COMPUTED_VALUE"""),1.0)</f>
        <v>1</v>
      </c>
      <c r="C1640" s="11">
        <f>IFERROR(__xludf.DUMMYFUNCTION("""COMPUTED_VALUE"""),318.0)</f>
        <v>318</v>
      </c>
      <c r="D1640" s="11">
        <f>IFERROR(__xludf.DUMMYFUNCTION("""COMPUTED_VALUE"""),66.0)</f>
        <v>66</v>
      </c>
      <c r="E1640" s="9"/>
    </row>
    <row r="1641">
      <c r="A1641" s="10">
        <f>IFERROR(__xludf.DUMMYFUNCTION("""COMPUTED_VALUE"""),81229.0)</f>
        <v>81229</v>
      </c>
      <c r="B1641" s="11">
        <f>IFERROR(__xludf.DUMMYFUNCTION("""COMPUTED_VALUE"""),1.0)</f>
        <v>1</v>
      </c>
      <c r="C1641" s="11">
        <f>IFERROR(__xludf.DUMMYFUNCTION("""COMPUTED_VALUE"""),659.0)</f>
        <v>659</v>
      </c>
      <c r="D1641" s="11">
        <f>IFERROR(__xludf.DUMMYFUNCTION("""COMPUTED_VALUE"""),234.0)</f>
        <v>234</v>
      </c>
      <c r="E1641" s="9"/>
    </row>
    <row r="1642">
      <c r="A1642" s="10">
        <f>IFERROR(__xludf.DUMMYFUNCTION("""COMPUTED_VALUE"""),120563.0)</f>
        <v>120563</v>
      </c>
      <c r="B1642" s="11">
        <f>IFERROR(__xludf.DUMMYFUNCTION("""COMPUTED_VALUE"""),1.0)</f>
        <v>1</v>
      </c>
      <c r="C1642" s="11">
        <f>IFERROR(__xludf.DUMMYFUNCTION("""COMPUTED_VALUE"""),204.0)</f>
        <v>204</v>
      </c>
      <c r="D1642" s="11">
        <f>IFERROR(__xludf.DUMMYFUNCTION("""COMPUTED_VALUE"""),117.0)</f>
        <v>117</v>
      </c>
      <c r="E1642" s="9"/>
    </row>
    <row r="1643">
      <c r="A1643" s="10">
        <f>IFERROR(__xludf.DUMMYFUNCTION("""COMPUTED_VALUE"""),122290.0)</f>
        <v>122290</v>
      </c>
      <c r="B1643" s="11">
        <f>IFERROR(__xludf.DUMMYFUNCTION("""COMPUTED_VALUE"""),1.0)</f>
        <v>1</v>
      </c>
      <c r="C1643" s="11">
        <f>IFERROR(__xludf.DUMMYFUNCTION("""COMPUTED_VALUE"""),293.0)</f>
        <v>293</v>
      </c>
      <c r="D1643" s="11">
        <f>IFERROR(__xludf.DUMMYFUNCTION("""COMPUTED_VALUE"""),142.0)</f>
        <v>142</v>
      </c>
      <c r="E1643" s="9"/>
    </row>
    <row r="1644">
      <c r="A1644" s="10">
        <f>IFERROR(__xludf.DUMMYFUNCTION("""COMPUTED_VALUE"""),122373.0)</f>
        <v>122373</v>
      </c>
      <c r="B1644" s="11">
        <f>IFERROR(__xludf.DUMMYFUNCTION("""COMPUTED_VALUE"""),0.0)</f>
        <v>0</v>
      </c>
      <c r="C1644" s="11">
        <f>IFERROR(__xludf.DUMMYFUNCTION("""COMPUTED_VALUE"""),755.0)</f>
        <v>755</v>
      </c>
      <c r="D1644" s="11">
        <f>IFERROR(__xludf.DUMMYFUNCTION("""COMPUTED_VALUE"""),171.0)</f>
        <v>171</v>
      </c>
      <c r="E1644" s="9"/>
    </row>
    <row r="1645">
      <c r="A1645" s="10">
        <f>IFERROR(__xludf.DUMMYFUNCTION("""COMPUTED_VALUE"""),117830.0)</f>
        <v>117830</v>
      </c>
      <c r="B1645" s="11">
        <f>IFERROR(__xludf.DUMMYFUNCTION("""COMPUTED_VALUE"""),0.0)</f>
        <v>0</v>
      </c>
      <c r="C1645" s="11">
        <f>IFERROR(__xludf.DUMMYFUNCTION("""COMPUTED_VALUE"""),778.0)</f>
        <v>778</v>
      </c>
      <c r="D1645" s="11">
        <f>IFERROR(__xludf.DUMMYFUNCTION("""COMPUTED_VALUE"""),13.0)</f>
        <v>13</v>
      </c>
      <c r="E1645" s="9"/>
    </row>
    <row r="1646">
      <c r="A1646" s="10">
        <f>IFERROR(__xludf.DUMMYFUNCTION("""COMPUTED_VALUE"""),109008.0)</f>
        <v>109008</v>
      </c>
      <c r="B1646" s="11">
        <f>IFERROR(__xludf.DUMMYFUNCTION("""COMPUTED_VALUE"""),0.0)</f>
        <v>0</v>
      </c>
      <c r="C1646" s="11">
        <f>IFERROR(__xludf.DUMMYFUNCTION("""COMPUTED_VALUE"""),16.0)</f>
        <v>16</v>
      </c>
      <c r="D1646" s="11">
        <f>IFERROR(__xludf.DUMMYFUNCTION("""COMPUTED_VALUE"""),6.0)</f>
        <v>6</v>
      </c>
      <c r="E1646" s="9"/>
    </row>
    <row r="1647">
      <c r="A1647" s="10">
        <f>IFERROR(__xludf.DUMMYFUNCTION("""COMPUTED_VALUE"""),122371.0)</f>
        <v>122371</v>
      </c>
      <c r="B1647" s="11">
        <f>IFERROR(__xludf.DUMMYFUNCTION("""COMPUTED_VALUE"""),1.0)</f>
        <v>1</v>
      </c>
      <c r="C1647" s="11">
        <f>IFERROR(__xludf.DUMMYFUNCTION("""COMPUTED_VALUE"""),939.0)</f>
        <v>939</v>
      </c>
      <c r="D1647" s="11">
        <f>IFERROR(__xludf.DUMMYFUNCTION("""COMPUTED_VALUE"""),484.0)</f>
        <v>484</v>
      </c>
      <c r="E1647" s="9"/>
    </row>
    <row r="1648">
      <c r="A1648" s="10">
        <f>IFERROR(__xludf.DUMMYFUNCTION("""COMPUTED_VALUE"""),109012.0)</f>
        <v>109012</v>
      </c>
      <c r="B1648" s="11">
        <f>IFERROR(__xludf.DUMMYFUNCTION("""COMPUTED_VALUE"""),1.0)</f>
        <v>1</v>
      </c>
      <c r="C1648" s="11">
        <f>IFERROR(__xludf.DUMMYFUNCTION("""COMPUTED_VALUE"""),620.0)</f>
        <v>620</v>
      </c>
      <c r="D1648" s="11">
        <f>IFERROR(__xludf.DUMMYFUNCTION("""COMPUTED_VALUE"""),533.0)</f>
        <v>533</v>
      </c>
      <c r="E1648" s="9"/>
    </row>
    <row r="1649">
      <c r="A1649" s="10">
        <f>IFERROR(__xludf.DUMMYFUNCTION("""COMPUTED_VALUE"""),156047.0)</f>
        <v>156047</v>
      </c>
      <c r="B1649" s="11">
        <f>IFERROR(__xludf.DUMMYFUNCTION("""COMPUTED_VALUE"""),0.0)</f>
        <v>0</v>
      </c>
      <c r="C1649" s="11">
        <f>IFERROR(__xludf.DUMMYFUNCTION("""COMPUTED_VALUE"""),785.0)</f>
        <v>785</v>
      </c>
      <c r="D1649" s="11">
        <f>IFERROR(__xludf.DUMMYFUNCTION("""COMPUTED_VALUE"""),517.0)</f>
        <v>517</v>
      </c>
      <c r="E1649" s="9"/>
    </row>
    <row r="1650">
      <c r="A1650" s="10">
        <f>IFERROR(__xludf.DUMMYFUNCTION("""COMPUTED_VALUE"""),117839.0)</f>
        <v>117839</v>
      </c>
      <c r="B1650" s="11">
        <f>IFERROR(__xludf.DUMMYFUNCTION("""COMPUTED_VALUE"""),0.0)</f>
        <v>0</v>
      </c>
      <c r="C1650" s="11">
        <f>IFERROR(__xludf.DUMMYFUNCTION("""COMPUTED_VALUE"""),406.0)</f>
        <v>406</v>
      </c>
      <c r="D1650" s="11">
        <f>IFERROR(__xludf.DUMMYFUNCTION("""COMPUTED_VALUE"""),185.0)</f>
        <v>185</v>
      </c>
      <c r="E1650" s="9"/>
    </row>
    <row r="1651">
      <c r="A1651" s="10">
        <f>IFERROR(__xludf.DUMMYFUNCTION("""COMPUTED_VALUE"""),156051.0)</f>
        <v>156051</v>
      </c>
      <c r="B1651" s="11">
        <f>IFERROR(__xludf.DUMMYFUNCTION("""COMPUTED_VALUE"""),0.0)</f>
        <v>0</v>
      </c>
      <c r="C1651" s="11">
        <f>IFERROR(__xludf.DUMMYFUNCTION("""COMPUTED_VALUE"""),5.0)</f>
        <v>5</v>
      </c>
      <c r="D1651" s="11">
        <f>IFERROR(__xludf.DUMMYFUNCTION("""COMPUTED_VALUE"""),4.0)</f>
        <v>4</v>
      </c>
      <c r="E1651" s="9"/>
    </row>
    <row r="1652">
      <c r="A1652" s="10">
        <f>IFERROR(__xludf.DUMMYFUNCTION("""COMPUTED_VALUE"""),156048.0)</f>
        <v>156048</v>
      </c>
      <c r="B1652" s="11">
        <f>IFERROR(__xludf.DUMMYFUNCTION("""COMPUTED_VALUE"""),0.0)</f>
        <v>0</v>
      </c>
      <c r="C1652" s="11">
        <f>IFERROR(__xludf.DUMMYFUNCTION("""COMPUTED_VALUE"""),35.0)</f>
        <v>35</v>
      </c>
      <c r="D1652" s="11">
        <f>IFERROR(__xludf.DUMMYFUNCTION("""COMPUTED_VALUE"""),25.0)</f>
        <v>25</v>
      </c>
      <c r="E1652" s="9"/>
    </row>
    <row r="1653">
      <c r="A1653" s="10">
        <f>IFERROR(__xludf.DUMMYFUNCTION("""COMPUTED_VALUE"""),117832.0)</f>
        <v>117832</v>
      </c>
      <c r="B1653" s="11">
        <f>IFERROR(__xludf.DUMMYFUNCTION("""COMPUTED_VALUE"""),0.0)</f>
        <v>0</v>
      </c>
      <c r="C1653" s="11">
        <f>IFERROR(__xludf.DUMMYFUNCTION("""COMPUTED_VALUE"""),956.0)</f>
        <v>956</v>
      </c>
      <c r="D1653" s="11">
        <f>IFERROR(__xludf.DUMMYFUNCTION("""COMPUTED_VALUE"""),413.0)</f>
        <v>413</v>
      </c>
      <c r="E1653" s="9"/>
    </row>
    <row r="1654">
      <c r="A1654" s="10">
        <f>IFERROR(__xludf.DUMMYFUNCTION("""COMPUTED_VALUE"""),117877.0)</f>
        <v>117877</v>
      </c>
      <c r="B1654" s="11">
        <f>IFERROR(__xludf.DUMMYFUNCTION("""COMPUTED_VALUE"""),1.0)</f>
        <v>1</v>
      </c>
      <c r="C1654" s="11">
        <f>IFERROR(__xludf.DUMMYFUNCTION("""COMPUTED_VALUE"""),814.0)</f>
        <v>814</v>
      </c>
      <c r="D1654" s="11">
        <f>IFERROR(__xludf.DUMMYFUNCTION("""COMPUTED_VALUE"""),622.0)</f>
        <v>622</v>
      </c>
      <c r="E1654" s="9"/>
    </row>
    <row r="1655">
      <c r="A1655" s="10">
        <f>IFERROR(__xludf.DUMMYFUNCTION("""COMPUTED_VALUE"""),117876.0)</f>
        <v>117876</v>
      </c>
      <c r="B1655" s="11">
        <f>IFERROR(__xludf.DUMMYFUNCTION("""COMPUTED_VALUE"""),0.0)</f>
        <v>0</v>
      </c>
      <c r="C1655" s="11">
        <f>IFERROR(__xludf.DUMMYFUNCTION("""COMPUTED_VALUE"""),416.0)</f>
        <v>416</v>
      </c>
      <c r="D1655" s="11">
        <f>IFERROR(__xludf.DUMMYFUNCTION("""COMPUTED_VALUE"""),298.0)</f>
        <v>298</v>
      </c>
      <c r="E1655" s="9"/>
    </row>
    <row r="1656">
      <c r="A1656" s="10">
        <f>IFERROR(__xludf.DUMMYFUNCTION("""COMPUTED_VALUE"""),83507.0)</f>
        <v>83507</v>
      </c>
      <c r="B1656" s="11">
        <f>IFERROR(__xludf.DUMMYFUNCTION("""COMPUTED_VALUE"""),0.0)</f>
        <v>0</v>
      </c>
      <c r="C1656" s="11">
        <f>IFERROR(__xludf.DUMMYFUNCTION("""COMPUTED_VALUE"""),609.0)</f>
        <v>609</v>
      </c>
      <c r="D1656" s="11">
        <f>IFERROR(__xludf.DUMMYFUNCTION("""COMPUTED_VALUE"""),353.0)</f>
        <v>353</v>
      </c>
      <c r="E1656" s="9"/>
    </row>
    <row r="1657">
      <c r="A1657" s="10">
        <f>IFERROR(__xludf.DUMMYFUNCTION("""COMPUTED_VALUE"""),121285.0)</f>
        <v>121285</v>
      </c>
      <c r="B1657" s="11">
        <f>IFERROR(__xludf.DUMMYFUNCTION("""COMPUTED_VALUE"""),0.0)</f>
        <v>0</v>
      </c>
      <c r="C1657" s="11">
        <f>IFERROR(__xludf.DUMMYFUNCTION("""COMPUTED_VALUE"""),779.0)</f>
        <v>779</v>
      </c>
      <c r="D1657" s="11">
        <f>IFERROR(__xludf.DUMMYFUNCTION("""COMPUTED_VALUE"""),406.0)</f>
        <v>406</v>
      </c>
      <c r="E1657" s="9"/>
    </row>
    <row r="1658">
      <c r="A1658" s="10">
        <f>IFERROR(__xludf.DUMMYFUNCTION("""COMPUTED_VALUE"""),122684.0)</f>
        <v>122684</v>
      </c>
      <c r="B1658" s="11">
        <f>IFERROR(__xludf.DUMMYFUNCTION("""COMPUTED_VALUE"""),1.0)</f>
        <v>1</v>
      </c>
      <c r="C1658" s="11">
        <f>IFERROR(__xludf.DUMMYFUNCTION("""COMPUTED_VALUE"""),415.0)</f>
        <v>415</v>
      </c>
      <c r="D1658" s="11">
        <f>IFERROR(__xludf.DUMMYFUNCTION("""COMPUTED_VALUE"""),117.0)</f>
        <v>117</v>
      </c>
      <c r="E1658" s="9"/>
    </row>
    <row r="1659">
      <c r="A1659" s="10">
        <f>IFERROR(__xludf.DUMMYFUNCTION("""COMPUTED_VALUE"""),116615.0)</f>
        <v>116615</v>
      </c>
      <c r="B1659" s="11">
        <f>IFERROR(__xludf.DUMMYFUNCTION("""COMPUTED_VALUE"""),1.0)</f>
        <v>1</v>
      </c>
      <c r="C1659" s="11">
        <f>IFERROR(__xludf.DUMMYFUNCTION("""COMPUTED_VALUE"""),721.0)</f>
        <v>721</v>
      </c>
      <c r="D1659" s="11">
        <f>IFERROR(__xludf.DUMMYFUNCTION("""COMPUTED_VALUE"""),93.0)</f>
        <v>93</v>
      </c>
      <c r="E1659" s="9"/>
    </row>
    <row r="1660">
      <c r="A1660" s="10">
        <f>IFERROR(__xludf.DUMMYFUNCTION("""COMPUTED_VALUE"""),121083.0)</f>
        <v>121083</v>
      </c>
      <c r="B1660" s="11">
        <f>IFERROR(__xludf.DUMMYFUNCTION("""COMPUTED_VALUE"""),0.0)</f>
        <v>0</v>
      </c>
      <c r="C1660" s="11">
        <f>IFERROR(__xludf.DUMMYFUNCTION("""COMPUTED_VALUE"""),673.0)</f>
        <v>673</v>
      </c>
      <c r="D1660" s="11">
        <f>IFERROR(__xludf.DUMMYFUNCTION("""COMPUTED_VALUE"""),425.0)</f>
        <v>425</v>
      </c>
      <c r="E1660" s="9"/>
    </row>
    <row r="1661">
      <c r="A1661" s="10">
        <f>IFERROR(__xludf.DUMMYFUNCTION("""COMPUTED_VALUE"""),108936.0)</f>
        <v>108936</v>
      </c>
      <c r="B1661" s="11">
        <f>IFERROR(__xludf.DUMMYFUNCTION("""COMPUTED_VALUE"""),0.0)</f>
        <v>0</v>
      </c>
      <c r="C1661" s="11">
        <f>IFERROR(__xludf.DUMMYFUNCTION("""COMPUTED_VALUE"""),361.0)</f>
        <v>361</v>
      </c>
      <c r="D1661" s="11">
        <f>IFERROR(__xludf.DUMMYFUNCTION("""COMPUTED_VALUE"""),348.0)</f>
        <v>348</v>
      </c>
      <c r="E1661" s="9"/>
    </row>
    <row r="1662">
      <c r="A1662" s="10">
        <f>IFERROR(__xludf.DUMMYFUNCTION("""COMPUTED_VALUE"""),128388.0)</f>
        <v>128388</v>
      </c>
      <c r="B1662" s="11">
        <f>IFERROR(__xludf.DUMMYFUNCTION("""COMPUTED_VALUE"""),1.0)</f>
        <v>1</v>
      </c>
      <c r="C1662" s="11">
        <f>IFERROR(__xludf.DUMMYFUNCTION("""COMPUTED_VALUE"""),885.0)</f>
        <v>885</v>
      </c>
      <c r="D1662" s="11">
        <f>IFERROR(__xludf.DUMMYFUNCTION("""COMPUTED_VALUE"""),770.0)</f>
        <v>770</v>
      </c>
      <c r="E1662" s="9"/>
    </row>
    <row r="1663">
      <c r="A1663" s="10">
        <f>IFERROR(__xludf.DUMMYFUNCTION("""COMPUTED_VALUE"""),120559.0)</f>
        <v>120559</v>
      </c>
      <c r="B1663" s="11">
        <f>IFERROR(__xludf.DUMMYFUNCTION("""COMPUTED_VALUE"""),0.0)</f>
        <v>0</v>
      </c>
      <c r="C1663" s="11">
        <f>IFERROR(__xludf.DUMMYFUNCTION("""COMPUTED_VALUE"""),715.0)</f>
        <v>715</v>
      </c>
      <c r="D1663" s="11">
        <f>IFERROR(__xludf.DUMMYFUNCTION("""COMPUTED_VALUE"""),582.0)</f>
        <v>582</v>
      </c>
      <c r="E1663" s="9"/>
    </row>
    <row r="1664">
      <c r="A1664" s="10">
        <f>IFERROR(__xludf.DUMMYFUNCTION("""COMPUTED_VALUE"""),122685.0)</f>
        <v>122685</v>
      </c>
      <c r="B1664" s="11">
        <f>IFERROR(__xludf.DUMMYFUNCTION("""COMPUTED_VALUE"""),1.0)</f>
        <v>1</v>
      </c>
      <c r="C1664" s="11">
        <f>IFERROR(__xludf.DUMMYFUNCTION("""COMPUTED_VALUE"""),578.0)</f>
        <v>578</v>
      </c>
      <c r="D1664" s="11">
        <f>IFERROR(__xludf.DUMMYFUNCTION("""COMPUTED_VALUE"""),20.0)</f>
        <v>20</v>
      </c>
      <c r="E1664" s="9"/>
    </row>
    <row r="1665">
      <c r="A1665" s="10">
        <f>IFERROR(__xludf.DUMMYFUNCTION("""COMPUTED_VALUE"""),122686.0)</f>
        <v>122686</v>
      </c>
      <c r="B1665" s="11">
        <f>IFERROR(__xludf.DUMMYFUNCTION("""COMPUTED_VALUE"""),0.0)</f>
        <v>0</v>
      </c>
      <c r="C1665" s="11">
        <f>IFERROR(__xludf.DUMMYFUNCTION("""COMPUTED_VALUE"""),21.0)</f>
        <v>21</v>
      </c>
      <c r="D1665" s="11">
        <f>IFERROR(__xludf.DUMMYFUNCTION("""COMPUTED_VALUE"""),3.0)</f>
        <v>3</v>
      </c>
      <c r="E1665" s="9"/>
    </row>
    <row r="1666">
      <c r="A1666" s="10">
        <f>IFERROR(__xludf.DUMMYFUNCTION("""COMPUTED_VALUE"""),181263.0)</f>
        <v>181263</v>
      </c>
      <c r="B1666" s="11">
        <f>IFERROR(__xludf.DUMMYFUNCTION("""COMPUTED_VALUE"""),0.0)</f>
        <v>0</v>
      </c>
      <c r="C1666" s="11">
        <f>IFERROR(__xludf.DUMMYFUNCTION("""COMPUTED_VALUE"""),870.0)</f>
        <v>870</v>
      </c>
      <c r="D1666" s="11">
        <f>IFERROR(__xludf.DUMMYFUNCTION("""COMPUTED_VALUE"""),401.0)</f>
        <v>401</v>
      </c>
      <c r="E1666" s="9"/>
    </row>
    <row r="1667">
      <c r="A1667" s="10">
        <f>IFERROR(__xludf.DUMMYFUNCTION("""COMPUTED_VALUE"""),122723.0)</f>
        <v>122723</v>
      </c>
      <c r="B1667" s="11">
        <f>IFERROR(__xludf.DUMMYFUNCTION("""COMPUTED_VALUE"""),0.0)</f>
        <v>0</v>
      </c>
      <c r="C1667" s="11">
        <f>IFERROR(__xludf.DUMMYFUNCTION("""COMPUTED_VALUE"""),724.0)</f>
        <v>724</v>
      </c>
      <c r="D1667" s="11">
        <f>IFERROR(__xludf.DUMMYFUNCTION("""COMPUTED_VALUE"""),134.0)</f>
        <v>134</v>
      </c>
      <c r="E1667" s="9"/>
    </row>
    <row r="1668">
      <c r="A1668" s="10">
        <f>IFERROR(__xludf.DUMMYFUNCTION("""COMPUTED_VALUE"""),26533.0)</f>
        <v>26533</v>
      </c>
      <c r="B1668" s="11">
        <f>IFERROR(__xludf.DUMMYFUNCTION("""COMPUTED_VALUE"""),1.0)</f>
        <v>1</v>
      </c>
      <c r="C1668" s="11">
        <f>IFERROR(__xludf.DUMMYFUNCTION("""COMPUTED_VALUE"""),2.0)</f>
        <v>2</v>
      </c>
      <c r="D1668" s="11">
        <f>IFERROR(__xludf.DUMMYFUNCTION("""COMPUTED_VALUE"""),1.0)</f>
        <v>1</v>
      </c>
      <c r="E1668" s="9"/>
    </row>
    <row r="1669">
      <c r="A1669" s="10">
        <f>IFERROR(__xludf.DUMMYFUNCTION("""COMPUTED_VALUE"""),16048.0)</f>
        <v>16048</v>
      </c>
      <c r="B1669" s="11">
        <f>IFERROR(__xludf.DUMMYFUNCTION("""COMPUTED_VALUE"""),1.0)</f>
        <v>1</v>
      </c>
      <c r="C1669" s="11">
        <f>IFERROR(__xludf.DUMMYFUNCTION("""COMPUTED_VALUE"""),925.0)</f>
        <v>925</v>
      </c>
      <c r="D1669" s="11">
        <f>IFERROR(__xludf.DUMMYFUNCTION("""COMPUTED_VALUE"""),472.0)</f>
        <v>472</v>
      </c>
      <c r="E1669" s="9"/>
    </row>
    <row r="1670">
      <c r="A1670" s="10">
        <f>IFERROR(__xludf.DUMMYFUNCTION("""COMPUTED_VALUE"""),16049.0)</f>
        <v>16049</v>
      </c>
      <c r="B1670" s="11">
        <f>IFERROR(__xludf.DUMMYFUNCTION("""COMPUTED_VALUE"""),1.0)</f>
        <v>1</v>
      </c>
      <c r="C1670" s="11">
        <f>IFERROR(__xludf.DUMMYFUNCTION("""COMPUTED_VALUE"""),293.0)</f>
        <v>293</v>
      </c>
      <c r="D1670" s="11">
        <f>IFERROR(__xludf.DUMMYFUNCTION("""COMPUTED_VALUE"""),59.0)</f>
        <v>59</v>
      </c>
      <c r="E1670" s="9"/>
    </row>
    <row r="1671">
      <c r="A1671" s="10">
        <f>IFERROR(__xludf.DUMMYFUNCTION("""COMPUTED_VALUE"""),122421.0)</f>
        <v>122421</v>
      </c>
      <c r="B1671" s="11">
        <f>IFERROR(__xludf.DUMMYFUNCTION("""COMPUTED_VALUE"""),1.0)</f>
        <v>1</v>
      </c>
      <c r="C1671" s="11">
        <f>IFERROR(__xludf.DUMMYFUNCTION("""COMPUTED_VALUE"""),714.0)</f>
        <v>714</v>
      </c>
      <c r="D1671" s="11">
        <f>IFERROR(__xludf.DUMMYFUNCTION("""COMPUTED_VALUE"""),585.0)</f>
        <v>585</v>
      </c>
      <c r="E1671" s="9"/>
    </row>
    <row r="1672">
      <c r="A1672" s="10">
        <f>IFERROR(__xludf.DUMMYFUNCTION("""COMPUTED_VALUE"""),121718.0)</f>
        <v>121718</v>
      </c>
      <c r="B1672" s="11">
        <f>IFERROR(__xludf.DUMMYFUNCTION("""COMPUTED_VALUE"""),1.0)</f>
        <v>1</v>
      </c>
      <c r="C1672" s="11">
        <f>IFERROR(__xludf.DUMMYFUNCTION("""COMPUTED_VALUE"""),812.0)</f>
        <v>812</v>
      </c>
      <c r="D1672" s="11">
        <f>IFERROR(__xludf.DUMMYFUNCTION("""COMPUTED_VALUE"""),292.0)</f>
        <v>292</v>
      </c>
      <c r="E1672" s="9"/>
    </row>
    <row r="1673">
      <c r="A1673" s="10">
        <f>IFERROR(__xludf.DUMMYFUNCTION("""COMPUTED_VALUE"""),117892.0)</f>
        <v>117892</v>
      </c>
      <c r="B1673" s="11">
        <f>IFERROR(__xludf.DUMMYFUNCTION("""COMPUTED_VALUE"""),0.0)</f>
        <v>0</v>
      </c>
      <c r="C1673" s="11">
        <f>IFERROR(__xludf.DUMMYFUNCTION("""COMPUTED_VALUE"""),42.0)</f>
        <v>42</v>
      </c>
      <c r="D1673" s="11">
        <f>IFERROR(__xludf.DUMMYFUNCTION("""COMPUTED_VALUE"""),3.0)</f>
        <v>3</v>
      </c>
      <c r="E1673" s="9"/>
    </row>
    <row r="1674">
      <c r="A1674" s="10">
        <f>IFERROR(__xludf.DUMMYFUNCTION("""COMPUTED_VALUE"""),117893.0)</f>
        <v>117893</v>
      </c>
      <c r="B1674" s="11">
        <f>IFERROR(__xludf.DUMMYFUNCTION("""COMPUTED_VALUE"""),0.0)</f>
        <v>0</v>
      </c>
      <c r="C1674" s="11">
        <f>IFERROR(__xludf.DUMMYFUNCTION("""COMPUTED_VALUE"""),867.0)</f>
        <v>867</v>
      </c>
      <c r="D1674" s="11">
        <f>IFERROR(__xludf.DUMMYFUNCTION("""COMPUTED_VALUE"""),310.0)</f>
        <v>310</v>
      </c>
      <c r="E1674" s="9"/>
    </row>
    <row r="1675">
      <c r="A1675" s="10">
        <f>IFERROR(__xludf.DUMMYFUNCTION("""COMPUTED_VALUE"""),78448.0)</f>
        <v>78448</v>
      </c>
      <c r="B1675" s="11">
        <f>IFERROR(__xludf.DUMMYFUNCTION("""COMPUTED_VALUE"""),1.0)</f>
        <v>1</v>
      </c>
      <c r="C1675" s="11">
        <f>IFERROR(__xludf.DUMMYFUNCTION("""COMPUTED_VALUE"""),292.0)</f>
        <v>292</v>
      </c>
      <c r="D1675" s="11">
        <f>IFERROR(__xludf.DUMMYFUNCTION("""COMPUTED_VALUE"""),111.0)</f>
        <v>111</v>
      </c>
      <c r="E1675" s="9"/>
    </row>
    <row r="1676">
      <c r="A1676" s="10">
        <f>IFERROR(__xludf.DUMMYFUNCTION("""COMPUTED_VALUE"""),89463.0)</f>
        <v>89463</v>
      </c>
      <c r="B1676" s="11">
        <f>IFERROR(__xludf.DUMMYFUNCTION("""COMPUTED_VALUE"""),1.0)</f>
        <v>1</v>
      </c>
      <c r="C1676" s="11">
        <f>IFERROR(__xludf.DUMMYFUNCTION("""COMPUTED_VALUE"""),840.0)</f>
        <v>840</v>
      </c>
      <c r="D1676" s="11">
        <f>IFERROR(__xludf.DUMMYFUNCTION("""COMPUTED_VALUE"""),431.0)</f>
        <v>431</v>
      </c>
      <c r="E1676" s="9"/>
    </row>
    <row r="1677">
      <c r="A1677" s="10">
        <f>IFERROR(__xludf.DUMMYFUNCTION("""COMPUTED_VALUE"""),108096.0)</f>
        <v>108096</v>
      </c>
      <c r="B1677" s="11">
        <f>IFERROR(__xludf.DUMMYFUNCTION("""COMPUTED_VALUE"""),1.0)</f>
        <v>1</v>
      </c>
      <c r="C1677" s="11">
        <f>IFERROR(__xludf.DUMMYFUNCTION("""COMPUTED_VALUE"""),759.0)</f>
        <v>759</v>
      </c>
      <c r="D1677" s="11">
        <f>IFERROR(__xludf.DUMMYFUNCTION("""COMPUTED_VALUE"""),95.0)</f>
        <v>95</v>
      </c>
      <c r="E1677" s="9"/>
    </row>
    <row r="1678">
      <c r="A1678" s="10">
        <f>IFERROR(__xludf.DUMMYFUNCTION("""COMPUTED_VALUE"""),70495.0)</f>
        <v>70495</v>
      </c>
      <c r="B1678" s="11">
        <f>IFERROR(__xludf.DUMMYFUNCTION("""COMPUTED_VALUE"""),0.0)</f>
        <v>0</v>
      </c>
      <c r="C1678" s="11">
        <f>IFERROR(__xludf.DUMMYFUNCTION("""COMPUTED_VALUE"""),279.0)</f>
        <v>279</v>
      </c>
      <c r="D1678" s="11">
        <f>IFERROR(__xludf.DUMMYFUNCTION("""COMPUTED_VALUE"""),44.0)</f>
        <v>44</v>
      </c>
      <c r="E1678" s="9"/>
    </row>
    <row r="1679">
      <c r="A1679" s="10">
        <f>IFERROR(__xludf.DUMMYFUNCTION("""COMPUTED_VALUE"""),115733.0)</f>
        <v>115733</v>
      </c>
      <c r="B1679" s="11">
        <f>IFERROR(__xludf.DUMMYFUNCTION("""COMPUTED_VALUE"""),1.0)</f>
        <v>1</v>
      </c>
      <c r="C1679" s="11">
        <f>IFERROR(__xludf.DUMMYFUNCTION("""COMPUTED_VALUE"""),406.0)</f>
        <v>406</v>
      </c>
      <c r="D1679" s="11">
        <f>IFERROR(__xludf.DUMMYFUNCTION("""COMPUTED_VALUE"""),62.0)</f>
        <v>62</v>
      </c>
      <c r="E1679" s="9"/>
    </row>
    <row r="1680">
      <c r="A1680" s="10">
        <f>IFERROR(__xludf.DUMMYFUNCTION("""COMPUTED_VALUE"""),26349.0)</f>
        <v>26349</v>
      </c>
      <c r="B1680" s="11">
        <f>IFERROR(__xludf.DUMMYFUNCTION("""COMPUTED_VALUE"""),1.0)</f>
        <v>1</v>
      </c>
      <c r="C1680" s="11">
        <f>IFERROR(__xludf.DUMMYFUNCTION("""COMPUTED_VALUE"""),751.0)</f>
        <v>751</v>
      </c>
      <c r="D1680" s="11">
        <f>IFERROR(__xludf.DUMMYFUNCTION("""COMPUTED_VALUE"""),317.0)</f>
        <v>317</v>
      </c>
      <c r="E1680" s="9"/>
    </row>
    <row r="1681">
      <c r="A1681" s="10">
        <f>IFERROR(__xludf.DUMMYFUNCTION("""COMPUTED_VALUE"""),26350.0)</f>
        <v>26350</v>
      </c>
      <c r="B1681" s="11">
        <f>IFERROR(__xludf.DUMMYFUNCTION("""COMPUTED_VALUE"""),0.0)</f>
        <v>0</v>
      </c>
      <c r="C1681" s="11">
        <f>IFERROR(__xludf.DUMMYFUNCTION("""COMPUTED_VALUE"""),769.0)</f>
        <v>769</v>
      </c>
      <c r="D1681" s="11">
        <f>IFERROR(__xludf.DUMMYFUNCTION("""COMPUTED_VALUE"""),73.0)</f>
        <v>73</v>
      </c>
      <c r="E1681" s="9"/>
    </row>
    <row r="1682">
      <c r="A1682" s="10">
        <f>IFERROR(__xludf.DUMMYFUNCTION("""COMPUTED_VALUE"""),115724.0)</f>
        <v>115724</v>
      </c>
      <c r="B1682" s="11">
        <f>IFERROR(__xludf.DUMMYFUNCTION("""COMPUTED_VALUE"""),1.0)</f>
        <v>1</v>
      </c>
      <c r="C1682" s="11">
        <f>IFERROR(__xludf.DUMMYFUNCTION("""COMPUTED_VALUE"""),932.0)</f>
        <v>932</v>
      </c>
      <c r="D1682" s="11">
        <f>IFERROR(__xludf.DUMMYFUNCTION("""COMPUTED_VALUE"""),543.0)</f>
        <v>543</v>
      </c>
      <c r="E1682" s="9"/>
    </row>
    <row r="1683">
      <c r="A1683" s="10">
        <f>IFERROR(__xludf.DUMMYFUNCTION("""COMPUTED_VALUE"""),115726.0)</f>
        <v>115726</v>
      </c>
      <c r="B1683" s="11">
        <f>IFERROR(__xludf.DUMMYFUNCTION("""COMPUTED_VALUE"""),0.0)</f>
        <v>0</v>
      </c>
      <c r="C1683" s="11">
        <f>IFERROR(__xludf.DUMMYFUNCTION("""COMPUTED_VALUE"""),326.0)</f>
        <v>326</v>
      </c>
      <c r="D1683" s="11">
        <f>IFERROR(__xludf.DUMMYFUNCTION("""COMPUTED_VALUE"""),17.0)</f>
        <v>17</v>
      </c>
      <c r="E1683" s="9"/>
    </row>
    <row r="1684">
      <c r="A1684" s="10">
        <f>IFERROR(__xludf.DUMMYFUNCTION("""COMPUTED_VALUE"""),26352.0)</f>
        <v>26352</v>
      </c>
      <c r="B1684" s="11">
        <f>IFERROR(__xludf.DUMMYFUNCTION("""COMPUTED_VALUE"""),0.0)</f>
        <v>0</v>
      </c>
      <c r="C1684" s="11">
        <f>IFERROR(__xludf.DUMMYFUNCTION("""COMPUTED_VALUE"""),683.0)</f>
        <v>683</v>
      </c>
      <c r="D1684" s="11">
        <f>IFERROR(__xludf.DUMMYFUNCTION("""COMPUTED_VALUE"""),368.0)</f>
        <v>368</v>
      </c>
      <c r="E1684" s="9"/>
    </row>
    <row r="1685">
      <c r="A1685" s="10">
        <f>IFERROR(__xludf.DUMMYFUNCTION("""COMPUTED_VALUE"""),19782.0)</f>
        <v>19782</v>
      </c>
      <c r="B1685" s="11">
        <f>IFERROR(__xludf.DUMMYFUNCTION("""COMPUTED_VALUE"""),1.0)</f>
        <v>1</v>
      </c>
      <c r="C1685" s="11">
        <f>IFERROR(__xludf.DUMMYFUNCTION("""COMPUTED_VALUE"""),648.0)</f>
        <v>648</v>
      </c>
      <c r="D1685" s="11">
        <f>IFERROR(__xludf.DUMMYFUNCTION("""COMPUTED_VALUE"""),451.0)</f>
        <v>451</v>
      </c>
      <c r="E1685" s="9"/>
    </row>
    <row r="1686">
      <c r="A1686" s="10">
        <f>IFERROR(__xludf.DUMMYFUNCTION("""COMPUTED_VALUE"""),19793.0)</f>
        <v>19793</v>
      </c>
      <c r="B1686" s="11">
        <f>IFERROR(__xludf.DUMMYFUNCTION("""COMPUTED_VALUE"""),1.0)</f>
        <v>1</v>
      </c>
      <c r="C1686" s="11">
        <f>IFERROR(__xludf.DUMMYFUNCTION("""COMPUTED_VALUE"""),811.0)</f>
        <v>811</v>
      </c>
      <c r="D1686" s="11">
        <f>IFERROR(__xludf.DUMMYFUNCTION("""COMPUTED_VALUE"""),195.0)</f>
        <v>195</v>
      </c>
      <c r="E1686" s="9"/>
    </row>
    <row r="1687">
      <c r="A1687" s="10">
        <f>IFERROR(__xludf.DUMMYFUNCTION("""COMPUTED_VALUE"""),87604.0)</f>
        <v>87604</v>
      </c>
      <c r="B1687" s="11">
        <f>IFERROR(__xludf.DUMMYFUNCTION("""COMPUTED_VALUE"""),1.0)</f>
        <v>1</v>
      </c>
      <c r="C1687" s="11">
        <f>IFERROR(__xludf.DUMMYFUNCTION("""COMPUTED_VALUE"""),670.0)</f>
        <v>670</v>
      </c>
      <c r="D1687" s="11">
        <f>IFERROR(__xludf.DUMMYFUNCTION("""COMPUTED_VALUE"""),269.0)</f>
        <v>269</v>
      </c>
      <c r="E1687" s="9"/>
    </row>
    <row r="1688">
      <c r="A1688" s="10">
        <f>IFERROR(__xludf.DUMMYFUNCTION("""COMPUTED_VALUE"""),29931.0)</f>
        <v>29931</v>
      </c>
      <c r="B1688" s="11">
        <f>IFERROR(__xludf.DUMMYFUNCTION("""COMPUTED_VALUE"""),0.0)</f>
        <v>0</v>
      </c>
      <c r="C1688" s="11">
        <f>IFERROR(__xludf.DUMMYFUNCTION("""COMPUTED_VALUE"""),386.0)</f>
        <v>386</v>
      </c>
      <c r="D1688" s="11">
        <f>IFERROR(__xludf.DUMMYFUNCTION("""COMPUTED_VALUE"""),67.0)</f>
        <v>67</v>
      </c>
      <c r="E1688" s="9"/>
    </row>
    <row r="1689">
      <c r="A1689" s="10">
        <f>IFERROR(__xludf.DUMMYFUNCTION("""COMPUTED_VALUE"""),9335.0)</f>
        <v>9335</v>
      </c>
      <c r="B1689" s="11">
        <f>IFERROR(__xludf.DUMMYFUNCTION("""COMPUTED_VALUE"""),1.0)</f>
        <v>1</v>
      </c>
      <c r="C1689" s="11">
        <f>IFERROR(__xludf.DUMMYFUNCTION("""COMPUTED_VALUE"""),935.0)</f>
        <v>935</v>
      </c>
      <c r="D1689" s="11">
        <f>IFERROR(__xludf.DUMMYFUNCTION("""COMPUTED_VALUE"""),52.0)</f>
        <v>52</v>
      </c>
      <c r="E1689" s="9"/>
    </row>
    <row r="1690">
      <c r="A1690" s="10">
        <f>IFERROR(__xludf.DUMMYFUNCTION("""COMPUTED_VALUE"""),88722.0)</f>
        <v>88722</v>
      </c>
      <c r="B1690" s="11">
        <f>IFERROR(__xludf.DUMMYFUNCTION("""COMPUTED_VALUE"""),1.0)</f>
        <v>1</v>
      </c>
      <c r="C1690" s="11">
        <f>IFERROR(__xludf.DUMMYFUNCTION("""COMPUTED_VALUE"""),962.0)</f>
        <v>962</v>
      </c>
      <c r="D1690" s="11">
        <f>IFERROR(__xludf.DUMMYFUNCTION("""COMPUTED_VALUE"""),189.0)</f>
        <v>189</v>
      </c>
      <c r="E1690" s="9"/>
    </row>
    <row r="1691">
      <c r="A1691" s="10">
        <f>IFERROR(__xludf.DUMMYFUNCTION("""COMPUTED_VALUE"""),121865.0)</f>
        <v>121865</v>
      </c>
      <c r="B1691" s="11">
        <f>IFERROR(__xludf.DUMMYFUNCTION("""COMPUTED_VALUE"""),0.0)</f>
        <v>0</v>
      </c>
      <c r="C1691" s="11">
        <f>IFERROR(__xludf.DUMMYFUNCTION("""COMPUTED_VALUE"""),145.0)</f>
        <v>145</v>
      </c>
      <c r="D1691" s="11">
        <f>IFERROR(__xludf.DUMMYFUNCTION("""COMPUTED_VALUE"""),99.0)</f>
        <v>99</v>
      </c>
      <c r="E1691" s="9"/>
    </row>
    <row r="1692">
      <c r="A1692" s="10">
        <f>IFERROR(__xludf.DUMMYFUNCTION("""COMPUTED_VALUE"""),100934.0)</f>
        <v>100934</v>
      </c>
      <c r="B1692" s="11">
        <f>IFERROR(__xludf.DUMMYFUNCTION("""COMPUTED_VALUE"""),0.0)</f>
        <v>0</v>
      </c>
      <c r="C1692" s="11">
        <f>IFERROR(__xludf.DUMMYFUNCTION("""COMPUTED_VALUE"""),905.0)</f>
        <v>905</v>
      </c>
      <c r="D1692" s="11">
        <f>IFERROR(__xludf.DUMMYFUNCTION("""COMPUTED_VALUE"""),327.0)</f>
        <v>327</v>
      </c>
      <c r="E1692" s="9"/>
    </row>
    <row r="1693">
      <c r="A1693" s="10">
        <f>IFERROR(__xludf.DUMMYFUNCTION("""COMPUTED_VALUE"""),117116.0)</f>
        <v>117116</v>
      </c>
      <c r="B1693" s="11">
        <f>IFERROR(__xludf.DUMMYFUNCTION("""COMPUTED_VALUE"""),0.0)</f>
        <v>0</v>
      </c>
      <c r="C1693" s="11">
        <f>IFERROR(__xludf.DUMMYFUNCTION("""COMPUTED_VALUE"""),849.0)</f>
        <v>849</v>
      </c>
      <c r="D1693" s="11">
        <f>IFERROR(__xludf.DUMMYFUNCTION("""COMPUTED_VALUE"""),264.0)</f>
        <v>264</v>
      </c>
      <c r="E1693" s="9"/>
    </row>
    <row r="1694">
      <c r="A1694" s="10">
        <f>IFERROR(__xludf.DUMMYFUNCTION("""COMPUTED_VALUE"""),19802.0)</f>
        <v>19802</v>
      </c>
      <c r="B1694" s="11">
        <f>IFERROR(__xludf.DUMMYFUNCTION("""COMPUTED_VALUE"""),1.0)</f>
        <v>1</v>
      </c>
      <c r="C1694" s="11">
        <f>IFERROR(__xludf.DUMMYFUNCTION("""COMPUTED_VALUE"""),211.0)</f>
        <v>211</v>
      </c>
      <c r="D1694" s="11">
        <f>IFERROR(__xludf.DUMMYFUNCTION("""COMPUTED_VALUE"""),112.0)</f>
        <v>112</v>
      </c>
      <c r="E1694" s="9"/>
    </row>
    <row r="1695">
      <c r="A1695" s="10">
        <f>IFERROR(__xludf.DUMMYFUNCTION("""COMPUTED_VALUE"""),81780.0)</f>
        <v>81780</v>
      </c>
      <c r="B1695" s="11">
        <f>IFERROR(__xludf.DUMMYFUNCTION("""COMPUTED_VALUE"""),1.0)</f>
        <v>1</v>
      </c>
      <c r="C1695" s="11">
        <f>IFERROR(__xludf.DUMMYFUNCTION("""COMPUTED_VALUE"""),515.0)</f>
        <v>515</v>
      </c>
      <c r="D1695" s="11">
        <f>IFERROR(__xludf.DUMMYFUNCTION("""COMPUTED_VALUE"""),111.0)</f>
        <v>111</v>
      </c>
      <c r="E1695" s="9"/>
    </row>
    <row r="1696">
      <c r="A1696" s="10">
        <f>IFERROR(__xludf.DUMMYFUNCTION("""COMPUTED_VALUE"""),117094.0)</f>
        <v>117094</v>
      </c>
      <c r="B1696" s="11">
        <f>IFERROR(__xludf.DUMMYFUNCTION("""COMPUTED_VALUE"""),0.0)</f>
        <v>0</v>
      </c>
      <c r="C1696" s="11">
        <f>IFERROR(__xludf.DUMMYFUNCTION("""COMPUTED_VALUE"""),978.0)</f>
        <v>978</v>
      </c>
      <c r="D1696" s="11">
        <f>IFERROR(__xludf.DUMMYFUNCTION("""COMPUTED_VALUE"""),347.0)</f>
        <v>347</v>
      </c>
      <c r="E1696" s="9"/>
    </row>
    <row r="1697">
      <c r="A1697" s="10">
        <f>IFERROR(__xludf.DUMMYFUNCTION("""COMPUTED_VALUE"""),19797.0)</f>
        <v>19797</v>
      </c>
      <c r="B1697" s="11">
        <f>IFERROR(__xludf.DUMMYFUNCTION("""COMPUTED_VALUE"""),0.0)</f>
        <v>0</v>
      </c>
      <c r="C1697" s="11">
        <f>IFERROR(__xludf.DUMMYFUNCTION("""COMPUTED_VALUE"""),748.0)</f>
        <v>748</v>
      </c>
      <c r="D1697" s="11">
        <f>IFERROR(__xludf.DUMMYFUNCTION("""COMPUTED_VALUE"""),684.0)</f>
        <v>684</v>
      </c>
      <c r="E1697" s="9"/>
    </row>
    <row r="1698">
      <c r="A1698" s="10">
        <f>IFERROR(__xludf.DUMMYFUNCTION("""COMPUTED_VALUE"""),86131.0)</f>
        <v>86131</v>
      </c>
      <c r="B1698" s="11">
        <f>IFERROR(__xludf.DUMMYFUNCTION("""COMPUTED_VALUE"""),1.0)</f>
        <v>1</v>
      </c>
      <c r="C1698" s="11">
        <f>IFERROR(__xludf.DUMMYFUNCTION("""COMPUTED_VALUE"""),312.0)</f>
        <v>312</v>
      </c>
      <c r="D1698" s="11">
        <f>IFERROR(__xludf.DUMMYFUNCTION("""COMPUTED_VALUE"""),278.0)</f>
        <v>278</v>
      </c>
      <c r="E1698" s="9"/>
    </row>
    <row r="1699">
      <c r="A1699" s="10">
        <f>IFERROR(__xludf.DUMMYFUNCTION("""COMPUTED_VALUE"""),121864.0)</f>
        <v>121864</v>
      </c>
      <c r="B1699" s="11">
        <f>IFERROR(__xludf.DUMMYFUNCTION("""COMPUTED_VALUE"""),1.0)</f>
        <v>1</v>
      </c>
      <c r="C1699" s="11">
        <f>IFERROR(__xludf.DUMMYFUNCTION("""COMPUTED_VALUE"""),179.0)</f>
        <v>179</v>
      </c>
      <c r="D1699" s="11">
        <f>IFERROR(__xludf.DUMMYFUNCTION("""COMPUTED_VALUE"""),164.0)</f>
        <v>164</v>
      </c>
      <c r="E1699" s="9"/>
    </row>
    <row r="1700">
      <c r="A1700" s="10">
        <f>IFERROR(__xludf.DUMMYFUNCTION("""COMPUTED_VALUE"""),15061.0)</f>
        <v>15061</v>
      </c>
      <c r="B1700" s="11">
        <f>IFERROR(__xludf.DUMMYFUNCTION("""COMPUTED_VALUE"""),0.0)</f>
        <v>0</v>
      </c>
      <c r="C1700" s="11">
        <f>IFERROR(__xludf.DUMMYFUNCTION("""COMPUTED_VALUE"""),284.0)</f>
        <v>284</v>
      </c>
      <c r="D1700" s="11">
        <f>IFERROR(__xludf.DUMMYFUNCTION("""COMPUTED_VALUE"""),106.0)</f>
        <v>106</v>
      </c>
      <c r="E1700" s="9"/>
    </row>
    <row r="1701">
      <c r="A1701" s="10">
        <f>IFERROR(__xludf.DUMMYFUNCTION("""COMPUTED_VALUE"""),79929.0)</f>
        <v>79929</v>
      </c>
      <c r="B1701" s="11">
        <f>IFERROR(__xludf.DUMMYFUNCTION("""COMPUTED_VALUE"""),0.0)</f>
        <v>0</v>
      </c>
      <c r="C1701" s="11">
        <f>IFERROR(__xludf.DUMMYFUNCTION("""COMPUTED_VALUE"""),626.0)</f>
        <v>626</v>
      </c>
      <c r="D1701" s="11">
        <f>IFERROR(__xludf.DUMMYFUNCTION("""COMPUTED_VALUE"""),611.0)</f>
        <v>611</v>
      </c>
      <c r="E1701" s="9"/>
    </row>
    <row r="1702">
      <c r="A1702" s="10">
        <f>IFERROR(__xludf.DUMMYFUNCTION("""COMPUTED_VALUE"""),19792.0)</f>
        <v>19792</v>
      </c>
      <c r="B1702" s="11">
        <f>IFERROR(__xludf.DUMMYFUNCTION("""COMPUTED_VALUE"""),0.0)</f>
        <v>0</v>
      </c>
      <c r="C1702" s="11">
        <f>IFERROR(__xludf.DUMMYFUNCTION("""COMPUTED_VALUE"""),750.0)</f>
        <v>750</v>
      </c>
      <c r="D1702" s="11">
        <f>IFERROR(__xludf.DUMMYFUNCTION("""COMPUTED_VALUE"""),110.0)</f>
        <v>110</v>
      </c>
      <c r="E1702" s="9"/>
    </row>
    <row r="1703">
      <c r="A1703" s="10">
        <f>IFERROR(__xludf.DUMMYFUNCTION("""COMPUTED_VALUE"""),108805.0)</f>
        <v>108805</v>
      </c>
      <c r="B1703" s="11">
        <f>IFERROR(__xludf.DUMMYFUNCTION("""COMPUTED_VALUE"""),0.0)</f>
        <v>0</v>
      </c>
      <c r="C1703" s="11">
        <f>IFERROR(__xludf.DUMMYFUNCTION("""COMPUTED_VALUE"""),118.0)</f>
        <v>118</v>
      </c>
      <c r="D1703" s="11">
        <f>IFERROR(__xludf.DUMMYFUNCTION("""COMPUTED_VALUE"""),42.0)</f>
        <v>42</v>
      </c>
      <c r="E1703" s="9"/>
    </row>
    <row r="1704">
      <c r="A1704" s="10">
        <f>IFERROR(__xludf.DUMMYFUNCTION("""COMPUTED_VALUE"""),71689.0)</f>
        <v>71689</v>
      </c>
      <c r="B1704" s="11">
        <f>IFERROR(__xludf.DUMMYFUNCTION("""COMPUTED_VALUE"""),0.0)</f>
        <v>0</v>
      </c>
      <c r="C1704" s="11">
        <f>IFERROR(__xludf.DUMMYFUNCTION("""COMPUTED_VALUE"""),448.0)</f>
        <v>448</v>
      </c>
      <c r="D1704" s="11">
        <f>IFERROR(__xludf.DUMMYFUNCTION("""COMPUTED_VALUE"""),4.0)</f>
        <v>4</v>
      </c>
      <c r="E1704" s="9"/>
    </row>
    <row r="1705">
      <c r="A1705" s="10">
        <f>IFERROR(__xludf.DUMMYFUNCTION("""COMPUTED_VALUE"""),71718.0)</f>
        <v>71718</v>
      </c>
      <c r="B1705" s="11">
        <f>IFERROR(__xludf.DUMMYFUNCTION("""COMPUTED_VALUE"""),0.0)</f>
        <v>0</v>
      </c>
      <c r="C1705" s="11">
        <f>IFERROR(__xludf.DUMMYFUNCTION("""COMPUTED_VALUE"""),243.0)</f>
        <v>243</v>
      </c>
      <c r="D1705" s="11">
        <f>IFERROR(__xludf.DUMMYFUNCTION("""COMPUTED_VALUE"""),24.0)</f>
        <v>24</v>
      </c>
      <c r="E1705" s="9"/>
    </row>
    <row r="1706">
      <c r="A1706" s="10">
        <f>IFERROR(__xludf.DUMMYFUNCTION("""COMPUTED_VALUE"""),19752.0)</f>
        <v>19752</v>
      </c>
      <c r="B1706" s="11">
        <f>IFERROR(__xludf.DUMMYFUNCTION("""COMPUTED_VALUE"""),0.0)</f>
        <v>0</v>
      </c>
      <c r="C1706" s="11">
        <f>IFERROR(__xludf.DUMMYFUNCTION("""COMPUTED_VALUE"""),598.0)</f>
        <v>598</v>
      </c>
      <c r="D1706" s="11">
        <f>IFERROR(__xludf.DUMMYFUNCTION("""COMPUTED_VALUE"""),259.0)</f>
        <v>259</v>
      </c>
      <c r="E1706" s="9"/>
    </row>
    <row r="1707">
      <c r="A1707" s="10">
        <f>IFERROR(__xludf.DUMMYFUNCTION("""COMPUTED_VALUE"""),116205.0)</f>
        <v>116205</v>
      </c>
      <c r="B1707" s="11">
        <f>IFERROR(__xludf.DUMMYFUNCTION("""COMPUTED_VALUE"""),0.0)</f>
        <v>0</v>
      </c>
      <c r="C1707" s="11">
        <f>IFERROR(__xludf.DUMMYFUNCTION("""COMPUTED_VALUE"""),869.0)</f>
        <v>869</v>
      </c>
      <c r="D1707" s="11">
        <f>IFERROR(__xludf.DUMMYFUNCTION("""COMPUTED_VALUE"""),799.0)</f>
        <v>799</v>
      </c>
      <c r="E1707" s="9"/>
    </row>
    <row r="1708">
      <c r="A1708" s="10">
        <f>IFERROR(__xludf.DUMMYFUNCTION("""COMPUTED_VALUE"""),117113.0)</f>
        <v>117113</v>
      </c>
      <c r="B1708" s="11">
        <f>IFERROR(__xludf.DUMMYFUNCTION("""COMPUTED_VALUE"""),1.0)</f>
        <v>1</v>
      </c>
      <c r="C1708" s="11">
        <f>IFERROR(__xludf.DUMMYFUNCTION("""COMPUTED_VALUE"""),228.0)</f>
        <v>228</v>
      </c>
      <c r="D1708" s="11">
        <f>IFERROR(__xludf.DUMMYFUNCTION("""COMPUTED_VALUE"""),137.0)</f>
        <v>137</v>
      </c>
      <c r="E1708" s="9"/>
    </row>
    <row r="1709">
      <c r="A1709" s="10">
        <f>IFERROR(__xludf.DUMMYFUNCTION("""COMPUTED_VALUE"""),71716.0)</f>
        <v>71716</v>
      </c>
      <c r="B1709" s="11">
        <f>IFERROR(__xludf.DUMMYFUNCTION("""COMPUTED_VALUE"""),0.0)</f>
        <v>0</v>
      </c>
      <c r="C1709" s="11">
        <f>IFERROR(__xludf.DUMMYFUNCTION("""COMPUTED_VALUE"""),456.0)</f>
        <v>456</v>
      </c>
      <c r="D1709" s="11">
        <f>IFERROR(__xludf.DUMMYFUNCTION("""COMPUTED_VALUE"""),235.0)</f>
        <v>235</v>
      </c>
      <c r="E1709" s="9"/>
    </row>
    <row r="1710">
      <c r="A1710" s="10">
        <f>IFERROR(__xludf.DUMMYFUNCTION("""COMPUTED_VALUE"""),44398.0)</f>
        <v>44398</v>
      </c>
      <c r="B1710" s="11">
        <f>IFERROR(__xludf.DUMMYFUNCTION("""COMPUTED_VALUE"""),0.0)</f>
        <v>0</v>
      </c>
      <c r="C1710" s="11">
        <f>IFERROR(__xludf.DUMMYFUNCTION("""COMPUTED_VALUE"""),775.0)</f>
        <v>775</v>
      </c>
      <c r="D1710" s="11">
        <f>IFERROR(__xludf.DUMMYFUNCTION("""COMPUTED_VALUE"""),449.0)</f>
        <v>449</v>
      </c>
      <c r="E1710" s="9"/>
    </row>
    <row r="1711">
      <c r="A1711" s="10">
        <f>IFERROR(__xludf.DUMMYFUNCTION("""COMPUTED_VALUE"""),100932.0)</f>
        <v>100932</v>
      </c>
      <c r="B1711" s="11">
        <f>IFERROR(__xludf.DUMMYFUNCTION("""COMPUTED_VALUE"""),0.0)</f>
        <v>0</v>
      </c>
      <c r="C1711" s="11">
        <f>IFERROR(__xludf.DUMMYFUNCTION("""COMPUTED_VALUE"""),569.0)</f>
        <v>569</v>
      </c>
      <c r="D1711" s="11">
        <f>IFERROR(__xludf.DUMMYFUNCTION("""COMPUTED_VALUE"""),41.0)</f>
        <v>41</v>
      </c>
      <c r="E1711" s="9"/>
    </row>
    <row r="1712">
      <c r="A1712" s="10">
        <f>IFERROR(__xludf.DUMMYFUNCTION("""COMPUTED_VALUE"""),117125.0)</f>
        <v>117125</v>
      </c>
      <c r="B1712" s="11">
        <f>IFERROR(__xludf.DUMMYFUNCTION("""COMPUTED_VALUE"""),1.0)</f>
        <v>1</v>
      </c>
      <c r="C1712" s="11">
        <f>IFERROR(__xludf.DUMMYFUNCTION("""COMPUTED_VALUE"""),628.0)</f>
        <v>628</v>
      </c>
      <c r="D1712" s="11">
        <f>IFERROR(__xludf.DUMMYFUNCTION("""COMPUTED_VALUE"""),369.0)</f>
        <v>369</v>
      </c>
      <c r="E1712" s="9"/>
    </row>
    <row r="1713">
      <c r="A1713" s="10">
        <f>IFERROR(__xludf.DUMMYFUNCTION("""COMPUTED_VALUE"""),19746.0)</f>
        <v>19746</v>
      </c>
      <c r="B1713" s="11">
        <f>IFERROR(__xludf.DUMMYFUNCTION("""COMPUTED_VALUE"""),1.0)</f>
        <v>1</v>
      </c>
      <c r="C1713" s="11">
        <f>IFERROR(__xludf.DUMMYFUNCTION("""COMPUTED_VALUE"""),722.0)</f>
        <v>722</v>
      </c>
      <c r="D1713" s="11">
        <f>IFERROR(__xludf.DUMMYFUNCTION("""COMPUTED_VALUE"""),553.0)</f>
        <v>553</v>
      </c>
      <c r="E1713" s="9"/>
    </row>
    <row r="1714">
      <c r="A1714" s="10">
        <f>IFERROR(__xludf.DUMMYFUNCTION("""COMPUTED_VALUE"""),80729.0)</f>
        <v>80729</v>
      </c>
      <c r="B1714" s="11">
        <f>IFERROR(__xludf.DUMMYFUNCTION("""COMPUTED_VALUE"""),1.0)</f>
        <v>1</v>
      </c>
      <c r="C1714" s="11">
        <f>IFERROR(__xludf.DUMMYFUNCTION("""COMPUTED_VALUE"""),270.0)</f>
        <v>270</v>
      </c>
      <c r="D1714" s="11">
        <f>IFERROR(__xludf.DUMMYFUNCTION("""COMPUTED_VALUE"""),254.0)</f>
        <v>254</v>
      </c>
      <c r="E1714" s="9"/>
    </row>
    <row r="1715">
      <c r="A1715" s="10">
        <f>IFERROR(__xludf.DUMMYFUNCTION("""COMPUTED_VALUE"""),19800.0)</f>
        <v>19800</v>
      </c>
      <c r="B1715" s="11">
        <f>IFERROR(__xludf.DUMMYFUNCTION("""COMPUTED_VALUE"""),1.0)</f>
        <v>1</v>
      </c>
      <c r="C1715" s="11">
        <f>IFERROR(__xludf.DUMMYFUNCTION("""COMPUTED_VALUE"""),73.0)</f>
        <v>73</v>
      </c>
      <c r="D1715" s="11">
        <f>IFERROR(__xludf.DUMMYFUNCTION("""COMPUTED_VALUE"""),64.0)</f>
        <v>64</v>
      </c>
      <c r="E1715" s="9"/>
    </row>
    <row r="1716">
      <c r="A1716" s="10">
        <f>IFERROR(__xludf.DUMMYFUNCTION("""COMPUTED_VALUE"""),19790.0)</f>
        <v>19790</v>
      </c>
      <c r="B1716" s="11">
        <f>IFERROR(__xludf.DUMMYFUNCTION("""COMPUTED_VALUE"""),0.0)</f>
        <v>0</v>
      </c>
      <c r="C1716" s="11">
        <f>IFERROR(__xludf.DUMMYFUNCTION("""COMPUTED_VALUE"""),269.0)</f>
        <v>269</v>
      </c>
      <c r="D1716" s="11">
        <f>IFERROR(__xludf.DUMMYFUNCTION("""COMPUTED_VALUE"""),129.0)</f>
        <v>129</v>
      </c>
      <c r="E1716" s="9"/>
    </row>
    <row r="1717">
      <c r="A1717" s="10">
        <f>IFERROR(__xludf.DUMMYFUNCTION("""COMPUTED_VALUE"""),19747.0)</f>
        <v>19747</v>
      </c>
      <c r="B1717" s="11">
        <f>IFERROR(__xludf.DUMMYFUNCTION("""COMPUTED_VALUE"""),1.0)</f>
        <v>1</v>
      </c>
      <c r="C1717" s="11">
        <f>IFERROR(__xludf.DUMMYFUNCTION("""COMPUTED_VALUE"""),209.0)</f>
        <v>209</v>
      </c>
      <c r="D1717" s="11">
        <f>IFERROR(__xludf.DUMMYFUNCTION("""COMPUTED_VALUE"""),184.0)</f>
        <v>184</v>
      </c>
      <c r="E1717" s="9"/>
    </row>
    <row r="1718">
      <c r="A1718" s="10">
        <f>IFERROR(__xludf.DUMMYFUNCTION("""COMPUTED_VALUE"""),44524.0)</f>
        <v>44524</v>
      </c>
      <c r="B1718" s="11">
        <f>IFERROR(__xludf.DUMMYFUNCTION("""COMPUTED_VALUE"""),1.0)</f>
        <v>1</v>
      </c>
      <c r="C1718" s="11">
        <f>IFERROR(__xludf.DUMMYFUNCTION("""COMPUTED_VALUE"""),325.0)</f>
        <v>325</v>
      </c>
      <c r="D1718" s="11">
        <f>IFERROR(__xludf.DUMMYFUNCTION("""COMPUTED_VALUE"""),30.0)</f>
        <v>30</v>
      </c>
      <c r="E1718" s="9"/>
    </row>
    <row r="1719">
      <c r="A1719" s="10">
        <f>IFERROR(__xludf.DUMMYFUNCTION("""COMPUTED_VALUE"""),103839.0)</f>
        <v>103839</v>
      </c>
      <c r="B1719" s="11">
        <f>IFERROR(__xludf.DUMMYFUNCTION("""COMPUTED_VALUE"""),0.0)</f>
        <v>0</v>
      </c>
      <c r="C1719" s="11">
        <f>IFERROR(__xludf.DUMMYFUNCTION("""COMPUTED_VALUE"""),317.0)</f>
        <v>317</v>
      </c>
      <c r="D1719" s="11">
        <f>IFERROR(__xludf.DUMMYFUNCTION("""COMPUTED_VALUE"""),71.0)</f>
        <v>71</v>
      </c>
      <c r="E1719" s="9"/>
    </row>
    <row r="1720">
      <c r="A1720" s="10">
        <f>IFERROR(__xludf.DUMMYFUNCTION("""COMPUTED_VALUE"""),195240.0)</f>
        <v>195240</v>
      </c>
      <c r="B1720" s="11">
        <f>IFERROR(__xludf.DUMMYFUNCTION("""COMPUTED_VALUE"""),0.0)</f>
        <v>0</v>
      </c>
      <c r="C1720" s="11">
        <f>IFERROR(__xludf.DUMMYFUNCTION("""COMPUTED_VALUE"""),649.0)</f>
        <v>649</v>
      </c>
      <c r="D1720" s="11">
        <f>IFERROR(__xludf.DUMMYFUNCTION("""COMPUTED_VALUE"""),387.0)</f>
        <v>387</v>
      </c>
      <c r="E1720" s="9"/>
    </row>
    <row r="1721">
      <c r="A1721" s="10">
        <f>IFERROR(__xludf.DUMMYFUNCTION("""COMPUTED_VALUE"""),195244.0)</f>
        <v>195244</v>
      </c>
      <c r="B1721" s="11">
        <f>IFERROR(__xludf.DUMMYFUNCTION("""COMPUTED_VALUE"""),1.0)</f>
        <v>1</v>
      </c>
      <c r="C1721" s="11">
        <f>IFERROR(__xludf.DUMMYFUNCTION("""COMPUTED_VALUE"""),263.0)</f>
        <v>263</v>
      </c>
      <c r="D1721" s="11">
        <f>IFERROR(__xludf.DUMMYFUNCTION("""COMPUTED_VALUE"""),190.0)</f>
        <v>190</v>
      </c>
      <c r="E1721" s="9"/>
    </row>
    <row r="1722">
      <c r="A1722" s="10">
        <f>IFERROR(__xludf.DUMMYFUNCTION("""COMPUTED_VALUE"""),119465.0)</f>
        <v>119465</v>
      </c>
      <c r="B1722" s="11">
        <f>IFERROR(__xludf.DUMMYFUNCTION("""COMPUTED_VALUE"""),1.0)</f>
        <v>1</v>
      </c>
      <c r="C1722" s="11">
        <f>IFERROR(__xludf.DUMMYFUNCTION("""COMPUTED_VALUE"""),643.0)</f>
        <v>643</v>
      </c>
      <c r="D1722" s="11">
        <f>IFERROR(__xludf.DUMMYFUNCTION("""COMPUTED_VALUE"""),496.0)</f>
        <v>496</v>
      </c>
      <c r="E1722" s="9"/>
    </row>
    <row r="1723">
      <c r="A1723" s="10">
        <f>IFERROR(__xludf.DUMMYFUNCTION("""COMPUTED_VALUE"""),47081.0)</f>
        <v>47081</v>
      </c>
      <c r="B1723" s="11">
        <f>IFERROR(__xludf.DUMMYFUNCTION("""COMPUTED_VALUE"""),0.0)</f>
        <v>0</v>
      </c>
      <c r="C1723" s="11">
        <f>IFERROR(__xludf.DUMMYFUNCTION("""COMPUTED_VALUE"""),378.0)</f>
        <v>378</v>
      </c>
      <c r="D1723" s="11">
        <f>IFERROR(__xludf.DUMMYFUNCTION("""COMPUTED_VALUE"""),274.0)</f>
        <v>274</v>
      </c>
      <c r="E1723" s="9"/>
    </row>
    <row r="1724">
      <c r="A1724" s="10">
        <f>IFERROR(__xludf.DUMMYFUNCTION("""COMPUTED_VALUE"""),91635.0)</f>
        <v>91635</v>
      </c>
      <c r="B1724" s="11">
        <f>IFERROR(__xludf.DUMMYFUNCTION("""COMPUTED_VALUE"""),1.0)</f>
        <v>1</v>
      </c>
      <c r="C1724" s="11">
        <f>IFERROR(__xludf.DUMMYFUNCTION("""COMPUTED_VALUE"""),865.0)</f>
        <v>865</v>
      </c>
      <c r="D1724" s="11">
        <f>IFERROR(__xludf.DUMMYFUNCTION("""COMPUTED_VALUE"""),177.0)</f>
        <v>177</v>
      </c>
      <c r="E1724" s="9"/>
    </row>
    <row r="1725">
      <c r="A1725" s="10">
        <f>IFERROR(__xludf.DUMMYFUNCTION("""COMPUTED_VALUE"""),188359.0)</f>
        <v>188359</v>
      </c>
      <c r="B1725" s="11">
        <f>IFERROR(__xludf.DUMMYFUNCTION("""COMPUTED_VALUE"""),1.0)</f>
        <v>1</v>
      </c>
      <c r="C1725" s="11">
        <f>IFERROR(__xludf.DUMMYFUNCTION("""COMPUTED_VALUE"""),579.0)</f>
        <v>579</v>
      </c>
      <c r="D1725" s="11">
        <f>IFERROR(__xludf.DUMMYFUNCTION("""COMPUTED_VALUE"""),107.0)</f>
        <v>107</v>
      </c>
      <c r="E1725" s="9"/>
    </row>
    <row r="1726">
      <c r="A1726" s="10">
        <f>IFERROR(__xludf.DUMMYFUNCTION("""COMPUTED_VALUE"""),29655.0)</f>
        <v>29655</v>
      </c>
      <c r="B1726" s="11">
        <f>IFERROR(__xludf.DUMMYFUNCTION("""COMPUTED_VALUE"""),1.0)</f>
        <v>1</v>
      </c>
      <c r="C1726" s="11">
        <f>IFERROR(__xludf.DUMMYFUNCTION("""COMPUTED_VALUE"""),306.0)</f>
        <v>306</v>
      </c>
      <c r="D1726" s="11">
        <f>IFERROR(__xludf.DUMMYFUNCTION("""COMPUTED_VALUE"""),191.0)</f>
        <v>191</v>
      </c>
      <c r="E1726" s="9"/>
    </row>
    <row r="1727">
      <c r="A1727" s="10">
        <f>IFERROR(__xludf.DUMMYFUNCTION("""COMPUTED_VALUE"""),193188.0)</f>
        <v>193188</v>
      </c>
      <c r="B1727" s="11">
        <f>IFERROR(__xludf.DUMMYFUNCTION("""COMPUTED_VALUE"""),1.0)</f>
        <v>1</v>
      </c>
      <c r="C1727" s="11">
        <f>IFERROR(__xludf.DUMMYFUNCTION("""COMPUTED_VALUE"""),317.0)</f>
        <v>317</v>
      </c>
      <c r="D1727" s="11">
        <f>IFERROR(__xludf.DUMMYFUNCTION("""COMPUTED_VALUE"""),303.0)</f>
        <v>303</v>
      </c>
      <c r="E1727" s="9"/>
    </row>
    <row r="1728">
      <c r="A1728" s="10">
        <f>IFERROR(__xludf.DUMMYFUNCTION("""COMPUTED_VALUE"""),188367.0)</f>
        <v>188367</v>
      </c>
      <c r="B1728" s="11">
        <f>IFERROR(__xludf.DUMMYFUNCTION("""COMPUTED_VALUE"""),1.0)</f>
        <v>1</v>
      </c>
      <c r="C1728" s="11">
        <f>IFERROR(__xludf.DUMMYFUNCTION("""COMPUTED_VALUE"""),11.0)</f>
        <v>11</v>
      </c>
      <c r="D1728" s="11">
        <f>IFERROR(__xludf.DUMMYFUNCTION("""COMPUTED_VALUE"""),0.0)</f>
        <v>0</v>
      </c>
      <c r="E1728" s="9"/>
    </row>
    <row r="1729">
      <c r="A1729" s="10">
        <f>IFERROR(__xludf.DUMMYFUNCTION("""COMPUTED_VALUE"""),188853.0)</f>
        <v>188853</v>
      </c>
      <c r="B1729" s="11">
        <f>IFERROR(__xludf.DUMMYFUNCTION("""COMPUTED_VALUE"""),1.0)</f>
        <v>1</v>
      </c>
      <c r="C1729" s="11">
        <f>IFERROR(__xludf.DUMMYFUNCTION("""COMPUTED_VALUE"""),24.0)</f>
        <v>24</v>
      </c>
      <c r="D1729" s="11">
        <f>IFERROR(__xludf.DUMMYFUNCTION("""COMPUTED_VALUE"""),0.0)</f>
        <v>0</v>
      </c>
      <c r="E1729" s="9"/>
    </row>
    <row r="1730">
      <c r="A1730" s="10">
        <f>IFERROR(__xludf.DUMMYFUNCTION("""COMPUTED_VALUE"""),116214.0)</f>
        <v>116214</v>
      </c>
      <c r="B1730" s="11">
        <f>IFERROR(__xludf.DUMMYFUNCTION("""COMPUTED_VALUE"""),1.0)</f>
        <v>1</v>
      </c>
      <c r="C1730" s="11">
        <f>IFERROR(__xludf.DUMMYFUNCTION("""COMPUTED_VALUE"""),175.0)</f>
        <v>175</v>
      </c>
      <c r="D1730" s="11">
        <f>IFERROR(__xludf.DUMMYFUNCTION("""COMPUTED_VALUE"""),17.0)</f>
        <v>17</v>
      </c>
      <c r="E1730" s="9"/>
    </row>
    <row r="1731">
      <c r="A1731" s="10">
        <f>IFERROR(__xludf.DUMMYFUNCTION("""COMPUTED_VALUE"""),82296.0)</f>
        <v>82296</v>
      </c>
      <c r="B1731" s="11">
        <f>IFERROR(__xludf.DUMMYFUNCTION("""COMPUTED_VALUE"""),1.0)</f>
        <v>1</v>
      </c>
      <c r="C1731" s="11">
        <f>IFERROR(__xludf.DUMMYFUNCTION("""COMPUTED_VALUE"""),680.0)</f>
        <v>680</v>
      </c>
      <c r="D1731" s="11">
        <f>IFERROR(__xludf.DUMMYFUNCTION("""COMPUTED_VALUE"""),293.0)</f>
        <v>293</v>
      </c>
      <c r="E1731" s="9"/>
    </row>
    <row r="1732">
      <c r="A1732" s="10">
        <f>IFERROR(__xludf.DUMMYFUNCTION("""COMPUTED_VALUE"""),10269.0)</f>
        <v>10269</v>
      </c>
      <c r="B1732" s="11">
        <f>IFERROR(__xludf.DUMMYFUNCTION("""COMPUTED_VALUE"""),0.0)</f>
        <v>0</v>
      </c>
      <c r="C1732" s="11">
        <f>IFERROR(__xludf.DUMMYFUNCTION("""COMPUTED_VALUE"""),437.0)</f>
        <v>437</v>
      </c>
      <c r="D1732" s="11">
        <f>IFERROR(__xludf.DUMMYFUNCTION("""COMPUTED_VALUE"""),170.0)</f>
        <v>170</v>
      </c>
      <c r="E1732" s="9"/>
    </row>
    <row r="1733">
      <c r="A1733" s="10">
        <f>IFERROR(__xludf.DUMMYFUNCTION("""COMPUTED_VALUE"""),121860.0)</f>
        <v>121860</v>
      </c>
      <c r="B1733" s="11">
        <f>IFERROR(__xludf.DUMMYFUNCTION("""COMPUTED_VALUE"""),1.0)</f>
        <v>1</v>
      </c>
      <c r="C1733" s="11">
        <f>IFERROR(__xludf.DUMMYFUNCTION("""COMPUTED_VALUE"""),597.0)</f>
        <v>597</v>
      </c>
      <c r="D1733" s="11">
        <f>IFERROR(__xludf.DUMMYFUNCTION("""COMPUTED_VALUE"""),106.0)</f>
        <v>106</v>
      </c>
      <c r="E1733" s="9"/>
    </row>
    <row r="1734">
      <c r="A1734" s="10">
        <f>IFERROR(__xludf.DUMMYFUNCTION("""COMPUTED_VALUE"""),100464.0)</f>
        <v>100464</v>
      </c>
      <c r="B1734" s="11">
        <f>IFERROR(__xludf.DUMMYFUNCTION("""COMPUTED_VALUE"""),1.0)</f>
        <v>1</v>
      </c>
      <c r="C1734" s="11">
        <f>IFERROR(__xludf.DUMMYFUNCTION("""COMPUTED_VALUE"""),111.0)</f>
        <v>111</v>
      </c>
      <c r="D1734" s="11">
        <f>IFERROR(__xludf.DUMMYFUNCTION("""COMPUTED_VALUE"""),95.0)</f>
        <v>95</v>
      </c>
      <c r="E1734" s="9"/>
    </row>
    <row r="1735">
      <c r="A1735" s="10">
        <f>IFERROR(__xludf.DUMMYFUNCTION("""COMPUTED_VALUE"""),10270.0)</f>
        <v>10270</v>
      </c>
      <c r="B1735" s="11">
        <f>IFERROR(__xludf.DUMMYFUNCTION("""COMPUTED_VALUE"""),1.0)</f>
        <v>1</v>
      </c>
      <c r="C1735" s="11">
        <f>IFERROR(__xludf.DUMMYFUNCTION("""COMPUTED_VALUE"""),708.0)</f>
        <v>708</v>
      </c>
      <c r="D1735" s="11">
        <f>IFERROR(__xludf.DUMMYFUNCTION("""COMPUTED_VALUE"""),543.0)</f>
        <v>543</v>
      </c>
      <c r="E1735" s="9"/>
    </row>
    <row r="1736">
      <c r="A1736" s="10">
        <f>IFERROR(__xludf.DUMMYFUNCTION("""COMPUTED_VALUE"""),10283.0)</f>
        <v>10283</v>
      </c>
      <c r="B1736" s="11">
        <f>IFERROR(__xludf.DUMMYFUNCTION("""COMPUTED_VALUE"""),1.0)</f>
        <v>1</v>
      </c>
      <c r="C1736" s="11">
        <f>IFERROR(__xludf.DUMMYFUNCTION("""COMPUTED_VALUE"""),829.0)</f>
        <v>829</v>
      </c>
      <c r="D1736" s="11">
        <f>IFERROR(__xludf.DUMMYFUNCTION("""COMPUTED_VALUE"""),121.0)</f>
        <v>121</v>
      </c>
      <c r="E1736" s="9"/>
    </row>
    <row r="1737">
      <c r="A1737" s="10">
        <f>IFERROR(__xludf.DUMMYFUNCTION("""COMPUTED_VALUE"""),10278.0)</f>
        <v>10278</v>
      </c>
      <c r="B1737" s="11">
        <f>IFERROR(__xludf.DUMMYFUNCTION("""COMPUTED_VALUE"""),0.0)</f>
        <v>0</v>
      </c>
      <c r="C1737" s="11">
        <f>IFERROR(__xludf.DUMMYFUNCTION("""COMPUTED_VALUE"""),47.0)</f>
        <v>47</v>
      </c>
      <c r="D1737" s="11">
        <f>IFERROR(__xludf.DUMMYFUNCTION("""COMPUTED_VALUE"""),21.0)</f>
        <v>21</v>
      </c>
      <c r="E1737" s="9"/>
    </row>
    <row r="1738">
      <c r="A1738" s="10">
        <f>IFERROR(__xludf.DUMMYFUNCTION("""COMPUTED_VALUE"""),10259.0)</f>
        <v>10259</v>
      </c>
      <c r="B1738" s="11">
        <f>IFERROR(__xludf.DUMMYFUNCTION("""COMPUTED_VALUE"""),1.0)</f>
        <v>1</v>
      </c>
      <c r="C1738" s="11">
        <f>IFERROR(__xludf.DUMMYFUNCTION("""COMPUTED_VALUE"""),134.0)</f>
        <v>134</v>
      </c>
      <c r="D1738" s="11">
        <f>IFERROR(__xludf.DUMMYFUNCTION("""COMPUTED_VALUE"""),62.0)</f>
        <v>62</v>
      </c>
      <c r="E1738" s="9"/>
    </row>
    <row r="1739">
      <c r="A1739" s="10">
        <f>IFERROR(__xludf.DUMMYFUNCTION("""COMPUTED_VALUE"""),200359.0)</f>
        <v>200359</v>
      </c>
      <c r="B1739" s="11">
        <f>IFERROR(__xludf.DUMMYFUNCTION("""COMPUTED_VALUE"""),1.0)</f>
        <v>1</v>
      </c>
      <c r="C1739" s="11">
        <f>IFERROR(__xludf.DUMMYFUNCTION("""COMPUTED_VALUE"""),586.0)</f>
        <v>586</v>
      </c>
      <c r="D1739" s="11">
        <f>IFERROR(__xludf.DUMMYFUNCTION("""COMPUTED_VALUE"""),274.0)</f>
        <v>274</v>
      </c>
      <c r="E1739" s="9"/>
    </row>
    <row r="1740">
      <c r="A1740" s="10">
        <f>IFERROR(__xludf.DUMMYFUNCTION("""COMPUTED_VALUE"""),10243.0)</f>
        <v>10243</v>
      </c>
      <c r="B1740" s="11">
        <f>IFERROR(__xludf.DUMMYFUNCTION("""COMPUTED_VALUE"""),0.0)</f>
        <v>0</v>
      </c>
      <c r="C1740" s="11">
        <f>IFERROR(__xludf.DUMMYFUNCTION("""COMPUTED_VALUE"""),248.0)</f>
        <v>248</v>
      </c>
      <c r="D1740" s="11">
        <f>IFERROR(__xludf.DUMMYFUNCTION("""COMPUTED_VALUE"""),69.0)</f>
        <v>69</v>
      </c>
      <c r="E1740" s="9"/>
    </row>
    <row r="1741">
      <c r="A1741" s="10">
        <f>IFERROR(__xludf.DUMMYFUNCTION("""COMPUTED_VALUE"""),200360.0)</f>
        <v>200360</v>
      </c>
      <c r="B1741" s="11">
        <f>IFERROR(__xludf.DUMMYFUNCTION("""COMPUTED_VALUE"""),1.0)</f>
        <v>1</v>
      </c>
      <c r="C1741" s="11">
        <f>IFERROR(__xludf.DUMMYFUNCTION("""COMPUTED_VALUE"""),943.0)</f>
        <v>943</v>
      </c>
      <c r="D1741" s="11">
        <f>IFERROR(__xludf.DUMMYFUNCTION("""COMPUTED_VALUE"""),925.0)</f>
        <v>925</v>
      </c>
      <c r="E1741" s="9"/>
    </row>
    <row r="1742">
      <c r="A1742" s="10">
        <f>IFERROR(__xludf.DUMMYFUNCTION("""COMPUTED_VALUE"""),196501.0)</f>
        <v>196501</v>
      </c>
      <c r="B1742" s="11">
        <f>IFERROR(__xludf.DUMMYFUNCTION("""COMPUTED_VALUE"""),1.0)</f>
        <v>1</v>
      </c>
      <c r="C1742" s="11">
        <f>IFERROR(__xludf.DUMMYFUNCTION("""COMPUTED_VALUE"""),735.0)</f>
        <v>735</v>
      </c>
      <c r="D1742" s="11">
        <f>IFERROR(__xludf.DUMMYFUNCTION("""COMPUTED_VALUE"""),255.0)</f>
        <v>255</v>
      </c>
      <c r="E1742" s="9"/>
    </row>
    <row r="1743">
      <c r="A1743" s="10">
        <f>IFERROR(__xludf.DUMMYFUNCTION("""COMPUTED_VALUE"""),100460.0)</f>
        <v>100460</v>
      </c>
      <c r="B1743" s="11">
        <f>IFERROR(__xludf.DUMMYFUNCTION("""COMPUTED_VALUE"""),0.0)</f>
        <v>0</v>
      </c>
      <c r="C1743" s="11">
        <f>IFERROR(__xludf.DUMMYFUNCTION("""COMPUTED_VALUE"""),521.0)</f>
        <v>521</v>
      </c>
      <c r="D1743" s="11">
        <f>IFERROR(__xludf.DUMMYFUNCTION("""COMPUTED_VALUE"""),147.0)</f>
        <v>147</v>
      </c>
      <c r="E1743" s="9"/>
    </row>
    <row r="1744">
      <c r="A1744" s="10">
        <f>IFERROR(__xludf.DUMMYFUNCTION("""COMPUTED_VALUE"""),5880.0)</f>
        <v>5880</v>
      </c>
      <c r="B1744" s="11">
        <f>IFERROR(__xludf.DUMMYFUNCTION("""COMPUTED_VALUE"""),0.0)</f>
        <v>0</v>
      </c>
      <c r="C1744" s="11">
        <f>IFERROR(__xludf.DUMMYFUNCTION("""COMPUTED_VALUE"""),918.0)</f>
        <v>918</v>
      </c>
      <c r="D1744" s="11">
        <f>IFERROR(__xludf.DUMMYFUNCTION("""COMPUTED_VALUE"""),112.0)</f>
        <v>112</v>
      </c>
      <c r="E1744" s="9"/>
    </row>
    <row r="1745">
      <c r="A1745" s="10">
        <f>IFERROR(__xludf.DUMMYFUNCTION("""COMPUTED_VALUE"""),5872.0)</f>
        <v>5872</v>
      </c>
      <c r="B1745" s="11">
        <f>IFERROR(__xludf.DUMMYFUNCTION("""COMPUTED_VALUE"""),0.0)</f>
        <v>0</v>
      </c>
      <c r="C1745" s="11">
        <f>IFERROR(__xludf.DUMMYFUNCTION("""COMPUTED_VALUE"""),812.0)</f>
        <v>812</v>
      </c>
      <c r="D1745" s="11">
        <f>IFERROR(__xludf.DUMMYFUNCTION("""COMPUTED_VALUE"""),564.0)</f>
        <v>564</v>
      </c>
      <c r="E1745" s="9"/>
    </row>
    <row r="1746">
      <c r="A1746" s="10">
        <f>IFERROR(__xludf.DUMMYFUNCTION("""COMPUTED_VALUE"""),114258.0)</f>
        <v>114258</v>
      </c>
      <c r="B1746" s="11">
        <f>IFERROR(__xludf.DUMMYFUNCTION("""COMPUTED_VALUE"""),0.0)</f>
        <v>0</v>
      </c>
      <c r="C1746" s="11">
        <f>IFERROR(__xludf.DUMMYFUNCTION("""COMPUTED_VALUE"""),863.0)</f>
        <v>863</v>
      </c>
      <c r="D1746" s="11">
        <f>IFERROR(__xludf.DUMMYFUNCTION("""COMPUTED_VALUE"""),695.0)</f>
        <v>695</v>
      </c>
      <c r="E1746" s="9"/>
    </row>
    <row r="1747">
      <c r="A1747" s="10">
        <f>IFERROR(__xludf.DUMMYFUNCTION("""COMPUTED_VALUE"""),11122.0)</f>
        <v>11122</v>
      </c>
      <c r="B1747" s="11">
        <f>IFERROR(__xludf.DUMMYFUNCTION("""COMPUTED_VALUE"""),1.0)</f>
        <v>1</v>
      </c>
      <c r="C1747" s="11">
        <f>IFERROR(__xludf.DUMMYFUNCTION("""COMPUTED_VALUE"""),339.0)</f>
        <v>339</v>
      </c>
      <c r="D1747" s="11">
        <f>IFERROR(__xludf.DUMMYFUNCTION("""COMPUTED_VALUE"""),70.0)</f>
        <v>70</v>
      </c>
      <c r="E1747" s="9"/>
    </row>
    <row r="1748">
      <c r="A1748" s="10">
        <f>IFERROR(__xludf.DUMMYFUNCTION("""COMPUTED_VALUE"""),116894.0)</f>
        <v>116894</v>
      </c>
      <c r="B1748" s="11">
        <f>IFERROR(__xludf.DUMMYFUNCTION("""COMPUTED_VALUE"""),0.0)</f>
        <v>0</v>
      </c>
      <c r="C1748" s="11">
        <f>IFERROR(__xludf.DUMMYFUNCTION("""COMPUTED_VALUE"""),605.0)</f>
        <v>605</v>
      </c>
      <c r="D1748" s="11">
        <f>IFERROR(__xludf.DUMMYFUNCTION("""COMPUTED_VALUE"""),487.0)</f>
        <v>487</v>
      </c>
      <c r="E1748" s="9"/>
    </row>
    <row r="1749">
      <c r="A1749" s="10">
        <f>IFERROR(__xludf.DUMMYFUNCTION("""COMPUTED_VALUE"""),72994.0)</f>
        <v>72994</v>
      </c>
      <c r="B1749" s="11">
        <f>IFERROR(__xludf.DUMMYFUNCTION("""COMPUTED_VALUE"""),0.0)</f>
        <v>0</v>
      </c>
      <c r="C1749" s="11">
        <f>IFERROR(__xludf.DUMMYFUNCTION("""COMPUTED_VALUE"""),495.0)</f>
        <v>495</v>
      </c>
      <c r="D1749" s="11">
        <f>IFERROR(__xludf.DUMMYFUNCTION("""COMPUTED_VALUE"""),151.0)</f>
        <v>151</v>
      </c>
      <c r="E1749" s="9"/>
    </row>
    <row r="1750">
      <c r="A1750" s="10">
        <f>IFERROR(__xludf.DUMMYFUNCTION("""COMPUTED_VALUE"""),120863.0)</f>
        <v>120863</v>
      </c>
      <c r="B1750" s="11">
        <f>IFERROR(__xludf.DUMMYFUNCTION("""COMPUTED_VALUE"""),1.0)</f>
        <v>1</v>
      </c>
      <c r="C1750" s="11">
        <f>IFERROR(__xludf.DUMMYFUNCTION("""COMPUTED_VALUE"""),111.0)</f>
        <v>111</v>
      </c>
      <c r="D1750" s="11">
        <f>IFERROR(__xludf.DUMMYFUNCTION("""COMPUTED_VALUE"""),2.0)</f>
        <v>2</v>
      </c>
      <c r="E1750" s="9"/>
    </row>
    <row r="1751">
      <c r="A1751" s="10">
        <f>IFERROR(__xludf.DUMMYFUNCTION("""COMPUTED_VALUE"""),120870.0)</f>
        <v>120870</v>
      </c>
      <c r="B1751" s="11">
        <f>IFERROR(__xludf.DUMMYFUNCTION("""COMPUTED_VALUE"""),1.0)</f>
        <v>1</v>
      </c>
      <c r="C1751" s="11">
        <f>IFERROR(__xludf.DUMMYFUNCTION("""COMPUTED_VALUE"""),425.0)</f>
        <v>425</v>
      </c>
      <c r="D1751" s="11">
        <f>IFERROR(__xludf.DUMMYFUNCTION("""COMPUTED_VALUE"""),46.0)</f>
        <v>46</v>
      </c>
      <c r="E1751" s="9"/>
    </row>
    <row r="1752">
      <c r="A1752" s="10">
        <f>IFERROR(__xludf.DUMMYFUNCTION("""COMPUTED_VALUE"""),120868.0)</f>
        <v>120868</v>
      </c>
      <c r="B1752" s="11">
        <f>IFERROR(__xludf.DUMMYFUNCTION("""COMPUTED_VALUE"""),1.0)</f>
        <v>1</v>
      </c>
      <c r="C1752" s="11">
        <f>IFERROR(__xludf.DUMMYFUNCTION("""COMPUTED_VALUE"""),73.0)</f>
        <v>73</v>
      </c>
      <c r="D1752" s="11">
        <f>IFERROR(__xludf.DUMMYFUNCTION("""COMPUTED_VALUE"""),66.0)</f>
        <v>66</v>
      </c>
      <c r="E1752" s="9"/>
    </row>
    <row r="1753">
      <c r="A1753" s="10">
        <f>IFERROR(__xludf.DUMMYFUNCTION("""COMPUTED_VALUE"""),102063.0)</f>
        <v>102063</v>
      </c>
      <c r="B1753" s="11">
        <f>IFERROR(__xludf.DUMMYFUNCTION("""COMPUTED_VALUE"""),1.0)</f>
        <v>1</v>
      </c>
      <c r="C1753" s="11">
        <f>IFERROR(__xludf.DUMMYFUNCTION("""COMPUTED_VALUE"""),523.0)</f>
        <v>523</v>
      </c>
      <c r="D1753" s="11">
        <f>IFERROR(__xludf.DUMMYFUNCTION("""COMPUTED_VALUE"""),197.0)</f>
        <v>197</v>
      </c>
      <c r="E1753" s="9"/>
    </row>
    <row r="1754">
      <c r="A1754" s="10">
        <f>IFERROR(__xludf.DUMMYFUNCTION("""COMPUTED_VALUE"""),120869.0)</f>
        <v>120869</v>
      </c>
      <c r="B1754" s="11">
        <f>IFERROR(__xludf.DUMMYFUNCTION("""COMPUTED_VALUE"""),0.0)</f>
        <v>0</v>
      </c>
      <c r="C1754" s="11">
        <f>IFERROR(__xludf.DUMMYFUNCTION("""COMPUTED_VALUE"""),528.0)</f>
        <v>528</v>
      </c>
      <c r="D1754" s="11">
        <f>IFERROR(__xludf.DUMMYFUNCTION("""COMPUTED_VALUE"""),483.0)</f>
        <v>483</v>
      </c>
      <c r="E1754" s="9"/>
    </row>
    <row r="1755">
      <c r="A1755" s="10">
        <f>IFERROR(__xludf.DUMMYFUNCTION("""COMPUTED_VALUE"""),120871.0)</f>
        <v>120871</v>
      </c>
      <c r="B1755" s="11">
        <f>IFERROR(__xludf.DUMMYFUNCTION("""COMPUTED_VALUE"""),0.0)</f>
        <v>0</v>
      </c>
      <c r="C1755" s="11">
        <f>IFERROR(__xludf.DUMMYFUNCTION("""COMPUTED_VALUE"""),795.0)</f>
        <v>795</v>
      </c>
      <c r="D1755" s="11">
        <f>IFERROR(__xludf.DUMMYFUNCTION("""COMPUTED_VALUE"""),336.0)</f>
        <v>336</v>
      </c>
      <c r="E1755" s="9"/>
    </row>
    <row r="1756">
      <c r="A1756" s="10">
        <f>IFERROR(__xludf.DUMMYFUNCTION("""COMPUTED_VALUE"""),24195.0)</f>
        <v>24195</v>
      </c>
      <c r="B1756" s="11">
        <f>IFERROR(__xludf.DUMMYFUNCTION("""COMPUTED_VALUE"""),1.0)</f>
        <v>1</v>
      </c>
      <c r="C1756" s="11">
        <f>IFERROR(__xludf.DUMMYFUNCTION("""COMPUTED_VALUE"""),530.0)</f>
        <v>530</v>
      </c>
      <c r="D1756" s="11">
        <f>IFERROR(__xludf.DUMMYFUNCTION("""COMPUTED_VALUE"""),46.0)</f>
        <v>46</v>
      </c>
      <c r="E1756" s="9"/>
    </row>
    <row r="1757">
      <c r="A1757" s="10">
        <f>IFERROR(__xludf.DUMMYFUNCTION("""COMPUTED_VALUE"""),120422.0)</f>
        <v>120422</v>
      </c>
      <c r="B1757" s="11">
        <f>IFERROR(__xludf.DUMMYFUNCTION("""COMPUTED_VALUE"""),1.0)</f>
        <v>1</v>
      </c>
      <c r="C1757" s="11">
        <f>IFERROR(__xludf.DUMMYFUNCTION("""COMPUTED_VALUE"""),258.0)</f>
        <v>258</v>
      </c>
      <c r="D1757" s="11">
        <f>IFERROR(__xludf.DUMMYFUNCTION("""COMPUTED_VALUE"""),127.0)</f>
        <v>127</v>
      </c>
      <c r="E1757" s="9"/>
    </row>
    <row r="1758">
      <c r="A1758" s="10">
        <f>IFERROR(__xludf.DUMMYFUNCTION("""COMPUTED_VALUE"""),120874.0)</f>
        <v>120874</v>
      </c>
      <c r="B1758" s="11">
        <f>IFERROR(__xludf.DUMMYFUNCTION("""COMPUTED_VALUE"""),0.0)</f>
        <v>0</v>
      </c>
      <c r="C1758" s="11">
        <f>IFERROR(__xludf.DUMMYFUNCTION("""COMPUTED_VALUE"""),0.0)</f>
        <v>0</v>
      </c>
      <c r="D1758" s="11">
        <f>IFERROR(__xludf.DUMMYFUNCTION("""COMPUTED_VALUE"""),0.0)</f>
        <v>0</v>
      </c>
      <c r="E1758" s="9"/>
    </row>
    <row r="1759">
      <c r="A1759" s="10">
        <f>IFERROR(__xludf.DUMMYFUNCTION("""COMPUTED_VALUE"""),120416.0)</f>
        <v>120416</v>
      </c>
      <c r="B1759" s="11">
        <f>IFERROR(__xludf.DUMMYFUNCTION("""COMPUTED_VALUE"""),1.0)</f>
        <v>1</v>
      </c>
      <c r="C1759" s="11">
        <f>IFERROR(__xludf.DUMMYFUNCTION("""COMPUTED_VALUE"""),882.0)</f>
        <v>882</v>
      </c>
      <c r="D1759" s="11">
        <f>IFERROR(__xludf.DUMMYFUNCTION("""COMPUTED_VALUE"""),198.0)</f>
        <v>198</v>
      </c>
      <c r="E1759" s="9"/>
    </row>
    <row r="1760">
      <c r="A1760" s="10">
        <f>IFERROR(__xludf.DUMMYFUNCTION("""COMPUTED_VALUE"""),80944.0)</f>
        <v>80944</v>
      </c>
      <c r="B1760" s="11">
        <f>IFERROR(__xludf.DUMMYFUNCTION("""COMPUTED_VALUE"""),1.0)</f>
        <v>1</v>
      </c>
      <c r="C1760" s="11">
        <f>IFERROR(__xludf.DUMMYFUNCTION("""COMPUTED_VALUE"""),895.0)</f>
        <v>895</v>
      </c>
      <c r="D1760" s="11">
        <f>IFERROR(__xludf.DUMMYFUNCTION("""COMPUTED_VALUE"""),466.0)</f>
        <v>466</v>
      </c>
      <c r="E1760" s="9"/>
    </row>
    <row r="1761">
      <c r="A1761" s="10">
        <f>IFERROR(__xludf.DUMMYFUNCTION("""COMPUTED_VALUE"""),120873.0)</f>
        <v>120873</v>
      </c>
      <c r="B1761" s="11">
        <f>IFERROR(__xludf.DUMMYFUNCTION("""COMPUTED_VALUE"""),1.0)</f>
        <v>1</v>
      </c>
      <c r="C1761" s="11">
        <f>IFERROR(__xludf.DUMMYFUNCTION("""COMPUTED_VALUE"""),936.0)</f>
        <v>936</v>
      </c>
      <c r="D1761" s="11">
        <f>IFERROR(__xludf.DUMMYFUNCTION("""COMPUTED_VALUE"""),145.0)</f>
        <v>145</v>
      </c>
      <c r="E1761" s="9"/>
    </row>
    <row r="1762">
      <c r="A1762" s="10">
        <f>IFERROR(__xludf.DUMMYFUNCTION("""COMPUTED_VALUE"""),120875.0)</f>
        <v>120875</v>
      </c>
      <c r="B1762" s="11">
        <f>IFERROR(__xludf.DUMMYFUNCTION("""COMPUTED_VALUE"""),0.0)</f>
        <v>0</v>
      </c>
      <c r="C1762" s="11">
        <f>IFERROR(__xludf.DUMMYFUNCTION("""COMPUTED_VALUE"""),570.0)</f>
        <v>570</v>
      </c>
      <c r="D1762" s="11">
        <f>IFERROR(__xludf.DUMMYFUNCTION("""COMPUTED_VALUE"""),400.0)</f>
        <v>400</v>
      </c>
      <c r="E1762" s="9"/>
    </row>
    <row r="1763">
      <c r="A1763" s="10">
        <f>IFERROR(__xludf.DUMMYFUNCTION("""COMPUTED_VALUE"""),147285.0)</f>
        <v>147285</v>
      </c>
      <c r="B1763" s="11">
        <f>IFERROR(__xludf.DUMMYFUNCTION("""COMPUTED_VALUE"""),0.0)</f>
        <v>0</v>
      </c>
      <c r="C1763" s="11">
        <f>IFERROR(__xludf.DUMMYFUNCTION("""COMPUTED_VALUE"""),369.0)</f>
        <v>369</v>
      </c>
      <c r="D1763" s="11">
        <f>IFERROR(__xludf.DUMMYFUNCTION("""COMPUTED_VALUE"""),59.0)</f>
        <v>59</v>
      </c>
      <c r="E1763" s="9"/>
    </row>
    <row r="1764">
      <c r="A1764" s="10">
        <f>IFERROR(__xludf.DUMMYFUNCTION("""COMPUTED_VALUE"""),88604.0)</f>
        <v>88604</v>
      </c>
      <c r="B1764" s="11">
        <f>IFERROR(__xludf.DUMMYFUNCTION("""COMPUTED_VALUE"""),1.0)</f>
        <v>1</v>
      </c>
      <c r="C1764" s="11">
        <f>IFERROR(__xludf.DUMMYFUNCTION("""COMPUTED_VALUE"""),566.0)</f>
        <v>566</v>
      </c>
      <c r="D1764" s="11">
        <f>IFERROR(__xludf.DUMMYFUNCTION("""COMPUTED_VALUE"""),92.0)</f>
        <v>92</v>
      </c>
      <c r="E1764" s="9"/>
    </row>
    <row r="1765">
      <c r="A1765" s="10">
        <f>IFERROR(__xludf.DUMMYFUNCTION("""COMPUTED_VALUE"""),120417.0)</f>
        <v>120417</v>
      </c>
      <c r="B1765" s="11">
        <f>IFERROR(__xludf.DUMMYFUNCTION("""COMPUTED_VALUE"""),0.0)</f>
        <v>0</v>
      </c>
      <c r="C1765" s="11">
        <f>IFERROR(__xludf.DUMMYFUNCTION("""COMPUTED_VALUE"""),619.0)</f>
        <v>619</v>
      </c>
      <c r="D1765" s="11">
        <f>IFERROR(__xludf.DUMMYFUNCTION("""COMPUTED_VALUE"""),194.0)</f>
        <v>194</v>
      </c>
      <c r="E1765" s="9"/>
    </row>
    <row r="1766">
      <c r="A1766" s="10">
        <f>IFERROR(__xludf.DUMMYFUNCTION("""COMPUTED_VALUE"""),113914.0)</f>
        <v>113914</v>
      </c>
      <c r="B1766" s="11">
        <f>IFERROR(__xludf.DUMMYFUNCTION("""COMPUTED_VALUE"""),0.0)</f>
        <v>0</v>
      </c>
      <c r="C1766" s="11">
        <f>IFERROR(__xludf.DUMMYFUNCTION("""COMPUTED_VALUE"""),836.0)</f>
        <v>836</v>
      </c>
      <c r="D1766" s="11">
        <f>IFERROR(__xludf.DUMMYFUNCTION("""COMPUTED_VALUE"""),24.0)</f>
        <v>24</v>
      </c>
      <c r="E1766" s="9"/>
    </row>
    <row r="1767">
      <c r="A1767" s="10">
        <f>IFERROR(__xludf.DUMMYFUNCTION("""COMPUTED_VALUE"""),68793.0)</f>
        <v>68793</v>
      </c>
      <c r="B1767" s="11">
        <f>IFERROR(__xludf.DUMMYFUNCTION("""COMPUTED_VALUE"""),0.0)</f>
        <v>0</v>
      </c>
      <c r="C1767" s="11">
        <f>IFERROR(__xludf.DUMMYFUNCTION("""COMPUTED_VALUE"""),121.0)</f>
        <v>121</v>
      </c>
      <c r="D1767" s="11">
        <f>IFERROR(__xludf.DUMMYFUNCTION("""COMPUTED_VALUE"""),32.0)</f>
        <v>32</v>
      </c>
      <c r="E1767" s="9"/>
    </row>
    <row r="1768">
      <c r="A1768" s="10">
        <f>IFERROR(__xludf.DUMMYFUNCTION("""COMPUTED_VALUE"""),106707.0)</f>
        <v>106707</v>
      </c>
      <c r="B1768" s="11">
        <f>IFERROR(__xludf.DUMMYFUNCTION("""COMPUTED_VALUE"""),1.0)</f>
        <v>1</v>
      </c>
      <c r="C1768" s="11">
        <f>IFERROR(__xludf.DUMMYFUNCTION("""COMPUTED_VALUE"""),546.0)</f>
        <v>546</v>
      </c>
      <c r="D1768" s="11">
        <f>IFERROR(__xludf.DUMMYFUNCTION("""COMPUTED_VALUE"""),507.0)</f>
        <v>507</v>
      </c>
      <c r="E1768" s="9"/>
    </row>
    <row r="1769">
      <c r="A1769" s="10">
        <f>IFERROR(__xludf.DUMMYFUNCTION("""COMPUTED_VALUE"""),24210.0)</f>
        <v>24210</v>
      </c>
      <c r="B1769" s="11">
        <f>IFERROR(__xludf.DUMMYFUNCTION("""COMPUTED_VALUE"""),1.0)</f>
        <v>1</v>
      </c>
      <c r="C1769" s="11">
        <f>IFERROR(__xludf.DUMMYFUNCTION("""COMPUTED_VALUE"""),439.0)</f>
        <v>439</v>
      </c>
      <c r="D1769" s="11">
        <f>IFERROR(__xludf.DUMMYFUNCTION("""COMPUTED_VALUE"""),11.0)</f>
        <v>11</v>
      </c>
      <c r="E1769" s="9"/>
    </row>
    <row r="1770">
      <c r="A1770" s="10">
        <f>IFERROR(__xludf.DUMMYFUNCTION("""COMPUTED_VALUE"""),44012.0)</f>
        <v>44012</v>
      </c>
      <c r="B1770" s="11">
        <f>IFERROR(__xludf.DUMMYFUNCTION("""COMPUTED_VALUE"""),0.0)</f>
        <v>0</v>
      </c>
      <c r="C1770" s="11">
        <f>IFERROR(__xludf.DUMMYFUNCTION("""COMPUTED_VALUE"""),795.0)</f>
        <v>795</v>
      </c>
      <c r="D1770" s="11">
        <f>IFERROR(__xludf.DUMMYFUNCTION("""COMPUTED_VALUE"""),343.0)</f>
        <v>343</v>
      </c>
      <c r="E1770" s="9"/>
    </row>
    <row r="1771">
      <c r="A1771" s="10">
        <f>IFERROR(__xludf.DUMMYFUNCTION("""COMPUTED_VALUE"""),106710.0)</f>
        <v>106710</v>
      </c>
      <c r="B1771" s="11">
        <f>IFERROR(__xludf.DUMMYFUNCTION("""COMPUTED_VALUE"""),1.0)</f>
        <v>1</v>
      </c>
      <c r="C1771" s="11">
        <f>IFERROR(__xludf.DUMMYFUNCTION("""COMPUTED_VALUE"""),841.0)</f>
        <v>841</v>
      </c>
      <c r="D1771" s="11">
        <f>IFERROR(__xludf.DUMMYFUNCTION("""COMPUTED_VALUE"""),812.0)</f>
        <v>812</v>
      </c>
      <c r="E1771" s="9"/>
    </row>
    <row r="1772">
      <c r="A1772" s="10">
        <f>IFERROR(__xludf.DUMMYFUNCTION("""COMPUTED_VALUE"""),117239.0)</f>
        <v>117239</v>
      </c>
      <c r="B1772" s="11">
        <f>IFERROR(__xludf.DUMMYFUNCTION("""COMPUTED_VALUE"""),0.0)</f>
        <v>0</v>
      </c>
      <c r="C1772" s="11">
        <f>IFERROR(__xludf.DUMMYFUNCTION("""COMPUTED_VALUE"""),749.0)</f>
        <v>749</v>
      </c>
      <c r="D1772" s="11">
        <f>IFERROR(__xludf.DUMMYFUNCTION("""COMPUTED_VALUE"""),452.0)</f>
        <v>452</v>
      </c>
      <c r="E1772" s="9"/>
    </row>
    <row r="1773">
      <c r="A1773" s="10">
        <f>IFERROR(__xludf.DUMMYFUNCTION("""COMPUTED_VALUE"""),80186.0)</f>
        <v>80186</v>
      </c>
      <c r="B1773" s="11">
        <f>IFERROR(__xludf.DUMMYFUNCTION("""COMPUTED_VALUE"""),1.0)</f>
        <v>1</v>
      </c>
      <c r="C1773" s="11">
        <f>IFERROR(__xludf.DUMMYFUNCTION("""COMPUTED_VALUE"""),685.0)</f>
        <v>685</v>
      </c>
      <c r="D1773" s="11">
        <f>IFERROR(__xludf.DUMMYFUNCTION("""COMPUTED_VALUE"""),22.0)</f>
        <v>22</v>
      </c>
      <c r="E1773" s="9"/>
    </row>
    <row r="1774">
      <c r="A1774" s="10">
        <f>IFERROR(__xludf.DUMMYFUNCTION("""COMPUTED_VALUE"""),80185.0)</f>
        <v>80185</v>
      </c>
      <c r="B1774" s="11">
        <f>IFERROR(__xludf.DUMMYFUNCTION("""COMPUTED_VALUE"""),0.0)</f>
        <v>0</v>
      </c>
      <c r="C1774" s="11">
        <f>IFERROR(__xludf.DUMMYFUNCTION("""COMPUTED_VALUE"""),446.0)</f>
        <v>446</v>
      </c>
      <c r="D1774" s="11">
        <f>IFERROR(__xludf.DUMMYFUNCTION("""COMPUTED_VALUE"""),211.0)</f>
        <v>211</v>
      </c>
      <c r="E1774" s="9"/>
    </row>
    <row r="1775">
      <c r="A1775" s="10">
        <f>IFERROR(__xludf.DUMMYFUNCTION("""COMPUTED_VALUE"""),107151.0)</f>
        <v>107151</v>
      </c>
      <c r="B1775" s="11">
        <f>IFERROR(__xludf.DUMMYFUNCTION("""COMPUTED_VALUE"""),1.0)</f>
        <v>1</v>
      </c>
      <c r="C1775" s="11">
        <f>IFERROR(__xludf.DUMMYFUNCTION("""COMPUTED_VALUE"""),502.0)</f>
        <v>502</v>
      </c>
      <c r="D1775" s="11">
        <f>IFERROR(__xludf.DUMMYFUNCTION("""COMPUTED_VALUE"""),104.0)</f>
        <v>104</v>
      </c>
      <c r="E1775" s="9"/>
    </row>
    <row r="1776">
      <c r="A1776" s="10">
        <f>IFERROR(__xludf.DUMMYFUNCTION("""COMPUTED_VALUE"""),120420.0)</f>
        <v>120420</v>
      </c>
      <c r="B1776" s="11">
        <f>IFERROR(__xludf.DUMMYFUNCTION("""COMPUTED_VALUE"""),1.0)</f>
        <v>1</v>
      </c>
      <c r="C1776" s="11">
        <f>IFERROR(__xludf.DUMMYFUNCTION("""COMPUTED_VALUE"""),378.0)</f>
        <v>378</v>
      </c>
      <c r="D1776" s="11">
        <f>IFERROR(__xludf.DUMMYFUNCTION("""COMPUTED_VALUE"""),124.0)</f>
        <v>124</v>
      </c>
      <c r="E1776" s="9"/>
    </row>
    <row r="1777">
      <c r="A1777" s="10">
        <f>IFERROR(__xludf.DUMMYFUNCTION("""COMPUTED_VALUE"""),80184.0)</f>
        <v>80184</v>
      </c>
      <c r="B1777" s="11">
        <f>IFERROR(__xludf.DUMMYFUNCTION("""COMPUTED_VALUE"""),1.0)</f>
        <v>1</v>
      </c>
      <c r="C1777" s="11">
        <f>IFERROR(__xludf.DUMMYFUNCTION("""COMPUTED_VALUE"""),434.0)</f>
        <v>434</v>
      </c>
      <c r="D1777" s="11">
        <f>IFERROR(__xludf.DUMMYFUNCTION("""COMPUTED_VALUE"""),152.0)</f>
        <v>152</v>
      </c>
      <c r="E1777" s="9"/>
    </row>
    <row r="1778">
      <c r="A1778" s="10">
        <f>IFERROR(__xludf.DUMMYFUNCTION("""COMPUTED_VALUE"""),107157.0)</f>
        <v>107157</v>
      </c>
      <c r="B1778" s="11">
        <f>IFERROR(__xludf.DUMMYFUNCTION("""COMPUTED_VALUE"""),0.0)</f>
        <v>0</v>
      </c>
      <c r="C1778" s="11">
        <f>IFERROR(__xludf.DUMMYFUNCTION("""COMPUTED_VALUE"""),602.0)</f>
        <v>602</v>
      </c>
      <c r="D1778" s="11">
        <f>IFERROR(__xludf.DUMMYFUNCTION("""COMPUTED_VALUE"""),579.0)</f>
        <v>579</v>
      </c>
      <c r="E1778" s="9"/>
    </row>
    <row r="1779">
      <c r="A1779" s="10">
        <f>IFERROR(__xludf.DUMMYFUNCTION("""COMPUTED_VALUE"""),118432.0)</f>
        <v>118432</v>
      </c>
      <c r="B1779" s="11">
        <f>IFERROR(__xludf.DUMMYFUNCTION("""COMPUTED_VALUE"""),0.0)</f>
        <v>0</v>
      </c>
      <c r="C1779" s="11">
        <f>IFERROR(__xludf.DUMMYFUNCTION("""COMPUTED_VALUE"""),785.0)</f>
        <v>785</v>
      </c>
      <c r="D1779" s="11">
        <f>IFERROR(__xludf.DUMMYFUNCTION("""COMPUTED_VALUE"""),376.0)</f>
        <v>376</v>
      </c>
      <c r="E1779" s="9"/>
    </row>
    <row r="1780">
      <c r="A1780" s="10">
        <f>IFERROR(__xludf.DUMMYFUNCTION("""COMPUTED_VALUE"""),86512.0)</f>
        <v>86512</v>
      </c>
      <c r="B1780" s="11">
        <f>IFERROR(__xludf.DUMMYFUNCTION("""COMPUTED_VALUE"""),1.0)</f>
        <v>1</v>
      </c>
      <c r="C1780" s="11">
        <f>IFERROR(__xludf.DUMMYFUNCTION("""COMPUTED_VALUE"""),773.0)</f>
        <v>773</v>
      </c>
      <c r="D1780" s="11">
        <f>IFERROR(__xludf.DUMMYFUNCTION("""COMPUTED_VALUE"""),546.0)</f>
        <v>546</v>
      </c>
      <c r="E1780" s="9"/>
    </row>
    <row r="1781">
      <c r="A1781" s="10">
        <f>IFERROR(__xludf.DUMMYFUNCTION("""COMPUTED_VALUE"""),118431.0)</f>
        <v>118431</v>
      </c>
      <c r="B1781" s="11">
        <f>IFERROR(__xludf.DUMMYFUNCTION("""COMPUTED_VALUE"""),1.0)</f>
        <v>1</v>
      </c>
      <c r="C1781" s="11">
        <f>IFERROR(__xludf.DUMMYFUNCTION("""COMPUTED_VALUE"""),867.0)</f>
        <v>867</v>
      </c>
      <c r="D1781" s="11">
        <f>IFERROR(__xludf.DUMMYFUNCTION("""COMPUTED_VALUE"""),241.0)</f>
        <v>241</v>
      </c>
      <c r="E1781" s="9"/>
    </row>
    <row r="1782">
      <c r="A1782" s="10">
        <f>IFERROR(__xludf.DUMMYFUNCTION("""COMPUTED_VALUE"""),80187.0)</f>
        <v>80187</v>
      </c>
      <c r="B1782" s="11">
        <f>IFERROR(__xludf.DUMMYFUNCTION("""COMPUTED_VALUE"""),1.0)</f>
        <v>1</v>
      </c>
      <c r="C1782" s="11">
        <f>IFERROR(__xludf.DUMMYFUNCTION("""COMPUTED_VALUE"""),15.0)</f>
        <v>15</v>
      </c>
      <c r="D1782" s="11">
        <f>IFERROR(__xludf.DUMMYFUNCTION("""COMPUTED_VALUE"""),13.0)</f>
        <v>13</v>
      </c>
      <c r="E1782" s="9"/>
    </row>
    <row r="1783">
      <c r="A1783" s="10">
        <f>IFERROR(__xludf.DUMMYFUNCTION("""COMPUTED_VALUE"""),107163.0)</f>
        <v>107163</v>
      </c>
      <c r="B1783" s="11">
        <f>IFERROR(__xludf.DUMMYFUNCTION("""COMPUTED_VALUE"""),0.0)</f>
        <v>0</v>
      </c>
      <c r="C1783" s="11">
        <f>IFERROR(__xludf.DUMMYFUNCTION("""COMPUTED_VALUE"""),693.0)</f>
        <v>693</v>
      </c>
      <c r="D1783" s="11">
        <f>IFERROR(__xludf.DUMMYFUNCTION("""COMPUTED_VALUE"""),68.0)</f>
        <v>68</v>
      </c>
      <c r="E1783" s="9"/>
    </row>
    <row r="1784">
      <c r="A1784" s="10">
        <f>IFERROR(__xludf.DUMMYFUNCTION("""COMPUTED_VALUE"""),108342.0)</f>
        <v>108342</v>
      </c>
      <c r="B1784" s="11">
        <f>IFERROR(__xludf.DUMMYFUNCTION("""COMPUTED_VALUE"""),1.0)</f>
        <v>1</v>
      </c>
      <c r="C1784" s="11">
        <f>IFERROR(__xludf.DUMMYFUNCTION("""COMPUTED_VALUE"""),891.0)</f>
        <v>891</v>
      </c>
      <c r="D1784" s="11">
        <f>IFERROR(__xludf.DUMMYFUNCTION("""COMPUTED_VALUE"""),167.0)</f>
        <v>167</v>
      </c>
      <c r="E1784" s="9"/>
    </row>
    <row r="1785">
      <c r="A1785" s="10">
        <f>IFERROR(__xludf.DUMMYFUNCTION("""COMPUTED_VALUE"""),20949.0)</f>
        <v>20949</v>
      </c>
      <c r="B1785" s="11">
        <f>IFERROR(__xludf.DUMMYFUNCTION("""COMPUTED_VALUE"""),0.0)</f>
        <v>0</v>
      </c>
      <c r="C1785" s="11">
        <f>IFERROR(__xludf.DUMMYFUNCTION("""COMPUTED_VALUE"""),293.0)</f>
        <v>293</v>
      </c>
      <c r="D1785" s="11">
        <f>IFERROR(__xludf.DUMMYFUNCTION("""COMPUTED_VALUE"""),96.0)</f>
        <v>96</v>
      </c>
      <c r="E1785" s="9"/>
    </row>
    <row r="1786">
      <c r="A1786" s="10">
        <f>IFERROR(__xludf.DUMMYFUNCTION("""COMPUTED_VALUE"""),118436.0)</f>
        <v>118436</v>
      </c>
      <c r="B1786" s="11">
        <f>IFERROR(__xludf.DUMMYFUNCTION("""COMPUTED_VALUE"""),1.0)</f>
        <v>1</v>
      </c>
      <c r="C1786" s="11">
        <f>IFERROR(__xludf.DUMMYFUNCTION("""COMPUTED_VALUE"""),542.0)</f>
        <v>542</v>
      </c>
      <c r="D1786" s="11">
        <f>IFERROR(__xludf.DUMMYFUNCTION("""COMPUTED_VALUE"""),111.0)</f>
        <v>111</v>
      </c>
      <c r="E1786" s="9"/>
    </row>
    <row r="1787">
      <c r="A1787" s="10">
        <f>IFERROR(__xludf.DUMMYFUNCTION("""COMPUTED_VALUE"""),113566.0)</f>
        <v>113566</v>
      </c>
      <c r="B1787" s="11">
        <f>IFERROR(__xludf.DUMMYFUNCTION("""COMPUTED_VALUE"""),0.0)</f>
        <v>0</v>
      </c>
      <c r="C1787" s="11">
        <f>IFERROR(__xludf.DUMMYFUNCTION("""COMPUTED_VALUE"""),779.0)</f>
        <v>779</v>
      </c>
      <c r="D1787" s="11">
        <f>IFERROR(__xludf.DUMMYFUNCTION("""COMPUTED_VALUE"""),222.0)</f>
        <v>222</v>
      </c>
      <c r="E1787" s="9"/>
    </row>
    <row r="1788">
      <c r="A1788" s="10">
        <f>IFERROR(__xludf.DUMMYFUNCTION("""COMPUTED_VALUE"""),113571.0)</f>
        <v>113571</v>
      </c>
      <c r="B1788" s="11">
        <f>IFERROR(__xludf.DUMMYFUNCTION("""COMPUTED_VALUE"""),1.0)</f>
        <v>1</v>
      </c>
      <c r="C1788" s="11">
        <f>IFERROR(__xludf.DUMMYFUNCTION("""COMPUTED_VALUE"""),755.0)</f>
        <v>755</v>
      </c>
      <c r="D1788" s="11">
        <f>IFERROR(__xludf.DUMMYFUNCTION("""COMPUTED_VALUE"""),585.0)</f>
        <v>585</v>
      </c>
      <c r="E1788" s="9"/>
    </row>
    <row r="1789">
      <c r="A1789" s="10">
        <f>IFERROR(__xludf.DUMMYFUNCTION("""COMPUTED_VALUE"""),107160.0)</f>
        <v>107160</v>
      </c>
      <c r="B1789" s="11">
        <f>IFERROR(__xludf.DUMMYFUNCTION("""COMPUTED_VALUE"""),0.0)</f>
        <v>0</v>
      </c>
      <c r="C1789" s="11">
        <f>IFERROR(__xludf.DUMMYFUNCTION("""COMPUTED_VALUE"""),283.0)</f>
        <v>283</v>
      </c>
      <c r="D1789" s="11">
        <f>IFERROR(__xludf.DUMMYFUNCTION("""COMPUTED_VALUE"""),31.0)</f>
        <v>31</v>
      </c>
      <c r="E1789" s="9"/>
    </row>
    <row r="1790">
      <c r="A1790" s="10">
        <f>IFERROR(__xludf.DUMMYFUNCTION("""COMPUTED_VALUE"""),44007.0)</f>
        <v>44007</v>
      </c>
      <c r="B1790" s="11">
        <f>IFERROR(__xludf.DUMMYFUNCTION("""COMPUTED_VALUE"""),1.0)</f>
        <v>1</v>
      </c>
      <c r="C1790" s="11">
        <f>IFERROR(__xludf.DUMMYFUNCTION("""COMPUTED_VALUE"""),350.0)</f>
        <v>350</v>
      </c>
      <c r="D1790" s="11">
        <f>IFERROR(__xludf.DUMMYFUNCTION("""COMPUTED_VALUE"""),21.0)</f>
        <v>21</v>
      </c>
      <c r="E1790" s="9"/>
    </row>
    <row r="1791">
      <c r="A1791" s="10">
        <f>IFERROR(__xludf.DUMMYFUNCTION("""COMPUTED_VALUE"""),69453.0)</f>
        <v>69453</v>
      </c>
      <c r="B1791" s="11">
        <f>IFERROR(__xludf.DUMMYFUNCTION("""COMPUTED_VALUE"""),0.0)</f>
        <v>0</v>
      </c>
      <c r="C1791" s="11">
        <f>IFERROR(__xludf.DUMMYFUNCTION("""COMPUTED_VALUE"""),386.0)</f>
        <v>386</v>
      </c>
      <c r="D1791" s="11">
        <f>IFERROR(__xludf.DUMMYFUNCTION("""COMPUTED_VALUE"""),70.0)</f>
        <v>70</v>
      </c>
      <c r="E1791" s="9"/>
    </row>
    <row r="1792">
      <c r="A1792" s="10">
        <f>IFERROR(__xludf.DUMMYFUNCTION("""COMPUTED_VALUE"""),122690.0)</f>
        <v>122690</v>
      </c>
      <c r="B1792" s="11">
        <f>IFERROR(__xludf.DUMMYFUNCTION("""COMPUTED_VALUE"""),1.0)</f>
        <v>1</v>
      </c>
      <c r="C1792" s="11">
        <f>IFERROR(__xludf.DUMMYFUNCTION("""COMPUTED_VALUE"""),625.0)</f>
        <v>625</v>
      </c>
      <c r="D1792" s="11">
        <f>IFERROR(__xludf.DUMMYFUNCTION("""COMPUTED_VALUE"""),313.0)</f>
        <v>313</v>
      </c>
      <c r="E1792" s="9"/>
    </row>
    <row r="1793">
      <c r="A1793" s="10">
        <f>IFERROR(__xludf.DUMMYFUNCTION("""COMPUTED_VALUE"""),117243.0)</f>
        <v>117243</v>
      </c>
      <c r="B1793" s="11">
        <f>IFERROR(__xludf.DUMMYFUNCTION("""COMPUTED_VALUE"""),0.0)</f>
        <v>0</v>
      </c>
      <c r="C1793" s="11">
        <f>IFERROR(__xludf.DUMMYFUNCTION("""COMPUTED_VALUE"""),571.0)</f>
        <v>571</v>
      </c>
      <c r="D1793" s="11">
        <f>IFERROR(__xludf.DUMMYFUNCTION("""COMPUTED_VALUE"""),513.0)</f>
        <v>513</v>
      </c>
      <c r="E1793" s="9"/>
    </row>
    <row r="1794">
      <c r="A1794" s="10">
        <f>IFERROR(__xludf.DUMMYFUNCTION("""COMPUTED_VALUE"""),71988.0)</f>
        <v>71988</v>
      </c>
      <c r="B1794" s="11">
        <f>IFERROR(__xludf.DUMMYFUNCTION("""COMPUTED_VALUE"""),1.0)</f>
        <v>1</v>
      </c>
      <c r="C1794" s="11">
        <f>IFERROR(__xludf.DUMMYFUNCTION("""COMPUTED_VALUE"""),627.0)</f>
        <v>627</v>
      </c>
      <c r="D1794" s="11">
        <f>IFERROR(__xludf.DUMMYFUNCTION("""COMPUTED_VALUE"""),196.0)</f>
        <v>196</v>
      </c>
      <c r="E1794" s="9"/>
    </row>
    <row r="1795">
      <c r="A1795" s="10">
        <f>IFERROR(__xludf.DUMMYFUNCTION("""COMPUTED_VALUE"""),111582.0)</f>
        <v>111582</v>
      </c>
      <c r="B1795" s="11">
        <f>IFERROR(__xludf.DUMMYFUNCTION("""COMPUTED_VALUE"""),0.0)</f>
        <v>0</v>
      </c>
      <c r="C1795" s="11">
        <f>IFERROR(__xludf.DUMMYFUNCTION("""COMPUTED_VALUE"""),632.0)</f>
        <v>632</v>
      </c>
      <c r="D1795" s="11">
        <f>IFERROR(__xludf.DUMMYFUNCTION("""COMPUTED_VALUE"""),124.0)</f>
        <v>124</v>
      </c>
      <c r="E1795" s="9"/>
    </row>
    <row r="1796">
      <c r="A1796" s="10">
        <f>IFERROR(__xludf.DUMMYFUNCTION("""COMPUTED_VALUE"""),77235.0)</f>
        <v>77235</v>
      </c>
      <c r="B1796" s="11">
        <f>IFERROR(__xludf.DUMMYFUNCTION("""COMPUTED_VALUE"""),1.0)</f>
        <v>1</v>
      </c>
      <c r="C1796" s="11">
        <f>IFERROR(__xludf.DUMMYFUNCTION("""COMPUTED_VALUE"""),309.0)</f>
        <v>309</v>
      </c>
      <c r="D1796" s="11">
        <f>IFERROR(__xludf.DUMMYFUNCTION("""COMPUTED_VALUE"""),68.0)</f>
        <v>68</v>
      </c>
      <c r="E1796" s="9"/>
    </row>
    <row r="1797">
      <c r="A1797" s="10">
        <f>IFERROR(__xludf.DUMMYFUNCTION("""COMPUTED_VALUE"""),105272.0)</f>
        <v>105272</v>
      </c>
      <c r="B1797" s="11">
        <f>IFERROR(__xludf.DUMMYFUNCTION("""COMPUTED_VALUE"""),0.0)</f>
        <v>0</v>
      </c>
      <c r="C1797" s="11">
        <f>IFERROR(__xludf.DUMMYFUNCTION("""COMPUTED_VALUE"""),446.0)</f>
        <v>446</v>
      </c>
      <c r="D1797" s="11">
        <f>IFERROR(__xludf.DUMMYFUNCTION("""COMPUTED_VALUE"""),201.0)</f>
        <v>201</v>
      </c>
      <c r="E1797" s="9"/>
    </row>
    <row r="1798">
      <c r="A1798" s="10">
        <f>IFERROR(__xludf.DUMMYFUNCTION("""COMPUTED_VALUE"""),120809.0)</f>
        <v>120809</v>
      </c>
      <c r="B1798" s="11">
        <f>IFERROR(__xludf.DUMMYFUNCTION("""COMPUTED_VALUE"""),1.0)</f>
        <v>1</v>
      </c>
      <c r="C1798" s="11">
        <f>IFERROR(__xludf.DUMMYFUNCTION("""COMPUTED_VALUE"""),155.0)</f>
        <v>155</v>
      </c>
      <c r="D1798" s="11">
        <f>IFERROR(__xludf.DUMMYFUNCTION("""COMPUTED_VALUE"""),107.0)</f>
        <v>107</v>
      </c>
      <c r="E1798" s="9"/>
    </row>
    <row r="1799">
      <c r="A1799" s="10">
        <f>IFERROR(__xludf.DUMMYFUNCTION("""COMPUTED_VALUE"""),10651.0)</f>
        <v>10651</v>
      </c>
      <c r="B1799" s="11">
        <f>IFERROR(__xludf.DUMMYFUNCTION("""COMPUTED_VALUE"""),1.0)</f>
        <v>1</v>
      </c>
      <c r="C1799" s="11">
        <f>IFERROR(__xludf.DUMMYFUNCTION("""COMPUTED_VALUE"""),366.0)</f>
        <v>366</v>
      </c>
      <c r="D1799" s="11">
        <f>IFERROR(__xludf.DUMMYFUNCTION("""COMPUTED_VALUE"""),225.0)</f>
        <v>225</v>
      </c>
      <c r="E1799" s="9"/>
    </row>
    <row r="1800">
      <c r="A1800" s="10">
        <f>IFERROR(__xludf.DUMMYFUNCTION("""COMPUTED_VALUE"""),10657.0)</f>
        <v>10657</v>
      </c>
      <c r="B1800" s="11">
        <f>IFERROR(__xludf.DUMMYFUNCTION("""COMPUTED_VALUE"""),1.0)</f>
        <v>1</v>
      </c>
      <c r="C1800" s="11">
        <f>IFERROR(__xludf.DUMMYFUNCTION("""COMPUTED_VALUE"""),283.0)</f>
        <v>283</v>
      </c>
      <c r="D1800" s="11">
        <f>IFERROR(__xludf.DUMMYFUNCTION("""COMPUTED_VALUE"""),261.0)</f>
        <v>261</v>
      </c>
      <c r="E1800" s="9"/>
    </row>
    <row r="1801">
      <c r="A1801" s="10">
        <f>IFERROR(__xludf.DUMMYFUNCTION("""COMPUTED_VALUE"""),9132.0)</f>
        <v>9132</v>
      </c>
      <c r="B1801" s="11">
        <f>IFERROR(__xludf.DUMMYFUNCTION("""COMPUTED_VALUE"""),1.0)</f>
        <v>1</v>
      </c>
      <c r="C1801" s="11">
        <f>IFERROR(__xludf.DUMMYFUNCTION("""COMPUTED_VALUE"""),34.0)</f>
        <v>34</v>
      </c>
      <c r="D1801" s="11">
        <f>IFERROR(__xludf.DUMMYFUNCTION("""COMPUTED_VALUE"""),10.0)</f>
        <v>10</v>
      </c>
      <c r="E1801" s="9"/>
    </row>
    <row r="1802">
      <c r="A1802" s="10">
        <f>IFERROR(__xludf.DUMMYFUNCTION("""COMPUTED_VALUE"""),197151.0)</f>
        <v>197151</v>
      </c>
      <c r="B1802" s="11">
        <f>IFERROR(__xludf.DUMMYFUNCTION("""COMPUTED_VALUE"""),1.0)</f>
        <v>1</v>
      </c>
      <c r="C1802" s="11">
        <f>IFERROR(__xludf.DUMMYFUNCTION("""COMPUTED_VALUE"""),843.0)</f>
        <v>843</v>
      </c>
      <c r="D1802" s="11">
        <f>IFERROR(__xludf.DUMMYFUNCTION("""COMPUTED_VALUE"""),419.0)</f>
        <v>419</v>
      </c>
      <c r="E1802" s="9"/>
    </row>
    <row r="1803">
      <c r="A1803" s="10">
        <f>IFERROR(__xludf.DUMMYFUNCTION("""COMPUTED_VALUE"""),73386.0)</f>
        <v>73386</v>
      </c>
      <c r="B1803" s="11">
        <f>IFERROR(__xludf.DUMMYFUNCTION("""COMPUTED_VALUE"""),1.0)</f>
        <v>1</v>
      </c>
      <c r="C1803" s="11">
        <f>IFERROR(__xludf.DUMMYFUNCTION("""COMPUTED_VALUE"""),515.0)</f>
        <v>515</v>
      </c>
      <c r="D1803" s="11">
        <f>IFERROR(__xludf.DUMMYFUNCTION("""COMPUTED_VALUE"""),219.0)</f>
        <v>219</v>
      </c>
      <c r="E1803" s="9"/>
    </row>
    <row r="1804">
      <c r="A1804" s="10">
        <f>IFERROR(__xludf.DUMMYFUNCTION("""COMPUTED_VALUE"""),121604.0)</f>
        <v>121604</v>
      </c>
      <c r="B1804" s="11">
        <f>IFERROR(__xludf.DUMMYFUNCTION("""COMPUTED_VALUE"""),1.0)</f>
        <v>1</v>
      </c>
      <c r="C1804" s="11">
        <f>IFERROR(__xludf.DUMMYFUNCTION("""COMPUTED_VALUE"""),708.0)</f>
        <v>708</v>
      </c>
      <c r="D1804" s="11">
        <f>IFERROR(__xludf.DUMMYFUNCTION("""COMPUTED_VALUE"""),105.0)</f>
        <v>105</v>
      </c>
      <c r="E1804" s="9"/>
    </row>
    <row r="1805">
      <c r="A1805" s="10">
        <f>IFERROR(__xludf.DUMMYFUNCTION("""COMPUTED_VALUE"""),89533.0)</f>
        <v>89533</v>
      </c>
      <c r="B1805" s="11">
        <f>IFERROR(__xludf.DUMMYFUNCTION("""COMPUTED_VALUE"""),1.0)</f>
        <v>1</v>
      </c>
      <c r="C1805" s="11">
        <f>IFERROR(__xludf.DUMMYFUNCTION("""COMPUTED_VALUE"""),446.0)</f>
        <v>446</v>
      </c>
      <c r="D1805" s="11">
        <f>IFERROR(__xludf.DUMMYFUNCTION("""COMPUTED_VALUE"""),138.0)</f>
        <v>138</v>
      </c>
      <c r="E1805" s="9"/>
    </row>
    <row r="1806">
      <c r="A1806" s="10">
        <f>IFERROR(__xludf.DUMMYFUNCTION("""COMPUTED_VALUE"""),73381.0)</f>
        <v>73381</v>
      </c>
      <c r="B1806" s="11">
        <f>IFERROR(__xludf.DUMMYFUNCTION("""COMPUTED_VALUE"""),1.0)</f>
        <v>1</v>
      </c>
      <c r="C1806" s="11">
        <f>IFERROR(__xludf.DUMMYFUNCTION("""COMPUTED_VALUE"""),462.0)</f>
        <v>462</v>
      </c>
      <c r="D1806" s="11">
        <f>IFERROR(__xludf.DUMMYFUNCTION("""COMPUTED_VALUE"""),215.0)</f>
        <v>215</v>
      </c>
      <c r="E1806" s="9"/>
    </row>
    <row r="1807">
      <c r="A1807" s="10">
        <f>IFERROR(__xludf.DUMMYFUNCTION("""COMPUTED_VALUE"""),26096.0)</f>
        <v>26096</v>
      </c>
      <c r="B1807" s="11">
        <f>IFERROR(__xludf.DUMMYFUNCTION("""COMPUTED_VALUE"""),0.0)</f>
        <v>0</v>
      </c>
      <c r="C1807" s="11">
        <f>IFERROR(__xludf.DUMMYFUNCTION("""COMPUTED_VALUE"""),629.0)</f>
        <v>629</v>
      </c>
      <c r="D1807" s="11">
        <f>IFERROR(__xludf.DUMMYFUNCTION("""COMPUTED_VALUE"""),443.0)</f>
        <v>443</v>
      </c>
      <c r="E1807" s="9"/>
    </row>
    <row r="1808">
      <c r="A1808" s="10">
        <f>IFERROR(__xludf.DUMMYFUNCTION("""COMPUTED_VALUE"""),119050.0)</f>
        <v>119050</v>
      </c>
      <c r="B1808" s="11">
        <f>IFERROR(__xludf.DUMMYFUNCTION("""COMPUTED_VALUE"""),0.0)</f>
        <v>0</v>
      </c>
      <c r="C1808" s="11">
        <f>IFERROR(__xludf.DUMMYFUNCTION("""COMPUTED_VALUE"""),775.0)</f>
        <v>775</v>
      </c>
      <c r="D1808" s="11">
        <f>IFERROR(__xludf.DUMMYFUNCTION("""COMPUTED_VALUE"""),179.0)</f>
        <v>179</v>
      </c>
      <c r="E1808" s="9"/>
    </row>
    <row r="1809">
      <c r="A1809" s="10">
        <f>IFERROR(__xludf.DUMMYFUNCTION("""COMPUTED_VALUE"""),44028.0)</f>
        <v>44028</v>
      </c>
      <c r="B1809" s="11">
        <f>IFERROR(__xludf.DUMMYFUNCTION("""COMPUTED_VALUE"""),1.0)</f>
        <v>1</v>
      </c>
      <c r="C1809" s="11">
        <f>IFERROR(__xludf.DUMMYFUNCTION("""COMPUTED_VALUE"""),809.0)</f>
        <v>809</v>
      </c>
      <c r="D1809" s="11">
        <f>IFERROR(__xludf.DUMMYFUNCTION("""COMPUTED_VALUE"""),492.0)</f>
        <v>492</v>
      </c>
      <c r="E1809" s="9"/>
    </row>
    <row r="1810">
      <c r="A1810" s="10">
        <f>IFERROR(__xludf.DUMMYFUNCTION("""COMPUTED_VALUE"""),73572.0)</f>
        <v>73572</v>
      </c>
      <c r="B1810" s="11">
        <f>IFERROR(__xludf.DUMMYFUNCTION("""COMPUTED_VALUE"""),0.0)</f>
        <v>0</v>
      </c>
      <c r="C1810" s="11">
        <f>IFERROR(__xludf.DUMMYFUNCTION("""COMPUTED_VALUE"""),771.0)</f>
        <v>771</v>
      </c>
      <c r="D1810" s="11">
        <f>IFERROR(__xludf.DUMMYFUNCTION("""COMPUTED_VALUE"""),362.0)</f>
        <v>362</v>
      </c>
      <c r="E1810" s="9"/>
    </row>
    <row r="1811">
      <c r="A1811" s="10">
        <f>IFERROR(__xludf.DUMMYFUNCTION("""COMPUTED_VALUE"""),83083.0)</f>
        <v>83083</v>
      </c>
      <c r="B1811" s="11">
        <f>IFERROR(__xludf.DUMMYFUNCTION("""COMPUTED_VALUE"""),0.0)</f>
        <v>0</v>
      </c>
      <c r="C1811" s="11">
        <f>IFERROR(__xludf.DUMMYFUNCTION("""COMPUTED_VALUE"""),474.0)</f>
        <v>474</v>
      </c>
      <c r="D1811" s="11">
        <f>IFERROR(__xludf.DUMMYFUNCTION("""COMPUTED_VALUE"""),323.0)</f>
        <v>323</v>
      </c>
      <c r="E1811" s="9"/>
    </row>
    <row r="1812">
      <c r="A1812" s="10">
        <f>IFERROR(__xludf.DUMMYFUNCTION("""COMPUTED_VALUE"""),13338.0)</f>
        <v>13338</v>
      </c>
      <c r="B1812" s="11">
        <f>IFERROR(__xludf.DUMMYFUNCTION("""COMPUTED_VALUE"""),1.0)</f>
        <v>1</v>
      </c>
      <c r="C1812" s="11">
        <f>IFERROR(__xludf.DUMMYFUNCTION("""COMPUTED_VALUE"""),489.0)</f>
        <v>489</v>
      </c>
      <c r="D1812" s="11">
        <f>IFERROR(__xludf.DUMMYFUNCTION("""COMPUTED_VALUE"""),270.0)</f>
        <v>270</v>
      </c>
      <c r="E1812" s="9"/>
    </row>
    <row r="1813">
      <c r="A1813" s="10">
        <f>IFERROR(__xludf.DUMMYFUNCTION("""COMPUTED_VALUE"""),83418.0)</f>
        <v>83418</v>
      </c>
      <c r="B1813" s="11">
        <f>IFERROR(__xludf.DUMMYFUNCTION("""COMPUTED_VALUE"""),1.0)</f>
        <v>1</v>
      </c>
      <c r="C1813" s="11">
        <f>IFERROR(__xludf.DUMMYFUNCTION("""COMPUTED_VALUE"""),474.0)</f>
        <v>474</v>
      </c>
      <c r="D1813" s="11">
        <f>IFERROR(__xludf.DUMMYFUNCTION("""COMPUTED_VALUE"""),376.0)</f>
        <v>376</v>
      </c>
      <c r="E1813" s="9"/>
    </row>
    <row r="1814">
      <c r="A1814" s="10">
        <f>IFERROR(__xludf.DUMMYFUNCTION("""COMPUTED_VALUE"""),68640.0)</f>
        <v>68640</v>
      </c>
      <c r="B1814" s="11">
        <f>IFERROR(__xludf.DUMMYFUNCTION("""COMPUTED_VALUE"""),0.0)</f>
        <v>0</v>
      </c>
      <c r="C1814" s="11">
        <f>IFERROR(__xludf.DUMMYFUNCTION("""COMPUTED_VALUE"""),937.0)</f>
        <v>937</v>
      </c>
      <c r="D1814" s="11">
        <f>IFERROR(__xludf.DUMMYFUNCTION("""COMPUTED_VALUE"""),166.0)</f>
        <v>166</v>
      </c>
      <c r="E1814" s="9"/>
    </row>
    <row r="1815">
      <c r="A1815" s="10">
        <f>IFERROR(__xludf.DUMMYFUNCTION("""COMPUTED_VALUE"""),10647.0)</f>
        <v>10647</v>
      </c>
      <c r="B1815" s="11">
        <f>IFERROR(__xludf.DUMMYFUNCTION("""COMPUTED_VALUE"""),1.0)</f>
        <v>1</v>
      </c>
      <c r="C1815" s="11">
        <f>IFERROR(__xludf.DUMMYFUNCTION("""COMPUTED_VALUE"""),446.0)</f>
        <v>446</v>
      </c>
      <c r="D1815" s="11">
        <f>IFERROR(__xludf.DUMMYFUNCTION("""COMPUTED_VALUE"""),374.0)</f>
        <v>374</v>
      </c>
      <c r="E1815" s="9"/>
    </row>
    <row r="1816">
      <c r="A1816" s="10">
        <f>IFERROR(__xludf.DUMMYFUNCTION("""COMPUTED_VALUE"""),85884.0)</f>
        <v>85884</v>
      </c>
      <c r="B1816" s="11">
        <f>IFERROR(__xludf.DUMMYFUNCTION("""COMPUTED_VALUE"""),0.0)</f>
        <v>0</v>
      </c>
      <c r="C1816" s="11">
        <f>IFERROR(__xludf.DUMMYFUNCTION("""COMPUTED_VALUE"""),880.0)</f>
        <v>880</v>
      </c>
      <c r="D1816" s="11">
        <f>IFERROR(__xludf.DUMMYFUNCTION("""COMPUTED_VALUE"""),503.0)</f>
        <v>503</v>
      </c>
      <c r="E1816" s="9"/>
    </row>
    <row r="1817">
      <c r="A1817" s="10">
        <f>IFERROR(__xludf.DUMMYFUNCTION("""COMPUTED_VALUE"""),113933.0)</f>
        <v>113933</v>
      </c>
      <c r="B1817" s="11">
        <f>IFERROR(__xludf.DUMMYFUNCTION("""COMPUTED_VALUE"""),0.0)</f>
        <v>0</v>
      </c>
      <c r="C1817" s="11">
        <f>IFERROR(__xludf.DUMMYFUNCTION("""COMPUTED_VALUE"""),823.0)</f>
        <v>823</v>
      </c>
      <c r="D1817" s="11">
        <f>IFERROR(__xludf.DUMMYFUNCTION("""COMPUTED_VALUE"""),42.0)</f>
        <v>42</v>
      </c>
      <c r="E1817" s="9"/>
    </row>
    <row r="1818">
      <c r="A1818" s="10">
        <f>IFERROR(__xludf.DUMMYFUNCTION("""COMPUTED_VALUE"""),188843.0)</f>
        <v>188843</v>
      </c>
      <c r="B1818" s="11">
        <f>IFERROR(__xludf.DUMMYFUNCTION("""COMPUTED_VALUE"""),1.0)</f>
        <v>1</v>
      </c>
      <c r="C1818" s="11">
        <f>IFERROR(__xludf.DUMMYFUNCTION("""COMPUTED_VALUE"""),356.0)</f>
        <v>356</v>
      </c>
      <c r="D1818" s="11">
        <f>IFERROR(__xludf.DUMMYFUNCTION("""COMPUTED_VALUE"""),101.0)</f>
        <v>101</v>
      </c>
      <c r="E1818" s="9"/>
    </row>
    <row r="1819">
      <c r="A1819" s="10">
        <f>IFERROR(__xludf.DUMMYFUNCTION("""COMPUTED_VALUE"""),13342.0)</f>
        <v>13342</v>
      </c>
      <c r="B1819" s="11">
        <f>IFERROR(__xludf.DUMMYFUNCTION("""COMPUTED_VALUE"""),0.0)</f>
        <v>0</v>
      </c>
      <c r="C1819" s="11">
        <f>IFERROR(__xludf.DUMMYFUNCTION("""COMPUTED_VALUE"""),870.0)</f>
        <v>870</v>
      </c>
      <c r="D1819" s="11">
        <f>IFERROR(__xludf.DUMMYFUNCTION("""COMPUTED_VALUE"""),14.0)</f>
        <v>14</v>
      </c>
      <c r="E1819" s="9"/>
    </row>
    <row r="1820">
      <c r="A1820" s="10">
        <f>IFERROR(__xludf.DUMMYFUNCTION("""COMPUTED_VALUE"""),83002.0)</f>
        <v>83002</v>
      </c>
      <c r="B1820" s="11">
        <f>IFERROR(__xludf.DUMMYFUNCTION("""COMPUTED_VALUE"""),0.0)</f>
        <v>0</v>
      </c>
      <c r="C1820" s="11">
        <f>IFERROR(__xludf.DUMMYFUNCTION("""COMPUTED_VALUE"""),565.0)</f>
        <v>565</v>
      </c>
      <c r="D1820" s="11">
        <f>IFERROR(__xludf.DUMMYFUNCTION("""COMPUTED_VALUE"""),141.0)</f>
        <v>141</v>
      </c>
      <c r="E1820" s="9"/>
    </row>
    <row r="1821">
      <c r="A1821" s="10">
        <f>IFERROR(__xludf.DUMMYFUNCTION("""COMPUTED_VALUE"""),112860.0)</f>
        <v>112860</v>
      </c>
      <c r="B1821" s="11">
        <f>IFERROR(__xludf.DUMMYFUNCTION("""COMPUTED_VALUE"""),1.0)</f>
        <v>1</v>
      </c>
      <c r="C1821" s="11">
        <f>IFERROR(__xludf.DUMMYFUNCTION("""COMPUTED_VALUE"""),368.0)</f>
        <v>368</v>
      </c>
      <c r="D1821" s="11">
        <f>IFERROR(__xludf.DUMMYFUNCTION("""COMPUTED_VALUE"""),173.0)</f>
        <v>173</v>
      </c>
      <c r="E1821" s="9"/>
    </row>
    <row r="1822">
      <c r="A1822" s="10">
        <f>IFERROR(__xludf.DUMMYFUNCTION("""COMPUTED_VALUE"""),118374.0)</f>
        <v>118374</v>
      </c>
      <c r="B1822" s="11">
        <f>IFERROR(__xludf.DUMMYFUNCTION("""COMPUTED_VALUE"""),1.0)</f>
        <v>1</v>
      </c>
      <c r="C1822" s="11">
        <f>IFERROR(__xludf.DUMMYFUNCTION("""COMPUTED_VALUE"""),535.0)</f>
        <v>535</v>
      </c>
      <c r="D1822" s="11">
        <f>IFERROR(__xludf.DUMMYFUNCTION("""COMPUTED_VALUE"""),351.0)</f>
        <v>351</v>
      </c>
      <c r="E1822" s="9"/>
    </row>
    <row r="1823">
      <c r="A1823" s="10">
        <f>IFERROR(__xludf.DUMMYFUNCTION("""COMPUTED_VALUE"""),119049.0)</f>
        <v>119049</v>
      </c>
      <c r="B1823" s="11">
        <f>IFERROR(__xludf.DUMMYFUNCTION("""COMPUTED_VALUE"""),0.0)</f>
        <v>0</v>
      </c>
      <c r="C1823" s="11">
        <f>IFERROR(__xludf.DUMMYFUNCTION("""COMPUTED_VALUE"""),628.0)</f>
        <v>628</v>
      </c>
      <c r="D1823" s="11">
        <f>IFERROR(__xludf.DUMMYFUNCTION("""COMPUTED_VALUE"""),308.0)</f>
        <v>308</v>
      </c>
      <c r="E1823" s="9"/>
    </row>
    <row r="1824">
      <c r="A1824" s="10">
        <f>IFERROR(__xludf.DUMMYFUNCTION("""COMPUTED_VALUE"""),120964.0)</f>
        <v>120964</v>
      </c>
      <c r="B1824" s="11">
        <f>IFERROR(__xludf.DUMMYFUNCTION("""COMPUTED_VALUE"""),1.0)</f>
        <v>1</v>
      </c>
      <c r="C1824" s="11">
        <f>IFERROR(__xludf.DUMMYFUNCTION("""COMPUTED_VALUE"""),412.0)</f>
        <v>412</v>
      </c>
      <c r="D1824" s="11">
        <f>IFERROR(__xludf.DUMMYFUNCTION("""COMPUTED_VALUE"""),62.0)</f>
        <v>62</v>
      </c>
      <c r="E1824" s="9"/>
    </row>
    <row r="1825">
      <c r="A1825" s="10">
        <f>IFERROR(__xludf.DUMMYFUNCTION("""COMPUTED_VALUE"""),26093.0)</f>
        <v>26093</v>
      </c>
      <c r="B1825" s="11">
        <f>IFERROR(__xludf.DUMMYFUNCTION("""COMPUTED_VALUE"""),0.0)</f>
        <v>0</v>
      </c>
      <c r="C1825" s="11">
        <f>IFERROR(__xludf.DUMMYFUNCTION("""COMPUTED_VALUE"""),94.0)</f>
        <v>94</v>
      </c>
      <c r="D1825" s="11">
        <f>IFERROR(__xludf.DUMMYFUNCTION("""COMPUTED_VALUE"""),63.0)</f>
        <v>63</v>
      </c>
      <c r="E1825" s="9"/>
    </row>
    <row r="1826">
      <c r="A1826" s="10">
        <f>IFERROR(__xludf.DUMMYFUNCTION("""COMPUTED_VALUE"""),99311.0)</f>
        <v>99311</v>
      </c>
      <c r="B1826" s="11">
        <f>IFERROR(__xludf.DUMMYFUNCTION("""COMPUTED_VALUE"""),1.0)</f>
        <v>1</v>
      </c>
      <c r="C1826" s="11">
        <f>IFERROR(__xludf.DUMMYFUNCTION("""COMPUTED_VALUE"""),193.0)</f>
        <v>193</v>
      </c>
      <c r="D1826" s="11">
        <f>IFERROR(__xludf.DUMMYFUNCTION("""COMPUTED_VALUE"""),113.0)</f>
        <v>113</v>
      </c>
      <c r="E1826" s="9"/>
    </row>
    <row r="1827">
      <c r="A1827" s="10">
        <f>IFERROR(__xludf.DUMMYFUNCTION("""COMPUTED_VALUE"""),9131.0)</f>
        <v>9131</v>
      </c>
      <c r="B1827" s="11">
        <f>IFERROR(__xludf.DUMMYFUNCTION("""COMPUTED_VALUE"""),1.0)</f>
        <v>1</v>
      </c>
      <c r="C1827" s="11">
        <f>IFERROR(__xludf.DUMMYFUNCTION("""COMPUTED_VALUE"""),686.0)</f>
        <v>686</v>
      </c>
      <c r="D1827" s="11">
        <f>IFERROR(__xludf.DUMMYFUNCTION("""COMPUTED_VALUE"""),300.0)</f>
        <v>300</v>
      </c>
      <c r="E1827" s="9"/>
    </row>
    <row r="1828">
      <c r="A1828" s="10">
        <f>IFERROR(__xludf.DUMMYFUNCTION("""COMPUTED_VALUE"""),122167.0)</f>
        <v>122167</v>
      </c>
      <c r="B1828" s="11">
        <f>IFERROR(__xludf.DUMMYFUNCTION("""COMPUTED_VALUE"""),1.0)</f>
        <v>1</v>
      </c>
      <c r="C1828" s="11">
        <f>IFERROR(__xludf.DUMMYFUNCTION("""COMPUTED_VALUE"""),850.0)</f>
        <v>850</v>
      </c>
      <c r="D1828" s="11">
        <f>IFERROR(__xludf.DUMMYFUNCTION("""COMPUTED_VALUE"""),742.0)</f>
        <v>742</v>
      </c>
      <c r="E1828" s="9"/>
    </row>
    <row r="1829">
      <c r="A1829" s="10">
        <f>IFERROR(__xludf.DUMMYFUNCTION("""COMPUTED_VALUE"""),10649.0)</f>
        <v>10649</v>
      </c>
      <c r="B1829" s="11">
        <f>IFERROR(__xludf.DUMMYFUNCTION("""COMPUTED_VALUE"""),1.0)</f>
        <v>1</v>
      </c>
      <c r="C1829" s="11">
        <f>IFERROR(__xludf.DUMMYFUNCTION("""COMPUTED_VALUE"""),720.0)</f>
        <v>720</v>
      </c>
      <c r="D1829" s="11">
        <f>IFERROR(__xludf.DUMMYFUNCTION("""COMPUTED_VALUE"""),718.0)</f>
        <v>718</v>
      </c>
      <c r="E1829" s="9"/>
    </row>
    <row r="1830">
      <c r="A1830" s="10">
        <f>IFERROR(__xludf.DUMMYFUNCTION("""COMPUTED_VALUE"""),85875.0)</f>
        <v>85875</v>
      </c>
      <c r="B1830" s="11">
        <f>IFERROR(__xludf.DUMMYFUNCTION("""COMPUTED_VALUE"""),1.0)</f>
        <v>1</v>
      </c>
      <c r="C1830" s="11">
        <f>IFERROR(__xludf.DUMMYFUNCTION("""COMPUTED_VALUE"""),495.0)</f>
        <v>495</v>
      </c>
      <c r="D1830" s="11">
        <f>IFERROR(__xludf.DUMMYFUNCTION("""COMPUTED_VALUE"""),182.0)</f>
        <v>182</v>
      </c>
      <c r="E1830" s="9"/>
    </row>
    <row r="1831">
      <c r="A1831" s="10">
        <f>IFERROR(__xludf.DUMMYFUNCTION("""COMPUTED_VALUE"""),9136.0)</f>
        <v>9136</v>
      </c>
      <c r="B1831" s="11">
        <f>IFERROR(__xludf.DUMMYFUNCTION("""COMPUTED_VALUE"""),1.0)</f>
        <v>1</v>
      </c>
      <c r="C1831" s="11">
        <f>IFERROR(__xludf.DUMMYFUNCTION("""COMPUTED_VALUE"""),602.0)</f>
        <v>602</v>
      </c>
      <c r="D1831" s="11">
        <f>IFERROR(__xludf.DUMMYFUNCTION("""COMPUTED_VALUE"""),14.0)</f>
        <v>14</v>
      </c>
      <c r="E1831" s="9"/>
    </row>
    <row r="1832">
      <c r="A1832" s="10">
        <f>IFERROR(__xludf.DUMMYFUNCTION("""COMPUTED_VALUE"""),121835.0)</f>
        <v>121835</v>
      </c>
      <c r="B1832" s="11">
        <f>IFERROR(__xludf.DUMMYFUNCTION("""COMPUTED_VALUE"""),1.0)</f>
        <v>1</v>
      </c>
      <c r="C1832" s="11">
        <f>IFERROR(__xludf.DUMMYFUNCTION("""COMPUTED_VALUE"""),327.0)</f>
        <v>327</v>
      </c>
      <c r="D1832" s="11">
        <f>IFERROR(__xludf.DUMMYFUNCTION("""COMPUTED_VALUE"""),126.0)</f>
        <v>126</v>
      </c>
      <c r="E1832" s="9"/>
    </row>
    <row r="1833">
      <c r="A1833" s="10">
        <f>IFERROR(__xludf.DUMMYFUNCTION("""COMPUTED_VALUE"""),113934.0)</f>
        <v>113934</v>
      </c>
      <c r="B1833" s="11">
        <f>IFERROR(__xludf.DUMMYFUNCTION("""COMPUTED_VALUE"""),0.0)</f>
        <v>0</v>
      </c>
      <c r="C1833" s="11">
        <f>IFERROR(__xludf.DUMMYFUNCTION("""COMPUTED_VALUE"""),561.0)</f>
        <v>561</v>
      </c>
      <c r="D1833" s="11">
        <f>IFERROR(__xludf.DUMMYFUNCTION("""COMPUTED_VALUE"""),247.0)</f>
        <v>247</v>
      </c>
      <c r="E1833" s="9"/>
    </row>
    <row r="1834">
      <c r="A1834" s="10">
        <f>IFERROR(__xludf.DUMMYFUNCTION("""COMPUTED_VALUE"""),5750.0)</f>
        <v>5750</v>
      </c>
      <c r="B1834" s="11">
        <f>IFERROR(__xludf.DUMMYFUNCTION("""COMPUTED_VALUE"""),0.0)</f>
        <v>0</v>
      </c>
      <c r="C1834" s="11">
        <f>IFERROR(__xludf.DUMMYFUNCTION("""COMPUTED_VALUE"""),910.0)</f>
        <v>910</v>
      </c>
      <c r="D1834" s="11">
        <f>IFERROR(__xludf.DUMMYFUNCTION("""COMPUTED_VALUE"""),493.0)</f>
        <v>493</v>
      </c>
      <c r="E1834" s="9"/>
    </row>
    <row r="1835">
      <c r="A1835" s="10">
        <f>IFERROR(__xludf.DUMMYFUNCTION("""COMPUTED_VALUE"""),73390.0)</f>
        <v>73390</v>
      </c>
      <c r="B1835" s="11">
        <f>IFERROR(__xludf.DUMMYFUNCTION("""COMPUTED_VALUE"""),0.0)</f>
        <v>0</v>
      </c>
      <c r="C1835" s="11">
        <f>IFERROR(__xludf.DUMMYFUNCTION("""COMPUTED_VALUE"""),678.0)</f>
        <v>678</v>
      </c>
      <c r="D1835" s="11">
        <f>IFERROR(__xludf.DUMMYFUNCTION("""COMPUTED_VALUE"""),415.0)</f>
        <v>415</v>
      </c>
      <c r="E1835" s="9"/>
    </row>
    <row r="1836">
      <c r="A1836" s="10">
        <f>IFERROR(__xludf.DUMMYFUNCTION("""COMPUTED_VALUE"""),114251.0)</f>
        <v>114251</v>
      </c>
      <c r="B1836" s="11">
        <f>IFERROR(__xludf.DUMMYFUNCTION("""COMPUTED_VALUE"""),1.0)</f>
        <v>1</v>
      </c>
      <c r="C1836" s="11">
        <f>IFERROR(__xludf.DUMMYFUNCTION("""COMPUTED_VALUE"""),53.0)</f>
        <v>53</v>
      </c>
      <c r="D1836" s="11">
        <f>IFERROR(__xludf.DUMMYFUNCTION("""COMPUTED_VALUE"""),24.0)</f>
        <v>24</v>
      </c>
      <c r="E1836" s="9"/>
    </row>
    <row r="1837">
      <c r="A1837" s="10">
        <f>IFERROR(__xludf.DUMMYFUNCTION("""COMPUTED_VALUE"""),73392.0)</f>
        <v>73392</v>
      </c>
      <c r="B1837" s="11">
        <f>IFERROR(__xludf.DUMMYFUNCTION("""COMPUTED_VALUE"""),1.0)</f>
        <v>1</v>
      </c>
      <c r="C1837" s="11">
        <f>IFERROR(__xludf.DUMMYFUNCTION("""COMPUTED_VALUE"""),582.0)</f>
        <v>582</v>
      </c>
      <c r="D1837" s="11">
        <f>IFERROR(__xludf.DUMMYFUNCTION("""COMPUTED_VALUE"""),52.0)</f>
        <v>52</v>
      </c>
      <c r="E1837" s="9"/>
    </row>
    <row r="1838">
      <c r="A1838" s="10">
        <f>IFERROR(__xludf.DUMMYFUNCTION("""COMPUTED_VALUE"""),9128.0)</f>
        <v>9128</v>
      </c>
      <c r="B1838" s="11">
        <f>IFERROR(__xludf.DUMMYFUNCTION("""COMPUTED_VALUE"""),1.0)</f>
        <v>1</v>
      </c>
      <c r="C1838" s="11">
        <f>IFERROR(__xludf.DUMMYFUNCTION("""COMPUTED_VALUE"""),75.0)</f>
        <v>75</v>
      </c>
      <c r="D1838" s="11">
        <f>IFERROR(__xludf.DUMMYFUNCTION("""COMPUTED_VALUE"""),42.0)</f>
        <v>42</v>
      </c>
      <c r="E1838" s="9"/>
    </row>
    <row r="1839">
      <c r="A1839" s="10">
        <f>IFERROR(__xludf.DUMMYFUNCTION("""COMPUTED_VALUE"""),122672.0)</f>
        <v>122672</v>
      </c>
      <c r="B1839" s="11">
        <f>IFERROR(__xludf.DUMMYFUNCTION("""COMPUTED_VALUE"""),0.0)</f>
        <v>0</v>
      </c>
      <c r="C1839" s="11">
        <f>IFERROR(__xludf.DUMMYFUNCTION("""COMPUTED_VALUE"""),845.0)</f>
        <v>845</v>
      </c>
      <c r="D1839" s="11">
        <f>IFERROR(__xludf.DUMMYFUNCTION("""COMPUTED_VALUE"""),158.0)</f>
        <v>158</v>
      </c>
      <c r="E1839" s="9"/>
    </row>
    <row r="1840">
      <c r="A1840" s="10">
        <f>IFERROR(__xludf.DUMMYFUNCTION("""COMPUTED_VALUE"""),85857.0)</f>
        <v>85857</v>
      </c>
      <c r="B1840" s="11">
        <f>IFERROR(__xludf.DUMMYFUNCTION("""COMPUTED_VALUE"""),0.0)</f>
        <v>0</v>
      </c>
      <c r="C1840" s="11">
        <f>IFERROR(__xludf.DUMMYFUNCTION("""COMPUTED_VALUE"""),285.0)</f>
        <v>285</v>
      </c>
      <c r="D1840" s="11">
        <f>IFERROR(__xludf.DUMMYFUNCTION("""COMPUTED_VALUE"""),195.0)</f>
        <v>195</v>
      </c>
      <c r="E1840" s="9"/>
    </row>
    <row r="1841">
      <c r="A1841" s="10">
        <f>IFERROR(__xludf.DUMMYFUNCTION("""COMPUTED_VALUE"""),9129.0)</f>
        <v>9129</v>
      </c>
      <c r="B1841" s="11">
        <f>IFERROR(__xludf.DUMMYFUNCTION("""COMPUTED_VALUE"""),1.0)</f>
        <v>1</v>
      </c>
      <c r="C1841" s="11">
        <f>IFERROR(__xludf.DUMMYFUNCTION("""COMPUTED_VALUE"""),971.0)</f>
        <v>971</v>
      </c>
      <c r="D1841" s="11">
        <f>IFERROR(__xludf.DUMMYFUNCTION("""COMPUTED_VALUE"""),908.0)</f>
        <v>908</v>
      </c>
      <c r="E1841" s="9"/>
    </row>
    <row r="1842">
      <c r="A1842" s="10">
        <f>IFERROR(__xludf.DUMMYFUNCTION("""COMPUTED_VALUE"""),162438.0)</f>
        <v>162438</v>
      </c>
      <c r="B1842" s="11">
        <f>IFERROR(__xludf.DUMMYFUNCTION("""COMPUTED_VALUE"""),1.0)</f>
        <v>1</v>
      </c>
      <c r="C1842" s="11">
        <f>IFERROR(__xludf.DUMMYFUNCTION("""COMPUTED_VALUE"""),508.0)</f>
        <v>508</v>
      </c>
      <c r="D1842" s="11">
        <f>IFERROR(__xludf.DUMMYFUNCTION("""COMPUTED_VALUE"""),490.0)</f>
        <v>490</v>
      </c>
      <c r="E1842" s="9"/>
    </row>
    <row r="1843">
      <c r="A1843" s="10">
        <f>IFERROR(__xludf.DUMMYFUNCTION("""COMPUTED_VALUE"""),73391.0)</f>
        <v>73391</v>
      </c>
      <c r="B1843" s="11">
        <f>IFERROR(__xludf.DUMMYFUNCTION("""COMPUTED_VALUE"""),0.0)</f>
        <v>0</v>
      </c>
      <c r="C1843" s="11">
        <f>IFERROR(__xludf.DUMMYFUNCTION("""COMPUTED_VALUE"""),919.0)</f>
        <v>919</v>
      </c>
      <c r="D1843" s="11">
        <f>IFERROR(__xludf.DUMMYFUNCTION("""COMPUTED_VALUE"""),192.0)</f>
        <v>192</v>
      </c>
      <c r="E1843" s="9"/>
    </row>
    <row r="1844">
      <c r="A1844" s="10">
        <f>IFERROR(__xludf.DUMMYFUNCTION("""COMPUTED_VALUE"""),46428.0)</f>
        <v>46428</v>
      </c>
      <c r="B1844" s="11">
        <f>IFERROR(__xludf.DUMMYFUNCTION("""COMPUTED_VALUE"""),0.0)</f>
        <v>0</v>
      </c>
      <c r="C1844" s="11">
        <f>IFERROR(__xludf.DUMMYFUNCTION("""COMPUTED_VALUE"""),764.0)</f>
        <v>764</v>
      </c>
      <c r="D1844" s="11">
        <f>IFERROR(__xludf.DUMMYFUNCTION("""COMPUTED_VALUE"""),402.0)</f>
        <v>402</v>
      </c>
      <c r="E1844" s="9"/>
    </row>
    <row r="1845">
      <c r="A1845" s="10">
        <f>IFERROR(__xludf.DUMMYFUNCTION("""COMPUTED_VALUE"""),85861.0)</f>
        <v>85861</v>
      </c>
      <c r="B1845" s="11">
        <f>IFERROR(__xludf.DUMMYFUNCTION("""COMPUTED_VALUE"""),0.0)</f>
        <v>0</v>
      </c>
      <c r="C1845" s="11">
        <f>IFERROR(__xludf.DUMMYFUNCTION("""COMPUTED_VALUE"""),764.0)</f>
        <v>764</v>
      </c>
      <c r="D1845" s="11">
        <f>IFERROR(__xludf.DUMMYFUNCTION("""COMPUTED_VALUE"""),167.0)</f>
        <v>167</v>
      </c>
      <c r="E1845" s="9"/>
    </row>
    <row r="1846">
      <c r="A1846" s="10">
        <f>IFERROR(__xludf.DUMMYFUNCTION("""COMPUTED_VALUE"""),69324.0)</f>
        <v>69324</v>
      </c>
      <c r="B1846" s="11">
        <f>IFERROR(__xludf.DUMMYFUNCTION("""COMPUTED_VALUE"""),1.0)</f>
        <v>1</v>
      </c>
      <c r="C1846" s="11">
        <f>IFERROR(__xludf.DUMMYFUNCTION("""COMPUTED_VALUE"""),179.0)</f>
        <v>179</v>
      </c>
      <c r="D1846" s="11">
        <f>IFERROR(__xludf.DUMMYFUNCTION("""COMPUTED_VALUE"""),9.0)</f>
        <v>9</v>
      </c>
      <c r="E1846" s="9"/>
    </row>
    <row r="1847">
      <c r="A1847" s="10">
        <f>IFERROR(__xludf.DUMMYFUNCTION("""COMPUTED_VALUE"""),122618.0)</f>
        <v>122618</v>
      </c>
      <c r="B1847" s="11">
        <f>IFERROR(__xludf.DUMMYFUNCTION("""COMPUTED_VALUE"""),1.0)</f>
        <v>1</v>
      </c>
      <c r="C1847" s="11">
        <f>IFERROR(__xludf.DUMMYFUNCTION("""COMPUTED_VALUE"""),854.0)</f>
        <v>854</v>
      </c>
      <c r="D1847" s="11">
        <f>IFERROR(__xludf.DUMMYFUNCTION("""COMPUTED_VALUE"""),423.0)</f>
        <v>423</v>
      </c>
      <c r="E1847" s="9"/>
    </row>
    <row r="1848">
      <c r="A1848" s="10">
        <f>IFERROR(__xludf.DUMMYFUNCTION("""COMPUTED_VALUE"""),99312.0)</f>
        <v>99312</v>
      </c>
      <c r="B1848" s="11">
        <f>IFERROR(__xludf.DUMMYFUNCTION("""COMPUTED_VALUE"""),0.0)</f>
        <v>0</v>
      </c>
      <c r="C1848" s="11">
        <f>IFERROR(__xludf.DUMMYFUNCTION("""COMPUTED_VALUE"""),311.0)</f>
        <v>311</v>
      </c>
      <c r="D1848" s="11">
        <f>IFERROR(__xludf.DUMMYFUNCTION("""COMPUTED_VALUE"""),106.0)</f>
        <v>106</v>
      </c>
      <c r="E1848" s="9"/>
    </row>
    <row r="1849">
      <c r="A1849" s="10">
        <f>IFERROR(__xludf.DUMMYFUNCTION("""COMPUTED_VALUE"""),113932.0)</f>
        <v>113932</v>
      </c>
      <c r="B1849" s="11">
        <f>IFERROR(__xludf.DUMMYFUNCTION("""COMPUTED_VALUE"""),0.0)</f>
        <v>0</v>
      </c>
      <c r="C1849" s="11">
        <f>IFERROR(__xludf.DUMMYFUNCTION("""COMPUTED_VALUE"""),357.0)</f>
        <v>357</v>
      </c>
      <c r="D1849" s="11">
        <f>IFERROR(__xludf.DUMMYFUNCTION("""COMPUTED_VALUE"""),73.0)</f>
        <v>73</v>
      </c>
      <c r="E1849" s="9"/>
    </row>
    <row r="1850">
      <c r="A1850" s="10">
        <f>IFERROR(__xludf.DUMMYFUNCTION("""COMPUTED_VALUE"""),5751.0)</f>
        <v>5751</v>
      </c>
      <c r="B1850" s="11">
        <f>IFERROR(__xludf.DUMMYFUNCTION("""COMPUTED_VALUE"""),0.0)</f>
        <v>0</v>
      </c>
      <c r="C1850" s="11">
        <f>IFERROR(__xludf.DUMMYFUNCTION("""COMPUTED_VALUE"""),530.0)</f>
        <v>530</v>
      </c>
      <c r="D1850" s="11">
        <f>IFERROR(__xludf.DUMMYFUNCTION("""COMPUTED_VALUE"""),225.0)</f>
        <v>225</v>
      </c>
      <c r="E1850" s="9"/>
    </row>
    <row r="1851">
      <c r="A1851" s="10">
        <f>IFERROR(__xludf.DUMMYFUNCTION("""COMPUTED_VALUE"""),85885.0)</f>
        <v>85885</v>
      </c>
      <c r="B1851" s="11">
        <f>IFERROR(__xludf.DUMMYFUNCTION("""COMPUTED_VALUE"""),0.0)</f>
        <v>0</v>
      </c>
      <c r="C1851" s="11">
        <f>IFERROR(__xludf.DUMMYFUNCTION("""COMPUTED_VALUE"""),225.0)</f>
        <v>225</v>
      </c>
      <c r="D1851" s="11">
        <f>IFERROR(__xludf.DUMMYFUNCTION("""COMPUTED_VALUE"""),151.0)</f>
        <v>151</v>
      </c>
      <c r="E1851" s="9"/>
    </row>
    <row r="1852">
      <c r="A1852" s="10">
        <f>IFERROR(__xludf.DUMMYFUNCTION("""COMPUTED_VALUE"""),87877.0)</f>
        <v>87877</v>
      </c>
      <c r="B1852" s="11">
        <f>IFERROR(__xludf.DUMMYFUNCTION("""COMPUTED_VALUE"""),1.0)</f>
        <v>1</v>
      </c>
      <c r="C1852" s="11">
        <f>IFERROR(__xludf.DUMMYFUNCTION("""COMPUTED_VALUE"""),578.0)</f>
        <v>578</v>
      </c>
      <c r="D1852" s="11">
        <f>IFERROR(__xludf.DUMMYFUNCTION("""COMPUTED_VALUE"""),413.0)</f>
        <v>413</v>
      </c>
      <c r="E1852" s="9"/>
    </row>
    <row r="1853">
      <c r="A1853" s="10">
        <f>IFERROR(__xludf.DUMMYFUNCTION("""COMPUTED_VALUE"""),197150.0)</f>
        <v>197150</v>
      </c>
      <c r="B1853" s="11">
        <f>IFERROR(__xludf.DUMMYFUNCTION("""COMPUTED_VALUE"""),0.0)</f>
        <v>0</v>
      </c>
      <c r="C1853" s="11">
        <f>IFERROR(__xludf.DUMMYFUNCTION("""COMPUTED_VALUE"""),406.0)</f>
        <v>406</v>
      </c>
      <c r="D1853" s="11">
        <f>IFERROR(__xludf.DUMMYFUNCTION("""COMPUTED_VALUE"""),251.0)</f>
        <v>251</v>
      </c>
      <c r="E1853" s="9"/>
    </row>
    <row r="1854">
      <c r="A1854" s="10">
        <f>IFERROR(__xludf.DUMMYFUNCTION("""COMPUTED_VALUE"""),87878.0)</f>
        <v>87878</v>
      </c>
      <c r="B1854" s="11">
        <f>IFERROR(__xludf.DUMMYFUNCTION("""COMPUTED_VALUE"""),1.0)</f>
        <v>1</v>
      </c>
      <c r="C1854" s="11">
        <f>IFERROR(__xludf.DUMMYFUNCTION("""COMPUTED_VALUE"""),863.0)</f>
        <v>863</v>
      </c>
      <c r="D1854" s="11">
        <f>IFERROR(__xludf.DUMMYFUNCTION("""COMPUTED_VALUE"""),159.0)</f>
        <v>159</v>
      </c>
      <c r="E1854" s="9"/>
    </row>
    <row r="1855">
      <c r="A1855" s="10">
        <f>IFERROR(__xludf.DUMMYFUNCTION("""COMPUTED_VALUE"""),122166.0)</f>
        <v>122166</v>
      </c>
      <c r="B1855" s="11">
        <f>IFERROR(__xludf.DUMMYFUNCTION("""COMPUTED_VALUE"""),1.0)</f>
        <v>1</v>
      </c>
      <c r="C1855" s="11">
        <f>IFERROR(__xludf.DUMMYFUNCTION("""COMPUTED_VALUE"""),726.0)</f>
        <v>726</v>
      </c>
      <c r="D1855" s="11">
        <f>IFERROR(__xludf.DUMMYFUNCTION("""COMPUTED_VALUE"""),662.0)</f>
        <v>662</v>
      </c>
      <c r="E1855" s="9"/>
    </row>
    <row r="1856">
      <c r="A1856" s="10">
        <f>IFERROR(__xludf.DUMMYFUNCTION("""COMPUTED_VALUE"""),122617.0)</f>
        <v>122617</v>
      </c>
      <c r="B1856" s="11">
        <f>IFERROR(__xludf.DUMMYFUNCTION("""COMPUTED_VALUE"""),0.0)</f>
        <v>0</v>
      </c>
      <c r="C1856" s="11">
        <f>IFERROR(__xludf.DUMMYFUNCTION("""COMPUTED_VALUE"""),677.0)</f>
        <v>677</v>
      </c>
      <c r="D1856" s="11">
        <f>IFERROR(__xludf.DUMMYFUNCTION("""COMPUTED_VALUE"""),140.0)</f>
        <v>140</v>
      </c>
      <c r="E1856" s="9"/>
    </row>
    <row r="1857">
      <c r="A1857" s="10">
        <f>IFERROR(__xludf.DUMMYFUNCTION("""COMPUTED_VALUE"""),118590.0)</f>
        <v>118590</v>
      </c>
      <c r="B1857" s="11">
        <f>IFERROR(__xludf.DUMMYFUNCTION("""COMPUTED_VALUE"""),0.0)</f>
        <v>0</v>
      </c>
      <c r="C1857" s="11">
        <f>IFERROR(__xludf.DUMMYFUNCTION("""COMPUTED_VALUE"""),366.0)</f>
        <v>366</v>
      </c>
      <c r="D1857" s="11">
        <f>IFERROR(__xludf.DUMMYFUNCTION("""COMPUTED_VALUE"""),139.0)</f>
        <v>139</v>
      </c>
      <c r="E1857" s="9"/>
    </row>
    <row r="1858">
      <c r="A1858" s="10">
        <f>IFERROR(__xludf.DUMMYFUNCTION("""COMPUTED_VALUE"""),122366.0)</f>
        <v>122366</v>
      </c>
      <c r="B1858" s="11">
        <f>IFERROR(__xludf.DUMMYFUNCTION("""COMPUTED_VALUE"""),1.0)</f>
        <v>1</v>
      </c>
      <c r="C1858" s="11">
        <f>IFERROR(__xludf.DUMMYFUNCTION("""COMPUTED_VALUE"""),785.0)</f>
        <v>785</v>
      </c>
      <c r="D1858" s="11">
        <f>IFERROR(__xludf.DUMMYFUNCTION("""COMPUTED_VALUE"""),266.0)</f>
        <v>266</v>
      </c>
      <c r="E1858" s="9"/>
    </row>
    <row r="1859">
      <c r="A1859" s="10">
        <f>IFERROR(__xludf.DUMMYFUNCTION("""COMPUTED_VALUE"""),83001.0)</f>
        <v>83001</v>
      </c>
      <c r="B1859" s="11">
        <f>IFERROR(__xludf.DUMMYFUNCTION("""COMPUTED_VALUE"""),0.0)</f>
        <v>0</v>
      </c>
      <c r="C1859" s="11">
        <f>IFERROR(__xludf.DUMMYFUNCTION("""COMPUTED_VALUE"""),261.0)</f>
        <v>261</v>
      </c>
      <c r="D1859" s="11">
        <f>IFERROR(__xludf.DUMMYFUNCTION("""COMPUTED_VALUE"""),124.0)</f>
        <v>124</v>
      </c>
      <c r="E1859" s="9"/>
    </row>
    <row r="1860">
      <c r="A1860" s="10">
        <f>IFERROR(__xludf.DUMMYFUNCTION("""COMPUTED_VALUE"""),118594.0)</f>
        <v>118594</v>
      </c>
      <c r="B1860" s="11">
        <f>IFERROR(__xludf.DUMMYFUNCTION("""COMPUTED_VALUE"""),0.0)</f>
        <v>0</v>
      </c>
      <c r="C1860" s="11">
        <f>IFERROR(__xludf.DUMMYFUNCTION("""COMPUTED_VALUE"""),312.0)</f>
        <v>312</v>
      </c>
      <c r="D1860" s="11">
        <f>IFERROR(__xludf.DUMMYFUNCTION("""COMPUTED_VALUE"""),79.0)</f>
        <v>79</v>
      </c>
      <c r="E1860" s="9"/>
    </row>
    <row r="1861">
      <c r="A1861" s="10">
        <f>IFERROR(__xludf.DUMMYFUNCTION("""COMPUTED_VALUE"""),85881.0)</f>
        <v>85881</v>
      </c>
      <c r="B1861" s="11">
        <f>IFERROR(__xludf.DUMMYFUNCTION("""COMPUTED_VALUE"""),0.0)</f>
        <v>0</v>
      </c>
      <c r="C1861" s="11">
        <f>IFERROR(__xludf.DUMMYFUNCTION("""COMPUTED_VALUE"""),213.0)</f>
        <v>213</v>
      </c>
      <c r="D1861" s="11">
        <f>IFERROR(__xludf.DUMMYFUNCTION("""COMPUTED_VALUE"""),111.0)</f>
        <v>111</v>
      </c>
      <c r="E1861" s="9"/>
    </row>
    <row r="1862">
      <c r="A1862" s="10">
        <f>IFERROR(__xludf.DUMMYFUNCTION("""COMPUTED_VALUE"""),10655.0)</f>
        <v>10655</v>
      </c>
      <c r="B1862" s="11">
        <f>IFERROR(__xludf.DUMMYFUNCTION("""COMPUTED_VALUE"""),1.0)</f>
        <v>1</v>
      </c>
      <c r="C1862" s="11">
        <f>IFERROR(__xludf.DUMMYFUNCTION("""COMPUTED_VALUE"""),533.0)</f>
        <v>533</v>
      </c>
      <c r="D1862" s="11">
        <f>IFERROR(__xludf.DUMMYFUNCTION("""COMPUTED_VALUE"""),196.0)</f>
        <v>196</v>
      </c>
      <c r="E1862" s="9"/>
    </row>
    <row r="1863">
      <c r="A1863" s="10">
        <f>IFERROR(__xludf.DUMMYFUNCTION("""COMPUTED_VALUE"""),121606.0)</f>
        <v>121606</v>
      </c>
      <c r="B1863" s="11">
        <f>IFERROR(__xludf.DUMMYFUNCTION("""COMPUTED_VALUE"""),0.0)</f>
        <v>0</v>
      </c>
      <c r="C1863" s="11">
        <f>IFERROR(__xludf.DUMMYFUNCTION("""COMPUTED_VALUE"""),947.0)</f>
        <v>947</v>
      </c>
      <c r="D1863" s="11">
        <f>IFERROR(__xludf.DUMMYFUNCTION("""COMPUTED_VALUE"""),482.0)</f>
        <v>482</v>
      </c>
      <c r="E1863" s="9"/>
    </row>
    <row r="1864">
      <c r="A1864" s="10">
        <f>IFERROR(__xludf.DUMMYFUNCTION("""COMPUTED_VALUE"""),13341.0)</f>
        <v>13341</v>
      </c>
      <c r="B1864" s="11">
        <f>IFERROR(__xludf.DUMMYFUNCTION("""COMPUTED_VALUE"""),1.0)</f>
        <v>1</v>
      </c>
      <c r="C1864" s="11">
        <f>IFERROR(__xludf.DUMMYFUNCTION("""COMPUTED_VALUE"""),277.0)</f>
        <v>277</v>
      </c>
      <c r="D1864" s="11">
        <f>IFERROR(__xludf.DUMMYFUNCTION("""COMPUTED_VALUE"""),43.0)</f>
        <v>43</v>
      </c>
      <c r="E1864" s="9"/>
    </row>
    <row r="1865">
      <c r="A1865" s="10">
        <f>IFERROR(__xludf.DUMMYFUNCTION("""COMPUTED_VALUE"""),122631.0)</f>
        <v>122631</v>
      </c>
      <c r="B1865" s="11">
        <f>IFERROR(__xludf.DUMMYFUNCTION("""COMPUTED_VALUE"""),0.0)</f>
        <v>0</v>
      </c>
      <c r="C1865" s="11">
        <f>IFERROR(__xludf.DUMMYFUNCTION("""COMPUTED_VALUE"""),822.0)</f>
        <v>822</v>
      </c>
      <c r="D1865" s="11">
        <f>IFERROR(__xludf.DUMMYFUNCTION("""COMPUTED_VALUE"""),250.0)</f>
        <v>250</v>
      </c>
      <c r="E1865" s="9"/>
    </row>
    <row r="1866">
      <c r="A1866" s="10">
        <f>IFERROR(__xludf.DUMMYFUNCTION("""COMPUTED_VALUE"""),189132.0)</f>
        <v>189132</v>
      </c>
      <c r="B1866" s="11">
        <f>IFERROR(__xludf.DUMMYFUNCTION("""COMPUTED_VALUE"""),0.0)</f>
        <v>0</v>
      </c>
      <c r="C1866" s="11">
        <f>IFERROR(__xludf.DUMMYFUNCTION("""COMPUTED_VALUE"""),847.0)</f>
        <v>847</v>
      </c>
      <c r="D1866" s="11">
        <f>IFERROR(__xludf.DUMMYFUNCTION("""COMPUTED_VALUE"""),270.0)</f>
        <v>270</v>
      </c>
      <c r="E1866" s="9"/>
    </row>
    <row r="1867">
      <c r="A1867" s="10">
        <f>IFERROR(__xludf.DUMMYFUNCTION("""COMPUTED_VALUE"""),87876.0)</f>
        <v>87876</v>
      </c>
      <c r="B1867" s="11">
        <f>IFERROR(__xludf.DUMMYFUNCTION("""COMPUTED_VALUE"""),1.0)</f>
        <v>1</v>
      </c>
      <c r="C1867" s="11">
        <f>IFERROR(__xludf.DUMMYFUNCTION("""COMPUTED_VALUE"""),707.0)</f>
        <v>707</v>
      </c>
      <c r="D1867" s="11">
        <f>IFERROR(__xludf.DUMMYFUNCTION("""COMPUTED_VALUE"""),130.0)</f>
        <v>130</v>
      </c>
      <c r="E1867" s="9"/>
    </row>
    <row r="1868">
      <c r="A1868" s="10">
        <f>IFERROR(__xludf.DUMMYFUNCTION("""COMPUTED_VALUE"""),26094.0)</f>
        <v>26094</v>
      </c>
      <c r="B1868" s="11">
        <f>IFERROR(__xludf.DUMMYFUNCTION("""COMPUTED_VALUE"""),1.0)</f>
        <v>1</v>
      </c>
      <c r="C1868" s="11">
        <f>IFERROR(__xludf.DUMMYFUNCTION("""COMPUTED_VALUE"""),763.0)</f>
        <v>763</v>
      </c>
      <c r="D1868" s="11">
        <f>IFERROR(__xludf.DUMMYFUNCTION("""COMPUTED_VALUE"""),719.0)</f>
        <v>719</v>
      </c>
      <c r="E1868" s="9"/>
    </row>
    <row r="1869">
      <c r="A1869" s="10">
        <f>IFERROR(__xludf.DUMMYFUNCTION("""COMPUTED_VALUE"""),189129.0)</f>
        <v>189129</v>
      </c>
      <c r="B1869" s="11">
        <f>IFERROR(__xludf.DUMMYFUNCTION("""COMPUTED_VALUE"""),1.0)</f>
        <v>1</v>
      </c>
      <c r="C1869" s="11">
        <f>IFERROR(__xludf.DUMMYFUNCTION("""COMPUTED_VALUE"""),548.0)</f>
        <v>548</v>
      </c>
      <c r="D1869" s="11">
        <f>IFERROR(__xludf.DUMMYFUNCTION("""COMPUTED_VALUE"""),365.0)</f>
        <v>365</v>
      </c>
      <c r="E1869" s="9"/>
    </row>
    <row r="1870">
      <c r="A1870" s="10">
        <f>IFERROR(__xludf.DUMMYFUNCTION("""COMPUTED_VALUE"""),10654.0)</f>
        <v>10654</v>
      </c>
      <c r="B1870" s="11">
        <f>IFERROR(__xludf.DUMMYFUNCTION("""COMPUTED_VALUE"""),1.0)</f>
        <v>1</v>
      </c>
      <c r="C1870" s="11">
        <f>IFERROR(__xludf.DUMMYFUNCTION("""COMPUTED_VALUE"""),935.0)</f>
        <v>935</v>
      </c>
      <c r="D1870" s="11">
        <f>IFERROR(__xludf.DUMMYFUNCTION("""COMPUTED_VALUE"""),315.0)</f>
        <v>315</v>
      </c>
      <c r="E1870" s="9"/>
    </row>
    <row r="1871">
      <c r="A1871" s="10">
        <f>IFERROR(__xludf.DUMMYFUNCTION("""COMPUTED_VALUE"""),5754.0)</f>
        <v>5754</v>
      </c>
      <c r="B1871" s="11">
        <f>IFERROR(__xludf.DUMMYFUNCTION("""COMPUTED_VALUE"""),0.0)</f>
        <v>0</v>
      </c>
      <c r="C1871" s="11">
        <f>IFERROR(__xludf.DUMMYFUNCTION("""COMPUTED_VALUE"""),135.0)</f>
        <v>135</v>
      </c>
      <c r="D1871" s="11">
        <f>IFERROR(__xludf.DUMMYFUNCTION("""COMPUTED_VALUE"""),6.0)</f>
        <v>6</v>
      </c>
      <c r="E1871" s="9"/>
    </row>
    <row r="1872">
      <c r="A1872" s="10">
        <f>IFERROR(__xludf.DUMMYFUNCTION("""COMPUTED_VALUE"""),10648.0)</f>
        <v>10648</v>
      </c>
      <c r="B1872" s="11">
        <f>IFERROR(__xludf.DUMMYFUNCTION("""COMPUTED_VALUE"""),0.0)</f>
        <v>0</v>
      </c>
      <c r="C1872" s="11">
        <f>IFERROR(__xludf.DUMMYFUNCTION("""COMPUTED_VALUE"""),874.0)</f>
        <v>874</v>
      </c>
      <c r="D1872" s="11">
        <f>IFERROR(__xludf.DUMMYFUNCTION("""COMPUTED_VALUE"""),429.0)</f>
        <v>429</v>
      </c>
      <c r="E1872" s="9"/>
    </row>
    <row r="1873">
      <c r="A1873" s="10">
        <f>IFERROR(__xludf.DUMMYFUNCTION("""COMPUTED_VALUE"""),114947.0)</f>
        <v>114947</v>
      </c>
      <c r="B1873" s="11">
        <f>IFERROR(__xludf.DUMMYFUNCTION("""COMPUTED_VALUE"""),0.0)</f>
        <v>0</v>
      </c>
      <c r="C1873" s="11">
        <f>IFERROR(__xludf.DUMMYFUNCTION("""COMPUTED_VALUE"""),854.0)</f>
        <v>854</v>
      </c>
      <c r="D1873" s="11">
        <f>IFERROR(__xludf.DUMMYFUNCTION("""COMPUTED_VALUE"""),28.0)</f>
        <v>28</v>
      </c>
      <c r="E1873" s="9"/>
    </row>
    <row r="1874">
      <c r="A1874" s="10">
        <f>IFERROR(__xludf.DUMMYFUNCTION("""COMPUTED_VALUE"""),44728.0)</f>
        <v>44728</v>
      </c>
      <c r="B1874" s="11">
        <f>IFERROR(__xludf.DUMMYFUNCTION("""COMPUTED_VALUE"""),1.0)</f>
        <v>1</v>
      </c>
      <c r="C1874" s="11">
        <f>IFERROR(__xludf.DUMMYFUNCTION("""COMPUTED_VALUE"""),331.0)</f>
        <v>331</v>
      </c>
      <c r="D1874" s="11">
        <f>IFERROR(__xludf.DUMMYFUNCTION("""COMPUTED_VALUE"""),101.0)</f>
        <v>101</v>
      </c>
      <c r="E1874" s="9"/>
    </row>
    <row r="1875">
      <c r="A1875" s="10">
        <f>IFERROR(__xludf.DUMMYFUNCTION("""COMPUTED_VALUE"""),120709.0)</f>
        <v>120709</v>
      </c>
      <c r="B1875" s="11">
        <f>IFERROR(__xludf.DUMMYFUNCTION("""COMPUTED_VALUE"""),1.0)</f>
        <v>1</v>
      </c>
      <c r="C1875" s="11">
        <f>IFERROR(__xludf.DUMMYFUNCTION("""COMPUTED_VALUE"""),549.0)</f>
        <v>549</v>
      </c>
      <c r="D1875" s="11">
        <f>IFERROR(__xludf.DUMMYFUNCTION("""COMPUTED_VALUE"""),459.0)</f>
        <v>459</v>
      </c>
      <c r="E1875" s="9"/>
    </row>
    <row r="1876">
      <c r="A1876" s="10">
        <f>IFERROR(__xludf.DUMMYFUNCTION("""COMPUTED_VALUE"""),114949.0)</f>
        <v>114949</v>
      </c>
      <c r="B1876" s="11">
        <f>IFERROR(__xludf.DUMMYFUNCTION("""COMPUTED_VALUE"""),0.0)</f>
        <v>0</v>
      </c>
      <c r="C1876" s="11">
        <f>IFERROR(__xludf.DUMMYFUNCTION("""COMPUTED_VALUE"""),893.0)</f>
        <v>893</v>
      </c>
      <c r="D1876" s="11">
        <f>IFERROR(__xludf.DUMMYFUNCTION("""COMPUTED_VALUE"""),334.0)</f>
        <v>334</v>
      </c>
      <c r="E1876" s="9"/>
    </row>
    <row r="1877">
      <c r="A1877" s="10">
        <f>IFERROR(__xludf.DUMMYFUNCTION("""COMPUTED_VALUE"""),48706.0)</f>
        <v>48706</v>
      </c>
      <c r="B1877" s="11">
        <f>IFERROR(__xludf.DUMMYFUNCTION("""COMPUTED_VALUE"""),1.0)</f>
        <v>1</v>
      </c>
      <c r="C1877" s="11">
        <f>IFERROR(__xludf.DUMMYFUNCTION("""COMPUTED_VALUE"""),392.0)</f>
        <v>392</v>
      </c>
      <c r="D1877" s="11">
        <f>IFERROR(__xludf.DUMMYFUNCTION("""COMPUTED_VALUE"""),200.0)</f>
        <v>200</v>
      </c>
      <c r="E1877" s="9"/>
    </row>
    <row r="1878">
      <c r="A1878" s="10">
        <f>IFERROR(__xludf.DUMMYFUNCTION("""COMPUTED_VALUE"""),78411.0)</f>
        <v>78411</v>
      </c>
      <c r="B1878" s="11">
        <f>IFERROR(__xludf.DUMMYFUNCTION("""COMPUTED_VALUE"""),0.0)</f>
        <v>0</v>
      </c>
      <c r="C1878" s="11">
        <f>IFERROR(__xludf.DUMMYFUNCTION("""COMPUTED_VALUE"""),766.0)</f>
        <v>766</v>
      </c>
      <c r="D1878" s="11">
        <f>IFERROR(__xludf.DUMMYFUNCTION("""COMPUTED_VALUE"""),98.0)</f>
        <v>98</v>
      </c>
      <c r="E1878" s="9"/>
    </row>
    <row r="1879">
      <c r="A1879" s="10">
        <f>IFERROR(__xludf.DUMMYFUNCTION("""COMPUTED_VALUE"""),120016.0)</f>
        <v>120016</v>
      </c>
      <c r="B1879" s="11">
        <f>IFERROR(__xludf.DUMMYFUNCTION("""COMPUTED_VALUE"""),1.0)</f>
        <v>1</v>
      </c>
      <c r="C1879" s="11">
        <f>IFERROR(__xludf.DUMMYFUNCTION("""COMPUTED_VALUE"""),531.0)</f>
        <v>531</v>
      </c>
      <c r="D1879" s="11">
        <f>IFERROR(__xludf.DUMMYFUNCTION("""COMPUTED_VALUE"""),335.0)</f>
        <v>335</v>
      </c>
      <c r="E1879" s="9"/>
    </row>
    <row r="1880">
      <c r="A1880" s="10">
        <f>IFERROR(__xludf.DUMMYFUNCTION("""COMPUTED_VALUE"""),120710.0)</f>
        <v>120710</v>
      </c>
      <c r="B1880" s="11">
        <f>IFERROR(__xludf.DUMMYFUNCTION("""COMPUTED_VALUE"""),1.0)</f>
        <v>1</v>
      </c>
      <c r="C1880" s="11">
        <f>IFERROR(__xludf.DUMMYFUNCTION("""COMPUTED_VALUE"""),312.0)</f>
        <v>312</v>
      </c>
      <c r="D1880" s="11">
        <f>IFERROR(__xludf.DUMMYFUNCTION("""COMPUTED_VALUE"""),252.0)</f>
        <v>252</v>
      </c>
      <c r="E1880" s="9"/>
    </row>
    <row r="1881">
      <c r="A1881" s="10">
        <f>IFERROR(__xludf.DUMMYFUNCTION("""COMPUTED_VALUE"""),48705.0)</f>
        <v>48705</v>
      </c>
      <c r="B1881" s="11">
        <f>IFERROR(__xludf.DUMMYFUNCTION("""COMPUTED_VALUE"""),1.0)</f>
        <v>1</v>
      </c>
      <c r="C1881" s="11">
        <f>IFERROR(__xludf.DUMMYFUNCTION("""COMPUTED_VALUE"""),482.0)</f>
        <v>482</v>
      </c>
      <c r="D1881" s="11">
        <f>IFERROR(__xludf.DUMMYFUNCTION("""COMPUTED_VALUE"""),66.0)</f>
        <v>66</v>
      </c>
      <c r="E1881" s="9"/>
    </row>
    <row r="1882">
      <c r="A1882" s="10">
        <f>IFERROR(__xludf.DUMMYFUNCTION("""COMPUTED_VALUE"""),114948.0)</f>
        <v>114948</v>
      </c>
      <c r="B1882" s="11">
        <f>IFERROR(__xludf.DUMMYFUNCTION("""COMPUTED_VALUE"""),0.0)</f>
        <v>0</v>
      </c>
      <c r="C1882" s="11">
        <f>IFERROR(__xludf.DUMMYFUNCTION("""COMPUTED_VALUE"""),952.0)</f>
        <v>952</v>
      </c>
      <c r="D1882" s="11">
        <f>IFERROR(__xludf.DUMMYFUNCTION("""COMPUTED_VALUE"""),237.0)</f>
        <v>237</v>
      </c>
      <c r="E1882" s="9"/>
    </row>
    <row r="1883">
      <c r="A1883" s="10">
        <f>IFERROR(__xludf.DUMMYFUNCTION("""COMPUTED_VALUE"""),117330.0)</f>
        <v>117330</v>
      </c>
      <c r="B1883" s="11">
        <f>IFERROR(__xludf.DUMMYFUNCTION("""COMPUTED_VALUE"""),1.0)</f>
        <v>1</v>
      </c>
      <c r="C1883" s="11">
        <f>IFERROR(__xludf.DUMMYFUNCTION("""COMPUTED_VALUE"""),226.0)</f>
        <v>226</v>
      </c>
      <c r="D1883" s="11">
        <f>IFERROR(__xludf.DUMMYFUNCTION("""COMPUTED_VALUE"""),104.0)</f>
        <v>104</v>
      </c>
      <c r="E1883" s="9"/>
    </row>
    <row r="1884">
      <c r="A1884" s="10">
        <f>IFERROR(__xludf.DUMMYFUNCTION("""COMPUTED_VALUE"""),89665.0)</f>
        <v>89665</v>
      </c>
      <c r="B1884" s="11">
        <f>IFERROR(__xludf.DUMMYFUNCTION("""COMPUTED_VALUE"""),0.0)</f>
        <v>0</v>
      </c>
      <c r="C1884" s="11">
        <f>IFERROR(__xludf.DUMMYFUNCTION("""COMPUTED_VALUE"""),787.0)</f>
        <v>787</v>
      </c>
      <c r="D1884" s="11">
        <f>IFERROR(__xludf.DUMMYFUNCTION("""COMPUTED_VALUE"""),460.0)</f>
        <v>460</v>
      </c>
      <c r="E1884" s="9"/>
    </row>
    <row r="1885">
      <c r="A1885" s="10">
        <f>IFERROR(__xludf.DUMMYFUNCTION("""COMPUTED_VALUE"""),89450.0)</f>
        <v>89450</v>
      </c>
      <c r="B1885" s="11">
        <f>IFERROR(__xludf.DUMMYFUNCTION("""COMPUTED_VALUE"""),0.0)</f>
        <v>0</v>
      </c>
      <c r="C1885" s="11">
        <f>IFERROR(__xludf.DUMMYFUNCTION("""COMPUTED_VALUE"""),582.0)</f>
        <v>582</v>
      </c>
      <c r="D1885" s="11">
        <f>IFERROR(__xludf.DUMMYFUNCTION("""COMPUTED_VALUE"""),407.0)</f>
        <v>407</v>
      </c>
      <c r="E1885" s="9"/>
    </row>
    <row r="1886">
      <c r="A1886" s="10">
        <f>IFERROR(__xludf.DUMMYFUNCTION("""COMPUTED_VALUE"""),72080.0)</f>
        <v>72080</v>
      </c>
      <c r="B1886" s="11">
        <f>IFERROR(__xludf.DUMMYFUNCTION("""COMPUTED_VALUE"""),0.0)</f>
        <v>0</v>
      </c>
      <c r="C1886" s="11">
        <f>IFERROR(__xludf.DUMMYFUNCTION("""COMPUTED_VALUE"""),144.0)</f>
        <v>144</v>
      </c>
      <c r="D1886" s="11">
        <f>IFERROR(__xludf.DUMMYFUNCTION("""COMPUTED_VALUE"""),30.0)</f>
        <v>30</v>
      </c>
      <c r="E1886" s="9"/>
    </row>
    <row r="1887">
      <c r="A1887" s="10">
        <f>IFERROR(__xludf.DUMMYFUNCTION("""COMPUTED_VALUE"""),72086.0)</f>
        <v>72086</v>
      </c>
      <c r="B1887" s="11">
        <f>IFERROR(__xludf.DUMMYFUNCTION("""COMPUTED_VALUE"""),1.0)</f>
        <v>1</v>
      </c>
      <c r="C1887" s="11">
        <f>IFERROR(__xludf.DUMMYFUNCTION("""COMPUTED_VALUE"""),869.0)</f>
        <v>869</v>
      </c>
      <c r="D1887" s="11">
        <f>IFERROR(__xludf.DUMMYFUNCTION("""COMPUTED_VALUE"""),734.0)</f>
        <v>734</v>
      </c>
      <c r="E1887" s="9"/>
    </row>
    <row r="1888">
      <c r="A1888" s="10">
        <f>IFERROR(__xludf.DUMMYFUNCTION("""COMPUTED_VALUE"""),117076.0)</f>
        <v>117076</v>
      </c>
      <c r="B1888" s="11">
        <f>IFERROR(__xludf.DUMMYFUNCTION("""COMPUTED_VALUE"""),0.0)</f>
        <v>0</v>
      </c>
      <c r="C1888" s="11">
        <f>IFERROR(__xludf.DUMMYFUNCTION("""COMPUTED_VALUE"""),213.0)</f>
        <v>213</v>
      </c>
      <c r="D1888" s="11">
        <f>IFERROR(__xludf.DUMMYFUNCTION("""COMPUTED_VALUE"""),205.0)</f>
        <v>205</v>
      </c>
      <c r="E1888" s="9"/>
    </row>
    <row r="1889">
      <c r="A1889" s="10">
        <f>IFERROR(__xludf.DUMMYFUNCTION("""COMPUTED_VALUE"""),72081.0)</f>
        <v>72081</v>
      </c>
      <c r="B1889" s="11">
        <f>IFERROR(__xludf.DUMMYFUNCTION("""COMPUTED_VALUE"""),1.0)</f>
        <v>1</v>
      </c>
      <c r="C1889" s="11">
        <f>IFERROR(__xludf.DUMMYFUNCTION("""COMPUTED_VALUE"""),742.0)</f>
        <v>742</v>
      </c>
      <c r="D1889" s="11">
        <f>IFERROR(__xludf.DUMMYFUNCTION("""COMPUTED_VALUE"""),53.0)</f>
        <v>53</v>
      </c>
      <c r="E1889" s="9"/>
    </row>
    <row r="1890">
      <c r="A1890" s="10">
        <f>IFERROR(__xludf.DUMMYFUNCTION("""COMPUTED_VALUE"""),72088.0)</f>
        <v>72088</v>
      </c>
      <c r="B1890" s="11">
        <f>IFERROR(__xludf.DUMMYFUNCTION("""COMPUTED_VALUE"""),1.0)</f>
        <v>1</v>
      </c>
      <c r="C1890" s="11">
        <f>IFERROR(__xludf.DUMMYFUNCTION("""COMPUTED_VALUE"""),903.0)</f>
        <v>903</v>
      </c>
      <c r="D1890" s="11">
        <f>IFERROR(__xludf.DUMMYFUNCTION("""COMPUTED_VALUE"""),318.0)</f>
        <v>318</v>
      </c>
      <c r="E1890" s="9"/>
    </row>
    <row r="1891">
      <c r="A1891" s="10">
        <f>IFERROR(__xludf.DUMMYFUNCTION("""COMPUTED_VALUE"""),72078.0)</f>
        <v>72078</v>
      </c>
      <c r="B1891" s="11">
        <f>IFERROR(__xludf.DUMMYFUNCTION("""COMPUTED_VALUE"""),0.0)</f>
        <v>0</v>
      </c>
      <c r="C1891" s="11">
        <f>IFERROR(__xludf.DUMMYFUNCTION("""COMPUTED_VALUE"""),557.0)</f>
        <v>557</v>
      </c>
      <c r="D1891" s="11">
        <f>IFERROR(__xludf.DUMMYFUNCTION("""COMPUTED_VALUE"""),447.0)</f>
        <v>447</v>
      </c>
      <c r="E1891" s="9"/>
    </row>
    <row r="1892">
      <c r="A1892" s="10">
        <f>IFERROR(__xludf.DUMMYFUNCTION("""COMPUTED_VALUE"""),72085.0)</f>
        <v>72085</v>
      </c>
      <c r="B1892" s="11">
        <f>IFERROR(__xludf.DUMMYFUNCTION("""COMPUTED_VALUE"""),0.0)</f>
        <v>0</v>
      </c>
      <c r="C1892" s="11">
        <f>IFERROR(__xludf.DUMMYFUNCTION("""COMPUTED_VALUE"""),185.0)</f>
        <v>185</v>
      </c>
      <c r="D1892" s="11">
        <f>IFERROR(__xludf.DUMMYFUNCTION("""COMPUTED_VALUE"""),67.0)</f>
        <v>67</v>
      </c>
      <c r="E1892" s="9"/>
    </row>
    <row r="1893">
      <c r="A1893" s="10">
        <f>IFERROR(__xludf.DUMMYFUNCTION("""COMPUTED_VALUE"""),112204.0)</f>
        <v>112204</v>
      </c>
      <c r="B1893" s="11">
        <f>IFERROR(__xludf.DUMMYFUNCTION("""COMPUTED_VALUE"""),1.0)</f>
        <v>1</v>
      </c>
      <c r="C1893" s="11">
        <f>IFERROR(__xludf.DUMMYFUNCTION("""COMPUTED_VALUE"""),177.0)</f>
        <v>177</v>
      </c>
      <c r="D1893" s="11">
        <f>IFERROR(__xludf.DUMMYFUNCTION("""COMPUTED_VALUE"""),124.0)</f>
        <v>124</v>
      </c>
      <c r="E1893" s="9"/>
    </row>
    <row r="1894">
      <c r="A1894" s="10">
        <f>IFERROR(__xludf.DUMMYFUNCTION("""COMPUTED_VALUE"""),59138.0)</f>
        <v>59138</v>
      </c>
      <c r="B1894" s="11">
        <f>IFERROR(__xludf.DUMMYFUNCTION("""COMPUTED_VALUE"""),1.0)</f>
        <v>1</v>
      </c>
      <c r="C1894" s="11">
        <f>IFERROR(__xludf.DUMMYFUNCTION("""COMPUTED_VALUE"""),227.0)</f>
        <v>227</v>
      </c>
      <c r="D1894" s="11">
        <f>IFERROR(__xludf.DUMMYFUNCTION("""COMPUTED_VALUE"""),91.0)</f>
        <v>91</v>
      </c>
      <c r="E1894" s="9"/>
    </row>
    <row r="1895">
      <c r="A1895" s="10">
        <f>IFERROR(__xludf.DUMMYFUNCTION("""COMPUTED_VALUE"""),72074.0)</f>
        <v>72074</v>
      </c>
      <c r="B1895" s="11">
        <f>IFERROR(__xludf.DUMMYFUNCTION("""COMPUTED_VALUE"""),0.0)</f>
        <v>0</v>
      </c>
      <c r="C1895" s="11">
        <f>IFERROR(__xludf.DUMMYFUNCTION("""COMPUTED_VALUE"""),658.0)</f>
        <v>658</v>
      </c>
      <c r="D1895" s="11">
        <f>IFERROR(__xludf.DUMMYFUNCTION("""COMPUTED_VALUE"""),86.0)</f>
        <v>86</v>
      </c>
      <c r="E1895" s="9"/>
    </row>
    <row r="1896">
      <c r="A1896" s="10">
        <f>IFERROR(__xludf.DUMMYFUNCTION("""COMPUTED_VALUE"""),72096.0)</f>
        <v>72096</v>
      </c>
      <c r="B1896" s="11">
        <f>IFERROR(__xludf.DUMMYFUNCTION("""COMPUTED_VALUE"""),1.0)</f>
        <v>1</v>
      </c>
      <c r="C1896" s="11">
        <f>IFERROR(__xludf.DUMMYFUNCTION("""COMPUTED_VALUE"""),969.0)</f>
        <v>969</v>
      </c>
      <c r="D1896" s="11">
        <f>IFERROR(__xludf.DUMMYFUNCTION("""COMPUTED_VALUE"""),141.0)</f>
        <v>141</v>
      </c>
      <c r="E1896" s="9"/>
    </row>
    <row r="1897">
      <c r="A1897" s="10">
        <f>IFERROR(__xludf.DUMMYFUNCTION("""COMPUTED_VALUE"""),72099.0)</f>
        <v>72099</v>
      </c>
      <c r="B1897" s="11">
        <f>IFERROR(__xludf.DUMMYFUNCTION("""COMPUTED_VALUE"""),1.0)</f>
        <v>1</v>
      </c>
      <c r="C1897" s="11">
        <f>IFERROR(__xludf.DUMMYFUNCTION("""COMPUTED_VALUE"""),702.0)</f>
        <v>702</v>
      </c>
      <c r="D1897" s="11">
        <f>IFERROR(__xludf.DUMMYFUNCTION("""COMPUTED_VALUE"""),65.0)</f>
        <v>65</v>
      </c>
      <c r="E1897" s="9"/>
    </row>
    <row r="1898">
      <c r="A1898" s="10">
        <f>IFERROR(__xludf.DUMMYFUNCTION("""COMPUTED_VALUE"""),89451.0)</f>
        <v>89451</v>
      </c>
      <c r="B1898" s="11">
        <f>IFERROR(__xludf.DUMMYFUNCTION("""COMPUTED_VALUE"""),0.0)</f>
        <v>0</v>
      </c>
      <c r="C1898" s="11">
        <f>IFERROR(__xludf.DUMMYFUNCTION("""COMPUTED_VALUE"""),741.0)</f>
        <v>741</v>
      </c>
      <c r="D1898" s="11">
        <f>IFERROR(__xludf.DUMMYFUNCTION("""COMPUTED_VALUE"""),116.0)</f>
        <v>116</v>
      </c>
      <c r="E1898" s="9"/>
    </row>
    <row r="1899">
      <c r="A1899" s="10">
        <f>IFERROR(__xludf.DUMMYFUNCTION("""COMPUTED_VALUE"""),29606.0)</f>
        <v>29606</v>
      </c>
      <c r="B1899" s="11">
        <f>IFERROR(__xludf.DUMMYFUNCTION("""COMPUTED_VALUE"""),0.0)</f>
        <v>0</v>
      </c>
      <c r="C1899" s="11">
        <f>IFERROR(__xludf.DUMMYFUNCTION("""COMPUTED_VALUE"""),532.0)</f>
        <v>532</v>
      </c>
      <c r="D1899" s="11">
        <f>IFERROR(__xludf.DUMMYFUNCTION("""COMPUTED_VALUE"""),281.0)</f>
        <v>281</v>
      </c>
      <c r="E1899" s="9"/>
    </row>
    <row r="1900">
      <c r="A1900" s="10">
        <f>IFERROR(__xludf.DUMMYFUNCTION("""COMPUTED_VALUE"""),72089.0)</f>
        <v>72089</v>
      </c>
      <c r="B1900" s="11">
        <f>IFERROR(__xludf.DUMMYFUNCTION("""COMPUTED_VALUE"""),1.0)</f>
        <v>1</v>
      </c>
      <c r="C1900" s="11">
        <f>IFERROR(__xludf.DUMMYFUNCTION("""COMPUTED_VALUE"""),352.0)</f>
        <v>352</v>
      </c>
      <c r="D1900" s="11">
        <f>IFERROR(__xludf.DUMMYFUNCTION("""COMPUTED_VALUE"""),308.0)</f>
        <v>308</v>
      </c>
      <c r="E1900" s="9"/>
    </row>
    <row r="1901">
      <c r="A1901" s="10">
        <f>IFERROR(__xludf.DUMMYFUNCTION("""COMPUTED_VALUE"""),29601.0)</f>
        <v>29601</v>
      </c>
      <c r="B1901" s="11">
        <f>IFERROR(__xludf.DUMMYFUNCTION("""COMPUTED_VALUE"""),1.0)</f>
        <v>1</v>
      </c>
      <c r="C1901" s="11">
        <f>IFERROR(__xludf.DUMMYFUNCTION("""COMPUTED_VALUE"""),616.0)</f>
        <v>616</v>
      </c>
      <c r="D1901" s="11">
        <f>IFERROR(__xludf.DUMMYFUNCTION("""COMPUTED_VALUE"""),422.0)</f>
        <v>422</v>
      </c>
      <c r="E1901" s="9"/>
    </row>
    <row r="1902">
      <c r="A1902" s="10">
        <f>IFERROR(__xludf.DUMMYFUNCTION("""COMPUTED_VALUE"""),50372.0)</f>
        <v>50372</v>
      </c>
      <c r="B1902" s="11">
        <f>IFERROR(__xludf.DUMMYFUNCTION("""COMPUTED_VALUE"""),1.0)</f>
        <v>1</v>
      </c>
      <c r="C1902" s="11">
        <f>IFERROR(__xludf.DUMMYFUNCTION("""COMPUTED_VALUE"""),129.0)</f>
        <v>129</v>
      </c>
      <c r="D1902" s="11">
        <f>IFERROR(__xludf.DUMMYFUNCTION("""COMPUTED_VALUE"""),68.0)</f>
        <v>68</v>
      </c>
      <c r="E1902" s="9"/>
    </row>
    <row r="1903">
      <c r="A1903" s="10">
        <f>IFERROR(__xludf.DUMMYFUNCTION("""COMPUTED_VALUE"""),89452.0)</f>
        <v>89452</v>
      </c>
      <c r="B1903" s="11">
        <f>IFERROR(__xludf.DUMMYFUNCTION("""COMPUTED_VALUE"""),0.0)</f>
        <v>0</v>
      </c>
      <c r="C1903" s="11">
        <f>IFERROR(__xludf.DUMMYFUNCTION("""COMPUTED_VALUE"""),892.0)</f>
        <v>892</v>
      </c>
      <c r="D1903" s="11">
        <f>IFERROR(__xludf.DUMMYFUNCTION("""COMPUTED_VALUE"""),205.0)</f>
        <v>205</v>
      </c>
      <c r="E1903" s="9"/>
    </row>
    <row r="1904">
      <c r="A1904" s="10">
        <f>IFERROR(__xludf.DUMMYFUNCTION("""COMPUTED_VALUE"""),156019.0)</f>
        <v>156019</v>
      </c>
      <c r="B1904" s="11">
        <f>IFERROR(__xludf.DUMMYFUNCTION("""COMPUTED_VALUE"""),0.0)</f>
        <v>0</v>
      </c>
      <c r="C1904" s="11">
        <f>IFERROR(__xludf.DUMMYFUNCTION("""COMPUTED_VALUE"""),222.0)</f>
        <v>222</v>
      </c>
      <c r="D1904" s="11">
        <f>IFERROR(__xludf.DUMMYFUNCTION("""COMPUTED_VALUE"""),57.0)</f>
        <v>57</v>
      </c>
      <c r="E1904" s="9"/>
    </row>
    <row r="1905">
      <c r="A1905" s="10">
        <f>IFERROR(__xludf.DUMMYFUNCTION("""COMPUTED_VALUE"""),117705.0)</f>
        <v>117705</v>
      </c>
      <c r="B1905" s="11">
        <f>IFERROR(__xludf.DUMMYFUNCTION("""COMPUTED_VALUE"""),1.0)</f>
        <v>1</v>
      </c>
      <c r="C1905" s="11">
        <f>IFERROR(__xludf.DUMMYFUNCTION("""COMPUTED_VALUE"""),715.0)</f>
        <v>715</v>
      </c>
      <c r="D1905" s="11">
        <f>IFERROR(__xludf.DUMMYFUNCTION("""COMPUTED_VALUE"""),331.0)</f>
        <v>331</v>
      </c>
      <c r="E1905" s="9"/>
    </row>
    <row r="1906">
      <c r="A1906" s="10">
        <f>IFERROR(__xludf.DUMMYFUNCTION("""COMPUTED_VALUE"""),121184.0)</f>
        <v>121184</v>
      </c>
      <c r="B1906" s="11">
        <f>IFERROR(__xludf.DUMMYFUNCTION("""COMPUTED_VALUE"""),1.0)</f>
        <v>1</v>
      </c>
      <c r="C1906" s="11">
        <f>IFERROR(__xludf.DUMMYFUNCTION("""COMPUTED_VALUE"""),27.0)</f>
        <v>27</v>
      </c>
      <c r="D1906" s="11">
        <f>IFERROR(__xludf.DUMMYFUNCTION("""COMPUTED_VALUE"""),27.0)</f>
        <v>27</v>
      </c>
      <c r="E1906" s="9"/>
    </row>
    <row r="1907">
      <c r="A1907" s="10">
        <f>IFERROR(__xludf.DUMMYFUNCTION("""COMPUTED_VALUE"""),89446.0)</f>
        <v>89446</v>
      </c>
      <c r="B1907" s="11">
        <f>IFERROR(__xludf.DUMMYFUNCTION("""COMPUTED_VALUE"""),1.0)</f>
        <v>1</v>
      </c>
      <c r="C1907" s="11">
        <f>IFERROR(__xludf.DUMMYFUNCTION("""COMPUTED_VALUE"""),206.0)</f>
        <v>206</v>
      </c>
      <c r="D1907" s="11">
        <f>IFERROR(__xludf.DUMMYFUNCTION("""COMPUTED_VALUE"""),97.0)</f>
        <v>97</v>
      </c>
      <c r="E1907" s="9"/>
    </row>
    <row r="1908">
      <c r="A1908" s="10">
        <f>IFERROR(__xludf.DUMMYFUNCTION("""COMPUTED_VALUE"""),102339.0)</f>
        <v>102339</v>
      </c>
      <c r="B1908" s="11">
        <f>IFERROR(__xludf.DUMMYFUNCTION("""COMPUTED_VALUE"""),0.0)</f>
        <v>0</v>
      </c>
      <c r="C1908" s="11">
        <f>IFERROR(__xludf.DUMMYFUNCTION("""COMPUTED_VALUE"""),586.0)</f>
        <v>586</v>
      </c>
      <c r="D1908" s="11">
        <f>IFERROR(__xludf.DUMMYFUNCTION("""COMPUTED_VALUE"""),229.0)</f>
        <v>229</v>
      </c>
      <c r="E1908" s="9"/>
    </row>
    <row r="1909">
      <c r="A1909" s="10">
        <f>IFERROR(__xludf.DUMMYFUNCTION("""COMPUTED_VALUE"""),121193.0)</f>
        <v>121193</v>
      </c>
      <c r="B1909" s="11">
        <f>IFERROR(__xludf.DUMMYFUNCTION("""COMPUTED_VALUE"""),1.0)</f>
        <v>1</v>
      </c>
      <c r="C1909" s="11">
        <f>IFERROR(__xludf.DUMMYFUNCTION("""COMPUTED_VALUE"""),183.0)</f>
        <v>183</v>
      </c>
      <c r="D1909" s="11">
        <f>IFERROR(__xludf.DUMMYFUNCTION("""COMPUTED_VALUE"""),10.0)</f>
        <v>10</v>
      </c>
      <c r="E1909" s="9"/>
    </row>
    <row r="1910">
      <c r="A1910" s="10">
        <f>IFERROR(__xludf.DUMMYFUNCTION("""COMPUTED_VALUE"""),102332.0)</f>
        <v>102332</v>
      </c>
      <c r="B1910" s="11">
        <f>IFERROR(__xludf.DUMMYFUNCTION("""COMPUTED_VALUE"""),1.0)</f>
        <v>1</v>
      </c>
      <c r="C1910" s="11">
        <f>IFERROR(__xludf.DUMMYFUNCTION("""COMPUTED_VALUE"""),420.0)</f>
        <v>420</v>
      </c>
      <c r="D1910" s="11">
        <f>IFERROR(__xludf.DUMMYFUNCTION("""COMPUTED_VALUE"""),345.0)</f>
        <v>345</v>
      </c>
      <c r="E1910" s="9"/>
    </row>
    <row r="1911">
      <c r="A1911" s="10">
        <f>IFERROR(__xludf.DUMMYFUNCTION("""COMPUTED_VALUE"""),121775.0)</f>
        <v>121775</v>
      </c>
      <c r="B1911" s="11">
        <f>IFERROR(__xludf.DUMMYFUNCTION("""COMPUTED_VALUE"""),1.0)</f>
        <v>1</v>
      </c>
      <c r="C1911" s="11">
        <f>IFERROR(__xludf.DUMMYFUNCTION("""COMPUTED_VALUE"""),205.0)</f>
        <v>205</v>
      </c>
      <c r="D1911" s="11">
        <f>IFERROR(__xludf.DUMMYFUNCTION("""COMPUTED_VALUE"""),188.0)</f>
        <v>188</v>
      </c>
      <c r="E1911" s="9"/>
    </row>
    <row r="1912">
      <c r="A1912" s="10">
        <f>IFERROR(__xludf.DUMMYFUNCTION("""COMPUTED_VALUE"""),100903.0)</f>
        <v>100903</v>
      </c>
      <c r="B1912" s="11">
        <f>IFERROR(__xludf.DUMMYFUNCTION("""COMPUTED_VALUE"""),0.0)</f>
        <v>0</v>
      </c>
      <c r="C1912" s="11">
        <f>IFERROR(__xludf.DUMMYFUNCTION("""COMPUTED_VALUE"""),496.0)</f>
        <v>496</v>
      </c>
      <c r="D1912" s="11">
        <f>IFERROR(__xludf.DUMMYFUNCTION("""COMPUTED_VALUE"""),9.0)</f>
        <v>9</v>
      </c>
      <c r="E1912" s="9"/>
    </row>
    <row r="1913">
      <c r="A1913" s="10">
        <f>IFERROR(__xludf.DUMMYFUNCTION("""COMPUTED_VALUE"""),81463.0)</f>
        <v>81463</v>
      </c>
      <c r="B1913" s="11">
        <f>IFERROR(__xludf.DUMMYFUNCTION("""COMPUTED_VALUE"""),1.0)</f>
        <v>1</v>
      </c>
      <c r="C1913" s="11">
        <f>IFERROR(__xludf.DUMMYFUNCTION("""COMPUTED_VALUE"""),941.0)</f>
        <v>941</v>
      </c>
      <c r="D1913" s="11">
        <f>IFERROR(__xludf.DUMMYFUNCTION("""COMPUTED_VALUE"""),871.0)</f>
        <v>871</v>
      </c>
      <c r="E1913" s="9"/>
    </row>
    <row r="1914">
      <c r="A1914" s="10">
        <f>IFERROR(__xludf.DUMMYFUNCTION("""COMPUTED_VALUE"""),75788.0)</f>
        <v>75788</v>
      </c>
      <c r="B1914" s="11">
        <f>IFERROR(__xludf.DUMMYFUNCTION("""COMPUTED_VALUE"""),0.0)</f>
        <v>0</v>
      </c>
      <c r="C1914" s="11">
        <f>IFERROR(__xludf.DUMMYFUNCTION("""COMPUTED_VALUE"""),505.0)</f>
        <v>505</v>
      </c>
      <c r="D1914" s="11">
        <f>IFERROR(__xludf.DUMMYFUNCTION("""COMPUTED_VALUE"""),268.0)</f>
        <v>268</v>
      </c>
      <c r="E1914" s="9"/>
    </row>
    <row r="1915">
      <c r="A1915" s="10">
        <f>IFERROR(__xludf.DUMMYFUNCTION("""COMPUTED_VALUE"""),121185.0)</f>
        <v>121185</v>
      </c>
      <c r="B1915" s="11">
        <f>IFERROR(__xludf.DUMMYFUNCTION("""COMPUTED_VALUE"""),0.0)</f>
        <v>0</v>
      </c>
      <c r="C1915" s="11">
        <f>IFERROR(__xludf.DUMMYFUNCTION("""COMPUTED_VALUE"""),472.0)</f>
        <v>472</v>
      </c>
      <c r="D1915" s="11">
        <f>IFERROR(__xludf.DUMMYFUNCTION("""COMPUTED_VALUE"""),337.0)</f>
        <v>337</v>
      </c>
      <c r="E1915" s="9"/>
    </row>
    <row r="1916">
      <c r="A1916" s="10">
        <f>IFERROR(__xludf.DUMMYFUNCTION("""COMPUTED_VALUE"""),89440.0)</f>
        <v>89440</v>
      </c>
      <c r="B1916" s="11">
        <f>IFERROR(__xludf.DUMMYFUNCTION("""COMPUTED_VALUE"""),0.0)</f>
        <v>0</v>
      </c>
      <c r="C1916" s="11">
        <f>IFERROR(__xludf.DUMMYFUNCTION("""COMPUTED_VALUE"""),549.0)</f>
        <v>549</v>
      </c>
      <c r="D1916" s="11">
        <f>IFERROR(__xludf.DUMMYFUNCTION("""COMPUTED_VALUE"""),131.0)</f>
        <v>131</v>
      </c>
      <c r="E1916" s="9"/>
    </row>
    <row r="1917">
      <c r="A1917" s="10">
        <f>IFERROR(__xludf.DUMMYFUNCTION("""COMPUTED_VALUE"""),103058.0)</f>
        <v>103058</v>
      </c>
      <c r="B1917" s="11">
        <f>IFERROR(__xludf.DUMMYFUNCTION("""COMPUTED_VALUE"""),0.0)</f>
        <v>0</v>
      </c>
      <c r="C1917" s="11">
        <f>IFERROR(__xludf.DUMMYFUNCTION("""COMPUTED_VALUE"""),764.0)</f>
        <v>764</v>
      </c>
      <c r="D1917" s="11">
        <f>IFERROR(__xludf.DUMMYFUNCTION("""COMPUTED_VALUE"""),149.0)</f>
        <v>149</v>
      </c>
      <c r="E1917" s="9"/>
    </row>
    <row r="1918">
      <c r="A1918" s="10">
        <f>IFERROR(__xludf.DUMMYFUNCTION("""COMPUTED_VALUE"""),117716.0)</f>
        <v>117716</v>
      </c>
      <c r="B1918" s="11">
        <f>IFERROR(__xludf.DUMMYFUNCTION("""COMPUTED_VALUE"""),0.0)</f>
        <v>0</v>
      </c>
      <c r="C1918" s="11">
        <f>IFERROR(__xludf.DUMMYFUNCTION("""COMPUTED_VALUE"""),165.0)</f>
        <v>165</v>
      </c>
      <c r="D1918" s="11">
        <f>IFERROR(__xludf.DUMMYFUNCTION("""COMPUTED_VALUE"""),111.0)</f>
        <v>111</v>
      </c>
      <c r="E1918" s="9"/>
    </row>
    <row r="1919">
      <c r="A1919" s="10">
        <f>IFERROR(__xludf.DUMMYFUNCTION("""COMPUTED_VALUE"""),71287.0)</f>
        <v>71287</v>
      </c>
      <c r="B1919" s="11">
        <f>IFERROR(__xludf.DUMMYFUNCTION("""COMPUTED_VALUE"""),0.0)</f>
        <v>0</v>
      </c>
      <c r="C1919" s="11">
        <f>IFERROR(__xludf.DUMMYFUNCTION("""COMPUTED_VALUE"""),429.0)</f>
        <v>429</v>
      </c>
      <c r="D1919" s="11">
        <f>IFERROR(__xludf.DUMMYFUNCTION("""COMPUTED_VALUE"""),195.0)</f>
        <v>195</v>
      </c>
      <c r="E1919" s="9"/>
    </row>
    <row r="1920">
      <c r="A1920" s="10">
        <f>IFERROR(__xludf.DUMMYFUNCTION("""COMPUTED_VALUE"""),110685.0)</f>
        <v>110685</v>
      </c>
      <c r="B1920" s="11">
        <f>IFERROR(__xludf.DUMMYFUNCTION("""COMPUTED_VALUE"""),1.0)</f>
        <v>1</v>
      </c>
      <c r="C1920" s="11">
        <f>IFERROR(__xludf.DUMMYFUNCTION("""COMPUTED_VALUE"""),497.0)</f>
        <v>497</v>
      </c>
      <c r="D1920" s="11">
        <f>IFERROR(__xludf.DUMMYFUNCTION("""COMPUTED_VALUE"""),284.0)</f>
        <v>284</v>
      </c>
      <c r="E1920" s="9"/>
    </row>
    <row r="1921">
      <c r="A1921" s="10">
        <f>IFERROR(__xludf.DUMMYFUNCTION("""COMPUTED_VALUE"""),79335.0)</f>
        <v>79335</v>
      </c>
      <c r="B1921" s="11">
        <f>IFERROR(__xludf.DUMMYFUNCTION("""COMPUTED_VALUE"""),0.0)</f>
        <v>0</v>
      </c>
      <c r="C1921" s="11">
        <f>IFERROR(__xludf.DUMMYFUNCTION("""COMPUTED_VALUE"""),84.0)</f>
        <v>84</v>
      </c>
      <c r="D1921" s="11">
        <f>IFERROR(__xludf.DUMMYFUNCTION("""COMPUTED_VALUE"""),59.0)</f>
        <v>59</v>
      </c>
      <c r="E1921" s="9"/>
    </row>
    <row r="1922">
      <c r="A1922" s="10">
        <f>IFERROR(__xludf.DUMMYFUNCTION("""COMPUTED_VALUE"""),45538.0)</f>
        <v>45538</v>
      </c>
      <c r="B1922" s="11">
        <f>IFERROR(__xludf.DUMMYFUNCTION("""COMPUTED_VALUE"""),0.0)</f>
        <v>0</v>
      </c>
      <c r="C1922" s="11">
        <f>IFERROR(__xludf.DUMMYFUNCTION("""COMPUTED_VALUE"""),422.0)</f>
        <v>422</v>
      </c>
      <c r="D1922" s="11">
        <f>IFERROR(__xludf.DUMMYFUNCTION("""COMPUTED_VALUE"""),222.0)</f>
        <v>222</v>
      </c>
      <c r="E1922" s="9"/>
    </row>
    <row r="1923">
      <c r="A1923" s="10">
        <f>IFERROR(__xludf.DUMMYFUNCTION("""COMPUTED_VALUE"""),76691.0)</f>
        <v>76691</v>
      </c>
      <c r="B1923" s="11">
        <f>IFERROR(__xludf.DUMMYFUNCTION("""COMPUTED_VALUE"""),1.0)</f>
        <v>1</v>
      </c>
      <c r="C1923" s="11">
        <f>IFERROR(__xludf.DUMMYFUNCTION("""COMPUTED_VALUE"""),553.0)</f>
        <v>553</v>
      </c>
      <c r="D1923" s="11">
        <f>IFERROR(__xludf.DUMMYFUNCTION("""COMPUTED_VALUE"""),327.0)</f>
        <v>327</v>
      </c>
      <c r="E1923" s="9"/>
    </row>
    <row r="1924">
      <c r="A1924" s="10">
        <f>IFERROR(__xludf.DUMMYFUNCTION("""COMPUTED_VALUE"""),2336.0)</f>
        <v>2336</v>
      </c>
      <c r="B1924" s="11">
        <f>IFERROR(__xludf.DUMMYFUNCTION("""COMPUTED_VALUE"""),0.0)</f>
        <v>0</v>
      </c>
      <c r="C1924" s="11">
        <f>IFERROR(__xludf.DUMMYFUNCTION("""COMPUTED_VALUE"""),223.0)</f>
        <v>223</v>
      </c>
      <c r="D1924" s="11">
        <f>IFERROR(__xludf.DUMMYFUNCTION("""COMPUTED_VALUE"""),58.0)</f>
        <v>58</v>
      </c>
      <c r="E1924" s="9"/>
    </row>
    <row r="1925">
      <c r="A1925" s="10">
        <f>IFERROR(__xludf.DUMMYFUNCTION("""COMPUTED_VALUE"""),91912.0)</f>
        <v>91912</v>
      </c>
      <c r="B1925" s="11">
        <f>IFERROR(__xludf.DUMMYFUNCTION("""COMPUTED_VALUE"""),0.0)</f>
        <v>0</v>
      </c>
      <c r="C1925" s="11">
        <f>IFERROR(__xludf.DUMMYFUNCTION("""COMPUTED_VALUE"""),106.0)</f>
        <v>106</v>
      </c>
      <c r="D1925" s="11">
        <f>IFERROR(__xludf.DUMMYFUNCTION("""COMPUTED_VALUE"""),31.0)</f>
        <v>31</v>
      </c>
      <c r="E1925" s="9"/>
    </row>
    <row r="1926">
      <c r="A1926" s="10">
        <f>IFERROR(__xludf.DUMMYFUNCTION("""COMPUTED_VALUE"""),110826.0)</f>
        <v>110826</v>
      </c>
      <c r="B1926" s="11">
        <f>IFERROR(__xludf.DUMMYFUNCTION("""COMPUTED_VALUE"""),0.0)</f>
        <v>0</v>
      </c>
      <c r="C1926" s="11">
        <f>IFERROR(__xludf.DUMMYFUNCTION("""COMPUTED_VALUE"""),211.0)</f>
        <v>211</v>
      </c>
      <c r="D1926" s="11">
        <f>IFERROR(__xludf.DUMMYFUNCTION("""COMPUTED_VALUE"""),28.0)</f>
        <v>28</v>
      </c>
      <c r="E1926" s="9"/>
    </row>
    <row r="1927">
      <c r="A1927" s="10">
        <f>IFERROR(__xludf.DUMMYFUNCTION("""COMPUTED_VALUE"""),117710.0)</f>
        <v>117710</v>
      </c>
      <c r="B1927" s="11">
        <f>IFERROR(__xludf.DUMMYFUNCTION("""COMPUTED_VALUE"""),1.0)</f>
        <v>1</v>
      </c>
      <c r="C1927" s="11">
        <f>IFERROR(__xludf.DUMMYFUNCTION("""COMPUTED_VALUE"""),468.0)</f>
        <v>468</v>
      </c>
      <c r="D1927" s="11">
        <f>IFERROR(__xludf.DUMMYFUNCTION("""COMPUTED_VALUE"""),207.0)</f>
        <v>207</v>
      </c>
      <c r="E1927" s="9"/>
    </row>
    <row r="1928">
      <c r="A1928" s="10">
        <f>IFERROR(__xludf.DUMMYFUNCTION("""COMPUTED_VALUE"""),3621.0)</f>
        <v>3621</v>
      </c>
      <c r="B1928" s="11">
        <f>IFERROR(__xludf.DUMMYFUNCTION("""COMPUTED_VALUE"""),0.0)</f>
        <v>0</v>
      </c>
      <c r="C1928" s="11">
        <f>IFERROR(__xludf.DUMMYFUNCTION("""COMPUTED_VALUE"""),755.0)</f>
        <v>755</v>
      </c>
      <c r="D1928" s="11">
        <f>IFERROR(__xludf.DUMMYFUNCTION("""COMPUTED_VALUE"""),358.0)</f>
        <v>358</v>
      </c>
      <c r="E1928" s="9"/>
    </row>
    <row r="1929">
      <c r="A1929" s="10">
        <f>IFERROR(__xludf.DUMMYFUNCTION("""COMPUTED_VALUE"""),4179.0)</f>
        <v>4179</v>
      </c>
      <c r="B1929" s="11">
        <f>IFERROR(__xludf.DUMMYFUNCTION("""COMPUTED_VALUE"""),1.0)</f>
        <v>1</v>
      </c>
      <c r="C1929" s="11">
        <f>IFERROR(__xludf.DUMMYFUNCTION("""COMPUTED_VALUE"""),528.0)</f>
        <v>528</v>
      </c>
      <c r="D1929" s="11">
        <f>IFERROR(__xludf.DUMMYFUNCTION("""COMPUTED_VALUE"""),243.0)</f>
        <v>243</v>
      </c>
      <c r="E1929" s="9"/>
    </row>
    <row r="1930">
      <c r="A1930" s="10">
        <f>IFERROR(__xludf.DUMMYFUNCTION("""COMPUTED_VALUE"""),89407.0)</f>
        <v>89407</v>
      </c>
      <c r="B1930" s="11">
        <f>IFERROR(__xludf.DUMMYFUNCTION("""COMPUTED_VALUE"""),1.0)</f>
        <v>1</v>
      </c>
      <c r="C1930" s="11">
        <f>IFERROR(__xludf.DUMMYFUNCTION("""COMPUTED_VALUE"""),211.0)</f>
        <v>211</v>
      </c>
      <c r="D1930" s="11">
        <f>IFERROR(__xludf.DUMMYFUNCTION("""COMPUTED_VALUE"""),194.0)</f>
        <v>194</v>
      </c>
      <c r="E1930" s="9"/>
    </row>
    <row r="1931">
      <c r="A1931" s="10">
        <f>IFERROR(__xludf.DUMMYFUNCTION("""COMPUTED_VALUE"""),121190.0)</f>
        <v>121190</v>
      </c>
      <c r="B1931" s="11">
        <f>IFERROR(__xludf.DUMMYFUNCTION("""COMPUTED_VALUE"""),1.0)</f>
        <v>1</v>
      </c>
      <c r="C1931" s="11">
        <f>IFERROR(__xludf.DUMMYFUNCTION("""COMPUTED_VALUE"""),197.0)</f>
        <v>197</v>
      </c>
      <c r="D1931" s="11">
        <f>IFERROR(__xludf.DUMMYFUNCTION("""COMPUTED_VALUE"""),166.0)</f>
        <v>166</v>
      </c>
      <c r="E1931" s="9"/>
    </row>
    <row r="1932">
      <c r="A1932" s="10">
        <f>IFERROR(__xludf.DUMMYFUNCTION("""COMPUTED_VALUE"""),45524.0)</f>
        <v>45524</v>
      </c>
      <c r="B1932" s="11">
        <f>IFERROR(__xludf.DUMMYFUNCTION("""COMPUTED_VALUE"""),1.0)</f>
        <v>1</v>
      </c>
      <c r="C1932" s="11">
        <f>IFERROR(__xludf.DUMMYFUNCTION("""COMPUTED_VALUE"""),325.0)</f>
        <v>325</v>
      </c>
      <c r="D1932" s="11">
        <f>IFERROR(__xludf.DUMMYFUNCTION("""COMPUTED_VALUE"""),133.0)</f>
        <v>133</v>
      </c>
      <c r="E1932" s="9"/>
    </row>
    <row r="1933">
      <c r="A1933" s="10">
        <f>IFERROR(__xludf.DUMMYFUNCTION("""COMPUTED_VALUE"""),3634.0)</f>
        <v>3634</v>
      </c>
      <c r="B1933" s="11">
        <f>IFERROR(__xludf.DUMMYFUNCTION("""COMPUTED_VALUE"""),0.0)</f>
        <v>0</v>
      </c>
      <c r="C1933" s="11">
        <f>IFERROR(__xludf.DUMMYFUNCTION("""COMPUTED_VALUE"""),890.0)</f>
        <v>890</v>
      </c>
      <c r="D1933" s="11">
        <f>IFERROR(__xludf.DUMMYFUNCTION("""COMPUTED_VALUE"""),406.0)</f>
        <v>406</v>
      </c>
      <c r="E1933" s="9"/>
    </row>
    <row r="1934">
      <c r="A1934" s="10">
        <f>IFERROR(__xludf.DUMMYFUNCTION("""COMPUTED_VALUE"""),104327.0)</f>
        <v>104327</v>
      </c>
      <c r="B1934" s="11">
        <f>IFERROR(__xludf.DUMMYFUNCTION("""COMPUTED_VALUE"""),0.0)</f>
        <v>0</v>
      </c>
      <c r="C1934" s="11">
        <f>IFERROR(__xludf.DUMMYFUNCTION("""COMPUTED_VALUE"""),177.0)</f>
        <v>177</v>
      </c>
      <c r="D1934" s="11">
        <f>IFERROR(__xludf.DUMMYFUNCTION("""COMPUTED_VALUE"""),52.0)</f>
        <v>52</v>
      </c>
      <c r="E1934" s="9"/>
    </row>
    <row r="1935">
      <c r="A1935" s="10">
        <f>IFERROR(__xludf.DUMMYFUNCTION("""COMPUTED_VALUE"""),71282.0)</f>
        <v>71282</v>
      </c>
      <c r="B1935" s="11">
        <f>IFERROR(__xludf.DUMMYFUNCTION("""COMPUTED_VALUE"""),1.0)</f>
        <v>1</v>
      </c>
      <c r="C1935" s="11">
        <f>IFERROR(__xludf.DUMMYFUNCTION("""COMPUTED_VALUE"""),773.0)</f>
        <v>773</v>
      </c>
      <c r="D1935" s="11">
        <f>IFERROR(__xludf.DUMMYFUNCTION("""COMPUTED_VALUE"""),741.0)</f>
        <v>741</v>
      </c>
      <c r="E1935" s="9"/>
    </row>
    <row r="1936">
      <c r="A1936" s="10">
        <f>IFERROR(__xludf.DUMMYFUNCTION("""COMPUTED_VALUE"""),89411.0)</f>
        <v>89411</v>
      </c>
      <c r="B1936" s="11">
        <f>IFERROR(__xludf.DUMMYFUNCTION("""COMPUTED_VALUE"""),1.0)</f>
        <v>1</v>
      </c>
      <c r="C1936" s="11">
        <f>IFERROR(__xludf.DUMMYFUNCTION("""COMPUTED_VALUE"""),572.0)</f>
        <v>572</v>
      </c>
      <c r="D1936" s="11">
        <f>IFERROR(__xludf.DUMMYFUNCTION("""COMPUTED_VALUE"""),189.0)</f>
        <v>189</v>
      </c>
      <c r="E1936" s="9"/>
    </row>
    <row r="1937">
      <c r="A1937" s="10">
        <f>IFERROR(__xludf.DUMMYFUNCTION("""COMPUTED_VALUE"""),105361.0)</f>
        <v>105361</v>
      </c>
      <c r="B1937" s="11">
        <f>IFERROR(__xludf.DUMMYFUNCTION("""COMPUTED_VALUE"""),1.0)</f>
        <v>1</v>
      </c>
      <c r="C1937" s="11">
        <f>IFERROR(__xludf.DUMMYFUNCTION("""COMPUTED_VALUE"""),784.0)</f>
        <v>784</v>
      </c>
      <c r="D1937" s="11">
        <f>IFERROR(__xludf.DUMMYFUNCTION("""COMPUTED_VALUE"""),74.0)</f>
        <v>74</v>
      </c>
      <c r="E1937" s="9"/>
    </row>
    <row r="1938">
      <c r="A1938" s="10">
        <f>IFERROR(__xludf.DUMMYFUNCTION("""COMPUTED_VALUE"""),105359.0)</f>
        <v>105359</v>
      </c>
      <c r="B1938" s="11">
        <f>IFERROR(__xludf.DUMMYFUNCTION("""COMPUTED_VALUE"""),0.0)</f>
        <v>0</v>
      </c>
      <c r="C1938" s="11">
        <f>IFERROR(__xludf.DUMMYFUNCTION("""COMPUTED_VALUE"""),715.0)</f>
        <v>715</v>
      </c>
      <c r="D1938" s="11">
        <f>IFERROR(__xludf.DUMMYFUNCTION("""COMPUTED_VALUE"""),656.0)</f>
        <v>656</v>
      </c>
      <c r="E1938" s="9"/>
    </row>
    <row r="1939">
      <c r="A1939" s="10">
        <f>IFERROR(__xludf.DUMMYFUNCTION("""COMPUTED_VALUE"""),75174.0)</f>
        <v>75174</v>
      </c>
      <c r="B1939" s="11">
        <f>IFERROR(__xludf.DUMMYFUNCTION("""COMPUTED_VALUE"""),1.0)</f>
        <v>1</v>
      </c>
      <c r="C1939" s="11">
        <f>IFERROR(__xludf.DUMMYFUNCTION("""COMPUTED_VALUE"""),65.0)</f>
        <v>65</v>
      </c>
      <c r="D1939" s="11">
        <f>IFERROR(__xludf.DUMMYFUNCTION("""COMPUTED_VALUE"""),36.0)</f>
        <v>36</v>
      </c>
      <c r="E1939" s="9"/>
    </row>
    <row r="1940">
      <c r="A1940" s="10">
        <f>IFERROR(__xludf.DUMMYFUNCTION("""COMPUTED_VALUE"""),11895.0)</f>
        <v>11895</v>
      </c>
      <c r="B1940" s="11">
        <f>IFERROR(__xludf.DUMMYFUNCTION("""COMPUTED_VALUE"""),0.0)</f>
        <v>0</v>
      </c>
      <c r="C1940" s="11">
        <f>IFERROR(__xludf.DUMMYFUNCTION("""COMPUTED_VALUE"""),389.0)</f>
        <v>389</v>
      </c>
      <c r="D1940" s="11">
        <f>IFERROR(__xludf.DUMMYFUNCTION("""COMPUTED_VALUE"""),109.0)</f>
        <v>109</v>
      </c>
      <c r="E1940" s="9"/>
    </row>
    <row r="1941">
      <c r="A1941" s="10">
        <f>IFERROR(__xludf.DUMMYFUNCTION("""COMPUTED_VALUE"""),11812.0)</f>
        <v>11812</v>
      </c>
      <c r="B1941" s="11">
        <f>IFERROR(__xludf.DUMMYFUNCTION("""COMPUTED_VALUE"""),0.0)</f>
        <v>0</v>
      </c>
      <c r="C1941" s="11">
        <f>IFERROR(__xludf.DUMMYFUNCTION("""COMPUTED_VALUE"""),494.0)</f>
        <v>494</v>
      </c>
      <c r="D1941" s="11">
        <f>IFERROR(__xludf.DUMMYFUNCTION("""COMPUTED_VALUE"""),154.0)</f>
        <v>154</v>
      </c>
      <c r="E1941" s="9"/>
    </row>
    <row r="1942">
      <c r="A1942" s="10">
        <f>IFERROR(__xludf.DUMMYFUNCTION("""COMPUTED_VALUE"""),11815.0)</f>
        <v>11815</v>
      </c>
      <c r="B1942" s="11">
        <f>IFERROR(__xludf.DUMMYFUNCTION("""COMPUTED_VALUE"""),1.0)</f>
        <v>1</v>
      </c>
      <c r="C1942" s="11">
        <f>IFERROR(__xludf.DUMMYFUNCTION("""COMPUTED_VALUE"""),390.0)</f>
        <v>390</v>
      </c>
      <c r="D1942" s="11">
        <f>IFERROR(__xludf.DUMMYFUNCTION("""COMPUTED_VALUE"""),193.0)</f>
        <v>193</v>
      </c>
      <c r="E1942" s="9"/>
    </row>
    <row r="1943">
      <c r="A1943" s="10">
        <f>IFERROR(__xludf.DUMMYFUNCTION("""COMPUTED_VALUE"""),11784.0)</f>
        <v>11784</v>
      </c>
      <c r="B1943" s="11">
        <f>IFERROR(__xludf.DUMMYFUNCTION("""COMPUTED_VALUE"""),1.0)</f>
        <v>1</v>
      </c>
      <c r="C1943" s="11">
        <f>IFERROR(__xludf.DUMMYFUNCTION("""COMPUTED_VALUE"""),769.0)</f>
        <v>769</v>
      </c>
      <c r="D1943" s="11">
        <f>IFERROR(__xludf.DUMMYFUNCTION("""COMPUTED_VALUE"""),152.0)</f>
        <v>152</v>
      </c>
      <c r="E1943" s="9"/>
    </row>
    <row r="1944">
      <c r="A1944" s="10">
        <f>IFERROR(__xludf.DUMMYFUNCTION("""COMPUTED_VALUE"""),89241.0)</f>
        <v>89241</v>
      </c>
      <c r="B1944" s="11">
        <f>IFERROR(__xludf.DUMMYFUNCTION("""COMPUTED_VALUE"""),1.0)</f>
        <v>1</v>
      </c>
      <c r="C1944" s="11">
        <f>IFERROR(__xludf.DUMMYFUNCTION("""COMPUTED_VALUE"""),761.0)</f>
        <v>761</v>
      </c>
      <c r="D1944" s="11">
        <f>IFERROR(__xludf.DUMMYFUNCTION("""COMPUTED_VALUE"""),386.0)</f>
        <v>386</v>
      </c>
      <c r="E1944" s="9"/>
    </row>
    <row r="1945">
      <c r="A1945" s="10">
        <f>IFERROR(__xludf.DUMMYFUNCTION("""COMPUTED_VALUE"""),117688.0)</f>
        <v>117688</v>
      </c>
      <c r="B1945" s="11">
        <f>IFERROR(__xludf.DUMMYFUNCTION("""COMPUTED_VALUE"""),1.0)</f>
        <v>1</v>
      </c>
      <c r="C1945" s="11">
        <f>IFERROR(__xludf.DUMMYFUNCTION("""COMPUTED_VALUE"""),579.0)</f>
        <v>579</v>
      </c>
      <c r="D1945" s="11">
        <f>IFERROR(__xludf.DUMMYFUNCTION("""COMPUTED_VALUE"""),81.0)</f>
        <v>81</v>
      </c>
      <c r="E1945" s="9"/>
    </row>
    <row r="1946">
      <c r="A1946" s="10">
        <f>IFERROR(__xludf.DUMMYFUNCTION("""COMPUTED_VALUE"""),77688.0)</f>
        <v>77688</v>
      </c>
      <c r="B1946" s="11">
        <f>IFERROR(__xludf.DUMMYFUNCTION("""COMPUTED_VALUE"""),0.0)</f>
        <v>0</v>
      </c>
      <c r="C1946" s="11">
        <f>IFERROR(__xludf.DUMMYFUNCTION("""COMPUTED_VALUE"""),905.0)</f>
        <v>905</v>
      </c>
      <c r="D1946" s="11">
        <f>IFERROR(__xludf.DUMMYFUNCTION("""COMPUTED_VALUE"""),699.0)</f>
        <v>699</v>
      </c>
      <c r="E1946" s="9"/>
    </row>
    <row r="1947">
      <c r="A1947" s="10">
        <f>IFERROR(__xludf.DUMMYFUNCTION("""COMPUTED_VALUE"""),89282.0)</f>
        <v>89282</v>
      </c>
      <c r="B1947" s="11">
        <f>IFERROR(__xludf.DUMMYFUNCTION("""COMPUTED_VALUE"""),0.0)</f>
        <v>0</v>
      </c>
      <c r="C1947" s="11">
        <f>IFERROR(__xludf.DUMMYFUNCTION("""COMPUTED_VALUE"""),906.0)</f>
        <v>906</v>
      </c>
      <c r="D1947" s="11">
        <f>IFERROR(__xludf.DUMMYFUNCTION("""COMPUTED_VALUE"""),537.0)</f>
        <v>537</v>
      </c>
      <c r="E1947" s="9"/>
    </row>
    <row r="1948">
      <c r="A1948" s="10">
        <f>IFERROR(__xludf.DUMMYFUNCTION("""COMPUTED_VALUE"""),11769.0)</f>
        <v>11769</v>
      </c>
      <c r="B1948" s="11">
        <f>IFERROR(__xludf.DUMMYFUNCTION("""COMPUTED_VALUE"""),1.0)</f>
        <v>1</v>
      </c>
      <c r="C1948" s="11">
        <f>IFERROR(__xludf.DUMMYFUNCTION("""COMPUTED_VALUE"""),783.0)</f>
        <v>783</v>
      </c>
      <c r="D1948" s="11">
        <f>IFERROR(__xludf.DUMMYFUNCTION("""COMPUTED_VALUE"""),536.0)</f>
        <v>536</v>
      </c>
      <c r="E1948" s="9"/>
    </row>
    <row r="1949">
      <c r="A1949" s="10">
        <f>IFERROR(__xludf.DUMMYFUNCTION("""COMPUTED_VALUE"""),117544.0)</f>
        <v>117544</v>
      </c>
      <c r="B1949" s="11">
        <f>IFERROR(__xludf.DUMMYFUNCTION("""COMPUTED_VALUE"""),1.0)</f>
        <v>1</v>
      </c>
      <c r="C1949" s="11">
        <f>IFERROR(__xludf.DUMMYFUNCTION("""COMPUTED_VALUE"""),124.0)</f>
        <v>124</v>
      </c>
      <c r="D1949" s="11">
        <f>IFERROR(__xludf.DUMMYFUNCTION("""COMPUTED_VALUE"""),108.0)</f>
        <v>108</v>
      </c>
      <c r="E1949" s="9"/>
    </row>
    <row r="1950">
      <c r="A1950" s="10">
        <f>IFERROR(__xludf.DUMMYFUNCTION("""COMPUTED_VALUE"""),94860.0)</f>
        <v>94860</v>
      </c>
      <c r="B1950" s="11">
        <f>IFERROR(__xludf.DUMMYFUNCTION("""COMPUTED_VALUE"""),1.0)</f>
        <v>1</v>
      </c>
      <c r="C1950" s="11">
        <f>IFERROR(__xludf.DUMMYFUNCTION("""COMPUTED_VALUE"""),611.0)</f>
        <v>611</v>
      </c>
      <c r="D1950" s="11">
        <f>IFERROR(__xludf.DUMMYFUNCTION("""COMPUTED_VALUE"""),548.0)</f>
        <v>548</v>
      </c>
      <c r="E1950" s="9"/>
    </row>
    <row r="1951">
      <c r="A1951" s="10">
        <f>IFERROR(__xludf.DUMMYFUNCTION("""COMPUTED_VALUE"""),79041.0)</f>
        <v>79041</v>
      </c>
      <c r="B1951" s="11">
        <f>IFERROR(__xludf.DUMMYFUNCTION("""COMPUTED_VALUE"""),0.0)</f>
        <v>0</v>
      </c>
      <c r="C1951" s="11">
        <f>IFERROR(__xludf.DUMMYFUNCTION("""COMPUTED_VALUE"""),241.0)</f>
        <v>241</v>
      </c>
      <c r="D1951" s="11">
        <f>IFERROR(__xludf.DUMMYFUNCTION("""COMPUTED_VALUE"""),8.0)</f>
        <v>8</v>
      </c>
      <c r="E1951" s="9"/>
    </row>
    <row r="1952">
      <c r="A1952" s="10">
        <f>IFERROR(__xludf.DUMMYFUNCTION("""COMPUTED_VALUE"""),117686.0)</f>
        <v>117686</v>
      </c>
      <c r="B1952" s="11">
        <f>IFERROR(__xludf.DUMMYFUNCTION("""COMPUTED_VALUE"""),0.0)</f>
        <v>0</v>
      </c>
      <c r="C1952" s="11">
        <f>IFERROR(__xludf.DUMMYFUNCTION("""COMPUTED_VALUE"""),436.0)</f>
        <v>436</v>
      </c>
      <c r="D1952" s="11">
        <f>IFERROR(__xludf.DUMMYFUNCTION("""COMPUTED_VALUE"""),276.0)</f>
        <v>276</v>
      </c>
      <c r="E1952" s="9"/>
    </row>
    <row r="1953">
      <c r="A1953" s="10">
        <f>IFERROR(__xludf.DUMMYFUNCTION("""COMPUTED_VALUE"""),89299.0)</f>
        <v>89299</v>
      </c>
      <c r="B1953" s="11">
        <f>IFERROR(__xludf.DUMMYFUNCTION("""COMPUTED_VALUE"""),0.0)</f>
        <v>0</v>
      </c>
      <c r="C1953" s="11">
        <f>IFERROR(__xludf.DUMMYFUNCTION("""COMPUTED_VALUE"""),953.0)</f>
        <v>953</v>
      </c>
      <c r="D1953" s="11">
        <f>IFERROR(__xludf.DUMMYFUNCTION("""COMPUTED_VALUE"""),203.0)</f>
        <v>203</v>
      </c>
      <c r="E1953" s="9"/>
    </row>
    <row r="1954">
      <c r="A1954" s="10">
        <f>IFERROR(__xludf.DUMMYFUNCTION("""COMPUTED_VALUE"""),11823.0)</f>
        <v>11823</v>
      </c>
      <c r="B1954" s="11">
        <f>IFERROR(__xludf.DUMMYFUNCTION("""COMPUTED_VALUE"""),1.0)</f>
        <v>1</v>
      </c>
      <c r="C1954" s="11">
        <f>IFERROR(__xludf.DUMMYFUNCTION("""COMPUTED_VALUE"""),316.0)</f>
        <v>316</v>
      </c>
      <c r="D1954" s="11">
        <f>IFERROR(__xludf.DUMMYFUNCTION("""COMPUTED_VALUE"""),84.0)</f>
        <v>84</v>
      </c>
      <c r="E1954" s="9"/>
    </row>
    <row r="1955">
      <c r="A1955" s="10">
        <f>IFERROR(__xludf.DUMMYFUNCTION("""COMPUTED_VALUE"""),117543.0)</f>
        <v>117543</v>
      </c>
      <c r="B1955" s="11">
        <f>IFERROR(__xludf.DUMMYFUNCTION("""COMPUTED_VALUE"""),0.0)</f>
        <v>0</v>
      </c>
      <c r="C1955" s="11">
        <f>IFERROR(__xludf.DUMMYFUNCTION("""COMPUTED_VALUE"""),417.0)</f>
        <v>417</v>
      </c>
      <c r="D1955" s="11">
        <f>IFERROR(__xludf.DUMMYFUNCTION("""COMPUTED_VALUE"""),299.0)</f>
        <v>299</v>
      </c>
      <c r="E1955" s="9"/>
    </row>
    <row r="1956">
      <c r="A1956" s="10">
        <f>IFERROR(__xludf.DUMMYFUNCTION("""COMPUTED_VALUE"""),11765.0)</f>
        <v>11765</v>
      </c>
      <c r="B1956" s="11">
        <f>IFERROR(__xludf.DUMMYFUNCTION("""COMPUTED_VALUE"""),1.0)</f>
        <v>1</v>
      </c>
      <c r="C1956" s="11">
        <f>IFERROR(__xludf.DUMMYFUNCTION("""COMPUTED_VALUE"""),458.0)</f>
        <v>458</v>
      </c>
      <c r="D1956" s="11">
        <f>IFERROR(__xludf.DUMMYFUNCTION("""COMPUTED_VALUE"""),259.0)</f>
        <v>259</v>
      </c>
      <c r="E1956" s="9"/>
    </row>
    <row r="1957">
      <c r="A1957" s="10">
        <f>IFERROR(__xludf.DUMMYFUNCTION("""COMPUTED_VALUE"""),121519.0)</f>
        <v>121519</v>
      </c>
      <c r="B1957" s="11">
        <f>IFERROR(__xludf.DUMMYFUNCTION("""COMPUTED_VALUE"""),1.0)</f>
        <v>1</v>
      </c>
      <c r="C1957" s="11">
        <f>IFERROR(__xludf.DUMMYFUNCTION("""COMPUTED_VALUE"""),620.0)</f>
        <v>620</v>
      </c>
      <c r="D1957" s="11">
        <f>IFERROR(__xludf.DUMMYFUNCTION("""COMPUTED_VALUE"""),245.0)</f>
        <v>245</v>
      </c>
      <c r="E1957" s="9"/>
    </row>
    <row r="1958">
      <c r="A1958" s="10">
        <f>IFERROR(__xludf.DUMMYFUNCTION("""COMPUTED_VALUE"""),71276.0)</f>
        <v>71276</v>
      </c>
      <c r="B1958" s="11">
        <f>IFERROR(__xludf.DUMMYFUNCTION("""COMPUTED_VALUE"""),1.0)</f>
        <v>1</v>
      </c>
      <c r="C1958" s="11">
        <f>IFERROR(__xludf.DUMMYFUNCTION("""COMPUTED_VALUE"""),448.0)</f>
        <v>448</v>
      </c>
      <c r="D1958" s="11">
        <f>IFERROR(__xludf.DUMMYFUNCTION("""COMPUTED_VALUE"""),442.0)</f>
        <v>442</v>
      </c>
      <c r="E1958" s="9"/>
    </row>
    <row r="1959">
      <c r="A1959" s="10">
        <f>IFERROR(__xludf.DUMMYFUNCTION("""COMPUTED_VALUE"""),120135.0)</f>
        <v>120135</v>
      </c>
      <c r="B1959" s="11">
        <f>IFERROR(__xludf.DUMMYFUNCTION("""COMPUTED_VALUE"""),0.0)</f>
        <v>0</v>
      </c>
      <c r="C1959" s="11">
        <f>IFERROR(__xludf.DUMMYFUNCTION("""COMPUTED_VALUE"""),270.0)</f>
        <v>270</v>
      </c>
      <c r="D1959" s="11">
        <f>IFERROR(__xludf.DUMMYFUNCTION("""COMPUTED_VALUE"""),44.0)</f>
        <v>44</v>
      </c>
      <c r="E1959" s="9"/>
    </row>
    <row r="1960">
      <c r="A1960" s="10">
        <f>IFERROR(__xludf.DUMMYFUNCTION("""COMPUTED_VALUE"""),116793.0)</f>
        <v>116793</v>
      </c>
      <c r="B1960" s="11">
        <f>IFERROR(__xludf.DUMMYFUNCTION("""COMPUTED_VALUE"""),1.0)</f>
        <v>1</v>
      </c>
      <c r="C1960" s="11">
        <f>IFERROR(__xludf.DUMMYFUNCTION("""COMPUTED_VALUE"""),856.0)</f>
        <v>856</v>
      </c>
      <c r="D1960" s="11">
        <f>IFERROR(__xludf.DUMMYFUNCTION("""COMPUTED_VALUE"""),725.0)</f>
        <v>725</v>
      </c>
      <c r="E1960" s="9"/>
    </row>
    <row r="1961">
      <c r="A1961" s="10">
        <f>IFERROR(__xludf.DUMMYFUNCTION("""COMPUTED_VALUE"""),11774.0)</f>
        <v>11774</v>
      </c>
      <c r="B1961" s="11">
        <f>IFERROR(__xludf.DUMMYFUNCTION("""COMPUTED_VALUE"""),0.0)</f>
        <v>0</v>
      </c>
      <c r="C1961" s="11">
        <f>IFERROR(__xludf.DUMMYFUNCTION("""COMPUTED_VALUE"""),661.0)</f>
        <v>661</v>
      </c>
      <c r="D1961" s="11">
        <f>IFERROR(__xludf.DUMMYFUNCTION("""COMPUTED_VALUE"""),593.0)</f>
        <v>593</v>
      </c>
      <c r="E1961" s="9"/>
    </row>
    <row r="1962">
      <c r="A1962" s="10">
        <f>IFERROR(__xludf.DUMMYFUNCTION("""COMPUTED_VALUE"""),11900.0)</f>
        <v>11900</v>
      </c>
      <c r="B1962" s="11">
        <f>IFERROR(__xludf.DUMMYFUNCTION("""COMPUTED_VALUE"""),0.0)</f>
        <v>0</v>
      </c>
      <c r="C1962" s="11">
        <f>IFERROR(__xludf.DUMMYFUNCTION("""COMPUTED_VALUE"""),902.0)</f>
        <v>902</v>
      </c>
      <c r="D1962" s="11">
        <f>IFERROR(__xludf.DUMMYFUNCTION("""COMPUTED_VALUE"""),180.0)</f>
        <v>180</v>
      </c>
      <c r="E1962" s="9"/>
    </row>
    <row r="1963">
      <c r="A1963" s="10">
        <f>IFERROR(__xludf.DUMMYFUNCTION("""COMPUTED_VALUE"""),11809.0)</f>
        <v>11809</v>
      </c>
      <c r="B1963" s="11">
        <f>IFERROR(__xludf.DUMMYFUNCTION("""COMPUTED_VALUE"""),1.0)</f>
        <v>1</v>
      </c>
      <c r="C1963" s="11">
        <f>IFERROR(__xludf.DUMMYFUNCTION("""COMPUTED_VALUE"""),631.0)</f>
        <v>631</v>
      </c>
      <c r="D1963" s="11">
        <f>IFERROR(__xludf.DUMMYFUNCTION("""COMPUTED_VALUE"""),309.0)</f>
        <v>309</v>
      </c>
      <c r="E1963" s="9"/>
    </row>
    <row r="1964">
      <c r="A1964" s="10">
        <f>IFERROR(__xludf.DUMMYFUNCTION("""COMPUTED_VALUE"""),117642.0)</f>
        <v>117642</v>
      </c>
      <c r="B1964" s="11">
        <f>IFERROR(__xludf.DUMMYFUNCTION("""COMPUTED_VALUE"""),1.0)</f>
        <v>1</v>
      </c>
      <c r="C1964" s="11">
        <f>IFERROR(__xludf.DUMMYFUNCTION("""COMPUTED_VALUE"""),153.0)</f>
        <v>153</v>
      </c>
      <c r="D1964" s="11">
        <f>IFERROR(__xludf.DUMMYFUNCTION("""COMPUTED_VALUE"""),135.0)</f>
        <v>135</v>
      </c>
      <c r="E1964" s="9"/>
    </row>
    <row r="1965">
      <c r="A1965" s="10">
        <f>IFERROR(__xludf.DUMMYFUNCTION("""COMPUTED_VALUE"""),71259.0)</f>
        <v>71259</v>
      </c>
      <c r="B1965" s="11">
        <f>IFERROR(__xludf.DUMMYFUNCTION("""COMPUTED_VALUE"""),0.0)</f>
        <v>0</v>
      </c>
      <c r="C1965" s="11">
        <f>IFERROR(__xludf.DUMMYFUNCTION("""COMPUTED_VALUE"""),563.0)</f>
        <v>563</v>
      </c>
      <c r="D1965" s="11">
        <f>IFERROR(__xludf.DUMMYFUNCTION("""COMPUTED_VALUE"""),270.0)</f>
        <v>270</v>
      </c>
      <c r="E1965" s="9"/>
    </row>
    <row r="1966">
      <c r="A1966" s="10">
        <f>IFERROR(__xludf.DUMMYFUNCTION("""COMPUTED_VALUE"""),79047.0)</f>
        <v>79047</v>
      </c>
      <c r="B1966" s="11">
        <f>IFERROR(__xludf.DUMMYFUNCTION("""COMPUTED_VALUE"""),0.0)</f>
        <v>0</v>
      </c>
      <c r="C1966" s="11">
        <f>IFERROR(__xludf.DUMMYFUNCTION("""COMPUTED_VALUE"""),642.0)</f>
        <v>642</v>
      </c>
      <c r="D1966" s="11">
        <f>IFERROR(__xludf.DUMMYFUNCTION("""COMPUTED_VALUE"""),591.0)</f>
        <v>591</v>
      </c>
      <c r="E1966" s="9"/>
    </row>
    <row r="1967">
      <c r="A1967" s="10">
        <f>IFERROR(__xludf.DUMMYFUNCTION("""COMPUTED_VALUE"""),11796.0)</f>
        <v>11796</v>
      </c>
      <c r="B1967" s="11">
        <f>IFERROR(__xludf.DUMMYFUNCTION("""COMPUTED_VALUE"""),1.0)</f>
        <v>1</v>
      </c>
      <c r="C1967" s="11">
        <f>IFERROR(__xludf.DUMMYFUNCTION("""COMPUTED_VALUE"""),500.0)</f>
        <v>500</v>
      </c>
      <c r="D1967" s="11">
        <f>IFERROR(__xludf.DUMMYFUNCTION("""COMPUTED_VALUE"""),377.0)</f>
        <v>377</v>
      </c>
      <c r="E1967" s="9"/>
    </row>
    <row r="1968">
      <c r="A1968" s="10">
        <f>IFERROR(__xludf.DUMMYFUNCTION("""COMPUTED_VALUE"""),79043.0)</f>
        <v>79043</v>
      </c>
      <c r="B1968" s="11">
        <f>IFERROR(__xludf.DUMMYFUNCTION("""COMPUTED_VALUE"""),1.0)</f>
        <v>1</v>
      </c>
      <c r="C1968" s="11">
        <f>IFERROR(__xludf.DUMMYFUNCTION("""COMPUTED_VALUE"""),168.0)</f>
        <v>168</v>
      </c>
      <c r="D1968" s="11">
        <f>IFERROR(__xludf.DUMMYFUNCTION("""COMPUTED_VALUE"""),1.0)</f>
        <v>1</v>
      </c>
      <c r="E1968" s="9"/>
    </row>
    <row r="1969">
      <c r="A1969" s="10">
        <f>IFERROR(__xludf.DUMMYFUNCTION("""COMPUTED_VALUE"""),89246.0)</f>
        <v>89246</v>
      </c>
      <c r="B1969" s="11">
        <f>IFERROR(__xludf.DUMMYFUNCTION("""COMPUTED_VALUE"""),1.0)</f>
        <v>1</v>
      </c>
      <c r="C1969" s="11">
        <f>IFERROR(__xludf.DUMMYFUNCTION("""COMPUTED_VALUE"""),196.0)</f>
        <v>196</v>
      </c>
      <c r="D1969" s="11">
        <f>IFERROR(__xludf.DUMMYFUNCTION("""COMPUTED_VALUE"""),159.0)</f>
        <v>159</v>
      </c>
      <c r="E1969" s="9"/>
    </row>
    <row r="1970">
      <c r="A1970" s="10">
        <f>IFERROR(__xludf.DUMMYFUNCTION("""COMPUTED_VALUE"""),71275.0)</f>
        <v>71275</v>
      </c>
      <c r="B1970" s="11">
        <f>IFERROR(__xludf.DUMMYFUNCTION("""COMPUTED_VALUE"""),0.0)</f>
        <v>0</v>
      </c>
      <c r="C1970" s="11">
        <f>IFERROR(__xludf.DUMMYFUNCTION("""COMPUTED_VALUE"""),279.0)</f>
        <v>279</v>
      </c>
      <c r="D1970" s="11">
        <f>IFERROR(__xludf.DUMMYFUNCTION("""COMPUTED_VALUE"""),114.0)</f>
        <v>114</v>
      </c>
      <c r="E1970" s="9"/>
    </row>
    <row r="1971">
      <c r="A1971" s="10">
        <f>IFERROR(__xludf.DUMMYFUNCTION("""COMPUTED_VALUE"""),11800.0)</f>
        <v>11800</v>
      </c>
      <c r="B1971" s="11">
        <f>IFERROR(__xludf.DUMMYFUNCTION("""COMPUTED_VALUE"""),0.0)</f>
        <v>0</v>
      </c>
      <c r="C1971" s="11">
        <f>IFERROR(__xludf.DUMMYFUNCTION("""COMPUTED_VALUE"""),715.0)</f>
        <v>715</v>
      </c>
      <c r="D1971" s="11">
        <f>IFERROR(__xludf.DUMMYFUNCTION("""COMPUTED_VALUE"""),507.0)</f>
        <v>507</v>
      </c>
      <c r="E1971" s="9"/>
    </row>
    <row r="1972">
      <c r="A1972" s="10">
        <f>IFERROR(__xludf.DUMMYFUNCTION("""COMPUTED_VALUE"""),11818.0)</f>
        <v>11818</v>
      </c>
      <c r="B1972" s="11">
        <f>IFERROR(__xludf.DUMMYFUNCTION("""COMPUTED_VALUE"""),0.0)</f>
        <v>0</v>
      </c>
      <c r="C1972" s="11">
        <f>IFERROR(__xludf.DUMMYFUNCTION("""COMPUTED_VALUE"""),388.0)</f>
        <v>388</v>
      </c>
      <c r="D1972" s="11">
        <f>IFERROR(__xludf.DUMMYFUNCTION("""COMPUTED_VALUE"""),97.0)</f>
        <v>97</v>
      </c>
      <c r="E1972" s="9"/>
    </row>
    <row r="1973">
      <c r="A1973" s="10">
        <f>IFERROR(__xludf.DUMMYFUNCTION("""COMPUTED_VALUE"""),11795.0)</f>
        <v>11795</v>
      </c>
      <c r="B1973" s="11">
        <f>IFERROR(__xludf.DUMMYFUNCTION("""COMPUTED_VALUE"""),1.0)</f>
        <v>1</v>
      </c>
      <c r="C1973" s="11">
        <f>IFERROR(__xludf.DUMMYFUNCTION("""COMPUTED_VALUE"""),781.0)</f>
        <v>781</v>
      </c>
      <c r="D1973" s="11">
        <f>IFERROR(__xludf.DUMMYFUNCTION("""COMPUTED_VALUE"""),477.0)</f>
        <v>477</v>
      </c>
      <c r="E1973" s="9"/>
    </row>
    <row r="1974">
      <c r="A1974" s="10">
        <f>IFERROR(__xludf.DUMMYFUNCTION("""COMPUTED_VALUE"""),117641.0)</f>
        <v>117641</v>
      </c>
      <c r="B1974" s="11">
        <f>IFERROR(__xludf.DUMMYFUNCTION("""COMPUTED_VALUE"""),0.0)</f>
        <v>0</v>
      </c>
      <c r="C1974" s="11">
        <f>IFERROR(__xludf.DUMMYFUNCTION("""COMPUTED_VALUE"""),795.0)</f>
        <v>795</v>
      </c>
      <c r="D1974" s="11">
        <f>IFERROR(__xludf.DUMMYFUNCTION("""COMPUTED_VALUE"""),705.0)</f>
        <v>705</v>
      </c>
      <c r="E1974" s="9"/>
    </row>
    <row r="1975">
      <c r="A1975" s="10">
        <f>IFERROR(__xludf.DUMMYFUNCTION("""COMPUTED_VALUE"""),82579.0)</f>
        <v>82579</v>
      </c>
      <c r="B1975" s="11">
        <f>IFERROR(__xludf.DUMMYFUNCTION("""COMPUTED_VALUE"""),0.0)</f>
        <v>0</v>
      </c>
      <c r="C1975" s="11">
        <f>IFERROR(__xludf.DUMMYFUNCTION("""COMPUTED_VALUE"""),599.0)</f>
        <v>599</v>
      </c>
      <c r="D1975" s="11">
        <f>IFERROR(__xludf.DUMMYFUNCTION("""COMPUTED_VALUE"""),486.0)</f>
        <v>486</v>
      </c>
      <c r="E1975" s="9"/>
    </row>
    <row r="1976">
      <c r="A1976" s="10">
        <f>IFERROR(__xludf.DUMMYFUNCTION("""COMPUTED_VALUE"""),120153.0)</f>
        <v>120153</v>
      </c>
      <c r="B1976" s="11">
        <f>IFERROR(__xludf.DUMMYFUNCTION("""COMPUTED_VALUE"""),1.0)</f>
        <v>1</v>
      </c>
      <c r="C1976" s="11">
        <f>IFERROR(__xludf.DUMMYFUNCTION("""COMPUTED_VALUE"""),392.0)</f>
        <v>392</v>
      </c>
      <c r="D1976" s="11">
        <f>IFERROR(__xludf.DUMMYFUNCTION("""COMPUTED_VALUE"""),120.0)</f>
        <v>120</v>
      </c>
      <c r="E1976" s="9"/>
    </row>
    <row r="1977">
      <c r="A1977" s="10">
        <f>IFERROR(__xludf.DUMMYFUNCTION("""COMPUTED_VALUE"""),81320.0)</f>
        <v>81320</v>
      </c>
      <c r="B1977" s="11">
        <f>IFERROR(__xludf.DUMMYFUNCTION("""COMPUTED_VALUE"""),0.0)</f>
        <v>0</v>
      </c>
      <c r="C1977" s="11">
        <f>IFERROR(__xludf.DUMMYFUNCTION("""COMPUTED_VALUE"""),500.0)</f>
        <v>500</v>
      </c>
      <c r="D1977" s="11">
        <f>IFERROR(__xludf.DUMMYFUNCTION("""COMPUTED_VALUE"""),429.0)</f>
        <v>429</v>
      </c>
      <c r="E1977" s="9"/>
    </row>
    <row r="1978">
      <c r="A1978" s="10">
        <f>IFERROR(__xludf.DUMMYFUNCTION("""COMPUTED_VALUE"""),121517.0)</f>
        <v>121517</v>
      </c>
      <c r="B1978" s="11">
        <f>IFERROR(__xludf.DUMMYFUNCTION("""COMPUTED_VALUE"""),1.0)</f>
        <v>1</v>
      </c>
      <c r="C1978" s="11">
        <f>IFERROR(__xludf.DUMMYFUNCTION("""COMPUTED_VALUE"""),972.0)</f>
        <v>972</v>
      </c>
      <c r="D1978" s="11">
        <f>IFERROR(__xludf.DUMMYFUNCTION("""COMPUTED_VALUE"""),36.0)</f>
        <v>36</v>
      </c>
      <c r="E1978" s="9"/>
    </row>
    <row r="1979">
      <c r="A1979" s="10">
        <f>IFERROR(__xludf.DUMMYFUNCTION("""COMPUTED_VALUE"""),89276.0)</f>
        <v>89276</v>
      </c>
      <c r="B1979" s="11">
        <f>IFERROR(__xludf.DUMMYFUNCTION("""COMPUTED_VALUE"""),1.0)</f>
        <v>1</v>
      </c>
      <c r="C1979" s="11">
        <f>IFERROR(__xludf.DUMMYFUNCTION("""COMPUTED_VALUE"""),268.0)</f>
        <v>268</v>
      </c>
      <c r="D1979" s="11">
        <f>IFERROR(__xludf.DUMMYFUNCTION("""COMPUTED_VALUE"""),14.0)</f>
        <v>14</v>
      </c>
      <c r="E1979" s="9"/>
    </row>
    <row r="1980">
      <c r="A1980" s="10">
        <f>IFERROR(__xludf.DUMMYFUNCTION("""COMPUTED_VALUE"""),11822.0)</f>
        <v>11822</v>
      </c>
      <c r="B1980" s="11">
        <f>IFERROR(__xludf.DUMMYFUNCTION("""COMPUTED_VALUE"""),1.0)</f>
        <v>1</v>
      </c>
      <c r="C1980" s="11">
        <f>IFERROR(__xludf.DUMMYFUNCTION("""COMPUTED_VALUE"""),524.0)</f>
        <v>524</v>
      </c>
      <c r="D1980" s="11">
        <f>IFERROR(__xludf.DUMMYFUNCTION("""COMPUTED_VALUE"""),242.0)</f>
        <v>242</v>
      </c>
      <c r="E1980" s="9"/>
    </row>
    <row r="1981">
      <c r="A1981" s="10">
        <f>IFERROR(__xludf.DUMMYFUNCTION("""COMPUTED_VALUE"""),11771.0)</f>
        <v>11771</v>
      </c>
      <c r="B1981" s="11">
        <f>IFERROR(__xludf.DUMMYFUNCTION("""COMPUTED_VALUE"""),1.0)</f>
        <v>1</v>
      </c>
      <c r="C1981" s="11">
        <f>IFERROR(__xludf.DUMMYFUNCTION("""COMPUTED_VALUE"""),943.0)</f>
        <v>943</v>
      </c>
      <c r="D1981" s="11">
        <f>IFERROR(__xludf.DUMMYFUNCTION("""COMPUTED_VALUE"""),860.0)</f>
        <v>860</v>
      </c>
      <c r="E1981" s="9"/>
    </row>
    <row r="1982">
      <c r="A1982" s="10">
        <f>IFERROR(__xludf.DUMMYFUNCTION("""COMPUTED_VALUE"""),89295.0)</f>
        <v>89295</v>
      </c>
      <c r="B1982" s="11">
        <f>IFERROR(__xludf.DUMMYFUNCTION("""COMPUTED_VALUE"""),0.0)</f>
        <v>0</v>
      </c>
      <c r="C1982" s="11">
        <f>IFERROR(__xludf.DUMMYFUNCTION("""COMPUTED_VALUE"""),109.0)</f>
        <v>109</v>
      </c>
      <c r="D1982" s="11">
        <f>IFERROR(__xludf.DUMMYFUNCTION("""COMPUTED_VALUE"""),90.0)</f>
        <v>90</v>
      </c>
      <c r="E1982" s="9"/>
    </row>
    <row r="1983">
      <c r="A1983" s="10">
        <f>IFERROR(__xludf.DUMMYFUNCTION("""COMPUTED_VALUE"""),117684.0)</f>
        <v>117684</v>
      </c>
      <c r="B1983" s="11">
        <f>IFERROR(__xludf.DUMMYFUNCTION("""COMPUTED_VALUE"""),1.0)</f>
        <v>1</v>
      </c>
      <c r="C1983" s="11">
        <f>IFERROR(__xludf.DUMMYFUNCTION("""COMPUTED_VALUE"""),228.0)</f>
        <v>228</v>
      </c>
      <c r="D1983" s="11">
        <f>IFERROR(__xludf.DUMMYFUNCTION("""COMPUTED_VALUE"""),147.0)</f>
        <v>147</v>
      </c>
      <c r="E1983" s="9"/>
    </row>
    <row r="1984">
      <c r="A1984" s="10">
        <f>IFERROR(__xludf.DUMMYFUNCTION("""COMPUTED_VALUE"""),11817.0)</f>
        <v>11817</v>
      </c>
      <c r="B1984" s="11">
        <f>IFERROR(__xludf.DUMMYFUNCTION("""COMPUTED_VALUE"""),0.0)</f>
        <v>0</v>
      </c>
      <c r="C1984" s="11">
        <f>IFERROR(__xludf.DUMMYFUNCTION("""COMPUTED_VALUE"""),190.0)</f>
        <v>190</v>
      </c>
      <c r="D1984" s="11">
        <f>IFERROR(__xludf.DUMMYFUNCTION("""COMPUTED_VALUE"""),189.0)</f>
        <v>189</v>
      </c>
      <c r="E1984" s="9"/>
    </row>
    <row r="1985">
      <c r="A1985" s="10">
        <f>IFERROR(__xludf.DUMMYFUNCTION("""COMPUTED_VALUE"""),120697.0)</f>
        <v>120697</v>
      </c>
      <c r="B1985" s="11">
        <f>IFERROR(__xludf.DUMMYFUNCTION("""COMPUTED_VALUE"""),0.0)</f>
        <v>0</v>
      </c>
      <c r="C1985" s="11">
        <f>IFERROR(__xludf.DUMMYFUNCTION("""COMPUTED_VALUE"""),319.0)</f>
        <v>319</v>
      </c>
      <c r="D1985" s="11">
        <f>IFERROR(__xludf.DUMMYFUNCTION("""COMPUTED_VALUE"""),290.0)</f>
        <v>290</v>
      </c>
      <c r="E1985" s="9"/>
    </row>
    <row r="1986">
      <c r="A1986" s="10">
        <f>IFERROR(__xludf.DUMMYFUNCTION("""COMPUTED_VALUE"""),11783.0)</f>
        <v>11783</v>
      </c>
      <c r="B1986" s="11">
        <f>IFERROR(__xludf.DUMMYFUNCTION("""COMPUTED_VALUE"""),1.0)</f>
        <v>1</v>
      </c>
      <c r="C1986" s="11">
        <f>IFERROR(__xludf.DUMMYFUNCTION("""COMPUTED_VALUE"""),675.0)</f>
        <v>675</v>
      </c>
      <c r="D1986" s="11">
        <f>IFERROR(__xludf.DUMMYFUNCTION("""COMPUTED_VALUE"""),90.0)</f>
        <v>90</v>
      </c>
      <c r="E1986" s="9"/>
    </row>
    <row r="1987">
      <c r="A1987" s="10">
        <f>IFERROR(__xludf.DUMMYFUNCTION("""COMPUTED_VALUE"""),11821.0)</f>
        <v>11821</v>
      </c>
      <c r="B1987" s="11">
        <f>IFERROR(__xludf.DUMMYFUNCTION("""COMPUTED_VALUE"""),1.0)</f>
        <v>1</v>
      </c>
      <c r="C1987" s="11">
        <f>IFERROR(__xludf.DUMMYFUNCTION("""COMPUTED_VALUE"""),266.0)</f>
        <v>266</v>
      </c>
      <c r="D1987" s="11">
        <f>IFERROR(__xludf.DUMMYFUNCTION("""COMPUTED_VALUE"""),10.0)</f>
        <v>10</v>
      </c>
      <c r="E1987" s="9"/>
    </row>
    <row r="1988">
      <c r="A1988" s="10">
        <f>IFERROR(__xludf.DUMMYFUNCTION("""COMPUTED_VALUE"""),11814.0)</f>
        <v>11814</v>
      </c>
      <c r="B1988" s="11">
        <f>IFERROR(__xludf.DUMMYFUNCTION("""COMPUTED_VALUE"""),1.0)</f>
        <v>1</v>
      </c>
      <c r="C1988" s="11">
        <f>IFERROR(__xludf.DUMMYFUNCTION("""COMPUTED_VALUE"""),518.0)</f>
        <v>518</v>
      </c>
      <c r="D1988" s="11">
        <f>IFERROR(__xludf.DUMMYFUNCTION("""COMPUTED_VALUE"""),82.0)</f>
        <v>82</v>
      </c>
      <c r="E1988" s="9"/>
    </row>
    <row r="1989">
      <c r="A1989" s="10">
        <f>IFERROR(__xludf.DUMMYFUNCTION("""COMPUTED_VALUE"""),71242.0)</f>
        <v>71242</v>
      </c>
      <c r="B1989" s="11">
        <f>IFERROR(__xludf.DUMMYFUNCTION("""COMPUTED_VALUE"""),1.0)</f>
        <v>1</v>
      </c>
      <c r="C1989" s="11">
        <f>IFERROR(__xludf.DUMMYFUNCTION("""COMPUTED_VALUE"""),700.0)</f>
        <v>700</v>
      </c>
      <c r="D1989" s="11">
        <f>IFERROR(__xludf.DUMMYFUNCTION("""COMPUTED_VALUE"""),618.0)</f>
        <v>618</v>
      </c>
      <c r="E1989" s="9"/>
    </row>
    <row r="1990">
      <c r="A1990" s="10">
        <f>IFERROR(__xludf.DUMMYFUNCTION("""COMPUTED_VALUE"""),120449.0)</f>
        <v>120449</v>
      </c>
      <c r="B1990" s="11">
        <f>IFERROR(__xludf.DUMMYFUNCTION("""COMPUTED_VALUE"""),0.0)</f>
        <v>0</v>
      </c>
      <c r="C1990" s="11">
        <f>IFERROR(__xludf.DUMMYFUNCTION("""COMPUTED_VALUE"""),115.0)</f>
        <v>115</v>
      </c>
      <c r="D1990" s="11">
        <f>IFERROR(__xludf.DUMMYFUNCTION("""COMPUTED_VALUE"""),20.0)</f>
        <v>20</v>
      </c>
      <c r="E1990" s="9"/>
    </row>
    <row r="1991">
      <c r="A1991" s="10">
        <f>IFERROR(__xludf.DUMMYFUNCTION("""COMPUTED_VALUE"""),23682.0)</f>
        <v>23682</v>
      </c>
      <c r="B1991" s="11">
        <f>IFERROR(__xludf.DUMMYFUNCTION("""COMPUTED_VALUE"""),1.0)</f>
        <v>1</v>
      </c>
      <c r="C1991" s="11">
        <f>IFERROR(__xludf.DUMMYFUNCTION("""COMPUTED_VALUE"""),969.0)</f>
        <v>969</v>
      </c>
      <c r="D1991" s="11">
        <f>IFERROR(__xludf.DUMMYFUNCTION("""COMPUTED_VALUE"""),118.0)</f>
        <v>118</v>
      </c>
      <c r="E1991" s="9"/>
    </row>
    <row r="1992">
      <c r="A1992" s="10">
        <f>IFERROR(__xludf.DUMMYFUNCTION("""COMPUTED_VALUE"""),119076.0)</f>
        <v>119076</v>
      </c>
      <c r="B1992" s="11">
        <f>IFERROR(__xludf.DUMMYFUNCTION("""COMPUTED_VALUE"""),0.0)</f>
        <v>0</v>
      </c>
      <c r="C1992" s="11">
        <f>IFERROR(__xludf.DUMMYFUNCTION("""COMPUTED_VALUE"""),171.0)</f>
        <v>171</v>
      </c>
      <c r="D1992" s="11">
        <f>IFERROR(__xludf.DUMMYFUNCTION("""COMPUTED_VALUE"""),31.0)</f>
        <v>31</v>
      </c>
      <c r="E1992" s="9"/>
    </row>
    <row r="1993">
      <c r="A1993" s="10">
        <f>IFERROR(__xludf.DUMMYFUNCTION("""COMPUTED_VALUE"""),9139.0)</f>
        <v>9139</v>
      </c>
      <c r="B1993" s="11">
        <f>IFERROR(__xludf.DUMMYFUNCTION("""COMPUTED_VALUE"""),1.0)</f>
        <v>1</v>
      </c>
      <c r="C1993" s="11">
        <f>IFERROR(__xludf.DUMMYFUNCTION("""COMPUTED_VALUE"""),364.0)</f>
        <v>364</v>
      </c>
      <c r="D1993" s="11">
        <f>IFERROR(__xludf.DUMMYFUNCTION("""COMPUTED_VALUE"""),137.0)</f>
        <v>137</v>
      </c>
      <c r="E1993" s="9"/>
    </row>
    <row r="1994">
      <c r="A1994" s="10">
        <f>IFERROR(__xludf.DUMMYFUNCTION("""COMPUTED_VALUE"""),9138.0)</f>
        <v>9138</v>
      </c>
      <c r="B1994" s="11">
        <f>IFERROR(__xludf.DUMMYFUNCTION("""COMPUTED_VALUE"""),0.0)</f>
        <v>0</v>
      </c>
      <c r="C1994" s="11">
        <f>IFERROR(__xludf.DUMMYFUNCTION("""COMPUTED_VALUE"""),384.0)</f>
        <v>384</v>
      </c>
      <c r="D1994" s="11">
        <f>IFERROR(__xludf.DUMMYFUNCTION("""COMPUTED_VALUE"""),311.0)</f>
        <v>311</v>
      </c>
      <c r="E1994" s="9"/>
    </row>
    <row r="1995">
      <c r="A1995" s="10">
        <f>IFERROR(__xludf.DUMMYFUNCTION("""COMPUTED_VALUE"""),109483.0)</f>
        <v>109483</v>
      </c>
      <c r="B1995" s="11">
        <f>IFERROR(__xludf.DUMMYFUNCTION("""COMPUTED_VALUE"""),1.0)</f>
        <v>1</v>
      </c>
      <c r="C1995" s="11">
        <f>IFERROR(__xludf.DUMMYFUNCTION("""COMPUTED_VALUE"""),753.0)</f>
        <v>753</v>
      </c>
      <c r="D1995" s="11">
        <f>IFERROR(__xludf.DUMMYFUNCTION("""COMPUTED_VALUE"""),436.0)</f>
        <v>436</v>
      </c>
      <c r="E1995" s="9"/>
    </row>
    <row r="1996">
      <c r="A1996" s="10">
        <f>IFERROR(__xludf.DUMMYFUNCTION("""COMPUTED_VALUE"""),120438.0)</f>
        <v>120438</v>
      </c>
      <c r="B1996" s="11">
        <f>IFERROR(__xludf.DUMMYFUNCTION("""COMPUTED_VALUE"""),1.0)</f>
        <v>1</v>
      </c>
      <c r="C1996" s="11">
        <f>IFERROR(__xludf.DUMMYFUNCTION("""COMPUTED_VALUE"""),335.0)</f>
        <v>335</v>
      </c>
      <c r="D1996" s="11">
        <f>IFERROR(__xludf.DUMMYFUNCTION("""COMPUTED_VALUE"""),110.0)</f>
        <v>110</v>
      </c>
      <c r="E1996" s="9"/>
    </row>
    <row r="1997">
      <c r="A1997" s="10">
        <f>IFERROR(__xludf.DUMMYFUNCTION("""COMPUTED_VALUE"""),120439.0)</f>
        <v>120439</v>
      </c>
      <c r="B1997" s="11">
        <f>IFERROR(__xludf.DUMMYFUNCTION("""COMPUTED_VALUE"""),1.0)</f>
        <v>1</v>
      </c>
      <c r="C1997" s="11">
        <f>IFERROR(__xludf.DUMMYFUNCTION("""COMPUTED_VALUE"""),373.0)</f>
        <v>373</v>
      </c>
      <c r="D1997" s="11">
        <f>IFERROR(__xludf.DUMMYFUNCTION("""COMPUTED_VALUE"""),93.0)</f>
        <v>93</v>
      </c>
      <c r="E1997" s="9"/>
    </row>
    <row r="1998">
      <c r="A1998" s="10">
        <f>IFERROR(__xludf.DUMMYFUNCTION("""COMPUTED_VALUE"""),23681.0)</f>
        <v>23681</v>
      </c>
      <c r="B1998" s="11">
        <f>IFERROR(__xludf.DUMMYFUNCTION("""COMPUTED_VALUE"""),1.0)</f>
        <v>1</v>
      </c>
      <c r="C1998" s="11">
        <f>IFERROR(__xludf.DUMMYFUNCTION("""COMPUTED_VALUE"""),765.0)</f>
        <v>765</v>
      </c>
      <c r="D1998" s="11">
        <f>IFERROR(__xludf.DUMMYFUNCTION("""COMPUTED_VALUE"""),480.0)</f>
        <v>480</v>
      </c>
      <c r="E1998" s="9"/>
    </row>
    <row r="1999">
      <c r="A1999" s="10">
        <f>IFERROR(__xludf.DUMMYFUNCTION("""COMPUTED_VALUE"""),89564.0)</f>
        <v>89564</v>
      </c>
      <c r="B1999" s="11">
        <f>IFERROR(__xludf.DUMMYFUNCTION("""COMPUTED_VALUE"""),1.0)</f>
        <v>1</v>
      </c>
      <c r="C1999" s="11">
        <f>IFERROR(__xludf.DUMMYFUNCTION("""COMPUTED_VALUE"""),132.0)</f>
        <v>132</v>
      </c>
      <c r="D1999" s="11">
        <f>IFERROR(__xludf.DUMMYFUNCTION("""COMPUTED_VALUE"""),88.0)</f>
        <v>88</v>
      </c>
      <c r="E1999" s="9"/>
    </row>
    <row r="2000">
      <c r="A2000" s="10">
        <f>IFERROR(__xludf.DUMMYFUNCTION("""COMPUTED_VALUE"""),111962.0)</f>
        <v>111962</v>
      </c>
      <c r="B2000" s="11">
        <f>IFERROR(__xludf.DUMMYFUNCTION("""COMPUTED_VALUE"""),0.0)</f>
        <v>0</v>
      </c>
      <c r="C2000" s="11">
        <f>IFERROR(__xludf.DUMMYFUNCTION("""COMPUTED_VALUE"""),632.0)</f>
        <v>632</v>
      </c>
      <c r="D2000" s="11">
        <f>IFERROR(__xludf.DUMMYFUNCTION("""COMPUTED_VALUE"""),607.0)</f>
        <v>607</v>
      </c>
      <c r="E2000" s="9"/>
    </row>
    <row r="2001">
      <c r="A2001" s="10">
        <f>IFERROR(__xludf.DUMMYFUNCTION("""COMPUTED_VALUE"""),124771.0)</f>
        <v>124771</v>
      </c>
      <c r="B2001" s="11">
        <f>IFERROR(__xludf.DUMMYFUNCTION("""COMPUTED_VALUE"""),1.0)</f>
        <v>1</v>
      </c>
      <c r="C2001" s="11">
        <f>IFERROR(__xludf.DUMMYFUNCTION("""COMPUTED_VALUE"""),81.0)</f>
        <v>81</v>
      </c>
      <c r="D2001" s="11">
        <f>IFERROR(__xludf.DUMMYFUNCTION("""COMPUTED_VALUE"""),36.0)</f>
        <v>36</v>
      </c>
      <c r="E2001" s="9"/>
    </row>
    <row r="2002">
      <c r="A2002" s="10">
        <f>IFERROR(__xludf.DUMMYFUNCTION("""COMPUTED_VALUE"""),120446.0)</f>
        <v>120446</v>
      </c>
      <c r="B2002" s="11">
        <f>IFERROR(__xludf.DUMMYFUNCTION("""COMPUTED_VALUE"""),1.0)</f>
        <v>1</v>
      </c>
      <c r="C2002" s="11">
        <f>IFERROR(__xludf.DUMMYFUNCTION("""COMPUTED_VALUE"""),822.0)</f>
        <v>822</v>
      </c>
      <c r="D2002" s="11">
        <f>IFERROR(__xludf.DUMMYFUNCTION("""COMPUTED_VALUE"""),403.0)</f>
        <v>403</v>
      </c>
      <c r="E2002" s="9"/>
    </row>
    <row r="2003">
      <c r="A2003" s="10">
        <f>IFERROR(__xludf.DUMMYFUNCTION("""COMPUTED_VALUE"""),111973.0)</f>
        <v>111973</v>
      </c>
      <c r="B2003" s="11">
        <f>IFERROR(__xludf.DUMMYFUNCTION("""COMPUTED_VALUE"""),1.0)</f>
        <v>1</v>
      </c>
      <c r="C2003" s="11">
        <f>IFERROR(__xludf.DUMMYFUNCTION("""COMPUTED_VALUE"""),568.0)</f>
        <v>568</v>
      </c>
      <c r="D2003" s="11">
        <f>IFERROR(__xludf.DUMMYFUNCTION("""COMPUTED_VALUE"""),380.0)</f>
        <v>380</v>
      </c>
      <c r="E2003" s="9"/>
    </row>
    <row r="2004">
      <c r="A2004" s="10">
        <f>IFERROR(__xludf.DUMMYFUNCTION("""COMPUTED_VALUE"""),120437.0)</f>
        <v>120437</v>
      </c>
      <c r="B2004" s="11">
        <f>IFERROR(__xludf.DUMMYFUNCTION("""COMPUTED_VALUE"""),0.0)</f>
        <v>0</v>
      </c>
      <c r="C2004" s="11">
        <f>IFERROR(__xludf.DUMMYFUNCTION("""COMPUTED_VALUE"""),131.0)</f>
        <v>131</v>
      </c>
      <c r="D2004" s="11">
        <f>IFERROR(__xludf.DUMMYFUNCTION("""COMPUTED_VALUE"""),47.0)</f>
        <v>47</v>
      </c>
      <c r="E2004" s="9"/>
    </row>
    <row r="2005">
      <c r="A2005" s="10">
        <f>IFERROR(__xludf.DUMMYFUNCTION("""COMPUTED_VALUE"""),124769.0)</f>
        <v>124769</v>
      </c>
      <c r="B2005" s="11">
        <f>IFERROR(__xludf.DUMMYFUNCTION("""COMPUTED_VALUE"""),1.0)</f>
        <v>1</v>
      </c>
      <c r="C2005" s="11">
        <f>IFERROR(__xludf.DUMMYFUNCTION("""COMPUTED_VALUE"""),393.0)</f>
        <v>393</v>
      </c>
      <c r="D2005" s="11">
        <f>IFERROR(__xludf.DUMMYFUNCTION("""COMPUTED_VALUE"""),122.0)</f>
        <v>122</v>
      </c>
      <c r="E2005" s="9"/>
    </row>
    <row r="2006">
      <c r="A2006" s="10">
        <f>IFERROR(__xludf.DUMMYFUNCTION("""COMPUTED_VALUE"""),111972.0)</f>
        <v>111972</v>
      </c>
      <c r="B2006" s="11">
        <f>IFERROR(__xludf.DUMMYFUNCTION("""COMPUTED_VALUE"""),0.0)</f>
        <v>0</v>
      </c>
      <c r="C2006" s="11">
        <f>IFERROR(__xludf.DUMMYFUNCTION("""COMPUTED_VALUE"""),144.0)</f>
        <v>144</v>
      </c>
      <c r="D2006" s="11">
        <f>IFERROR(__xludf.DUMMYFUNCTION("""COMPUTED_VALUE"""),114.0)</f>
        <v>114</v>
      </c>
      <c r="E2006" s="9"/>
    </row>
    <row r="2007">
      <c r="A2007" s="10">
        <f>IFERROR(__xludf.DUMMYFUNCTION("""COMPUTED_VALUE"""),47390.0)</f>
        <v>47390</v>
      </c>
      <c r="B2007" s="11">
        <f>IFERROR(__xludf.DUMMYFUNCTION("""COMPUTED_VALUE"""),0.0)</f>
        <v>0</v>
      </c>
      <c r="C2007" s="11">
        <f>IFERROR(__xludf.DUMMYFUNCTION("""COMPUTED_VALUE"""),958.0)</f>
        <v>958</v>
      </c>
      <c r="D2007" s="11">
        <f>IFERROR(__xludf.DUMMYFUNCTION("""COMPUTED_VALUE"""),119.0)</f>
        <v>119</v>
      </c>
      <c r="E2007" s="9"/>
    </row>
    <row r="2008">
      <c r="A2008" s="10">
        <f>IFERROR(__xludf.DUMMYFUNCTION("""COMPUTED_VALUE"""),27047.0)</f>
        <v>27047</v>
      </c>
      <c r="B2008" s="11">
        <f>IFERROR(__xludf.DUMMYFUNCTION("""COMPUTED_VALUE"""),0.0)</f>
        <v>0</v>
      </c>
      <c r="C2008" s="11">
        <f>IFERROR(__xludf.DUMMYFUNCTION("""COMPUTED_VALUE"""),345.0)</f>
        <v>345</v>
      </c>
      <c r="D2008" s="11">
        <f>IFERROR(__xludf.DUMMYFUNCTION("""COMPUTED_VALUE"""),66.0)</f>
        <v>66</v>
      </c>
      <c r="E2008" s="9"/>
    </row>
    <row r="2009">
      <c r="A2009" s="10">
        <f>IFERROR(__xludf.DUMMYFUNCTION("""COMPUTED_VALUE"""),68713.0)</f>
        <v>68713</v>
      </c>
      <c r="B2009" s="11">
        <f>IFERROR(__xludf.DUMMYFUNCTION("""COMPUTED_VALUE"""),1.0)</f>
        <v>1</v>
      </c>
      <c r="C2009" s="11">
        <f>IFERROR(__xludf.DUMMYFUNCTION("""COMPUTED_VALUE"""),600.0)</f>
        <v>600</v>
      </c>
      <c r="D2009" s="11">
        <f>IFERROR(__xludf.DUMMYFUNCTION("""COMPUTED_VALUE"""),551.0)</f>
        <v>551</v>
      </c>
      <c r="E2009" s="9"/>
    </row>
    <row r="2010">
      <c r="A2010" s="10">
        <f>IFERROR(__xludf.DUMMYFUNCTION("""COMPUTED_VALUE"""),120568.0)</f>
        <v>120568</v>
      </c>
      <c r="B2010" s="11">
        <f>IFERROR(__xludf.DUMMYFUNCTION("""COMPUTED_VALUE"""),1.0)</f>
        <v>1</v>
      </c>
      <c r="C2010" s="11">
        <f>IFERROR(__xludf.DUMMYFUNCTION("""COMPUTED_VALUE"""),960.0)</f>
        <v>960</v>
      </c>
      <c r="D2010" s="11">
        <f>IFERROR(__xludf.DUMMYFUNCTION("""COMPUTED_VALUE"""),38.0)</f>
        <v>38</v>
      </c>
      <c r="E2010" s="9"/>
    </row>
    <row r="2011">
      <c r="A2011" s="10">
        <f>IFERROR(__xludf.DUMMYFUNCTION("""COMPUTED_VALUE"""),120567.0)</f>
        <v>120567</v>
      </c>
      <c r="B2011" s="11">
        <f>IFERROR(__xludf.DUMMYFUNCTION("""COMPUTED_VALUE"""),1.0)</f>
        <v>1</v>
      </c>
      <c r="C2011" s="11">
        <f>IFERROR(__xludf.DUMMYFUNCTION("""COMPUTED_VALUE"""),671.0)</f>
        <v>671</v>
      </c>
      <c r="D2011" s="11">
        <f>IFERROR(__xludf.DUMMYFUNCTION("""COMPUTED_VALUE"""),45.0)</f>
        <v>45</v>
      </c>
      <c r="E2011" s="9"/>
    </row>
    <row r="2012">
      <c r="A2012" s="10">
        <f>IFERROR(__xludf.DUMMYFUNCTION("""COMPUTED_VALUE"""),77038.0)</f>
        <v>77038</v>
      </c>
      <c r="B2012" s="11">
        <f>IFERROR(__xludf.DUMMYFUNCTION("""COMPUTED_VALUE"""),1.0)</f>
        <v>1</v>
      </c>
      <c r="C2012" s="11">
        <f>IFERROR(__xludf.DUMMYFUNCTION("""COMPUTED_VALUE"""),595.0)</f>
        <v>595</v>
      </c>
      <c r="D2012" s="11">
        <f>IFERROR(__xludf.DUMMYFUNCTION("""COMPUTED_VALUE"""),481.0)</f>
        <v>481</v>
      </c>
      <c r="E2012" s="9"/>
    </row>
    <row r="2013">
      <c r="A2013" s="10">
        <f>IFERROR(__xludf.DUMMYFUNCTION("""COMPUTED_VALUE"""),87760.0)</f>
        <v>87760</v>
      </c>
      <c r="B2013" s="11">
        <f>IFERROR(__xludf.DUMMYFUNCTION("""COMPUTED_VALUE"""),1.0)</f>
        <v>1</v>
      </c>
      <c r="C2013" s="11">
        <f>IFERROR(__xludf.DUMMYFUNCTION("""COMPUTED_VALUE"""),879.0)</f>
        <v>879</v>
      </c>
      <c r="D2013" s="11">
        <f>IFERROR(__xludf.DUMMYFUNCTION("""COMPUTED_VALUE"""),333.0)</f>
        <v>333</v>
      </c>
      <c r="E2013" s="9"/>
    </row>
    <row r="2014">
      <c r="A2014" s="10">
        <f>IFERROR(__xludf.DUMMYFUNCTION("""COMPUTED_VALUE"""),122612.0)</f>
        <v>122612</v>
      </c>
      <c r="B2014" s="11">
        <f>IFERROR(__xludf.DUMMYFUNCTION("""COMPUTED_VALUE"""),0.0)</f>
        <v>0</v>
      </c>
      <c r="C2014" s="11">
        <f>IFERROR(__xludf.DUMMYFUNCTION("""COMPUTED_VALUE"""),464.0)</f>
        <v>464</v>
      </c>
      <c r="D2014" s="11">
        <f>IFERROR(__xludf.DUMMYFUNCTION("""COMPUTED_VALUE"""),226.0)</f>
        <v>226</v>
      </c>
      <c r="E2014" s="9"/>
    </row>
    <row r="2015">
      <c r="A2015" s="10">
        <f>IFERROR(__xludf.DUMMYFUNCTION("""COMPUTED_VALUE"""),110655.0)</f>
        <v>110655</v>
      </c>
      <c r="B2015" s="11">
        <f>IFERROR(__xludf.DUMMYFUNCTION("""COMPUTED_VALUE"""),1.0)</f>
        <v>1</v>
      </c>
      <c r="C2015" s="11">
        <f>IFERROR(__xludf.DUMMYFUNCTION("""COMPUTED_VALUE"""),205.0)</f>
        <v>205</v>
      </c>
      <c r="D2015" s="11">
        <f>IFERROR(__xludf.DUMMYFUNCTION("""COMPUTED_VALUE"""),196.0)</f>
        <v>196</v>
      </c>
      <c r="E2015" s="9"/>
    </row>
    <row r="2016">
      <c r="A2016" s="10">
        <f>IFERROR(__xludf.DUMMYFUNCTION("""COMPUTED_VALUE"""),87785.0)</f>
        <v>87785</v>
      </c>
      <c r="B2016" s="11">
        <f>IFERROR(__xludf.DUMMYFUNCTION("""COMPUTED_VALUE"""),0.0)</f>
        <v>0</v>
      </c>
      <c r="C2016" s="11">
        <f>IFERROR(__xludf.DUMMYFUNCTION("""COMPUTED_VALUE"""),333.0)</f>
        <v>333</v>
      </c>
      <c r="D2016" s="11">
        <f>IFERROR(__xludf.DUMMYFUNCTION("""COMPUTED_VALUE"""),271.0)</f>
        <v>271</v>
      </c>
      <c r="E2016" s="9"/>
    </row>
    <row r="2017">
      <c r="A2017" s="10">
        <f>IFERROR(__xludf.DUMMYFUNCTION("""COMPUTED_VALUE"""),122629.0)</f>
        <v>122629</v>
      </c>
      <c r="B2017" s="11">
        <f>IFERROR(__xludf.DUMMYFUNCTION("""COMPUTED_VALUE"""),1.0)</f>
        <v>1</v>
      </c>
      <c r="C2017" s="11">
        <f>IFERROR(__xludf.DUMMYFUNCTION("""COMPUTED_VALUE"""),138.0)</f>
        <v>138</v>
      </c>
      <c r="D2017" s="11">
        <f>IFERROR(__xludf.DUMMYFUNCTION("""COMPUTED_VALUE"""),135.0)</f>
        <v>135</v>
      </c>
      <c r="E2017" s="9"/>
    </row>
    <row r="2018">
      <c r="A2018" s="10">
        <f>IFERROR(__xludf.DUMMYFUNCTION("""COMPUTED_VALUE"""),122614.0)</f>
        <v>122614</v>
      </c>
      <c r="B2018" s="11">
        <f>IFERROR(__xludf.DUMMYFUNCTION("""COMPUTED_VALUE"""),1.0)</f>
        <v>1</v>
      </c>
      <c r="C2018" s="11">
        <f>IFERROR(__xludf.DUMMYFUNCTION("""COMPUTED_VALUE"""),922.0)</f>
        <v>922</v>
      </c>
      <c r="D2018" s="11">
        <f>IFERROR(__xludf.DUMMYFUNCTION("""COMPUTED_VALUE"""),684.0)</f>
        <v>684</v>
      </c>
      <c r="E2018" s="9"/>
    </row>
    <row r="2019">
      <c r="A2019" s="10">
        <f>IFERROR(__xludf.DUMMYFUNCTION("""COMPUTED_VALUE"""),122788.0)</f>
        <v>122788</v>
      </c>
      <c r="B2019" s="11">
        <f>IFERROR(__xludf.DUMMYFUNCTION("""COMPUTED_VALUE"""),1.0)</f>
        <v>1</v>
      </c>
      <c r="C2019" s="11">
        <f>IFERROR(__xludf.DUMMYFUNCTION("""COMPUTED_VALUE"""),146.0)</f>
        <v>146</v>
      </c>
      <c r="D2019" s="11">
        <f>IFERROR(__xludf.DUMMYFUNCTION("""COMPUTED_VALUE"""),137.0)</f>
        <v>137</v>
      </c>
      <c r="E2019" s="9"/>
    </row>
    <row r="2020">
      <c r="A2020" s="10">
        <f>IFERROR(__xludf.DUMMYFUNCTION("""COMPUTED_VALUE"""),20226.0)</f>
        <v>20226</v>
      </c>
      <c r="B2020" s="11">
        <f>IFERROR(__xludf.DUMMYFUNCTION("""COMPUTED_VALUE"""),1.0)</f>
        <v>1</v>
      </c>
      <c r="C2020" s="11">
        <f>IFERROR(__xludf.DUMMYFUNCTION("""COMPUTED_VALUE"""),165.0)</f>
        <v>165</v>
      </c>
      <c r="D2020" s="11">
        <f>IFERROR(__xludf.DUMMYFUNCTION("""COMPUTED_VALUE"""),29.0)</f>
        <v>29</v>
      </c>
      <c r="E2020" s="9"/>
    </row>
    <row r="2021">
      <c r="A2021" s="10">
        <f>IFERROR(__xludf.DUMMYFUNCTION("""COMPUTED_VALUE"""),120894.0)</f>
        <v>120894</v>
      </c>
      <c r="B2021" s="11">
        <f>IFERROR(__xludf.DUMMYFUNCTION("""COMPUTED_VALUE"""),1.0)</f>
        <v>1</v>
      </c>
      <c r="C2021" s="11">
        <f>IFERROR(__xludf.DUMMYFUNCTION("""COMPUTED_VALUE"""),78.0)</f>
        <v>78</v>
      </c>
      <c r="D2021" s="11">
        <f>IFERROR(__xludf.DUMMYFUNCTION("""COMPUTED_VALUE"""),13.0)</f>
        <v>13</v>
      </c>
      <c r="E2021" s="9"/>
    </row>
    <row r="2022">
      <c r="A2022" s="10">
        <f>IFERROR(__xludf.DUMMYFUNCTION("""COMPUTED_VALUE"""),46762.0)</f>
        <v>46762</v>
      </c>
      <c r="B2022" s="11">
        <f>IFERROR(__xludf.DUMMYFUNCTION("""COMPUTED_VALUE"""),0.0)</f>
        <v>0</v>
      </c>
      <c r="C2022" s="11">
        <f>IFERROR(__xludf.DUMMYFUNCTION("""COMPUTED_VALUE"""),670.0)</f>
        <v>670</v>
      </c>
      <c r="D2022" s="11">
        <f>IFERROR(__xludf.DUMMYFUNCTION("""COMPUTED_VALUE"""),39.0)</f>
        <v>39</v>
      </c>
      <c r="E2022" s="9"/>
    </row>
    <row r="2023">
      <c r="A2023" s="10">
        <f>IFERROR(__xludf.DUMMYFUNCTION("""COMPUTED_VALUE"""),118212.0)</f>
        <v>118212</v>
      </c>
      <c r="B2023" s="11">
        <f>IFERROR(__xludf.DUMMYFUNCTION("""COMPUTED_VALUE"""),0.0)</f>
        <v>0</v>
      </c>
      <c r="C2023" s="11">
        <f>IFERROR(__xludf.DUMMYFUNCTION("""COMPUTED_VALUE"""),695.0)</f>
        <v>695</v>
      </c>
      <c r="D2023" s="11">
        <f>IFERROR(__xludf.DUMMYFUNCTION("""COMPUTED_VALUE"""),306.0)</f>
        <v>306</v>
      </c>
      <c r="E2023" s="9"/>
    </row>
    <row r="2024">
      <c r="A2024" s="10">
        <f>IFERROR(__xludf.DUMMYFUNCTION("""COMPUTED_VALUE"""),150950.0)</f>
        <v>150950</v>
      </c>
      <c r="B2024" s="11">
        <f>IFERROR(__xludf.DUMMYFUNCTION("""COMPUTED_VALUE"""),1.0)</f>
        <v>1</v>
      </c>
      <c r="C2024" s="11">
        <f>IFERROR(__xludf.DUMMYFUNCTION("""COMPUTED_VALUE"""),140.0)</f>
        <v>140</v>
      </c>
      <c r="D2024" s="11">
        <f>IFERROR(__xludf.DUMMYFUNCTION("""COMPUTED_VALUE"""),69.0)</f>
        <v>69</v>
      </c>
      <c r="E2024" s="9"/>
    </row>
    <row r="2025">
      <c r="A2025" s="10">
        <f>IFERROR(__xludf.DUMMYFUNCTION("""COMPUTED_VALUE"""),190106.0)</f>
        <v>190106</v>
      </c>
      <c r="B2025" s="11">
        <f>IFERROR(__xludf.DUMMYFUNCTION("""COMPUTED_VALUE"""),1.0)</f>
        <v>1</v>
      </c>
      <c r="C2025" s="11">
        <f>IFERROR(__xludf.DUMMYFUNCTION("""COMPUTED_VALUE"""),831.0)</f>
        <v>831</v>
      </c>
      <c r="D2025" s="11">
        <f>IFERROR(__xludf.DUMMYFUNCTION("""COMPUTED_VALUE"""),200.0)</f>
        <v>200</v>
      </c>
      <c r="E2025" s="9"/>
    </row>
    <row r="2026">
      <c r="A2026" s="10">
        <f>IFERROR(__xludf.DUMMYFUNCTION("""COMPUTED_VALUE"""),79810.0)</f>
        <v>79810</v>
      </c>
      <c r="B2026" s="11">
        <f>IFERROR(__xludf.DUMMYFUNCTION("""COMPUTED_VALUE"""),1.0)</f>
        <v>1</v>
      </c>
      <c r="C2026" s="11">
        <f>IFERROR(__xludf.DUMMYFUNCTION("""COMPUTED_VALUE"""),37.0)</f>
        <v>37</v>
      </c>
      <c r="D2026" s="11">
        <f>IFERROR(__xludf.DUMMYFUNCTION("""COMPUTED_VALUE"""),17.0)</f>
        <v>17</v>
      </c>
      <c r="E2026" s="9"/>
    </row>
    <row r="2027">
      <c r="A2027" s="10">
        <f>IFERROR(__xludf.DUMMYFUNCTION("""COMPUTED_VALUE"""),82459.0)</f>
        <v>82459</v>
      </c>
      <c r="B2027" s="11">
        <f>IFERROR(__xludf.DUMMYFUNCTION("""COMPUTED_VALUE"""),0.0)</f>
        <v>0</v>
      </c>
      <c r="C2027" s="11">
        <f>IFERROR(__xludf.DUMMYFUNCTION("""COMPUTED_VALUE"""),701.0)</f>
        <v>701</v>
      </c>
      <c r="D2027" s="11">
        <f>IFERROR(__xludf.DUMMYFUNCTION("""COMPUTED_VALUE"""),565.0)</f>
        <v>565</v>
      </c>
      <c r="E2027" s="9"/>
    </row>
    <row r="2028">
      <c r="A2028" s="10">
        <f>IFERROR(__xludf.DUMMYFUNCTION("""COMPUTED_VALUE"""),49360.0)</f>
        <v>49360</v>
      </c>
      <c r="B2028" s="11">
        <f>IFERROR(__xludf.DUMMYFUNCTION("""COMPUTED_VALUE"""),1.0)</f>
        <v>1</v>
      </c>
      <c r="C2028" s="11">
        <f>IFERROR(__xludf.DUMMYFUNCTION("""COMPUTED_VALUE"""),787.0)</f>
        <v>787</v>
      </c>
      <c r="D2028" s="11">
        <f>IFERROR(__xludf.DUMMYFUNCTION("""COMPUTED_VALUE"""),229.0)</f>
        <v>229</v>
      </c>
      <c r="E2028" s="9"/>
    </row>
    <row r="2029">
      <c r="A2029" s="10">
        <f>IFERROR(__xludf.DUMMYFUNCTION("""COMPUTED_VALUE"""),194507.0)</f>
        <v>194507</v>
      </c>
      <c r="B2029" s="11">
        <f>IFERROR(__xludf.DUMMYFUNCTION("""COMPUTED_VALUE"""),0.0)</f>
        <v>0</v>
      </c>
      <c r="C2029" s="11">
        <f>IFERROR(__xludf.DUMMYFUNCTION("""COMPUTED_VALUE"""),388.0)</f>
        <v>388</v>
      </c>
      <c r="D2029" s="11">
        <f>IFERROR(__xludf.DUMMYFUNCTION("""COMPUTED_VALUE"""),114.0)</f>
        <v>114</v>
      </c>
      <c r="E2029" s="9"/>
    </row>
    <row r="2030">
      <c r="A2030" s="10">
        <f>IFERROR(__xludf.DUMMYFUNCTION("""COMPUTED_VALUE"""),82453.0)</f>
        <v>82453</v>
      </c>
      <c r="B2030" s="11">
        <f>IFERROR(__xludf.DUMMYFUNCTION("""COMPUTED_VALUE"""),1.0)</f>
        <v>1</v>
      </c>
      <c r="C2030" s="11">
        <f>IFERROR(__xludf.DUMMYFUNCTION("""COMPUTED_VALUE"""),394.0)</f>
        <v>394</v>
      </c>
      <c r="D2030" s="11">
        <f>IFERROR(__xludf.DUMMYFUNCTION("""COMPUTED_VALUE"""),278.0)</f>
        <v>278</v>
      </c>
      <c r="E2030" s="9"/>
    </row>
    <row r="2031">
      <c r="A2031" s="10">
        <f>IFERROR(__xludf.DUMMYFUNCTION("""COMPUTED_VALUE"""),79669.0)</f>
        <v>79669</v>
      </c>
      <c r="B2031" s="11">
        <f>IFERROR(__xludf.DUMMYFUNCTION("""COMPUTED_VALUE"""),1.0)</f>
        <v>1</v>
      </c>
      <c r="C2031" s="11">
        <f>IFERROR(__xludf.DUMMYFUNCTION("""COMPUTED_VALUE"""),488.0)</f>
        <v>488</v>
      </c>
      <c r="D2031" s="11">
        <f>IFERROR(__xludf.DUMMYFUNCTION("""COMPUTED_VALUE"""),386.0)</f>
        <v>386</v>
      </c>
      <c r="E2031" s="9"/>
    </row>
    <row r="2032">
      <c r="A2032" s="10">
        <f>IFERROR(__xludf.DUMMYFUNCTION("""COMPUTED_VALUE"""),122294.0)</f>
        <v>122294</v>
      </c>
      <c r="B2032" s="11">
        <f>IFERROR(__xludf.DUMMYFUNCTION("""COMPUTED_VALUE"""),0.0)</f>
        <v>0</v>
      </c>
      <c r="C2032" s="11">
        <f>IFERROR(__xludf.DUMMYFUNCTION("""COMPUTED_VALUE"""),850.0)</f>
        <v>850</v>
      </c>
      <c r="D2032" s="11">
        <f>IFERROR(__xludf.DUMMYFUNCTION("""COMPUTED_VALUE"""),789.0)</f>
        <v>789</v>
      </c>
      <c r="E2032" s="9"/>
    </row>
    <row r="2033">
      <c r="A2033" s="10">
        <f>IFERROR(__xludf.DUMMYFUNCTION("""COMPUTED_VALUE"""),73245.0)</f>
        <v>73245</v>
      </c>
      <c r="B2033" s="11">
        <f>IFERROR(__xludf.DUMMYFUNCTION("""COMPUTED_VALUE"""),0.0)</f>
        <v>0</v>
      </c>
      <c r="C2033" s="11">
        <f>IFERROR(__xludf.DUMMYFUNCTION("""COMPUTED_VALUE"""),37.0)</f>
        <v>37</v>
      </c>
      <c r="D2033" s="11">
        <f>IFERROR(__xludf.DUMMYFUNCTION("""COMPUTED_VALUE"""),37.0)</f>
        <v>37</v>
      </c>
      <c r="E2033" s="9"/>
    </row>
    <row r="2034">
      <c r="A2034" s="10">
        <f>IFERROR(__xludf.DUMMYFUNCTION("""COMPUTED_VALUE"""),122082.0)</f>
        <v>122082</v>
      </c>
      <c r="B2034" s="11">
        <f>IFERROR(__xludf.DUMMYFUNCTION("""COMPUTED_VALUE"""),0.0)</f>
        <v>0</v>
      </c>
      <c r="C2034" s="11">
        <f>IFERROR(__xludf.DUMMYFUNCTION("""COMPUTED_VALUE"""),674.0)</f>
        <v>674</v>
      </c>
      <c r="D2034" s="11">
        <f>IFERROR(__xludf.DUMMYFUNCTION("""COMPUTED_VALUE"""),269.0)</f>
        <v>269</v>
      </c>
      <c r="E2034" s="9"/>
    </row>
    <row r="2035">
      <c r="A2035" s="10">
        <f>IFERROR(__xludf.DUMMYFUNCTION("""COMPUTED_VALUE"""),194501.0)</f>
        <v>194501</v>
      </c>
      <c r="B2035" s="11">
        <f>IFERROR(__xludf.DUMMYFUNCTION("""COMPUTED_VALUE"""),0.0)</f>
        <v>0</v>
      </c>
      <c r="C2035" s="11">
        <f>IFERROR(__xludf.DUMMYFUNCTION("""COMPUTED_VALUE"""),380.0)</f>
        <v>380</v>
      </c>
      <c r="D2035" s="11">
        <f>IFERROR(__xludf.DUMMYFUNCTION("""COMPUTED_VALUE"""),151.0)</f>
        <v>151</v>
      </c>
      <c r="E2035" s="9"/>
    </row>
    <row r="2036">
      <c r="A2036" s="10">
        <f>IFERROR(__xludf.DUMMYFUNCTION("""COMPUTED_VALUE"""),79105.0)</f>
        <v>79105</v>
      </c>
      <c r="B2036" s="11">
        <f>IFERROR(__xludf.DUMMYFUNCTION("""COMPUTED_VALUE"""),1.0)</f>
        <v>1</v>
      </c>
      <c r="C2036" s="11">
        <f>IFERROR(__xludf.DUMMYFUNCTION("""COMPUTED_VALUE"""),771.0)</f>
        <v>771</v>
      </c>
      <c r="D2036" s="11">
        <f>IFERROR(__xludf.DUMMYFUNCTION("""COMPUTED_VALUE"""),88.0)</f>
        <v>88</v>
      </c>
      <c r="E2036" s="9"/>
    </row>
    <row r="2037">
      <c r="A2037" s="10">
        <f>IFERROR(__xludf.DUMMYFUNCTION("""COMPUTED_VALUE"""),87769.0)</f>
        <v>87769</v>
      </c>
      <c r="B2037" s="11">
        <f>IFERROR(__xludf.DUMMYFUNCTION("""COMPUTED_VALUE"""),1.0)</f>
        <v>1</v>
      </c>
      <c r="C2037" s="11">
        <f>IFERROR(__xludf.DUMMYFUNCTION("""COMPUTED_VALUE"""),593.0)</f>
        <v>593</v>
      </c>
      <c r="D2037" s="11">
        <f>IFERROR(__xludf.DUMMYFUNCTION("""COMPUTED_VALUE"""),81.0)</f>
        <v>81</v>
      </c>
      <c r="E2037" s="9"/>
    </row>
    <row r="2038">
      <c r="A2038" s="10">
        <f>IFERROR(__xludf.DUMMYFUNCTION("""COMPUTED_VALUE"""),9734.0)</f>
        <v>9734</v>
      </c>
      <c r="B2038" s="11">
        <f>IFERROR(__xludf.DUMMYFUNCTION("""COMPUTED_VALUE"""),0.0)</f>
        <v>0</v>
      </c>
      <c r="C2038" s="11">
        <f>IFERROR(__xludf.DUMMYFUNCTION("""COMPUTED_VALUE"""),977.0)</f>
        <v>977</v>
      </c>
      <c r="D2038" s="11">
        <f>IFERROR(__xludf.DUMMYFUNCTION("""COMPUTED_VALUE"""),951.0)</f>
        <v>951</v>
      </c>
      <c r="E2038" s="9"/>
    </row>
    <row r="2039">
      <c r="A2039" s="10">
        <f>IFERROR(__xludf.DUMMYFUNCTION("""COMPUTED_VALUE"""),149615.0)</f>
        <v>149615</v>
      </c>
      <c r="B2039" s="11">
        <f>IFERROR(__xludf.DUMMYFUNCTION("""COMPUTED_VALUE"""),1.0)</f>
        <v>1</v>
      </c>
      <c r="C2039" s="11">
        <f>IFERROR(__xludf.DUMMYFUNCTION("""COMPUTED_VALUE"""),860.0)</f>
        <v>860</v>
      </c>
      <c r="D2039" s="11">
        <f>IFERROR(__xludf.DUMMYFUNCTION("""COMPUTED_VALUE"""),314.0)</f>
        <v>314</v>
      </c>
      <c r="E2039" s="9"/>
    </row>
    <row r="2040">
      <c r="A2040" s="10">
        <f>IFERROR(__xludf.DUMMYFUNCTION("""COMPUTED_VALUE"""),108966.0)</f>
        <v>108966</v>
      </c>
      <c r="B2040" s="11">
        <f>IFERROR(__xludf.DUMMYFUNCTION("""COMPUTED_VALUE"""),1.0)</f>
        <v>1</v>
      </c>
      <c r="C2040" s="11">
        <f>IFERROR(__xludf.DUMMYFUNCTION("""COMPUTED_VALUE"""),880.0)</f>
        <v>880</v>
      </c>
      <c r="D2040" s="11">
        <f>IFERROR(__xludf.DUMMYFUNCTION("""COMPUTED_VALUE"""),178.0)</f>
        <v>178</v>
      </c>
      <c r="E2040" s="9"/>
    </row>
    <row r="2041">
      <c r="A2041" s="10">
        <f>IFERROR(__xludf.DUMMYFUNCTION("""COMPUTED_VALUE"""),116943.0)</f>
        <v>116943</v>
      </c>
      <c r="B2041" s="11">
        <f>IFERROR(__xludf.DUMMYFUNCTION("""COMPUTED_VALUE"""),1.0)</f>
        <v>1</v>
      </c>
      <c r="C2041" s="11">
        <f>IFERROR(__xludf.DUMMYFUNCTION("""COMPUTED_VALUE"""),268.0)</f>
        <v>268</v>
      </c>
      <c r="D2041" s="11">
        <f>IFERROR(__xludf.DUMMYFUNCTION("""COMPUTED_VALUE"""),119.0)</f>
        <v>119</v>
      </c>
      <c r="E2041" s="9"/>
    </row>
    <row r="2042">
      <c r="A2042" s="10">
        <f>IFERROR(__xludf.DUMMYFUNCTION("""COMPUTED_VALUE"""),46769.0)</f>
        <v>46769</v>
      </c>
      <c r="B2042" s="11">
        <f>IFERROR(__xludf.DUMMYFUNCTION("""COMPUTED_VALUE"""),0.0)</f>
        <v>0</v>
      </c>
      <c r="C2042" s="11">
        <f>IFERROR(__xludf.DUMMYFUNCTION("""COMPUTED_VALUE"""),260.0)</f>
        <v>260</v>
      </c>
      <c r="D2042" s="11">
        <f>IFERROR(__xludf.DUMMYFUNCTION("""COMPUTED_VALUE"""),123.0)</f>
        <v>123</v>
      </c>
      <c r="E2042" s="9"/>
    </row>
    <row r="2043">
      <c r="A2043" s="10">
        <f>IFERROR(__xludf.DUMMYFUNCTION("""COMPUTED_VALUE"""),87766.0)</f>
        <v>87766</v>
      </c>
      <c r="B2043" s="11">
        <f>IFERROR(__xludf.DUMMYFUNCTION("""COMPUTED_VALUE"""),1.0)</f>
        <v>1</v>
      </c>
      <c r="C2043" s="11">
        <f>IFERROR(__xludf.DUMMYFUNCTION("""COMPUTED_VALUE"""),655.0)</f>
        <v>655</v>
      </c>
      <c r="D2043" s="11">
        <f>IFERROR(__xludf.DUMMYFUNCTION("""COMPUTED_VALUE"""),54.0)</f>
        <v>54</v>
      </c>
      <c r="E2043" s="9"/>
    </row>
    <row r="2044">
      <c r="A2044" s="10">
        <f>IFERROR(__xludf.DUMMYFUNCTION("""COMPUTED_VALUE"""),110701.0)</f>
        <v>110701</v>
      </c>
      <c r="B2044" s="11">
        <f>IFERROR(__xludf.DUMMYFUNCTION("""COMPUTED_VALUE"""),1.0)</f>
        <v>1</v>
      </c>
      <c r="C2044" s="11">
        <f>IFERROR(__xludf.DUMMYFUNCTION("""COMPUTED_VALUE"""),648.0)</f>
        <v>648</v>
      </c>
      <c r="D2044" s="11">
        <f>IFERROR(__xludf.DUMMYFUNCTION("""COMPUTED_VALUE"""),46.0)</f>
        <v>46</v>
      </c>
      <c r="E2044" s="9"/>
    </row>
    <row r="2045">
      <c r="A2045" s="10">
        <f>IFERROR(__xludf.DUMMYFUNCTION("""COMPUTED_VALUE"""),4205.0)</f>
        <v>4205</v>
      </c>
      <c r="B2045" s="11">
        <f>IFERROR(__xludf.DUMMYFUNCTION("""COMPUTED_VALUE"""),1.0)</f>
        <v>1</v>
      </c>
      <c r="C2045" s="11">
        <f>IFERROR(__xludf.DUMMYFUNCTION("""COMPUTED_VALUE"""),204.0)</f>
        <v>204</v>
      </c>
      <c r="D2045" s="11">
        <f>IFERROR(__xludf.DUMMYFUNCTION("""COMPUTED_VALUE"""),174.0)</f>
        <v>174</v>
      </c>
      <c r="E2045" s="9"/>
    </row>
    <row r="2046">
      <c r="A2046" s="10">
        <f>IFERROR(__xludf.DUMMYFUNCTION("""COMPUTED_VALUE"""),122615.0)</f>
        <v>122615</v>
      </c>
      <c r="B2046" s="11">
        <f>IFERROR(__xludf.DUMMYFUNCTION("""COMPUTED_VALUE"""),0.0)</f>
        <v>0</v>
      </c>
      <c r="C2046" s="11">
        <f>IFERROR(__xludf.DUMMYFUNCTION("""COMPUTED_VALUE"""),348.0)</f>
        <v>348</v>
      </c>
      <c r="D2046" s="11">
        <f>IFERROR(__xludf.DUMMYFUNCTION("""COMPUTED_VALUE"""),270.0)</f>
        <v>270</v>
      </c>
      <c r="E2046" s="9"/>
    </row>
    <row r="2047">
      <c r="A2047" s="10">
        <f>IFERROR(__xludf.DUMMYFUNCTION("""COMPUTED_VALUE"""),87800.0)</f>
        <v>87800</v>
      </c>
      <c r="B2047" s="11">
        <f>IFERROR(__xludf.DUMMYFUNCTION("""COMPUTED_VALUE"""),1.0)</f>
        <v>1</v>
      </c>
      <c r="C2047" s="11">
        <f>IFERROR(__xludf.DUMMYFUNCTION("""COMPUTED_VALUE"""),938.0)</f>
        <v>938</v>
      </c>
      <c r="D2047" s="11">
        <f>IFERROR(__xludf.DUMMYFUNCTION("""COMPUTED_VALUE"""),377.0)</f>
        <v>377</v>
      </c>
      <c r="E2047" s="9"/>
    </row>
    <row r="2048">
      <c r="A2048" s="10">
        <f>IFERROR(__xludf.DUMMYFUNCTION("""COMPUTED_VALUE"""),87801.0)</f>
        <v>87801</v>
      </c>
      <c r="B2048" s="11">
        <f>IFERROR(__xludf.DUMMYFUNCTION("""COMPUTED_VALUE"""),1.0)</f>
        <v>1</v>
      </c>
      <c r="C2048" s="11">
        <f>IFERROR(__xludf.DUMMYFUNCTION("""COMPUTED_VALUE"""),279.0)</f>
        <v>279</v>
      </c>
      <c r="D2048" s="11">
        <f>IFERROR(__xludf.DUMMYFUNCTION("""COMPUTED_VALUE"""),255.0)</f>
        <v>255</v>
      </c>
      <c r="E2048" s="9"/>
    </row>
    <row r="2049">
      <c r="A2049" s="10">
        <f>IFERROR(__xludf.DUMMYFUNCTION("""COMPUTED_VALUE"""),87767.0)</f>
        <v>87767</v>
      </c>
      <c r="B2049" s="11">
        <f>IFERROR(__xludf.DUMMYFUNCTION("""COMPUTED_VALUE"""),0.0)</f>
        <v>0</v>
      </c>
      <c r="C2049" s="11">
        <f>IFERROR(__xludf.DUMMYFUNCTION("""COMPUTED_VALUE"""),507.0)</f>
        <v>507</v>
      </c>
      <c r="D2049" s="11">
        <f>IFERROR(__xludf.DUMMYFUNCTION("""COMPUTED_VALUE"""),166.0)</f>
        <v>166</v>
      </c>
      <c r="E2049" s="9"/>
    </row>
    <row r="2050">
      <c r="A2050" s="10">
        <f>IFERROR(__xludf.DUMMYFUNCTION("""COMPUTED_VALUE"""),82454.0)</f>
        <v>82454</v>
      </c>
      <c r="B2050" s="11">
        <f>IFERROR(__xludf.DUMMYFUNCTION("""COMPUTED_VALUE"""),1.0)</f>
        <v>1</v>
      </c>
      <c r="C2050" s="11">
        <f>IFERROR(__xludf.DUMMYFUNCTION("""COMPUTED_VALUE"""),278.0)</f>
        <v>278</v>
      </c>
      <c r="D2050" s="11">
        <f>IFERROR(__xludf.DUMMYFUNCTION("""COMPUTED_VALUE"""),250.0)</f>
        <v>250</v>
      </c>
      <c r="E2050" s="9"/>
    </row>
    <row r="2051">
      <c r="A2051" s="10">
        <f>IFERROR(__xludf.DUMMYFUNCTION("""COMPUTED_VALUE"""),194506.0)</f>
        <v>194506</v>
      </c>
      <c r="B2051" s="11">
        <f>IFERROR(__xludf.DUMMYFUNCTION("""COMPUTED_VALUE"""),1.0)</f>
        <v>1</v>
      </c>
      <c r="C2051" s="11">
        <f>IFERROR(__xludf.DUMMYFUNCTION("""COMPUTED_VALUE"""),259.0)</f>
        <v>259</v>
      </c>
      <c r="D2051" s="11">
        <f>IFERROR(__xludf.DUMMYFUNCTION("""COMPUTED_VALUE"""),16.0)</f>
        <v>16</v>
      </c>
      <c r="E2051" s="9"/>
    </row>
    <row r="2052">
      <c r="A2052" s="10">
        <f>IFERROR(__xludf.DUMMYFUNCTION("""COMPUTED_VALUE"""),16240.0)</f>
        <v>16240</v>
      </c>
      <c r="B2052" s="11">
        <f>IFERROR(__xludf.DUMMYFUNCTION("""COMPUTED_VALUE"""),1.0)</f>
        <v>1</v>
      </c>
      <c r="C2052" s="11">
        <f>IFERROR(__xludf.DUMMYFUNCTION("""COMPUTED_VALUE"""),82.0)</f>
        <v>82</v>
      </c>
      <c r="D2052" s="11">
        <f>IFERROR(__xludf.DUMMYFUNCTION("""COMPUTED_VALUE"""),17.0)</f>
        <v>17</v>
      </c>
      <c r="E2052" s="9"/>
    </row>
    <row r="2053">
      <c r="A2053" s="10">
        <f>IFERROR(__xludf.DUMMYFUNCTION("""COMPUTED_VALUE"""),16237.0)</f>
        <v>16237</v>
      </c>
      <c r="B2053" s="11">
        <f>IFERROR(__xludf.DUMMYFUNCTION("""COMPUTED_VALUE"""),0.0)</f>
        <v>0</v>
      </c>
      <c r="C2053" s="11">
        <f>IFERROR(__xludf.DUMMYFUNCTION("""COMPUTED_VALUE"""),888.0)</f>
        <v>888</v>
      </c>
      <c r="D2053" s="11">
        <f>IFERROR(__xludf.DUMMYFUNCTION("""COMPUTED_VALUE"""),174.0)</f>
        <v>174</v>
      </c>
      <c r="E2053" s="9"/>
    </row>
    <row r="2054">
      <c r="A2054" s="10">
        <f>IFERROR(__xludf.DUMMYFUNCTION("""COMPUTED_VALUE"""),122760.0)</f>
        <v>122760</v>
      </c>
      <c r="B2054" s="11">
        <f>IFERROR(__xludf.DUMMYFUNCTION("""COMPUTED_VALUE"""),1.0)</f>
        <v>1</v>
      </c>
      <c r="C2054" s="11">
        <f>IFERROR(__xludf.DUMMYFUNCTION("""COMPUTED_VALUE"""),341.0)</f>
        <v>341</v>
      </c>
      <c r="D2054" s="11">
        <f>IFERROR(__xludf.DUMMYFUNCTION("""COMPUTED_VALUE"""),211.0)</f>
        <v>211</v>
      </c>
      <c r="E2054" s="9"/>
    </row>
    <row r="2055">
      <c r="A2055" s="10">
        <f>IFERROR(__xludf.DUMMYFUNCTION("""COMPUTED_VALUE"""),82446.0)</f>
        <v>82446</v>
      </c>
      <c r="B2055" s="11">
        <f>IFERROR(__xludf.DUMMYFUNCTION("""COMPUTED_VALUE"""),0.0)</f>
        <v>0</v>
      </c>
      <c r="C2055" s="11">
        <f>IFERROR(__xludf.DUMMYFUNCTION("""COMPUTED_VALUE"""),84.0)</f>
        <v>84</v>
      </c>
      <c r="D2055" s="11">
        <f>IFERROR(__xludf.DUMMYFUNCTION("""COMPUTED_VALUE"""),81.0)</f>
        <v>81</v>
      </c>
      <c r="E2055" s="9"/>
    </row>
    <row r="2056">
      <c r="A2056" s="10">
        <f>IFERROR(__xludf.DUMMYFUNCTION("""COMPUTED_VALUE"""),118333.0)</f>
        <v>118333</v>
      </c>
      <c r="B2056" s="11">
        <f>IFERROR(__xludf.DUMMYFUNCTION("""COMPUTED_VALUE"""),0.0)</f>
        <v>0</v>
      </c>
      <c r="C2056" s="11">
        <f>IFERROR(__xludf.DUMMYFUNCTION("""COMPUTED_VALUE"""),48.0)</f>
        <v>48</v>
      </c>
      <c r="D2056" s="11">
        <f>IFERROR(__xludf.DUMMYFUNCTION("""COMPUTED_VALUE"""),1.0)</f>
        <v>1</v>
      </c>
      <c r="E2056" s="9"/>
    </row>
    <row r="2057">
      <c r="A2057" s="10">
        <f>IFERROR(__xludf.DUMMYFUNCTION("""COMPUTED_VALUE"""),122774.0)</f>
        <v>122774</v>
      </c>
      <c r="B2057" s="11">
        <f>IFERROR(__xludf.DUMMYFUNCTION("""COMPUTED_VALUE"""),0.0)</f>
        <v>0</v>
      </c>
      <c r="C2057" s="11">
        <f>IFERROR(__xludf.DUMMYFUNCTION("""COMPUTED_VALUE"""),619.0)</f>
        <v>619</v>
      </c>
      <c r="D2057" s="11">
        <f>IFERROR(__xludf.DUMMYFUNCTION("""COMPUTED_VALUE"""),207.0)</f>
        <v>207</v>
      </c>
      <c r="E2057" s="9"/>
    </row>
    <row r="2058">
      <c r="A2058" s="10">
        <f>IFERROR(__xludf.DUMMYFUNCTION("""COMPUTED_VALUE"""),87789.0)</f>
        <v>87789</v>
      </c>
      <c r="B2058" s="11">
        <f>IFERROR(__xludf.DUMMYFUNCTION("""COMPUTED_VALUE"""),0.0)</f>
        <v>0</v>
      </c>
      <c r="C2058" s="11">
        <f>IFERROR(__xludf.DUMMYFUNCTION("""COMPUTED_VALUE"""),430.0)</f>
        <v>430</v>
      </c>
      <c r="D2058" s="11">
        <f>IFERROR(__xludf.DUMMYFUNCTION("""COMPUTED_VALUE"""),298.0)</f>
        <v>298</v>
      </c>
      <c r="E2058" s="9"/>
    </row>
    <row r="2059">
      <c r="A2059" s="10">
        <f>IFERROR(__xludf.DUMMYFUNCTION("""COMPUTED_VALUE"""),111159.0)</f>
        <v>111159</v>
      </c>
      <c r="B2059" s="11">
        <f>IFERROR(__xludf.DUMMYFUNCTION("""COMPUTED_VALUE"""),0.0)</f>
        <v>0</v>
      </c>
      <c r="C2059" s="11">
        <f>IFERROR(__xludf.DUMMYFUNCTION("""COMPUTED_VALUE"""),404.0)</f>
        <v>404</v>
      </c>
      <c r="D2059" s="11">
        <f>IFERROR(__xludf.DUMMYFUNCTION("""COMPUTED_VALUE"""),223.0)</f>
        <v>223</v>
      </c>
      <c r="E2059" s="9"/>
    </row>
    <row r="2060">
      <c r="A2060" s="10">
        <f>IFERROR(__xludf.DUMMYFUNCTION("""COMPUTED_VALUE"""),194500.0)</f>
        <v>194500</v>
      </c>
      <c r="B2060" s="11">
        <f>IFERROR(__xludf.DUMMYFUNCTION("""COMPUTED_VALUE"""),1.0)</f>
        <v>1</v>
      </c>
      <c r="C2060" s="11">
        <f>IFERROR(__xludf.DUMMYFUNCTION("""COMPUTED_VALUE"""),466.0)</f>
        <v>466</v>
      </c>
      <c r="D2060" s="11">
        <f>IFERROR(__xludf.DUMMYFUNCTION("""COMPUTED_VALUE"""),391.0)</f>
        <v>391</v>
      </c>
      <c r="E2060" s="9"/>
    </row>
    <row r="2061">
      <c r="A2061" s="10">
        <f>IFERROR(__xludf.DUMMYFUNCTION("""COMPUTED_VALUE"""),80432.0)</f>
        <v>80432</v>
      </c>
      <c r="B2061" s="11">
        <f>IFERROR(__xludf.DUMMYFUNCTION("""COMPUTED_VALUE"""),0.0)</f>
        <v>0</v>
      </c>
      <c r="C2061" s="11">
        <f>IFERROR(__xludf.DUMMYFUNCTION("""COMPUTED_VALUE"""),4.0)</f>
        <v>4</v>
      </c>
      <c r="D2061" s="11">
        <f>IFERROR(__xludf.DUMMYFUNCTION("""COMPUTED_VALUE"""),2.0)</f>
        <v>2</v>
      </c>
      <c r="E2061" s="9"/>
    </row>
    <row r="2062">
      <c r="A2062" s="10">
        <f>IFERROR(__xludf.DUMMYFUNCTION("""COMPUTED_VALUE"""),122636.0)</f>
        <v>122636</v>
      </c>
      <c r="B2062" s="11">
        <f>IFERROR(__xludf.DUMMYFUNCTION("""COMPUTED_VALUE"""),1.0)</f>
        <v>1</v>
      </c>
      <c r="C2062" s="11">
        <f>IFERROR(__xludf.DUMMYFUNCTION("""COMPUTED_VALUE"""),170.0)</f>
        <v>170</v>
      </c>
      <c r="D2062" s="11">
        <f>IFERROR(__xludf.DUMMYFUNCTION("""COMPUTED_VALUE"""),150.0)</f>
        <v>150</v>
      </c>
      <c r="E2062" s="9"/>
    </row>
    <row r="2063">
      <c r="A2063" s="10">
        <f>IFERROR(__xludf.DUMMYFUNCTION("""COMPUTED_VALUE"""),110697.0)</f>
        <v>110697</v>
      </c>
      <c r="B2063" s="11">
        <f>IFERROR(__xludf.DUMMYFUNCTION("""COMPUTED_VALUE"""),0.0)</f>
        <v>0</v>
      </c>
      <c r="C2063" s="11">
        <f>IFERROR(__xludf.DUMMYFUNCTION("""COMPUTED_VALUE"""),888.0)</f>
        <v>888</v>
      </c>
      <c r="D2063" s="11">
        <f>IFERROR(__xludf.DUMMYFUNCTION("""COMPUTED_VALUE"""),878.0)</f>
        <v>878</v>
      </c>
      <c r="E2063" s="9"/>
    </row>
    <row r="2064">
      <c r="A2064" s="10">
        <f>IFERROR(__xludf.DUMMYFUNCTION("""COMPUTED_VALUE"""),117966.0)</f>
        <v>117966</v>
      </c>
      <c r="B2064" s="11">
        <f>IFERROR(__xludf.DUMMYFUNCTION("""COMPUTED_VALUE"""),0.0)</f>
        <v>0</v>
      </c>
      <c r="C2064" s="11">
        <f>IFERROR(__xludf.DUMMYFUNCTION("""COMPUTED_VALUE"""),923.0)</f>
        <v>923</v>
      </c>
      <c r="D2064" s="11">
        <f>IFERROR(__xludf.DUMMYFUNCTION("""COMPUTED_VALUE"""),623.0)</f>
        <v>623</v>
      </c>
      <c r="E2064" s="9"/>
    </row>
    <row r="2065">
      <c r="A2065" s="10">
        <f>IFERROR(__xludf.DUMMYFUNCTION("""COMPUTED_VALUE"""),122782.0)</f>
        <v>122782</v>
      </c>
      <c r="B2065" s="11">
        <f>IFERROR(__xludf.DUMMYFUNCTION("""COMPUTED_VALUE"""),0.0)</f>
        <v>0</v>
      </c>
      <c r="C2065" s="11">
        <f>IFERROR(__xludf.DUMMYFUNCTION("""COMPUTED_VALUE"""),731.0)</f>
        <v>731</v>
      </c>
      <c r="D2065" s="11">
        <f>IFERROR(__xludf.DUMMYFUNCTION("""COMPUTED_VALUE"""),57.0)</f>
        <v>57</v>
      </c>
      <c r="E2065" s="9"/>
    </row>
    <row r="2066">
      <c r="A2066" s="10">
        <f>IFERROR(__xludf.DUMMYFUNCTION("""COMPUTED_VALUE"""),49358.0)</f>
        <v>49358</v>
      </c>
      <c r="B2066" s="11">
        <f>IFERROR(__xludf.DUMMYFUNCTION("""COMPUTED_VALUE"""),1.0)</f>
        <v>1</v>
      </c>
      <c r="C2066" s="11">
        <f>IFERROR(__xludf.DUMMYFUNCTION("""COMPUTED_VALUE"""),371.0)</f>
        <v>371</v>
      </c>
      <c r="D2066" s="11">
        <f>IFERROR(__xludf.DUMMYFUNCTION("""COMPUTED_VALUE"""),133.0)</f>
        <v>133</v>
      </c>
      <c r="E2066" s="9"/>
    </row>
    <row r="2067">
      <c r="A2067" s="10">
        <f>IFERROR(__xludf.DUMMYFUNCTION("""COMPUTED_VALUE"""),190250.0)</f>
        <v>190250</v>
      </c>
      <c r="B2067" s="11">
        <f>IFERROR(__xludf.DUMMYFUNCTION("""COMPUTED_VALUE"""),0.0)</f>
        <v>0</v>
      </c>
      <c r="C2067" s="11">
        <f>IFERROR(__xludf.DUMMYFUNCTION("""COMPUTED_VALUE"""),162.0)</f>
        <v>162</v>
      </c>
      <c r="D2067" s="11">
        <f>IFERROR(__xludf.DUMMYFUNCTION("""COMPUTED_VALUE"""),83.0)</f>
        <v>83</v>
      </c>
      <c r="E2067" s="9"/>
    </row>
    <row r="2068">
      <c r="A2068" s="10">
        <f>IFERROR(__xludf.DUMMYFUNCTION("""COMPUTED_VALUE"""),100243.0)</f>
        <v>100243</v>
      </c>
      <c r="B2068" s="11">
        <f>IFERROR(__xludf.DUMMYFUNCTION("""COMPUTED_VALUE"""),1.0)</f>
        <v>1</v>
      </c>
      <c r="C2068" s="11">
        <f>IFERROR(__xludf.DUMMYFUNCTION("""COMPUTED_VALUE"""),574.0)</f>
        <v>574</v>
      </c>
      <c r="D2068" s="11">
        <f>IFERROR(__xludf.DUMMYFUNCTION("""COMPUTED_VALUE"""),188.0)</f>
        <v>188</v>
      </c>
      <c r="E2068" s="9"/>
    </row>
    <row r="2069">
      <c r="A2069" s="10">
        <f>IFERROR(__xludf.DUMMYFUNCTION("""COMPUTED_VALUE"""),87773.0)</f>
        <v>87773</v>
      </c>
      <c r="B2069" s="11">
        <f>IFERROR(__xludf.DUMMYFUNCTION("""COMPUTED_VALUE"""),1.0)</f>
        <v>1</v>
      </c>
      <c r="C2069" s="11">
        <f>IFERROR(__xludf.DUMMYFUNCTION("""COMPUTED_VALUE"""),937.0)</f>
        <v>937</v>
      </c>
      <c r="D2069" s="11">
        <f>IFERROR(__xludf.DUMMYFUNCTION("""COMPUTED_VALUE"""),736.0)</f>
        <v>736</v>
      </c>
      <c r="E2069" s="9"/>
    </row>
    <row r="2070">
      <c r="A2070" s="10">
        <f>IFERROR(__xludf.DUMMYFUNCTION("""COMPUTED_VALUE"""),79103.0)</f>
        <v>79103</v>
      </c>
      <c r="B2070" s="11">
        <f>IFERROR(__xludf.DUMMYFUNCTION("""COMPUTED_VALUE"""),0.0)</f>
        <v>0</v>
      </c>
      <c r="C2070" s="11">
        <f>IFERROR(__xludf.DUMMYFUNCTION("""COMPUTED_VALUE"""),61.0)</f>
        <v>61</v>
      </c>
      <c r="D2070" s="11">
        <f>IFERROR(__xludf.DUMMYFUNCTION("""COMPUTED_VALUE"""),22.0)</f>
        <v>22</v>
      </c>
      <c r="E2070" s="9"/>
    </row>
    <row r="2071">
      <c r="A2071" s="10">
        <f>IFERROR(__xludf.DUMMYFUNCTION("""COMPUTED_VALUE"""),87759.0)</f>
        <v>87759</v>
      </c>
      <c r="B2071" s="11">
        <f>IFERROR(__xludf.DUMMYFUNCTION("""COMPUTED_VALUE"""),1.0)</f>
        <v>1</v>
      </c>
      <c r="C2071" s="11">
        <f>IFERROR(__xludf.DUMMYFUNCTION("""COMPUTED_VALUE"""),23.0)</f>
        <v>23</v>
      </c>
      <c r="D2071" s="11">
        <f>IFERROR(__xludf.DUMMYFUNCTION("""COMPUTED_VALUE"""),16.0)</f>
        <v>16</v>
      </c>
      <c r="E2071" s="9"/>
    </row>
    <row r="2072">
      <c r="A2072" s="10">
        <f>IFERROR(__xludf.DUMMYFUNCTION("""COMPUTED_VALUE"""),82461.0)</f>
        <v>82461</v>
      </c>
      <c r="B2072" s="11">
        <f>IFERROR(__xludf.DUMMYFUNCTION("""COMPUTED_VALUE"""),1.0)</f>
        <v>1</v>
      </c>
      <c r="C2072" s="11">
        <f>IFERROR(__xludf.DUMMYFUNCTION("""COMPUTED_VALUE"""),416.0)</f>
        <v>416</v>
      </c>
      <c r="D2072" s="11">
        <f>IFERROR(__xludf.DUMMYFUNCTION("""COMPUTED_VALUE"""),156.0)</f>
        <v>156</v>
      </c>
      <c r="E2072" s="9"/>
    </row>
    <row r="2073">
      <c r="A2073" s="10">
        <f>IFERROR(__xludf.DUMMYFUNCTION("""COMPUTED_VALUE"""),122613.0)</f>
        <v>122613</v>
      </c>
      <c r="B2073" s="11">
        <f>IFERROR(__xludf.DUMMYFUNCTION("""COMPUTED_VALUE"""),0.0)</f>
        <v>0</v>
      </c>
      <c r="C2073" s="11">
        <f>IFERROR(__xludf.DUMMYFUNCTION("""COMPUTED_VALUE"""),314.0)</f>
        <v>314</v>
      </c>
      <c r="D2073" s="11">
        <f>IFERROR(__xludf.DUMMYFUNCTION("""COMPUTED_VALUE"""),191.0)</f>
        <v>191</v>
      </c>
      <c r="E2073" s="9"/>
    </row>
    <row r="2074">
      <c r="A2074" s="10">
        <f>IFERROR(__xludf.DUMMYFUNCTION("""COMPUTED_VALUE"""),79746.0)</f>
        <v>79746</v>
      </c>
      <c r="B2074" s="11">
        <f>IFERROR(__xludf.DUMMYFUNCTION("""COMPUTED_VALUE"""),0.0)</f>
        <v>0</v>
      </c>
      <c r="C2074" s="11">
        <f>IFERROR(__xludf.DUMMYFUNCTION("""COMPUTED_VALUE"""),255.0)</f>
        <v>255</v>
      </c>
      <c r="D2074" s="11">
        <f>IFERROR(__xludf.DUMMYFUNCTION("""COMPUTED_VALUE"""),150.0)</f>
        <v>150</v>
      </c>
      <c r="E2074" s="9"/>
    </row>
    <row r="2075">
      <c r="A2075" s="10">
        <f>IFERROR(__xludf.DUMMYFUNCTION("""COMPUTED_VALUE"""),110860.0)</f>
        <v>110860</v>
      </c>
      <c r="B2075" s="11">
        <f>IFERROR(__xludf.DUMMYFUNCTION("""COMPUTED_VALUE"""),1.0)</f>
        <v>1</v>
      </c>
      <c r="C2075" s="11">
        <f>IFERROR(__xludf.DUMMYFUNCTION("""COMPUTED_VALUE"""),262.0)</f>
        <v>262</v>
      </c>
      <c r="D2075" s="11">
        <f>IFERROR(__xludf.DUMMYFUNCTION("""COMPUTED_VALUE"""),195.0)</f>
        <v>195</v>
      </c>
      <c r="E2075" s="9"/>
    </row>
    <row r="2076">
      <c r="A2076" s="10">
        <f>IFERROR(__xludf.DUMMYFUNCTION("""COMPUTED_VALUE"""),49355.0)</f>
        <v>49355</v>
      </c>
      <c r="B2076" s="11">
        <f>IFERROR(__xludf.DUMMYFUNCTION("""COMPUTED_VALUE"""),0.0)</f>
        <v>0</v>
      </c>
      <c r="C2076" s="11">
        <f>IFERROR(__xludf.DUMMYFUNCTION("""COMPUTED_VALUE"""),384.0)</f>
        <v>384</v>
      </c>
      <c r="D2076" s="11">
        <f>IFERROR(__xludf.DUMMYFUNCTION("""COMPUTED_VALUE"""),141.0)</f>
        <v>141</v>
      </c>
      <c r="E2076" s="9"/>
    </row>
    <row r="2077">
      <c r="A2077" s="10">
        <f>IFERROR(__xludf.DUMMYFUNCTION("""COMPUTED_VALUE"""),93520.0)</f>
        <v>93520</v>
      </c>
      <c r="B2077" s="11">
        <f>IFERROR(__xludf.DUMMYFUNCTION("""COMPUTED_VALUE"""),1.0)</f>
        <v>1</v>
      </c>
      <c r="C2077" s="11">
        <f>IFERROR(__xludf.DUMMYFUNCTION("""COMPUTED_VALUE"""),444.0)</f>
        <v>444</v>
      </c>
      <c r="D2077" s="11">
        <f>IFERROR(__xludf.DUMMYFUNCTION("""COMPUTED_VALUE"""),153.0)</f>
        <v>153</v>
      </c>
      <c r="E2077" s="9"/>
    </row>
    <row r="2078">
      <c r="A2078" s="10">
        <f>IFERROR(__xludf.DUMMYFUNCTION("""COMPUTED_VALUE"""),87765.0)</f>
        <v>87765</v>
      </c>
      <c r="B2078" s="11">
        <f>IFERROR(__xludf.DUMMYFUNCTION("""COMPUTED_VALUE"""),0.0)</f>
        <v>0</v>
      </c>
      <c r="C2078" s="11">
        <f>IFERROR(__xludf.DUMMYFUNCTION("""COMPUTED_VALUE"""),28.0)</f>
        <v>28</v>
      </c>
      <c r="D2078" s="11">
        <f>IFERROR(__xludf.DUMMYFUNCTION("""COMPUTED_VALUE"""),11.0)</f>
        <v>11</v>
      </c>
      <c r="E2078" s="9"/>
    </row>
    <row r="2079">
      <c r="A2079" s="10">
        <f>IFERROR(__xludf.DUMMYFUNCTION("""COMPUTED_VALUE"""),110863.0)</f>
        <v>110863</v>
      </c>
      <c r="B2079" s="11">
        <f>IFERROR(__xludf.DUMMYFUNCTION("""COMPUTED_VALUE"""),1.0)</f>
        <v>1</v>
      </c>
      <c r="C2079" s="11">
        <f>IFERROR(__xludf.DUMMYFUNCTION("""COMPUTED_VALUE"""),538.0)</f>
        <v>538</v>
      </c>
      <c r="D2079" s="11">
        <f>IFERROR(__xludf.DUMMYFUNCTION("""COMPUTED_VALUE"""),289.0)</f>
        <v>289</v>
      </c>
      <c r="E2079" s="9"/>
    </row>
    <row r="2080">
      <c r="A2080" s="10">
        <f>IFERROR(__xludf.DUMMYFUNCTION("""COMPUTED_VALUE"""),16238.0)</f>
        <v>16238</v>
      </c>
      <c r="B2080" s="11">
        <f>IFERROR(__xludf.DUMMYFUNCTION("""COMPUTED_VALUE"""),1.0)</f>
        <v>1</v>
      </c>
      <c r="C2080" s="11">
        <f>IFERROR(__xludf.DUMMYFUNCTION("""COMPUTED_VALUE"""),879.0)</f>
        <v>879</v>
      </c>
      <c r="D2080" s="11">
        <f>IFERROR(__xludf.DUMMYFUNCTION("""COMPUTED_VALUE"""),258.0)</f>
        <v>258</v>
      </c>
      <c r="E2080" s="9"/>
    </row>
    <row r="2081">
      <c r="A2081" s="10">
        <f>IFERROR(__xludf.DUMMYFUNCTION("""COMPUTED_VALUE"""),122643.0)</f>
        <v>122643</v>
      </c>
      <c r="B2081" s="11">
        <f>IFERROR(__xludf.DUMMYFUNCTION("""COMPUTED_VALUE"""),0.0)</f>
        <v>0</v>
      </c>
      <c r="C2081" s="11">
        <f>IFERROR(__xludf.DUMMYFUNCTION("""COMPUTED_VALUE"""),923.0)</f>
        <v>923</v>
      </c>
      <c r="D2081" s="11">
        <f>IFERROR(__xludf.DUMMYFUNCTION("""COMPUTED_VALUE"""),643.0)</f>
        <v>643</v>
      </c>
      <c r="E2081" s="9"/>
    </row>
    <row r="2082">
      <c r="A2082" s="10">
        <f>IFERROR(__xludf.DUMMYFUNCTION("""COMPUTED_VALUE"""),82452.0)</f>
        <v>82452</v>
      </c>
      <c r="B2082" s="11">
        <f>IFERROR(__xludf.DUMMYFUNCTION("""COMPUTED_VALUE"""),1.0)</f>
        <v>1</v>
      </c>
      <c r="C2082" s="11">
        <f>IFERROR(__xludf.DUMMYFUNCTION("""COMPUTED_VALUE"""),433.0)</f>
        <v>433</v>
      </c>
      <c r="D2082" s="11">
        <f>IFERROR(__xludf.DUMMYFUNCTION("""COMPUTED_VALUE"""),432.0)</f>
        <v>432</v>
      </c>
      <c r="E2082" s="9"/>
    </row>
    <row r="2083">
      <c r="A2083" s="10">
        <f>IFERROR(__xludf.DUMMYFUNCTION("""COMPUTED_VALUE"""),122775.0)</f>
        <v>122775</v>
      </c>
      <c r="B2083" s="11">
        <f>IFERROR(__xludf.DUMMYFUNCTION("""COMPUTED_VALUE"""),0.0)</f>
        <v>0</v>
      </c>
      <c r="C2083" s="11">
        <f>IFERROR(__xludf.DUMMYFUNCTION("""COMPUTED_VALUE"""),453.0)</f>
        <v>453</v>
      </c>
      <c r="D2083" s="11">
        <f>IFERROR(__xludf.DUMMYFUNCTION("""COMPUTED_VALUE"""),184.0)</f>
        <v>184</v>
      </c>
      <c r="E2083" s="9"/>
    </row>
    <row r="2084">
      <c r="A2084" s="10">
        <f>IFERROR(__xludf.DUMMYFUNCTION("""COMPUTED_VALUE"""),100240.0)</f>
        <v>100240</v>
      </c>
      <c r="B2084" s="11">
        <f>IFERROR(__xludf.DUMMYFUNCTION("""COMPUTED_VALUE"""),0.0)</f>
        <v>0</v>
      </c>
      <c r="C2084" s="11">
        <f>IFERROR(__xludf.DUMMYFUNCTION("""COMPUTED_VALUE"""),944.0)</f>
        <v>944</v>
      </c>
      <c r="D2084" s="11">
        <f>IFERROR(__xludf.DUMMYFUNCTION("""COMPUTED_VALUE"""),774.0)</f>
        <v>774</v>
      </c>
      <c r="E2084" s="9"/>
    </row>
    <row r="2085">
      <c r="A2085" s="10">
        <f>IFERROR(__xludf.DUMMYFUNCTION("""COMPUTED_VALUE"""),87758.0)</f>
        <v>87758</v>
      </c>
      <c r="B2085" s="11">
        <f>IFERROR(__xludf.DUMMYFUNCTION("""COMPUTED_VALUE"""),0.0)</f>
        <v>0</v>
      </c>
      <c r="C2085" s="11">
        <f>IFERROR(__xludf.DUMMYFUNCTION("""COMPUTED_VALUE"""),738.0)</f>
        <v>738</v>
      </c>
      <c r="D2085" s="11">
        <f>IFERROR(__xludf.DUMMYFUNCTION("""COMPUTED_VALUE"""),463.0)</f>
        <v>463</v>
      </c>
      <c r="E2085" s="9"/>
    </row>
    <row r="2086">
      <c r="A2086" s="10">
        <f>IFERROR(__xludf.DUMMYFUNCTION("""COMPUTED_VALUE"""),110689.0)</f>
        <v>110689</v>
      </c>
      <c r="B2086" s="11">
        <f>IFERROR(__xludf.DUMMYFUNCTION("""COMPUTED_VALUE"""),0.0)</f>
        <v>0</v>
      </c>
      <c r="C2086" s="11">
        <f>IFERROR(__xludf.DUMMYFUNCTION("""COMPUTED_VALUE"""),628.0)</f>
        <v>628</v>
      </c>
      <c r="D2086" s="11">
        <f>IFERROR(__xludf.DUMMYFUNCTION("""COMPUTED_VALUE"""),199.0)</f>
        <v>199</v>
      </c>
      <c r="E2086" s="9"/>
    </row>
    <row r="2087">
      <c r="A2087" s="10">
        <f>IFERROR(__xludf.DUMMYFUNCTION("""COMPUTED_VALUE"""),110704.0)</f>
        <v>110704</v>
      </c>
      <c r="B2087" s="11">
        <f>IFERROR(__xludf.DUMMYFUNCTION("""COMPUTED_VALUE"""),0.0)</f>
        <v>0</v>
      </c>
      <c r="C2087" s="11">
        <f>IFERROR(__xludf.DUMMYFUNCTION("""COMPUTED_VALUE"""),947.0)</f>
        <v>947</v>
      </c>
      <c r="D2087" s="11">
        <f>IFERROR(__xludf.DUMMYFUNCTION("""COMPUTED_VALUE"""),896.0)</f>
        <v>896</v>
      </c>
      <c r="E2087" s="9"/>
    </row>
    <row r="2088">
      <c r="A2088" s="10">
        <f>IFERROR(__xludf.DUMMYFUNCTION("""COMPUTED_VALUE"""),82455.0)</f>
        <v>82455</v>
      </c>
      <c r="B2088" s="11">
        <f>IFERROR(__xludf.DUMMYFUNCTION("""COMPUTED_VALUE"""),1.0)</f>
        <v>1</v>
      </c>
      <c r="C2088" s="11">
        <f>IFERROR(__xludf.DUMMYFUNCTION("""COMPUTED_VALUE"""),409.0)</f>
        <v>409</v>
      </c>
      <c r="D2088" s="11">
        <f>IFERROR(__xludf.DUMMYFUNCTION("""COMPUTED_VALUE"""),252.0)</f>
        <v>252</v>
      </c>
      <c r="E2088" s="9"/>
    </row>
    <row r="2089">
      <c r="A2089" s="10">
        <f>IFERROR(__xludf.DUMMYFUNCTION("""COMPUTED_VALUE"""),127013.0)</f>
        <v>127013</v>
      </c>
      <c r="B2089" s="11">
        <f>IFERROR(__xludf.DUMMYFUNCTION("""COMPUTED_VALUE"""),1.0)</f>
        <v>1</v>
      </c>
      <c r="C2089" s="11">
        <f>IFERROR(__xludf.DUMMYFUNCTION("""COMPUTED_VALUE"""),149.0)</f>
        <v>149</v>
      </c>
      <c r="D2089" s="11">
        <f>IFERROR(__xludf.DUMMYFUNCTION("""COMPUTED_VALUE"""),59.0)</f>
        <v>59</v>
      </c>
      <c r="E2089" s="9"/>
    </row>
    <row r="2090">
      <c r="A2090" s="10">
        <f>IFERROR(__xludf.DUMMYFUNCTION("""COMPUTED_VALUE"""),113063.0)</f>
        <v>113063</v>
      </c>
      <c r="B2090" s="11">
        <f>IFERROR(__xludf.DUMMYFUNCTION("""COMPUTED_VALUE"""),1.0)</f>
        <v>1</v>
      </c>
      <c r="C2090" s="11">
        <f>IFERROR(__xludf.DUMMYFUNCTION("""COMPUTED_VALUE"""),859.0)</f>
        <v>859</v>
      </c>
      <c r="D2090" s="11">
        <f>IFERROR(__xludf.DUMMYFUNCTION("""COMPUTED_VALUE"""),158.0)</f>
        <v>158</v>
      </c>
      <c r="E2090" s="9"/>
    </row>
    <row r="2091">
      <c r="A2091" s="10">
        <f>IFERROR(__xludf.DUMMYFUNCTION("""COMPUTED_VALUE"""),11296.0)</f>
        <v>11296</v>
      </c>
      <c r="B2091" s="11">
        <f>IFERROR(__xludf.DUMMYFUNCTION("""COMPUTED_VALUE"""),0.0)</f>
        <v>0</v>
      </c>
      <c r="C2091" s="11">
        <f>IFERROR(__xludf.DUMMYFUNCTION("""COMPUTED_VALUE"""),362.0)</f>
        <v>362</v>
      </c>
      <c r="D2091" s="11">
        <f>IFERROR(__xludf.DUMMYFUNCTION("""COMPUTED_VALUE"""),78.0)</f>
        <v>78</v>
      </c>
      <c r="E2091" s="9"/>
    </row>
    <row r="2092">
      <c r="A2092" s="10">
        <f>IFERROR(__xludf.DUMMYFUNCTION("""COMPUTED_VALUE"""),105305.0)</f>
        <v>105305</v>
      </c>
      <c r="B2092" s="11">
        <f>IFERROR(__xludf.DUMMYFUNCTION("""COMPUTED_VALUE"""),1.0)</f>
        <v>1</v>
      </c>
      <c r="C2092" s="11">
        <f>IFERROR(__xludf.DUMMYFUNCTION("""COMPUTED_VALUE"""),182.0)</f>
        <v>182</v>
      </c>
      <c r="D2092" s="11">
        <f>IFERROR(__xludf.DUMMYFUNCTION("""COMPUTED_VALUE"""),157.0)</f>
        <v>157</v>
      </c>
      <c r="E2092" s="9"/>
    </row>
    <row r="2093">
      <c r="A2093" s="10">
        <f>IFERROR(__xludf.DUMMYFUNCTION("""COMPUTED_VALUE"""),73244.0)</f>
        <v>73244</v>
      </c>
      <c r="B2093" s="11">
        <f>IFERROR(__xludf.DUMMYFUNCTION("""COMPUTED_VALUE"""),1.0)</f>
        <v>1</v>
      </c>
      <c r="C2093" s="11">
        <f>IFERROR(__xludf.DUMMYFUNCTION("""COMPUTED_VALUE"""),152.0)</f>
        <v>152</v>
      </c>
      <c r="D2093" s="11">
        <f>IFERROR(__xludf.DUMMYFUNCTION("""COMPUTED_VALUE"""),78.0)</f>
        <v>78</v>
      </c>
      <c r="E2093" s="9"/>
    </row>
    <row r="2094">
      <c r="A2094" s="10">
        <f>IFERROR(__xludf.DUMMYFUNCTION("""COMPUTED_VALUE"""),82458.0)</f>
        <v>82458</v>
      </c>
      <c r="B2094" s="11">
        <f>IFERROR(__xludf.DUMMYFUNCTION("""COMPUTED_VALUE"""),1.0)</f>
        <v>1</v>
      </c>
      <c r="C2094" s="11">
        <f>IFERROR(__xludf.DUMMYFUNCTION("""COMPUTED_VALUE"""),2.0)</f>
        <v>2</v>
      </c>
      <c r="D2094" s="11">
        <f>IFERROR(__xludf.DUMMYFUNCTION("""COMPUTED_VALUE"""),2.0)</f>
        <v>2</v>
      </c>
      <c r="E2094" s="9"/>
    </row>
    <row r="2095">
      <c r="A2095" s="10">
        <f>IFERROR(__xludf.DUMMYFUNCTION("""COMPUTED_VALUE"""),105302.0)</f>
        <v>105302</v>
      </c>
      <c r="B2095" s="11">
        <f>IFERROR(__xludf.DUMMYFUNCTION("""COMPUTED_VALUE"""),1.0)</f>
        <v>1</v>
      </c>
      <c r="C2095" s="11">
        <f>IFERROR(__xludf.DUMMYFUNCTION("""COMPUTED_VALUE"""),90.0)</f>
        <v>90</v>
      </c>
      <c r="D2095" s="11">
        <f>IFERROR(__xludf.DUMMYFUNCTION("""COMPUTED_VALUE"""),82.0)</f>
        <v>82</v>
      </c>
      <c r="E2095" s="9"/>
    </row>
    <row r="2096">
      <c r="A2096" s="10">
        <f>IFERROR(__xludf.DUMMYFUNCTION("""COMPUTED_VALUE"""),150951.0)</f>
        <v>150951</v>
      </c>
      <c r="B2096" s="11">
        <f>IFERROR(__xludf.DUMMYFUNCTION("""COMPUTED_VALUE"""),1.0)</f>
        <v>1</v>
      </c>
      <c r="C2096" s="11">
        <f>IFERROR(__xludf.DUMMYFUNCTION("""COMPUTED_VALUE"""),462.0)</f>
        <v>462</v>
      </c>
      <c r="D2096" s="11">
        <f>IFERROR(__xludf.DUMMYFUNCTION("""COMPUTED_VALUE"""),78.0)</f>
        <v>78</v>
      </c>
      <c r="E2096" s="9"/>
    </row>
    <row r="2097">
      <c r="A2097" s="10">
        <f>IFERROR(__xludf.DUMMYFUNCTION("""COMPUTED_VALUE"""),122492.0)</f>
        <v>122492</v>
      </c>
      <c r="B2097" s="11">
        <f>IFERROR(__xludf.DUMMYFUNCTION("""COMPUTED_VALUE"""),1.0)</f>
        <v>1</v>
      </c>
      <c r="C2097" s="11">
        <f>IFERROR(__xludf.DUMMYFUNCTION("""COMPUTED_VALUE"""),863.0)</f>
        <v>863</v>
      </c>
      <c r="D2097" s="11">
        <f>IFERROR(__xludf.DUMMYFUNCTION("""COMPUTED_VALUE"""),525.0)</f>
        <v>525</v>
      </c>
      <c r="E2097" s="9"/>
    </row>
    <row r="2098">
      <c r="A2098" s="10">
        <f>IFERROR(__xludf.DUMMYFUNCTION("""COMPUTED_VALUE"""),110436.0)</f>
        <v>110436</v>
      </c>
      <c r="B2098" s="11">
        <f>IFERROR(__xludf.DUMMYFUNCTION("""COMPUTED_VALUE"""),0.0)</f>
        <v>0</v>
      </c>
      <c r="C2098" s="11">
        <f>IFERROR(__xludf.DUMMYFUNCTION("""COMPUTED_VALUE"""),54.0)</f>
        <v>54</v>
      </c>
      <c r="D2098" s="11">
        <f>IFERROR(__xludf.DUMMYFUNCTION("""COMPUTED_VALUE"""),33.0)</f>
        <v>33</v>
      </c>
      <c r="E2098" s="9"/>
    </row>
    <row r="2099">
      <c r="A2099" s="10">
        <f>IFERROR(__xludf.DUMMYFUNCTION("""COMPUTED_VALUE"""),10674.0)</f>
        <v>10674</v>
      </c>
      <c r="B2099" s="11">
        <f>IFERROR(__xludf.DUMMYFUNCTION("""COMPUTED_VALUE"""),1.0)</f>
        <v>1</v>
      </c>
      <c r="C2099" s="11">
        <f>IFERROR(__xludf.DUMMYFUNCTION("""COMPUTED_VALUE"""),271.0)</f>
        <v>271</v>
      </c>
      <c r="D2099" s="11">
        <f>IFERROR(__xludf.DUMMYFUNCTION("""COMPUTED_VALUE"""),251.0)</f>
        <v>251</v>
      </c>
      <c r="E2099" s="9"/>
    </row>
    <row r="2100">
      <c r="A2100" s="10">
        <f>IFERROR(__xludf.DUMMYFUNCTION("""COMPUTED_VALUE"""),117166.0)</f>
        <v>117166</v>
      </c>
      <c r="B2100" s="11">
        <f>IFERROR(__xludf.DUMMYFUNCTION("""COMPUTED_VALUE"""),1.0)</f>
        <v>1</v>
      </c>
      <c r="C2100" s="11">
        <f>IFERROR(__xludf.DUMMYFUNCTION("""COMPUTED_VALUE"""),489.0)</f>
        <v>489</v>
      </c>
      <c r="D2100" s="11">
        <f>IFERROR(__xludf.DUMMYFUNCTION("""COMPUTED_VALUE"""),99.0)</f>
        <v>99</v>
      </c>
      <c r="E2100" s="9"/>
    </row>
    <row r="2101">
      <c r="A2101" s="10">
        <f>IFERROR(__xludf.DUMMYFUNCTION("""COMPUTED_VALUE"""),111776.0)</f>
        <v>111776</v>
      </c>
      <c r="B2101" s="11">
        <f>IFERROR(__xludf.DUMMYFUNCTION("""COMPUTED_VALUE"""),0.0)</f>
        <v>0</v>
      </c>
      <c r="C2101" s="11">
        <f>IFERROR(__xludf.DUMMYFUNCTION("""COMPUTED_VALUE"""),807.0)</f>
        <v>807</v>
      </c>
      <c r="D2101" s="11">
        <f>IFERROR(__xludf.DUMMYFUNCTION("""COMPUTED_VALUE"""),628.0)</f>
        <v>628</v>
      </c>
      <c r="E2101" s="9"/>
    </row>
    <row r="2102">
      <c r="A2102" s="10">
        <f>IFERROR(__xludf.DUMMYFUNCTION("""COMPUTED_VALUE"""),122388.0)</f>
        <v>122388</v>
      </c>
      <c r="B2102" s="11">
        <f>IFERROR(__xludf.DUMMYFUNCTION("""COMPUTED_VALUE"""),1.0)</f>
        <v>1</v>
      </c>
      <c r="C2102" s="11">
        <f>IFERROR(__xludf.DUMMYFUNCTION("""COMPUTED_VALUE"""),414.0)</f>
        <v>414</v>
      </c>
      <c r="D2102" s="11">
        <f>IFERROR(__xludf.DUMMYFUNCTION("""COMPUTED_VALUE"""),195.0)</f>
        <v>195</v>
      </c>
      <c r="E2102" s="9"/>
    </row>
    <row r="2103">
      <c r="A2103" s="10">
        <f>IFERROR(__xludf.DUMMYFUNCTION("""COMPUTED_VALUE"""),117160.0)</f>
        <v>117160</v>
      </c>
      <c r="B2103" s="11">
        <f>IFERROR(__xludf.DUMMYFUNCTION("""COMPUTED_VALUE"""),0.0)</f>
        <v>0</v>
      </c>
      <c r="C2103" s="11">
        <f>IFERROR(__xludf.DUMMYFUNCTION("""COMPUTED_VALUE"""),113.0)</f>
        <v>113</v>
      </c>
      <c r="D2103" s="11">
        <f>IFERROR(__xludf.DUMMYFUNCTION("""COMPUTED_VALUE"""),45.0)</f>
        <v>45</v>
      </c>
      <c r="E2103" s="9"/>
    </row>
    <row r="2104">
      <c r="A2104" s="10">
        <f>IFERROR(__xludf.DUMMYFUNCTION("""COMPUTED_VALUE"""),98795.0)</f>
        <v>98795</v>
      </c>
      <c r="B2104" s="11">
        <f>IFERROR(__xludf.DUMMYFUNCTION("""COMPUTED_VALUE"""),1.0)</f>
        <v>1</v>
      </c>
      <c r="C2104" s="11">
        <f>IFERROR(__xludf.DUMMYFUNCTION("""COMPUTED_VALUE"""),513.0)</f>
        <v>513</v>
      </c>
      <c r="D2104" s="11">
        <f>IFERROR(__xludf.DUMMYFUNCTION("""COMPUTED_VALUE"""),396.0)</f>
        <v>396</v>
      </c>
      <c r="E2104" s="9"/>
    </row>
    <row r="2105">
      <c r="A2105" s="10">
        <f>IFERROR(__xludf.DUMMYFUNCTION("""COMPUTED_VALUE"""),117150.0)</f>
        <v>117150</v>
      </c>
      <c r="B2105" s="11">
        <f>IFERROR(__xludf.DUMMYFUNCTION("""COMPUTED_VALUE"""),0.0)</f>
        <v>0</v>
      </c>
      <c r="C2105" s="11">
        <f>IFERROR(__xludf.DUMMYFUNCTION("""COMPUTED_VALUE"""),241.0)</f>
        <v>241</v>
      </c>
      <c r="D2105" s="11">
        <f>IFERROR(__xludf.DUMMYFUNCTION("""COMPUTED_VALUE"""),151.0)</f>
        <v>151</v>
      </c>
      <c r="E2105" s="9"/>
    </row>
    <row r="2106">
      <c r="A2106" s="10">
        <f>IFERROR(__xludf.DUMMYFUNCTION("""COMPUTED_VALUE"""),109416.0)</f>
        <v>109416</v>
      </c>
      <c r="B2106" s="11">
        <f>IFERROR(__xludf.DUMMYFUNCTION("""COMPUTED_VALUE"""),1.0)</f>
        <v>1</v>
      </c>
      <c r="C2106" s="11">
        <f>IFERROR(__xludf.DUMMYFUNCTION("""COMPUTED_VALUE"""),558.0)</f>
        <v>558</v>
      </c>
      <c r="D2106" s="11">
        <f>IFERROR(__xludf.DUMMYFUNCTION("""COMPUTED_VALUE"""),20.0)</f>
        <v>20</v>
      </c>
      <c r="E2106" s="9"/>
    </row>
    <row r="2107">
      <c r="A2107" s="10">
        <f>IFERROR(__xludf.DUMMYFUNCTION("""COMPUTED_VALUE"""),122291.0)</f>
        <v>122291</v>
      </c>
      <c r="B2107" s="11">
        <f>IFERROR(__xludf.DUMMYFUNCTION("""COMPUTED_VALUE"""),0.0)</f>
        <v>0</v>
      </c>
      <c r="C2107" s="11">
        <f>IFERROR(__xludf.DUMMYFUNCTION("""COMPUTED_VALUE"""),462.0)</f>
        <v>462</v>
      </c>
      <c r="D2107" s="11">
        <f>IFERROR(__xludf.DUMMYFUNCTION("""COMPUTED_VALUE"""),395.0)</f>
        <v>395</v>
      </c>
      <c r="E2107" s="9"/>
    </row>
    <row r="2108">
      <c r="A2108" s="10">
        <f>IFERROR(__xludf.DUMMYFUNCTION("""COMPUTED_VALUE"""),21820.0)</f>
        <v>21820</v>
      </c>
      <c r="B2108" s="11">
        <f>IFERROR(__xludf.DUMMYFUNCTION("""COMPUTED_VALUE"""),0.0)</f>
        <v>0</v>
      </c>
      <c r="C2108" s="11">
        <f>IFERROR(__xludf.DUMMYFUNCTION("""COMPUTED_VALUE"""),31.0)</f>
        <v>31</v>
      </c>
      <c r="D2108" s="11">
        <f>IFERROR(__xludf.DUMMYFUNCTION("""COMPUTED_VALUE"""),15.0)</f>
        <v>15</v>
      </c>
      <c r="E2108" s="9"/>
    </row>
    <row r="2109">
      <c r="A2109" s="10">
        <f>IFERROR(__xludf.DUMMYFUNCTION("""COMPUTED_VALUE"""),150105.0)</f>
        <v>150105</v>
      </c>
      <c r="B2109" s="11">
        <f>IFERROR(__xludf.DUMMYFUNCTION("""COMPUTED_VALUE"""),0.0)</f>
        <v>0</v>
      </c>
      <c r="C2109" s="11">
        <f>IFERROR(__xludf.DUMMYFUNCTION("""COMPUTED_VALUE"""),338.0)</f>
        <v>338</v>
      </c>
      <c r="D2109" s="11">
        <f>IFERROR(__xludf.DUMMYFUNCTION("""COMPUTED_VALUE"""),170.0)</f>
        <v>170</v>
      </c>
      <c r="E2109" s="9"/>
    </row>
    <row r="2110">
      <c r="A2110" s="10">
        <f>IFERROR(__xludf.DUMMYFUNCTION("""COMPUTED_VALUE"""),46474.0)</f>
        <v>46474</v>
      </c>
      <c r="B2110" s="11">
        <f>IFERROR(__xludf.DUMMYFUNCTION("""COMPUTED_VALUE"""),1.0)</f>
        <v>1</v>
      </c>
      <c r="C2110" s="11">
        <f>IFERROR(__xludf.DUMMYFUNCTION("""COMPUTED_VALUE"""),451.0)</f>
        <v>451</v>
      </c>
      <c r="D2110" s="11">
        <f>IFERROR(__xludf.DUMMYFUNCTION("""COMPUTED_VALUE"""),76.0)</f>
        <v>76</v>
      </c>
      <c r="E2110" s="9"/>
    </row>
    <row r="2111">
      <c r="A2111" s="10">
        <f>IFERROR(__xludf.DUMMYFUNCTION("""COMPUTED_VALUE"""),118207.0)</f>
        <v>118207</v>
      </c>
      <c r="B2111" s="11">
        <f>IFERROR(__xludf.DUMMYFUNCTION("""COMPUTED_VALUE"""),1.0)</f>
        <v>1</v>
      </c>
      <c r="C2111" s="11">
        <f>IFERROR(__xludf.DUMMYFUNCTION("""COMPUTED_VALUE"""),911.0)</f>
        <v>911</v>
      </c>
      <c r="D2111" s="11">
        <f>IFERROR(__xludf.DUMMYFUNCTION("""COMPUTED_VALUE"""),599.0)</f>
        <v>599</v>
      </c>
      <c r="E2111" s="9"/>
    </row>
    <row r="2112">
      <c r="A2112" s="10">
        <f>IFERROR(__xludf.DUMMYFUNCTION("""COMPUTED_VALUE"""),111007.0)</f>
        <v>111007</v>
      </c>
      <c r="B2112" s="11">
        <f>IFERROR(__xludf.DUMMYFUNCTION("""COMPUTED_VALUE"""),1.0)</f>
        <v>1</v>
      </c>
      <c r="C2112" s="11">
        <f>IFERROR(__xludf.DUMMYFUNCTION("""COMPUTED_VALUE"""),390.0)</f>
        <v>390</v>
      </c>
      <c r="D2112" s="11">
        <f>IFERROR(__xludf.DUMMYFUNCTION("""COMPUTED_VALUE"""),389.0)</f>
        <v>389</v>
      </c>
      <c r="E2112" s="9"/>
    </row>
    <row r="2113">
      <c r="A2113" s="10">
        <f>IFERROR(__xludf.DUMMYFUNCTION("""COMPUTED_VALUE"""),9727.0)</f>
        <v>9727</v>
      </c>
      <c r="B2113" s="11">
        <f>IFERROR(__xludf.DUMMYFUNCTION("""COMPUTED_VALUE"""),1.0)</f>
        <v>1</v>
      </c>
      <c r="C2113" s="11">
        <f>IFERROR(__xludf.DUMMYFUNCTION("""COMPUTED_VALUE"""),798.0)</f>
        <v>798</v>
      </c>
      <c r="D2113" s="11">
        <f>IFERROR(__xludf.DUMMYFUNCTION("""COMPUTED_VALUE"""),743.0)</f>
        <v>743</v>
      </c>
      <c r="E2113" s="9"/>
    </row>
    <row r="2114">
      <c r="A2114" s="10">
        <f>IFERROR(__xludf.DUMMYFUNCTION("""COMPUTED_VALUE"""),72321.0)</f>
        <v>72321</v>
      </c>
      <c r="B2114" s="11">
        <f>IFERROR(__xludf.DUMMYFUNCTION("""COMPUTED_VALUE"""),1.0)</f>
        <v>1</v>
      </c>
      <c r="C2114" s="11">
        <f>IFERROR(__xludf.DUMMYFUNCTION("""COMPUTED_VALUE"""),618.0)</f>
        <v>618</v>
      </c>
      <c r="D2114" s="11">
        <f>IFERROR(__xludf.DUMMYFUNCTION("""COMPUTED_VALUE"""),419.0)</f>
        <v>419</v>
      </c>
      <c r="E2114" s="9"/>
    </row>
    <row r="2115">
      <c r="A2115" s="10">
        <f>IFERROR(__xludf.DUMMYFUNCTION("""COMPUTED_VALUE"""),100063.0)</f>
        <v>100063</v>
      </c>
      <c r="B2115" s="11">
        <f>IFERROR(__xludf.DUMMYFUNCTION("""COMPUTED_VALUE"""),0.0)</f>
        <v>0</v>
      </c>
      <c r="C2115" s="11">
        <f>IFERROR(__xludf.DUMMYFUNCTION("""COMPUTED_VALUE"""),943.0)</f>
        <v>943</v>
      </c>
      <c r="D2115" s="11">
        <f>IFERROR(__xludf.DUMMYFUNCTION("""COMPUTED_VALUE"""),514.0)</f>
        <v>514</v>
      </c>
      <c r="E2115" s="9"/>
    </row>
    <row r="2116">
      <c r="A2116" s="10">
        <f>IFERROR(__xludf.DUMMYFUNCTION("""COMPUTED_VALUE"""),79818.0)</f>
        <v>79818</v>
      </c>
      <c r="B2116" s="11">
        <f>IFERROR(__xludf.DUMMYFUNCTION("""COMPUTED_VALUE"""),0.0)</f>
        <v>0</v>
      </c>
      <c r="C2116" s="11">
        <f>IFERROR(__xludf.DUMMYFUNCTION("""COMPUTED_VALUE"""),770.0)</f>
        <v>770</v>
      </c>
      <c r="D2116" s="11">
        <f>IFERROR(__xludf.DUMMYFUNCTION("""COMPUTED_VALUE"""),151.0)</f>
        <v>151</v>
      </c>
      <c r="E2116" s="9"/>
    </row>
    <row r="2117">
      <c r="A2117" s="10">
        <f>IFERROR(__xludf.DUMMYFUNCTION("""COMPUTED_VALUE"""),121731.0)</f>
        <v>121731</v>
      </c>
      <c r="B2117" s="11">
        <f>IFERROR(__xludf.DUMMYFUNCTION("""COMPUTED_VALUE"""),0.0)</f>
        <v>0</v>
      </c>
      <c r="C2117" s="11">
        <f>IFERROR(__xludf.DUMMYFUNCTION("""COMPUTED_VALUE"""),734.0)</f>
        <v>734</v>
      </c>
      <c r="D2117" s="11">
        <f>IFERROR(__xludf.DUMMYFUNCTION("""COMPUTED_VALUE"""),270.0)</f>
        <v>270</v>
      </c>
      <c r="E2117" s="9"/>
    </row>
    <row r="2118">
      <c r="A2118" s="10">
        <f>IFERROR(__xludf.DUMMYFUNCTION("""COMPUTED_VALUE"""),200584.0)</f>
        <v>200584</v>
      </c>
      <c r="B2118" s="11">
        <f>IFERROR(__xludf.DUMMYFUNCTION("""COMPUTED_VALUE"""),1.0)</f>
        <v>1</v>
      </c>
      <c r="C2118" s="11">
        <f>IFERROR(__xludf.DUMMYFUNCTION("""COMPUTED_VALUE"""),303.0)</f>
        <v>303</v>
      </c>
      <c r="D2118" s="11">
        <f>IFERROR(__xludf.DUMMYFUNCTION("""COMPUTED_VALUE"""),40.0)</f>
        <v>40</v>
      </c>
      <c r="E2118" s="9"/>
    </row>
    <row r="2119">
      <c r="A2119" s="10">
        <f>IFERROR(__xludf.DUMMYFUNCTION("""COMPUTED_VALUE"""),68600.0)</f>
        <v>68600</v>
      </c>
      <c r="B2119" s="11">
        <f>IFERROR(__xludf.DUMMYFUNCTION("""COMPUTED_VALUE"""),0.0)</f>
        <v>0</v>
      </c>
      <c r="C2119" s="11">
        <f>IFERROR(__xludf.DUMMYFUNCTION("""COMPUTED_VALUE"""),269.0)</f>
        <v>269</v>
      </c>
      <c r="D2119" s="11">
        <f>IFERROR(__xludf.DUMMYFUNCTION("""COMPUTED_VALUE"""),267.0)</f>
        <v>267</v>
      </c>
      <c r="E2119" s="9"/>
    </row>
    <row r="2120">
      <c r="A2120" s="10">
        <f>IFERROR(__xludf.DUMMYFUNCTION("""COMPUTED_VALUE"""),98788.0)</f>
        <v>98788</v>
      </c>
      <c r="B2120" s="11">
        <f>IFERROR(__xludf.DUMMYFUNCTION("""COMPUTED_VALUE"""),1.0)</f>
        <v>1</v>
      </c>
      <c r="C2120" s="11">
        <f>IFERROR(__xludf.DUMMYFUNCTION("""COMPUTED_VALUE"""),726.0)</f>
        <v>726</v>
      </c>
      <c r="D2120" s="11">
        <f>IFERROR(__xludf.DUMMYFUNCTION("""COMPUTED_VALUE"""),256.0)</f>
        <v>256</v>
      </c>
      <c r="E2120" s="9"/>
    </row>
    <row r="2121">
      <c r="A2121" s="10">
        <f>IFERROR(__xludf.DUMMYFUNCTION("""COMPUTED_VALUE"""),122390.0)</f>
        <v>122390</v>
      </c>
      <c r="B2121" s="11">
        <f>IFERROR(__xludf.DUMMYFUNCTION("""COMPUTED_VALUE"""),0.0)</f>
        <v>0</v>
      </c>
      <c r="C2121" s="11">
        <f>IFERROR(__xludf.DUMMYFUNCTION("""COMPUTED_VALUE"""),569.0)</f>
        <v>569</v>
      </c>
      <c r="D2121" s="11">
        <f>IFERROR(__xludf.DUMMYFUNCTION("""COMPUTED_VALUE"""),398.0)</f>
        <v>398</v>
      </c>
      <c r="E2121" s="9"/>
    </row>
    <row r="2122">
      <c r="A2122" s="10">
        <f>IFERROR(__xludf.DUMMYFUNCTION("""COMPUTED_VALUE"""),109930.0)</f>
        <v>109930</v>
      </c>
      <c r="B2122" s="11">
        <f>IFERROR(__xludf.DUMMYFUNCTION("""COMPUTED_VALUE"""),0.0)</f>
        <v>0</v>
      </c>
      <c r="C2122" s="11">
        <f>IFERROR(__xludf.DUMMYFUNCTION("""COMPUTED_VALUE"""),125.0)</f>
        <v>125</v>
      </c>
      <c r="D2122" s="11">
        <f>IFERROR(__xludf.DUMMYFUNCTION("""COMPUTED_VALUE"""),12.0)</f>
        <v>12</v>
      </c>
      <c r="E2122" s="9"/>
    </row>
    <row r="2123">
      <c r="A2123" s="10">
        <f>IFERROR(__xludf.DUMMYFUNCTION("""COMPUTED_VALUE"""),118299.0)</f>
        <v>118299</v>
      </c>
      <c r="B2123" s="11">
        <f>IFERROR(__xludf.DUMMYFUNCTION("""COMPUTED_VALUE"""),0.0)</f>
        <v>0</v>
      </c>
      <c r="C2123" s="11">
        <f>IFERROR(__xludf.DUMMYFUNCTION("""COMPUTED_VALUE"""),706.0)</f>
        <v>706</v>
      </c>
      <c r="D2123" s="11">
        <f>IFERROR(__xludf.DUMMYFUNCTION("""COMPUTED_VALUE"""),573.0)</f>
        <v>573</v>
      </c>
      <c r="E2123" s="9"/>
    </row>
    <row r="2124">
      <c r="A2124" s="10">
        <f>IFERROR(__xludf.DUMMYFUNCTION("""COMPUTED_VALUE"""),72320.0)</f>
        <v>72320</v>
      </c>
      <c r="B2124" s="11">
        <f>IFERROR(__xludf.DUMMYFUNCTION("""COMPUTED_VALUE"""),1.0)</f>
        <v>1</v>
      </c>
      <c r="C2124" s="11">
        <f>IFERROR(__xludf.DUMMYFUNCTION("""COMPUTED_VALUE"""),744.0)</f>
        <v>744</v>
      </c>
      <c r="D2124" s="11">
        <f>IFERROR(__xludf.DUMMYFUNCTION("""COMPUTED_VALUE"""),447.0)</f>
        <v>447</v>
      </c>
      <c r="E2124" s="9"/>
    </row>
    <row r="2125">
      <c r="A2125" s="10">
        <f>IFERROR(__xludf.DUMMYFUNCTION("""COMPUTED_VALUE"""),87839.0)</f>
        <v>87839</v>
      </c>
      <c r="B2125" s="11">
        <f>IFERROR(__xludf.DUMMYFUNCTION("""COMPUTED_VALUE"""),1.0)</f>
        <v>1</v>
      </c>
      <c r="C2125" s="11">
        <f>IFERROR(__xludf.DUMMYFUNCTION("""COMPUTED_VALUE"""),842.0)</f>
        <v>842</v>
      </c>
      <c r="D2125" s="11">
        <f>IFERROR(__xludf.DUMMYFUNCTION("""COMPUTED_VALUE"""),693.0)</f>
        <v>693</v>
      </c>
      <c r="E2125" s="9"/>
    </row>
    <row r="2126">
      <c r="A2126" s="10">
        <f>IFERROR(__xludf.DUMMYFUNCTION("""COMPUTED_VALUE"""),79819.0)</f>
        <v>79819</v>
      </c>
      <c r="B2126" s="11">
        <f>IFERROR(__xludf.DUMMYFUNCTION("""COMPUTED_VALUE"""),0.0)</f>
        <v>0</v>
      </c>
      <c r="C2126" s="11">
        <f>IFERROR(__xludf.DUMMYFUNCTION("""COMPUTED_VALUE"""),723.0)</f>
        <v>723</v>
      </c>
      <c r="D2126" s="11">
        <f>IFERROR(__xludf.DUMMYFUNCTION("""COMPUTED_VALUE"""),372.0)</f>
        <v>372</v>
      </c>
      <c r="E2126" s="9"/>
    </row>
    <row r="2127">
      <c r="A2127" s="10">
        <f>IFERROR(__xludf.DUMMYFUNCTION("""COMPUTED_VALUE"""),117169.0)</f>
        <v>117169</v>
      </c>
      <c r="B2127" s="11">
        <f>IFERROR(__xludf.DUMMYFUNCTION("""COMPUTED_VALUE"""),1.0)</f>
        <v>1</v>
      </c>
      <c r="C2127" s="11">
        <f>IFERROR(__xludf.DUMMYFUNCTION("""COMPUTED_VALUE"""),408.0)</f>
        <v>408</v>
      </c>
      <c r="D2127" s="11">
        <f>IFERROR(__xludf.DUMMYFUNCTION("""COMPUTED_VALUE"""),83.0)</f>
        <v>83</v>
      </c>
      <c r="E2127" s="9"/>
    </row>
    <row r="2128">
      <c r="A2128" s="10">
        <f>IFERROR(__xludf.DUMMYFUNCTION("""COMPUTED_VALUE"""),200585.0)</f>
        <v>200585</v>
      </c>
      <c r="B2128" s="11">
        <f>IFERROR(__xludf.DUMMYFUNCTION("""COMPUTED_VALUE"""),0.0)</f>
        <v>0</v>
      </c>
      <c r="C2128" s="11">
        <f>IFERROR(__xludf.DUMMYFUNCTION("""COMPUTED_VALUE"""),87.0)</f>
        <v>87</v>
      </c>
      <c r="D2128" s="11">
        <f>IFERROR(__xludf.DUMMYFUNCTION("""COMPUTED_VALUE"""),2.0)</f>
        <v>2</v>
      </c>
      <c r="E2128" s="9"/>
    </row>
    <row r="2129">
      <c r="A2129" s="10">
        <f>IFERROR(__xludf.DUMMYFUNCTION("""COMPUTED_VALUE"""),70339.0)</f>
        <v>70339</v>
      </c>
      <c r="B2129" s="11">
        <f>IFERROR(__xludf.DUMMYFUNCTION("""COMPUTED_VALUE"""),0.0)</f>
        <v>0</v>
      </c>
      <c r="C2129" s="11">
        <f>IFERROR(__xludf.DUMMYFUNCTION("""COMPUTED_VALUE"""),259.0)</f>
        <v>259</v>
      </c>
      <c r="D2129" s="11">
        <f>IFERROR(__xludf.DUMMYFUNCTION("""COMPUTED_VALUE"""),199.0)</f>
        <v>199</v>
      </c>
      <c r="E2129" s="9"/>
    </row>
    <row r="2130">
      <c r="A2130" s="10">
        <f>IFERROR(__xludf.DUMMYFUNCTION("""COMPUTED_VALUE"""),45597.0)</f>
        <v>45597</v>
      </c>
      <c r="B2130" s="11">
        <f>IFERROR(__xludf.DUMMYFUNCTION("""COMPUTED_VALUE"""),1.0)</f>
        <v>1</v>
      </c>
      <c r="C2130" s="11">
        <f>IFERROR(__xludf.DUMMYFUNCTION("""COMPUTED_VALUE"""),57.0)</f>
        <v>57</v>
      </c>
      <c r="D2130" s="11">
        <f>IFERROR(__xludf.DUMMYFUNCTION("""COMPUTED_VALUE"""),37.0)</f>
        <v>37</v>
      </c>
      <c r="E2130" s="9"/>
    </row>
    <row r="2131">
      <c r="A2131" s="10">
        <f>IFERROR(__xludf.DUMMYFUNCTION("""COMPUTED_VALUE"""),117147.0)</f>
        <v>117147</v>
      </c>
      <c r="B2131" s="11">
        <f>IFERROR(__xludf.DUMMYFUNCTION("""COMPUTED_VALUE"""),1.0)</f>
        <v>1</v>
      </c>
      <c r="C2131" s="11">
        <f>IFERROR(__xludf.DUMMYFUNCTION("""COMPUTED_VALUE"""),774.0)</f>
        <v>774</v>
      </c>
      <c r="D2131" s="11">
        <f>IFERROR(__xludf.DUMMYFUNCTION("""COMPUTED_VALUE"""),591.0)</f>
        <v>591</v>
      </c>
      <c r="E2131" s="9"/>
    </row>
    <row r="2132">
      <c r="A2132" s="10">
        <f>IFERROR(__xludf.DUMMYFUNCTION("""COMPUTED_VALUE"""),46309.0)</f>
        <v>46309</v>
      </c>
      <c r="B2132" s="11">
        <f>IFERROR(__xludf.DUMMYFUNCTION("""COMPUTED_VALUE"""),0.0)</f>
        <v>0</v>
      </c>
      <c r="C2132" s="11">
        <f>IFERROR(__xludf.DUMMYFUNCTION("""COMPUTED_VALUE"""),155.0)</f>
        <v>155</v>
      </c>
      <c r="D2132" s="11">
        <f>IFERROR(__xludf.DUMMYFUNCTION("""COMPUTED_VALUE"""),108.0)</f>
        <v>108</v>
      </c>
      <c r="E2132" s="9"/>
    </row>
    <row r="2133">
      <c r="A2133" s="10">
        <f>IFERROR(__xludf.DUMMYFUNCTION("""COMPUTED_VALUE"""),45595.0)</f>
        <v>45595</v>
      </c>
      <c r="B2133" s="11">
        <f>IFERROR(__xludf.DUMMYFUNCTION("""COMPUTED_VALUE"""),1.0)</f>
        <v>1</v>
      </c>
      <c r="C2133" s="11">
        <f>IFERROR(__xludf.DUMMYFUNCTION("""COMPUTED_VALUE"""),199.0)</f>
        <v>199</v>
      </c>
      <c r="D2133" s="11">
        <f>IFERROR(__xludf.DUMMYFUNCTION("""COMPUTED_VALUE"""),115.0)</f>
        <v>115</v>
      </c>
      <c r="E2133" s="9"/>
    </row>
    <row r="2134">
      <c r="A2134" s="10">
        <f>IFERROR(__xludf.DUMMYFUNCTION("""COMPUTED_VALUE"""),100311.0)</f>
        <v>100311</v>
      </c>
      <c r="B2134" s="11">
        <f>IFERROR(__xludf.DUMMYFUNCTION("""COMPUTED_VALUE"""),1.0)</f>
        <v>1</v>
      </c>
      <c r="C2134" s="11">
        <f>IFERROR(__xludf.DUMMYFUNCTION("""COMPUTED_VALUE"""),25.0)</f>
        <v>25</v>
      </c>
      <c r="D2134" s="11">
        <f>IFERROR(__xludf.DUMMYFUNCTION("""COMPUTED_VALUE"""),1.0)</f>
        <v>1</v>
      </c>
      <c r="E2134" s="9"/>
    </row>
    <row r="2135">
      <c r="A2135" s="10">
        <f>IFERROR(__xludf.DUMMYFUNCTION("""COMPUTED_VALUE"""),122491.0)</f>
        <v>122491</v>
      </c>
      <c r="B2135" s="11">
        <f>IFERROR(__xludf.DUMMYFUNCTION("""COMPUTED_VALUE"""),1.0)</f>
        <v>1</v>
      </c>
      <c r="C2135" s="11">
        <f>IFERROR(__xludf.DUMMYFUNCTION("""COMPUTED_VALUE"""),337.0)</f>
        <v>337</v>
      </c>
      <c r="D2135" s="11">
        <f>IFERROR(__xludf.DUMMYFUNCTION("""COMPUTED_VALUE"""),234.0)</f>
        <v>234</v>
      </c>
      <c r="E2135" s="9"/>
    </row>
    <row r="2136">
      <c r="A2136" s="10">
        <f>IFERROR(__xludf.DUMMYFUNCTION("""COMPUTED_VALUE"""),117466.0)</f>
        <v>117466</v>
      </c>
      <c r="B2136" s="11">
        <f>IFERROR(__xludf.DUMMYFUNCTION("""COMPUTED_VALUE"""),1.0)</f>
        <v>1</v>
      </c>
      <c r="C2136" s="11">
        <f>IFERROR(__xludf.DUMMYFUNCTION("""COMPUTED_VALUE"""),320.0)</f>
        <v>320</v>
      </c>
      <c r="D2136" s="11">
        <f>IFERROR(__xludf.DUMMYFUNCTION("""COMPUTED_VALUE"""),228.0)</f>
        <v>228</v>
      </c>
      <c r="E2136" s="9"/>
    </row>
    <row r="2137">
      <c r="A2137" s="10">
        <f>IFERROR(__xludf.DUMMYFUNCTION("""COMPUTED_VALUE"""),85107.0)</f>
        <v>85107</v>
      </c>
      <c r="B2137" s="11">
        <f>IFERROR(__xludf.DUMMYFUNCTION("""COMPUTED_VALUE"""),0.0)</f>
        <v>0</v>
      </c>
      <c r="C2137" s="11">
        <f>IFERROR(__xludf.DUMMYFUNCTION("""COMPUTED_VALUE"""),660.0)</f>
        <v>660</v>
      </c>
      <c r="D2137" s="11">
        <f>IFERROR(__xludf.DUMMYFUNCTION("""COMPUTED_VALUE"""),25.0)</f>
        <v>25</v>
      </c>
      <c r="E2137" s="9"/>
    </row>
    <row r="2138">
      <c r="A2138" s="10">
        <f>IFERROR(__xludf.DUMMYFUNCTION("""COMPUTED_VALUE"""),45594.0)</f>
        <v>45594</v>
      </c>
      <c r="B2138" s="11">
        <f>IFERROR(__xludf.DUMMYFUNCTION("""COMPUTED_VALUE"""),1.0)</f>
        <v>1</v>
      </c>
      <c r="C2138" s="11">
        <f>IFERROR(__xludf.DUMMYFUNCTION("""COMPUTED_VALUE"""),391.0)</f>
        <v>391</v>
      </c>
      <c r="D2138" s="11">
        <f>IFERROR(__xludf.DUMMYFUNCTION("""COMPUTED_VALUE"""),371.0)</f>
        <v>371</v>
      </c>
      <c r="E2138" s="9"/>
    </row>
    <row r="2139">
      <c r="A2139" s="10">
        <f>IFERROR(__xludf.DUMMYFUNCTION("""COMPUTED_VALUE"""),118298.0)</f>
        <v>118298</v>
      </c>
      <c r="B2139" s="11">
        <f>IFERROR(__xludf.DUMMYFUNCTION("""COMPUTED_VALUE"""),0.0)</f>
        <v>0</v>
      </c>
      <c r="C2139" s="11">
        <f>IFERROR(__xludf.DUMMYFUNCTION("""COMPUTED_VALUE"""),865.0)</f>
        <v>865</v>
      </c>
      <c r="D2139" s="11">
        <f>IFERROR(__xludf.DUMMYFUNCTION("""COMPUTED_VALUE"""),515.0)</f>
        <v>515</v>
      </c>
      <c r="E2139" s="9"/>
    </row>
    <row r="2140">
      <c r="A2140" s="10">
        <f>IFERROR(__xludf.DUMMYFUNCTION("""COMPUTED_VALUE"""),98802.0)</f>
        <v>98802</v>
      </c>
      <c r="B2140" s="11">
        <f>IFERROR(__xludf.DUMMYFUNCTION("""COMPUTED_VALUE"""),0.0)</f>
        <v>0</v>
      </c>
      <c r="C2140" s="11">
        <f>IFERROR(__xludf.DUMMYFUNCTION("""COMPUTED_VALUE"""),89.0)</f>
        <v>89</v>
      </c>
      <c r="D2140" s="11">
        <f>IFERROR(__xludf.DUMMYFUNCTION("""COMPUTED_VALUE"""),7.0)</f>
        <v>7</v>
      </c>
      <c r="E2140" s="9"/>
    </row>
    <row r="2141">
      <c r="A2141" s="10">
        <f>IFERROR(__xludf.DUMMYFUNCTION("""COMPUTED_VALUE"""),46985.0)</f>
        <v>46985</v>
      </c>
      <c r="B2141" s="11">
        <f>IFERROR(__xludf.DUMMYFUNCTION("""COMPUTED_VALUE"""),0.0)</f>
        <v>0</v>
      </c>
      <c r="C2141" s="11">
        <f>IFERROR(__xludf.DUMMYFUNCTION("""COMPUTED_VALUE"""),858.0)</f>
        <v>858</v>
      </c>
      <c r="D2141" s="11">
        <f>IFERROR(__xludf.DUMMYFUNCTION("""COMPUTED_VALUE"""),855.0)</f>
        <v>855</v>
      </c>
      <c r="E2141" s="9"/>
    </row>
    <row r="2142">
      <c r="A2142" s="10">
        <f>IFERROR(__xludf.DUMMYFUNCTION("""COMPUTED_VALUE"""),46476.0)</f>
        <v>46476</v>
      </c>
      <c r="B2142" s="11">
        <f>IFERROR(__xludf.DUMMYFUNCTION("""COMPUTED_VALUE"""),1.0)</f>
        <v>1</v>
      </c>
      <c r="C2142" s="11">
        <f>IFERROR(__xludf.DUMMYFUNCTION("""COMPUTED_VALUE"""),607.0)</f>
        <v>607</v>
      </c>
      <c r="D2142" s="11">
        <f>IFERROR(__xludf.DUMMYFUNCTION("""COMPUTED_VALUE"""),251.0)</f>
        <v>251</v>
      </c>
      <c r="E2142" s="9"/>
    </row>
    <row r="2143">
      <c r="A2143" s="10">
        <f>IFERROR(__xludf.DUMMYFUNCTION("""COMPUTED_VALUE"""),110187.0)</f>
        <v>110187</v>
      </c>
      <c r="B2143" s="11">
        <f>IFERROR(__xludf.DUMMYFUNCTION("""COMPUTED_VALUE"""),0.0)</f>
        <v>0</v>
      </c>
      <c r="C2143" s="11">
        <f>IFERROR(__xludf.DUMMYFUNCTION("""COMPUTED_VALUE"""),718.0)</f>
        <v>718</v>
      </c>
      <c r="D2143" s="11">
        <f>IFERROR(__xludf.DUMMYFUNCTION("""COMPUTED_VALUE"""),484.0)</f>
        <v>484</v>
      </c>
      <c r="E2143" s="9"/>
    </row>
    <row r="2144">
      <c r="A2144" s="10">
        <f>IFERROR(__xludf.DUMMYFUNCTION("""COMPUTED_VALUE"""),79988.0)</f>
        <v>79988</v>
      </c>
      <c r="B2144" s="11">
        <f>IFERROR(__xludf.DUMMYFUNCTION("""COMPUTED_VALUE"""),1.0)</f>
        <v>1</v>
      </c>
      <c r="C2144" s="11">
        <f>IFERROR(__xludf.DUMMYFUNCTION("""COMPUTED_VALUE"""),509.0)</f>
        <v>509</v>
      </c>
      <c r="D2144" s="11">
        <f>IFERROR(__xludf.DUMMYFUNCTION("""COMPUTED_VALUE"""),74.0)</f>
        <v>74</v>
      </c>
      <c r="E2144" s="9"/>
    </row>
    <row r="2145">
      <c r="A2145" s="10">
        <f>IFERROR(__xludf.DUMMYFUNCTION("""COMPUTED_VALUE"""),46970.0)</f>
        <v>46970</v>
      </c>
      <c r="B2145" s="11">
        <f>IFERROR(__xludf.DUMMYFUNCTION("""COMPUTED_VALUE"""),1.0)</f>
        <v>1</v>
      </c>
      <c r="C2145" s="11">
        <f>IFERROR(__xludf.DUMMYFUNCTION("""COMPUTED_VALUE"""),224.0)</f>
        <v>224</v>
      </c>
      <c r="D2145" s="11">
        <f>IFERROR(__xludf.DUMMYFUNCTION("""COMPUTED_VALUE"""),132.0)</f>
        <v>132</v>
      </c>
      <c r="E2145" s="9"/>
    </row>
    <row r="2146">
      <c r="A2146" s="10">
        <f>IFERROR(__xludf.DUMMYFUNCTION("""COMPUTED_VALUE"""),6519.0)</f>
        <v>6519</v>
      </c>
      <c r="B2146" s="11">
        <f>IFERROR(__xludf.DUMMYFUNCTION("""COMPUTED_VALUE"""),0.0)</f>
        <v>0</v>
      </c>
      <c r="C2146" s="11">
        <f>IFERROR(__xludf.DUMMYFUNCTION("""COMPUTED_VALUE"""),763.0)</f>
        <v>763</v>
      </c>
      <c r="D2146" s="11">
        <f>IFERROR(__xludf.DUMMYFUNCTION("""COMPUTED_VALUE"""),538.0)</f>
        <v>538</v>
      </c>
      <c r="E2146" s="9"/>
    </row>
    <row r="2147">
      <c r="A2147" s="10">
        <f>IFERROR(__xludf.DUMMYFUNCTION("""COMPUTED_VALUE"""),118205.0)</f>
        <v>118205</v>
      </c>
      <c r="B2147" s="11">
        <f>IFERROR(__xludf.DUMMYFUNCTION("""COMPUTED_VALUE"""),1.0)</f>
        <v>1</v>
      </c>
      <c r="C2147" s="11">
        <f>IFERROR(__xludf.DUMMYFUNCTION("""COMPUTED_VALUE"""),328.0)</f>
        <v>328</v>
      </c>
      <c r="D2147" s="11">
        <f>IFERROR(__xludf.DUMMYFUNCTION("""COMPUTED_VALUE"""),60.0)</f>
        <v>60</v>
      </c>
      <c r="E2147" s="9"/>
    </row>
    <row r="2148">
      <c r="A2148" s="10">
        <f>IFERROR(__xludf.DUMMYFUNCTION("""COMPUTED_VALUE"""),109412.0)</f>
        <v>109412</v>
      </c>
      <c r="B2148" s="11">
        <f>IFERROR(__xludf.DUMMYFUNCTION("""COMPUTED_VALUE"""),1.0)</f>
        <v>1</v>
      </c>
      <c r="C2148" s="11">
        <f>IFERROR(__xludf.DUMMYFUNCTION("""COMPUTED_VALUE"""),370.0)</f>
        <v>370</v>
      </c>
      <c r="D2148" s="11">
        <f>IFERROR(__xludf.DUMMYFUNCTION("""COMPUTED_VALUE"""),72.0)</f>
        <v>72</v>
      </c>
      <c r="E2148" s="9"/>
    </row>
    <row r="2149">
      <c r="A2149" s="10">
        <f>IFERROR(__xludf.DUMMYFUNCTION("""COMPUTED_VALUE"""),117931.0)</f>
        <v>117931</v>
      </c>
      <c r="B2149" s="11">
        <f>IFERROR(__xludf.DUMMYFUNCTION("""COMPUTED_VALUE"""),0.0)</f>
        <v>0</v>
      </c>
      <c r="C2149" s="11">
        <f>IFERROR(__xludf.DUMMYFUNCTION("""COMPUTED_VALUE"""),23.0)</f>
        <v>23</v>
      </c>
      <c r="D2149" s="11">
        <f>IFERROR(__xludf.DUMMYFUNCTION("""COMPUTED_VALUE"""),6.0)</f>
        <v>6</v>
      </c>
      <c r="E2149" s="9"/>
    </row>
    <row r="2150">
      <c r="A2150" s="10">
        <f>IFERROR(__xludf.DUMMYFUNCTION("""COMPUTED_VALUE"""),70042.0)</f>
        <v>70042</v>
      </c>
      <c r="B2150" s="11">
        <f>IFERROR(__xludf.DUMMYFUNCTION("""COMPUTED_VALUE"""),0.0)</f>
        <v>0</v>
      </c>
      <c r="C2150" s="11">
        <f>IFERROR(__xludf.DUMMYFUNCTION("""COMPUTED_VALUE"""),437.0)</f>
        <v>437</v>
      </c>
      <c r="D2150" s="11">
        <f>IFERROR(__xludf.DUMMYFUNCTION("""COMPUTED_VALUE"""),374.0)</f>
        <v>374</v>
      </c>
      <c r="E2150" s="9"/>
    </row>
    <row r="2151">
      <c r="A2151" s="10">
        <f>IFERROR(__xludf.DUMMYFUNCTION("""COMPUTED_VALUE"""),150104.0)</f>
        <v>150104</v>
      </c>
      <c r="B2151" s="11">
        <f>IFERROR(__xludf.DUMMYFUNCTION("""COMPUTED_VALUE"""),0.0)</f>
        <v>0</v>
      </c>
      <c r="C2151" s="11">
        <f>IFERROR(__xludf.DUMMYFUNCTION("""COMPUTED_VALUE"""),156.0)</f>
        <v>156</v>
      </c>
      <c r="D2151" s="11">
        <f>IFERROR(__xludf.DUMMYFUNCTION("""COMPUTED_VALUE"""),35.0)</f>
        <v>35</v>
      </c>
      <c r="E2151" s="9"/>
    </row>
    <row r="2152">
      <c r="A2152" s="10">
        <f>IFERROR(__xludf.DUMMYFUNCTION("""COMPUTED_VALUE"""),72319.0)</f>
        <v>72319</v>
      </c>
      <c r="B2152" s="11">
        <f>IFERROR(__xludf.DUMMYFUNCTION("""COMPUTED_VALUE"""),1.0)</f>
        <v>1</v>
      </c>
      <c r="C2152" s="11">
        <f>IFERROR(__xludf.DUMMYFUNCTION("""COMPUTED_VALUE"""),423.0)</f>
        <v>423</v>
      </c>
      <c r="D2152" s="11">
        <f>IFERROR(__xludf.DUMMYFUNCTION("""COMPUTED_VALUE"""),182.0)</f>
        <v>182</v>
      </c>
      <c r="E2152" s="9"/>
    </row>
    <row r="2153">
      <c r="A2153" s="10">
        <f>IFERROR(__xludf.DUMMYFUNCTION("""COMPUTED_VALUE"""),100060.0)</f>
        <v>100060</v>
      </c>
      <c r="B2153" s="11">
        <f>IFERROR(__xludf.DUMMYFUNCTION("""COMPUTED_VALUE"""),0.0)</f>
        <v>0</v>
      </c>
      <c r="C2153" s="11">
        <f>IFERROR(__xludf.DUMMYFUNCTION("""COMPUTED_VALUE"""),903.0)</f>
        <v>903</v>
      </c>
      <c r="D2153" s="11">
        <f>IFERROR(__xludf.DUMMYFUNCTION("""COMPUTED_VALUE"""),839.0)</f>
        <v>839</v>
      </c>
      <c r="E2153" s="9"/>
    </row>
    <row r="2154">
      <c r="A2154" s="10">
        <f>IFERROR(__xludf.DUMMYFUNCTION("""COMPUTED_VALUE"""),6521.0)</f>
        <v>6521</v>
      </c>
      <c r="B2154" s="11">
        <f>IFERROR(__xludf.DUMMYFUNCTION("""COMPUTED_VALUE"""),1.0)</f>
        <v>1</v>
      </c>
      <c r="C2154" s="11">
        <f>IFERROR(__xludf.DUMMYFUNCTION("""COMPUTED_VALUE"""),490.0)</f>
        <v>490</v>
      </c>
      <c r="D2154" s="11">
        <f>IFERROR(__xludf.DUMMYFUNCTION("""COMPUTED_VALUE"""),421.0)</f>
        <v>421</v>
      </c>
      <c r="E2154" s="9"/>
    </row>
    <row r="2155">
      <c r="A2155" s="10">
        <f>IFERROR(__xludf.DUMMYFUNCTION("""COMPUTED_VALUE"""),45058.0)</f>
        <v>45058</v>
      </c>
      <c r="B2155" s="11">
        <f>IFERROR(__xludf.DUMMYFUNCTION("""COMPUTED_VALUE"""),0.0)</f>
        <v>0</v>
      </c>
      <c r="C2155" s="11">
        <f>IFERROR(__xludf.DUMMYFUNCTION("""COMPUTED_VALUE"""),509.0)</f>
        <v>509</v>
      </c>
      <c r="D2155" s="11">
        <f>IFERROR(__xludf.DUMMYFUNCTION("""COMPUTED_VALUE"""),408.0)</f>
        <v>408</v>
      </c>
      <c r="E2155" s="9"/>
    </row>
    <row r="2156">
      <c r="A2156" s="10">
        <f>IFERROR(__xludf.DUMMYFUNCTION("""COMPUTED_VALUE"""),117139.0)</f>
        <v>117139</v>
      </c>
      <c r="B2156" s="11">
        <f>IFERROR(__xludf.DUMMYFUNCTION("""COMPUTED_VALUE"""),1.0)</f>
        <v>1</v>
      </c>
      <c r="C2156" s="11">
        <f>IFERROR(__xludf.DUMMYFUNCTION("""COMPUTED_VALUE"""),378.0)</f>
        <v>378</v>
      </c>
      <c r="D2156" s="11">
        <f>IFERROR(__xludf.DUMMYFUNCTION("""COMPUTED_VALUE"""),168.0)</f>
        <v>168</v>
      </c>
      <c r="E2156" s="9"/>
    </row>
    <row r="2157">
      <c r="A2157" s="10">
        <f>IFERROR(__xludf.DUMMYFUNCTION("""COMPUTED_VALUE"""),117464.0)</f>
        <v>117464</v>
      </c>
      <c r="B2157" s="11">
        <f>IFERROR(__xludf.DUMMYFUNCTION("""COMPUTED_VALUE"""),0.0)</f>
        <v>0</v>
      </c>
      <c r="C2157" s="11">
        <f>IFERROR(__xludf.DUMMYFUNCTION("""COMPUTED_VALUE"""),910.0)</f>
        <v>910</v>
      </c>
      <c r="D2157" s="11">
        <f>IFERROR(__xludf.DUMMYFUNCTION("""COMPUTED_VALUE"""),457.0)</f>
        <v>457</v>
      </c>
      <c r="E2157" s="9"/>
    </row>
    <row r="2158">
      <c r="A2158" s="10">
        <f>IFERROR(__xludf.DUMMYFUNCTION("""COMPUTED_VALUE"""),111777.0)</f>
        <v>111777</v>
      </c>
      <c r="B2158" s="11">
        <f>IFERROR(__xludf.DUMMYFUNCTION("""COMPUTED_VALUE"""),1.0)</f>
        <v>1</v>
      </c>
      <c r="C2158" s="11">
        <f>IFERROR(__xludf.DUMMYFUNCTION("""COMPUTED_VALUE"""),114.0)</f>
        <v>114</v>
      </c>
      <c r="D2158" s="11">
        <f>IFERROR(__xludf.DUMMYFUNCTION("""COMPUTED_VALUE"""),40.0)</f>
        <v>40</v>
      </c>
      <c r="E2158" s="9"/>
    </row>
    <row r="2159">
      <c r="A2159" s="10">
        <f>IFERROR(__xludf.DUMMYFUNCTION("""COMPUTED_VALUE"""),122375.0)</f>
        <v>122375</v>
      </c>
      <c r="B2159" s="11">
        <f>IFERROR(__xludf.DUMMYFUNCTION("""COMPUTED_VALUE"""),1.0)</f>
        <v>1</v>
      </c>
      <c r="C2159" s="11">
        <f>IFERROR(__xludf.DUMMYFUNCTION("""COMPUTED_VALUE"""),304.0)</f>
        <v>304</v>
      </c>
      <c r="D2159" s="11">
        <f>IFERROR(__xludf.DUMMYFUNCTION("""COMPUTED_VALUE"""),23.0)</f>
        <v>23</v>
      </c>
      <c r="E2159" s="9"/>
    </row>
    <row r="2160">
      <c r="A2160" s="10">
        <f>IFERROR(__xludf.DUMMYFUNCTION("""COMPUTED_VALUE"""),122282.0)</f>
        <v>122282</v>
      </c>
      <c r="B2160" s="11">
        <f>IFERROR(__xludf.DUMMYFUNCTION("""COMPUTED_VALUE"""),0.0)</f>
        <v>0</v>
      </c>
      <c r="C2160" s="11">
        <f>IFERROR(__xludf.DUMMYFUNCTION("""COMPUTED_VALUE"""),215.0)</f>
        <v>215</v>
      </c>
      <c r="D2160" s="11">
        <f>IFERROR(__xludf.DUMMYFUNCTION("""COMPUTED_VALUE"""),46.0)</f>
        <v>46</v>
      </c>
      <c r="E2160" s="9"/>
    </row>
    <row r="2161">
      <c r="A2161" s="10">
        <f>IFERROR(__xludf.DUMMYFUNCTION("""COMPUTED_VALUE"""),47161.0)</f>
        <v>47161</v>
      </c>
      <c r="B2161" s="11">
        <f>IFERROR(__xludf.DUMMYFUNCTION("""COMPUTED_VALUE"""),1.0)</f>
        <v>1</v>
      </c>
      <c r="C2161" s="11">
        <f>IFERROR(__xludf.DUMMYFUNCTION("""COMPUTED_VALUE"""),264.0)</f>
        <v>264</v>
      </c>
      <c r="D2161" s="11">
        <f>IFERROR(__xludf.DUMMYFUNCTION("""COMPUTED_VALUE"""),51.0)</f>
        <v>51</v>
      </c>
      <c r="E2161" s="9"/>
    </row>
    <row r="2162">
      <c r="A2162" s="10">
        <f>IFERROR(__xludf.DUMMYFUNCTION("""COMPUTED_VALUE"""),47159.0)</f>
        <v>47159</v>
      </c>
      <c r="B2162" s="11">
        <f>IFERROR(__xludf.DUMMYFUNCTION("""COMPUTED_VALUE"""),0.0)</f>
        <v>0</v>
      </c>
      <c r="C2162" s="11">
        <f>IFERROR(__xludf.DUMMYFUNCTION("""COMPUTED_VALUE"""),759.0)</f>
        <v>759</v>
      </c>
      <c r="D2162" s="11">
        <f>IFERROR(__xludf.DUMMYFUNCTION("""COMPUTED_VALUE"""),600.0)</f>
        <v>600</v>
      </c>
      <c r="E2162" s="9"/>
    </row>
    <row r="2163">
      <c r="A2163" s="10">
        <f>IFERROR(__xludf.DUMMYFUNCTION("""COMPUTED_VALUE"""),71327.0)</f>
        <v>71327</v>
      </c>
      <c r="B2163" s="11">
        <f>IFERROR(__xludf.DUMMYFUNCTION("""COMPUTED_VALUE"""),0.0)</f>
        <v>0</v>
      </c>
      <c r="C2163" s="11">
        <f>IFERROR(__xludf.DUMMYFUNCTION("""COMPUTED_VALUE"""),83.0)</f>
        <v>83</v>
      </c>
      <c r="D2163" s="11">
        <f>IFERROR(__xludf.DUMMYFUNCTION("""COMPUTED_VALUE"""),42.0)</f>
        <v>42</v>
      </c>
      <c r="E2163" s="9"/>
    </row>
    <row r="2164">
      <c r="A2164" s="10">
        <f>IFERROR(__xludf.DUMMYFUNCTION("""COMPUTED_VALUE"""),122276.0)</f>
        <v>122276</v>
      </c>
      <c r="B2164" s="11">
        <f>IFERROR(__xludf.DUMMYFUNCTION("""COMPUTED_VALUE"""),0.0)</f>
        <v>0</v>
      </c>
      <c r="C2164" s="11">
        <f>IFERROR(__xludf.DUMMYFUNCTION("""COMPUTED_VALUE"""),34.0)</f>
        <v>34</v>
      </c>
      <c r="D2164" s="11">
        <f>IFERROR(__xludf.DUMMYFUNCTION("""COMPUTED_VALUE"""),3.0)</f>
        <v>3</v>
      </c>
      <c r="E2164" s="9"/>
    </row>
    <row r="2165">
      <c r="A2165" s="10">
        <f>IFERROR(__xludf.DUMMYFUNCTION("""COMPUTED_VALUE"""),72806.0)</f>
        <v>72806</v>
      </c>
      <c r="B2165" s="11">
        <f>IFERROR(__xludf.DUMMYFUNCTION("""COMPUTED_VALUE"""),1.0)</f>
        <v>1</v>
      </c>
      <c r="C2165" s="11">
        <f>IFERROR(__xludf.DUMMYFUNCTION("""COMPUTED_VALUE"""),769.0)</f>
        <v>769</v>
      </c>
      <c r="D2165" s="11">
        <f>IFERROR(__xludf.DUMMYFUNCTION("""COMPUTED_VALUE"""),719.0)</f>
        <v>719</v>
      </c>
      <c r="E2165" s="9"/>
    </row>
    <row r="2166">
      <c r="A2166" s="10">
        <f>IFERROR(__xludf.DUMMYFUNCTION("""COMPUTED_VALUE"""),100248.0)</f>
        <v>100248</v>
      </c>
      <c r="B2166" s="11">
        <f>IFERROR(__xludf.DUMMYFUNCTION("""COMPUTED_VALUE"""),0.0)</f>
        <v>0</v>
      </c>
      <c r="C2166" s="11">
        <f>IFERROR(__xludf.DUMMYFUNCTION("""COMPUTED_VALUE"""),445.0)</f>
        <v>445</v>
      </c>
      <c r="D2166" s="11">
        <f>IFERROR(__xludf.DUMMYFUNCTION("""COMPUTED_VALUE"""),38.0)</f>
        <v>38</v>
      </c>
      <c r="E2166" s="9"/>
    </row>
    <row r="2167">
      <c r="A2167" s="10">
        <f>IFERROR(__xludf.DUMMYFUNCTION("""COMPUTED_VALUE"""),122378.0)</f>
        <v>122378</v>
      </c>
      <c r="B2167" s="11">
        <f>IFERROR(__xludf.DUMMYFUNCTION("""COMPUTED_VALUE"""),1.0)</f>
        <v>1</v>
      </c>
      <c r="C2167" s="11">
        <f>IFERROR(__xludf.DUMMYFUNCTION("""COMPUTED_VALUE"""),155.0)</f>
        <v>155</v>
      </c>
      <c r="D2167" s="11">
        <f>IFERROR(__xludf.DUMMYFUNCTION("""COMPUTED_VALUE"""),43.0)</f>
        <v>43</v>
      </c>
      <c r="E2167" s="9"/>
    </row>
    <row r="2168">
      <c r="A2168" s="10">
        <f>IFERROR(__xludf.DUMMYFUNCTION("""COMPUTED_VALUE"""),44762.0)</f>
        <v>44762</v>
      </c>
      <c r="B2168" s="11">
        <f>IFERROR(__xludf.DUMMYFUNCTION("""COMPUTED_VALUE"""),0.0)</f>
        <v>0</v>
      </c>
      <c r="C2168" s="11">
        <f>IFERROR(__xludf.DUMMYFUNCTION("""COMPUTED_VALUE"""),81.0)</f>
        <v>81</v>
      </c>
      <c r="D2168" s="11">
        <f>IFERROR(__xludf.DUMMYFUNCTION("""COMPUTED_VALUE"""),24.0)</f>
        <v>24</v>
      </c>
      <c r="E2168" s="9"/>
    </row>
    <row r="2169">
      <c r="A2169" s="10">
        <f>IFERROR(__xludf.DUMMYFUNCTION("""COMPUTED_VALUE"""),100247.0)</f>
        <v>100247</v>
      </c>
      <c r="B2169" s="11">
        <f>IFERROR(__xludf.DUMMYFUNCTION("""COMPUTED_VALUE"""),0.0)</f>
        <v>0</v>
      </c>
      <c r="C2169" s="11">
        <f>IFERROR(__xludf.DUMMYFUNCTION("""COMPUTED_VALUE"""),71.0)</f>
        <v>71</v>
      </c>
      <c r="D2169" s="11">
        <f>IFERROR(__xludf.DUMMYFUNCTION("""COMPUTED_VALUE"""),15.0)</f>
        <v>15</v>
      </c>
      <c r="E2169" s="9"/>
    </row>
    <row r="2170">
      <c r="A2170" s="10">
        <f>IFERROR(__xludf.DUMMYFUNCTION("""COMPUTED_VALUE"""),182272.0)</f>
        <v>182272</v>
      </c>
      <c r="B2170" s="11">
        <f>IFERROR(__xludf.DUMMYFUNCTION("""COMPUTED_VALUE"""),1.0)</f>
        <v>1</v>
      </c>
      <c r="C2170" s="11">
        <f>IFERROR(__xludf.DUMMYFUNCTION("""COMPUTED_VALUE"""),219.0)</f>
        <v>219</v>
      </c>
      <c r="D2170" s="11">
        <f>IFERROR(__xludf.DUMMYFUNCTION("""COMPUTED_VALUE"""),57.0)</f>
        <v>57</v>
      </c>
      <c r="E2170" s="9"/>
    </row>
    <row r="2171">
      <c r="A2171" s="10">
        <f>IFERROR(__xludf.DUMMYFUNCTION("""COMPUTED_VALUE"""),128297.0)</f>
        <v>128297</v>
      </c>
      <c r="B2171" s="11">
        <f>IFERROR(__xludf.DUMMYFUNCTION("""COMPUTED_VALUE"""),1.0)</f>
        <v>1</v>
      </c>
      <c r="C2171" s="11">
        <f>IFERROR(__xludf.DUMMYFUNCTION("""COMPUTED_VALUE"""),626.0)</f>
        <v>626</v>
      </c>
      <c r="D2171" s="11">
        <f>IFERROR(__xludf.DUMMYFUNCTION("""COMPUTED_VALUE"""),620.0)</f>
        <v>620</v>
      </c>
      <c r="E2171" s="9"/>
    </row>
    <row r="2172">
      <c r="A2172" s="10">
        <f>IFERROR(__xludf.DUMMYFUNCTION("""COMPUTED_VALUE"""),10673.0)</f>
        <v>10673</v>
      </c>
      <c r="B2172" s="11">
        <f>IFERROR(__xludf.DUMMYFUNCTION("""COMPUTED_VALUE"""),0.0)</f>
        <v>0</v>
      </c>
      <c r="C2172" s="11">
        <f>IFERROR(__xludf.DUMMYFUNCTION("""COMPUTED_VALUE"""),340.0)</f>
        <v>340</v>
      </c>
      <c r="D2172" s="11">
        <f>IFERROR(__xludf.DUMMYFUNCTION("""COMPUTED_VALUE"""),11.0)</f>
        <v>11</v>
      </c>
      <c r="E2172" s="9"/>
    </row>
    <row r="2173">
      <c r="A2173" s="10">
        <f>IFERROR(__xludf.DUMMYFUNCTION("""COMPUTED_VALUE"""),69332.0)</f>
        <v>69332</v>
      </c>
      <c r="B2173" s="11">
        <f>IFERROR(__xludf.DUMMYFUNCTION("""COMPUTED_VALUE"""),0.0)</f>
        <v>0</v>
      </c>
      <c r="C2173" s="11">
        <f>IFERROR(__xludf.DUMMYFUNCTION("""COMPUTED_VALUE"""),668.0)</f>
        <v>668</v>
      </c>
      <c r="D2173" s="11">
        <f>IFERROR(__xludf.DUMMYFUNCTION("""COMPUTED_VALUE"""),130.0)</f>
        <v>130</v>
      </c>
      <c r="E2173" s="9"/>
    </row>
    <row r="2174">
      <c r="A2174" s="10">
        <f>IFERROR(__xludf.DUMMYFUNCTION("""COMPUTED_VALUE"""),151239.0)</f>
        <v>151239</v>
      </c>
      <c r="B2174" s="11">
        <f>IFERROR(__xludf.DUMMYFUNCTION("""COMPUTED_VALUE"""),1.0)</f>
        <v>1</v>
      </c>
      <c r="C2174" s="11">
        <f>IFERROR(__xludf.DUMMYFUNCTION("""COMPUTED_VALUE"""),55.0)</f>
        <v>55</v>
      </c>
      <c r="D2174" s="11">
        <f>IFERROR(__xludf.DUMMYFUNCTION("""COMPUTED_VALUE"""),44.0)</f>
        <v>44</v>
      </c>
      <c r="E2174" s="9"/>
    </row>
    <row r="2175">
      <c r="A2175" s="10">
        <f>IFERROR(__xludf.DUMMYFUNCTION("""COMPUTED_VALUE"""),116667.0)</f>
        <v>116667</v>
      </c>
      <c r="B2175" s="11">
        <f>IFERROR(__xludf.DUMMYFUNCTION("""COMPUTED_VALUE"""),0.0)</f>
        <v>0</v>
      </c>
      <c r="C2175" s="11">
        <f>IFERROR(__xludf.DUMMYFUNCTION("""COMPUTED_VALUE"""),356.0)</f>
        <v>356</v>
      </c>
      <c r="D2175" s="11">
        <f>IFERROR(__xludf.DUMMYFUNCTION("""COMPUTED_VALUE"""),84.0)</f>
        <v>84</v>
      </c>
      <c r="E2175" s="9"/>
    </row>
    <row r="2176">
      <c r="A2176" s="10">
        <f>IFERROR(__xludf.DUMMYFUNCTION("""COMPUTED_VALUE"""),72809.0)</f>
        <v>72809</v>
      </c>
      <c r="B2176" s="11">
        <f>IFERROR(__xludf.DUMMYFUNCTION("""COMPUTED_VALUE"""),1.0)</f>
        <v>1</v>
      </c>
      <c r="C2176" s="11">
        <f>IFERROR(__xludf.DUMMYFUNCTION("""COMPUTED_VALUE"""),871.0)</f>
        <v>871</v>
      </c>
      <c r="D2176" s="11">
        <f>IFERROR(__xludf.DUMMYFUNCTION("""COMPUTED_VALUE"""),239.0)</f>
        <v>239</v>
      </c>
      <c r="E2176" s="9"/>
    </row>
    <row r="2177">
      <c r="A2177" s="10">
        <f>IFERROR(__xludf.DUMMYFUNCTION("""COMPUTED_VALUE"""),165917.0)</f>
        <v>165917</v>
      </c>
      <c r="B2177" s="11">
        <f>IFERROR(__xludf.DUMMYFUNCTION("""COMPUTED_VALUE"""),0.0)</f>
        <v>0</v>
      </c>
      <c r="C2177" s="11">
        <f>IFERROR(__xludf.DUMMYFUNCTION("""COMPUTED_VALUE"""),2.0)</f>
        <v>2</v>
      </c>
      <c r="D2177" s="11">
        <f>IFERROR(__xludf.DUMMYFUNCTION("""COMPUTED_VALUE"""),2.0)</f>
        <v>2</v>
      </c>
      <c r="E2177" s="9"/>
    </row>
    <row r="2178">
      <c r="A2178" s="10">
        <f>IFERROR(__xludf.DUMMYFUNCTION("""COMPUTED_VALUE"""),8746.0)</f>
        <v>8746</v>
      </c>
      <c r="B2178" s="11">
        <f>IFERROR(__xludf.DUMMYFUNCTION("""COMPUTED_VALUE"""),1.0)</f>
        <v>1</v>
      </c>
      <c r="C2178" s="11">
        <f>IFERROR(__xludf.DUMMYFUNCTION("""COMPUTED_VALUE"""),2.0)</f>
        <v>2</v>
      </c>
      <c r="D2178" s="11">
        <f>IFERROR(__xludf.DUMMYFUNCTION("""COMPUTED_VALUE"""),0.0)</f>
        <v>0</v>
      </c>
      <c r="E2178" s="9"/>
    </row>
    <row r="2179">
      <c r="A2179" s="10">
        <f>IFERROR(__xludf.DUMMYFUNCTION("""COMPUTED_VALUE"""),122374.0)</f>
        <v>122374</v>
      </c>
      <c r="B2179" s="11">
        <f>IFERROR(__xludf.DUMMYFUNCTION("""COMPUTED_VALUE"""),0.0)</f>
        <v>0</v>
      </c>
      <c r="C2179" s="11">
        <f>IFERROR(__xludf.DUMMYFUNCTION("""COMPUTED_VALUE"""),722.0)</f>
        <v>722</v>
      </c>
      <c r="D2179" s="11">
        <f>IFERROR(__xludf.DUMMYFUNCTION("""COMPUTED_VALUE"""),672.0)</f>
        <v>672</v>
      </c>
      <c r="E2179" s="9"/>
    </row>
    <row r="2180">
      <c r="A2180" s="10">
        <f>IFERROR(__xludf.DUMMYFUNCTION("""COMPUTED_VALUE"""),118166.0)</f>
        <v>118166</v>
      </c>
      <c r="B2180" s="11">
        <f>IFERROR(__xludf.DUMMYFUNCTION("""COMPUTED_VALUE"""),0.0)</f>
        <v>0</v>
      </c>
      <c r="C2180" s="11">
        <f>IFERROR(__xludf.DUMMYFUNCTION("""COMPUTED_VALUE"""),206.0)</f>
        <v>206</v>
      </c>
      <c r="D2180" s="11">
        <f>IFERROR(__xludf.DUMMYFUNCTION("""COMPUTED_VALUE"""),109.0)</f>
        <v>109</v>
      </c>
      <c r="E2180" s="9"/>
    </row>
    <row r="2181">
      <c r="A2181" s="10">
        <f>IFERROR(__xludf.DUMMYFUNCTION("""COMPUTED_VALUE"""),42729.0)</f>
        <v>42729</v>
      </c>
      <c r="B2181" s="11">
        <f>IFERROR(__xludf.DUMMYFUNCTION("""COMPUTED_VALUE"""),0.0)</f>
        <v>0</v>
      </c>
      <c r="C2181" s="11">
        <f>IFERROR(__xludf.DUMMYFUNCTION("""COMPUTED_VALUE"""),392.0)</f>
        <v>392</v>
      </c>
      <c r="D2181" s="11">
        <f>IFERROR(__xludf.DUMMYFUNCTION("""COMPUTED_VALUE"""),61.0)</f>
        <v>61</v>
      </c>
      <c r="E2181" s="9"/>
    </row>
    <row r="2182">
      <c r="A2182" s="10">
        <f>IFERROR(__xludf.DUMMYFUNCTION("""COMPUTED_VALUE"""),182271.0)</f>
        <v>182271</v>
      </c>
      <c r="B2182" s="11">
        <f>IFERROR(__xludf.DUMMYFUNCTION("""COMPUTED_VALUE"""),1.0)</f>
        <v>1</v>
      </c>
      <c r="C2182" s="11">
        <f>IFERROR(__xludf.DUMMYFUNCTION("""COMPUTED_VALUE"""),853.0)</f>
        <v>853</v>
      </c>
      <c r="D2182" s="11">
        <f>IFERROR(__xludf.DUMMYFUNCTION("""COMPUTED_VALUE"""),552.0)</f>
        <v>552</v>
      </c>
      <c r="E2182" s="9"/>
    </row>
    <row r="2183">
      <c r="A2183" s="10">
        <f>IFERROR(__xludf.DUMMYFUNCTION("""COMPUTED_VALUE"""),109211.0)</f>
        <v>109211</v>
      </c>
      <c r="B2183" s="11">
        <f>IFERROR(__xludf.DUMMYFUNCTION("""COMPUTED_VALUE"""),0.0)</f>
        <v>0</v>
      </c>
      <c r="C2183" s="11">
        <f>IFERROR(__xludf.DUMMYFUNCTION("""COMPUTED_VALUE"""),369.0)</f>
        <v>369</v>
      </c>
      <c r="D2183" s="11">
        <f>IFERROR(__xludf.DUMMYFUNCTION("""COMPUTED_VALUE"""),277.0)</f>
        <v>277</v>
      </c>
      <c r="E2183" s="9"/>
    </row>
    <row r="2184">
      <c r="A2184" s="10">
        <f>IFERROR(__xludf.DUMMYFUNCTION("""COMPUTED_VALUE"""),192901.0)</f>
        <v>192901</v>
      </c>
      <c r="B2184" s="11">
        <f>IFERROR(__xludf.DUMMYFUNCTION("""COMPUTED_VALUE"""),1.0)</f>
        <v>1</v>
      </c>
      <c r="C2184" s="11">
        <f>IFERROR(__xludf.DUMMYFUNCTION("""COMPUTED_VALUE"""),37.0)</f>
        <v>37</v>
      </c>
      <c r="D2184" s="11">
        <f>IFERROR(__xludf.DUMMYFUNCTION("""COMPUTED_VALUE"""),11.0)</f>
        <v>11</v>
      </c>
      <c r="E2184" s="9"/>
    </row>
    <row r="2185">
      <c r="A2185" s="10">
        <f>IFERROR(__xludf.DUMMYFUNCTION("""COMPUTED_VALUE"""),122379.0)</f>
        <v>122379</v>
      </c>
      <c r="B2185" s="11">
        <f>IFERROR(__xludf.DUMMYFUNCTION("""COMPUTED_VALUE"""),1.0)</f>
        <v>1</v>
      </c>
      <c r="C2185" s="11">
        <f>IFERROR(__xludf.DUMMYFUNCTION("""COMPUTED_VALUE"""),345.0)</f>
        <v>345</v>
      </c>
      <c r="D2185" s="11">
        <f>IFERROR(__xludf.DUMMYFUNCTION("""COMPUTED_VALUE"""),114.0)</f>
        <v>114</v>
      </c>
      <c r="E2185" s="9"/>
    </row>
    <row r="2186">
      <c r="A2186" s="10">
        <f>IFERROR(__xludf.DUMMYFUNCTION("""COMPUTED_VALUE"""),109891.0)</f>
        <v>109891</v>
      </c>
      <c r="B2186" s="11">
        <f>IFERROR(__xludf.DUMMYFUNCTION("""COMPUTED_VALUE"""),0.0)</f>
        <v>0</v>
      </c>
      <c r="C2186" s="11">
        <f>IFERROR(__xludf.DUMMYFUNCTION("""COMPUTED_VALUE"""),109.0)</f>
        <v>109</v>
      </c>
      <c r="D2186" s="11">
        <f>IFERROR(__xludf.DUMMYFUNCTION("""COMPUTED_VALUE"""),7.0)</f>
        <v>7</v>
      </c>
      <c r="E2186" s="9"/>
    </row>
    <row r="2187">
      <c r="A2187" s="10">
        <f>IFERROR(__xludf.DUMMYFUNCTION("""COMPUTED_VALUE"""),125688.0)</f>
        <v>125688</v>
      </c>
      <c r="B2187" s="11">
        <f>IFERROR(__xludf.DUMMYFUNCTION("""COMPUTED_VALUE"""),1.0)</f>
        <v>1</v>
      </c>
      <c r="C2187" s="11">
        <f>IFERROR(__xludf.DUMMYFUNCTION("""COMPUTED_VALUE"""),277.0)</f>
        <v>277</v>
      </c>
      <c r="D2187" s="11">
        <f>IFERROR(__xludf.DUMMYFUNCTION("""COMPUTED_VALUE"""),55.0)</f>
        <v>55</v>
      </c>
      <c r="E2187" s="9"/>
    </row>
    <row r="2188">
      <c r="A2188" s="10">
        <f>IFERROR(__xludf.DUMMYFUNCTION("""COMPUTED_VALUE"""),68599.0)</f>
        <v>68599</v>
      </c>
      <c r="B2188" s="11">
        <f>IFERROR(__xludf.DUMMYFUNCTION("""COMPUTED_VALUE"""),1.0)</f>
        <v>1</v>
      </c>
      <c r="C2188" s="11">
        <f>IFERROR(__xludf.DUMMYFUNCTION("""COMPUTED_VALUE"""),233.0)</f>
        <v>233</v>
      </c>
      <c r="D2188" s="11">
        <f>IFERROR(__xludf.DUMMYFUNCTION("""COMPUTED_VALUE"""),223.0)</f>
        <v>223</v>
      </c>
      <c r="E2188" s="9"/>
    </row>
    <row r="2189">
      <c r="A2189" s="10">
        <f>IFERROR(__xludf.DUMMYFUNCTION("""COMPUTED_VALUE"""),104841.0)</f>
        <v>104841</v>
      </c>
      <c r="B2189" s="11">
        <f>IFERROR(__xludf.DUMMYFUNCTION("""COMPUTED_VALUE"""),0.0)</f>
        <v>0</v>
      </c>
      <c r="C2189" s="11">
        <f>IFERROR(__xludf.DUMMYFUNCTION("""COMPUTED_VALUE"""),964.0)</f>
        <v>964</v>
      </c>
      <c r="D2189" s="11">
        <f>IFERROR(__xludf.DUMMYFUNCTION("""COMPUTED_VALUE"""),645.0)</f>
        <v>645</v>
      </c>
      <c r="E2189" s="9"/>
    </row>
    <row r="2190">
      <c r="A2190" s="10">
        <f>IFERROR(__xludf.DUMMYFUNCTION("""COMPUTED_VALUE"""),20243.0)</f>
        <v>20243</v>
      </c>
      <c r="B2190" s="11">
        <f>IFERROR(__xludf.DUMMYFUNCTION("""COMPUTED_VALUE"""),0.0)</f>
        <v>0</v>
      </c>
      <c r="C2190" s="11">
        <f>IFERROR(__xludf.DUMMYFUNCTION("""COMPUTED_VALUE"""),938.0)</f>
        <v>938</v>
      </c>
      <c r="D2190" s="11">
        <f>IFERROR(__xludf.DUMMYFUNCTION("""COMPUTED_VALUE"""),509.0)</f>
        <v>509</v>
      </c>
      <c r="E2190" s="9"/>
    </row>
    <row r="2191">
      <c r="A2191" s="10">
        <f>IFERROR(__xludf.DUMMYFUNCTION("""COMPUTED_VALUE"""),10332.0)</f>
        <v>10332</v>
      </c>
      <c r="B2191" s="11">
        <f>IFERROR(__xludf.DUMMYFUNCTION("""COMPUTED_VALUE"""),0.0)</f>
        <v>0</v>
      </c>
      <c r="C2191" s="11">
        <f>IFERROR(__xludf.DUMMYFUNCTION("""COMPUTED_VALUE"""),963.0)</f>
        <v>963</v>
      </c>
      <c r="D2191" s="11">
        <f>IFERROR(__xludf.DUMMYFUNCTION("""COMPUTED_VALUE"""),945.0)</f>
        <v>945</v>
      </c>
      <c r="E2191" s="9"/>
    </row>
    <row r="2192">
      <c r="A2192" s="10">
        <f>IFERROR(__xludf.DUMMYFUNCTION("""COMPUTED_VALUE"""),7361.0)</f>
        <v>7361</v>
      </c>
      <c r="B2192" s="11">
        <f>IFERROR(__xludf.DUMMYFUNCTION("""COMPUTED_VALUE"""),1.0)</f>
        <v>1</v>
      </c>
      <c r="C2192" s="11">
        <f>IFERROR(__xludf.DUMMYFUNCTION("""COMPUTED_VALUE"""),104.0)</f>
        <v>104</v>
      </c>
      <c r="D2192" s="11">
        <f>IFERROR(__xludf.DUMMYFUNCTION("""COMPUTED_VALUE"""),102.0)</f>
        <v>102</v>
      </c>
      <c r="E2192" s="9"/>
    </row>
    <row r="2193">
      <c r="A2193" s="10">
        <f>IFERROR(__xludf.DUMMYFUNCTION("""COMPUTED_VALUE"""),21320.0)</f>
        <v>21320</v>
      </c>
      <c r="B2193" s="11">
        <f>IFERROR(__xludf.DUMMYFUNCTION("""COMPUTED_VALUE"""),1.0)</f>
        <v>1</v>
      </c>
      <c r="C2193" s="11">
        <f>IFERROR(__xludf.DUMMYFUNCTION("""COMPUTED_VALUE"""),466.0)</f>
        <v>466</v>
      </c>
      <c r="D2193" s="11">
        <f>IFERROR(__xludf.DUMMYFUNCTION("""COMPUTED_VALUE"""),206.0)</f>
        <v>206</v>
      </c>
      <c r="E2193" s="9"/>
    </row>
    <row r="2194">
      <c r="A2194" s="10">
        <f>IFERROR(__xludf.DUMMYFUNCTION("""COMPUTED_VALUE"""),7365.0)</f>
        <v>7365</v>
      </c>
      <c r="B2194" s="11">
        <f>IFERROR(__xludf.DUMMYFUNCTION("""COMPUTED_VALUE"""),0.0)</f>
        <v>0</v>
      </c>
      <c r="C2194" s="11">
        <f>IFERROR(__xludf.DUMMYFUNCTION("""COMPUTED_VALUE"""),721.0)</f>
        <v>721</v>
      </c>
      <c r="D2194" s="11">
        <f>IFERROR(__xludf.DUMMYFUNCTION("""COMPUTED_VALUE"""),663.0)</f>
        <v>663</v>
      </c>
      <c r="E2194" s="9"/>
    </row>
    <row r="2195">
      <c r="A2195" s="10">
        <f>IFERROR(__xludf.DUMMYFUNCTION("""COMPUTED_VALUE"""),7364.0)</f>
        <v>7364</v>
      </c>
      <c r="B2195" s="11">
        <f>IFERROR(__xludf.DUMMYFUNCTION("""COMPUTED_VALUE"""),0.0)</f>
        <v>0</v>
      </c>
      <c r="C2195" s="11">
        <f>IFERROR(__xludf.DUMMYFUNCTION("""COMPUTED_VALUE"""),701.0)</f>
        <v>701</v>
      </c>
      <c r="D2195" s="11">
        <f>IFERROR(__xludf.DUMMYFUNCTION("""COMPUTED_VALUE"""),283.0)</f>
        <v>283</v>
      </c>
      <c r="E2195" s="9"/>
    </row>
    <row r="2196">
      <c r="A2196" s="10">
        <f>IFERROR(__xludf.DUMMYFUNCTION("""COMPUTED_VALUE"""),7362.0)</f>
        <v>7362</v>
      </c>
      <c r="B2196" s="11">
        <f>IFERROR(__xludf.DUMMYFUNCTION("""COMPUTED_VALUE"""),0.0)</f>
        <v>0</v>
      </c>
      <c r="C2196" s="11">
        <f>IFERROR(__xludf.DUMMYFUNCTION("""COMPUTED_VALUE"""),846.0)</f>
        <v>846</v>
      </c>
      <c r="D2196" s="11">
        <f>IFERROR(__xludf.DUMMYFUNCTION("""COMPUTED_VALUE"""),783.0)</f>
        <v>783</v>
      </c>
      <c r="E2196" s="9"/>
    </row>
    <row r="2197">
      <c r="A2197" s="10">
        <f>IFERROR(__xludf.DUMMYFUNCTION("""COMPUTED_VALUE"""),117237.0)</f>
        <v>117237</v>
      </c>
      <c r="B2197" s="11">
        <f>IFERROR(__xludf.DUMMYFUNCTION("""COMPUTED_VALUE"""),0.0)</f>
        <v>0</v>
      </c>
      <c r="C2197" s="11">
        <f>IFERROR(__xludf.DUMMYFUNCTION("""COMPUTED_VALUE"""),245.0)</f>
        <v>245</v>
      </c>
      <c r="D2197" s="11">
        <f>IFERROR(__xludf.DUMMYFUNCTION("""COMPUTED_VALUE"""),123.0)</f>
        <v>123</v>
      </c>
      <c r="E2197" s="9"/>
    </row>
    <row r="2198">
      <c r="A2198" s="10">
        <f>IFERROR(__xludf.DUMMYFUNCTION("""COMPUTED_VALUE"""),19784.0)</f>
        <v>19784</v>
      </c>
      <c r="B2198" s="11">
        <f>IFERROR(__xludf.DUMMYFUNCTION("""COMPUTED_VALUE"""),0.0)</f>
        <v>0</v>
      </c>
      <c r="C2198" s="11">
        <f>IFERROR(__xludf.DUMMYFUNCTION("""COMPUTED_VALUE"""),903.0)</f>
        <v>903</v>
      </c>
      <c r="D2198" s="11">
        <f>IFERROR(__xludf.DUMMYFUNCTION("""COMPUTED_VALUE"""),781.0)</f>
        <v>781</v>
      </c>
      <c r="E2198" s="9"/>
    </row>
    <row r="2199">
      <c r="A2199" s="10">
        <f>IFERROR(__xludf.DUMMYFUNCTION("""COMPUTED_VALUE"""),9329.0)</f>
        <v>9329</v>
      </c>
      <c r="B2199" s="11">
        <f>IFERROR(__xludf.DUMMYFUNCTION("""COMPUTED_VALUE"""),1.0)</f>
        <v>1</v>
      </c>
      <c r="C2199" s="11">
        <f>IFERROR(__xludf.DUMMYFUNCTION("""COMPUTED_VALUE"""),274.0)</f>
        <v>274</v>
      </c>
      <c r="D2199" s="11">
        <f>IFERROR(__xludf.DUMMYFUNCTION("""COMPUTED_VALUE"""),147.0)</f>
        <v>147</v>
      </c>
      <c r="E2199" s="9"/>
    </row>
    <row r="2200">
      <c r="A2200" s="10">
        <f>IFERROR(__xludf.DUMMYFUNCTION("""COMPUTED_VALUE"""),10859.0)</f>
        <v>10859</v>
      </c>
      <c r="B2200" s="11">
        <f>IFERROR(__xludf.DUMMYFUNCTION("""COMPUTED_VALUE"""),1.0)</f>
        <v>1</v>
      </c>
      <c r="C2200" s="11">
        <f>IFERROR(__xludf.DUMMYFUNCTION("""COMPUTED_VALUE"""),980.0)</f>
        <v>980</v>
      </c>
      <c r="D2200" s="11">
        <f>IFERROR(__xludf.DUMMYFUNCTION("""COMPUTED_VALUE"""),151.0)</f>
        <v>151</v>
      </c>
      <c r="E2200" s="9"/>
    </row>
    <row r="2201">
      <c r="A2201" s="10">
        <f>IFERROR(__xludf.DUMMYFUNCTION("""COMPUTED_VALUE"""),118329.0)</f>
        <v>118329</v>
      </c>
      <c r="B2201" s="11">
        <f>IFERROR(__xludf.DUMMYFUNCTION("""COMPUTED_VALUE"""),0.0)</f>
        <v>0</v>
      </c>
      <c r="C2201" s="11">
        <f>IFERROR(__xludf.DUMMYFUNCTION("""COMPUTED_VALUE"""),712.0)</f>
        <v>712</v>
      </c>
      <c r="D2201" s="11">
        <f>IFERROR(__xludf.DUMMYFUNCTION("""COMPUTED_VALUE"""),92.0)</f>
        <v>92</v>
      </c>
      <c r="E2201" s="9"/>
    </row>
    <row r="2202">
      <c r="A2202" s="10">
        <f>IFERROR(__xludf.DUMMYFUNCTION("""COMPUTED_VALUE"""),105169.0)</f>
        <v>105169</v>
      </c>
      <c r="B2202" s="11">
        <f>IFERROR(__xludf.DUMMYFUNCTION("""COMPUTED_VALUE"""),1.0)</f>
        <v>1</v>
      </c>
      <c r="C2202" s="11">
        <f>IFERROR(__xludf.DUMMYFUNCTION("""COMPUTED_VALUE"""),682.0)</f>
        <v>682</v>
      </c>
      <c r="D2202" s="11">
        <f>IFERROR(__xludf.DUMMYFUNCTION("""COMPUTED_VALUE"""),214.0)</f>
        <v>214</v>
      </c>
      <c r="E2202" s="9"/>
    </row>
    <row r="2203">
      <c r="A2203" s="10">
        <f>IFERROR(__xludf.DUMMYFUNCTION("""COMPUTED_VALUE"""),90567.0)</f>
        <v>90567</v>
      </c>
      <c r="B2203" s="11">
        <f>IFERROR(__xludf.DUMMYFUNCTION("""COMPUTED_VALUE"""),1.0)</f>
        <v>1</v>
      </c>
      <c r="C2203" s="11">
        <f>IFERROR(__xludf.DUMMYFUNCTION("""COMPUTED_VALUE"""),574.0)</f>
        <v>574</v>
      </c>
      <c r="D2203" s="11">
        <f>IFERROR(__xludf.DUMMYFUNCTION("""COMPUTED_VALUE"""),355.0)</f>
        <v>355</v>
      </c>
      <c r="E2203" s="9"/>
    </row>
    <row r="2204">
      <c r="A2204" s="10">
        <f>IFERROR(__xludf.DUMMYFUNCTION("""COMPUTED_VALUE"""),46672.0)</f>
        <v>46672</v>
      </c>
      <c r="B2204" s="11">
        <f>IFERROR(__xludf.DUMMYFUNCTION("""COMPUTED_VALUE"""),0.0)</f>
        <v>0</v>
      </c>
      <c r="C2204" s="11">
        <f>IFERROR(__xludf.DUMMYFUNCTION("""COMPUTED_VALUE"""),77.0)</f>
        <v>77</v>
      </c>
      <c r="D2204" s="11">
        <f>IFERROR(__xludf.DUMMYFUNCTION("""COMPUTED_VALUE"""),11.0)</f>
        <v>11</v>
      </c>
      <c r="E2204" s="9"/>
    </row>
    <row r="2205">
      <c r="A2205" s="10">
        <f>IFERROR(__xludf.DUMMYFUNCTION("""COMPUTED_VALUE"""),118229.0)</f>
        <v>118229</v>
      </c>
      <c r="B2205" s="11">
        <f>IFERROR(__xludf.DUMMYFUNCTION("""COMPUTED_VALUE"""),1.0)</f>
        <v>1</v>
      </c>
      <c r="C2205" s="11">
        <f>IFERROR(__xludf.DUMMYFUNCTION("""COMPUTED_VALUE"""),664.0)</f>
        <v>664</v>
      </c>
      <c r="D2205" s="11">
        <f>IFERROR(__xludf.DUMMYFUNCTION("""COMPUTED_VALUE"""),61.0)</f>
        <v>61</v>
      </c>
      <c r="E2205" s="9"/>
    </row>
    <row r="2206">
      <c r="A2206" s="10">
        <f>IFERROR(__xludf.DUMMYFUNCTION("""COMPUTED_VALUE"""),193230.0)</f>
        <v>193230</v>
      </c>
      <c r="B2206" s="11">
        <f>IFERROR(__xludf.DUMMYFUNCTION("""COMPUTED_VALUE"""),1.0)</f>
        <v>1</v>
      </c>
      <c r="C2206" s="11">
        <f>IFERROR(__xludf.DUMMYFUNCTION("""COMPUTED_VALUE"""),701.0)</f>
        <v>701</v>
      </c>
      <c r="D2206" s="11">
        <f>IFERROR(__xludf.DUMMYFUNCTION("""COMPUTED_VALUE"""),166.0)</f>
        <v>166</v>
      </c>
      <c r="E2206" s="9"/>
    </row>
    <row r="2207">
      <c r="A2207" s="10">
        <f>IFERROR(__xludf.DUMMYFUNCTION("""COMPUTED_VALUE"""),193254.0)</f>
        <v>193254</v>
      </c>
      <c r="B2207" s="11">
        <f>IFERROR(__xludf.DUMMYFUNCTION("""COMPUTED_VALUE"""),0.0)</f>
        <v>0</v>
      </c>
      <c r="C2207" s="11">
        <f>IFERROR(__xludf.DUMMYFUNCTION("""COMPUTED_VALUE"""),315.0)</f>
        <v>315</v>
      </c>
      <c r="D2207" s="11">
        <f>IFERROR(__xludf.DUMMYFUNCTION("""COMPUTED_VALUE"""),34.0)</f>
        <v>34</v>
      </c>
      <c r="E2207" s="9"/>
    </row>
    <row r="2208">
      <c r="A2208" s="10">
        <f>IFERROR(__xludf.DUMMYFUNCTION("""COMPUTED_VALUE"""),113228.0)</f>
        <v>113228</v>
      </c>
      <c r="B2208" s="11">
        <f>IFERROR(__xludf.DUMMYFUNCTION("""COMPUTED_VALUE"""),1.0)</f>
        <v>1</v>
      </c>
      <c r="C2208" s="11">
        <f>IFERROR(__xludf.DUMMYFUNCTION("""COMPUTED_VALUE"""),665.0)</f>
        <v>665</v>
      </c>
      <c r="D2208" s="11">
        <f>IFERROR(__xludf.DUMMYFUNCTION("""COMPUTED_VALUE"""),593.0)</f>
        <v>593</v>
      </c>
      <c r="E2208" s="9"/>
    </row>
    <row r="2209">
      <c r="A2209" s="10">
        <f>IFERROR(__xludf.DUMMYFUNCTION("""COMPUTED_VALUE"""),193193.0)</f>
        <v>193193</v>
      </c>
      <c r="B2209" s="11">
        <f>IFERROR(__xludf.DUMMYFUNCTION("""COMPUTED_VALUE"""),1.0)</f>
        <v>1</v>
      </c>
      <c r="C2209" s="11">
        <f>IFERROR(__xludf.DUMMYFUNCTION("""COMPUTED_VALUE"""),930.0)</f>
        <v>930</v>
      </c>
      <c r="D2209" s="11">
        <f>IFERROR(__xludf.DUMMYFUNCTION("""COMPUTED_VALUE"""),117.0)</f>
        <v>117</v>
      </c>
      <c r="E2209" s="9"/>
    </row>
    <row r="2210">
      <c r="A2210" s="10">
        <f>IFERROR(__xludf.DUMMYFUNCTION("""COMPUTED_VALUE"""),113223.0)</f>
        <v>113223</v>
      </c>
      <c r="B2210" s="11">
        <f>IFERROR(__xludf.DUMMYFUNCTION("""COMPUTED_VALUE"""),0.0)</f>
        <v>0</v>
      </c>
      <c r="C2210" s="11">
        <f>IFERROR(__xludf.DUMMYFUNCTION("""COMPUTED_VALUE"""),329.0)</f>
        <v>329</v>
      </c>
      <c r="D2210" s="11">
        <f>IFERROR(__xludf.DUMMYFUNCTION("""COMPUTED_VALUE"""),216.0)</f>
        <v>216</v>
      </c>
      <c r="E2210" s="9"/>
    </row>
    <row r="2211">
      <c r="A2211" s="10">
        <f>IFERROR(__xludf.DUMMYFUNCTION("""COMPUTED_VALUE"""),113227.0)</f>
        <v>113227</v>
      </c>
      <c r="B2211" s="11">
        <f>IFERROR(__xludf.DUMMYFUNCTION("""COMPUTED_VALUE"""),0.0)</f>
        <v>0</v>
      </c>
      <c r="C2211" s="11">
        <f>IFERROR(__xludf.DUMMYFUNCTION("""COMPUTED_VALUE"""),383.0)</f>
        <v>383</v>
      </c>
      <c r="D2211" s="11">
        <f>IFERROR(__xludf.DUMMYFUNCTION("""COMPUTED_VALUE"""),125.0)</f>
        <v>125</v>
      </c>
      <c r="E2211" s="9"/>
    </row>
    <row r="2212">
      <c r="A2212" s="10">
        <f>IFERROR(__xludf.DUMMYFUNCTION("""COMPUTED_VALUE"""),114198.0)</f>
        <v>114198</v>
      </c>
      <c r="B2212" s="11">
        <f>IFERROR(__xludf.DUMMYFUNCTION("""COMPUTED_VALUE"""),0.0)</f>
        <v>0</v>
      </c>
      <c r="C2212" s="11">
        <f>IFERROR(__xludf.DUMMYFUNCTION("""COMPUTED_VALUE"""),446.0)</f>
        <v>446</v>
      </c>
      <c r="D2212" s="11">
        <f>IFERROR(__xludf.DUMMYFUNCTION("""COMPUTED_VALUE"""),108.0)</f>
        <v>108</v>
      </c>
      <c r="E2212" s="9"/>
    </row>
    <row r="2213">
      <c r="A2213" s="10">
        <f>IFERROR(__xludf.DUMMYFUNCTION("""COMPUTED_VALUE"""),100451.0)</f>
        <v>100451</v>
      </c>
      <c r="B2213" s="11">
        <f>IFERROR(__xludf.DUMMYFUNCTION("""COMPUTED_VALUE"""),0.0)</f>
        <v>0</v>
      </c>
      <c r="C2213" s="11">
        <f>IFERROR(__xludf.DUMMYFUNCTION("""COMPUTED_VALUE"""),311.0)</f>
        <v>311</v>
      </c>
      <c r="D2213" s="11">
        <f>IFERROR(__xludf.DUMMYFUNCTION("""COMPUTED_VALUE"""),302.0)</f>
        <v>302</v>
      </c>
      <c r="E2213" s="9"/>
    </row>
    <row r="2214">
      <c r="A2214" s="10">
        <f>IFERROR(__xludf.DUMMYFUNCTION("""COMPUTED_VALUE"""),100446.0)</f>
        <v>100446</v>
      </c>
      <c r="B2214" s="11">
        <f>IFERROR(__xludf.DUMMYFUNCTION("""COMPUTED_VALUE"""),1.0)</f>
        <v>1</v>
      </c>
      <c r="C2214" s="11">
        <f>IFERROR(__xludf.DUMMYFUNCTION("""COMPUTED_VALUE"""),744.0)</f>
        <v>744</v>
      </c>
      <c r="D2214" s="11">
        <f>IFERROR(__xludf.DUMMYFUNCTION("""COMPUTED_VALUE"""),622.0)</f>
        <v>622</v>
      </c>
      <c r="E2214" s="9"/>
    </row>
    <row r="2215">
      <c r="A2215" s="10">
        <f>IFERROR(__xludf.DUMMYFUNCTION("""COMPUTED_VALUE"""),193253.0)</f>
        <v>193253</v>
      </c>
      <c r="B2215" s="11">
        <f>IFERROR(__xludf.DUMMYFUNCTION("""COMPUTED_VALUE"""),1.0)</f>
        <v>1</v>
      </c>
      <c r="C2215" s="11">
        <f>IFERROR(__xludf.DUMMYFUNCTION("""COMPUTED_VALUE"""),908.0)</f>
        <v>908</v>
      </c>
      <c r="D2215" s="11">
        <f>IFERROR(__xludf.DUMMYFUNCTION("""COMPUTED_VALUE"""),277.0)</f>
        <v>277</v>
      </c>
      <c r="E2215" s="9"/>
    </row>
    <row r="2216">
      <c r="A2216" s="10">
        <f>IFERROR(__xludf.DUMMYFUNCTION("""COMPUTED_VALUE"""),82432.0)</f>
        <v>82432</v>
      </c>
      <c r="B2216" s="11">
        <f>IFERROR(__xludf.DUMMYFUNCTION("""COMPUTED_VALUE"""),1.0)</f>
        <v>1</v>
      </c>
      <c r="C2216" s="11">
        <f>IFERROR(__xludf.DUMMYFUNCTION("""COMPUTED_VALUE"""),682.0)</f>
        <v>682</v>
      </c>
      <c r="D2216" s="11">
        <f>IFERROR(__xludf.DUMMYFUNCTION("""COMPUTED_VALUE"""),679.0)</f>
        <v>679</v>
      </c>
      <c r="E2216" s="9"/>
    </row>
    <row r="2217">
      <c r="A2217" s="10">
        <f>IFERROR(__xludf.DUMMYFUNCTION("""COMPUTED_VALUE"""),122703.0)</f>
        <v>122703</v>
      </c>
      <c r="B2217" s="11">
        <f>IFERROR(__xludf.DUMMYFUNCTION("""COMPUTED_VALUE"""),0.0)</f>
        <v>0</v>
      </c>
      <c r="C2217" s="11">
        <f>IFERROR(__xludf.DUMMYFUNCTION("""COMPUTED_VALUE"""),799.0)</f>
        <v>799</v>
      </c>
      <c r="D2217" s="11">
        <f>IFERROR(__xludf.DUMMYFUNCTION("""COMPUTED_VALUE"""),74.0)</f>
        <v>74</v>
      </c>
      <c r="E2217" s="9"/>
    </row>
    <row r="2218">
      <c r="A2218" s="10">
        <f>IFERROR(__xludf.DUMMYFUNCTION("""COMPUTED_VALUE"""),129410.0)</f>
        <v>129410</v>
      </c>
      <c r="B2218" s="11">
        <f>IFERROR(__xludf.DUMMYFUNCTION("""COMPUTED_VALUE"""),0.0)</f>
        <v>0</v>
      </c>
      <c r="C2218" s="11">
        <f>IFERROR(__xludf.DUMMYFUNCTION("""COMPUTED_VALUE"""),425.0)</f>
        <v>425</v>
      </c>
      <c r="D2218" s="11">
        <f>IFERROR(__xludf.DUMMYFUNCTION("""COMPUTED_VALUE"""),315.0)</f>
        <v>315</v>
      </c>
      <c r="E2218" s="9"/>
    </row>
    <row r="2219">
      <c r="A2219" s="10">
        <f>IFERROR(__xludf.DUMMYFUNCTION("""COMPUTED_VALUE"""),103236.0)</f>
        <v>103236</v>
      </c>
      <c r="B2219" s="11">
        <f>IFERROR(__xludf.DUMMYFUNCTION("""COMPUTED_VALUE"""),1.0)</f>
        <v>1</v>
      </c>
      <c r="C2219" s="11">
        <f>IFERROR(__xludf.DUMMYFUNCTION("""COMPUTED_VALUE"""),768.0)</f>
        <v>768</v>
      </c>
      <c r="D2219" s="11">
        <f>IFERROR(__xludf.DUMMYFUNCTION("""COMPUTED_VALUE"""),687.0)</f>
        <v>687</v>
      </c>
      <c r="E2219" s="9"/>
    </row>
    <row r="2220">
      <c r="A2220" s="10">
        <f>IFERROR(__xludf.DUMMYFUNCTION("""COMPUTED_VALUE"""),127534.0)</f>
        <v>127534</v>
      </c>
      <c r="B2220" s="11">
        <f>IFERROR(__xludf.DUMMYFUNCTION("""COMPUTED_VALUE"""),1.0)</f>
        <v>1</v>
      </c>
      <c r="C2220" s="11">
        <f>IFERROR(__xludf.DUMMYFUNCTION("""COMPUTED_VALUE"""),323.0)</f>
        <v>323</v>
      </c>
      <c r="D2220" s="11">
        <f>IFERROR(__xludf.DUMMYFUNCTION("""COMPUTED_VALUE"""),49.0)</f>
        <v>49</v>
      </c>
      <c r="E2220" s="9"/>
    </row>
    <row r="2221">
      <c r="A2221" s="10">
        <f>IFERROR(__xludf.DUMMYFUNCTION("""COMPUTED_VALUE"""),100906.0)</f>
        <v>100906</v>
      </c>
      <c r="B2221" s="11">
        <f>IFERROR(__xludf.DUMMYFUNCTION("""COMPUTED_VALUE"""),1.0)</f>
        <v>1</v>
      </c>
      <c r="C2221" s="11">
        <f>IFERROR(__xludf.DUMMYFUNCTION("""COMPUTED_VALUE"""),683.0)</f>
        <v>683</v>
      </c>
      <c r="D2221" s="11">
        <f>IFERROR(__xludf.DUMMYFUNCTION("""COMPUTED_VALUE"""),675.0)</f>
        <v>675</v>
      </c>
      <c r="E2221" s="9"/>
    </row>
    <row r="2222">
      <c r="A2222" s="10">
        <f>IFERROR(__xludf.DUMMYFUNCTION("""COMPUTED_VALUE"""),109098.0)</f>
        <v>109098</v>
      </c>
      <c r="B2222" s="11">
        <f>IFERROR(__xludf.DUMMYFUNCTION("""COMPUTED_VALUE"""),0.0)</f>
        <v>0</v>
      </c>
      <c r="C2222" s="11">
        <f>IFERROR(__xludf.DUMMYFUNCTION("""COMPUTED_VALUE"""),582.0)</f>
        <v>582</v>
      </c>
      <c r="D2222" s="11">
        <f>IFERROR(__xludf.DUMMYFUNCTION("""COMPUTED_VALUE"""),100.0)</f>
        <v>100</v>
      </c>
      <c r="E2222" s="9"/>
    </row>
    <row r="2223">
      <c r="A2223" s="10">
        <f>IFERROR(__xludf.DUMMYFUNCTION("""COMPUTED_VALUE"""),155864.0)</f>
        <v>155864</v>
      </c>
      <c r="B2223" s="11">
        <f>IFERROR(__xludf.DUMMYFUNCTION("""COMPUTED_VALUE"""),1.0)</f>
        <v>1</v>
      </c>
      <c r="C2223" s="11">
        <f>IFERROR(__xludf.DUMMYFUNCTION("""COMPUTED_VALUE"""),358.0)</f>
        <v>358</v>
      </c>
      <c r="D2223" s="11">
        <f>IFERROR(__xludf.DUMMYFUNCTION("""COMPUTED_VALUE"""),227.0)</f>
        <v>227</v>
      </c>
      <c r="E2223" s="9"/>
    </row>
    <row r="2224">
      <c r="A2224" s="10">
        <f>IFERROR(__xludf.DUMMYFUNCTION("""COMPUTED_VALUE"""),120314.0)</f>
        <v>120314</v>
      </c>
      <c r="B2224" s="11">
        <f>IFERROR(__xludf.DUMMYFUNCTION("""COMPUTED_VALUE"""),1.0)</f>
        <v>1</v>
      </c>
      <c r="C2224" s="11">
        <f>IFERROR(__xludf.DUMMYFUNCTION("""COMPUTED_VALUE"""),76.0)</f>
        <v>76</v>
      </c>
      <c r="D2224" s="11">
        <f>IFERROR(__xludf.DUMMYFUNCTION("""COMPUTED_VALUE"""),3.0)</f>
        <v>3</v>
      </c>
      <c r="E2224" s="9"/>
    </row>
    <row r="2225">
      <c r="A2225" s="10">
        <f>IFERROR(__xludf.DUMMYFUNCTION("""COMPUTED_VALUE"""),199547.0)</f>
        <v>199547</v>
      </c>
      <c r="B2225" s="11">
        <f>IFERROR(__xludf.DUMMYFUNCTION("""COMPUTED_VALUE"""),0.0)</f>
        <v>0</v>
      </c>
      <c r="C2225" s="11">
        <f>IFERROR(__xludf.DUMMYFUNCTION("""COMPUTED_VALUE"""),553.0)</f>
        <v>553</v>
      </c>
      <c r="D2225" s="11">
        <f>IFERROR(__xludf.DUMMYFUNCTION("""COMPUTED_VALUE"""),373.0)</f>
        <v>373</v>
      </c>
      <c r="E2225" s="9"/>
    </row>
    <row r="2226">
      <c r="A2226" s="10">
        <f>IFERROR(__xludf.DUMMYFUNCTION("""COMPUTED_VALUE"""),110540.0)</f>
        <v>110540</v>
      </c>
      <c r="B2226" s="11">
        <f>IFERROR(__xludf.DUMMYFUNCTION("""COMPUTED_VALUE"""),0.0)</f>
        <v>0</v>
      </c>
      <c r="C2226" s="11">
        <f>IFERROR(__xludf.DUMMYFUNCTION("""COMPUTED_VALUE"""),945.0)</f>
        <v>945</v>
      </c>
      <c r="D2226" s="11">
        <f>IFERROR(__xludf.DUMMYFUNCTION("""COMPUTED_VALUE"""),473.0)</f>
        <v>473</v>
      </c>
      <c r="E2226" s="9"/>
    </row>
    <row r="2227">
      <c r="A2227" s="10">
        <f>IFERROR(__xludf.DUMMYFUNCTION("""COMPUTED_VALUE"""),182190.0)</f>
        <v>182190</v>
      </c>
      <c r="B2227" s="11">
        <f>IFERROR(__xludf.DUMMYFUNCTION("""COMPUTED_VALUE"""),1.0)</f>
        <v>1</v>
      </c>
      <c r="C2227" s="11">
        <f>IFERROR(__xludf.DUMMYFUNCTION("""COMPUTED_VALUE"""),497.0)</f>
        <v>497</v>
      </c>
      <c r="D2227" s="11">
        <f>IFERROR(__xludf.DUMMYFUNCTION("""COMPUTED_VALUE"""),52.0)</f>
        <v>52</v>
      </c>
      <c r="E2227" s="9"/>
    </row>
    <row r="2228">
      <c r="A2228" s="10">
        <f>IFERROR(__xludf.DUMMYFUNCTION("""COMPUTED_VALUE"""),79341.0)</f>
        <v>79341</v>
      </c>
      <c r="B2228" s="11">
        <f>IFERROR(__xludf.DUMMYFUNCTION("""COMPUTED_VALUE"""),0.0)</f>
        <v>0</v>
      </c>
      <c r="C2228" s="11">
        <f>IFERROR(__xludf.DUMMYFUNCTION("""COMPUTED_VALUE"""),316.0)</f>
        <v>316</v>
      </c>
      <c r="D2228" s="11">
        <f>IFERROR(__xludf.DUMMYFUNCTION("""COMPUTED_VALUE"""),297.0)</f>
        <v>297</v>
      </c>
      <c r="E2228" s="9"/>
    </row>
    <row r="2229">
      <c r="A2229" s="10">
        <f>IFERROR(__xludf.DUMMYFUNCTION("""COMPUTED_VALUE"""),108969.0)</f>
        <v>108969</v>
      </c>
      <c r="B2229" s="11">
        <f>IFERROR(__xludf.DUMMYFUNCTION("""COMPUTED_VALUE"""),1.0)</f>
        <v>1</v>
      </c>
      <c r="C2229" s="11">
        <f>IFERROR(__xludf.DUMMYFUNCTION("""COMPUTED_VALUE"""),830.0)</f>
        <v>830</v>
      </c>
      <c r="D2229" s="11">
        <f>IFERROR(__xludf.DUMMYFUNCTION("""COMPUTED_VALUE"""),574.0)</f>
        <v>574</v>
      </c>
      <c r="E2229" s="9"/>
    </row>
    <row r="2230">
      <c r="A2230" s="10">
        <f>IFERROR(__xludf.DUMMYFUNCTION("""COMPUTED_VALUE"""),79939.0)</f>
        <v>79939</v>
      </c>
      <c r="B2230" s="11">
        <f>IFERROR(__xludf.DUMMYFUNCTION("""COMPUTED_VALUE"""),1.0)</f>
        <v>1</v>
      </c>
      <c r="C2230" s="11">
        <f>IFERROR(__xludf.DUMMYFUNCTION("""COMPUTED_VALUE"""),524.0)</f>
        <v>524</v>
      </c>
      <c r="D2230" s="11">
        <f>IFERROR(__xludf.DUMMYFUNCTION("""COMPUTED_VALUE"""),263.0)</f>
        <v>263</v>
      </c>
      <c r="E2230" s="9"/>
    </row>
    <row r="2231">
      <c r="A2231" s="10">
        <f>IFERROR(__xludf.DUMMYFUNCTION("""COMPUTED_VALUE"""),11733.0)</f>
        <v>11733</v>
      </c>
      <c r="B2231" s="11">
        <f>IFERROR(__xludf.DUMMYFUNCTION("""COMPUTED_VALUE"""),1.0)</f>
        <v>1</v>
      </c>
      <c r="C2231" s="11">
        <f>IFERROR(__xludf.DUMMYFUNCTION("""COMPUTED_VALUE"""),942.0)</f>
        <v>942</v>
      </c>
      <c r="D2231" s="11">
        <f>IFERROR(__xludf.DUMMYFUNCTION("""COMPUTED_VALUE"""),763.0)</f>
        <v>763</v>
      </c>
      <c r="E2231" s="9"/>
    </row>
    <row r="2232">
      <c r="A2232" s="10">
        <f>IFERROR(__xludf.DUMMYFUNCTION("""COMPUTED_VALUE"""),12647.0)</f>
        <v>12647</v>
      </c>
      <c r="B2232" s="11">
        <f>IFERROR(__xludf.DUMMYFUNCTION("""COMPUTED_VALUE"""),1.0)</f>
        <v>1</v>
      </c>
      <c r="C2232" s="11">
        <f>IFERROR(__xludf.DUMMYFUNCTION("""COMPUTED_VALUE"""),313.0)</f>
        <v>313</v>
      </c>
      <c r="D2232" s="11">
        <f>IFERROR(__xludf.DUMMYFUNCTION("""COMPUTED_VALUE"""),139.0)</f>
        <v>139</v>
      </c>
      <c r="E2232" s="9"/>
    </row>
    <row r="2233">
      <c r="A2233" s="10">
        <f>IFERROR(__xludf.DUMMYFUNCTION("""COMPUTED_VALUE"""),122292.0)</f>
        <v>122292</v>
      </c>
      <c r="B2233" s="11">
        <f>IFERROR(__xludf.DUMMYFUNCTION("""COMPUTED_VALUE"""),1.0)</f>
        <v>1</v>
      </c>
      <c r="C2233" s="11">
        <f>IFERROR(__xludf.DUMMYFUNCTION("""COMPUTED_VALUE"""),928.0)</f>
        <v>928</v>
      </c>
      <c r="D2233" s="11">
        <f>IFERROR(__xludf.DUMMYFUNCTION("""COMPUTED_VALUE"""),319.0)</f>
        <v>319</v>
      </c>
      <c r="E2233" s="9"/>
    </row>
    <row r="2234">
      <c r="A2234" s="10">
        <f>IFERROR(__xludf.DUMMYFUNCTION("""COMPUTED_VALUE"""),117433.0)</f>
        <v>117433</v>
      </c>
      <c r="B2234" s="11">
        <f>IFERROR(__xludf.DUMMYFUNCTION("""COMPUTED_VALUE"""),0.0)</f>
        <v>0</v>
      </c>
      <c r="C2234" s="11">
        <f>IFERROR(__xludf.DUMMYFUNCTION("""COMPUTED_VALUE"""),786.0)</f>
        <v>786</v>
      </c>
      <c r="D2234" s="11">
        <f>IFERROR(__xludf.DUMMYFUNCTION("""COMPUTED_VALUE"""),522.0)</f>
        <v>522</v>
      </c>
      <c r="E2234" s="9"/>
    </row>
    <row r="2235">
      <c r="A2235" s="10">
        <f>IFERROR(__xludf.DUMMYFUNCTION("""COMPUTED_VALUE"""),127018.0)</f>
        <v>127018</v>
      </c>
      <c r="B2235" s="11">
        <f>IFERROR(__xludf.DUMMYFUNCTION("""COMPUTED_VALUE"""),1.0)</f>
        <v>1</v>
      </c>
      <c r="C2235" s="11">
        <f>IFERROR(__xludf.DUMMYFUNCTION("""COMPUTED_VALUE"""),672.0)</f>
        <v>672</v>
      </c>
      <c r="D2235" s="11">
        <f>IFERROR(__xludf.DUMMYFUNCTION("""COMPUTED_VALUE"""),393.0)</f>
        <v>393</v>
      </c>
      <c r="E2235" s="9"/>
    </row>
    <row r="2236">
      <c r="A2236" s="10">
        <f>IFERROR(__xludf.DUMMYFUNCTION("""COMPUTED_VALUE"""),9705.0)</f>
        <v>9705</v>
      </c>
      <c r="B2236" s="11">
        <f>IFERROR(__xludf.DUMMYFUNCTION("""COMPUTED_VALUE"""),0.0)</f>
        <v>0</v>
      </c>
      <c r="C2236" s="11">
        <f>IFERROR(__xludf.DUMMYFUNCTION("""COMPUTED_VALUE"""),553.0)</f>
        <v>553</v>
      </c>
      <c r="D2236" s="11">
        <f>IFERROR(__xludf.DUMMYFUNCTION("""COMPUTED_VALUE"""),28.0)</f>
        <v>28</v>
      </c>
      <c r="E2236" s="9"/>
    </row>
    <row r="2237">
      <c r="A2237" s="10">
        <f>IFERROR(__xludf.DUMMYFUNCTION("""COMPUTED_VALUE"""),9703.0)</f>
        <v>9703</v>
      </c>
      <c r="B2237" s="11">
        <f>IFERROR(__xludf.DUMMYFUNCTION("""COMPUTED_VALUE"""),1.0)</f>
        <v>1</v>
      </c>
      <c r="C2237" s="11">
        <f>IFERROR(__xludf.DUMMYFUNCTION("""COMPUTED_VALUE"""),899.0)</f>
        <v>899</v>
      </c>
      <c r="D2237" s="11">
        <f>IFERROR(__xludf.DUMMYFUNCTION("""COMPUTED_VALUE"""),424.0)</f>
        <v>424</v>
      </c>
      <c r="E2237" s="9"/>
    </row>
    <row r="2238">
      <c r="A2238" s="10">
        <f>IFERROR(__xludf.DUMMYFUNCTION("""COMPUTED_VALUE"""),86005.0)</f>
        <v>86005</v>
      </c>
      <c r="B2238" s="11">
        <f>IFERROR(__xludf.DUMMYFUNCTION("""COMPUTED_VALUE"""),0.0)</f>
        <v>0</v>
      </c>
      <c r="C2238" s="11">
        <f>IFERROR(__xludf.DUMMYFUNCTION("""COMPUTED_VALUE"""),1.0)</f>
        <v>1</v>
      </c>
      <c r="D2238" s="11">
        <f>IFERROR(__xludf.DUMMYFUNCTION("""COMPUTED_VALUE"""),0.0)</f>
        <v>0</v>
      </c>
      <c r="E2238" s="9"/>
    </row>
    <row r="2239">
      <c r="A2239" s="10">
        <f>IFERROR(__xludf.DUMMYFUNCTION("""COMPUTED_VALUE"""),9704.0)</f>
        <v>9704</v>
      </c>
      <c r="B2239" s="11">
        <f>IFERROR(__xludf.DUMMYFUNCTION("""COMPUTED_VALUE"""),0.0)</f>
        <v>0</v>
      </c>
      <c r="C2239" s="11">
        <f>IFERROR(__xludf.DUMMYFUNCTION("""COMPUTED_VALUE"""),760.0)</f>
        <v>760</v>
      </c>
      <c r="D2239" s="11">
        <f>IFERROR(__xludf.DUMMYFUNCTION("""COMPUTED_VALUE"""),596.0)</f>
        <v>596</v>
      </c>
      <c r="E2239" s="9"/>
    </row>
    <row r="2240">
      <c r="A2240" s="10">
        <f>IFERROR(__xludf.DUMMYFUNCTION("""COMPUTED_VALUE"""),182189.0)</f>
        <v>182189</v>
      </c>
      <c r="B2240" s="11">
        <f>IFERROR(__xludf.DUMMYFUNCTION("""COMPUTED_VALUE"""),1.0)</f>
        <v>1</v>
      </c>
      <c r="C2240" s="11">
        <f>IFERROR(__xludf.DUMMYFUNCTION("""COMPUTED_VALUE"""),496.0)</f>
        <v>496</v>
      </c>
      <c r="D2240" s="11">
        <f>IFERROR(__xludf.DUMMYFUNCTION("""COMPUTED_VALUE"""),147.0)</f>
        <v>147</v>
      </c>
      <c r="E2240" s="9"/>
    </row>
    <row r="2241">
      <c r="A2241" s="10">
        <f>IFERROR(__xludf.DUMMYFUNCTION("""COMPUTED_VALUE"""),29452.0)</f>
        <v>29452</v>
      </c>
      <c r="B2241" s="11">
        <f>IFERROR(__xludf.DUMMYFUNCTION("""COMPUTED_VALUE"""),1.0)</f>
        <v>1</v>
      </c>
      <c r="C2241" s="11">
        <f>IFERROR(__xludf.DUMMYFUNCTION("""COMPUTED_VALUE"""),403.0)</f>
        <v>403</v>
      </c>
      <c r="D2241" s="11">
        <f>IFERROR(__xludf.DUMMYFUNCTION("""COMPUTED_VALUE"""),128.0)</f>
        <v>128</v>
      </c>
      <c r="E2241" s="9"/>
    </row>
    <row r="2242">
      <c r="A2242" s="10">
        <f>IFERROR(__xludf.DUMMYFUNCTION("""COMPUTED_VALUE"""),122485.0)</f>
        <v>122485</v>
      </c>
      <c r="B2242" s="11">
        <f>IFERROR(__xludf.DUMMYFUNCTION("""COMPUTED_VALUE"""),0.0)</f>
        <v>0</v>
      </c>
      <c r="C2242" s="11">
        <f>IFERROR(__xludf.DUMMYFUNCTION("""COMPUTED_VALUE"""),680.0)</f>
        <v>680</v>
      </c>
      <c r="D2242" s="11">
        <f>IFERROR(__xludf.DUMMYFUNCTION("""COMPUTED_VALUE"""),225.0)</f>
        <v>225</v>
      </c>
      <c r="E2242" s="9"/>
    </row>
    <row r="2243">
      <c r="A2243" s="10">
        <f>IFERROR(__xludf.DUMMYFUNCTION("""COMPUTED_VALUE"""),9706.0)</f>
        <v>9706</v>
      </c>
      <c r="B2243" s="11">
        <f>IFERROR(__xludf.DUMMYFUNCTION("""COMPUTED_VALUE"""),1.0)</f>
        <v>1</v>
      </c>
      <c r="C2243" s="11">
        <f>IFERROR(__xludf.DUMMYFUNCTION("""COMPUTED_VALUE"""),311.0)</f>
        <v>311</v>
      </c>
      <c r="D2243" s="11">
        <f>IFERROR(__xludf.DUMMYFUNCTION("""COMPUTED_VALUE"""),38.0)</f>
        <v>38</v>
      </c>
      <c r="E2243" s="9"/>
    </row>
    <row r="2244">
      <c r="A2244" s="10">
        <f>IFERROR(__xludf.DUMMYFUNCTION("""COMPUTED_VALUE"""),12648.0)</f>
        <v>12648</v>
      </c>
      <c r="B2244" s="11">
        <f>IFERROR(__xludf.DUMMYFUNCTION("""COMPUTED_VALUE"""),1.0)</f>
        <v>1</v>
      </c>
      <c r="C2244" s="11">
        <f>IFERROR(__xludf.DUMMYFUNCTION("""COMPUTED_VALUE"""),275.0)</f>
        <v>275</v>
      </c>
      <c r="D2244" s="11">
        <f>IFERROR(__xludf.DUMMYFUNCTION("""COMPUTED_VALUE"""),123.0)</f>
        <v>123</v>
      </c>
      <c r="E2244" s="9"/>
    </row>
    <row r="2245">
      <c r="A2245" s="10">
        <f>IFERROR(__xludf.DUMMYFUNCTION("""COMPUTED_VALUE"""),93899.0)</f>
        <v>93899</v>
      </c>
      <c r="B2245" s="11">
        <f>IFERROR(__xludf.DUMMYFUNCTION("""COMPUTED_VALUE"""),1.0)</f>
        <v>1</v>
      </c>
      <c r="C2245" s="11">
        <f>IFERROR(__xludf.DUMMYFUNCTION("""COMPUTED_VALUE"""),24.0)</f>
        <v>24</v>
      </c>
      <c r="D2245" s="11">
        <f>IFERROR(__xludf.DUMMYFUNCTION("""COMPUTED_VALUE"""),8.0)</f>
        <v>8</v>
      </c>
      <c r="E2245" s="9"/>
    </row>
    <row r="2246">
      <c r="A2246" s="10">
        <f>IFERROR(__xludf.DUMMYFUNCTION("""COMPUTED_VALUE"""),28890.0)</f>
        <v>28890</v>
      </c>
      <c r="B2246" s="11">
        <f>IFERROR(__xludf.DUMMYFUNCTION("""COMPUTED_VALUE"""),1.0)</f>
        <v>1</v>
      </c>
      <c r="C2246" s="11">
        <f>IFERROR(__xludf.DUMMYFUNCTION("""COMPUTED_VALUE"""),512.0)</f>
        <v>512</v>
      </c>
      <c r="D2246" s="11">
        <f>IFERROR(__xludf.DUMMYFUNCTION("""COMPUTED_VALUE"""),498.0)</f>
        <v>498</v>
      </c>
      <c r="E2246" s="9"/>
    </row>
    <row r="2247">
      <c r="A2247" s="10">
        <f>IFERROR(__xludf.DUMMYFUNCTION("""COMPUTED_VALUE"""),17638.0)</f>
        <v>17638</v>
      </c>
      <c r="B2247" s="11">
        <f>IFERROR(__xludf.DUMMYFUNCTION("""COMPUTED_VALUE"""),1.0)</f>
        <v>1</v>
      </c>
      <c r="C2247" s="11">
        <f>IFERROR(__xludf.DUMMYFUNCTION("""COMPUTED_VALUE"""),923.0)</f>
        <v>923</v>
      </c>
      <c r="D2247" s="11">
        <f>IFERROR(__xludf.DUMMYFUNCTION("""COMPUTED_VALUE"""),199.0)</f>
        <v>199</v>
      </c>
      <c r="E2247" s="9"/>
    </row>
    <row r="2248">
      <c r="A2248" s="10">
        <f>IFERROR(__xludf.DUMMYFUNCTION("""COMPUTED_VALUE"""),28888.0)</f>
        <v>28888</v>
      </c>
      <c r="B2248" s="11">
        <f>IFERROR(__xludf.DUMMYFUNCTION("""COMPUTED_VALUE"""),1.0)</f>
        <v>1</v>
      </c>
      <c r="C2248" s="11">
        <f>IFERROR(__xludf.DUMMYFUNCTION("""COMPUTED_VALUE"""),821.0)</f>
        <v>821</v>
      </c>
      <c r="D2248" s="11">
        <f>IFERROR(__xludf.DUMMYFUNCTION("""COMPUTED_VALUE"""),712.0)</f>
        <v>712</v>
      </c>
      <c r="E2248" s="9"/>
    </row>
    <row r="2249">
      <c r="A2249" s="10">
        <f>IFERROR(__xludf.DUMMYFUNCTION("""COMPUTED_VALUE"""),29455.0)</f>
        <v>29455</v>
      </c>
      <c r="B2249" s="11">
        <f>IFERROR(__xludf.DUMMYFUNCTION("""COMPUTED_VALUE"""),0.0)</f>
        <v>0</v>
      </c>
      <c r="C2249" s="11">
        <f>IFERROR(__xludf.DUMMYFUNCTION("""COMPUTED_VALUE"""),841.0)</f>
        <v>841</v>
      </c>
      <c r="D2249" s="11">
        <f>IFERROR(__xludf.DUMMYFUNCTION("""COMPUTED_VALUE"""),830.0)</f>
        <v>830</v>
      </c>
      <c r="E2249" s="9"/>
    </row>
    <row r="2250">
      <c r="A2250" s="10">
        <f>IFERROR(__xludf.DUMMYFUNCTION("""COMPUTED_VALUE"""),93895.0)</f>
        <v>93895</v>
      </c>
      <c r="B2250" s="11">
        <f>IFERROR(__xludf.DUMMYFUNCTION("""COMPUTED_VALUE"""),1.0)</f>
        <v>1</v>
      </c>
      <c r="C2250" s="11">
        <f>IFERROR(__xludf.DUMMYFUNCTION("""COMPUTED_VALUE"""),74.0)</f>
        <v>74</v>
      </c>
      <c r="D2250" s="11">
        <f>IFERROR(__xludf.DUMMYFUNCTION("""COMPUTED_VALUE"""),57.0)</f>
        <v>57</v>
      </c>
      <c r="E2250" s="9"/>
    </row>
    <row r="2251">
      <c r="A2251" s="10">
        <f>IFERROR(__xludf.DUMMYFUNCTION("""COMPUTED_VALUE"""),116417.0)</f>
        <v>116417</v>
      </c>
      <c r="B2251" s="11">
        <f>IFERROR(__xludf.DUMMYFUNCTION("""COMPUTED_VALUE"""),1.0)</f>
        <v>1</v>
      </c>
      <c r="C2251" s="11">
        <f>IFERROR(__xludf.DUMMYFUNCTION("""COMPUTED_VALUE"""),94.0)</f>
        <v>94</v>
      </c>
      <c r="D2251" s="11">
        <f>IFERROR(__xludf.DUMMYFUNCTION("""COMPUTED_VALUE"""),24.0)</f>
        <v>24</v>
      </c>
      <c r="E2251" s="9"/>
    </row>
    <row r="2252">
      <c r="A2252" s="10">
        <f>IFERROR(__xludf.DUMMYFUNCTION("""COMPUTED_VALUE"""),1971.0)</f>
        <v>1971</v>
      </c>
      <c r="B2252" s="11">
        <f>IFERROR(__xludf.DUMMYFUNCTION("""COMPUTED_VALUE"""),1.0)</f>
        <v>1</v>
      </c>
      <c r="C2252" s="11">
        <f>IFERROR(__xludf.DUMMYFUNCTION("""COMPUTED_VALUE"""),621.0)</f>
        <v>621</v>
      </c>
      <c r="D2252" s="11">
        <f>IFERROR(__xludf.DUMMYFUNCTION("""COMPUTED_VALUE"""),42.0)</f>
        <v>42</v>
      </c>
      <c r="E2252" s="9"/>
    </row>
    <row r="2253">
      <c r="A2253" s="10">
        <f>IFERROR(__xludf.DUMMYFUNCTION("""COMPUTED_VALUE"""),12649.0)</f>
        <v>12649</v>
      </c>
      <c r="B2253" s="11">
        <f>IFERROR(__xludf.DUMMYFUNCTION("""COMPUTED_VALUE"""),0.0)</f>
        <v>0</v>
      </c>
      <c r="C2253" s="11">
        <f>IFERROR(__xludf.DUMMYFUNCTION("""COMPUTED_VALUE"""),280.0)</f>
        <v>280</v>
      </c>
      <c r="D2253" s="11">
        <f>IFERROR(__xludf.DUMMYFUNCTION("""COMPUTED_VALUE"""),129.0)</f>
        <v>129</v>
      </c>
      <c r="E2253" s="9"/>
    </row>
    <row r="2254">
      <c r="A2254" s="10">
        <f>IFERROR(__xludf.DUMMYFUNCTION("""COMPUTED_VALUE"""),93896.0)</f>
        <v>93896</v>
      </c>
      <c r="B2254" s="11">
        <f>IFERROR(__xludf.DUMMYFUNCTION("""COMPUTED_VALUE"""),0.0)</f>
        <v>0</v>
      </c>
      <c r="C2254" s="11">
        <f>IFERROR(__xludf.DUMMYFUNCTION("""COMPUTED_VALUE"""),570.0)</f>
        <v>570</v>
      </c>
      <c r="D2254" s="11">
        <f>IFERROR(__xludf.DUMMYFUNCTION("""COMPUTED_VALUE"""),119.0)</f>
        <v>119</v>
      </c>
      <c r="E2254" s="9"/>
    </row>
    <row r="2255">
      <c r="A2255" s="10">
        <f>IFERROR(__xludf.DUMMYFUNCTION("""COMPUTED_VALUE"""),44386.0)</f>
        <v>44386</v>
      </c>
      <c r="B2255" s="11">
        <f>IFERROR(__xludf.DUMMYFUNCTION("""COMPUTED_VALUE"""),0.0)</f>
        <v>0</v>
      </c>
      <c r="C2255" s="11">
        <f>IFERROR(__xludf.DUMMYFUNCTION("""COMPUTED_VALUE"""),313.0)</f>
        <v>313</v>
      </c>
      <c r="D2255" s="11">
        <f>IFERROR(__xludf.DUMMYFUNCTION("""COMPUTED_VALUE"""),85.0)</f>
        <v>85</v>
      </c>
      <c r="E2255" s="9"/>
    </row>
    <row r="2256">
      <c r="A2256" s="10">
        <f>IFERROR(__xludf.DUMMYFUNCTION("""COMPUTED_VALUE"""),188156.0)</f>
        <v>188156</v>
      </c>
      <c r="B2256" s="11">
        <f>IFERROR(__xludf.DUMMYFUNCTION("""COMPUTED_VALUE"""),0.0)</f>
        <v>0</v>
      </c>
      <c r="C2256" s="11">
        <f>IFERROR(__xludf.DUMMYFUNCTION("""COMPUTED_VALUE"""),69.0)</f>
        <v>69</v>
      </c>
      <c r="D2256" s="11">
        <f>IFERROR(__xludf.DUMMYFUNCTION("""COMPUTED_VALUE"""),3.0)</f>
        <v>3</v>
      </c>
      <c r="E2256" s="9"/>
    </row>
    <row r="2257">
      <c r="A2257" s="10">
        <f>IFERROR(__xludf.DUMMYFUNCTION("""COMPUTED_VALUE"""),7360.0)</f>
        <v>7360</v>
      </c>
      <c r="B2257" s="11">
        <f>IFERROR(__xludf.DUMMYFUNCTION("""COMPUTED_VALUE"""),1.0)</f>
        <v>1</v>
      </c>
      <c r="C2257" s="11">
        <f>IFERROR(__xludf.DUMMYFUNCTION("""COMPUTED_VALUE"""),474.0)</f>
        <v>474</v>
      </c>
      <c r="D2257" s="11">
        <f>IFERROR(__xludf.DUMMYFUNCTION("""COMPUTED_VALUE"""),291.0)</f>
        <v>291</v>
      </c>
      <c r="E2257" s="9"/>
    </row>
    <row r="2258">
      <c r="A2258" s="10">
        <f>IFERROR(__xludf.DUMMYFUNCTION("""COMPUTED_VALUE"""),79323.0)</f>
        <v>79323</v>
      </c>
      <c r="B2258" s="11">
        <f>IFERROR(__xludf.DUMMYFUNCTION("""COMPUTED_VALUE"""),0.0)</f>
        <v>0</v>
      </c>
      <c r="C2258" s="11">
        <f>IFERROR(__xludf.DUMMYFUNCTION("""COMPUTED_VALUE"""),564.0)</f>
        <v>564</v>
      </c>
      <c r="D2258" s="11">
        <f>IFERROR(__xludf.DUMMYFUNCTION("""COMPUTED_VALUE"""),487.0)</f>
        <v>487</v>
      </c>
      <c r="E2258" s="9"/>
    </row>
    <row r="2259">
      <c r="A2259" s="10">
        <f>IFERROR(__xludf.DUMMYFUNCTION("""COMPUTED_VALUE"""),72015.0)</f>
        <v>72015</v>
      </c>
      <c r="B2259" s="11">
        <f>IFERROR(__xludf.DUMMYFUNCTION("""COMPUTED_VALUE"""),0.0)</f>
        <v>0</v>
      </c>
      <c r="C2259" s="11">
        <f>IFERROR(__xludf.DUMMYFUNCTION("""COMPUTED_VALUE"""),903.0)</f>
        <v>903</v>
      </c>
      <c r="D2259" s="11">
        <f>IFERROR(__xludf.DUMMYFUNCTION("""COMPUTED_VALUE"""),536.0)</f>
        <v>536</v>
      </c>
      <c r="E2259" s="9"/>
    </row>
    <row r="2260">
      <c r="A2260" s="10">
        <f>IFERROR(__xludf.DUMMYFUNCTION("""COMPUTED_VALUE"""),44310.0)</f>
        <v>44310</v>
      </c>
      <c r="B2260" s="11">
        <f>IFERROR(__xludf.DUMMYFUNCTION("""COMPUTED_VALUE"""),1.0)</f>
        <v>1</v>
      </c>
      <c r="C2260" s="11">
        <f>IFERROR(__xludf.DUMMYFUNCTION("""COMPUTED_VALUE"""),944.0)</f>
        <v>944</v>
      </c>
      <c r="D2260" s="11">
        <f>IFERROR(__xludf.DUMMYFUNCTION("""COMPUTED_VALUE"""),540.0)</f>
        <v>540</v>
      </c>
      <c r="E2260" s="9"/>
    </row>
    <row r="2261">
      <c r="A2261" s="10">
        <f>IFERROR(__xludf.DUMMYFUNCTION("""COMPUTED_VALUE"""),77044.0)</f>
        <v>77044</v>
      </c>
      <c r="B2261" s="11">
        <f>IFERROR(__xludf.DUMMYFUNCTION("""COMPUTED_VALUE"""),0.0)</f>
        <v>0</v>
      </c>
      <c r="C2261" s="11">
        <f>IFERROR(__xludf.DUMMYFUNCTION("""COMPUTED_VALUE"""),180.0)</f>
        <v>180</v>
      </c>
      <c r="D2261" s="11">
        <f>IFERROR(__xludf.DUMMYFUNCTION("""COMPUTED_VALUE"""),138.0)</f>
        <v>138</v>
      </c>
      <c r="E2261" s="9"/>
    </row>
    <row r="2262">
      <c r="A2262" s="10">
        <f>IFERROR(__xludf.DUMMYFUNCTION("""COMPUTED_VALUE"""),120636.0)</f>
        <v>120636</v>
      </c>
      <c r="B2262" s="11">
        <f>IFERROR(__xludf.DUMMYFUNCTION("""COMPUTED_VALUE"""),1.0)</f>
        <v>1</v>
      </c>
      <c r="C2262" s="11">
        <f>IFERROR(__xludf.DUMMYFUNCTION("""COMPUTED_VALUE"""),778.0)</f>
        <v>778</v>
      </c>
      <c r="D2262" s="11">
        <f>IFERROR(__xludf.DUMMYFUNCTION("""COMPUTED_VALUE"""),443.0)</f>
        <v>443</v>
      </c>
      <c r="E2262" s="9"/>
    </row>
    <row r="2263">
      <c r="A2263" s="10">
        <f>IFERROR(__xludf.DUMMYFUNCTION("""COMPUTED_VALUE"""),92662.0)</f>
        <v>92662</v>
      </c>
      <c r="B2263" s="11">
        <f>IFERROR(__xludf.DUMMYFUNCTION("""COMPUTED_VALUE"""),0.0)</f>
        <v>0</v>
      </c>
      <c r="C2263" s="11">
        <f>IFERROR(__xludf.DUMMYFUNCTION("""COMPUTED_VALUE"""),491.0)</f>
        <v>491</v>
      </c>
      <c r="D2263" s="11">
        <f>IFERROR(__xludf.DUMMYFUNCTION("""COMPUTED_VALUE"""),469.0)</f>
        <v>469</v>
      </c>
      <c r="E2263" s="9"/>
    </row>
    <row r="2264">
      <c r="A2264" s="10">
        <f>IFERROR(__xludf.DUMMYFUNCTION("""COMPUTED_VALUE"""),117263.0)</f>
        <v>117263</v>
      </c>
      <c r="B2264" s="11">
        <f>IFERROR(__xludf.DUMMYFUNCTION("""COMPUTED_VALUE"""),1.0)</f>
        <v>1</v>
      </c>
      <c r="C2264" s="11">
        <f>IFERROR(__xludf.DUMMYFUNCTION("""COMPUTED_VALUE"""),642.0)</f>
        <v>642</v>
      </c>
      <c r="D2264" s="11">
        <f>IFERROR(__xludf.DUMMYFUNCTION("""COMPUTED_VALUE"""),75.0)</f>
        <v>75</v>
      </c>
      <c r="E2264" s="9"/>
    </row>
    <row r="2265">
      <c r="A2265" s="10">
        <f>IFERROR(__xludf.DUMMYFUNCTION("""COMPUTED_VALUE"""),117261.0)</f>
        <v>117261</v>
      </c>
      <c r="B2265" s="11">
        <f>IFERROR(__xludf.DUMMYFUNCTION("""COMPUTED_VALUE"""),0.0)</f>
        <v>0</v>
      </c>
      <c r="C2265" s="11">
        <f>IFERROR(__xludf.DUMMYFUNCTION("""COMPUTED_VALUE"""),529.0)</f>
        <v>529</v>
      </c>
      <c r="D2265" s="11">
        <f>IFERROR(__xludf.DUMMYFUNCTION("""COMPUTED_VALUE"""),159.0)</f>
        <v>159</v>
      </c>
      <c r="E2265" s="9"/>
    </row>
    <row r="2266">
      <c r="A2266" s="10">
        <f>IFERROR(__xludf.DUMMYFUNCTION("""COMPUTED_VALUE"""),10644.0)</f>
        <v>10644</v>
      </c>
      <c r="B2266" s="11">
        <f>IFERROR(__xludf.DUMMYFUNCTION("""COMPUTED_VALUE"""),1.0)</f>
        <v>1</v>
      </c>
      <c r="C2266" s="11">
        <f>IFERROR(__xludf.DUMMYFUNCTION("""COMPUTED_VALUE"""),274.0)</f>
        <v>274</v>
      </c>
      <c r="D2266" s="11">
        <f>IFERROR(__xludf.DUMMYFUNCTION("""COMPUTED_VALUE"""),51.0)</f>
        <v>51</v>
      </c>
      <c r="E2266" s="9"/>
    </row>
    <row r="2267">
      <c r="A2267" s="10">
        <f>IFERROR(__xludf.DUMMYFUNCTION("""COMPUTED_VALUE"""),102457.0)</f>
        <v>102457</v>
      </c>
      <c r="B2267" s="11">
        <f>IFERROR(__xludf.DUMMYFUNCTION("""COMPUTED_VALUE"""),1.0)</f>
        <v>1</v>
      </c>
      <c r="C2267" s="11">
        <f>IFERROR(__xludf.DUMMYFUNCTION("""COMPUTED_VALUE"""),684.0)</f>
        <v>684</v>
      </c>
      <c r="D2267" s="11">
        <f>IFERROR(__xludf.DUMMYFUNCTION("""COMPUTED_VALUE"""),502.0)</f>
        <v>502</v>
      </c>
      <c r="E2267" s="9"/>
    </row>
    <row r="2268">
      <c r="A2268" s="10">
        <f>IFERROR(__xludf.DUMMYFUNCTION("""COMPUTED_VALUE"""),117419.0)</f>
        <v>117419</v>
      </c>
      <c r="B2268" s="11">
        <f>IFERROR(__xludf.DUMMYFUNCTION("""COMPUTED_VALUE"""),1.0)</f>
        <v>1</v>
      </c>
      <c r="C2268" s="11">
        <f>IFERROR(__xludf.DUMMYFUNCTION("""COMPUTED_VALUE"""),798.0)</f>
        <v>798</v>
      </c>
      <c r="D2268" s="11">
        <f>IFERROR(__xludf.DUMMYFUNCTION("""COMPUTED_VALUE"""),292.0)</f>
        <v>292</v>
      </c>
      <c r="E2268" s="9"/>
    </row>
    <row r="2269">
      <c r="A2269" s="10">
        <f>IFERROR(__xludf.DUMMYFUNCTION("""COMPUTED_VALUE"""),150939.0)</f>
        <v>150939</v>
      </c>
      <c r="B2269" s="11">
        <f>IFERROR(__xludf.DUMMYFUNCTION("""COMPUTED_VALUE"""),1.0)</f>
        <v>1</v>
      </c>
      <c r="C2269" s="11">
        <f>IFERROR(__xludf.DUMMYFUNCTION("""COMPUTED_VALUE"""),706.0)</f>
        <v>706</v>
      </c>
      <c r="D2269" s="11">
        <f>IFERROR(__xludf.DUMMYFUNCTION("""COMPUTED_VALUE"""),229.0)</f>
        <v>229</v>
      </c>
      <c r="E2269" s="9"/>
    </row>
    <row r="2270">
      <c r="A2270" s="10">
        <f>IFERROR(__xludf.DUMMYFUNCTION("""COMPUTED_VALUE"""),10517.0)</f>
        <v>10517</v>
      </c>
      <c r="B2270" s="11">
        <f>IFERROR(__xludf.DUMMYFUNCTION("""COMPUTED_VALUE"""),1.0)</f>
        <v>1</v>
      </c>
      <c r="C2270" s="11">
        <f>IFERROR(__xludf.DUMMYFUNCTION("""COMPUTED_VALUE"""),96.0)</f>
        <v>96</v>
      </c>
      <c r="D2270" s="11">
        <f>IFERROR(__xludf.DUMMYFUNCTION("""COMPUTED_VALUE"""),23.0)</f>
        <v>23</v>
      </c>
      <c r="E2270" s="9"/>
    </row>
    <row r="2271">
      <c r="A2271" s="10">
        <f>IFERROR(__xludf.DUMMYFUNCTION("""COMPUTED_VALUE"""),79109.0)</f>
        <v>79109</v>
      </c>
      <c r="B2271" s="11">
        <f>IFERROR(__xludf.DUMMYFUNCTION("""COMPUTED_VALUE"""),1.0)</f>
        <v>1</v>
      </c>
      <c r="C2271" s="11">
        <f>IFERROR(__xludf.DUMMYFUNCTION("""COMPUTED_VALUE"""),379.0)</f>
        <v>379</v>
      </c>
      <c r="D2271" s="11">
        <f>IFERROR(__xludf.DUMMYFUNCTION("""COMPUTED_VALUE"""),135.0)</f>
        <v>135</v>
      </c>
      <c r="E2271" s="9"/>
    </row>
    <row r="2272">
      <c r="A2272" s="10">
        <f>IFERROR(__xludf.DUMMYFUNCTION("""COMPUTED_VALUE"""),118918.0)</f>
        <v>118918</v>
      </c>
      <c r="B2272" s="11">
        <f>IFERROR(__xludf.DUMMYFUNCTION("""COMPUTED_VALUE"""),1.0)</f>
        <v>1</v>
      </c>
      <c r="C2272" s="11">
        <f>IFERROR(__xludf.DUMMYFUNCTION("""COMPUTED_VALUE"""),559.0)</f>
        <v>559</v>
      </c>
      <c r="D2272" s="11">
        <f>IFERROR(__xludf.DUMMYFUNCTION("""COMPUTED_VALUE"""),364.0)</f>
        <v>364</v>
      </c>
      <c r="E2272" s="9"/>
    </row>
    <row r="2273">
      <c r="A2273" s="10">
        <f>IFERROR(__xludf.DUMMYFUNCTION("""COMPUTED_VALUE"""),102456.0)</f>
        <v>102456</v>
      </c>
      <c r="B2273" s="11">
        <f>IFERROR(__xludf.DUMMYFUNCTION("""COMPUTED_VALUE"""),1.0)</f>
        <v>1</v>
      </c>
      <c r="C2273" s="11">
        <f>IFERROR(__xludf.DUMMYFUNCTION("""COMPUTED_VALUE"""),37.0)</f>
        <v>37</v>
      </c>
      <c r="D2273" s="11">
        <f>IFERROR(__xludf.DUMMYFUNCTION("""COMPUTED_VALUE"""),17.0)</f>
        <v>17</v>
      </c>
      <c r="E2273" s="9"/>
    </row>
    <row r="2274">
      <c r="A2274" s="10">
        <f>IFERROR(__xludf.DUMMYFUNCTION("""COMPUTED_VALUE"""),155865.0)</f>
        <v>155865</v>
      </c>
      <c r="B2274" s="11">
        <f>IFERROR(__xludf.DUMMYFUNCTION("""COMPUTED_VALUE"""),0.0)</f>
        <v>0</v>
      </c>
      <c r="C2274" s="11">
        <f>IFERROR(__xludf.DUMMYFUNCTION("""COMPUTED_VALUE"""),100.0)</f>
        <v>100</v>
      </c>
      <c r="D2274" s="11">
        <f>IFERROR(__xludf.DUMMYFUNCTION("""COMPUTED_VALUE"""),40.0)</f>
        <v>40</v>
      </c>
      <c r="E2274" s="9"/>
    </row>
    <row r="2275">
      <c r="A2275" s="10">
        <f>IFERROR(__xludf.DUMMYFUNCTION("""COMPUTED_VALUE"""),100443.0)</f>
        <v>100443</v>
      </c>
      <c r="B2275" s="11">
        <f>IFERROR(__xludf.DUMMYFUNCTION("""COMPUTED_VALUE"""),0.0)</f>
        <v>0</v>
      </c>
      <c r="C2275" s="11">
        <f>IFERROR(__xludf.DUMMYFUNCTION("""COMPUTED_VALUE"""),309.0)</f>
        <v>309</v>
      </c>
      <c r="D2275" s="11">
        <f>IFERROR(__xludf.DUMMYFUNCTION("""COMPUTED_VALUE"""),252.0)</f>
        <v>252</v>
      </c>
      <c r="E2275" s="9"/>
    </row>
    <row r="2276">
      <c r="A2276" s="10">
        <f>IFERROR(__xludf.DUMMYFUNCTION("""COMPUTED_VALUE"""),93833.0)</f>
        <v>93833</v>
      </c>
      <c r="B2276" s="11">
        <f>IFERROR(__xludf.DUMMYFUNCTION("""COMPUTED_VALUE"""),0.0)</f>
        <v>0</v>
      </c>
      <c r="C2276" s="11">
        <f>IFERROR(__xludf.DUMMYFUNCTION("""COMPUTED_VALUE"""),400.0)</f>
        <v>400</v>
      </c>
      <c r="D2276" s="11">
        <f>IFERROR(__xludf.DUMMYFUNCTION("""COMPUTED_VALUE"""),115.0)</f>
        <v>115</v>
      </c>
      <c r="E2276" s="9"/>
    </row>
    <row r="2277">
      <c r="A2277" s="10">
        <f>IFERROR(__xludf.DUMMYFUNCTION("""COMPUTED_VALUE"""),76693.0)</f>
        <v>76693</v>
      </c>
      <c r="B2277" s="11">
        <f>IFERROR(__xludf.DUMMYFUNCTION("""COMPUTED_VALUE"""),1.0)</f>
        <v>1</v>
      </c>
      <c r="C2277" s="11">
        <f>IFERROR(__xludf.DUMMYFUNCTION("""COMPUTED_VALUE"""),12.0)</f>
        <v>12</v>
      </c>
      <c r="D2277" s="11">
        <f>IFERROR(__xludf.DUMMYFUNCTION("""COMPUTED_VALUE"""),3.0)</f>
        <v>3</v>
      </c>
      <c r="E2277" s="9"/>
    </row>
    <row r="2278">
      <c r="A2278" s="10">
        <f>IFERROR(__xludf.DUMMYFUNCTION("""COMPUTED_VALUE"""),100441.0)</f>
        <v>100441</v>
      </c>
      <c r="B2278" s="11">
        <f>IFERROR(__xludf.DUMMYFUNCTION("""COMPUTED_VALUE"""),0.0)</f>
        <v>0</v>
      </c>
      <c r="C2278" s="11">
        <f>IFERROR(__xludf.DUMMYFUNCTION("""COMPUTED_VALUE"""),921.0)</f>
        <v>921</v>
      </c>
      <c r="D2278" s="11">
        <f>IFERROR(__xludf.DUMMYFUNCTION("""COMPUTED_VALUE"""),120.0)</f>
        <v>120</v>
      </c>
      <c r="E2278" s="9"/>
    </row>
    <row r="2279">
      <c r="A2279" s="10">
        <f>IFERROR(__xludf.DUMMYFUNCTION("""COMPUTED_VALUE"""),103230.0)</f>
        <v>103230</v>
      </c>
      <c r="B2279" s="11">
        <f>IFERROR(__xludf.DUMMYFUNCTION("""COMPUTED_VALUE"""),1.0)</f>
        <v>1</v>
      </c>
      <c r="C2279" s="11">
        <f>IFERROR(__xludf.DUMMYFUNCTION("""COMPUTED_VALUE"""),814.0)</f>
        <v>814</v>
      </c>
      <c r="D2279" s="11">
        <f>IFERROR(__xludf.DUMMYFUNCTION("""COMPUTED_VALUE"""),471.0)</f>
        <v>471</v>
      </c>
      <c r="E2279" s="9"/>
    </row>
    <row r="2280">
      <c r="A2280" s="10">
        <f>IFERROR(__xludf.DUMMYFUNCTION("""COMPUTED_VALUE"""),117902.0)</f>
        <v>117902</v>
      </c>
      <c r="B2280" s="11">
        <f>IFERROR(__xludf.DUMMYFUNCTION("""COMPUTED_VALUE"""),1.0)</f>
        <v>1</v>
      </c>
      <c r="C2280" s="11">
        <f>IFERROR(__xludf.DUMMYFUNCTION("""COMPUTED_VALUE"""),147.0)</f>
        <v>147</v>
      </c>
      <c r="D2280" s="11">
        <f>IFERROR(__xludf.DUMMYFUNCTION("""COMPUTED_VALUE"""),53.0)</f>
        <v>53</v>
      </c>
      <c r="E2280" s="9"/>
    </row>
    <row r="2281">
      <c r="A2281" s="10">
        <f>IFERROR(__xludf.DUMMYFUNCTION("""COMPUTED_VALUE"""),105745.0)</f>
        <v>105745</v>
      </c>
      <c r="B2281" s="11">
        <f>IFERROR(__xludf.DUMMYFUNCTION("""COMPUTED_VALUE"""),0.0)</f>
        <v>0</v>
      </c>
      <c r="C2281" s="11">
        <f>IFERROR(__xludf.DUMMYFUNCTION("""COMPUTED_VALUE"""),710.0)</f>
        <v>710</v>
      </c>
      <c r="D2281" s="11">
        <f>IFERROR(__xludf.DUMMYFUNCTION("""COMPUTED_VALUE"""),177.0)</f>
        <v>177</v>
      </c>
      <c r="E2281" s="9"/>
    </row>
    <row r="2282">
      <c r="A2282" s="10">
        <f>IFERROR(__xludf.DUMMYFUNCTION("""COMPUTED_VALUE"""),100811.0)</f>
        <v>100811</v>
      </c>
      <c r="B2282" s="11">
        <f>IFERROR(__xludf.DUMMYFUNCTION("""COMPUTED_VALUE"""),0.0)</f>
        <v>0</v>
      </c>
      <c r="C2282" s="11">
        <f>IFERROR(__xludf.DUMMYFUNCTION("""COMPUTED_VALUE"""),802.0)</f>
        <v>802</v>
      </c>
      <c r="D2282" s="11">
        <f>IFERROR(__xludf.DUMMYFUNCTION("""COMPUTED_VALUE"""),464.0)</f>
        <v>464</v>
      </c>
      <c r="E2282" s="9"/>
    </row>
    <row r="2283">
      <c r="A2283" s="10">
        <f>IFERROR(__xludf.DUMMYFUNCTION("""COMPUTED_VALUE"""),102505.0)</f>
        <v>102505</v>
      </c>
      <c r="B2283" s="11">
        <f>IFERROR(__xludf.DUMMYFUNCTION("""COMPUTED_VALUE"""),0.0)</f>
        <v>0</v>
      </c>
      <c r="C2283" s="11">
        <f>IFERROR(__xludf.DUMMYFUNCTION("""COMPUTED_VALUE"""),873.0)</f>
        <v>873</v>
      </c>
      <c r="D2283" s="11">
        <f>IFERROR(__xludf.DUMMYFUNCTION("""COMPUTED_VALUE"""),852.0)</f>
        <v>852</v>
      </c>
      <c r="E2283" s="9"/>
    </row>
    <row r="2284">
      <c r="A2284" s="10">
        <f>IFERROR(__xludf.DUMMYFUNCTION("""COMPUTED_VALUE"""),121317.0)</f>
        <v>121317</v>
      </c>
      <c r="B2284" s="11">
        <f>IFERROR(__xludf.DUMMYFUNCTION("""COMPUTED_VALUE"""),0.0)</f>
        <v>0</v>
      </c>
      <c r="C2284" s="11">
        <f>IFERROR(__xludf.DUMMYFUNCTION("""COMPUTED_VALUE"""),437.0)</f>
        <v>437</v>
      </c>
      <c r="D2284" s="11">
        <f>IFERROR(__xludf.DUMMYFUNCTION("""COMPUTED_VALUE"""),223.0)</f>
        <v>223</v>
      </c>
      <c r="E2284" s="9"/>
    </row>
    <row r="2285">
      <c r="A2285" s="10">
        <f>IFERROR(__xludf.DUMMYFUNCTION("""COMPUTED_VALUE"""),121318.0)</f>
        <v>121318</v>
      </c>
      <c r="B2285" s="11">
        <f>IFERROR(__xludf.DUMMYFUNCTION("""COMPUTED_VALUE"""),1.0)</f>
        <v>1</v>
      </c>
      <c r="C2285" s="11">
        <f>IFERROR(__xludf.DUMMYFUNCTION("""COMPUTED_VALUE"""),261.0)</f>
        <v>261</v>
      </c>
      <c r="D2285" s="11">
        <f>IFERROR(__xludf.DUMMYFUNCTION("""COMPUTED_VALUE"""),128.0)</f>
        <v>128</v>
      </c>
      <c r="E2285" s="9"/>
    </row>
    <row r="2286">
      <c r="A2286" s="10">
        <f>IFERROR(__xludf.DUMMYFUNCTION("""COMPUTED_VALUE"""),95155.0)</f>
        <v>95155</v>
      </c>
      <c r="B2286" s="11">
        <f>IFERROR(__xludf.DUMMYFUNCTION("""COMPUTED_VALUE"""),1.0)</f>
        <v>1</v>
      </c>
      <c r="C2286" s="11">
        <f>IFERROR(__xludf.DUMMYFUNCTION("""COMPUTED_VALUE"""),613.0)</f>
        <v>613</v>
      </c>
      <c r="D2286" s="11">
        <f>IFERROR(__xludf.DUMMYFUNCTION("""COMPUTED_VALUE"""),368.0)</f>
        <v>368</v>
      </c>
      <c r="E2286" s="9"/>
    </row>
    <row r="2287">
      <c r="A2287" s="10">
        <f>IFERROR(__xludf.DUMMYFUNCTION("""COMPUTED_VALUE"""),25199.0)</f>
        <v>25199</v>
      </c>
      <c r="B2287" s="11">
        <f>IFERROR(__xludf.DUMMYFUNCTION("""COMPUTED_VALUE"""),0.0)</f>
        <v>0</v>
      </c>
      <c r="C2287" s="11">
        <f>IFERROR(__xludf.DUMMYFUNCTION("""COMPUTED_VALUE"""),76.0)</f>
        <v>76</v>
      </c>
      <c r="D2287" s="11">
        <f>IFERROR(__xludf.DUMMYFUNCTION("""COMPUTED_VALUE"""),10.0)</f>
        <v>10</v>
      </c>
      <c r="E2287" s="9"/>
    </row>
    <row r="2288">
      <c r="A2288" s="10">
        <f>IFERROR(__xludf.DUMMYFUNCTION("""COMPUTED_VALUE"""),156020.0)</f>
        <v>156020</v>
      </c>
      <c r="B2288" s="11">
        <f>IFERROR(__xludf.DUMMYFUNCTION("""COMPUTED_VALUE"""),1.0)</f>
        <v>1</v>
      </c>
      <c r="C2288" s="11">
        <f>IFERROR(__xludf.DUMMYFUNCTION("""COMPUTED_VALUE"""),390.0)</f>
        <v>390</v>
      </c>
      <c r="D2288" s="11">
        <f>IFERROR(__xludf.DUMMYFUNCTION("""COMPUTED_VALUE"""),96.0)</f>
        <v>96</v>
      </c>
      <c r="E2288" s="9"/>
    </row>
    <row r="2289">
      <c r="A2289" s="10">
        <f>IFERROR(__xludf.DUMMYFUNCTION("""COMPUTED_VALUE"""),28587.0)</f>
        <v>28587</v>
      </c>
      <c r="B2289" s="11">
        <f>IFERROR(__xludf.DUMMYFUNCTION("""COMPUTED_VALUE"""),0.0)</f>
        <v>0</v>
      </c>
      <c r="C2289" s="11">
        <f>IFERROR(__xludf.DUMMYFUNCTION("""COMPUTED_VALUE"""),826.0)</f>
        <v>826</v>
      </c>
      <c r="D2289" s="11">
        <f>IFERROR(__xludf.DUMMYFUNCTION("""COMPUTED_VALUE"""),615.0)</f>
        <v>615</v>
      </c>
      <c r="E2289" s="9"/>
    </row>
    <row r="2290">
      <c r="A2290" s="10">
        <f>IFERROR(__xludf.DUMMYFUNCTION("""COMPUTED_VALUE"""),16050.0)</f>
        <v>16050</v>
      </c>
      <c r="B2290" s="11">
        <f>IFERROR(__xludf.DUMMYFUNCTION("""COMPUTED_VALUE"""),0.0)</f>
        <v>0</v>
      </c>
      <c r="C2290" s="11">
        <f>IFERROR(__xludf.DUMMYFUNCTION("""COMPUTED_VALUE"""),612.0)</f>
        <v>612</v>
      </c>
      <c r="D2290" s="11">
        <f>IFERROR(__xludf.DUMMYFUNCTION("""COMPUTED_VALUE"""),438.0)</f>
        <v>438</v>
      </c>
      <c r="E2290" s="9"/>
    </row>
    <row r="2291">
      <c r="A2291" s="10">
        <f>IFERROR(__xludf.DUMMYFUNCTION("""COMPUTED_VALUE"""),119453.0)</f>
        <v>119453</v>
      </c>
      <c r="B2291" s="11">
        <f>IFERROR(__xludf.DUMMYFUNCTION("""COMPUTED_VALUE"""),1.0)</f>
        <v>1</v>
      </c>
      <c r="C2291" s="11">
        <f>IFERROR(__xludf.DUMMYFUNCTION("""COMPUTED_VALUE"""),640.0)</f>
        <v>640</v>
      </c>
      <c r="D2291" s="11">
        <f>IFERROR(__xludf.DUMMYFUNCTION("""COMPUTED_VALUE"""),201.0)</f>
        <v>201</v>
      </c>
      <c r="E2291" s="9"/>
    </row>
    <row r="2292">
      <c r="A2292" s="10">
        <f>IFERROR(__xludf.DUMMYFUNCTION("""COMPUTED_VALUE"""),113070.0)</f>
        <v>113070</v>
      </c>
      <c r="B2292" s="11">
        <f>IFERROR(__xludf.DUMMYFUNCTION("""COMPUTED_VALUE"""),0.0)</f>
        <v>0</v>
      </c>
      <c r="C2292" s="11">
        <f>IFERROR(__xludf.DUMMYFUNCTION("""COMPUTED_VALUE"""),370.0)</f>
        <v>370</v>
      </c>
      <c r="D2292" s="11">
        <f>IFERROR(__xludf.DUMMYFUNCTION("""COMPUTED_VALUE"""),183.0)</f>
        <v>183</v>
      </c>
      <c r="E2292" s="9"/>
    </row>
    <row r="2293">
      <c r="A2293" s="10">
        <f>IFERROR(__xludf.DUMMYFUNCTION("""COMPUTED_VALUE"""),99097.0)</f>
        <v>99097</v>
      </c>
      <c r="B2293" s="11">
        <f>IFERROR(__xludf.DUMMYFUNCTION("""COMPUTED_VALUE"""),0.0)</f>
        <v>0</v>
      </c>
      <c r="C2293" s="11">
        <f>IFERROR(__xludf.DUMMYFUNCTION("""COMPUTED_VALUE"""),295.0)</f>
        <v>295</v>
      </c>
      <c r="D2293" s="11">
        <f>IFERROR(__xludf.DUMMYFUNCTION("""COMPUTED_VALUE"""),64.0)</f>
        <v>64</v>
      </c>
      <c r="E2293" s="9"/>
    </row>
    <row r="2294">
      <c r="A2294" s="10">
        <f>IFERROR(__xludf.DUMMYFUNCTION("""COMPUTED_VALUE"""),99099.0)</f>
        <v>99099</v>
      </c>
      <c r="B2294" s="11">
        <f>IFERROR(__xludf.DUMMYFUNCTION("""COMPUTED_VALUE"""),1.0)</f>
        <v>1</v>
      </c>
      <c r="C2294" s="11">
        <f>IFERROR(__xludf.DUMMYFUNCTION("""COMPUTED_VALUE"""),341.0)</f>
        <v>341</v>
      </c>
      <c r="D2294" s="11">
        <f>IFERROR(__xludf.DUMMYFUNCTION("""COMPUTED_VALUE"""),11.0)</f>
        <v>11</v>
      </c>
      <c r="E2294" s="9"/>
    </row>
    <row r="2295">
      <c r="A2295" s="10">
        <f>IFERROR(__xludf.DUMMYFUNCTION("""COMPUTED_VALUE"""),104998.0)</f>
        <v>104998</v>
      </c>
      <c r="B2295" s="11">
        <f>IFERROR(__xludf.DUMMYFUNCTION("""COMPUTED_VALUE"""),1.0)</f>
        <v>1</v>
      </c>
      <c r="C2295" s="11">
        <f>IFERROR(__xludf.DUMMYFUNCTION("""COMPUTED_VALUE"""),8.0)</f>
        <v>8</v>
      </c>
      <c r="D2295" s="11">
        <f>IFERROR(__xludf.DUMMYFUNCTION("""COMPUTED_VALUE"""),1.0)</f>
        <v>1</v>
      </c>
      <c r="E2295" s="9"/>
    </row>
    <row r="2296">
      <c r="A2296" s="10">
        <f>IFERROR(__xludf.DUMMYFUNCTION("""COMPUTED_VALUE"""),110524.0)</f>
        <v>110524</v>
      </c>
      <c r="B2296" s="11">
        <f>IFERROR(__xludf.DUMMYFUNCTION("""COMPUTED_VALUE"""),1.0)</f>
        <v>1</v>
      </c>
      <c r="C2296" s="11">
        <f>IFERROR(__xludf.DUMMYFUNCTION("""COMPUTED_VALUE"""),560.0)</f>
        <v>560</v>
      </c>
      <c r="D2296" s="11">
        <f>IFERROR(__xludf.DUMMYFUNCTION("""COMPUTED_VALUE"""),233.0)</f>
        <v>233</v>
      </c>
      <c r="E2296" s="9"/>
    </row>
    <row r="2297">
      <c r="A2297" s="10">
        <f>IFERROR(__xludf.DUMMYFUNCTION("""COMPUTED_VALUE"""),117133.0)</f>
        <v>117133</v>
      </c>
      <c r="B2297" s="11">
        <f>IFERROR(__xludf.DUMMYFUNCTION("""COMPUTED_VALUE"""),0.0)</f>
        <v>0</v>
      </c>
      <c r="C2297" s="11">
        <f>IFERROR(__xludf.DUMMYFUNCTION("""COMPUTED_VALUE"""),511.0)</f>
        <v>511</v>
      </c>
      <c r="D2297" s="11">
        <f>IFERROR(__xludf.DUMMYFUNCTION("""COMPUTED_VALUE"""),422.0)</f>
        <v>422</v>
      </c>
      <c r="E2297" s="9"/>
    </row>
    <row r="2298">
      <c r="A2298" s="10">
        <f>IFERROR(__xludf.DUMMYFUNCTION("""COMPUTED_VALUE"""),70696.0)</f>
        <v>70696</v>
      </c>
      <c r="B2298" s="11">
        <f>IFERROR(__xludf.DUMMYFUNCTION("""COMPUTED_VALUE"""),0.0)</f>
        <v>0</v>
      </c>
      <c r="C2298" s="11">
        <f>IFERROR(__xludf.DUMMYFUNCTION("""COMPUTED_VALUE"""),271.0)</f>
        <v>271</v>
      </c>
      <c r="D2298" s="11">
        <f>IFERROR(__xludf.DUMMYFUNCTION("""COMPUTED_VALUE"""),108.0)</f>
        <v>108</v>
      </c>
      <c r="E2298" s="9"/>
    </row>
    <row r="2299">
      <c r="A2299" s="10">
        <f>IFERROR(__xludf.DUMMYFUNCTION("""COMPUTED_VALUE"""),121278.0)</f>
        <v>121278</v>
      </c>
      <c r="B2299" s="11">
        <f>IFERROR(__xludf.DUMMYFUNCTION("""COMPUTED_VALUE"""),0.0)</f>
        <v>0</v>
      </c>
      <c r="C2299" s="11">
        <f>IFERROR(__xludf.DUMMYFUNCTION("""COMPUTED_VALUE"""),86.0)</f>
        <v>86</v>
      </c>
      <c r="D2299" s="11">
        <f>IFERROR(__xludf.DUMMYFUNCTION("""COMPUTED_VALUE"""),10.0)</f>
        <v>10</v>
      </c>
      <c r="E2299" s="9"/>
    </row>
    <row r="2300">
      <c r="A2300" s="10">
        <f>IFERROR(__xludf.DUMMYFUNCTION("""COMPUTED_VALUE"""),74382.0)</f>
        <v>74382</v>
      </c>
      <c r="B2300" s="11">
        <f>IFERROR(__xludf.DUMMYFUNCTION("""COMPUTED_VALUE"""),1.0)</f>
        <v>1</v>
      </c>
      <c r="C2300" s="11">
        <f>IFERROR(__xludf.DUMMYFUNCTION("""COMPUTED_VALUE"""),550.0)</f>
        <v>550</v>
      </c>
      <c r="D2300" s="11">
        <f>IFERROR(__xludf.DUMMYFUNCTION("""COMPUTED_VALUE"""),57.0)</f>
        <v>57</v>
      </c>
      <c r="E2300" s="9"/>
    </row>
    <row r="2301">
      <c r="A2301" s="10">
        <f>IFERROR(__xludf.DUMMYFUNCTION("""COMPUTED_VALUE"""),121921.0)</f>
        <v>121921</v>
      </c>
      <c r="B2301" s="11">
        <f>IFERROR(__xludf.DUMMYFUNCTION("""COMPUTED_VALUE"""),1.0)</f>
        <v>1</v>
      </c>
      <c r="C2301" s="11">
        <f>IFERROR(__xludf.DUMMYFUNCTION("""COMPUTED_VALUE"""),44.0)</f>
        <v>44</v>
      </c>
      <c r="D2301" s="11">
        <f>IFERROR(__xludf.DUMMYFUNCTION("""COMPUTED_VALUE"""),23.0)</f>
        <v>23</v>
      </c>
      <c r="E2301" s="9"/>
    </row>
    <row r="2302">
      <c r="A2302" s="10">
        <f>IFERROR(__xludf.DUMMYFUNCTION("""COMPUTED_VALUE"""),83853.0)</f>
        <v>83853</v>
      </c>
      <c r="B2302" s="11">
        <f>IFERROR(__xludf.DUMMYFUNCTION("""COMPUTED_VALUE"""),1.0)</f>
        <v>1</v>
      </c>
      <c r="C2302" s="11">
        <f>IFERROR(__xludf.DUMMYFUNCTION("""COMPUTED_VALUE"""),525.0)</f>
        <v>525</v>
      </c>
      <c r="D2302" s="11">
        <f>IFERROR(__xludf.DUMMYFUNCTION("""COMPUTED_VALUE"""),282.0)</f>
        <v>282</v>
      </c>
      <c r="E2302" s="9"/>
    </row>
    <row r="2303">
      <c r="A2303" s="10">
        <f>IFERROR(__xludf.DUMMYFUNCTION("""COMPUTED_VALUE"""),111706.0)</f>
        <v>111706</v>
      </c>
      <c r="B2303" s="11">
        <f>IFERROR(__xludf.DUMMYFUNCTION("""COMPUTED_VALUE"""),0.0)</f>
        <v>0</v>
      </c>
      <c r="C2303" s="11">
        <f>IFERROR(__xludf.DUMMYFUNCTION("""COMPUTED_VALUE"""),379.0)</f>
        <v>379</v>
      </c>
      <c r="D2303" s="11">
        <f>IFERROR(__xludf.DUMMYFUNCTION("""COMPUTED_VALUE"""),249.0)</f>
        <v>249</v>
      </c>
      <c r="E2303" s="9"/>
    </row>
    <row r="2304">
      <c r="A2304" s="10">
        <f>IFERROR(__xludf.DUMMYFUNCTION("""COMPUTED_VALUE"""),15062.0)</f>
        <v>15062</v>
      </c>
      <c r="B2304" s="11">
        <f>IFERROR(__xludf.DUMMYFUNCTION("""COMPUTED_VALUE"""),1.0)</f>
        <v>1</v>
      </c>
      <c r="C2304" s="11">
        <f>IFERROR(__xludf.DUMMYFUNCTION("""COMPUTED_VALUE"""),53.0)</f>
        <v>53</v>
      </c>
      <c r="D2304" s="11">
        <f>IFERROR(__xludf.DUMMYFUNCTION("""COMPUTED_VALUE"""),15.0)</f>
        <v>15</v>
      </c>
      <c r="E2304" s="9"/>
    </row>
    <row r="2305">
      <c r="A2305" s="10">
        <f>IFERROR(__xludf.DUMMYFUNCTION("""COMPUTED_VALUE"""),79948.0)</f>
        <v>79948</v>
      </c>
      <c r="B2305" s="11">
        <f>IFERROR(__xludf.DUMMYFUNCTION("""COMPUTED_VALUE"""),0.0)</f>
        <v>0</v>
      </c>
      <c r="C2305" s="11">
        <f>IFERROR(__xludf.DUMMYFUNCTION("""COMPUTED_VALUE"""),799.0)</f>
        <v>799</v>
      </c>
      <c r="D2305" s="11">
        <f>IFERROR(__xludf.DUMMYFUNCTION("""COMPUTED_VALUE"""),9.0)</f>
        <v>9</v>
      </c>
      <c r="E2305" s="9"/>
    </row>
    <row r="2306">
      <c r="A2306" s="10">
        <f>IFERROR(__xludf.DUMMYFUNCTION("""COMPUTED_VALUE"""),84400.0)</f>
        <v>84400</v>
      </c>
      <c r="B2306" s="11">
        <f>IFERROR(__xludf.DUMMYFUNCTION("""COMPUTED_VALUE"""),1.0)</f>
        <v>1</v>
      </c>
      <c r="C2306" s="11">
        <f>IFERROR(__xludf.DUMMYFUNCTION("""COMPUTED_VALUE"""),166.0)</f>
        <v>166</v>
      </c>
      <c r="D2306" s="11">
        <f>IFERROR(__xludf.DUMMYFUNCTION("""COMPUTED_VALUE"""),81.0)</f>
        <v>81</v>
      </c>
      <c r="E2306" s="9"/>
    </row>
    <row r="2307">
      <c r="A2307" s="10">
        <f>IFERROR(__xludf.DUMMYFUNCTION("""COMPUTED_VALUE"""),79299.0)</f>
        <v>79299</v>
      </c>
      <c r="B2307" s="11">
        <f>IFERROR(__xludf.DUMMYFUNCTION("""COMPUTED_VALUE"""),1.0)</f>
        <v>1</v>
      </c>
      <c r="C2307" s="11">
        <f>IFERROR(__xludf.DUMMYFUNCTION("""COMPUTED_VALUE"""),192.0)</f>
        <v>192</v>
      </c>
      <c r="D2307" s="11">
        <f>IFERROR(__xludf.DUMMYFUNCTION("""COMPUTED_VALUE"""),77.0)</f>
        <v>77</v>
      </c>
      <c r="E2307" s="9"/>
    </row>
    <row r="2308">
      <c r="A2308" s="10">
        <f>IFERROR(__xludf.DUMMYFUNCTION("""COMPUTED_VALUE"""),19776.0)</f>
        <v>19776</v>
      </c>
      <c r="B2308" s="11">
        <f>IFERROR(__xludf.DUMMYFUNCTION("""COMPUTED_VALUE"""),1.0)</f>
        <v>1</v>
      </c>
      <c r="C2308" s="11">
        <f>IFERROR(__xludf.DUMMYFUNCTION("""COMPUTED_VALUE"""),896.0)</f>
        <v>896</v>
      </c>
      <c r="D2308" s="11">
        <f>IFERROR(__xludf.DUMMYFUNCTION("""COMPUTED_VALUE"""),150.0)</f>
        <v>150</v>
      </c>
      <c r="E2308" s="9"/>
    </row>
    <row r="2309">
      <c r="A2309" s="10">
        <f>IFERROR(__xludf.DUMMYFUNCTION("""COMPUTED_VALUE"""),74392.0)</f>
        <v>74392</v>
      </c>
      <c r="B2309" s="11">
        <f>IFERROR(__xludf.DUMMYFUNCTION("""COMPUTED_VALUE"""),1.0)</f>
        <v>1</v>
      </c>
      <c r="C2309" s="11">
        <f>IFERROR(__xludf.DUMMYFUNCTION("""COMPUTED_VALUE"""),682.0)</f>
        <v>682</v>
      </c>
      <c r="D2309" s="11">
        <f>IFERROR(__xludf.DUMMYFUNCTION("""COMPUTED_VALUE"""),103.0)</f>
        <v>103</v>
      </c>
      <c r="E2309" s="9"/>
    </row>
    <row r="2310">
      <c r="A2310" s="10">
        <f>IFERROR(__xludf.DUMMYFUNCTION("""COMPUTED_VALUE"""),83399.0)</f>
        <v>83399</v>
      </c>
      <c r="B2310" s="11">
        <f>IFERROR(__xludf.DUMMYFUNCTION("""COMPUTED_VALUE"""),0.0)</f>
        <v>0</v>
      </c>
      <c r="C2310" s="11">
        <f>IFERROR(__xludf.DUMMYFUNCTION("""COMPUTED_VALUE"""),521.0)</f>
        <v>521</v>
      </c>
      <c r="D2310" s="11">
        <f>IFERROR(__xludf.DUMMYFUNCTION("""COMPUTED_VALUE"""),241.0)</f>
        <v>241</v>
      </c>
      <c r="E2310" s="9"/>
    </row>
    <row r="2311">
      <c r="A2311" s="10">
        <f>IFERROR(__xludf.DUMMYFUNCTION("""COMPUTED_VALUE"""),74383.0)</f>
        <v>74383</v>
      </c>
      <c r="B2311" s="11">
        <f>IFERROR(__xludf.DUMMYFUNCTION("""COMPUTED_VALUE"""),0.0)</f>
        <v>0</v>
      </c>
      <c r="C2311" s="11">
        <f>IFERROR(__xludf.DUMMYFUNCTION("""COMPUTED_VALUE"""),641.0)</f>
        <v>641</v>
      </c>
      <c r="D2311" s="11">
        <f>IFERROR(__xludf.DUMMYFUNCTION("""COMPUTED_VALUE"""),441.0)</f>
        <v>441</v>
      </c>
      <c r="E2311" s="9"/>
    </row>
    <row r="2312">
      <c r="A2312" s="10">
        <f>IFERROR(__xludf.DUMMYFUNCTION("""COMPUTED_VALUE"""),100819.0)</f>
        <v>100819</v>
      </c>
      <c r="B2312" s="11">
        <f>IFERROR(__xludf.DUMMYFUNCTION("""COMPUTED_VALUE"""),1.0)</f>
        <v>1</v>
      </c>
      <c r="C2312" s="11">
        <f>IFERROR(__xludf.DUMMYFUNCTION("""COMPUTED_VALUE"""),773.0)</f>
        <v>773</v>
      </c>
      <c r="D2312" s="11">
        <f>IFERROR(__xludf.DUMMYFUNCTION("""COMPUTED_VALUE"""),147.0)</f>
        <v>147</v>
      </c>
      <c r="E2312" s="9"/>
    </row>
    <row r="2313">
      <c r="A2313" s="10">
        <f>IFERROR(__xludf.DUMMYFUNCTION("""COMPUTED_VALUE"""),190857.0)</f>
        <v>190857</v>
      </c>
      <c r="B2313" s="11">
        <f>IFERROR(__xludf.DUMMYFUNCTION("""COMPUTED_VALUE"""),0.0)</f>
        <v>0</v>
      </c>
      <c r="C2313" s="11">
        <f>IFERROR(__xludf.DUMMYFUNCTION("""COMPUTED_VALUE"""),682.0)</f>
        <v>682</v>
      </c>
      <c r="D2313" s="11">
        <f>IFERROR(__xludf.DUMMYFUNCTION("""COMPUTED_VALUE"""),498.0)</f>
        <v>498</v>
      </c>
      <c r="E2313" s="9"/>
    </row>
    <row r="2314">
      <c r="A2314" s="10">
        <f>IFERROR(__xludf.DUMMYFUNCTION("""COMPUTED_VALUE"""),120331.0)</f>
        <v>120331</v>
      </c>
      <c r="B2314" s="11">
        <f>IFERROR(__xludf.DUMMYFUNCTION("""COMPUTED_VALUE"""),1.0)</f>
        <v>1</v>
      </c>
      <c r="C2314" s="11">
        <f>IFERROR(__xludf.DUMMYFUNCTION("""COMPUTED_VALUE"""),886.0)</f>
        <v>886</v>
      </c>
      <c r="D2314" s="11">
        <f>IFERROR(__xludf.DUMMYFUNCTION("""COMPUTED_VALUE"""),151.0)</f>
        <v>151</v>
      </c>
      <c r="E2314" s="9"/>
    </row>
    <row r="2315">
      <c r="A2315" s="10">
        <f>IFERROR(__xludf.DUMMYFUNCTION("""COMPUTED_VALUE"""),87580.0)</f>
        <v>87580</v>
      </c>
      <c r="B2315" s="11">
        <f>IFERROR(__xludf.DUMMYFUNCTION("""COMPUTED_VALUE"""),1.0)</f>
        <v>1</v>
      </c>
      <c r="C2315" s="11">
        <f>IFERROR(__xludf.DUMMYFUNCTION("""COMPUTED_VALUE"""),955.0)</f>
        <v>955</v>
      </c>
      <c r="D2315" s="11">
        <f>IFERROR(__xludf.DUMMYFUNCTION("""COMPUTED_VALUE"""),132.0)</f>
        <v>132</v>
      </c>
      <c r="E2315" s="9"/>
    </row>
    <row r="2316">
      <c r="A2316" s="10">
        <f>IFERROR(__xludf.DUMMYFUNCTION("""COMPUTED_VALUE"""),79300.0)</f>
        <v>79300</v>
      </c>
      <c r="B2316" s="11">
        <f>IFERROR(__xludf.DUMMYFUNCTION("""COMPUTED_VALUE"""),0.0)</f>
        <v>0</v>
      </c>
      <c r="C2316" s="11">
        <f>IFERROR(__xludf.DUMMYFUNCTION("""COMPUTED_VALUE"""),978.0)</f>
        <v>978</v>
      </c>
      <c r="D2316" s="11">
        <f>IFERROR(__xludf.DUMMYFUNCTION("""COMPUTED_VALUE"""),107.0)</f>
        <v>107</v>
      </c>
      <c r="E2316" s="9"/>
    </row>
    <row r="2317">
      <c r="A2317" s="10">
        <f>IFERROR(__xludf.DUMMYFUNCTION("""COMPUTED_VALUE"""),79950.0)</f>
        <v>79950</v>
      </c>
      <c r="B2317" s="11">
        <f>IFERROR(__xludf.DUMMYFUNCTION("""COMPUTED_VALUE"""),1.0)</f>
        <v>1</v>
      </c>
      <c r="C2317" s="11">
        <f>IFERROR(__xludf.DUMMYFUNCTION("""COMPUTED_VALUE"""),437.0)</f>
        <v>437</v>
      </c>
      <c r="D2317" s="11">
        <f>IFERROR(__xludf.DUMMYFUNCTION("""COMPUTED_VALUE"""),61.0)</f>
        <v>61</v>
      </c>
      <c r="E2317" s="9"/>
    </row>
    <row r="2318">
      <c r="A2318" s="10">
        <f>IFERROR(__xludf.DUMMYFUNCTION("""COMPUTED_VALUE"""),84402.0)</f>
        <v>84402</v>
      </c>
      <c r="B2318" s="11">
        <f>IFERROR(__xludf.DUMMYFUNCTION("""COMPUTED_VALUE"""),1.0)</f>
        <v>1</v>
      </c>
      <c r="C2318" s="11">
        <f>IFERROR(__xludf.DUMMYFUNCTION("""COMPUTED_VALUE"""),769.0)</f>
        <v>769</v>
      </c>
      <c r="D2318" s="11">
        <f>IFERROR(__xludf.DUMMYFUNCTION("""COMPUTED_VALUE"""),488.0)</f>
        <v>488</v>
      </c>
      <c r="E2318" s="9"/>
    </row>
    <row r="2319">
      <c r="A2319" s="10">
        <f>IFERROR(__xludf.DUMMYFUNCTION("""COMPUTED_VALUE"""),79298.0)</f>
        <v>79298</v>
      </c>
      <c r="B2319" s="11">
        <f>IFERROR(__xludf.DUMMYFUNCTION("""COMPUTED_VALUE"""),1.0)</f>
        <v>1</v>
      </c>
      <c r="C2319" s="11">
        <f>IFERROR(__xludf.DUMMYFUNCTION("""COMPUTED_VALUE"""),935.0)</f>
        <v>935</v>
      </c>
      <c r="D2319" s="11">
        <f>IFERROR(__xludf.DUMMYFUNCTION("""COMPUTED_VALUE"""),217.0)</f>
        <v>217</v>
      </c>
      <c r="E2319" s="9"/>
    </row>
    <row r="2320">
      <c r="A2320" s="10">
        <f>IFERROR(__xludf.DUMMYFUNCTION("""COMPUTED_VALUE"""),145105.0)</f>
        <v>145105</v>
      </c>
      <c r="B2320" s="11">
        <f>IFERROR(__xludf.DUMMYFUNCTION("""COMPUTED_VALUE"""),0.0)</f>
        <v>0</v>
      </c>
      <c r="C2320" s="11">
        <f>IFERROR(__xludf.DUMMYFUNCTION("""COMPUTED_VALUE"""),759.0)</f>
        <v>759</v>
      </c>
      <c r="D2320" s="11">
        <f>IFERROR(__xludf.DUMMYFUNCTION("""COMPUTED_VALUE"""),348.0)</f>
        <v>348</v>
      </c>
      <c r="E2320" s="9"/>
    </row>
    <row r="2321">
      <c r="A2321" s="10">
        <f>IFERROR(__xludf.DUMMYFUNCTION("""COMPUTED_VALUE"""),92313.0)</f>
        <v>92313</v>
      </c>
      <c r="B2321" s="11">
        <f>IFERROR(__xludf.DUMMYFUNCTION("""COMPUTED_VALUE"""),0.0)</f>
        <v>0</v>
      </c>
      <c r="C2321" s="11">
        <f>IFERROR(__xludf.DUMMYFUNCTION("""COMPUTED_VALUE"""),556.0)</f>
        <v>556</v>
      </c>
      <c r="D2321" s="11">
        <f>IFERROR(__xludf.DUMMYFUNCTION("""COMPUTED_VALUE"""),427.0)</f>
        <v>427</v>
      </c>
      <c r="E2321" s="9"/>
    </row>
    <row r="2322">
      <c r="A2322" s="10">
        <f>IFERROR(__xludf.DUMMYFUNCTION("""COMPUTED_VALUE"""),121735.0)</f>
        <v>121735</v>
      </c>
      <c r="B2322" s="11">
        <f>IFERROR(__xludf.DUMMYFUNCTION("""COMPUTED_VALUE"""),1.0)</f>
        <v>1</v>
      </c>
      <c r="C2322" s="11">
        <f>IFERROR(__xludf.DUMMYFUNCTION("""COMPUTED_VALUE"""),200.0)</f>
        <v>200</v>
      </c>
      <c r="D2322" s="11">
        <f>IFERROR(__xludf.DUMMYFUNCTION("""COMPUTED_VALUE"""),184.0)</f>
        <v>184</v>
      </c>
      <c r="E2322" s="9"/>
    </row>
    <row r="2323">
      <c r="A2323" s="10">
        <f>IFERROR(__xludf.DUMMYFUNCTION("""COMPUTED_VALUE"""),47545.0)</f>
        <v>47545</v>
      </c>
      <c r="B2323" s="11">
        <f>IFERROR(__xludf.DUMMYFUNCTION("""COMPUTED_VALUE"""),1.0)</f>
        <v>1</v>
      </c>
      <c r="C2323" s="11">
        <f>IFERROR(__xludf.DUMMYFUNCTION("""COMPUTED_VALUE"""),486.0)</f>
        <v>486</v>
      </c>
      <c r="D2323" s="11">
        <f>IFERROR(__xludf.DUMMYFUNCTION("""COMPUTED_VALUE"""),288.0)</f>
        <v>288</v>
      </c>
      <c r="E2323" s="9"/>
    </row>
    <row r="2324">
      <c r="A2324" s="10">
        <f>IFERROR(__xludf.DUMMYFUNCTION("""COMPUTED_VALUE"""),122630.0)</f>
        <v>122630</v>
      </c>
      <c r="B2324" s="11">
        <f>IFERROR(__xludf.DUMMYFUNCTION("""COMPUTED_VALUE"""),0.0)</f>
        <v>0</v>
      </c>
      <c r="C2324" s="11">
        <f>IFERROR(__xludf.DUMMYFUNCTION("""COMPUTED_VALUE"""),624.0)</f>
        <v>624</v>
      </c>
      <c r="D2324" s="11">
        <f>IFERROR(__xludf.DUMMYFUNCTION("""COMPUTED_VALUE"""),287.0)</f>
        <v>287</v>
      </c>
      <c r="E2324" s="9"/>
    </row>
    <row r="2325">
      <c r="A2325" s="10">
        <f>IFERROR(__xludf.DUMMYFUNCTION("""COMPUTED_VALUE"""),159490.0)</f>
        <v>159490</v>
      </c>
      <c r="B2325" s="11">
        <f>IFERROR(__xludf.DUMMYFUNCTION("""COMPUTED_VALUE"""),0.0)</f>
        <v>0</v>
      </c>
      <c r="C2325" s="11">
        <f>IFERROR(__xludf.DUMMYFUNCTION("""COMPUTED_VALUE"""),956.0)</f>
        <v>956</v>
      </c>
      <c r="D2325" s="11">
        <f>IFERROR(__xludf.DUMMYFUNCTION("""COMPUTED_VALUE"""),337.0)</f>
        <v>337</v>
      </c>
      <c r="E2325" s="9"/>
    </row>
    <row r="2326">
      <c r="A2326" s="10">
        <f>IFERROR(__xludf.DUMMYFUNCTION("""COMPUTED_VALUE"""),120519.0)</f>
        <v>120519</v>
      </c>
      <c r="B2326" s="11">
        <f>IFERROR(__xludf.DUMMYFUNCTION("""COMPUTED_VALUE"""),0.0)</f>
        <v>0</v>
      </c>
      <c r="C2326" s="11">
        <f>IFERROR(__xludf.DUMMYFUNCTION("""COMPUTED_VALUE"""),2.0)</f>
        <v>2</v>
      </c>
      <c r="D2326" s="11">
        <f>IFERROR(__xludf.DUMMYFUNCTION("""COMPUTED_VALUE"""),1.0)</f>
        <v>1</v>
      </c>
      <c r="E2326" s="9"/>
    </row>
    <row r="2327">
      <c r="A2327" s="10">
        <f>IFERROR(__xludf.DUMMYFUNCTION("""COMPUTED_VALUE"""),159403.0)</f>
        <v>159403</v>
      </c>
      <c r="B2327" s="11">
        <f>IFERROR(__xludf.DUMMYFUNCTION("""COMPUTED_VALUE"""),0.0)</f>
        <v>0</v>
      </c>
      <c r="C2327" s="11">
        <f>IFERROR(__xludf.DUMMYFUNCTION("""COMPUTED_VALUE"""),404.0)</f>
        <v>404</v>
      </c>
      <c r="D2327" s="11">
        <f>IFERROR(__xludf.DUMMYFUNCTION("""COMPUTED_VALUE"""),0.0)</f>
        <v>0</v>
      </c>
      <c r="E2327" s="9"/>
    </row>
    <row r="2328">
      <c r="A2328" s="10">
        <f>IFERROR(__xludf.DUMMYFUNCTION("""COMPUTED_VALUE"""),159617.0)</f>
        <v>159617</v>
      </c>
      <c r="B2328" s="11">
        <f>IFERROR(__xludf.DUMMYFUNCTION("""COMPUTED_VALUE"""),1.0)</f>
        <v>1</v>
      </c>
      <c r="C2328" s="11">
        <f>IFERROR(__xludf.DUMMYFUNCTION("""COMPUTED_VALUE"""),413.0)</f>
        <v>413</v>
      </c>
      <c r="D2328" s="11">
        <f>IFERROR(__xludf.DUMMYFUNCTION("""COMPUTED_VALUE"""),260.0)</f>
        <v>260</v>
      </c>
      <c r="E2328" s="9"/>
    </row>
    <row r="2329">
      <c r="A2329" s="10">
        <f>IFERROR(__xludf.DUMMYFUNCTION("""COMPUTED_VALUE"""),85839.0)</f>
        <v>85839</v>
      </c>
      <c r="B2329" s="11">
        <f>IFERROR(__xludf.DUMMYFUNCTION("""COMPUTED_VALUE"""),1.0)</f>
        <v>1</v>
      </c>
      <c r="C2329" s="11">
        <f>IFERROR(__xludf.DUMMYFUNCTION("""COMPUTED_VALUE"""),84.0)</f>
        <v>84</v>
      </c>
      <c r="D2329" s="11">
        <f>IFERROR(__xludf.DUMMYFUNCTION("""COMPUTED_VALUE"""),75.0)</f>
        <v>75</v>
      </c>
      <c r="E2329" s="9"/>
    </row>
    <row r="2330">
      <c r="A2330" s="10">
        <f>IFERROR(__xludf.DUMMYFUNCTION("""COMPUTED_VALUE"""),85838.0)</f>
        <v>85838</v>
      </c>
      <c r="B2330" s="11">
        <f>IFERROR(__xludf.DUMMYFUNCTION("""COMPUTED_VALUE"""),1.0)</f>
        <v>1</v>
      </c>
      <c r="C2330" s="11">
        <f>IFERROR(__xludf.DUMMYFUNCTION("""COMPUTED_VALUE"""),256.0)</f>
        <v>256</v>
      </c>
      <c r="D2330" s="11">
        <f>IFERROR(__xludf.DUMMYFUNCTION("""COMPUTED_VALUE"""),11.0)</f>
        <v>11</v>
      </c>
      <c r="E2330" s="9"/>
    </row>
    <row r="2331">
      <c r="A2331" s="10">
        <f>IFERROR(__xludf.DUMMYFUNCTION("""COMPUTED_VALUE"""),8868.0)</f>
        <v>8868</v>
      </c>
      <c r="B2331" s="11">
        <f>IFERROR(__xludf.DUMMYFUNCTION("""COMPUTED_VALUE"""),0.0)</f>
        <v>0</v>
      </c>
      <c r="C2331" s="11">
        <f>IFERROR(__xludf.DUMMYFUNCTION("""COMPUTED_VALUE"""),201.0)</f>
        <v>201</v>
      </c>
      <c r="D2331" s="11">
        <f>IFERROR(__xludf.DUMMYFUNCTION("""COMPUTED_VALUE"""),141.0)</f>
        <v>141</v>
      </c>
      <c r="E2331" s="9"/>
    </row>
    <row r="2332">
      <c r="A2332" s="10">
        <f>IFERROR(__xludf.DUMMYFUNCTION("""COMPUTED_VALUE"""),116191.0)</f>
        <v>116191</v>
      </c>
      <c r="B2332" s="11">
        <f>IFERROR(__xludf.DUMMYFUNCTION("""COMPUTED_VALUE"""),0.0)</f>
        <v>0</v>
      </c>
      <c r="C2332" s="11">
        <f>IFERROR(__xludf.DUMMYFUNCTION("""COMPUTED_VALUE"""),492.0)</f>
        <v>492</v>
      </c>
      <c r="D2332" s="11">
        <f>IFERROR(__xludf.DUMMYFUNCTION("""COMPUTED_VALUE"""),165.0)</f>
        <v>165</v>
      </c>
      <c r="E2332" s="9"/>
    </row>
    <row r="2333">
      <c r="A2333" s="10">
        <f>IFERROR(__xludf.DUMMYFUNCTION("""COMPUTED_VALUE"""),90828.0)</f>
        <v>90828</v>
      </c>
      <c r="B2333" s="11">
        <f>IFERROR(__xludf.DUMMYFUNCTION("""COMPUTED_VALUE"""),1.0)</f>
        <v>1</v>
      </c>
      <c r="C2333" s="11">
        <f>IFERROR(__xludf.DUMMYFUNCTION("""COMPUTED_VALUE"""),108.0)</f>
        <v>108</v>
      </c>
      <c r="D2333" s="11">
        <f>IFERROR(__xludf.DUMMYFUNCTION("""COMPUTED_VALUE"""),78.0)</f>
        <v>78</v>
      </c>
      <c r="E2333" s="9"/>
    </row>
    <row r="2334">
      <c r="A2334" s="10">
        <f>IFERROR(__xludf.DUMMYFUNCTION("""COMPUTED_VALUE"""),26276.0)</f>
        <v>26276</v>
      </c>
      <c r="B2334" s="11">
        <f>IFERROR(__xludf.DUMMYFUNCTION("""COMPUTED_VALUE"""),1.0)</f>
        <v>1</v>
      </c>
      <c r="C2334" s="11">
        <f>IFERROR(__xludf.DUMMYFUNCTION("""COMPUTED_VALUE"""),6.0)</f>
        <v>6</v>
      </c>
      <c r="D2334" s="11">
        <f>IFERROR(__xludf.DUMMYFUNCTION("""COMPUTED_VALUE"""),0.0)</f>
        <v>0</v>
      </c>
      <c r="E2334" s="9"/>
    </row>
    <row r="2335">
      <c r="A2335" s="10">
        <f>IFERROR(__xludf.DUMMYFUNCTION("""COMPUTED_VALUE"""),29022.0)</f>
        <v>29022</v>
      </c>
      <c r="B2335" s="11">
        <f>IFERROR(__xludf.DUMMYFUNCTION("""COMPUTED_VALUE"""),1.0)</f>
        <v>1</v>
      </c>
      <c r="C2335" s="11">
        <f>IFERROR(__xludf.DUMMYFUNCTION("""COMPUTED_VALUE"""),887.0)</f>
        <v>887</v>
      </c>
      <c r="D2335" s="11">
        <f>IFERROR(__xludf.DUMMYFUNCTION("""COMPUTED_VALUE"""),534.0)</f>
        <v>534</v>
      </c>
      <c r="E2335" s="9"/>
    </row>
    <row r="2336">
      <c r="A2336" s="10">
        <f>IFERROR(__xludf.DUMMYFUNCTION("""COMPUTED_VALUE"""),111081.0)</f>
        <v>111081</v>
      </c>
      <c r="B2336" s="11">
        <f>IFERROR(__xludf.DUMMYFUNCTION("""COMPUTED_VALUE"""),1.0)</f>
        <v>1</v>
      </c>
      <c r="C2336" s="11">
        <f>IFERROR(__xludf.DUMMYFUNCTION("""COMPUTED_VALUE"""),753.0)</f>
        <v>753</v>
      </c>
      <c r="D2336" s="11">
        <f>IFERROR(__xludf.DUMMYFUNCTION("""COMPUTED_VALUE"""),228.0)</f>
        <v>228</v>
      </c>
      <c r="E2336" s="9"/>
    </row>
    <row r="2337">
      <c r="A2337" s="10">
        <f>IFERROR(__xludf.DUMMYFUNCTION("""COMPUTED_VALUE"""),26277.0)</f>
        <v>26277</v>
      </c>
      <c r="B2337" s="11">
        <f>IFERROR(__xludf.DUMMYFUNCTION("""COMPUTED_VALUE"""),1.0)</f>
        <v>1</v>
      </c>
      <c r="C2337" s="11">
        <f>IFERROR(__xludf.DUMMYFUNCTION("""COMPUTED_VALUE"""),329.0)</f>
        <v>329</v>
      </c>
      <c r="D2337" s="11">
        <f>IFERROR(__xludf.DUMMYFUNCTION("""COMPUTED_VALUE"""),274.0)</f>
        <v>274</v>
      </c>
      <c r="E2337" s="9"/>
    </row>
    <row r="2338">
      <c r="A2338" s="10">
        <f>IFERROR(__xludf.DUMMYFUNCTION("""COMPUTED_VALUE"""),100251.0)</f>
        <v>100251</v>
      </c>
      <c r="B2338" s="11">
        <f>IFERROR(__xludf.DUMMYFUNCTION("""COMPUTED_VALUE"""),1.0)</f>
        <v>1</v>
      </c>
      <c r="C2338" s="11">
        <f>IFERROR(__xludf.DUMMYFUNCTION("""COMPUTED_VALUE"""),796.0)</f>
        <v>796</v>
      </c>
      <c r="D2338" s="11">
        <f>IFERROR(__xludf.DUMMYFUNCTION("""COMPUTED_VALUE"""),748.0)</f>
        <v>748</v>
      </c>
      <c r="E2338" s="9"/>
    </row>
    <row r="2339">
      <c r="A2339" s="10">
        <f>IFERROR(__xludf.DUMMYFUNCTION("""COMPUTED_VALUE"""),87885.0)</f>
        <v>87885</v>
      </c>
      <c r="B2339" s="11">
        <f>IFERROR(__xludf.DUMMYFUNCTION("""COMPUTED_VALUE"""),1.0)</f>
        <v>1</v>
      </c>
      <c r="C2339" s="11">
        <f>IFERROR(__xludf.DUMMYFUNCTION("""COMPUTED_VALUE"""),256.0)</f>
        <v>256</v>
      </c>
      <c r="D2339" s="11">
        <f>IFERROR(__xludf.DUMMYFUNCTION("""COMPUTED_VALUE"""),113.0)</f>
        <v>113</v>
      </c>
      <c r="E2339" s="9"/>
    </row>
    <row r="2340">
      <c r="A2340" s="10">
        <f>IFERROR(__xludf.DUMMYFUNCTION("""COMPUTED_VALUE"""),29023.0)</f>
        <v>29023</v>
      </c>
      <c r="B2340" s="11">
        <f>IFERROR(__xludf.DUMMYFUNCTION("""COMPUTED_VALUE"""),1.0)</f>
        <v>1</v>
      </c>
      <c r="C2340" s="11">
        <f>IFERROR(__xludf.DUMMYFUNCTION("""COMPUTED_VALUE"""),272.0)</f>
        <v>272</v>
      </c>
      <c r="D2340" s="11">
        <f>IFERROR(__xludf.DUMMYFUNCTION("""COMPUTED_VALUE"""),59.0)</f>
        <v>59</v>
      </c>
      <c r="E2340" s="9"/>
    </row>
    <row r="2341">
      <c r="A2341" s="10">
        <f>IFERROR(__xludf.DUMMYFUNCTION("""COMPUTED_VALUE"""),100250.0)</f>
        <v>100250</v>
      </c>
      <c r="B2341" s="11">
        <f>IFERROR(__xludf.DUMMYFUNCTION("""COMPUTED_VALUE"""),1.0)</f>
        <v>1</v>
      </c>
      <c r="C2341" s="11">
        <f>IFERROR(__xludf.DUMMYFUNCTION("""COMPUTED_VALUE"""),344.0)</f>
        <v>344</v>
      </c>
      <c r="D2341" s="11">
        <f>IFERROR(__xludf.DUMMYFUNCTION("""COMPUTED_VALUE"""),319.0)</f>
        <v>319</v>
      </c>
      <c r="E2341" s="9"/>
    </row>
    <row r="2342">
      <c r="A2342" s="10">
        <f>IFERROR(__xludf.DUMMYFUNCTION("""COMPUTED_VALUE"""),116320.0)</f>
        <v>116320</v>
      </c>
      <c r="B2342" s="11">
        <f>IFERROR(__xludf.DUMMYFUNCTION("""COMPUTED_VALUE"""),0.0)</f>
        <v>0</v>
      </c>
      <c r="C2342" s="11">
        <f>IFERROR(__xludf.DUMMYFUNCTION("""COMPUTED_VALUE"""),196.0)</f>
        <v>196</v>
      </c>
      <c r="D2342" s="11">
        <f>IFERROR(__xludf.DUMMYFUNCTION("""COMPUTED_VALUE"""),195.0)</f>
        <v>195</v>
      </c>
      <c r="E2342" s="9"/>
    </row>
    <row r="2343">
      <c r="A2343" s="10">
        <f>IFERROR(__xludf.DUMMYFUNCTION("""COMPUTED_VALUE"""),122149.0)</f>
        <v>122149</v>
      </c>
      <c r="B2343" s="11">
        <f>IFERROR(__xludf.DUMMYFUNCTION("""COMPUTED_VALUE"""),1.0)</f>
        <v>1</v>
      </c>
      <c r="C2343" s="11">
        <f>IFERROR(__xludf.DUMMYFUNCTION("""COMPUTED_VALUE"""),759.0)</f>
        <v>759</v>
      </c>
      <c r="D2343" s="11">
        <f>IFERROR(__xludf.DUMMYFUNCTION("""COMPUTED_VALUE"""),553.0)</f>
        <v>553</v>
      </c>
      <c r="E2343" s="9"/>
    </row>
    <row r="2344">
      <c r="A2344" s="10">
        <f>IFERROR(__xludf.DUMMYFUNCTION("""COMPUTED_VALUE"""),107220.0)</f>
        <v>107220</v>
      </c>
      <c r="B2344" s="11">
        <f>IFERROR(__xludf.DUMMYFUNCTION("""COMPUTED_VALUE"""),0.0)</f>
        <v>0</v>
      </c>
      <c r="C2344" s="11">
        <f>IFERROR(__xludf.DUMMYFUNCTION("""COMPUTED_VALUE"""),808.0)</f>
        <v>808</v>
      </c>
      <c r="D2344" s="11">
        <f>IFERROR(__xludf.DUMMYFUNCTION("""COMPUTED_VALUE"""),586.0)</f>
        <v>586</v>
      </c>
      <c r="E2344" s="9"/>
    </row>
    <row r="2345">
      <c r="A2345" s="10">
        <f>IFERROR(__xludf.DUMMYFUNCTION("""COMPUTED_VALUE"""),122151.0)</f>
        <v>122151</v>
      </c>
      <c r="B2345" s="11">
        <f>IFERROR(__xludf.DUMMYFUNCTION("""COMPUTED_VALUE"""),0.0)</f>
        <v>0</v>
      </c>
      <c r="C2345" s="11">
        <f>IFERROR(__xludf.DUMMYFUNCTION("""COMPUTED_VALUE"""),666.0)</f>
        <v>666</v>
      </c>
      <c r="D2345" s="11">
        <f>IFERROR(__xludf.DUMMYFUNCTION("""COMPUTED_VALUE"""),177.0)</f>
        <v>177</v>
      </c>
      <c r="E2345" s="9"/>
    </row>
    <row r="2346">
      <c r="A2346" s="10">
        <f>IFERROR(__xludf.DUMMYFUNCTION("""COMPUTED_VALUE"""),115766.0)</f>
        <v>115766</v>
      </c>
      <c r="B2346" s="11">
        <f>IFERROR(__xludf.DUMMYFUNCTION("""COMPUTED_VALUE"""),1.0)</f>
        <v>1</v>
      </c>
      <c r="C2346" s="11">
        <f>IFERROR(__xludf.DUMMYFUNCTION("""COMPUTED_VALUE"""),555.0)</f>
        <v>555</v>
      </c>
      <c r="D2346" s="11">
        <f>IFERROR(__xludf.DUMMYFUNCTION("""COMPUTED_VALUE"""),140.0)</f>
        <v>140</v>
      </c>
      <c r="E2346" s="9"/>
    </row>
    <row r="2347">
      <c r="A2347" s="10">
        <f>IFERROR(__xludf.DUMMYFUNCTION("""COMPUTED_VALUE"""),114033.0)</f>
        <v>114033</v>
      </c>
      <c r="B2347" s="11">
        <f>IFERROR(__xludf.DUMMYFUNCTION("""COMPUTED_VALUE"""),1.0)</f>
        <v>1</v>
      </c>
      <c r="C2347" s="11">
        <f>IFERROR(__xludf.DUMMYFUNCTION("""COMPUTED_VALUE"""),85.0)</f>
        <v>85</v>
      </c>
      <c r="D2347" s="11">
        <f>IFERROR(__xludf.DUMMYFUNCTION("""COMPUTED_VALUE"""),50.0)</f>
        <v>50</v>
      </c>
      <c r="E2347" s="9"/>
    </row>
    <row r="2348">
      <c r="A2348" s="10">
        <f>IFERROR(__xludf.DUMMYFUNCTION("""COMPUTED_VALUE"""),149508.0)</f>
        <v>149508</v>
      </c>
      <c r="B2348" s="11">
        <f>IFERROR(__xludf.DUMMYFUNCTION("""COMPUTED_VALUE"""),1.0)</f>
        <v>1</v>
      </c>
      <c r="C2348" s="11">
        <f>IFERROR(__xludf.DUMMYFUNCTION("""COMPUTED_VALUE"""),315.0)</f>
        <v>315</v>
      </c>
      <c r="D2348" s="11">
        <f>IFERROR(__xludf.DUMMYFUNCTION("""COMPUTED_VALUE"""),191.0)</f>
        <v>191</v>
      </c>
      <c r="E2348" s="9"/>
    </row>
    <row r="2349">
      <c r="A2349" s="10">
        <f>IFERROR(__xludf.DUMMYFUNCTION("""COMPUTED_VALUE"""),107256.0)</f>
        <v>107256</v>
      </c>
      <c r="B2349" s="11">
        <f>IFERROR(__xludf.DUMMYFUNCTION("""COMPUTED_VALUE"""),0.0)</f>
        <v>0</v>
      </c>
      <c r="C2349" s="11">
        <f>IFERROR(__xludf.DUMMYFUNCTION("""COMPUTED_VALUE"""),167.0)</f>
        <v>167</v>
      </c>
      <c r="D2349" s="11">
        <f>IFERROR(__xludf.DUMMYFUNCTION("""COMPUTED_VALUE"""),120.0)</f>
        <v>120</v>
      </c>
      <c r="E2349" s="9"/>
    </row>
    <row r="2350">
      <c r="A2350" s="10">
        <f>IFERROR(__xludf.DUMMYFUNCTION("""COMPUTED_VALUE"""),121615.0)</f>
        <v>121615</v>
      </c>
      <c r="B2350" s="11">
        <f>IFERROR(__xludf.DUMMYFUNCTION("""COMPUTED_VALUE"""),1.0)</f>
        <v>1</v>
      </c>
      <c r="C2350" s="11">
        <f>IFERROR(__xludf.DUMMYFUNCTION("""COMPUTED_VALUE"""),886.0)</f>
        <v>886</v>
      </c>
      <c r="D2350" s="11">
        <f>IFERROR(__xludf.DUMMYFUNCTION("""COMPUTED_VALUE"""),500.0)</f>
        <v>500</v>
      </c>
      <c r="E2350" s="9"/>
    </row>
    <row r="2351">
      <c r="A2351" s="10">
        <f>IFERROR(__xludf.DUMMYFUNCTION("""COMPUTED_VALUE"""),107226.0)</f>
        <v>107226</v>
      </c>
      <c r="B2351" s="11">
        <f>IFERROR(__xludf.DUMMYFUNCTION("""COMPUTED_VALUE"""),0.0)</f>
        <v>0</v>
      </c>
      <c r="C2351" s="11">
        <f>IFERROR(__xludf.DUMMYFUNCTION("""COMPUTED_VALUE"""),275.0)</f>
        <v>275</v>
      </c>
      <c r="D2351" s="11">
        <f>IFERROR(__xludf.DUMMYFUNCTION("""COMPUTED_VALUE"""),83.0)</f>
        <v>83</v>
      </c>
      <c r="E2351" s="9"/>
    </row>
    <row r="2352">
      <c r="A2352" s="10">
        <f>IFERROR(__xludf.DUMMYFUNCTION("""COMPUTED_VALUE"""),120188.0)</f>
        <v>120188</v>
      </c>
      <c r="B2352" s="11">
        <f>IFERROR(__xludf.DUMMYFUNCTION("""COMPUTED_VALUE"""),0.0)</f>
        <v>0</v>
      </c>
      <c r="C2352" s="11">
        <f>IFERROR(__xludf.DUMMYFUNCTION("""COMPUTED_VALUE"""),567.0)</f>
        <v>567</v>
      </c>
      <c r="D2352" s="11">
        <f>IFERROR(__xludf.DUMMYFUNCTION("""COMPUTED_VALUE"""),136.0)</f>
        <v>136</v>
      </c>
      <c r="E2352" s="9"/>
    </row>
    <row r="2353">
      <c r="A2353" s="10">
        <f>IFERROR(__xludf.DUMMYFUNCTION("""COMPUTED_VALUE"""),107944.0)</f>
        <v>107944</v>
      </c>
      <c r="B2353" s="11">
        <f>IFERROR(__xludf.DUMMYFUNCTION("""COMPUTED_VALUE"""),1.0)</f>
        <v>1</v>
      </c>
      <c r="C2353" s="11">
        <f>IFERROR(__xludf.DUMMYFUNCTION("""COMPUTED_VALUE"""),791.0)</f>
        <v>791</v>
      </c>
      <c r="D2353" s="11">
        <f>IFERROR(__xludf.DUMMYFUNCTION("""COMPUTED_VALUE"""),228.0)</f>
        <v>228</v>
      </c>
      <c r="E2353" s="9"/>
    </row>
    <row r="2354">
      <c r="A2354" s="10">
        <f>IFERROR(__xludf.DUMMYFUNCTION("""COMPUTED_VALUE"""),70243.0)</f>
        <v>70243</v>
      </c>
      <c r="B2354" s="11">
        <f>IFERROR(__xludf.DUMMYFUNCTION("""COMPUTED_VALUE"""),1.0)</f>
        <v>1</v>
      </c>
      <c r="C2354" s="11">
        <f>IFERROR(__xludf.DUMMYFUNCTION("""COMPUTED_VALUE"""),782.0)</f>
        <v>782</v>
      </c>
      <c r="D2354" s="11">
        <f>IFERROR(__xludf.DUMMYFUNCTION("""COMPUTED_VALUE"""),394.0)</f>
        <v>394</v>
      </c>
      <c r="E2354" s="9"/>
    </row>
    <row r="2355">
      <c r="A2355" s="10">
        <f>IFERROR(__xludf.DUMMYFUNCTION("""COMPUTED_VALUE"""),149505.0)</f>
        <v>149505</v>
      </c>
      <c r="B2355" s="11">
        <f>IFERROR(__xludf.DUMMYFUNCTION("""COMPUTED_VALUE"""),1.0)</f>
        <v>1</v>
      </c>
      <c r="C2355" s="11">
        <f>IFERROR(__xludf.DUMMYFUNCTION("""COMPUTED_VALUE"""),437.0)</f>
        <v>437</v>
      </c>
      <c r="D2355" s="11">
        <f>IFERROR(__xludf.DUMMYFUNCTION("""COMPUTED_VALUE"""),122.0)</f>
        <v>122</v>
      </c>
      <c r="E2355" s="9"/>
    </row>
    <row r="2356">
      <c r="A2356" s="10">
        <f>IFERROR(__xludf.DUMMYFUNCTION("""COMPUTED_VALUE"""),101428.0)</f>
        <v>101428</v>
      </c>
      <c r="B2356" s="11">
        <f>IFERROR(__xludf.DUMMYFUNCTION("""COMPUTED_VALUE"""),0.0)</f>
        <v>0</v>
      </c>
      <c r="C2356" s="11">
        <f>IFERROR(__xludf.DUMMYFUNCTION("""COMPUTED_VALUE"""),937.0)</f>
        <v>937</v>
      </c>
      <c r="D2356" s="11">
        <f>IFERROR(__xludf.DUMMYFUNCTION("""COMPUTED_VALUE"""),386.0)</f>
        <v>386</v>
      </c>
      <c r="E2356" s="9"/>
    </row>
    <row r="2357">
      <c r="A2357" s="10">
        <f>IFERROR(__xludf.DUMMYFUNCTION("""COMPUTED_VALUE"""),121798.0)</f>
        <v>121798</v>
      </c>
      <c r="B2357" s="11">
        <f>IFERROR(__xludf.DUMMYFUNCTION("""COMPUTED_VALUE"""),0.0)</f>
        <v>0</v>
      </c>
      <c r="C2357" s="11">
        <f>IFERROR(__xludf.DUMMYFUNCTION("""COMPUTED_VALUE"""),273.0)</f>
        <v>273</v>
      </c>
      <c r="D2357" s="11">
        <f>IFERROR(__xludf.DUMMYFUNCTION("""COMPUTED_VALUE"""),46.0)</f>
        <v>46</v>
      </c>
      <c r="E2357" s="9"/>
    </row>
    <row r="2358">
      <c r="A2358" s="10">
        <f>IFERROR(__xludf.DUMMYFUNCTION("""COMPUTED_VALUE"""),88636.0)</f>
        <v>88636</v>
      </c>
      <c r="B2358" s="11">
        <f>IFERROR(__xludf.DUMMYFUNCTION("""COMPUTED_VALUE"""),0.0)</f>
        <v>0</v>
      </c>
      <c r="C2358" s="11">
        <f>IFERROR(__xludf.DUMMYFUNCTION("""COMPUTED_VALUE"""),953.0)</f>
        <v>953</v>
      </c>
      <c r="D2358" s="11">
        <f>IFERROR(__xludf.DUMMYFUNCTION("""COMPUTED_VALUE"""),269.0)</f>
        <v>269</v>
      </c>
      <c r="E2358" s="9"/>
    </row>
    <row r="2359">
      <c r="A2359" s="10">
        <f>IFERROR(__xludf.DUMMYFUNCTION("""COMPUTED_VALUE"""),111038.0)</f>
        <v>111038</v>
      </c>
      <c r="B2359" s="11">
        <f>IFERROR(__xludf.DUMMYFUNCTION("""COMPUTED_VALUE"""),0.0)</f>
        <v>0</v>
      </c>
      <c r="C2359" s="11">
        <f>IFERROR(__xludf.DUMMYFUNCTION("""COMPUTED_VALUE"""),713.0)</f>
        <v>713</v>
      </c>
      <c r="D2359" s="11">
        <f>IFERROR(__xludf.DUMMYFUNCTION("""COMPUTED_VALUE"""),538.0)</f>
        <v>538</v>
      </c>
      <c r="E2359" s="9"/>
    </row>
    <row r="2360">
      <c r="A2360" s="10">
        <f>IFERROR(__xludf.DUMMYFUNCTION("""COMPUTED_VALUE"""),75032.0)</f>
        <v>75032</v>
      </c>
      <c r="B2360" s="11">
        <f>IFERROR(__xludf.DUMMYFUNCTION("""COMPUTED_VALUE"""),1.0)</f>
        <v>1</v>
      </c>
      <c r="C2360" s="11">
        <f>IFERROR(__xludf.DUMMYFUNCTION("""COMPUTED_VALUE"""),419.0)</f>
        <v>419</v>
      </c>
      <c r="D2360" s="11">
        <f>IFERROR(__xludf.DUMMYFUNCTION("""COMPUTED_VALUE"""),41.0)</f>
        <v>41</v>
      </c>
      <c r="E2360" s="9"/>
    </row>
    <row r="2361">
      <c r="A2361" s="10">
        <f>IFERROR(__xludf.DUMMYFUNCTION("""COMPUTED_VALUE"""),70187.0)</f>
        <v>70187</v>
      </c>
      <c r="B2361" s="11">
        <f>IFERROR(__xludf.DUMMYFUNCTION("""COMPUTED_VALUE"""),1.0)</f>
        <v>1</v>
      </c>
      <c r="C2361" s="11">
        <f>IFERROR(__xludf.DUMMYFUNCTION("""COMPUTED_VALUE"""),800.0)</f>
        <v>800</v>
      </c>
      <c r="D2361" s="11">
        <f>IFERROR(__xludf.DUMMYFUNCTION("""COMPUTED_VALUE"""),478.0)</f>
        <v>478</v>
      </c>
      <c r="E2361" s="9"/>
    </row>
    <row r="2362">
      <c r="A2362" s="10">
        <f>IFERROR(__xludf.DUMMYFUNCTION("""COMPUTED_VALUE"""),147278.0)</f>
        <v>147278</v>
      </c>
      <c r="B2362" s="11">
        <f>IFERROR(__xludf.DUMMYFUNCTION("""COMPUTED_VALUE"""),0.0)</f>
        <v>0</v>
      </c>
      <c r="C2362" s="11">
        <f>IFERROR(__xludf.DUMMYFUNCTION("""COMPUTED_VALUE"""),181.0)</f>
        <v>181</v>
      </c>
      <c r="D2362" s="11">
        <f>IFERROR(__xludf.DUMMYFUNCTION("""COMPUTED_VALUE"""),167.0)</f>
        <v>167</v>
      </c>
      <c r="E2362" s="9"/>
    </row>
    <row r="2363">
      <c r="A2363" s="10">
        <f>IFERROR(__xludf.DUMMYFUNCTION("""COMPUTED_VALUE"""),114972.0)</f>
        <v>114972</v>
      </c>
      <c r="B2363" s="11">
        <f>IFERROR(__xludf.DUMMYFUNCTION("""COMPUTED_VALUE"""),1.0)</f>
        <v>1</v>
      </c>
      <c r="C2363" s="11">
        <f>IFERROR(__xludf.DUMMYFUNCTION("""COMPUTED_VALUE"""),680.0)</f>
        <v>680</v>
      </c>
      <c r="D2363" s="11">
        <f>IFERROR(__xludf.DUMMYFUNCTION("""COMPUTED_VALUE"""),233.0)</f>
        <v>233</v>
      </c>
      <c r="E2363" s="9"/>
    </row>
    <row r="2364">
      <c r="A2364" s="10">
        <f>IFERROR(__xludf.DUMMYFUNCTION("""COMPUTED_VALUE"""),75072.0)</f>
        <v>75072</v>
      </c>
      <c r="B2364" s="11">
        <f>IFERROR(__xludf.DUMMYFUNCTION("""COMPUTED_VALUE"""),1.0)</f>
        <v>1</v>
      </c>
      <c r="C2364" s="11">
        <f>IFERROR(__xludf.DUMMYFUNCTION("""COMPUTED_VALUE"""),769.0)</f>
        <v>769</v>
      </c>
      <c r="D2364" s="11">
        <f>IFERROR(__xludf.DUMMYFUNCTION("""COMPUTED_VALUE"""),80.0)</f>
        <v>80</v>
      </c>
      <c r="E2364" s="9"/>
    </row>
    <row r="2365">
      <c r="A2365" s="10">
        <f>IFERROR(__xludf.DUMMYFUNCTION("""COMPUTED_VALUE"""),114971.0)</f>
        <v>114971</v>
      </c>
      <c r="B2365" s="11">
        <f>IFERROR(__xludf.DUMMYFUNCTION("""COMPUTED_VALUE"""),0.0)</f>
        <v>0</v>
      </c>
      <c r="C2365" s="11">
        <f>IFERROR(__xludf.DUMMYFUNCTION("""COMPUTED_VALUE"""),260.0)</f>
        <v>260</v>
      </c>
      <c r="D2365" s="11">
        <f>IFERROR(__xludf.DUMMYFUNCTION("""COMPUTED_VALUE"""),146.0)</f>
        <v>146</v>
      </c>
      <c r="E2365" s="9"/>
    </row>
    <row r="2366">
      <c r="A2366" s="10">
        <f>IFERROR(__xludf.DUMMYFUNCTION("""COMPUTED_VALUE"""),99981.0)</f>
        <v>99981</v>
      </c>
      <c r="B2366" s="11">
        <f>IFERROR(__xludf.DUMMYFUNCTION("""COMPUTED_VALUE"""),0.0)</f>
        <v>0</v>
      </c>
      <c r="C2366" s="11">
        <f>IFERROR(__xludf.DUMMYFUNCTION("""COMPUTED_VALUE"""),427.0)</f>
        <v>427</v>
      </c>
      <c r="D2366" s="11">
        <f>IFERROR(__xludf.DUMMYFUNCTION("""COMPUTED_VALUE"""),385.0)</f>
        <v>385</v>
      </c>
      <c r="E2366" s="9"/>
    </row>
    <row r="2367">
      <c r="A2367" s="10">
        <f>IFERROR(__xludf.DUMMYFUNCTION("""COMPUTED_VALUE"""),86383.0)</f>
        <v>86383</v>
      </c>
      <c r="B2367" s="11">
        <f>IFERROR(__xludf.DUMMYFUNCTION("""COMPUTED_VALUE"""),0.0)</f>
        <v>0</v>
      </c>
      <c r="C2367" s="11">
        <f>IFERROR(__xludf.DUMMYFUNCTION("""COMPUTED_VALUE"""),525.0)</f>
        <v>525</v>
      </c>
      <c r="D2367" s="11">
        <f>IFERROR(__xludf.DUMMYFUNCTION("""COMPUTED_VALUE"""),441.0)</f>
        <v>441</v>
      </c>
      <c r="E2367" s="9"/>
    </row>
    <row r="2368">
      <c r="A2368" s="10">
        <f>IFERROR(__xludf.DUMMYFUNCTION("""COMPUTED_VALUE"""),89587.0)</f>
        <v>89587</v>
      </c>
      <c r="B2368" s="11">
        <f>IFERROR(__xludf.DUMMYFUNCTION("""COMPUTED_VALUE"""),1.0)</f>
        <v>1</v>
      </c>
      <c r="C2368" s="11">
        <f>IFERROR(__xludf.DUMMYFUNCTION("""COMPUTED_VALUE"""),43.0)</f>
        <v>43</v>
      </c>
      <c r="D2368" s="11">
        <f>IFERROR(__xludf.DUMMYFUNCTION("""COMPUTED_VALUE"""),14.0)</f>
        <v>14</v>
      </c>
      <c r="E2368" s="9"/>
    </row>
    <row r="2369">
      <c r="A2369" s="10">
        <f>IFERROR(__xludf.DUMMYFUNCTION("""COMPUTED_VALUE"""),89516.0)</f>
        <v>89516</v>
      </c>
      <c r="B2369" s="11">
        <f>IFERROR(__xludf.DUMMYFUNCTION("""COMPUTED_VALUE"""),1.0)</f>
        <v>1</v>
      </c>
      <c r="C2369" s="11">
        <f>IFERROR(__xludf.DUMMYFUNCTION("""COMPUTED_VALUE"""),333.0)</f>
        <v>333</v>
      </c>
      <c r="D2369" s="11">
        <f>IFERROR(__xludf.DUMMYFUNCTION("""COMPUTED_VALUE"""),171.0)</f>
        <v>171</v>
      </c>
      <c r="E2369" s="9"/>
    </row>
    <row r="2370">
      <c r="A2370" s="10">
        <f>IFERROR(__xludf.DUMMYFUNCTION("""COMPUTED_VALUE"""),89519.0)</f>
        <v>89519</v>
      </c>
      <c r="B2370" s="11">
        <f>IFERROR(__xludf.DUMMYFUNCTION("""COMPUTED_VALUE"""),1.0)</f>
        <v>1</v>
      </c>
      <c r="C2370" s="11">
        <f>IFERROR(__xludf.DUMMYFUNCTION("""COMPUTED_VALUE"""),220.0)</f>
        <v>220</v>
      </c>
      <c r="D2370" s="11">
        <f>IFERROR(__xludf.DUMMYFUNCTION("""COMPUTED_VALUE"""),117.0)</f>
        <v>117</v>
      </c>
      <c r="E2370" s="9"/>
    </row>
    <row r="2371">
      <c r="A2371" s="10">
        <f>IFERROR(__xludf.DUMMYFUNCTION("""COMPUTED_VALUE"""),75060.0)</f>
        <v>75060</v>
      </c>
      <c r="B2371" s="11">
        <f>IFERROR(__xludf.DUMMYFUNCTION("""COMPUTED_VALUE"""),1.0)</f>
        <v>1</v>
      </c>
      <c r="C2371" s="11">
        <f>IFERROR(__xludf.DUMMYFUNCTION("""COMPUTED_VALUE"""),37.0)</f>
        <v>37</v>
      </c>
      <c r="D2371" s="11">
        <f>IFERROR(__xludf.DUMMYFUNCTION("""COMPUTED_VALUE"""),11.0)</f>
        <v>11</v>
      </c>
      <c r="E2371" s="9"/>
    </row>
    <row r="2372">
      <c r="A2372" s="10">
        <f>IFERROR(__xludf.DUMMYFUNCTION("""COMPUTED_VALUE"""),111745.0)</f>
        <v>111745</v>
      </c>
      <c r="B2372" s="11">
        <f>IFERROR(__xludf.DUMMYFUNCTION("""COMPUTED_VALUE"""),0.0)</f>
        <v>0</v>
      </c>
      <c r="C2372" s="11">
        <f>IFERROR(__xludf.DUMMYFUNCTION("""COMPUTED_VALUE"""),672.0)</f>
        <v>672</v>
      </c>
      <c r="D2372" s="11">
        <f>IFERROR(__xludf.DUMMYFUNCTION("""COMPUTED_VALUE"""),16.0)</f>
        <v>16</v>
      </c>
      <c r="E2372" s="9"/>
    </row>
    <row r="2373">
      <c r="A2373" s="10">
        <f>IFERROR(__xludf.DUMMYFUNCTION("""COMPUTED_VALUE"""),70242.0)</f>
        <v>70242</v>
      </c>
      <c r="B2373" s="11">
        <f>IFERROR(__xludf.DUMMYFUNCTION("""COMPUTED_VALUE"""),1.0)</f>
        <v>1</v>
      </c>
      <c r="C2373" s="11">
        <f>IFERROR(__xludf.DUMMYFUNCTION("""COMPUTED_VALUE"""),294.0)</f>
        <v>294</v>
      </c>
      <c r="D2373" s="11">
        <f>IFERROR(__xludf.DUMMYFUNCTION("""COMPUTED_VALUE"""),190.0)</f>
        <v>190</v>
      </c>
      <c r="E2373" s="9"/>
    </row>
    <row r="2374">
      <c r="A2374" s="10">
        <f>IFERROR(__xludf.DUMMYFUNCTION("""COMPUTED_VALUE"""),75061.0)</f>
        <v>75061</v>
      </c>
      <c r="B2374" s="11">
        <f>IFERROR(__xludf.DUMMYFUNCTION("""COMPUTED_VALUE"""),1.0)</f>
        <v>1</v>
      </c>
      <c r="C2374" s="11">
        <f>IFERROR(__xludf.DUMMYFUNCTION("""COMPUTED_VALUE"""),97.0)</f>
        <v>97</v>
      </c>
      <c r="D2374" s="11">
        <f>IFERROR(__xludf.DUMMYFUNCTION("""COMPUTED_VALUE"""),66.0)</f>
        <v>66</v>
      </c>
      <c r="E2374" s="9"/>
    </row>
    <row r="2375">
      <c r="A2375" s="10">
        <f>IFERROR(__xludf.DUMMYFUNCTION("""COMPUTED_VALUE"""),69467.0)</f>
        <v>69467</v>
      </c>
      <c r="B2375" s="11">
        <f>IFERROR(__xludf.DUMMYFUNCTION("""COMPUTED_VALUE"""),0.0)</f>
        <v>0</v>
      </c>
      <c r="C2375" s="11">
        <f>IFERROR(__xludf.DUMMYFUNCTION("""COMPUTED_VALUE"""),721.0)</f>
        <v>721</v>
      </c>
      <c r="D2375" s="11">
        <f>IFERROR(__xludf.DUMMYFUNCTION("""COMPUTED_VALUE"""),508.0)</f>
        <v>508</v>
      </c>
      <c r="E2375" s="9"/>
    </row>
    <row r="2376">
      <c r="A2376" s="10">
        <f>IFERROR(__xludf.DUMMYFUNCTION("""COMPUTED_VALUE"""),121800.0)</f>
        <v>121800</v>
      </c>
      <c r="B2376" s="11">
        <f>IFERROR(__xludf.DUMMYFUNCTION("""COMPUTED_VALUE"""),1.0)</f>
        <v>1</v>
      </c>
      <c r="C2376" s="11">
        <f>IFERROR(__xludf.DUMMYFUNCTION("""COMPUTED_VALUE"""),941.0)</f>
        <v>941</v>
      </c>
      <c r="D2376" s="11">
        <f>IFERROR(__xludf.DUMMYFUNCTION("""COMPUTED_VALUE"""),565.0)</f>
        <v>565</v>
      </c>
      <c r="E2376" s="9"/>
    </row>
    <row r="2377">
      <c r="A2377" s="10">
        <f>IFERROR(__xludf.DUMMYFUNCTION("""COMPUTED_VALUE"""),110974.0)</f>
        <v>110974</v>
      </c>
      <c r="B2377" s="11">
        <f>IFERROR(__xludf.DUMMYFUNCTION("""COMPUTED_VALUE"""),0.0)</f>
        <v>0</v>
      </c>
      <c r="C2377" s="11">
        <f>IFERROR(__xludf.DUMMYFUNCTION("""COMPUTED_VALUE"""),51.0)</f>
        <v>51</v>
      </c>
      <c r="D2377" s="11">
        <f>IFERROR(__xludf.DUMMYFUNCTION("""COMPUTED_VALUE"""),17.0)</f>
        <v>17</v>
      </c>
      <c r="E2377" s="9"/>
    </row>
    <row r="2378">
      <c r="A2378" s="10">
        <f>IFERROR(__xludf.DUMMYFUNCTION("""COMPUTED_VALUE"""),114969.0)</f>
        <v>114969</v>
      </c>
      <c r="B2378" s="11">
        <f>IFERROR(__xludf.DUMMYFUNCTION("""COMPUTED_VALUE"""),0.0)</f>
        <v>0</v>
      </c>
      <c r="C2378" s="11">
        <f>IFERROR(__xludf.DUMMYFUNCTION("""COMPUTED_VALUE"""),808.0)</f>
        <v>808</v>
      </c>
      <c r="D2378" s="11">
        <f>IFERROR(__xludf.DUMMYFUNCTION("""COMPUTED_VALUE"""),596.0)</f>
        <v>596</v>
      </c>
      <c r="E2378" s="9"/>
    </row>
    <row r="2379">
      <c r="A2379" s="10">
        <f>IFERROR(__xludf.DUMMYFUNCTION("""COMPUTED_VALUE"""),111041.0)</f>
        <v>111041</v>
      </c>
      <c r="B2379" s="11">
        <f>IFERROR(__xludf.DUMMYFUNCTION("""COMPUTED_VALUE"""),1.0)</f>
        <v>1</v>
      </c>
      <c r="C2379" s="11">
        <f>IFERROR(__xludf.DUMMYFUNCTION("""COMPUTED_VALUE"""),930.0)</f>
        <v>930</v>
      </c>
      <c r="D2379" s="11">
        <f>IFERROR(__xludf.DUMMYFUNCTION("""COMPUTED_VALUE"""),468.0)</f>
        <v>468</v>
      </c>
      <c r="E2379" s="9"/>
    </row>
    <row r="2380">
      <c r="A2380" s="10">
        <f>IFERROR(__xludf.DUMMYFUNCTION("""COMPUTED_VALUE"""),82382.0)</f>
        <v>82382</v>
      </c>
      <c r="B2380" s="11">
        <f>IFERROR(__xludf.DUMMYFUNCTION("""COMPUTED_VALUE"""),1.0)</f>
        <v>1</v>
      </c>
      <c r="C2380" s="11">
        <f>IFERROR(__xludf.DUMMYFUNCTION("""COMPUTED_VALUE"""),359.0)</f>
        <v>359</v>
      </c>
      <c r="D2380" s="11">
        <f>IFERROR(__xludf.DUMMYFUNCTION("""COMPUTED_VALUE"""),138.0)</f>
        <v>138</v>
      </c>
      <c r="E2380" s="9"/>
    </row>
    <row r="2381">
      <c r="A2381" s="10">
        <f>IFERROR(__xludf.DUMMYFUNCTION("""COMPUTED_VALUE"""),89634.0)</f>
        <v>89634</v>
      </c>
      <c r="B2381" s="11">
        <f>IFERROR(__xludf.DUMMYFUNCTION("""COMPUTED_VALUE"""),1.0)</f>
        <v>1</v>
      </c>
      <c r="C2381" s="11">
        <f>IFERROR(__xludf.DUMMYFUNCTION("""COMPUTED_VALUE"""),807.0)</f>
        <v>807</v>
      </c>
      <c r="D2381" s="11">
        <f>IFERROR(__xludf.DUMMYFUNCTION("""COMPUTED_VALUE"""),428.0)</f>
        <v>428</v>
      </c>
      <c r="E2381" s="9"/>
    </row>
    <row r="2382">
      <c r="A2382" s="10">
        <f>IFERROR(__xludf.DUMMYFUNCTION("""COMPUTED_VALUE"""),82381.0)</f>
        <v>82381</v>
      </c>
      <c r="B2382" s="11">
        <f>IFERROR(__xludf.DUMMYFUNCTION("""COMPUTED_VALUE"""),1.0)</f>
        <v>1</v>
      </c>
      <c r="C2382" s="11">
        <f>IFERROR(__xludf.DUMMYFUNCTION("""COMPUTED_VALUE"""),308.0)</f>
        <v>308</v>
      </c>
      <c r="D2382" s="11">
        <f>IFERROR(__xludf.DUMMYFUNCTION("""COMPUTED_VALUE"""),144.0)</f>
        <v>144</v>
      </c>
      <c r="E2382" s="9"/>
    </row>
    <row r="2383">
      <c r="A2383" s="10">
        <f>IFERROR(__xludf.DUMMYFUNCTION("""COMPUTED_VALUE"""),107232.0)</f>
        <v>107232</v>
      </c>
      <c r="B2383" s="11">
        <f>IFERROR(__xludf.DUMMYFUNCTION("""COMPUTED_VALUE"""),0.0)</f>
        <v>0</v>
      </c>
      <c r="C2383" s="11">
        <f>IFERROR(__xludf.DUMMYFUNCTION("""COMPUTED_VALUE"""),611.0)</f>
        <v>611</v>
      </c>
      <c r="D2383" s="11">
        <f>IFERROR(__xludf.DUMMYFUNCTION("""COMPUTED_VALUE"""),65.0)</f>
        <v>65</v>
      </c>
      <c r="E2383" s="9"/>
    </row>
    <row r="2384">
      <c r="A2384" s="10">
        <f>IFERROR(__xludf.DUMMYFUNCTION("""COMPUTED_VALUE"""),70247.0)</f>
        <v>70247</v>
      </c>
      <c r="B2384" s="11">
        <f>IFERROR(__xludf.DUMMYFUNCTION("""COMPUTED_VALUE"""),0.0)</f>
        <v>0</v>
      </c>
      <c r="C2384" s="11">
        <f>IFERROR(__xludf.DUMMYFUNCTION("""COMPUTED_VALUE"""),375.0)</f>
        <v>375</v>
      </c>
      <c r="D2384" s="11">
        <f>IFERROR(__xludf.DUMMYFUNCTION("""COMPUTED_VALUE"""),126.0)</f>
        <v>126</v>
      </c>
      <c r="E2384" s="9"/>
    </row>
    <row r="2385">
      <c r="A2385" s="10">
        <f>IFERROR(__xludf.DUMMYFUNCTION("""COMPUTED_VALUE"""),107253.0)</f>
        <v>107253</v>
      </c>
      <c r="B2385" s="11">
        <f>IFERROR(__xludf.DUMMYFUNCTION("""COMPUTED_VALUE"""),1.0)</f>
        <v>1</v>
      </c>
      <c r="C2385" s="11">
        <f>IFERROR(__xludf.DUMMYFUNCTION("""COMPUTED_VALUE"""),81.0)</f>
        <v>81</v>
      </c>
      <c r="D2385" s="11">
        <f>IFERROR(__xludf.DUMMYFUNCTION("""COMPUTED_VALUE"""),63.0)</f>
        <v>63</v>
      </c>
      <c r="E2385" s="9"/>
    </row>
    <row r="2386">
      <c r="A2386" s="10">
        <f>IFERROR(__xludf.DUMMYFUNCTION("""COMPUTED_VALUE"""),102709.0)</f>
        <v>102709</v>
      </c>
      <c r="B2386" s="11">
        <f>IFERROR(__xludf.DUMMYFUNCTION("""COMPUTED_VALUE"""),0.0)</f>
        <v>0</v>
      </c>
      <c r="C2386" s="11">
        <f>IFERROR(__xludf.DUMMYFUNCTION("""COMPUTED_VALUE"""),854.0)</f>
        <v>854</v>
      </c>
      <c r="D2386" s="11">
        <f>IFERROR(__xludf.DUMMYFUNCTION("""COMPUTED_VALUE"""),808.0)</f>
        <v>808</v>
      </c>
      <c r="E2386" s="9"/>
    </row>
    <row r="2387">
      <c r="A2387" s="10">
        <f>IFERROR(__xludf.DUMMYFUNCTION("""COMPUTED_VALUE"""),75050.0)</f>
        <v>75050</v>
      </c>
      <c r="B2387" s="11">
        <f>IFERROR(__xludf.DUMMYFUNCTION("""COMPUTED_VALUE"""),0.0)</f>
        <v>0</v>
      </c>
      <c r="C2387" s="11">
        <f>IFERROR(__xludf.DUMMYFUNCTION("""COMPUTED_VALUE"""),54.0)</f>
        <v>54</v>
      </c>
      <c r="D2387" s="11">
        <f>IFERROR(__xludf.DUMMYFUNCTION("""COMPUTED_VALUE"""),36.0)</f>
        <v>36</v>
      </c>
      <c r="E2387" s="9"/>
    </row>
    <row r="2388">
      <c r="A2388" s="10">
        <f>IFERROR(__xludf.DUMMYFUNCTION("""COMPUTED_VALUE"""),111014.0)</f>
        <v>111014</v>
      </c>
      <c r="B2388" s="11">
        <f>IFERROR(__xludf.DUMMYFUNCTION("""COMPUTED_VALUE"""),1.0)</f>
        <v>1</v>
      </c>
      <c r="C2388" s="11">
        <f>IFERROR(__xludf.DUMMYFUNCTION("""COMPUTED_VALUE"""),618.0)</f>
        <v>618</v>
      </c>
      <c r="D2388" s="11">
        <f>IFERROR(__xludf.DUMMYFUNCTION("""COMPUTED_VALUE"""),511.0)</f>
        <v>511</v>
      </c>
      <c r="E2388" s="9"/>
    </row>
    <row r="2389">
      <c r="A2389" s="10">
        <f>IFERROR(__xludf.DUMMYFUNCTION("""COMPUTED_VALUE"""),120282.0)</f>
        <v>120282</v>
      </c>
      <c r="B2389" s="11">
        <f>IFERROR(__xludf.DUMMYFUNCTION("""COMPUTED_VALUE"""),1.0)</f>
        <v>1</v>
      </c>
      <c r="C2389" s="11">
        <f>IFERROR(__xludf.DUMMYFUNCTION("""COMPUTED_VALUE"""),383.0)</f>
        <v>383</v>
      </c>
      <c r="D2389" s="11">
        <f>IFERROR(__xludf.DUMMYFUNCTION("""COMPUTED_VALUE"""),170.0)</f>
        <v>170</v>
      </c>
      <c r="E2389" s="9"/>
    </row>
    <row r="2390">
      <c r="A2390" s="10">
        <f>IFERROR(__xludf.DUMMYFUNCTION("""COMPUTED_VALUE"""),84512.0)</f>
        <v>84512</v>
      </c>
      <c r="B2390" s="11">
        <f>IFERROR(__xludf.DUMMYFUNCTION("""COMPUTED_VALUE"""),0.0)</f>
        <v>0</v>
      </c>
      <c r="C2390" s="11">
        <f>IFERROR(__xludf.DUMMYFUNCTION("""COMPUTED_VALUE"""),375.0)</f>
        <v>375</v>
      </c>
      <c r="D2390" s="11">
        <f>IFERROR(__xludf.DUMMYFUNCTION("""COMPUTED_VALUE"""),302.0)</f>
        <v>302</v>
      </c>
      <c r="E2390" s="9"/>
    </row>
    <row r="2391">
      <c r="A2391" s="10">
        <f>IFERROR(__xludf.DUMMYFUNCTION("""COMPUTED_VALUE"""),77197.0)</f>
        <v>77197</v>
      </c>
      <c r="B2391" s="11">
        <f>IFERROR(__xludf.DUMMYFUNCTION("""COMPUTED_VALUE"""),0.0)</f>
        <v>0</v>
      </c>
      <c r="C2391" s="11">
        <f>IFERROR(__xludf.DUMMYFUNCTION("""COMPUTED_VALUE"""),550.0)</f>
        <v>550</v>
      </c>
      <c r="D2391" s="11">
        <f>IFERROR(__xludf.DUMMYFUNCTION("""COMPUTED_VALUE"""),523.0)</f>
        <v>523</v>
      </c>
      <c r="E2391" s="9"/>
    </row>
    <row r="2392">
      <c r="A2392" s="10">
        <f>IFERROR(__xludf.DUMMYFUNCTION("""COMPUTED_VALUE"""),29650.0)</f>
        <v>29650</v>
      </c>
      <c r="B2392" s="11">
        <f>IFERROR(__xludf.DUMMYFUNCTION("""COMPUTED_VALUE"""),0.0)</f>
        <v>0</v>
      </c>
      <c r="C2392" s="11">
        <f>IFERROR(__xludf.DUMMYFUNCTION("""COMPUTED_VALUE"""),12.0)</f>
        <v>12</v>
      </c>
      <c r="D2392" s="11">
        <f>IFERROR(__xludf.DUMMYFUNCTION("""COMPUTED_VALUE"""),6.0)</f>
        <v>6</v>
      </c>
      <c r="E2392" s="9"/>
    </row>
    <row r="2393">
      <c r="A2393" s="10">
        <f>IFERROR(__xludf.DUMMYFUNCTION("""COMPUTED_VALUE"""),4162.0)</f>
        <v>4162</v>
      </c>
      <c r="B2393" s="11">
        <f>IFERROR(__xludf.DUMMYFUNCTION("""COMPUTED_VALUE"""),0.0)</f>
        <v>0</v>
      </c>
      <c r="C2393" s="11">
        <f>IFERROR(__xludf.DUMMYFUNCTION("""COMPUTED_VALUE"""),152.0)</f>
        <v>152</v>
      </c>
      <c r="D2393" s="11">
        <f>IFERROR(__xludf.DUMMYFUNCTION("""COMPUTED_VALUE"""),78.0)</f>
        <v>78</v>
      </c>
      <c r="E2393" s="9"/>
    </row>
    <row r="2394">
      <c r="A2394" s="10">
        <f>IFERROR(__xludf.DUMMYFUNCTION("""COMPUTED_VALUE"""),88214.0)</f>
        <v>88214</v>
      </c>
      <c r="B2394" s="11">
        <f>IFERROR(__xludf.DUMMYFUNCTION("""COMPUTED_VALUE"""),1.0)</f>
        <v>1</v>
      </c>
      <c r="C2394" s="11">
        <f>IFERROR(__xludf.DUMMYFUNCTION("""COMPUTED_VALUE"""),872.0)</f>
        <v>872</v>
      </c>
      <c r="D2394" s="11">
        <f>IFERROR(__xludf.DUMMYFUNCTION("""COMPUTED_VALUE"""),857.0)</f>
        <v>857</v>
      </c>
      <c r="E2394" s="9"/>
    </row>
    <row r="2395">
      <c r="A2395" s="10">
        <f>IFERROR(__xludf.DUMMYFUNCTION("""COMPUTED_VALUE"""),73254.0)</f>
        <v>73254</v>
      </c>
      <c r="B2395" s="11">
        <f>IFERROR(__xludf.DUMMYFUNCTION("""COMPUTED_VALUE"""),0.0)</f>
        <v>0</v>
      </c>
      <c r="C2395" s="11">
        <f>IFERROR(__xludf.DUMMYFUNCTION("""COMPUTED_VALUE"""),162.0)</f>
        <v>162</v>
      </c>
      <c r="D2395" s="11">
        <f>IFERROR(__xludf.DUMMYFUNCTION("""COMPUTED_VALUE"""),1.0)</f>
        <v>1</v>
      </c>
      <c r="E2395" s="9"/>
    </row>
    <row r="2396">
      <c r="A2396" s="10">
        <f>IFERROR(__xludf.DUMMYFUNCTION("""COMPUTED_VALUE"""),108204.0)</f>
        <v>108204</v>
      </c>
      <c r="B2396" s="11">
        <f>IFERROR(__xludf.DUMMYFUNCTION("""COMPUTED_VALUE"""),1.0)</f>
        <v>1</v>
      </c>
      <c r="C2396" s="11">
        <f>IFERROR(__xludf.DUMMYFUNCTION("""COMPUTED_VALUE"""),734.0)</f>
        <v>734</v>
      </c>
      <c r="D2396" s="11">
        <f>IFERROR(__xludf.DUMMYFUNCTION("""COMPUTED_VALUE"""),426.0)</f>
        <v>426</v>
      </c>
      <c r="E2396" s="9"/>
    </row>
    <row r="2397">
      <c r="A2397" s="10">
        <f>IFERROR(__xludf.DUMMYFUNCTION("""COMPUTED_VALUE"""),9676.0)</f>
        <v>9676</v>
      </c>
      <c r="B2397" s="11">
        <f>IFERROR(__xludf.DUMMYFUNCTION("""COMPUTED_VALUE"""),0.0)</f>
        <v>0</v>
      </c>
      <c r="C2397" s="11">
        <f>IFERROR(__xludf.DUMMYFUNCTION("""COMPUTED_VALUE"""),111.0)</f>
        <v>111</v>
      </c>
      <c r="D2397" s="11">
        <f>IFERROR(__xludf.DUMMYFUNCTION("""COMPUTED_VALUE"""),5.0)</f>
        <v>5</v>
      </c>
      <c r="E2397" s="9"/>
    </row>
    <row r="2398">
      <c r="A2398" s="10">
        <f>IFERROR(__xludf.DUMMYFUNCTION("""COMPUTED_VALUE"""),44412.0)</f>
        <v>44412</v>
      </c>
      <c r="B2398" s="11">
        <f>IFERROR(__xludf.DUMMYFUNCTION("""COMPUTED_VALUE"""),1.0)</f>
        <v>1</v>
      </c>
      <c r="C2398" s="11">
        <f>IFERROR(__xludf.DUMMYFUNCTION("""COMPUTED_VALUE"""),290.0)</f>
        <v>290</v>
      </c>
      <c r="D2398" s="11">
        <f>IFERROR(__xludf.DUMMYFUNCTION("""COMPUTED_VALUE"""),116.0)</f>
        <v>116</v>
      </c>
      <c r="E2398" s="9"/>
    </row>
    <row r="2399">
      <c r="A2399" s="10">
        <f>IFERROR(__xludf.DUMMYFUNCTION("""COMPUTED_VALUE"""),73253.0)</f>
        <v>73253</v>
      </c>
      <c r="B2399" s="11">
        <f>IFERROR(__xludf.DUMMYFUNCTION("""COMPUTED_VALUE"""),1.0)</f>
        <v>1</v>
      </c>
      <c r="C2399" s="11">
        <f>IFERROR(__xludf.DUMMYFUNCTION("""COMPUTED_VALUE"""),168.0)</f>
        <v>168</v>
      </c>
      <c r="D2399" s="11">
        <f>IFERROR(__xludf.DUMMYFUNCTION("""COMPUTED_VALUE"""),101.0)</f>
        <v>101</v>
      </c>
      <c r="E2399" s="9"/>
    </row>
    <row r="2400">
      <c r="A2400" s="10">
        <f>IFERROR(__xludf.DUMMYFUNCTION("""COMPUTED_VALUE"""),122516.0)</f>
        <v>122516</v>
      </c>
      <c r="B2400" s="11">
        <f>IFERROR(__xludf.DUMMYFUNCTION("""COMPUTED_VALUE"""),1.0)</f>
        <v>1</v>
      </c>
      <c r="C2400" s="11">
        <f>IFERROR(__xludf.DUMMYFUNCTION("""COMPUTED_VALUE"""),866.0)</f>
        <v>866</v>
      </c>
      <c r="D2400" s="11">
        <f>IFERROR(__xludf.DUMMYFUNCTION("""COMPUTED_VALUE"""),555.0)</f>
        <v>555</v>
      </c>
      <c r="E2400" s="9"/>
    </row>
    <row r="2401">
      <c r="A2401" s="10">
        <f>IFERROR(__xludf.DUMMYFUNCTION("""COMPUTED_VALUE"""),70314.0)</f>
        <v>70314</v>
      </c>
      <c r="B2401" s="11">
        <f>IFERROR(__xludf.DUMMYFUNCTION("""COMPUTED_VALUE"""),1.0)</f>
        <v>1</v>
      </c>
      <c r="C2401" s="11">
        <f>IFERROR(__xludf.DUMMYFUNCTION("""COMPUTED_VALUE"""),475.0)</f>
        <v>475</v>
      </c>
      <c r="D2401" s="11">
        <f>IFERROR(__xludf.DUMMYFUNCTION("""COMPUTED_VALUE"""),455.0)</f>
        <v>455</v>
      </c>
      <c r="E2401" s="9"/>
    </row>
    <row r="2402">
      <c r="A2402" s="10">
        <f>IFERROR(__xludf.DUMMYFUNCTION("""COMPUTED_VALUE"""),17644.0)</f>
        <v>17644</v>
      </c>
      <c r="B2402" s="11">
        <f>IFERROR(__xludf.DUMMYFUNCTION("""COMPUTED_VALUE"""),0.0)</f>
        <v>0</v>
      </c>
      <c r="C2402" s="11">
        <f>IFERROR(__xludf.DUMMYFUNCTION("""COMPUTED_VALUE"""),107.0)</f>
        <v>107</v>
      </c>
      <c r="D2402" s="11">
        <f>IFERROR(__xludf.DUMMYFUNCTION("""COMPUTED_VALUE"""),35.0)</f>
        <v>35</v>
      </c>
      <c r="E2402" s="9"/>
    </row>
    <row r="2403">
      <c r="A2403" s="10">
        <f>IFERROR(__xludf.DUMMYFUNCTION("""COMPUTED_VALUE"""),118996.0)</f>
        <v>118996</v>
      </c>
      <c r="B2403" s="11">
        <f>IFERROR(__xludf.DUMMYFUNCTION("""COMPUTED_VALUE"""),0.0)</f>
        <v>0</v>
      </c>
      <c r="C2403" s="11">
        <f>IFERROR(__xludf.DUMMYFUNCTION("""COMPUTED_VALUE"""),250.0)</f>
        <v>250</v>
      </c>
      <c r="D2403" s="11">
        <f>IFERROR(__xludf.DUMMYFUNCTION("""COMPUTED_VALUE"""),186.0)</f>
        <v>186</v>
      </c>
      <c r="E2403" s="9"/>
    </row>
    <row r="2404">
      <c r="A2404" s="10">
        <f>IFERROR(__xludf.DUMMYFUNCTION("""COMPUTED_VALUE"""),79199.0)</f>
        <v>79199</v>
      </c>
      <c r="B2404" s="11">
        <f>IFERROR(__xludf.DUMMYFUNCTION("""COMPUTED_VALUE"""),0.0)</f>
        <v>0</v>
      </c>
      <c r="C2404" s="11">
        <f>IFERROR(__xludf.DUMMYFUNCTION("""COMPUTED_VALUE"""),574.0)</f>
        <v>574</v>
      </c>
      <c r="D2404" s="11">
        <f>IFERROR(__xludf.DUMMYFUNCTION("""COMPUTED_VALUE"""),349.0)</f>
        <v>349</v>
      </c>
      <c r="E2404" s="9"/>
    </row>
    <row r="2405">
      <c r="A2405" s="10">
        <f>IFERROR(__xludf.DUMMYFUNCTION("""COMPUTED_VALUE"""),128316.0)</f>
        <v>128316</v>
      </c>
      <c r="B2405" s="11">
        <f>IFERROR(__xludf.DUMMYFUNCTION("""COMPUTED_VALUE"""),1.0)</f>
        <v>1</v>
      </c>
      <c r="C2405" s="11">
        <f>IFERROR(__xludf.DUMMYFUNCTION("""COMPUTED_VALUE"""),337.0)</f>
        <v>337</v>
      </c>
      <c r="D2405" s="11">
        <f>IFERROR(__xludf.DUMMYFUNCTION("""COMPUTED_VALUE"""),56.0)</f>
        <v>56</v>
      </c>
      <c r="E2405" s="9"/>
    </row>
    <row r="2406">
      <c r="A2406" s="10">
        <f>IFERROR(__xludf.DUMMYFUNCTION("""COMPUTED_VALUE"""),7933.0)</f>
        <v>7933</v>
      </c>
      <c r="B2406" s="11">
        <f>IFERROR(__xludf.DUMMYFUNCTION("""COMPUTED_VALUE"""),1.0)</f>
        <v>1</v>
      </c>
      <c r="C2406" s="11">
        <f>IFERROR(__xludf.DUMMYFUNCTION("""COMPUTED_VALUE"""),754.0)</f>
        <v>754</v>
      </c>
      <c r="D2406" s="11">
        <f>IFERROR(__xludf.DUMMYFUNCTION("""COMPUTED_VALUE"""),531.0)</f>
        <v>531</v>
      </c>
      <c r="E2406" s="9"/>
    </row>
    <row r="2407">
      <c r="A2407" s="10">
        <f>IFERROR(__xludf.DUMMYFUNCTION("""COMPUTED_VALUE"""),85944.0)</f>
        <v>85944</v>
      </c>
      <c r="B2407" s="11">
        <f>IFERROR(__xludf.DUMMYFUNCTION("""COMPUTED_VALUE"""),1.0)</f>
        <v>1</v>
      </c>
      <c r="C2407" s="11">
        <f>IFERROR(__xludf.DUMMYFUNCTION("""COMPUTED_VALUE"""),396.0)</f>
        <v>396</v>
      </c>
      <c r="D2407" s="11">
        <f>IFERROR(__xludf.DUMMYFUNCTION("""COMPUTED_VALUE"""),249.0)</f>
        <v>249</v>
      </c>
      <c r="E2407" s="9"/>
    </row>
    <row r="2408">
      <c r="A2408" s="10">
        <f>IFERROR(__xludf.DUMMYFUNCTION("""COMPUTED_VALUE"""),76665.0)</f>
        <v>76665</v>
      </c>
      <c r="B2408" s="11">
        <f>IFERROR(__xludf.DUMMYFUNCTION("""COMPUTED_VALUE"""),1.0)</f>
        <v>1</v>
      </c>
      <c r="C2408" s="11">
        <f>IFERROR(__xludf.DUMMYFUNCTION("""COMPUTED_VALUE"""),476.0)</f>
        <v>476</v>
      </c>
      <c r="D2408" s="11">
        <f>IFERROR(__xludf.DUMMYFUNCTION("""COMPUTED_VALUE"""),289.0)</f>
        <v>289</v>
      </c>
      <c r="E2408" s="9"/>
    </row>
    <row r="2409">
      <c r="A2409" s="10">
        <f>IFERROR(__xludf.DUMMYFUNCTION("""COMPUTED_VALUE"""),102286.0)</f>
        <v>102286</v>
      </c>
      <c r="B2409" s="11">
        <f>IFERROR(__xludf.DUMMYFUNCTION("""COMPUTED_VALUE"""),1.0)</f>
        <v>1</v>
      </c>
      <c r="C2409" s="11">
        <f>IFERROR(__xludf.DUMMYFUNCTION("""COMPUTED_VALUE"""),737.0)</f>
        <v>737</v>
      </c>
      <c r="D2409" s="11">
        <f>IFERROR(__xludf.DUMMYFUNCTION("""COMPUTED_VALUE"""),682.0)</f>
        <v>682</v>
      </c>
      <c r="E2409" s="9"/>
    </row>
    <row r="2410">
      <c r="A2410" s="10">
        <f>IFERROR(__xludf.DUMMYFUNCTION("""COMPUTED_VALUE"""),77199.0)</f>
        <v>77199</v>
      </c>
      <c r="B2410" s="11">
        <f>IFERROR(__xludf.DUMMYFUNCTION("""COMPUTED_VALUE"""),1.0)</f>
        <v>1</v>
      </c>
      <c r="C2410" s="11">
        <f>IFERROR(__xludf.DUMMYFUNCTION("""COMPUTED_VALUE"""),505.0)</f>
        <v>505</v>
      </c>
      <c r="D2410" s="11">
        <f>IFERROR(__xludf.DUMMYFUNCTION("""COMPUTED_VALUE"""),221.0)</f>
        <v>221</v>
      </c>
      <c r="E2410" s="9"/>
    </row>
    <row r="2411">
      <c r="A2411" s="10">
        <f>IFERROR(__xludf.DUMMYFUNCTION("""COMPUTED_VALUE"""),11722.0)</f>
        <v>11722</v>
      </c>
      <c r="B2411" s="11">
        <f>IFERROR(__xludf.DUMMYFUNCTION("""COMPUTED_VALUE"""),0.0)</f>
        <v>0</v>
      </c>
      <c r="C2411" s="11">
        <f>IFERROR(__xludf.DUMMYFUNCTION("""COMPUTED_VALUE"""),535.0)</f>
        <v>535</v>
      </c>
      <c r="D2411" s="11">
        <f>IFERROR(__xludf.DUMMYFUNCTION("""COMPUTED_VALUE"""),130.0)</f>
        <v>130</v>
      </c>
      <c r="E2411" s="9"/>
    </row>
    <row r="2412">
      <c r="A2412" s="10">
        <f>IFERROR(__xludf.DUMMYFUNCTION("""COMPUTED_VALUE"""),97949.0)</f>
        <v>97949</v>
      </c>
      <c r="B2412" s="11">
        <f>IFERROR(__xludf.DUMMYFUNCTION("""COMPUTED_VALUE"""),1.0)</f>
        <v>1</v>
      </c>
      <c r="C2412" s="11">
        <f>IFERROR(__xludf.DUMMYFUNCTION("""COMPUTED_VALUE"""),353.0)</f>
        <v>353</v>
      </c>
      <c r="D2412" s="11">
        <f>IFERROR(__xludf.DUMMYFUNCTION("""COMPUTED_VALUE"""),91.0)</f>
        <v>91</v>
      </c>
      <c r="E2412" s="9"/>
    </row>
    <row r="2413">
      <c r="A2413" s="10">
        <f>IFERROR(__xludf.DUMMYFUNCTION("""COMPUTED_VALUE"""),9701.0)</f>
        <v>9701</v>
      </c>
      <c r="B2413" s="11">
        <f>IFERROR(__xludf.DUMMYFUNCTION("""COMPUTED_VALUE"""),1.0)</f>
        <v>1</v>
      </c>
      <c r="C2413" s="11">
        <f>IFERROR(__xludf.DUMMYFUNCTION("""COMPUTED_VALUE"""),559.0)</f>
        <v>559</v>
      </c>
      <c r="D2413" s="11">
        <f>IFERROR(__xludf.DUMMYFUNCTION("""COMPUTED_VALUE"""),542.0)</f>
        <v>542</v>
      </c>
      <c r="E2413" s="9"/>
    </row>
    <row r="2414">
      <c r="A2414" s="10">
        <f>IFERROR(__xludf.DUMMYFUNCTION("""COMPUTED_VALUE"""),117615.0)</f>
        <v>117615</v>
      </c>
      <c r="B2414" s="11">
        <f>IFERROR(__xludf.DUMMYFUNCTION("""COMPUTED_VALUE"""),1.0)</f>
        <v>1</v>
      </c>
      <c r="C2414" s="11">
        <f>IFERROR(__xludf.DUMMYFUNCTION("""COMPUTED_VALUE"""),759.0)</f>
        <v>759</v>
      </c>
      <c r="D2414" s="11">
        <f>IFERROR(__xludf.DUMMYFUNCTION("""COMPUTED_VALUE"""),273.0)</f>
        <v>273</v>
      </c>
      <c r="E2414" s="9"/>
    </row>
    <row r="2415">
      <c r="A2415" s="10">
        <f>IFERROR(__xludf.DUMMYFUNCTION("""COMPUTED_VALUE"""),10076.0)</f>
        <v>10076</v>
      </c>
      <c r="B2415" s="11">
        <f>IFERROR(__xludf.DUMMYFUNCTION("""COMPUTED_VALUE"""),1.0)</f>
        <v>1</v>
      </c>
      <c r="C2415" s="11">
        <f>IFERROR(__xludf.DUMMYFUNCTION("""COMPUTED_VALUE"""),218.0)</f>
        <v>218</v>
      </c>
      <c r="D2415" s="11">
        <f>IFERROR(__xludf.DUMMYFUNCTION("""COMPUTED_VALUE"""),195.0)</f>
        <v>195</v>
      </c>
      <c r="E2415" s="9"/>
    </row>
    <row r="2416">
      <c r="A2416" s="10">
        <f>IFERROR(__xludf.DUMMYFUNCTION("""COMPUTED_VALUE"""),106572.0)</f>
        <v>106572</v>
      </c>
      <c r="B2416" s="11">
        <f>IFERROR(__xludf.DUMMYFUNCTION("""COMPUTED_VALUE"""),0.0)</f>
        <v>0</v>
      </c>
      <c r="C2416" s="11">
        <f>IFERROR(__xludf.DUMMYFUNCTION("""COMPUTED_VALUE"""),702.0)</f>
        <v>702</v>
      </c>
      <c r="D2416" s="11">
        <f>IFERROR(__xludf.DUMMYFUNCTION("""COMPUTED_VALUE"""),267.0)</f>
        <v>267</v>
      </c>
      <c r="E2416" s="9"/>
    </row>
    <row r="2417">
      <c r="A2417" s="10">
        <f>IFERROR(__xludf.DUMMYFUNCTION("""COMPUTED_VALUE"""),10081.0)</f>
        <v>10081</v>
      </c>
      <c r="B2417" s="11">
        <f>IFERROR(__xludf.DUMMYFUNCTION("""COMPUTED_VALUE"""),0.0)</f>
        <v>0</v>
      </c>
      <c r="C2417" s="11">
        <f>IFERROR(__xludf.DUMMYFUNCTION("""COMPUTED_VALUE"""),682.0)</f>
        <v>682</v>
      </c>
      <c r="D2417" s="11">
        <f>IFERROR(__xludf.DUMMYFUNCTION("""COMPUTED_VALUE"""),530.0)</f>
        <v>530</v>
      </c>
      <c r="E2417" s="9"/>
    </row>
    <row r="2418">
      <c r="A2418" s="10">
        <f>IFERROR(__xludf.DUMMYFUNCTION("""COMPUTED_VALUE"""),46424.0)</f>
        <v>46424</v>
      </c>
      <c r="B2418" s="11">
        <f>IFERROR(__xludf.DUMMYFUNCTION("""COMPUTED_VALUE"""),1.0)</f>
        <v>1</v>
      </c>
      <c r="C2418" s="11">
        <f>IFERROR(__xludf.DUMMYFUNCTION("""COMPUTED_VALUE"""),711.0)</f>
        <v>711</v>
      </c>
      <c r="D2418" s="11">
        <f>IFERROR(__xludf.DUMMYFUNCTION("""COMPUTED_VALUE"""),485.0)</f>
        <v>485</v>
      </c>
      <c r="E2418" s="9"/>
    </row>
    <row r="2419">
      <c r="A2419" s="10">
        <f>IFERROR(__xludf.DUMMYFUNCTION("""COMPUTED_VALUE"""),118931.0)</f>
        <v>118931</v>
      </c>
      <c r="B2419" s="11">
        <f>IFERROR(__xludf.DUMMYFUNCTION("""COMPUTED_VALUE"""),0.0)</f>
        <v>0</v>
      </c>
      <c r="C2419" s="11">
        <f>IFERROR(__xludf.DUMMYFUNCTION("""COMPUTED_VALUE"""),39.0)</f>
        <v>39</v>
      </c>
      <c r="D2419" s="11">
        <f>IFERROR(__xludf.DUMMYFUNCTION("""COMPUTED_VALUE"""),24.0)</f>
        <v>24</v>
      </c>
      <c r="E2419" s="9"/>
    </row>
    <row r="2420">
      <c r="A2420" s="10">
        <f>IFERROR(__xludf.DUMMYFUNCTION("""COMPUTED_VALUE"""),10078.0)</f>
        <v>10078</v>
      </c>
      <c r="B2420" s="11">
        <f>IFERROR(__xludf.DUMMYFUNCTION("""COMPUTED_VALUE"""),0.0)</f>
        <v>0</v>
      </c>
      <c r="C2420" s="11">
        <f>IFERROR(__xludf.DUMMYFUNCTION("""COMPUTED_VALUE"""),204.0)</f>
        <v>204</v>
      </c>
      <c r="D2420" s="11">
        <f>IFERROR(__xludf.DUMMYFUNCTION("""COMPUTED_VALUE"""),64.0)</f>
        <v>64</v>
      </c>
      <c r="E2420" s="9"/>
    </row>
    <row r="2421">
      <c r="A2421" s="10">
        <f>IFERROR(__xludf.DUMMYFUNCTION("""COMPUTED_VALUE"""),75824.0)</f>
        <v>75824</v>
      </c>
      <c r="B2421" s="11">
        <f>IFERROR(__xludf.DUMMYFUNCTION("""COMPUTED_VALUE"""),1.0)</f>
        <v>1</v>
      </c>
      <c r="C2421" s="11">
        <f>IFERROR(__xludf.DUMMYFUNCTION("""COMPUTED_VALUE"""),644.0)</f>
        <v>644</v>
      </c>
      <c r="D2421" s="11">
        <f>IFERROR(__xludf.DUMMYFUNCTION("""COMPUTED_VALUE"""),67.0)</f>
        <v>67</v>
      </c>
      <c r="E2421" s="9"/>
    </row>
    <row r="2422">
      <c r="A2422" s="10">
        <f>IFERROR(__xludf.DUMMYFUNCTION("""COMPUTED_VALUE"""),80433.0)</f>
        <v>80433</v>
      </c>
      <c r="B2422" s="11">
        <f>IFERROR(__xludf.DUMMYFUNCTION("""COMPUTED_VALUE"""),1.0)</f>
        <v>1</v>
      </c>
      <c r="C2422" s="11">
        <f>IFERROR(__xludf.DUMMYFUNCTION("""COMPUTED_VALUE"""),33.0)</f>
        <v>33</v>
      </c>
      <c r="D2422" s="11">
        <f>IFERROR(__xludf.DUMMYFUNCTION("""COMPUTED_VALUE"""),27.0)</f>
        <v>27</v>
      </c>
      <c r="E2422" s="9"/>
    </row>
    <row r="2423">
      <c r="A2423" s="10">
        <f>IFERROR(__xludf.DUMMYFUNCTION("""COMPUTED_VALUE"""),106566.0)</f>
        <v>106566</v>
      </c>
      <c r="B2423" s="11">
        <f>IFERROR(__xludf.DUMMYFUNCTION("""COMPUTED_VALUE"""),1.0)</f>
        <v>1</v>
      </c>
      <c r="C2423" s="11">
        <f>IFERROR(__xludf.DUMMYFUNCTION("""COMPUTED_VALUE"""),868.0)</f>
        <v>868</v>
      </c>
      <c r="D2423" s="11">
        <f>IFERROR(__xludf.DUMMYFUNCTION("""COMPUTED_VALUE"""),164.0)</f>
        <v>164</v>
      </c>
      <c r="E2423" s="9"/>
    </row>
    <row r="2424">
      <c r="A2424" s="10">
        <f>IFERROR(__xludf.DUMMYFUNCTION("""COMPUTED_VALUE"""),9702.0)</f>
        <v>9702</v>
      </c>
      <c r="B2424" s="11">
        <f>IFERROR(__xludf.DUMMYFUNCTION("""COMPUTED_VALUE"""),0.0)</f>
        <v>0</v>
      </c>
      <c r="C2424" s="11">
        <f>IFERROR(__xludf.DUMMYFUNCTION("""COMPUTED_VALUE"""),378.0)</f>
        <v>378</v>
      </c>
      <c r="D2424" s="11">
        <f>IFERROR(__xludf.DUMMYFUNCTION("""COMPUTED_VALUE"""),88.0)</f>
        <v>88</v>
      </c>
      <c r="E2424" s="9"/>
    </row>
    <row r="2425">
      <c r="A2425" s="10">
        <f>IFERROR(__xludf.DUMMYFUNCTION("""COMPUTED_VALUE"""),122445.0)</f>
        <v>122445</v>
      </c>
      <c r="B2425" s="11">
        <f>IFERROR(__xludf.DUMMYFUNCTION("""COMPUTED_VALUE"""),0.0)</f>
        <v>0</v>
      </c>
      <c r="C2425" s="11">
        <f>IFERROR(__xludf.DUMMYFUNCTION("""COMPUTED_VALUE"""),116.0)</f>
        <v>116</v>
      </c>
      <c r="D2425" s="11">
        <f>IFERROR(__xludf.DUMMYFUNCTION("""COMPUTED_VALUE"""),12.0)</f>
        <v>12</v>
      </c>
      <c r="E2425" s="9"/>
    </row>
    <row r="2426">
      <c r="A2426" s="10">
        <f>IFERROR(__xludf.DUMMYFUNCTION("""COMPUTED_VALUE"""),77178.0)</f>
        <v>77178</v>
      </c>
      <c r="B2426" s="11">
        <f>IFERROR(__xludf.DUMMYFUNCTION("""COMPUTED_VALUE"""),0.0)</f>
        <v>0</v>
      </c>
      <c r="C2426" s="11">
        <f>IFERROR(__xludf.DUMMYFUNCTION("""COMPUTED_VALUE"""),761.0)</f>
        <v>761</v>
      </c>
      <c r="D2426" s="11">
        <f>IFERROR(__xludf.DUMMYFUNCTION("""COMPUTED_VALUE"""),489.0)</f>
        <v>489</v>
      </c>
      <c r="E2426" s="9"/>
    </row>
    <row r="2427">
      <c r="A2427" s="10">
        <f>IFERROR(__xludf.DUMMYFUNCTION("""COMPUTED_VALUE"""),10075.0)</f>
        <v>10075</v>
      </c>
      <c r="B2427" s="11">
        <f>IFERROR(__xludf.DUMMYFUNCTION("""COMPUTED_VALUE"""),0.0)</f>
        <v>0</v>
      </c>
      <c r="C2427" s="11">
        <f>IFERROR(__xludf.DUMMYFUNCTION("""COMPUTED_VALUE"""),120.0)</f>
        <v>120</v>
      </c>
      <c r="D2427" s="11">
        <f>IFERROR(__xludf.DUMMYFUNCTION("""COMPUTED_VALUE"""),27.0)</f>
        <v>27</v>
      </c>
      <c r="E2427" s="9"/>
    </row>
    <row r="2428">
      <c r="A2428" s="10">
        <f>IFERROR(__xludf.DUMMYFUNCTION("""COMPUTED_VALUE"""),10079.0)</f>
        <v>10079</v>
      </c>
      <c r="B2428" s="11">
        <f>IFERROR(__xludf.DUMMYFUNCTION("""COMPUTED_VALUE"""),1.0)</f>
        <v>1</v>
      </c>
      <c r="C2428" s="11">
        <f>IFERROR(__xludf.DUMMYFUNCTION("""COMPUTED_VALUE"""),897.0)</f>
        <v>897</v>
      </c>
      <c r="D2428" s="11">
        <f>IFERROR(__xludf.DUMMYFUNCTION("""COMPUTED_VALUE"""),429.0)</f>
        <v>429</v>
      </c>
      <c r="E2428" s="9"/>
    </row>
    <row r="2429">
      <c r="A2429" s="10">
        <f>IFERROR(__xludf.DUMMYFUNCTION("""COMPUTED_VALUE"""),111469.0)</f>
        <v>111469</v>
      </c>
      <c r="B2429" s="11">
        <f>IFERROR(__xludf.DUMMYFUNCTION("""COMPUTED_VALUE"""),0.0)</f>
        <v>0</v>
      </c>
      <c r="C2429" s="11">
        <f>IFERROR(__xludf.DUMMYFUNCTION("""COMPUTED_VALUE"""),866.0)</f>
        <v>866</v>
      </c>
      <c r="D2429" s="11">
        <f>IFERROR(__xludf.DUMMYFUNCTION("""COMPUTED_VALUE"""),231.0)</f>
        <v>231</v>
      </c>
      <c r="E2429" s="9"/>
    </row>
    <row r="2430">
      <c r="A2430" s="10">
        <f>IFERROR(__xludf.DUMMYFUNCTION("""COMPUTED_VALUE"""),166324.0)</f>
        <v>166324</v>
      </c>
      <c r="B2430" s="11">
        <f>IFERROR(__xludf.DUMMYFUNCTION("""COMPUTED_VALUE"""),1.0)</f>
        <v>1</v>
      </c>
      <c r="C2430" s="11">
        <f>IFERROR(__xludf.DUMMYFUNCTION("""COMPUTED_VALUE"""),173.0)</f>
        <v>173</v>
      </c>
      <c r="D2430" s="11">
        <f>IFERROR(__xludf.DUMMYFUNCTION("""COMPUTED_VALUE"""),46.0)</f>
        <v>46</v>
      </c>
      <c r="E2430" s="9"/>
    </row>
    <row r="2431">
      <c r="A2431" s="10">
        <f>IFERROR(__xludf.DUMMYFUNCTION("""COMPUTED_VALUE"""),7829.0)</f>
        <v>7829</v>
      </c>
      <c r="B2431" s="11">
        <f>IFERROR(__xludf.DUMMYFUNCTION("""COMPUTED_VALUE"""),1.0)</f>
        <v>1</v>
      </c>
      <c r="C2431" s="11">
        <f>IFERROR(__xludf.DUMMYFUNCTION("""COMPUTED_VALUE"""),73.0)</f>
        <v>73</v>
      </c>
      <c r="D2431" s="11">
        <f>IFERROR(__xludf.DUMMYFUNCTION("""COMPUTED_VALUE"""),62.0)</f>
        <v>62</v>
      </c>
      <c r="E2431" s="9"/>
    </row>
    <row r="2432">
      <c r="A2432" s="10">
        <f>IFERROR(__xludf.DUMMYFUNCTION("""COMPUTED_VALUE"""),105507.0)</f>
        <v>105507</v>
      </c>
      <c r="B2432" s="11">
        <f>IFERROR(__xludf.DUMMYFUNCTION("""COMPUTED_VALUE"""),1.0)</f>
        <v>1</v>
      </c>
      <c r="C2432" s="11">
        <f>IFERROR(__xludf.DUMMYFUNCTION("""COMPUTED_VALUE"""),343.0)</f>
        <v>343</v>
      </c>
      <c r="D2432" s="11">
        <f>IFERROR(__xludf.DUMMYFUNCTION("""COMPUTED_VALUE"""),158.0)</f>
        <v>158</v>
      </c>
      <c r="E2432" s="9"/>
    </row>
    <row r="2433">
      <c r="A2433" s="10">
        <f>IFERROR(__xludf.DUMMYFUNCTION("""COMPUTED_VALUE"""),12834.0)</f>
        <v>12834</v>
      </c>
      <c r="B2433" s="11">
        <f>IFERROR(__xludf.DUMMYFUNCTION("""COMPUTED_VALUE"""),1.0)</f>
        <v>1</v>
      </c>
      <c r="C2433" s="11">
        <f>IFERROR(__xludf.DUMMYFUNCTION("""COMPUTED_VALUE"""),366.0)</f>
        <v>366</v>
      </c>
      <c r="D2433" s="11">
        <f>IFERROR(__xludf.DUMMYFUNCTION("""COMPUTED_VALUE"""),70.0)</f>
        <v>70</v>
      </c>
      <c r="E2433" s="9"/>
    </row>
    <row r="2434">
      <c r="A2434" s="10">
        <f>IFERROR(__xludf.DUMMYFUNCTION("""COMPUTED_VALUE"""),27984.0)</f>
        <v>27984</v>
      </c>
      <c r="B2434" s="11">
        <f>IFERROR(__xludf.DUMMYFUNCTION("""COMPUTED_VALUE"""),0.0)</f>
        <v>0</v>
      </c>
      <c r="C2434" s="11">
        <f>IFERROR(__xludf.DUMMYFUNCTION("""COMPUTED_VALUE"""),140.0)</f>
        <v>140</v>
      </c>
      <c r="D2434" s="11">
        <f>IFERROR(__xludf.DUMMYFUNCTION("""COMPUTED_VALUE"""),116.0)</f>
        <v>116</v>
      </c>
      <c r="E2434" s="9"/>
    </row>
    <row r="2435">
      <c r="A2435" s="10">
        <f>IFERROR(__xludf.DUMMYFUNCTION("""COMPUTED_VALUE"""),29444.0)</f>
        <v>29444</v>
      </c>
      <c r="B2435" s="11">
        <f>IFERROR(__xludf.DUMMYFUNCTION("""COMPUTED_VALUE"""),0.0)</f>
        <v>0</v>
      </c>
      <c r="C2435" s="11">
        <f>IFERROR(__xludf.DUMMYFUNCTION("""COMPUTED_VALUE"""),79.0)</f>
        <v>79</v>
      </c>
      <c r="D2435" s="11">
        <f>IFERROR(__xludf.DUMMYFUNCTION("""COMPUTED_VALUE"""),47.0)</f>
        <v>47</v>
      </c>
      <c r="E2435" s="9"/>
    </row>
    <row r="2436">
      <c r="A2436" s="10">
        <f>IFERROR(__xludf.DUMMYFUNCTION("""COMPUTED_VALUE"""),107878.0)</f>
        <v>107878</v>
      </c>
      <c r="B2436" s="11">
        <f>IFERROR(__xludf.DUMMYFUNCTION("""COMPUTED_VALUE"""),1.0)</f>
        <v>1</v>
      </c>
      <c r="C2436" s="11">
        <f>IFERROR(__xludf.DUMMYFUNCTION("""COMPUTED_VALUE"""),473.0)</f>
        <v>473</v>
      </c>
      <c r="D2436" s="11">
        <f>IFERROR(__xludf.DUMMYFUNCTION("""COMPUTED_VALUE"""),301.0)</f>
        <v>301</v>
      </c>
      <c r="E2436" s="9"/>
    </row>
    <row r="2437">
      <c r="A2437" s="10">
        <f>IFERROR(__xludf.DUMMYFUNCTION("""COMPUTED_VALUE"""),122416.0)</f>
        <v>122416</v>
      </c>
      <c r="B2437" s="11">
        <f>IFERROR(__xludf.DUMMYFUNCTION("""COMPUTED_VALUE"""),1.0)</f>
        <v>1</v>
      </c>
      <c r="C2437" s="11">
        <f>IFERROR(__xludf.DUMMYFUNCTION("""COMPUTED_VALUE"""),440.0)</f>
        <v>440</v>
      </c>
      <c r="D2437" s="11">
        <f>IFERROR(__xludf.DUMMYFUNCTION("""COMPUTED_VALUE"""),59.0)</f>
        <v>59</v>
      </c>
      <c r="E2437" s="9"/>
    </row>
    <row r="2438">
      <c r="A2438" s="10">
        <f>IFERROR(__xludf.DUMMYFUNCTION("""COMPUTED_VALUE"""),95628.0)</f>
        <v>95628</v>
      </c>
      <c r="B2438" s="11">
        <f>IFERROR(__xludf.DUMMYFUNCTION("""COMPUTED_VALUE"""),1.0)</f>
        <v>1</v>
      </c>
      <c r="C2438" s="11">
        <f>IFERROR(__xludf.DUMMYFUNCTION("""COMPUTED_VALUE"""),505.0)</f>
        <v>505</v>
      </c>
      <c r="D2438" s="11">
        <f>IFERROR(__xludf.DUMMYFUNCTION("""COMPUTED_VALUE"""),18.0)</f>
        <v>18</v>
      </c>
      <c r="E2438" s="9"/>
    </row>
    <row r="2439">
      <c r="A2439" s="10">
        <f>IFERROR(__xludf.DUMMYFUNCTION("""COMPUTED_VALUE"""),9654.0)</f>
        <v>9654</v>
      </c>
      <c r="B2439" s="11">
        <f>IFERROR(__xludf.DUMMYFUNCTION("""COMPUTED_VALUE"""),0.0)</f>
        <v>0</v>
      </c>
      <c r="C2439" s="11">
        <f>IFERROR(__xludf.DUMMYFUNCTION("""COMPUTED_VALUE"""),348.0)</f>
        <v>348</v>
      </c>
      <c r="D2439" s="11">
        <f>IFERROR(__xludf.DUMMYFUNCTION("""COMPUTED_VALUE"""),332.0)</f>
        <v>332</v>
      </c>
      <c r="E2439" s="9"/>
    </row>
    <row r="2440">
      <c r="A2440" s="10">
        <f>IFERROR(__xludf.DUMMYFUNCTION("""COMPUTED_VALUE"""),105609.0)</f>
        <v>105609</v>
      </c>
      <c r="B2440" s="11">
        <f>IFERROR(__xludf.DUMMYFUNCTION("""COMPUTED_VALUE"""),1.0)</f>
        <v>1</v>
      </c>
      <c r="C2440" s="11">
        <f>IFERROR(__xludf.DUMMYFUNCTION("""COMPUTED_VALUE"""),479.0)</f>
        <v>479</v>
      </c>
      <c r="D2440" s="11">
        <f>IFERROR(__xludf.DUMMYFUNCTION("""COMPUTED_VALUE"""),393.0)</f>
        <v>393</v>
      </c>
      <c r="E2440" s="9"/>
    </row>
    <row r="2441">
      <c r="A2441" s="10">
        <f>IFERROR(__xludf.DUMMYFUNCTION("""COMPUTED_VALUE"""),118932.0)</f>
        <v>118932</v>
      </c>
      <c r="B2441" s="11">
        <f>IFERROR(__xludf.DUMMYFUNCTION("""COMPUTED_VALUE"""),0.0)</f>
        <v>0</v>
      </c>
      <c r="C2441" s="11">
        <f>IFERROR(__xludf.DUMMYFUNCTION("""COMPUTED_VALUE"""),603.0)</f>
        <v>603</v>
      </c>
      <c r="D2441" s="11">
        <f>IFERROR(__xludf.DUMMYFUNCTION("""COMPUTED_VALUE"""),416.0)</f>
        <v>416</v>
      </c>
      <c r="E2441" s="9"/>
    </row>
    <row r="2442">
      <c r="A2442" s="10">
        <f>IFERROR(__xludf.DUMMYFUNCTION("""COMPUTED_VALUE"""),103976.0)</f>
        <v>103976</v>
      </c>
      <c r="B2442" s="11">
        <f>IFERROR(__xludf.DUMMYFUNCTION("""COMPUTED_VALUE"""),0.0)</f>
        <v>0</v>
      </c>
      <c r="C2442" s="11">
        <f>IFERROR(__xludf.DUMMYFUNCTION("""COMPUTED_VALUE"""),565.0)</f>
        <v>565</v>
      </c>
      <c r="D2442" s="11">
        <f>IFERROR(__xludf.DUMMYFUNCTION("""COMPUTED_VALUE"""),14.0)</f>
        <v>14</v>
      </c>
      <c r="E2442" s="9"/>
    </row>
    <row r="2443">
      <c r="A2443" s="10">
        <f>IFERROR(__xludf.DUMMYFUNCTION("""COMPUTED_VALUE"""),107881.0)</f>
        <v>107881</v>
      </c>
      <c r="B2443" s="11">
        <f>IFERROR(__xludf.DUMMYFUNCTION("""COMPUTED_VALUE"""),0.0)</f>
        <v>0</v>
      </c>
      <c r="C2443" s="11">
        <f>IFERROR(__xludf.DUMMYFUNCTION("""COMPUTED_VALUE"""),668.0)</f>
        <v>668</v>
      </c>
      <c r="D2443" s="11">
        <f>IFERROR(__xludf.DUMMYFUNCTION("""COMPUTED_VALUE"""),291.0)</f>
        <v>291</v>
      </c>
      <c r="E2443" s="9"/>
    </row>
    <row r="2444">
      <c r="A2444" s="10">
        <f>IFERROR(__xludf.DUMMYFUNCTION("""COMPUTED_VALUE"""),7830.0)</f>
        <v>7830</v>
      </c>
      <c r="B2444" s="11">
        <f>IFERROR(__xludf.DUMMYFUNCTION("""COMPUTED_VALUE"""),1.0)</f>
        <v>1</v>
      </c>
      <c r="C2444" s="11">
        <f>IFERROR(__xludf.DUMMYFUNCTION("""COMPUTED_VALUE"""),416.0)</f>
        <v>416</v>
      </c>
      <c r="D2444" s="11">
        <f>IFERROR(__xludf.DUMMYFUNCTION("""COMPUTED_VALUE"""),211.0)</f>
        <v>211</v>
      </c>
      <c r="E2444" s="9"/>
    </row>
    <row r="2445">
      <c r="A2445" s="10">
        <f>IFERROR(__xludf.DUMMYFUNCTION("""COMPUTED_VALUE"""),159717.0)</f>
        <v>159717</v>
      </c>
      <c r="B2445" s="11">
        <f>IFERROR(__xludf.DUMMYFUNCTION("""COMPUTED_VALUE"""),1.0)</f>
        <v>1</v>
      </c>
      <c r="C2445" s="11">
        <f>IFERROR(__xludf.DUMMYFUNCTION("""COMPUTED_VALUE"""),352.0)</f>
        <v>352</v>
      </c>
      <c r="D2445" s="11">
        <f>IFERROR(__xludf.DUMMYFUNCTION("""COMPUTED_VALUE"""),270.0)</f>
        <v>270</v>
      </c>
      <c r="E2445" s="9"/>
    </row>
    <row r="2446">
      <c r="A2446" s="10">
        <f>IFERROR(__xludf.DUMMYFUNCTION("""COMPUTED_VALUE"""),113449.0)</f>
        <v>113449</v>
      </c>
      <c r="B2446" s="11">
        <f>IFERROR(__xludf.DUMMYFUNCTION("""COMPUTED_VALUE"""),0.0)</f>
        <v>0</v>
      </c>
      <c r="C2446" s="11">
        <f>IFERROR(__xludf.DUMMYFUNCTION("""COMPUTED_VALUE"""),645.0)</f>
        <v>645</v>
      </c>
      <c r="D2446" s="11">
        <f>IFERROR(__xludf.DUMMYFUNCTION("""COMPUTED_VALUE"""),359.0)</f>
        <v>359</v>
      </c>
      <c r="E2446" s="9"/>
    </row>
    <row r="2447">
      <c r="A2447" s="10">
        <f>IFERROR(__xludf.DUMMYFUNCTION("""COMPUTED_VALUE"""),79942.0)</f>
        <v>79942</v>
      </c>
      <c r="B2447" s="11">
        <f>IFERROR(__xludf.DUMMYFUNCTION("""COMPUTED_VALUE"""),0.0)</f>
        <v>0</v>
      </c>
      <c r="C2447" s="11">
        <f>IFERROR(__xludf.DUMMYFUNCTION("""COMPUTED_VALUE"""),680.0)</f>
        <v>680</v>
      </c>
      <c r="D2447" s="11">
        <f>IFERROR(__xludf.DUMMYFUNCTION("""COMPUTED_VALUE"""),105.0)</f>
        <v>105</v>
      </c>
      <c r="E2447" s="9"/>
    </row>
    <row r="2448">
      <c r="A2448" s="10">
        <f>IFERROR(__xludf.DUMMYFUNCTION("""COMPUTED_VALUE"""),29437.0)</f>
        <v>29437</v>
      </c>
      <c r="B2448" s="11">
        <f>IFERROR(__xludf.DUMMYFUNCTION("""COMPUTED_VALUE"""),0.0)</f>
        <v>0</v>
      </c>
      <c r="C2448" s="11">
        <f>IFERROR(__xludf.DUMMYFUNCTION("""COMPUTED_VALUE"""),87.0)</f>
        <v>87</v>
      </c>
      <c r="D2448" s="11">
        <f>IFERROR(__xludf.DUMMYFUNCTION("""COMPUTED_VALUE"""),72.0)</f>
        <v>72</v>
      </c>
      <c r="E2448" s="9"/>
    </row>
    <row r="2449">
      <c r="A2449" s="10">
        <f>IFERROR(__xludf.DUMMYFUNCTION("""COMPUTED_VALUE"""),99234.0)</f>
        <v>99234</v>
      </c>
      <c r="B2449" s="11">
        <f>IFERROR(__xludf.DUMMYFUNCTION("""COMPUTED_VALUE"""),1.0)</f>
        <v>1</v>
      </c>
      <c r="C2449" s="11">
        <f>IFERROR(__xludf.DUMMYFUNCTION("""COMPUTED_VALUE"""),367.0)</f>
        <v>367</v>
      </c>
      <c r="D2449" s="11">
        <f>IFERROR(__xludf.DUMMYFUNCTION("""COMPUTED_VALUE"""),118.0)</f>
        <v>118</v>
      </c>
      <c r="E2449" s="9"/>
    </row>
    <row r="2450">
      <c r="A2450" s="10">
        <f>IFERROR(__xludf.DUMMYFUNCTION("""COMPUTED_VALUE"""),103985.0)</f>
        <v>103985</v>
      </c>
      <c r="B2450" s="11">
        <f>IFERROR(__xludf.DUMMYFUNCTION("""COMPUTED_VALUE"""),1.0)</f>
        <v>1</v>
      </c>
      <c r="C2450" s="11">
        <f>IFERROR(__xludf.DUMMYFUNCTION("""COMPUTED_VALUE"""),583.0)</f>
        <v>583</v>
      </c>
      <c r="D2450" s="11">
        <f>IFERROR(__xludf.DUMMYFUNCTION("""COMPUTED_VALUE"""),514.0)</f>
        <v>514</v>
      </c>
      <c r="E2450" s="9"/>
    </row>
    <row r="2451">
      <c r="A2451" s="10">
        <f>IFERROR(__xludf.DUMMYFUNCTION("""COMPUTED_VALUE"""),97947.0)</f>
        <v>97947</v>
      </c>
      <c r="B2451" s="11">
        <f>IFERROR(__xludf.DUMMYFUNCTION("""COMPUTED_VALUE"""),1.0)</f>
        <v>1</v>
      </c>
      <c r="C2451" s="11">
        <f>IFERROR(__xludf.DUMMYFUNCTION("""COMPUTED_VALUE"""),136.0)</f>
        <v>136</v>
      </c>
      <c r="D2451" s="11">
        <f>IFERROR(__xludf.DUMMYFUNCTION("""COMPUTED_VALUE"""),131.0)</f>
        <v>131</v>
      </c>
      <c r="E2451" s="9"/>
    </row>
    <row r="2452">
      <c r="A2452" s="10">
        <f>IFERROR(__xludf.DUMMYFUNCTION("""COMPUTED_VALUE"""),101083.0)</f>
        <v>101083</v>
      </c>
      <c r="B2452" s="11">
        <f>IFERROR(__xludf.DUMMYFUNCTION("""COMPUTED_VALUE"""),1.0)</f>
        <v>1</v>
      </c>
      <c r="C2452" s="11">
        <f>IFERROR(__xludf.DUMMYFUNCTION("""COMPUTED_VALUE"""),900.0)</f>
        <v>900</v>
      </c>
      <c r="D2452" s="11">
        <f>IFERROR(__xludf.DUMMYFUNCTION("""COMPUTED_VALUE"""),430.0)</f>
        <v>430</v>
      </c>
      <c r="E2452" s="9"/>
    </row>
    <row r="2453">
      <c r="A2453" s="10">
        <f>IFERROR(__xludf.DUMMYFUNCTION("""COMPUTED_VALUE"""),111287.0)</f>
        <v>111287</v>
      </c>
      <c r="B2453" s="11">
        <f>IFERROR(__xludf.DUMMYFUNCTION("""COMPUTED_VALUE"""),0.0)</f>
        <v>0</v>
      </c>
      <c r="C2453" s="11">
        <f>IFERROR(__xludf.DUMMYFUNCTION("""COMPUTED_VALUE"""),877.0)</f>
        <v>877</v>
      </c>
      <c r="D2453" s="11">
        <f>IFERROR(__xludf.DUMMYFUNCTION("""COMPUTED_VALUE"""),721.0)</f>
        <v>721</v>
      </c>
      <c r="E2453" s="9"/>
    </row>
    <row r="2454">
      <c r="A2454" s="10">
        <f>IFERROR(__xludf.DUMMYFUNCTION("""COMPUTED_VALUE"""),11728.0)</f>
        <v>11728</v>
      </c>
      <c r="B2454" s="11">
        <f>IFERROR(__xludf.DUMMYFUNCTION("""COMPUTED_VALUE"""),1.0)</f>
        <v>1</v>
      </c>
      <c r="C2454" s="11">
        <f>IFERROR(__xludf.DUMMYFUNCTION("""COMPUTED_VALUE"""),388.0)</f>
        <v>388</v>
      </c>
      <c r="D2454" s="11">
        <f>IFERROR(__xludf.DUMMYFUNCTION("""COMPUTED_VALUE"""),326.0)</f>
        <v>326</v>
      </c>
      <c r="E2454" s="9"/>
    </row>
    <row r="2455">
      <c r="A2455" s="10">
        <f>IFERROR(__xludf.DUMMYFUNCTION("""COMPUTED_VALUE"""),111286.0)</f>
        <v>111286</v>
      </c>
      <c r="B2455" s="11">
        <f>IFERROR(__xludf.DUMMYFUNCTION("""COMPUTED_VALUE"""),1.0)</f>
        <v>1</v>
      </c>
      <c r="C2455" s="11">
        <f>IFERROR(__xludf.DUMMYFUNCTION("""COMPUTED_VALUE"""),39.0)</f>
        <v>39</v>
      </c>
      <c r="D2455" s="11">
        <f>IFERROR(__xludf.DUMMYFUNCTION("""COMPUTED_VALUE"""),7.0)</f>
        <v>7</v>
      </c>
      <c r="E2455" s="9"/>
    </row>
    <row r="2456">
      <c r="A2456" s="10">
        <f>IFERROR(__xludf.DUMMYFUNCTION("""COMPUTED_VALUE"""),29426.0)</f>
        <v>29426</v>
      </c>
      <c r="B2456" s="11">
        <f>IFERROR(__xludf.DUMMYFUNCTION("""COMPUTED_VALUE"""),0.0)</f>
        <v>0</v>
      </c>
      <c r="C2456" s="11">
        <f>IFERROR(__xludf.DUMMYFUNCTION("""COMPUTED_VALUE"""),366.0)</f>
        <v>366</v>
      </c>
      <c r="D2456" s="11">
        <f>IFERROR(__xludf.DUMMYFUNCTION("""COMPUTED_VALUE"""),144.0)</f>
        <v>144</v>
      </c>
      <c r="E2456" s="9"/>
    </row>
    <row r="2457">
      <c r="A2457" s="10">
        <f>IFERROR(__xludf.DUMMYFUNCTION("""COMPUTED_VALUE"""),93419.0)</f>
        <v>93419</v>
      </c>
      <c r="B2457" s="11">
        <f>IFERROR(__xludf.DUMMYFUNCTION("""COMPUTED_VALUE"""),1.0)</f>
        <v>1</v>
      </c>
      <c r="C2457" s="11">
        <f>IFERROR(__xludf.DUMMYFUNCTION("""COMPUTED_VALUE"""),256.0)</f>
        <v>256</v>
      </c>
      <c r="D2457" s="11">
        <f>IFERROR(__xludf.DUMMYFUNCTION("""COMPUTED_VALUE"""),141.0)</f>
        <v>141</v>
      </c>
      <c r="E2457" s="9"/>
    </row>
    <row r="2458">
      <c r="A2458" s="10">
        <f>IFERROR(__xludf.DUMMYFUNCTION("""COMPUTED_VALUE"""),93418.0)</f>
        <v>93418</v>
      </c>
      <c r="B2458" s="11">
        <f>IFERROR(__xludf.DUMMYFUNCTION("""COMPUTED_VALUE"""),1.0)</f>
        <v>1</v>
      </c>
      <c r="C2458" s="11">
        <f>IFERROR(__xludf.DUMMYFUNCTION("""COMPUTED_VALUE"""),694.0)</f>
        <v>694</v>
      </c>
      <c r="D2458" s="11">
        <f>IFERROR(__xludf.DUMMYFUNCTION("""COMPUTED_VALUE"""),267.0)</f>
        <v>267</v>
      </c>
      <c r="E2458" s="9"/>
    </row>
    <row r="2459">
      <c r="A2459" s="10">
        <f>IFERROR(__xludf.DUMMYFUNCTION("""COMPUTED_VALUE"""),79198.0)</f>
        <v>79198</v>
      </c>
      <c r="B2459" s="11">
        <f>IFERROR(__xludf.DUMMYFUNCTION("""COMPUTED_VALUE"""),0.0)</f>
        <v>0</v>
      </c>
      <c r="C2459" s="11">
        <f>IFERROR(__xludf.DUMMYFUNCTION("""COMPUTED_VALUE"""),115.0)</f>
        <v>115</v>
      </c>
      <c r="D2459" s="11">
        <f>IFERROR(__xludf.DUMMYFUNCTION("""COMPUTED_VALUE"""),93.0)</f>
        <v>93</v>
      </c>
      <c r="E2459" s="9"/>
    </row>
    <row r="2460">
      <c r="A2460" s="10">
        <f>IFERROR(__xludf.DUMMYFUNCTION("""COMPUTED_VALUE"""),11720.0)</f>
        <v>11720</v>
      </c>
      <c r="B2460" s="11">
        <f>IFERROR(__xludf.DUMMYFUNCTION("""COMPUTED_VALUE"""),1.0)</f>
        <v>1</v>
      </c>
      <c r="C2460" s="11">
        <f>IFERROR(__xludf.DUMMYFUNCTION("""COMPUTED_VALUE"""),215.0)</f>
        <v>215</v>
      </c>
      <c r="D2460" s="11">
        <f>IFERROR(__xludf.DUMMYFUNCTION("""COMPUTED_VALUE"""),154.0)</f>
        <v>154</v>
      </c>
      <c r="E2460" s="9"/>
    </row>
    <row r="2461">
      <c r="A2461" s="10">
        <f>IFERROR(__xludf.DUMMYFUNCTION("""COMPUTED_VALUE"""),122534.0)</f>
        <v>122534</v>
      </c>
      <c r="B2461" s="11">
        <f>IFERROR(__xludf.DUMMYFUNCTION("""COMPUTED_VALUE"""),1.0)</f>
        <v>1</v>
      </c>
      <c r="C2461" s="11">
        <f>IFERROR(__xludf.DUMMYFUNCTION("""COMPUTED_VALUE"""),52.0)</f>
        <v>52</v>
      </c>
      <c r="D2461" s="11">
        <f>IFERROR(__xludf.DUMMYFUNCTION("""COMPUTED_VALUE"""),13.0)</f>
        <v>13</v>
      </c>
      <c r="E2461" s="9"/>
    </row>
    <row r="2462">
      <c r="A2462" s="10">
        <f>IFERROR(__xludf.DUMMYFUNCTION("""COMPUTED_VALUE"""),92209.0)</f>
        <v>92209</v>
      </c>
      <c r="B2462" s="11">
        <f>IFERROR(__xludf.DUMMYFUNCTION("""COMPUTED_VALUE"""),0.0)</f>
        <v>0</v>
      </c>
      <c r="C2462" s="11">
        <f>IFERROR(__xludf.DUMMYFUNCTION("""COMPUTED_VALUE"""),586.0)</f>
        <v>586</v>
      </c>
      <c r="D2462" s="11">
        <f>IFERROR(__xludf.DUMMYFUNCTION("""COMPUTED_VALUE"""),218.0)</f>
        <v>218</v>
      </c>
      <c r="E2462" s="9"/>
    </row>
    <row r="2463">
      <c r="A2463" s="10">
        <f>IFERROR(__xludf.DUMMYFUNCTION("""COMPUTED_VALUE"""),93417.0)</f>
        <v>93417</v>
      </c>
      <c r="B2463" s="11">
        <f>IFERROR(__xludf.DUMMYFUNCTION("""COMPUTED_VALUE"""),0.0)</f>
        <v>0</v>
      </c>
      <c r="C2463" s="11">
        <f>IFERROR(__xludf.DUMMYFUNCTION("""COMPUTED_VALUE"""),201.0)</f>
        <v>201</v>
      </c>
      <c r="D2463" s="11">
        <f>IFERROR(__xludf.DUMMYFUNCTION("""COMPUTED_VALUE"""),122.0)</f>
        <v>122</v>
      </c>
      <c r="E2463" s="9"/>
    </row>
    <row r="2464">
      <c r="A2464" s="10">
        <f>IFERROR(__xludf.DUMMYFUNCTION("""COMPUTED_VALUE"""),103197.0)</f>
        <v>103197</v>
      </c>
      <c r="B2464" s="11">
        <f>IFERROR(__xludf.DUMMYFUNCTION("""COMPUTED_VALUE"""),1.0)</f>
        <v>1</v>
      </c>
      <c r="C2464" s="11">
        <f>IFERROR(__xludf.DUMMYFUNCTION("""COMPUTED_VALUE"""),213.0)</f>
        <v>213</v>
      </c>
      <c r="D2464" s="11">
        <f>IFERROR(__xludf.DUMMYFUNCTION("""COMPUTED_VALUE"""),112.0)</f>
        <v>112</v>
      </c>
      <c r="E2464" s="9"/>
    </row>
    <row r="2465">
      <c r="A2465" s="10">
        <f>IFERROR(__xludf.DUMMYFUNCTION("""COMPUTED_VALUE"""),118930.0)</f>
        <v>118930</v>
      </c>
      <c r="B2465" s="11">
        <f>IFERROR(__xludf.DUMMYFUNCTION("""COMPUTED_VALUE"""),0.0)</f>
        <v>0</v>
      </c>
      <c r="C2465" s="11">
        <f>IFERROR(__xludf.DUMMYFUNCTION("""COMPUTED_VALUE"""),823.0)</f>
        <v>823</v>
      </c>
      <c r="D2465" s="11">
        <f>IFERROR(__xludf.DUMMYFUNCTION("""COMPUTED_VALUE"""),377.0)</f>
        <v>377</v>
      </c>
      <c r="E2465" s="9"/>
    </row>
    <row r="2466">
      <c r="A2466" s="10">
        <f>IFERROR(__xludf.DUMMYFUNCTION("""COMPUTED_VALUE"""),92199.0)</f>
        <v>92199</v>
      </c>
      <c r="B2466" s="11">
        <f>IFERROR(__xludf.DUMMYFUNCTION("""COMPUTED_VALUE"""),1.0)</f>
        <v>1</v>
      </c>
      <c r="C2466" s="11">
        <f>IFERROR(__xludf.DUMMYFUNCTION("""COMPUTED_VALUE"""),690.0)</f>
        <v>690</v>
      </c>
      <c r="D2466" s="11">
        <f>IFERROR(__xludf.DUMMYFUNCTION("""COMPUTED_VALUE"""),257.0)</f>
        <v>257</v>
      </c>
      <c r="E2466" s="9"/>
    </row>
    <row r="2467">
      <c r="A2467" s="10">
        <f>IFERROR(__xludf.DUMMYFUNCTION("""COMPUTED_VALUE"""),29647.0)</f>
        <v>29647</v>
      </c>
      <c r="B2467" s="11">
        <f>IFERROR(__xludf.DUMMYFUNCTION("""COMPUTED_VALUE"""),1.0)</f>
        <v>1</v>
      </c>
      <c r="C2467" s="11">
        <f>IFERROR(__xludf.DUMMYFUNCTION("""COMPUTED_VALUE"""),589.0)</f>
        <v>589</v>
      </c>
      <c r="D2467" s="11">
        <f>IFERROR(__xludf.DUMMYFUNCTION("""COMPUTED_VALUE"""),513.0)</f>
        <v>513</v>
      </c>
      <c r="E2467" s="9"/>
    </row>
    <row r="2468">
      <c r="A2468" s="10">
        <f>IFERROR(__xludf.DUMMYFUNCTION("""COMPUTED_VALUE"""),121857.0)</f>
        <v>121857</v>
      </c>
      <c r="B2468" s="11">
        <f>IFERROR(__xludf.DUMMYFUNCTION("""COMPUTED_VALUE"""),0.0)</f>
        <v>0</v>
      </c>
      <c r="C2468" s="11">
        <f>IFERROR(__xludf.DUMMYFUNCTION("""COMPUTED_VALUE"""),976.0)</f>
        <v>976</v>
      </c>
      <c r="D2468" s="11">
        <f>IFERROR(__xludf.DUMMYFUNCTION("""COMPUTED_VALUE"""),884.0)</f>
        <v>884</v>
      </c>
      <c r="E2468" s="9"/>
    </row>
    <row r="2469">
      <c r="A2469" s="10">
        <f>IFERROR(__xludf.DUMMYFUNCTION("""COMPUTED_VALUE"""),129484.0)</f>
        <v>129484</v>
      </c>
      <c r="B2469" s="11">
        <f>IFERROR(__xludf.DUMMYFUNCTION("""COMPUTED_VALUE"""),0.0)</f>
        <v>0</v>
      </c>
      <c r="C2469" s="11">
        <f>IFERROR(__xludf.DUMMYFUNCTION("""COMPUTED_VALUE"""),665.0)</f>
        <v>665</v>
      </c>
      <c r="D2469" s="11">
        <f>IFERROR(__xludf.DUMMYFUNCTION("""COMPUTED_VALUE"""),145.0)</f>
        <v>145</v>
      </c>
      <c r="E2469" s="9"/>
    </row>
    <row r="2470">
      <c r="A2470" s="10">
        <f>IFERROR(__xludf.DUMMYFUNCTION("""COMPUTED_VALUE"""),122405.0)</f>
        <v>122405</v>
      </c>
      <c r="B2470" s="11">
        <f>IFERROR(__xludf.DUMMYFUNCTION("""COMPUTED_VALUE"""),0.0)</f>
        <v>0</v>
      </c>
      <c r="C2470" s="11">
        <f>IFERROR(__xludf.DUMMYFUNCTION("""COMPUTED_VALUE"""),38.0)</f>
        <v>38</v>
      </c>
      <c r="D2470" s="11">
        <f>IFERROR(__xludf.DUMMYFUNCTION("""COMPUTED_VALUE"""),8.0)</f>
        <v>8</v>
      </c>
      <c r="E2470" s="9"/>
    </row>
    <row r="2471">
      <c r="A2471" s="10">
        <f>IFERROR(__xludf.DUMMYFUNCTION("""COMPUTED_VALUE"""),108690.0)</f>
        <v>108690</v>
      </c>
      <c r="B2471" s="11">
        <f>IFERROR(__xludf.DUMMYFUNCTION("""COMPUTED_VALUE"""),1.0)</f>
        <v>1</v>
      </c>
      <c r="C2471" s="11">
        <f>IFERROR(__xludf.DUMMYFUNCTION("""COMPUTED_VALUE"""),502.0)</f>
        <v>502</v>
      </c>
      <c r="D2471" s="11">
        <f>IFERROR(__xludf.DUMMYFUNCTION("""COMPUTED_VALUE"""),126.0)</f>
        <v>126</v>
      </c>
      <c r="E2471" s="9"/>
    </row>
    <row r="2472">
      <c r="A2472" s="10">
        <f>IFERROR(__xludf.DUMMYFUNCTION("""COMPUTED_VALUE"""),11726.0)</f>
        <v>11726</v>
      </c>
      <c r="B2472" s="11">
        <f>IFERROR(__xludf.DUMMYFUNCTION("""COMPUTED_VALUE"""),0.0)</f>
        <v>0</v>
      </c>
      <c r="C2472" s="11">
        <f>IFERROR(__xludf.DUMMYFUNCTION("""COMPUTED_VALUE"""),301.0)</f>
        <v>301</v>
      </c>
      <c r="D2472" s="11">
        <f>IFERROR(__xludf.DUMMYFUNCTION("""COMPUTED_VALUE"""),295.0)</f>
        <v>295</v>
      </c>
      <c r="E2472" s="9"/>
    </row>
    <row r="2473">
      <c r="A2473" s="10">
        <f>IFERROR(__xludf.DUMMYFUNCTION("""COMPUTED_VALUE"""),109074.0)</f>
        <v>109074</v>
      </c>
      <c r="B2473" s="11">
        <f>IFERROR(__xludf.DUMMYFUNCTION("""COMPUTED_VALUE"""),0.0)</f>
        <v>0</v>
      </c>
      <c r="C2473" s="11">
        <f>IFERROR(__xludf.DUMMYFUNCTION("""COMPUTED_VALUE"""),949.0)</f>
        <v>949</v>
      </c>
      <c r="D2473" s="11">
        <f>IFERROR(__xludf.DUMMYFUNCTION("""COMPUTED_VALUE"""),310.0)</f>
        <v>310</v>
      </c>
      <c r="E2473" s="9"/>
    </row>
    <row r="2474">
      <c r="A2474" s="10">
        <f>IFERROR(__xludf.DUMMYFUNCTION("""COMPUTED_VALUE"""),75818.0)</f>
        <v>75818</v>
      </c>
      <c r="B2474" s="11">
        <f>IFERROR(__xludf.DUMMYFUNCTION("""COMPUTED_VALUE"""),1.0)</f>
        <v>1</v>
      </c>
      <c r="C2474" s="11">
        <f>IFERROR(__xludf.DUMMYFUNCTION("""COMPUTED_VALUE"""),577.0)</f>
        <v>577</v>
      </c>
      <c r="D2474" s="11">
        <f>IFERROR(__xludf.DUMMYFUNCTION("""COMPUTED_VALUE"""),142.0)</f>
        <v>142</v>
      </c>
      <c r="E2474" s="9"/>
    </row>
    <row r="2475">
      <c r="A2475" s="10">
        <f>IFERROR(__xludf.DUMMYFUNCTION("""COMPUTED_VALUE"""),10663.0)</f>
        <v>10663</v>
      </c>
      <c r="B2475" s="11">
        <f>IFERROR(__xludf.DUMMYFUNCTION("""COMPUTED_VALUE"""),0.0)</f>
        <v>0</v>
      </c>
      <c r="C2475" s="11">
        <f>IFERROR(__xludf.DUMMYFUNCTION("""COMPUTED_VALUE"""),752.0)</f>
        <v>752</v>
      </c>
      <c r="D2475" s="11">
        <f>IFERROR(__xludf.DUMMYFUNCTION("""COMPUTED_VALUE"""),241.0)</f>
        <v>241</v>
      </c>
      <c r="E2475" s="9"/>
    </row>
    <row r="2476">
      <c r="A2476" s="10">
        <f>IFERROR(__xludf.DUMMYFUNCTION("""COMPUTED_VALUE"""),9667.0)</f>
        <v>9667</v>
      </c>
      <c r="B2476" s="11">
        <f>IFERROR(__xludf.DUMMYFUNCTION("""COMPUTED_VALUE"""),0.0)</f>
        <v>0</v>
      </c>
      <c r="C2476" s="11">
        <f>IFERROR(__xludf.DUMMYFUNCTION("""COMPUTED_VALUE"""),429.0)</f>
        <v>429</v>
      </c>
      <c r="D2476" s="11">
        <f>IFERROR(__xludf.DUMMYFUNCTION("""COMPUTED_VALUE"""),69.0)</f>
        <v>69</v>
      </c>
      <c r="E2476" s="9"/>
    </row>
    <row r="2477">
      <c r="A2477" s="10">
        <f>IFERROR(__xludf.DUMMYFUNCTION("""COMPUTED_VALUE"""),109073.0)</f>
        <v>109073</v>
      </c>
      <c r="B2477" s="11">
        <f>IFERROR(__xludf.DUMMYFUNCTION("""COMPUTED_VALUE"""),0.0)</f>
        <v>0</v>
      </c>
      <c r="C2477" s="11">
        <f>IFERROR(__xludf.DUMMYFUNCTION("""COMPUTED_VALUE"""),163.0)</f>
        <v>163</v>
      </c>
      <c r="D2477" s="11">
        <f>IFERROR(__xludf.DUMMYFUNCTION("""COMPUTED_VALUE"""),91.0)</f>
        <v>91</v>
      </c>
      <c r="E2477" s="9"/>
    </row>
    <row r="2478">
      <c r="A2478" s="10">
        <f>IFERROR(__xludf.DUMMYFUNCTION("""COMPUTED_VALUE"""),11731.0)</f>
        <v>11731</v>
      </c>
      <c r="B2478" s="11">
        <f>IFERROR(__xludf.DUMMYFUNCTION("""COMPUTED_VALUE"""),0.0)</f>
        <v>0</v>
      </c>
      <c r="C2478" s="11">
        <f>IFERROR(__xludf.DUMMYFUNCTION("""COMPUTED_VALUE"""),391.0)</f>
        <v>391</v>
      </c>
      <c r="D2478" s="11">
        <f>IFERROR(__xludf.DUMMYFUNCTION("""COMPUTED_VALUE"""),115.0)</f>
        <v>115</v>
      </c>
      <c r="E2478" s="9"/>
    </row>
    <row r="2479">
      <c r="A2479" s="10">
        <f>IFERROR(__xludf.DUMMYFUNCTION("""COMPUTED_VALUE"""),155869.0)</f>
        <v>155869</v>
      </c>
      <c r="B2479" s="11">
        <f>IFERROR(__xludf.DUMMYFUNCTION("""COMPUTED_VALUE"""),1.0)</f>
        <v>1</v>
      </c>
      <c r="C2479" s="11">
        <f>IFERROR(__xludf.DUMMYFUNCTION("""COMPUTED_VALUE"""),960.0)</f>
        <v>960</v>
      </c>
      <c r="D2479" s="11">
        <f>IFERROR(__xludf.DUMMYFUNCTION("""COMPUTED_VALUE"""),606.0)</f>
        <v>606</v>
      </c>
      <c r="E2479" s="9"/>
    </row>
    <row r="2480">
      <c r="A2480" s="10">
        <f>IFERROR(__xludf.DUMMYFUNCTION("""COMPUTED_VALUE"""),118982.0)</f>
        <v>118982</v>
      </c>
      <c r="B2480" s="11">
        <f>IFERROR(__xludf.DUMMYFUNCTION("""COMPUTED_VALUE"""),1.0)</f>
        <v>1</v>
      </c>
      <c r="C2480" s="11">
        <f>IFERROR(__xludf.DUMMYFUNCTION("""COMPUTED_VALUE"""),257.0)</f>
        <v>257</v>
      </c>
      <c r="D2480" s="11">
        <f>IFERROR(__xludf.DUMMYFUNCTION("""COMPUTED_VALUE"""),35.0)</f>
        <v>35</v>
      </c>
      <c r="E2480" s="9"/>
    </row>
    <row r="2481">
      <c r="A2481" s="10">
        <f>IFERROR(__xludf.DUMMYFUNCTION("""COMPUTED_VALUE"""),29642.0)</f>
        <v>29642</v>
      </c>
      <c r="B2481" s="11">
        <f>IFERROR(__xludf.DUMMYFUNCTION("""COMPUTED_VALUE"""),0.0)</f>
        <v>0</v>
      </c>
      <c r="C2481" s="11">
        <f>IFERROR(__xludf.DUMMYFUNCTION("""COMPUTED_VALUE"""),179.0)</f>
        <v>179</v>
      </c>
      <c r="D2481" s="11">
        <f>IFERROR(__xludf.DUMMYFUNCTION("""COMPUTED_VALUE"""),121.0)</f>
        <v>121</v>
      </c>
      <c r="E2481" s="9"/>
    </row>
    <row r="2482">
      <c r="A2482" s="10">
        <f>IFERROR(__xludf.DUMMYFUNCTION("""COMPUTED_VALUE"""),111774.0)</f>
        <v>111774</v>
      </c>
      <c r="B2482" s="11">
        <f>IFERROR(__xludf.DUMMYFUNCTION("""COMPUTED_VALUE"""),0.0)</f>
        <v>0</v>
      </c>
      <c r="C2482" s="11">
        <f>IFERROR(__xludf.DUMMYFUNCTION("""COMPUTED_VALUE"""),979.0)</f>
        <v>979</v>
      </c>
      <c r="D2482" s="11">
        <f>IFERROR(__xludf.DUMMYFUNCTION("""COMPUTED_VALUE"""),457.0)</f>
        <v>457</v>
      </c>
      <c r="E2482" s="9"/>
    </row>
    <row r="2483">
      <c r="A2483" s="10">
        <f>IFERROR(__xludf.DUMMYFUNCTION("""COMPUTED_VALUE"""),117290.0)</f>
        <v>117290</v>
      </c>
      <c r="B2483" s="11">
        <f>IFERROR(__xludf.DUMMYFUNCTION("""COMPUTED_VALUE"""),1.0)</f>
        <v>1</v>
      </c>
      <c r="C2483" s="11">
        <f>IFERROR(__xludf.DUMMYFUNCTION("""COMPUTED_VALUE"""),213.0)</f>
        <v>213</v>
      </c>
      <c r="D2483" s="11">
        <f>IFERROR(__xludf.DUMMYFUNCTION("""COMPUTED_VALUE"""),51.0)</f>
        <v>51</v>
      </c>
      <c r="E2483" s="9"/>
    </row>
    <row r="2484">
      <c r="A2484" s="10">
        <f>IFERROR(__xludf.DUMMYFUNCTION("""COMPUTED_VALUE"""),105593.0)</f>
        <v>105593</v>
      </c>
      <c r="B2484" s="11">
        <f>IFERROR(__xludf.DUMMYFUNCTION("""COMPUTED_VALUE"""),0.0)</f>
        <v>0</v>
      </c>
      <c r="C2484" s="11">
        <f>IFERROR(__xludf.DUMMYFUNCTION("""COMPUTED_VALUE"""),336.0)</f>
        <v>336</v>
      </c>
      <c r="D2484" s="11">
        <f>IFERROR(__xludf.DUMMYFUNCTION("""COMPUTED_VALUE"""),332.0)</f>
        <v>332</v>
      </c>
      <c r="E2484" s="9"/>
    </row>
    <row r="2485">
      <c r="A2485" s="10">
        <f>IFERROR(__xludf.DUMMYFUNCTION("""COMPUTED_VALUE"""),70751.0)</f>
        <v>70751</v>
      </c>
      <c r="B2485" s="11">
        <f>IFERROR(__xludf.DUMMYFUNCTION("""COMPUTED_VALUE"""),0.0)</f>
        <v>0</v>
      </c>
      <c r="C2485" s="11">
        <f>IFERROR(__xludf.DUMMYFUNCTION("""COMPUTED_VALUE"""),942.0)</f>
        <v>942</v>
      </c>
      <c r="D2485" s="11">
        <f>IFERROR(__xludf.DUMMYFUNCTION("""COMPUTED_VALUE"""),829.0)</f>
        <v>829</v>
      </c>
      <c r="E2485" s="9"/>
    </row>
    <row r="2486">
      <c r="A2486" s="10">
        <f>IFERROR(__xludf.DUMMYFUNCTION("""COMPUTED_VALUE"""),118929.0)</f>
        <v>118929</v>
      </c>
      <c r="B2486" s="11">
        <f>IFERROR(__xludf.DUMMYFUNCTION("""COMPUTED_VALUE"""),0.0)</f>
        <v>0</v>
      </c>
      <c r="C2486" s="11">
        <f>IFERROR(__xludf.DUMMYFUNCTION("""COMPUTED_VALUE"""),853.0)</f>
        <v>853</v>
      </c>
      <c r="D2486" s="11">
        <f>IFERROR(__xludf.DUMMYFUNCTION("""COMPUTED_VALUE"""),615.0)</f>
        <v>615</v>
      </c>
      <c r="E2486" s="9"/>
    </row>
    <row r="2487">
      <c r="A2487" s="10">
        <f>IFERROR(__xludf.DUMMYFUNCTION("""COMPUTED_VALUE"""),70594.0)</f>
        <v>70594</v>
      </c>
      <c r="B2487" s="11">
        <f>IFERROR(__xludf.DUMMYFUNCTION("""COMPUTED_VALUE"""),1.0)</f>
        <v>1</v>
      </c>
      <c r="C2487" s="11">
        <f>IFERROR(__xludf.DUMMYFUNCTION("""COMPUTED_VALUE"""),2.0)</f>
        <v>2</v>
      </c>
      <c r="D2487" s="11">
        <f>IFERROR(__xludf.DUMMYFUNCTION("""COMPUTED_VALUE"""),0.0)</f>
        <v>0</v>
      </c>
      <c r="E2487" s="9"/>
    </row>
    <row r="2488">
      <c r="A2488" s="10">
        <f>IFERROR(__xludf.DUMMYFUNCTION("""COMPUTED_VALUE"""),118270.0)</f>
        <v>118270</v>
      </c>
      <c r="B2488" s="11">
        <f>IFERROR(__xludf.DUMMYFUNCTION("""COMPUTED_VALUE"""),0.0)</f>
        <v>0</v>
      </c>
      <c r="C2488" s="11">
        <f>IFERROR(__xludf.DUMMYFUNCTION("""COMPUTED_VALUE"""),494.0)</f>
        <v>494</v>
      </c>
      <c r="D2488" s="11">
        <f>IFERROR(__xludf.DUMMYFUNCTION("""COMPUTED_VALUE"""),278.0)</f>
        <v>278</v>
      </c>
      <c r="E2488" s="9"/>
    </row>
    <row r="2489">
      <c r="A2489" s="10">
        <f>IFERROR(__xludf.DUMMYFUNCTION("""COMPUTED_VALUE"""),20584.0)</f>
        <v>20584</v>
      </c>
      <c r="B2489" s="11">
        <f>IFERROR(__xludf.DUMMYFUNCTION("""COMPUTED_VALUE"""),0.0)</f>
        <v>0</v>
      </c>
      <c r="C2489" s="11">
        <f>IFERROR(__xludf.DUMMYFUNCTION("""COMPUTED_VALUE"""),878.0)</f>
        <v>878</v>
      </c>
      <c r="D2489" s="11">
        <f>IFERROR(__xludf.DUMMYFUNCTION("""COMPUTED_VALUE"""),639.0)</f>
        <v>639</v>
      </c>
      <c r="E2489" s="9"/>
    </row>
    <row r="2490">
      <c r="A2490" s="10">
        <f>IFERROR(__xludf.DUMMYFUNCTION("""COMPUTED_VALUE"""),150541.0)</f>
        <v>150541</v>
      </c>
      <c r="B2490" s="11">
        <f>IFERROR(__xludf.DUMMYFUNCTION("""COMPUTED_VALUE"""),0.0)</f>
        <v>0</v>
      </c>
      <c r="C2490" s="11">
        <f>IFERROR(__xludf.DUMMYFUNCTION("""COMPUTED_VALUE"""),173.0)</f>
        <v>173</v>
      </c>
      <c r="D2490" s="11">
        <f>IFERROR(__xludf.DUMMYFUNCTION("""COMPUTED_VALUE"""),100.0)</f>
        <v>100</v>
      </c>
      <c r="E2490" s="9"/>
    </row>
    <row r="2491">
      <c r="A2491" s="10">
        <f>IFERROR(__xludf.DUMMYFUNCTION("""COMPUTED_VALUE"""),12633.0)</f>
        <v>12633</v>
      </c>
      <c r="B2491" s="11">
        <f>IFERROR(__xludf.DUMMYFUNCTION("""COMPUTED_VALUE"""),0.0)</f>
        <v>0</v>
      </c>
      <c r="C2491" s="11">
        <f>IFERROR(__xludf.DUMMYFUNCTION("""COMPUTED_VALUE"""),177.0)</f>
        <v>177</v>
      </c>
      <c r="D2491" s="11">
        <f>IFERROR(__xludf.DUMMYFUNCTION("""COMPUTED_VALUE"""),144.0)</f>
        <v>144</v>
      </c>
      <c r="E2491" s="9"/>
    </row>
    <row r="2492">
      <c r="A2492" s="10">
        <f>IFERROR(__xludf.DUMMYFUNCTION("""COMPUTED_VALUE"""),9666.0)</f>
        <v>9666</v>
      </c>
      <c r="B2492" s="11">
        <f>IFERROR(__xludf.DUMMYFUNCTION("""COMPUTED_VALUE"""),0.0)</f>
        <v>0</v>
      </c>
      <c r="C2492" s="11">
        <f>IFERROR(__xludf.DUMMYFUNCTION("""COMPUTED_VALUE"""),504.0)</f>
        <v>504</v>
      </c>
      <c r="D2492" s="11">
        <f>IFERROR(__xludf.DUMMYFUNCTION("""COMPUTED_VALUE"""),164.0)</f>
        <v>164</v>
      </c>
      <c r="E2492" s="9"/>
    </row>
    <row r="2493">
      <c r="A2493" s="10">
        <f>IFERROR(__xludf.DUMMYFUNCTION("""COMPUTED_VALUE"""),79940.0)</f>
        <v>79940</v>
      </c>
      <c r="B2493" s="11">
        <f>IFERROR(__xludf.DUMMYFUNCTION("""COMPUTED_VALUE"""),1.0)</f>
        <v>1</v>
      </c>
      <c r="C2493" s="11">
        <f>IFERROR(__xludf.DUMMYFUNCTION("""COMPUTED_VALUE"""),216.0)</f>
        <v>216</v>
      </c>
      <c r="D2493" s="11">
        <f>IFERROR(__xludf.DUMMYFUNCTION("""COMPUTED_VALUE"""),36.0)</f>
        <v>36</v>
      </c>
      <c r="E2493" s="9"/>
    </row>
    <row r="2494">
      <c r="A2494" s="10">
        <f>IFERROR(__xludf.DUMMYFUNCTION("""COMPUTED_VALUE"""),201198.0)</f>
        <v>201198</v>
      </c>
      <c r="B2494" s="11">
        <f>IFERROR(__xludf.DUMMYFUNCTION("""COMPUTED_VALUE"""),0.0)</f>
        <v>0</v>
      </c>
      <c r="C2494" s="11">
        <f>IFERROR(__xludf.DUMMYFUNCTION("""COMPUTED_VALUE"""),81.0)</f>
        <v>81</v>
      </c>
      <c r="D2494" s="11">
        <f>IFERROR(__xludf.DUMMYFUNCTION("""COMPUTED_VALUE"""),2.0)</f>
        <v>2</v>
      </c>
      <c r="E2494" s="9"/>
    </row>
    <row r="2495">
      <c r="A2495" s="10">
        <f>IFERROR(__xludf.DUMMYFUNCTION("""COMPUTED_VALUE"""),117268.0)</f>
        <v>117268</v>
      </c>
      <c r="B2495" s="11">
        <f>IFERROR(__xludf.DUMMYFUNCTION("""COMPUTED_VALUE"""),1.0)</f>
        <v>1</v>
      </c>
      <c r="C2495" s="11">
        <f>IFERROR(__xludf.DUMMYFUNCTION("""COMPUTED_VALUE"""),774.0)</f>
        <v>774</v>
      </c>
      <c r="D2495" s="11">
        <f>IFERROR(__xludf.DUMMYFUNCTION("""COMPUTED_VALUE"""),487.0)</f>
        <v>487</v>
      </c>
      <c r="E2495" s="9"/>
    </row>
    <row r="2496">
      <c r="A2496" s="10">
        <f>IFERROR(__xludf.DUMMYFUNCTION("""COMPUTED_VALUE"""),80623.0)</f>
        <v>80623</v>
      </c>
      <c r="B2496" s="11">
        <f>IFERROR(__xludf.DUMMYFUNCTION("""COMPUTED_VALUE"""),1.0)</f>
        <v>1</v>
      </c>
      <c r="C2496" s="11">
        <f>IFERROR(__xludf.DUMMYFUNCTION("""COMPUTED_VALUE"""),849.0)</f>
        <v>849</v>
      </c>
      <c r="D2496" s="11">
        <f>IFERROR(__xludf.DUMMYFUNCTION("""COMPUTED_VALUE"""),766.0)</f>
        <v>766</v>
      </c>
      <c r="E2496" s="9"/>
    </row>
    <row r="2497">
      <c r="A2497" s="10">
        <f>IFERROR(__xludf.DUMMYFUNCTION("""COMPUTED_VALUE"""),9698.0)</f>
        <v>9698</v>
      </c>
      <c r="B2497" s="11">
        <f>IFERROR(__xludf.DUMMYFUNCTION("""COMPUTED_VALUE"""),0.0)</f>
        <v>0</v>
      </c>
      <c r="C2497" s="11">
        <f>IFERROR(__xludf.DUMMYFUNCTION("""COMPUTED_VALUE"""),458.0)</f>
        <v>458</v>
      </c>
      <c r="D2497" s="11">
        <f>IFERROR(__xludf.DUMMYFUNCTION("""COMPUTED_VALUE"""),239.0)</f>
        <v>239</v>
      </c>
      <c r="E2497" s="9"/>
    </row>
    <row r="2498">
      <c r="A2498" s="10">
        <f>IFERROR(__xludf.DUMMYFUNCTION("""COMPUTED_VALUE"""),83102.0)</f>
        <v>83102</v>
      </c>
      <c r="B2498" s="11">
        <f>IFERROR(__xludf.DUMMYFUNCTION("""COMPUTED_VALUE"""),1.0)</f>
        <v>1</v>
      </c>
      <c r="C2498" s="11">
        <f>IFERROR(__xludf.DUMMYFUNCTION("""COMPUTED_VALUE"""),831.0)</f>
        <v>831</v>
      </c>
      <c r="D2498" s="11">
        <f>IFERROR(__xludf.DUMMYFUNCTION("""COMPUTED_VALUE"""),657.0)</f>
        <v>657</v>
      </c>
      <c r="E2498" s="9"/>
    </row>
    <row r="2499">
      <c r="A2499" s="10">
        <f>IFERROR(__xludf.DUMMYFUNCTION("""COMPUTED_VALUE"""),118271.0)</f>
        <v>118271</v>
      </c>
      <c r="B2499" s="11">
        <f>IFERROR(__xludf.DUMMYFUNCTION("""COMPUTED_VALUE"""),0.0)</f>
        <v>0</v>
      </c>
      <c r="C2499" s="11">
        <f>IFERROR(__xludf.DUMMYFUNCTION("""COMPUTED_VALUE"""),538.0)</f>
        <v>538</v>
      </c>
      <c r="D2499" s="11">
        <f>IFERROR(__xludf.DUMMYFUNCTION("""COMPUTED_VALUE"""),23.0)</f>
        <v>23</v>
      </c>
      <c r="E2499" s="9"/>
    </row>
    <row r="2500">
      <c r="A2500" s="10">
        <f>IFERROR(__xludf.DUMMYFUNCTION("""COMPUTED_VALUE"""),41659.0)</f>
        <v>41659</v>
      </c>
      <c r="B2500" s="11">
        <f>IFERROR(__xludf.DUMMYFUNCTION("""COMPUTED_VALUE"""),0.0)</f>
        <v>0</v>
      </c>
      <c r="C2500" s="11">
        <f>IFERROR(__xludf.DUMMYFUNCTION("""COMPUTED_VALUE"""),153.0)</f>
        <v>153</v>
      </c>
      <c r="D2500" s="11">
        <f>IFERROR(__xludf.DUMMYFUNCTION("""COMPUTED_VALUE"""),9.0)</f>
        <v>9</v>
      </c>
      <c r="E2500" s="9"/>
    </row>
    <row r="2501">
      <c r="A2501" s="10">
        <f>IFERROR(__xludf.DUMMYFUNCTION("""COMPUTED_VALUE"""),81564.0)</f>
        <v>81564</v>
      </c>
      <c r="B2501" s="11">
        <f>IFERROR(__xludf.DUMMYFUNCTION("""COMPUTED_VALUE"""),0.0)</f>
        <v>0</v>
      </c>
      <c r="C2501" s="11">
        <f>IFERROR(__xludf.DUMMYFUNCTION("""COMPUTED_VALUE"""),372.0)</f>
        <v>372</v>
      </c>
      <c r="D2501" s="11">
        <f>IFERROR(__xludf.DUMMYFUNCTION("""COMPUTED_VALUE"""),219.0)</f>
        <v>219</v>
      </c>
      <c r="E2501" s="9"/>
    </row>
    <row r="2502">
      <c r="A2502" s="10">
        <f>IFERROR(__xludf.DUMMYFUNCTION("""COMPUTED_VALUE"""),110132.0)</f>
        <v>110132</v>
      </c>
      <c r="B2502" s="11">
        <f>IFERROR(__xludf.DUMMYFUNCTION("""COMPUTED_VALUE"""),0.0)</f>
        <v>0</v>
      </c>
      <c r="C2502" s="11">
        <f>IFERROR(__xludf.DUMMYFUNCTION("""COMPUTED_VALUE"""),309.0)</f>
        <v>309</v>
      </c>
      <c r="D2502" s="11">
        <f>IFERROR(__xludf.DUMMYFUNCTION("""COMPUTED_VALUE"""),144.0)</f>
        <v>144</v>
      </c>
      <c r="E2502" s="9"/>
    </row>
    <row r="2503">
      <c r="A2503" s="10">
        <f>IFERROR(__xludf.DUMMYFUNCTION("""COMPUTED_VALUE"""),17639.0)</f>
        <v>17639</v>
      </c>
      <c r="B2503" s="11">
        <f>IFERROR(__xludf.DUMMYFUNCTION("""COMPUTED_VALUE"""),1.0)</f>
        <v>1</v>
      </c>
      <c r="C2503" s="11">
        <f>IFERROR(__xludf.DUMMYFUNCTION("""COMPUTED_VALUE"""),32.0)</f>
        <v>32</v>
      </c>
      <c r="D2503" s="11">
        <f>IFERROR(__xludf.DUMMYFUNCTION("""COMPUTED_VALUE"""),5.0)</f>
        <v>5</v>
      </c>
      <c r="E2503" s="9"/>
    </row>
    <row r="2504">
      <c r="A2504" s="10">
        <f>IFERROR(__xludf.DUMMYFUNCTION("""COMPUTED_VALUE"""),201025.0)</f>
        <v>201025</v>
      </c>
      <c r="B2504" s="11">
        <f>IFERROR(__xludf.DUMMYFUNCTION("""COMPUTED_VALUE"""),0.0)</f>
        <v>0</v>
      </c>
      <c r="C2504" s="11">
        <f>IFERROR(__xludf.DUMMYFUNCTION("""COMPUTED_VALUE"""),236.0)</f>
        <v>236</v>
      </c>
      <c r="D2504" s="11">
        <f>IFERROR(__xludf.DUMMYFUNCTION("""COMPUTED_VALUE"""),27.0)</f>
        <v>27</v>
      </c>
      <c r="E2504" s="9"/>
    </row>
    <row r="2505">
      <c r="A2505" s="10">
        <f>IFERROR(__xludf.DUMMYFUNCTION("""COMPUTED_VALUE"""),70589.0)</f>
        <v>70589</v>
      </c>
      <c r="B2505" s="11">
        <f>IFERROR(__xludf.DUMMYFUNCTION("""COMPUTED_VALUE"""),1.0)</f>
        <v>1</v>
      </c>
      <c r="C2505" s="11">
        <f>IFERROR(__xludf.DUMMYFUNCTION("""COMPUTED_VALUE"""),462.0)</f>
        <v>462</v>
      </c>
      <c r="D2505" s="11">
        <f>IFERROR(__xludf.DUMMYFUNCTION("""COMPUTED_VALUE"""),99.0)</f>
        <v>99</v>
      </c>
      <c r="E2505" s="9"/>
    </row>
    <row r="2506">
      <c r="A2506" s="10">
        <f>IFERROR(__xludf.DUMMYFUNCTION("""COMPUTED_VALUE"""),75825.0)</f>
        <v>75825</v>
      </c>
      <c r="B2506" s="11">
        <f>IFERROR(__xludf.DUMMYFUNCTION("""COMPUTED_VALUE"""),1.0)</f>
        <v>1</v>
      </c>
      <c r="C2506" s="11">
        <f>IFERROR(__xludf.DUMMYFUNCTION("""COMPUTED_VALUE"""),546.0)</f>
        <v>546</v>
      </c>
      <c r="D2506" s="11">
        <f>IFERROR(__xludf.DUMMYFUNCTION("""COMPUTED_VALUE"""),202.0)</f>
        <v>202</v>
      </c>
      <c r="E2506" s="9"/>
    </row>
    <row r="2507">
      <c r="A2507" s="10">
        <f>IFERROR(__xludf.DUMMYFUNCTION("""COMPUTED_VALUE"""),9699.0)</f>
        <v>9699</v>
      </c>
      <c r="B2507" s="11">
        <f>IFERROR(__xludf.DUMMYFUNCTION("""COMPUTED_VALUE"""),1.0)</f>
        <v>1</v>
      </c>
      <c r="C2507" s="11">
        <f>IFERROR(__xludf.DUMMYFUNCTION("""COMPUTED_VALUE"""),849.0)</f>
        <v>849</v>
      </c>
      <c r="D2507" s="11">
        <f>IFERROR(__xludf.DUMMYFUNCTION("""COMPUTED_VALUE"""),290.0)</f>
        <v>290</v>
      </c>
      <c r="E2507" s="9"/>
    </row>
    <row r="2508">
      <c r="A2508" s="10">
        <f>IFERROR(__xludf.DUMMYFUNCTION("""COMPUTED_VALUE"""),122448.0)</f>
        <v>122448</v>
      </c>
      <c r="B2508" s="11">
        <f>IFERROR(__xludf.DUMMYFUNCTION("""COMPUTED_VALUE"""),1.0)</f>
        <v>1</v>
      </c>
      <c r="C2508" s="11">
        <f>IFERROR(__xludf.DUMMYFUNCTION("""COMPUTED_VALUE"""),149.0)</f>
        <v>149</v>
      </c>
      <c r="D2508" s="11">
        <f>IFERROR(__xludf.DUMMYFUNCTION("""COMPUTED_VALUE"""),81.0)</f>
        <v>81</v>
      </c>
      <c r="E2508" s="9"/>
    </row>
    <row r="2509">
      <c r="A2509" s="10">
        <f>IFERROR(__xludf.DUMMYFUNCTION("""COMPUTED_VALUE"""),105506.0)</f>
        <v>105506</v>
      </c>
      <c r="B2509" s="11">
        <f>IFERROR(__xludf.DUMMYFUNCTION("""COMPUTED_VALUE"""),1.0)</f>
        <v>1</v>
      </c>
      <c r="C2509" s="11">
        <f>IFERROR(__xludf.DUMMYFUNCTION("""COMPUTED_VALUE"""),483.0)</f>
        <v>483</v>
      </c>
      <c r="D2509" s="11">
        <f>IFERROR(__xludf.DUMMYFUNCTION("""COMPUTED_VALUE"""),327.0)</f>
        <v>327</v>
      </c>
      <c r="E2509" s="9"/>
    </row>
    <row r="2510">
      <c r="A2510" s="10">
        <f>IFERROR(__xludf.DUMMYFUNCTION("""COMPUTED_VALUE"""),142304.0)</f>
        <v>142304</v>
      </c>
      <c r="B2510" s="11">
        <f>IFERROR(__xludf.DUMMYFUNCTION("""COMPUTED_VALUE"""),0.0)</f>
        <v>0</v>
      </c>
      <c r="C2510" s="11">
        <f>IFERROR(__xludf.DUMMYFUNCTION("""COMPUTED_VALUE"""),183.0)</f>
        <v>183</v>
      </c>
      <c r="D2510" s="11">
        <f>IFERROR(__xludf.DUMMYFUNCTION("""COMPUTED_VALUE"""),108.0)</f>
        <v>108</v>
      </c>
      <c r="E2510" s="9"/>
    </row>
    <row r="2511">
      <c r="A2511" s="10">
        <f>IFERROR(__xludf.DUMMYFUNCTION("""COMPUTED_VALUE"""),105505.0)</f>
        <v>105505</v>
      </c>
      <c r="B2511" s="11">
        <f>IFERROR(__xludf.DUMMYFUNCTION("""COMPUTED_VALUE"""),1.0)</f>
        <v>1</v>
      </c>
      <c r="C2511" s="11">
        <f>IFERROR(__xludf.DUMMYFUNCTION("""COMPUTED_VALUE"""),540.0)</f>
        <v>540</v>
      </c>
      <c r="D2511" s="11">
        <f>IFERROR(__xludf.DUMMYFUNCTION("""COMPUTED_VALUE"""),296.0)</f>
        <v>296</v>
      </c>
      <c r="E2511" s="9"/>
    </row>
    <row r="2512">
      <c r="A2512" s="10">
        <f>IFERROR(__xludf.DUMMYFUNCTION("""COMPUTED_VALUE"""),122502.0)</f>
        <v>122502</v>
      </c>
      <c r="B2512" s="11">
        <f>IFERROR(__xludf.DUMMYFUNCTION("""COMPUTED_VALUE"""),1.0)</f>
        <v>1</v>
      </c>
      <c r="C2512" s="11">
        <f>IFERROR(__xludf.DUMMYFUNCTION("""COMPUTED_VALUE"""),755.0)</f>
        <v>755</v>
      </c>
      <c r="D2512" s="11">
        <f>IFERROR(__xludf.DUMMYFUNCTION("""COMPUTED_VALUE"""),186.0)</f>
        <v>186</v>
      </c>
      <c r="E2512" s="9"/>
    </row>
    <row r="2513">
      <c r="A2513" s="10">
        <f>IFERROR(__xludf.DUMMYFUNCTION("""COMPUTED_VALUE"""),118264.0)</f>
        <v>118264</v>
      </c>
      <c r="B2513" s="11">
        <f>IFERROR(__xludf.DUMMYFUNCTION("""COMPUTED_VALUE"""),0.0)</f>
        <v>0</v>
      </c>
      <c r="C2513" s="11">
        <f>IFERROR(__xludf.DUMMYFUNCTION("""COMPUTED_VALUE"""),661.0)</f>
        <v>661</v>
      </c>
      <c r="D2513" s="11">
        <f>IFERROR(__xludf.DUMMYFUNCTION("""COMPUTED_VALUE"""),173.0)</f>
        <v>173</v>
      </c>
      <c r="E2513" s="9"/>
    </row>
    <row r="2514">
      <c r="A2514" s="10">
        <f>IFERROR(__xludf.DUMMYFUNCTION("""COMPUTED_VALUE"""),17632.0)</f>
        <v>17632</v>
      </c>
      <c r="B2514" s="11">
        <f>IFERROR(__xludf.DUMMYFUNCTION("""COMPUTED_VALUE"""),0.0)</f>
        <v>0</v>
      </c>
      <c r="C2514" s="11">
        <f>IFERROR(__xludf.DUMMYFUNCTION("""COMPUTED_VALUE"""),324.0)</f>
        <v>324</v>
      </c>
      <c r="D2514" s="11">
        <f>IFERROR(__xludf.DUMMYFUNCTION("""COMPUTED_VALUE"""),126.0)</f>
        <v>126</v>
      </c>
      <c r="E2514" s="9"/>
    </row>
    <row r="2515">
      <c r="A2515" s="10">
        <f>IFERROR(__xludf.DUMMYFUNCTION("""COMPUTED_VALUE"""),108790.0)</f>
        <v>108790</v>
      </c>
      <c r="B2515" s="11">
        <f>IFERROR(__xludf.DUMMYFUNCTION("""COMPUTED_VALUE"""),1.0)</f>
        <v>1</v>
      </c>
      <c r="C2515" s="11">
        <f>IFERROR(__xludf.DUMMYFUNCTION("""COMPUTED_VALUE"""),611.0)</f>
        <v>611</v>
      </c>
      <c r="D2515" s="11">
        <f>IFERROR(__xludf.DUMMYFUNCTION("""COMPUTED_VALUE"""),293.0)</f>
        <v>293</v>
      </c>
      <c r="E2515" s="9"/>
    </row>
    <row r="2516">
      <c r="A2516" s="10">
        <f>IFERROR(__xludf.DUMMYFUNCTION("""COMPUTED_VALUE"""),92200.0)</f>
        <v>92200</v>
      </c>
      <c r="B2516" s="11">
        <f>IFERROR(__xludf.DUMMYFUNCTION("""COMPUTED_VALUE"""),1.0)</f>
        <v>1</v>
      </c>
      <c r="C2516" s="11">
        <f>IFERROR(__xludf.DUMMYFUNCTION("""COMPUTED_VALUE"""),345.0)</f>
        <v>345</v>
      </c>
      <c r="D2516" s="11">
        <f>IFERROR(__xludf.DUMMYFUNCTION("""COMPUTED_VALUE"""),329.0)</f>
        <v>329</v>
      </c>
      <c r="E2516" s="9"/>
    </row>
    <row r="2517">
      <c r="A2517" s="10">
        <f>IFERROR(__xludf.DUMMYFUNCTION("""COMPUTED_VALUE"""),17634.0)</f>
        <v>17634</v>
      </c>
      <c r="B2517" s="11">
        <f>IFERROR(__xludf.DUMMYFUNCTION("""COMPUTED_VALUE"""),0.0)</f>
        <v>0</v>
      </c>
      <c r="C2517" s="11">
        <f>IFERROR(__xludf.DUMMYFUNCTION("""COMPUTED_VALUE"""),544.0)</f>
        <v>544</v>
      </c>
      <c r="D2517" s="11">
        <f>IFERROR(__xludf.DUMMYFUNCTION("""COMPUTED_VALUE"""),148.0)</f>
        <v>148</v>
      </c>
      <c r="E2517" s="9"/>
    </row>
    <row r="2518">
      <c r="A2518" s="10">
        <f>IFERROR(__xludf.DUMMYFUNCTION("""COMPUTED_VALUE"""),122522.0)</f>
        <v>122522</v>
      </c>
      <c r="B2518" s="11">
        <f>IFERROR(__xludf.DUMMYFUNCTION("""COMPUTED_VALUE"""),1.0)</f>
        <v>1</v>
      </c>
      <c r="C2518" s="11">
        <f>IFERROR(__xludf.DUMMYFUNCTION("""COMPUTED_VALUE"""),283.0)</f>
        <v>283</v>
      </c>
      <c r="D2518" s="11">
        <f>IFERROR(__xludf.DUMMYFUNCTION("""COMPUTED_VALUE"""),29.0)</f>
        <v>29</v>
      </c>
      <c r="E2518" s="9"/>
    </row>
    <row r="2519">
      <c r="A2519" s="10">
        <f>IFERROR(__xludf.DUMMYFUNCTION("""COMPUTED_VALUE"""),122505.0)</f>
        <v>122505</v>
      </c>
      <c r="B2519" s="11">
        <f>IFERROR(__xludf.DUMMYFUNCTION("""COMPUTED_VALUE"""),0.0)</f>
        <v>0</v>
      </c>
      <c r="C2519" s="11">
        <f>IFERROR(__xludf.DUMMYFUNCTION("""COMPUTED_VALUE"""),878.0)</f>
        <v>878</v>
      </c>
      <c r="D2519" s="11">
        <f>IFERROR(__xludf.DUMMYFUNCTION("""COMPUTED_VALUE"""),134.0)</f>
        <v>134</v>
      </c>
      <c r="E2519" s="9"/>
    </row>
    <row r="2520">
      <c r="A2520" s="10">
        <f>IFERROR(__xludf.DUMMYFUNCTION("""COMPUTED_VALUE"""),93416.0)</f>
        <v>93416</v>
      </c>
      <c r="B2520" s="11">
        <f>IFERROR(__xludf.DUMMYFUNCTION("""COMPUTED_VALUE"""),0.0)</f>
        <v>0</v>
      </c>
      <c r="C2520" s="11">
        <f>IFERROR(__xludf.DUMMYFUNCTION("""COMPUTED_VALUE"""),333.0)</f>
        <v>333</v>
      </c>
      <c r="D2520" s="11">
        <f>IFERROR(__xludf.DUMMYFUNCTION("""COMPUTED_VALUE"""),57.0)</f>
        <v>57</v>
      </c>
      <c r="E2520" s="9"/>
    </row>
    <row r="2521">
      <c r="A2521" s="10">
        <f>IFERROR(__xludf.DUMMYFUNCTION("""COMPUTED_VALUE"""),93406.0)</f>
        <v>93406</v>
      </c>
      <c r="B2521" s="11">
        <f>IFERROR(__xludf.DUMMYFUNCTION("""COMPUTED_VALUE"""),0.0)</f>
        <v>0</v>
      </c>
      <c r="C2521" s="11">
        <f>IFERROR(__xludf.DUMMYFUNCTION("""COMPUTED_VALUE"""),539.0)</f>
        <v>539</v>
      </c>
      <c r="D2521" s="11">
        <f>IFERROR(__xludf.DUMMYFUNCTION("""COMPUTED_VALUE"""),261.0)</f>
        <v>261</v>
      </c>
      <c r="E2521" s="9"/>
    </row>
    <row r="2522">
      <c r="A2522" s="10">
        <f>IFERROR(__xludf.DUMMYFUNCTION("""COMPUTED_VALUE"""),69329.0)</f>
        <v>69329</v>
      </c>
      <c r="B2522" s="11">
        <f>IFERROR(__xludf.DUMMYFUNCTION("""COMPUTED_VALUE"""),1.0)</f>
        <v>1</v>
      </c>
      <c r="C2522" s="11">
        <f>IFERROR(__xludf.DUMMYFUNCTION("""COMPUTED_VALUE"""),697.0)</f>
        <v>697</v>
      </c>
      <c r="D2522" s="11">
        <f>IFERROR(__xludf.DUMMYFUNCTION("""COMPUTED_VALUE"""),399.0)</f>
        <v>399</v>
      </c>
      <c r="E2522" s="9"/>
    </row>
    <row r="2523">
      <c r="A2523" s="10">
        <f>IFERROR(__xludf.DUMMYFUNCTION("""COMPUTED_VALUE"""),155953.0)</f>
        <v>155953</v>
      </c>
      <c r="B2523" s="11">
        <f>IFERROR(__xludf.DUMMYFUNCTION("""COMPUTED_VALUE"""),0.0)</f>
        <v>0</v>
      </c>
      <c r="C2523" s="11">
        <f>IFERROR(__xludf.DUMMYFUNCTION("""COMPUTED_VALUE"""),473.0)</f>
        <v>473</v>
      </c>
      <c r="D2523" s="11">
        <f>IFERROR(__xludf.DUMMYFUNCTION("""COMPUTED_VALUE"""),368.0)</f>
        <v>368</v>
      </c>
      <c r="E2523" s="9"/>
    </row>
    <row r="2524">
      <c r="A2524" s="10">
        <f>IFERROR(__xludf.DUMMYFUNCTION("""COMPUTED_VALUE"""),11721.0)</f>
        <v>11721</v>
      </c>
      <c r="B2524" s="11">
        <f>IFERROR(__xludf.DUMMYFUNCTION("""COMPUTED_VALUE"""),1.0)</f>
        <v>1</v>
      </c>
      <c r="C2524" s="11">
        <f>IFERROR(__xludf.DUMMYFUNCTION("""COMPUTED_VALUE"""),286.0)</f>
        <v>286</v>
      </c>
      <c r="D2524" s="11">
        <f>IFERROR(__xludf.DUMMYFUNCTION("""COMPUTED_VALUE"""),175.0)</f>
        <v>175</v>
      </c>
      <c r="E2524" s="9"/>
    </row>
    <row r="2525">
      <c r="A2525" s="10">
        <f>IFERROR(__xludf.DUMMYFUNCTION("""COMPUTED_VALUE"""),41654.0)</f>
        <v>41654</v>
      </c>
      <c r="B2525" s="11">
        <f>IFERROR(__xludf.DUMMYFUNCTION("""COMPUTED_VALUE"""),1.0)</f>
        <v>1</v>
      </c>
      <c r="C2525" s="11">
        <f>IFERROR(__xludf.DUMMYFUNCTION("""COMPUTED_VALUE"""),220.0)</f>
        <v>220</v>
      </c>
      <c r="D2525" s="11">
        <f>IFERROR(__xludf.DUMMYFUNCTION("""COMPUTED_VALUE"""),172.0)</f>
        <v>172</v>
      </c>
      <c r="E2525" s="9"/>
    </row>
    <row r="2526">
      <c r="A2526" s="10">
        <f>IFERROR(__xludf.DUMMYFUNCTION("""COMPUTED_VALUE"""),92204.0)</f>
        <v>92204</v>
      </c>
      <c r="B2526" s="11">
        <f>IFERROR(__xludf.DUMMYFUNCTION("""COMPUTED_VALUE"""),0.0)</f>
        <v>0</v>
      </c>
      <c r="C2526" s="11">
        <f>IFERROR(__xludf.DUMMYFUNCTION("""COMPUTED_VALUE"""),461.0)</f>
        <v>461</v>
      </c>
      <c r="D2526" s="11">
        <f>IFERROR(__xludf.DUMMYFUNCTION("""COMPUTED_VALUE"""),221.0)</f>
        <v>221</v>
      </c>
      <c r="E2526" s="9"/>
    </row>
    <row r="2527">
      <c r="A2527" s="10">
        <f>IFERROR(__xludf.DUMMYFUNCTION("""COMPUTED_VALUE"""),105572.0)</f>
        <v>105572</v>
      </c>
      <c r="B2527" s="11">
        <f>IFERROR(__xludf.DUMMYFUNCTION("""COMPUTED_VALUE"""),1.0)</f>
        <v>1</v>
      </c>
      <c r="C2527" s="11">
        <f>IFERROR(__xludf.DUMMYFUNCTION("""COMPUTED_VALUE"""),150.0)</f>
        <v>150</v>
      </c>
      <c r="D2527" s="11">
        <f>IFERROR(__xludf.DUMMYFUNCTION("""COMPUTED_VALUE"""),36.0)</f>
        <v>36</v>
      </c>
      <c r="E2527" s="9"/>
    </row>
    <row r="2528">
      <c r="A2528" s="10">
        <f>IFERROR(__xludf.DUMMYFUNCTION("""COMPUTED_VALUE"""),110141.0)</f>
        <v>110141</v>
      </c>
      <c r="B2528" s="11">
        <f>IFERROR(__xludf.DUMMYFUNCTION("""COMPUTED_VALUE"""),1.0)</f>
        <v>1</v>
      </c>
      <c r="C2528" s="11">
        <f>IFERROR(__xludf.DUMMYFUNCTION("""COMPUTED_VALUE"""),414.0)</f>
        <v>414</v>
      </c>
      <c r="D2528" s="11">
        <f>IFERROR(__xludf.DUMMYFUNCTION("""COMPUTED_VALUE"""),21.0)</f>
        <v>21</v>
      </c>
      <c r="E2528" s="9"/>
    </row>
    <row r="2529">
      <c r="A2529" s="10">
        <f>IFERROR(__xludf.DUMMYFUNCTION("""COMPUTED_VALUE"""),158471.0)</f>
        <v>158471</v>
      </c>
      <c r="B2529" s="11">
        <f>IFERROR(__xludf.DUMMYFUNCTION("""COMPUTED_VALUE"""),1.0)</f>
        <v>1</v>
      </c>
      <c r="C2529" s="11">
        <f>IFERROR(__xludf.DUMMYFUNCTION("""COMPUTED_VALUE"""),368.0)</f>
        <v>368</v>
      </c>
      <c r="D2529" s="11">
        <f>IFERROR(__xludf.DUMMYFUNCTION("""COMPUTED_VALUE"""),94.0)</f>
        <v>94</v>
      </c>
      <c r="E2529" s="9"/>
    </row>
    <row r="2530">
      <c r="A2530" s="10">
        <f>IFERROR(__xludf.DUMMYFUNCTION("""COMPUTED_VALUE"""),120876.0)</f>
        <v>120876</v>
      </c>
      <c r="B2530" s="11">
        <f>IFERROR(__xludf.DUMMYFUNCTION("""COMPUTED_VALUE"""),0.0)</f>
        <v>0</v>
      </c>
      <c r="C2530" s="11">
        <f>IFERROR(__xludf.DUMMYFUNCTION("""COMPUTED_VALUE"""),514.0)</f>
        <v>514</v>
      </c>
      <c r="D2530" s="11">
        <f>IFERROR(__xludf.DUMMYFUNCTION("""COMPUTED_VALUE"""),144.0)</f>
        <v>144</v>
      </c>
      <c r="E2530" s="9"/>
    </row>
    <row r="2531">
      <c r="A2531" s="10">
        <f>IFERROR(__xludf.DUMMYFUNCTION("""COMPUTED_VALUE"""),87437.0)</f>
        <v>87437</v>
      </c>
      <c r="B2531" s="11">
        <f>IFERROR(__xludf.DUMMYFUNCTION("""COMPUTED_VALUE"""),1.0)</f>
        <v>1</v>
      </c>
      <c r="C2531" s="11">
        <f>IFERROR(__xludf.DUMMYFUNCTION("""COMPUTED_VALUE"""),285.0)</f>
        <v>285</v>
      </c>
      <c r="D2531" s="11">
        <f>IFERROR(__xludf.DUMMYFUNCTION("""COMPUTED_VALUE"""),151.0)</f>
        <v>151</v>
      </c>
      <c r="E2531" s="9"/>
    </row>
    <row r="2532">
      <c r="A2532" s="10">
        <f>IFERROR(__xludf.DUMMYFUNCTION("""COMPUTED_VALUE"""),121462.0)</f>
        <v>121462</v>
      </c>
      <c r="B2532" s="11">
        <f>IFERROR(__xludf.DUMMYFUNCTION("""COMPUTED_VALUE"""),1.0)</f>
        <v>1</v>
      </c>
      <c r="C2532" s="11">
        <f>IFERROR(__xludf.DUMMYFUNCTION("""COMPUTED_VALUE"""),946.0)</f>
        <v>946</v>
      </c>
      <c r="D2532" s="11">
        <f>IFERROR(__xludf.DUMMYFUNCTION("""COMPUTED_VALUE"""),544.0)</f>
        <v>544</v>
      </c>
      <c r="E2532" s="9"/>
    </row>
    <row r="2533">
      <c r="A2533" s="10">
        <f>IFERROR(__xludf.DUMMYFUNCTION("""COMPUTED_VALUE"""),69471.0)</f>
        <v>69471</v>
      </c>
      <c r="B2533" s="11">
        <f>IFERROR(__xludf.DUMMYFUNCTION("""COMPUTED_VALUE"""),0.0)</f>
        <v>0</v>
      </c>
      <c r="C2533" s="11">
        <f>IFERROR(__xludf.DUMMYFUNCTION("""COMPUTED_VALUE"""),608.0)</f>
        <v>608</v>
      </c>
      <c r="D2533" s="11">
        <f>IFERROR(__xludf.DUMMYFUNCTION("""COMPUTED_VALUE"""),396.0)</f>
        <v>396</v>
      </c>
      <c r="E2533" s="9"/>
    </row>
    <row r="2534">
      <c r="A2534" s="10">
        <f>IFERROR(__xludf.DUMMYFUNCTION("""COMPUTED_VALUE"""),114904.0)</f>
        <v>114904</v>
      </c>
      <c r="B2534" s="11">
        <f>IFERROR(__xludf.DUMMYFUNCTION("""COMPUTED_VALUE"""),0.0)</f>
        <v>0</v>
      </c>
      <c r="C2534" s="11">
        <f>IFERROR(__xludf.DUMMYFUNCTION("""COMPUTED_VALUE"""),713.0)</f>
        <v>713</v>
      </c>
      <c r="D2534" s="11">
        <f>IFERROR(__xludf.DUMMYFUNCTION("""COMPUTED_VALUE"""),624.0)</f>
        <v>624</v>
      </c>
      <c r="E2534" s="9"/>
    </row>
    <row r="2535">
      <c r="A2535" s="10">
        <f>IFERROR(__xludf.DUMMYFUNCTION("""COMPUTED_VALUE"""),113910.0)</f>
        <v>113910</v>
      </c>
      <c r="B2535" s="11">
        <f>IFERROR(__xludf.DUMMYFUNCTION("""COMPUTED_VALUE"""),0.0)</f>
        <v>0</v>
      </c>
      <c r="C2535" s="11">
        <f>IFERROR(__xludf.DUMMYFUNCTION("""COMPUTED_VALUE"""),438.0)</f>
        <v>438</v>
      </c>
      <c r="D2535" s="11">
        <f>IFERROR(__xludf.DUMMYFUNCTION("""COMPUTED_VALUE"""),249.0)</f>
        <v>249</v>
      </c>
      <c r="E2535" s="9"/>
    </row>
    <row r="2536">
      <c r="A2536" s="10">
        <f>IFERROR(__xludf.DUMMYFUNCTION("""COMPUTED_VALUE"""),18100.0)</f>
        <v>18100</v>
      </c>
      <c r="B2536" s="11">
        <f>IFERROR(__xludf.DUMMYFUNCTION("""COMPUTED_VALUE"""),1.0)</f>
        <v>1</v>
      </c>
      <c r="C2536" s="11">
        <f>IFERROR(__xludf.DUMMYFUNCTION("""COMPUTED_VALUE"""),501.0)</f>
        <v>501</v>
      </c>
      <c r="D2536" s="11">
        <f>IFERROR(__xludf.DUMMYFUNCTION("""COMPUTED_VALUE"""),220.0)</f>
        <v>220</v>
      </c>
      <c r="E2536" s="9"/>
    </row>
    <row r="2537">
      <c r="A2537" s="10">
        <f>IFERROR(__xludf.DUMMYFUNCTION("""COMPUTED_VALUE"""),114963.0)</f>
        <v>114963</v>
      </c>
      <c r="B2537" s="11">
        <f>IFERROR(__xludf.DUMMYFUNCTION("""COMPUTED_VALUE"""),0.0)</f>
        <v>0</v>
      </c>
      <c r="C2537" s="11">
        <f>IFERROR(__xludf.DUMMYFUNCTION("""COMPUTED_VALUE"""),203.0)</f>
        <v>203</v>
      </c>
      <c r="D2537" s="11">
        <f>IFERROR(__xludf.DUMMYFUNCTION("""COMPUTED_VALUE"""),61.0)</f>
        <v>61</v>
      </c>
      <c r="E2537" s="9"/>
    </row>
    <row r="2538">
      <c r="A2538" s="10">
        <f>IFERROR(__xludf.DUMMYFUNCTION("""COMPUTED_VALUE"""),121495.0)</f>
        <v>121495</v>
      </c>
      <c r="B2538" s="11">
        <f>IFERROR(__xludf.DUMMYFUNCTION("""COMPUTED_VALUE"""),1.0)</f>
        <v>1</v>
      </c>
      <c r="C2538" s="11">
        <f>IFERROR(__xludf.DUMMYFUNCTION("""COMPUTED_VALUE"""),932.0)</f>
        <v>932</v>
      </c>
      <c r="D2538" s="11">
        <f>IFERROR(__xludf.DUMMYFUNCTION("""COMPUTED_VALUE"""),841.0)</f>
        <v>841</v>
      </c>
      <c r="E2538" s="9"/>
    </row>
    <row r="2539">
      <c r="A2539" s="10">
        <f>IFERROR(__xludf.DUMMYFUNCTION("""COMPUTED_VALUE"""),83041.0)</f>
        <v>83041</v>
      </c>
      <c r="B2539" s="11">
        <f>IFERROR(__xludf.DUMMYFUNCTION("""COMPUTED_VALUE"""),1.0)</f>
        <v>1</v>
      </c>
      <c r="C2539" s="11">
        <f>IFERROR(__xludf.DUMMYFUNCTION("""COMPUTED_VALUE"""),971.0)</f>
        <v>971</v>
      </c>
      <c r="D2539" s="11">
        <f>IFERROR(__xludf.DUMMYFUNCTION("""COMPUTED_VALUE"""),954.0)</f>
        <v>954</v>
      </c>
      <c r="E2539" s="9"/>
    </row>
    <row r="2540">
      <c r="A2540" s="10">
        <f>IFERROR(__xludf.DUMMYFUNCTION("""COMPUTED_VALUE"""),121499.0)</f>
        <v>121499</v>
      </c>
      <c r="B2540" s="11">
        <f>IFERROR(__xludf.DUMMYFUNCTION("""COMPUTED_VALUE"""),1.0)</f>
        <v>1</v>
      </c>
      <c r="C2540" s="11">
        <f>IFERROR(__xludf.DUMMYFUNCTION("""COMPUTED_VALUE"""),545.0)</f>
        <v>545</v>
      </c>
      <c r="D2540" s="11">
        <f>IFERROR(__xludf.DUMMYFUNCTION("""COMPUTED_VALUE"""),27.0)</f>
        <v>27</v>
      </c>
      <c r="E2540" s="9"/>
    </row>
    <row r="2541">
      <c r="A2541" s="10">
        <f>IFERROR(__xludf.DUMMYFUNCTION("""COMPUTED_VALUE"""),108528.0)</f>
        <v>108528</v>
      </c>
      <c r="B2541" s="11">
        <f>IFERROR(__xludf.DUMMYFUNCTION("""COMPUTED_VALUE"""),0.0)</f>
        <v>0</v>
      </c>
      <c r="C2541" s="11">
        <f>IFERROR(__xludf.DUMMYFUNCTION("""COMPUTED_VALUE"""),105.0)</f>
        <v>105</v>
      </c>
      <c r="D2541" s="11">
        <f>IFERROR(__xludf.DUMMYFUNCTION("""COMPUTED_VALUE"""),20.0)</f>
        <v>20</v>
      </c>
      <c r="E2541" s="9"/>
    </row>
    <row r="2542">
      <c r="A2542" s="10">
        <f>IFERROR(__xludf.DUMMYFUNCTION("""COMPUTED_VALUE"""),69547.0)</f>
        <v>69547</v>
      </c>
      <c r="B2542" s="11">
        <f>IFERROR(__xludf.DUMMYFUNCTION("""COMPUTED_VALUE"""),1.0)</f>
        <v>1</v>
      </c>
      <c r="C2542" s="11">
        <f>IFERROR(__xludf.DUMMYFUNCTION("""COMPUTED_VALUE"""),888.0)</f>
        <v>888</v>
      </c>
      <c r="D2542" s="11">
        <f>IFERROR(__xludf.DUMMYFUNCTION("""COMPUTED_VALUE"""),312.0)</f>
        <v>312</v>
      </c>
      <c r="E2542" s="9"/>
    </row>
    <row r="2543">
      <c r="A2543" s="10">
        <f>IFERROR(__xludf.DUMMYFUNCTION("""COMPUTED_VALUE"""),18126.0)</f>
        <v>18126</v>
      </c>
      <c r="B2543" s="11">
        <f>IFERROR(__xludf.DUMMYFUNCTION("""COMPUTED_VALUE"""),0.0)</f>
        <v>0</v>
      </c>
      <c r="C2543" s="11">
        <f>IFERROR(__xludf.DUMMYFUNCTION("""COMPUTED_VALUE"""),840.0)</f>
        <v>840</v>
      </c>
      <c r="D2543" s="11">
        <f>IFERROR(__xludf.DUMMYFUNCTION("""COMPUTED_VALUE"""),96.0)</f>
        <v>96</v>
      </c>
      <c r="E2543" s="9"/>
    </row>
    <row r="2544">
      <c r="A2544" s="10">
        <f>IFERROR(__xludf.DUMMYFUNCTION("""COMPUTED_VALUE"""),121812.0)</f>
        <v>121812</v>
      </c>
      <c r="B2544" s="11">
        <f>IFERROR(__xludf.DUMMYFUNCTION("""COMPUTED_VALUE"""),0.0)</f>
        <v>0</v>
      </c>
      <c r="C2544" s="11">
        <f>IFERROR(__xludf.DUMMYFUNCTION("""COMPUTED_VALUE"""),672.0)</f>
        <v>672</v>
      </c>
      <c r="D2544" s="11">
        <f>IFERROR(__xludf.DUMMYFUNCTION("""COMPUTED_VALUE"""),160.0)</f>
        <v>160</v>
      </c>
      <c r="E2544" s="9"/>
    </row>
    <row r="2545">
      <c r="A2545" s="10">
        <f>IFERROR(__xludf.DUMMYFUNCTION("""COMPUTED_VALUE"""),81497.0)</f>
        <v>81497</v>
      </c>
      <c r="B2545" s="11">
        <f>IFERROR(__xludf.DUMMYFUNCTION("""COMPUTED_VALUE"""),0.0)</f>
        <v>0</v>
      </c>
      <c r="C2545" s="11">
        <f>IFERROR(__xludf.DUMMYFUNCTION("""COMPUTED_VALUE"""),284.0)</f>
        <v>284</v>
      </c>
      <c r="D2545" s="11">
        <f>IFERROR(__xludf.DUMMYFUNCTION("""COMPUTED_VALUE"""),245.0)</f>
        <v>245</v>
      </c>
      <c r="E2545" s="9"/>
    </row>
    <row r="2546">
      <c r="A2546" s="10">
        <f>IFERROR(__xludf.DUMMYFUNCTION("""COMPUTED_VALUE"""),121500.0)</f>
        <v>121500</v>
      </c>
      <c r="B2546" s="11">
        <f>IFERROR(__xludf.DUMMYFUNCTION("""COMPUTED_VALUE"""),0.0)</f>
        <v>0</v>
      </c>
      <c r="C2546" s="11">
        <f>IFERROR(__xludf.DUMMYFUNCTION("""COMPUTED_VALUE"""),706.0)</f>
        <v>706</v>
      </c>
      <c r="D2546" s="11">
        <f>IFERROR(__xludf.DUMMYFUNCTION("""COMPUTED_VALUE"""),98.0)</f>
        <v>98</v>
      </c>
      <c r="E2546" s="9"/>
    </row>
    <row r="2547">
      <c r="A2547" s="10">
        <f>IFERROR(__xludf.DUMMYFUNCTION("""COMPUTED_VALUE"""),45903.0)</f>
        <v>45903</v>
      </c>
      <c r="B2547" s="11">
        <f>IFERROR(__xludf.DUMMYFUNCTION("""COMPUTED_VALUE"""),0.0)</f>
        <v>0</v>
      </c>
      <c r="C2547" s="11">
        <f>IFERROR(__xludf.DUMMYFUNCTION("""COMPUTED_VALUE"""),781.0)</f>
        <v>781</v>
      </c>
      <c r="D2547" s="11">
        <f>IFERROR(__xludf.DUMMYFUNCTION("""COMPUTED_VALUE"""),330.0)</f>
        <v>330</v>
      </c>
      <c r="E2547" s="9"/>
    </row>
    <row r="2548">
      <c r="A2548" s="10">
        <f>IFERROR(__xludf.DUMMYFUNCTION("""COMPUTED_VALUE"""),121813.0)</f>
        <v>121813</v>
      </c>
      <c r="B2548" s="11">
        <f>IFERROR(__xludf.DUMMYFUNCTION("""COMPUTED_VALUE"""),0.0)</f>
        <v>0</v>
      </c>
      <c r="C2548" s="11">
        <f>IFERROR(__xludf.DUMMYFUNCTION("""COMPUTED_VALUE"""),270.0)</f>
        <v>270</v>
      </c>
      <c r="D2548" s="11">
        <f>IFERROR(__xludf.DUMMYFUNCTION("""COMPUTED_VALUE"""),137.0)</f>
        <v>137</v>
      </c>
      <c r="E2548" s="9"/>
    </row>
    <row r="2549">
      <c r="A2549" s="10">
        <f>IFERROR(__xludf.DUMMYFUNCTION("""COMPUTED_VALUE"""),108512.0)</f>
        <v>108512</v>
      </c>
      <c r="B2549" s="11">
        <f>IFERROR(__xludf.DUMMYFUNCTION("""COMPUTED_VALUE"""),0.0)</f>
        <v>0</v>
      </c>
      <c r="C2549" s="11">
        <f>IFERROR(__xludf.DUMMYFUNCTION("""COMPUTED_VALUE"""),273.0)</f>
        <v>273</v>
      </c>
      <c r="D2549" s="11">
        <f>IFERROR(__xludf.DUMMYFUNCTION("""COMPUTED_VALUE"""),17.0)</f>
        <v>17</v>
      </c>
      <c r="E2549" s="9"/>
    </row>
    <row r="2550">
      <c r="A2550" s="10">
        <f>IFERROR(__xludf.DUMMYFUNCTION("""COMPUTED_VALUE"""),70189.0)</f>
        <v>70189</v>
      </c>
      <c r="B2550" s="11">
        <f>IFERROR(__xludf.DUMMYFUNCTION("""COMPUTED_VALUE"""),1.0)</f>
        <v>1</v>
      </c>
      <c r="C2550" s="11">
        <f>IFERROR(__xludf.DUMMYFUNCTION("""COMPUTED_VALUE"""),664.0)</f>
        <v>664</v>
      </c>
      <c r="D2550" s="11">
        <f>IFERROR(__xludf.DUMMYFUNCTION("""COMPUTED_VALUE"""),307.0)</f>
        <v>307</v>
      </c>
      <c r="E2550" s="9"/>
    </row>
    <row r="2551">
      <c r="A2551" s="10">
        <f>IFERROR(__xludf.DUMMYFUNCTION("""COMPUTED_VALUE"""),194057.0)</f>
        <v>194057</v>
      </c>
      <c r="B2551" s="11">
        <f>IFERROR(__xludf.DUMMYFUNCTION("""COMPUTED_VALUE"""),0.0)</f>
        <v>0</v>
      </c>
      <c r="C2551" s="11">
        <f>IFERROR(__xludf.DUMMYFUNCTION("""COMPUTED_VALUE"""),738.0)</f>
        <v>738</v>
      </c>
      <c r="D2551" s="11">
        <f>IFERROR(__xludf.DUMMYFUNCTION("""COMPUTED_VALUE"""),167.0)</f>
        <v>167</v>
      </c>
      <c r="E2551" s="9"/>
    </row>
    <row r="2552">
      <c r="A2552" s="10">
        <f>IFERROR(__xludf.DUMMYFUNCTION("""COMPUTED_VALUE"""),121460.0)</f>
        <v>121460</v>
      </c>
      <c r="B2552" s="11">
        <f>IFERROR(__xludf.DUMMYFUNCTION("""COMPUTED_VALUE"""),0.0)</f>
        <v>0</v>
      </c>
      <c r="C2552" s="11">
        <f>IFERROR(__xludf.DUMMYFUNCTION("""COMPUTED_VALUE"""),60.0)</f>
        <v>60</v>
      </c>
      <c r="D2552" s="11">
        <f>IFERROR(__xludf.DUMMYFUNCTION("""COMPUTED_VALUE"""),60.0)</f>
        <v>60</v>
      </c>
      <c r="E2552" s="9"/>
    </row>
    <row r="2553">
      <c r="A2553" s="10">
        <f>IFERROR(__xludf.DUMMYFUNCTION("""COMPUTED_VALUE"""),121950.0)</f>
        <v>121950</v>
      </c>
      <c r="B2553" s="11">
        <f>IFERROR(__xludf.DUMMYFUNCTION("""COMPUTED_VALUE"""),1.0)</f>
        <v>1</v>
      </c>
      <c r="C2553" s="11">
        <f>IFERROR(__xludf.DUMMYFUNCTION("""COMPUTED_VALUE"""),681.0)</f>
        <v>681</v>
      </c>
      <c r="D2553" s="11">
        <f>IFERROR(__xludf.DUMMYFUNCTION("""COMPUTED_VALUE"""),107.0)</f>
        <v>107</v>
      </c>
      <c r="E2553" s="9"/>
    </row>
    <row r="2554">
      <c r="A2554" s="10">
        <f>IFERROR(__xludf.DUMMYFUNCTION("""COMPUTED_VALUE"""),121811.0)</f>
        <v>121811</v>
      </c>
      <c r="B2554" s="11">
        <f>IFERROR(__xludf.DUMMYFUNCTION("""COMPUTED_VALUE"""),0.0)</f>
        <v>0</v>
      </c>
      <c r="C2554" s="11">
        <f>IFERROR(__xludf.DUMMYFUNCTION("""COMPUTED_VALUE"""),529.0)</f>
        <v>529</v>
      </c>
      <c r="D2554" s="11">
        <f>IFERROR(__xludf.DUMMYFUNCTION("""COMPUTED_VALUE"""),8.0)</f>
        <v>8</v>
      </c>
      <c r="E2554" s="9"/>
    </row>
    <row r="2555">
      <c r="A2555" s="10">
        <f>IFERROR(__xludf.DUMMYFUNCTION("""COMPUTED_VALUE"""),86400.0)</f>
        <v>86400</v>
      </c>
      <c r="B2555" s="11">
        <f>IFERROR(__xludf.DUMMYFUNCTION("""COMPUTED_VALUE"""),1.0)</f>
        <v>1</v>
      </c>
      <c r="C2555" s="11">
        <f>IFERROR(__xludf.DUMMYFUNCTION("""COMPUTED_VALUE"""),254.0)</f>
        <v>254</v>
      </c>
      <c r="D2555" s="11">
        <f>IFERROR(__xludf.DUMMYFUNCTION("""COMPUTED_VALUE"""),41.0)</f>
        <v>41</v>
      </c>
      <c r="E2555" s="9"/>
    </row>
    <row r="2556">
      <c r="A2556" s="10">
        <f>IFERROR(__xludf.DUMMYFUNCTION("""COMPUTED_VALUE"""),108527.0)</f>
        <v>108527</v>
      </c>
      <c r="B2556" s="11">
        <f>IFERROR(__xludf.DUMMYFUNCTION("""COMPUTED_VALUE"""),0.0)</f>
        <v>0</v>
      </c>
      <c r="C2556" s="11">
        <f>IFERROR(__xludf.DUMMYFUNCTION("""COMPUTED_VALUE"""),675.0)</f>
        <v>675</v>
      </c>
      <c r="D2556" s="11">
        <f>IFERROR(__xludf.DUMMYFUNCTION("""COMPUTED_VALUE"""),383.0)</f>
        <v>383</v>
      </c>
      <c r="E2556" s="9"/>
    </row>
    <row r="2557">
      <c r="A2557" s="10">
        <f>IFERROR(__xludf.DUMMYFUNCTION("""COMPUTED_VALUE"""),88622.0)</f>
        <v>88622</v>
      </c>
      <c r="B2557" s="11">
        <f>IFERROR(__xludf.DUMMYFUNCTION("""COMPUTED_VALUE"""),1.0)</f>
        <v>1</v>
      </c>
      <c r="C2557" s="11">
        <f>IFERROR(__xludf.DUMMYFUNCTION("""COMPUTED_VALUE"""),510.0)</f>
        <v>510</v>
      </c>
      <c r="D2557" s="11">
        <f>IFERROR(__xludf.DUMMYFUNCTION("""COMPUTED_VALUE"""),24.0)</f>
        <v>24</v>
      </c>
      <c r="E2557" s="9"/>
    </row>
    <row r="2558">
      <c r="A2558" s="10">
        <f>IFERROR(__xludf.DUMMYFUNCTION("""COMPUTED_VALUE"""),121803.0)</f>
        <v>121803</v>
      </c>
      <c r="B2558" s="11">
        <f>IFERROR(__xludf.DUMMYFUNCTION("""COMPUTED_VALUE"""),0.0)</f>
        <v>0</v>
      </c>
      <c r="C2558" s="11">
        <f>IFERROR(__xludf.DUMMYFUNCTION("""COMPUTED_VALUE"""),477.0)</f>
        <v>477</v>
      </c>
      <c r="D2558" s="11">
        <f>IFERROR(__xludf.DUMMYFUNCTION("""COMPUTED_VALUE"""),310.0)</f>
        <v>310</v>
      </c>
      <c r="E2558" s="9"/>
    </row>
    <row r="2559">
      <c r="A2559" s="10">
        <f>IFERROR(__xludf.DUMMYFUNCTION("""COMPUTED_VALUE"""),87418.0)</f>
        <v>87418</v>
      </c>
      <c r="B2559" s="11">
        <f>IFERROR(__xludf.DUMMYFUNCTION("""COMPUTED_VALUE"""),1.0)</f>
        <v>1</v>
      </c>
      <c r="C2559" s="11">
        <f>IFERROR(__xludf.DUMMYFUNCTION("""COMPUTED_VALUE"""),776.0)</f>
        <v>776</v>
      </c>
      <c r="D2559" s="11">
        <f>IFERROR(__xludf.DUMMYFUNCTION("""COMPUTED_VALUE"""),375.0)</f>
        <v>375</v>
      </c>
      <c r="E2559" s="9"/>
    </row>
    <row r="2560">
      <c r="A2560" s="10">
        <f>IFERROR(__xludf.DUMMYFUNCTION("""COMPUTED_VALUE"""),26275.0)</f>
        <v>26275</v>
      </c>
      <c r="B2560" s="11">
        <f>IFERROR(__xludf.DUMMYFUNCTION("""COMPUTED_VALUE"""),0.0)</f>
        <v>0</v>
      </c>
      <c r="C2560" s="11">
        <f>IFERROR(__xludf.DUMMYFUNCTION("""COMPUTED_VALUE"""),160.0)</f>
        <v>160</v>
      </c>
      <c r="D2560" s="11">
        <f>IFERROR(__xludf.DUMMYFUNCTION("""COMPUTED_VALUE"""),25.0)</f>
        <v>25</v>
      </c>
      <c r="E2560" s="9"/>
    </row>
    <row r="2561">
      <c r="A2561" s="10">
        <f>IFERROR(__xludf.DUMMYFUNCTION("""COMPUTED_VALUE"""),119229.0)</f>
        <v>119229</v>
      </c>
      <c r="B2561" s="11">
        <f>IFERROR(__xludf.DUMMYFUNCTION("""COMPUTED_VALUE"""),1.0)</f>
        <v>1</v>
      </c>
      <c r="C2561" s="11">
        <f>IFERROR(__xludf.DUMMYFUNCTION("""COMPUTED_VALUE"""),239.0)</f>
        <v>239</v>
      </c>
      <c r="D2561" s="11">
        <f>IFERROR(__xludf.DUMMYFUNCTION("""COMPUTED_VALUE"""),112.0)</f>
        <v>112</v>
      </c>
      <c r="E2561" s="9"/>
    </row>
    <row r="2562">
      <c r="A2562" s="10">
        <f>IFERROR(__xludf.DUMMYFUNCTION("""COMPUTED_VALUE"""),74881.0)</f>
        <v>74881</v>
      </c>
      <c r="B2562" s="11">
        <f>IFERROR(__xludf.DUMMYFUNCTION("""COMPUTED_VALUE"""),1.0)</f>
        <v>1</v>
      </c>
      <c r="C2562" s="11">
        <f>IFERROR(__xludf.DUMMYFUNCTION("""COMPUTED_VALUE"""),60.0)</f>
        <v>60</v>
      </c>
      <c r="D2562" s="11">
        <f>IFERROR(__xludf.DUMMYFUNCTION("""COMPUTED_VALUE"""),34.0)</f>
        <v>34</v>
      </c>
      <c r="E2562" s="9"/>
    </row>
    <row r="2563">
      <c r="A2563" s="10">
        <f>IFERROR(__xludf.DUMMYFUNCTION("""COMPUTED_VALUE"""),86469.0)</f>
        <v>86469</v>
      </c>
      <c r="B2563" s="11">
        <f>IFERROR(__xludf.DUMMYFUNCTION("""COMPUTED_VALUE"""),1.0)</f>
        <v>1</v>
      </c>
      <c r="C2563" s="11">
        <f>IFERROR(__xludf.DUMMYFUNCTION("""COMPUTED_VALUE"""),52.0)</f>
        <v>52</v>
      </c>
      <c r="D2563" s="11">
        <f>IFERROR(__xludf.DUMMYFUNCTION("""COMPUTED_VALUE"""),25.0)</f>
        <v>25</v>
      </c>
      <c r="E2563" s="9"/>
    </row>
    <row r="2564">
      <c r="A2564" s="10">
        <f>IFERROR(__xludf.DUMMYFUNCTION("""COMPUTED_VALUE"""),120798.0)</f>
        <v>120798</v>
      </c>
      <c r="B2564" s="11">
        <f>IFERROR(__xludf.DUMMYFUNCTION("""COMPUTED_VALUE"""),0.0)</f>
        <v>0</v>
      </c>
      <c r="C2564" s="11">
        <f>IFERROR(__xludf.DUMMYFUNCTION("""COMPUTED_VALUE"""),182.0)</f>
        <v>182</v>
      </c>
      <c r="D2564" s="11">
        <f>IFERROR(__xludf.DUMMYFUNCTION("""COMPUTED_VALUE"""),175.0)</f>
        <v>175</v>
      </c>
      <c r="E2564" s="9"/>
    </row>
    <row r="2565">
      <c r="A2565" s="10">
        <f>IFERROR(__xludf.DUMMYFUNCTION("""COMPUTED_VALUE"""),86479.0)</f>
        <v>86479</v>
      </c>
      <c r="B2565" s="11">
        <f>IFERROR(__xludf.DUMMYFUNCTION("""COMPUTED_VALUE"""),0.0)</f>
        <v>0</v>
      </c>
      <c r="C2565" s="11">
        <f>IFERROR(__xludf.DUMMYFUNCTION("""COMPUTED_VALUE"""),850.0)</f>
        <v>850</v>
      </c>
      <c r="D2565" s="11">
        <f>IFERROR(__xludf.DUMMYFUNCTION("""COMPUTED_VALUE"""),25.0)</f>
        <v>25</v>
      </c>
      <c r="E2565" s="9"/>
    </row>
    <row r="2566">
      <c r="A2566" s="10">
        <f>IFERROR(__xludf.DUMMYFUNCTION("""COMPUTED_VALUE"""),80411.0)</f>
        <v>80411</v>
      </c>
      <c r="B2566" s="11">
        <f>IFERROR(__xludf.DUMMYFUNCTION("""COMPUTED_VALUE"""),0.0)</f>
        <v>0</v>
      </c>
      <c r="C2566" s="11">
        <f>IFERROR(__xludf.DUMMYFUNCTION("""COMPUTED_VALUE"""),430.0)</f>
        <v>430</v>
      </c>
      <c r="D2566" s="11">
        <f>IFERROR(__xludf.DUMMYFUNCTION("""COMPUTED_VALUE"""),29.0)</f>
        <v>29</v>
      </c>
      <c r="E2566" s="9"/>
    </row>
    <row r="2567">
      <c r="A2567" s="10">
        <f>IFERROR(__xludf.DUMMYFUNCTION("""COMPUTED_VALUE"""),120797.0)</f>
        <v>120797</v>
      </c>
      <c r="B2567" s="11">
        <f>IFERROR(__xludf.DUMMYFUNCTION("""COMPUTED_VALUE"""),0.0)</f>
        <v>0</v>
      </c>
      <c r="C2567" s="11">
        <f>IFERROR(__xludf.DUMMYFUNCTION("""COMPUTED_VALUE"""),45.0)</f>
        <v>45</v>
      </c>
      <c r="D2567" s="11">
        <f>IFERROR(__xludf.DUMMYFUNCTION("""COMPUTED_VALUE"""),1.0)</f>
        <v>1</v>
      </c>
      <c r="E2567" s="9"/>
    </row>
    <row r="2568">
      <c r="A2568" s="10">
        <f>IFERROR(__xludf.DUMMYFUNCTION("""COMPUTED_VALUE"""),86480.0)</f>
        <v>86480</v>
      </c>
      <c r="B2568" s="11">
        <f>IFERROR(__xludf.DUMMYFUNCTION("""COMPUTED_VALUE"""),1.0)</f>
        <v>1</v>
      </c>
      <c r="C2568" s="11">
        <f>IFERROR(__xludf.DUMMYFUNCTION("""COMPUTED_VALUE"""),456.0)</f>
        <v>456</v>
      </c>
      <c r="D2568" s="11">
        <f>IFERROR(__xludf.DUMMYFUNCTION("""COMPUTED_VALUE"""),208.0)</f>
        <v>208</v>
      </c>
      <c r="E2568" s="9"/>
    </row>
    <row r="2569">
      <c r="A2569" s="10">
        <f>IFERROR(__xludf.DUMMYFUNCTION("""COMPUTED_VALUE"""),86478.0)</f>
        <v>86478</v>
      </c>
      <c r="B2569" s="11">
        <f>IFERROR(__xludf.DUMMYFUNCTION("""COMPUTED_VALUE"""),1.0)</f>
        <v>1</v>
      </c>
      <c r="C2569" s="11">
        <f>IFERROR(__xludf.DUMMYFUNCTION("""COMPUTED_VALUE"""),21.0)</f>
        <v>21</v>
      </c>
      <c r="D2569" s="11">
        <f>IFERROR(__xludf.DUMMYFUNCTION("""COMPUTED_VALUE"""),5.0)</f>
        <v>5</v>
      </c>
      <c r="E2569" s="9"/>
    </row>
    <row r="2570">
      <c r="A2570" s="10">
        <f>IFERROR(__xludf.DUMMYFUNCTION("""COMPUTED_VALUE"""),118887.0)</f>
        <v>118887</v>
      </c>
      <c r="B2570" s="11">
        <f>IFERROR(__xludf.DUMMYFUNCTION("""COMPUTED_VALUE"""),1.0)</f>
        <v>1</v>
      </c>
      <c r="C2570" s="11">
        <f>IFERROR(__xludf.DUMMYFUNCTION("""COMPUTED_VALUE"""),965.0)</f>
        <v>965</v>
      </c>
      <c r="D2570" s="11">
        <f>IFERROR(__xludf.DUMMYFUNCTION("""COMPUTED_VALUE"""),520.0)</f>
        <v>520</v>
      </c>
      <c r="E2570" s="9"/>
    </row>
    <row r="2571">
      <c r="A2571" s="10">
        <f>IFERROR(__xludf.DUMMYFUNCTION("""COMPUTED_VALUE"""),121802.0)</f>
        <v>121802</v>
      </c>
      <c r="B2571" s="11">
        <f>IFERROR(__xludf.DUMMYFUNCTION("""COMPUTED_VALUE"""),0.0)</f>
        <v>0</v>
      </c>
      <c r="C2571" s="11">
        <f>IFERROR(__xludf.DUMMYFUNCTION("""COMPUTED_VALUE"""),625.0)</f>
        <v>625</v>
      </c>
      <c r="D2571" s="11">
        <f>IFERROR(__xludf.DUMMYFUNCTION("""COMPUTED_VALUE"""),539.0)</f>
        <v>539</v>
      </c>
      <c r="E2571" s="9"/>
    </row>
    <row r="2572">
      <c r="A2572" s="10">
        <f>IFERROR(__xludf.DUMMYFUNCTION("""COMPUTED_VALUE"""),87440.0)</f>
        <v>87440</v>
      </c>
      <c r="B2572" s="11">
        <f>IFERROR(__xludf.DUMMYFUNCTION("""COMPUTED_VALUE"""),0.0)</f>
        <v>0</v>
      </c>
      <c r="C2572" s="11">
        <f>IFERROR(__xludf.DUMMYFUNCTION("""COMPUTED_VALUE"""),477.0)</f>
        <v>477</v>
      </c>
      <c r="D2572" s="11">
        <f>IFERROR(__xludf.DUMMYFUNCTION("""COMPUTED_VALUE"""),87.0)</f>
        <v>87</v>
      </c>
      <c r="E2572" s="9"/>
    </row>
    <row r="2573">
      <c r="A2573" s="10">
        <f>IFERROR(__xludf.DUMMYFUNCTION("""COMPUTED_VALUE"""),86477.0)</f>
        <v>86477</v>
      </c>
      <c r="B2573" s="11">
        <f>IFERROR(__xludf.DUMMYFUNCTION("""COMPUTED_VALUE"""),0.0)</f>
        <v>0</v>
      </c>
      <c r="C2573" s="11">
        <f>IFERROR(__xludf.DUMMYFUNCTION("""COMPUTED_VALUE"""),53.0)</f>
        <v>53</v>
      </c>
      <c r="D2573" s="11">
        <f>IFERROR(__xludf.DUMMYFUNCTION("""COMPUTED_VALUE"""),11.0)</f>
        <v>11</v>
      </c>
      <c r="E2573" s="9"/>
    </row>
    <row r="2574">
      <c r="A2574" s="10">
        <f>IFERROR(__xludf.DUMMYFUNCTION("""COMPUTED_VALUE"""),83059.0)</f>
        <v>83059</v>
      </c>
      <c r="B2574" s="11">
        <f>IFERROR(__xludf.DUMMYFUNCTION("""COMPUTED_VALUE"""),0.0)</f>
        <v>0</v>
      </c>
      <c r="C2574" s="11">
        <f>IFERROR(__xludf.DUMMYFUNCTION("""COMPUTED_VALUE"""),319.0)</f>
        <v>319</v>
      </c>
      <c r="D2574" s="11">
        <f>IFERROR(__xludf.DUMMYFUNCTION("""COMPUTED_VALUE"""),241.0)</f>
        <v>241</v>
      </c>
      <c r="E2574" s="9"/>
    </row>
    <row r="2575">
      <c r="A2575" s="10">
        <f>IFERROR(__xludf.DUMMYFUNCTION("""COMPUTED_VALUE"""),86449.0)</f>
        <v>86449</v>
      </c>
      <c r="B2575" s="11">
        <f>IFERROR(__xludf.DUMMYFUNCTION("""COMPUTED_VALUE"""),1.0)</f>
        <v>1</v>
      </c>
      <c r="C2575" s="11">
        <f>IFERROR(__xludf.DUMMYFUNCTION("""COMPUTED_VALUE"""),20.0)</f>
        <v>20</v>
      </c>
      <c r="D2575" s="11">
        <f>IFERROR(__xludf.DUMMYFUNCTION("""COMPUTED_VALUE"""),5.0)</f>
        <v>5</v>
      </c>
      <c r="E2575" s="9"/>
    </row>
    <row r="2576">
      <c r="A2576" s="10">
        <f>IFERROR(__xludf.DUMMYFUNCTION("""COMPUTED_VALUE"""),86416.0)</f>
        <v>86416</v>
      </c>
      <c r="B2576" s="11">
        <f>IFERROR(__xludf.DUMMYFUNCTION("""COMPUTED_VALUE"""),0.0)</f>
        <v>0</v>
      </c>
      <c r="C2576" s="11">
        <f>IFERROR(__xludf.DUMMYFUNCTION("""COMPUTED_VALUE"""),632.0)</f>
        <v>632</v>
      </c>
      <c r="D2576" s="11">
        <f>IFERROR(__xludf.DUMMYFUNCTION("""COMPUTED_VALUE"""),178.0)</f>
        <v>178</v>
      </c>
      <c r="E2576" s="9"/>
    </row>
    <row r="2577">
      <c r="A2577" s="10">
        <f>IFERROR(__xludf.DUMMYFUNCTION("""COMPUTED_VALUE"""),83064.0)</f>
        <v>83064</v>
      </c>
      <c r="B2577" s="11">
        <f>IFERROR(__xludf.DUMMYFUNCTION("""COMPUTED_VALUE"""),0.0)</f>
        <v>0</v>
      </c>
      <c r="C2577" s="11">
        <f>IFERROR(__xludf.DUMMYFUNCTION("""COMPUTED_VALUE"""),16.0)</f>
        <v>16</v>
      </c>
      <c r="D2577" s="11">
        <f>IFERROR(__xludf.DUMMYFUNCTION("""COMPUTED_VALUE"""),1.0)</f>
        <v>1</v>
      </c>
      <c r="E2577" s="9"/>
    </row>
    <row r="2578">
      <c r="A2578" s="10">
        <f>IFERROR(__xludf.DUMMYFUNCTION("""COMPUTED_VALUE"""),108514.0)</f>
        <v>108514</v>
      </c>
      <c r="B2578" s="11">
        <f>IFERROR(__xludf.DUMMYFUNCTION("""COMPUTED_VALUE"""),0.0)</f>
        <v>0</v>
      </c>
      <c r="C2578" s="11">
        <f>IFERROR(__xludf.DUMMYFUNCTION("""COMPUTED_VALUE"""),116.0)</f>
        <v>116</v>
      </c>
      <c r="D2578" s="11">
        <f>IFERROR(__xludf.DUMMYFUNCTION("""COMPUTED_VALUE"""),61.0)</f>
        <v>61</v>
      </c>
      <c r="E2578" s="9"/>
    </row>
    <row r="2579">
      <c r="A2579" s="10">
        <f>IFERROR(__xludf.DUMMYFUNCTION("""COMPUTED_VALUE"""),86454.0)</f>
        <v>86454</v>
      </c>
      <c r="B2579" s="11">
        <f>IFERROR(__xludf.DUMMYFUNCTION("""COMPUTED_VALUE"""),0.0)</f>
        <v>0</v>
      </c>
      <c r="C2579" s="11">
        <f>IFERROR(__xludf.DUMMYFUNCTION("""COMPUTED_VALUE"""),121.0)</f>
        <v>121</v>
      </c>
      <c r="D2579" s="11">
        <f>IFERROR(__xludf.DUMMYFUNCTION("""COMPUTED_VALUE"""),111.0)</f>
        <v>111</v>
      </c>
      <c r="E2579" s="9"/>
    </row>
    <row r="2580">
      <c r="A2580" s="10">
        <f>IFERROR(__xludf.DUMMYFUNCTION("""COMPUTED_VALUE"""),143238.0)</f>
        <v>143238</v>
      </c>
      <c r="B2580" s="11">
        <f>IFERROR(__xludf.DUMMYFUNCTION("""COMPUTED_VALUE"""),0.0)</f>
        <v>0</v>
      </c>
      <c r="C2580" s="11">
        <f>IFERROR(__xludf.DUMMYFUNCTION("""COMPUTED_VALUE"""),320.0)</f>
        <v>320</v>
      </c>
      <c r="D2580" s="11">
        <f>IFERROR(__xludf.DUMMYFUNCTION("""COMPUTED_VALUE"""),215.0)</f>
        <v>215</v>
      </c>
      <c r="E2580" s="9"/>
    </row>
    <row r="2581">
      <c r="A2581" s="10">
        <f>IFERROR(__xludf.DUMMYFUNCTION("""COMPUTED_VALUE"""),107070.0)</f>
        <v>107070</v>
      </c>
      <c r="B2581" s="11">
        <f>IFERROR(__xludf.DUMMYFUNCTION("""COMPUTED_VALUE"""),0.0)</f>
        <v>0</v>
      </c>
      <c r="C2581" s="11">
        <f>IFERROR(__xludf.DUMMYFUNCTION("""COMPUTED_VALUE"""),931.0)</f>
        <v>931</v>
      </c>
      <c r="D2581" s="11">
        <f>IFERROR(__xludf.DUMMYFUNCTION("""COMPUTED_VALUE"""),927.0)</f>
        <v>927</v>
      </c>
      <c r="E2581" s="9"/>
    </row>
    <row r="2582">
      <c r="A2582" s="10">
        <f>IFERROR(__xludf.DUMMYFUNCTION("""COMPUTED_VALUE"""),114467.0)</f>
        <v>114467</v>
      </c>
      <c r="B2582" s="11">
        <f>IFERROR(__xludf.DUMMYFUNCTION("""COMPUTED_VALUE"""),1.0)</f>
        <v>1</v>
      </c>
      <c r="C2582" s="11">
        <f>IFERROR(__xludf.DUMMYFUNCTION("""COMPUTED_VALUE"""),245.0)</f>
        <v>245</v>
      </c>
      <c r="D2582" s="11">
        <f>IFERROR(__xludf.DUMMYFUNCTION("""COMPUTED_VALUE"""),61.0)</f>
        <v>61</v>
      </c>
      <c r="E2582" s="9"/>
    </row>
    <row r="2583">
      <c r="A2583" s="10">
        <f>IFERROR(__xludf.DUMMYFUNCTION("""COMPUTED_VALUE"""),143237.0)</f>
        <v>143237</v>
      </c>
      <c r="B2583" s="11">
        <f>IFERROR(__xludf.DUMMYFUNCTION("""COMPUTED_VALUE"""),0.0)</f>
        <v>0</v>
      </c>
      <c r="C2583" s="11">
        <f>IFERROR(__xludf.DUMMYFUNCTION("""COMPUTED_VALUE"""),522.0)</f>
        <v>522</v>
      </c>
      <c r="D2583" s="11">
        <f>IFERROR(__xludf.DUMMYFUNCTION("""COMPUTED_VALUE"""),93.0)</f>
        <v>93</v>
      </c>
      <c r="E2583" s="9"/>
    </row>
    <row r="2584">
      <c r="A2584" s="10">
        <f>IFERROR(__xludf.DUMMYFUNCTION("""COMPUTED_VALUE"""),86417.0)</f>
        <v>86417</v>
      </c>
      <c r="B2584" s="11">
        <f>IFERROR(__xludf.DUMMYFUNCTION("""COMPUTED_VALUE"""),1.0)</f>
        <v>1</v>
      </c>
      <c r="C2584" s="11">
        <f>IFERROR(__xludf.DUMMYFUNCTION("""COMPUTED_VALUE"""),293.0)</f>
        <v>293</v>
      </c>
      <c r="D2584" s="11">
        <f>IFERROR(__xludf.DUMMYFUNCTION("""COMPUTED_VALUE"""),251.0)</f>
        <v>251</v>
      </c>
      <c r="E2584" s="9"/>
    </row>
    <row r="2585">
      <c r="A2585" s="10">
        <f>IFERROR(__xludf.DUMMYFUNCTION("""COMPUTED_VALUE"""),147317.0)</f>
        <v>147317</v>
      </c>
      <c r="B2585" s="11">
        <f>IFERROR(__xludf.DUMMYFUNCTION("""COMPUTED_VALUE"""),0.0)</f>
        <v>0</v>
      </c>
      <c r="C2585" s="11">
        <f>IFERROR(__xludf.DUMMYFUNCTION("""COMPUTED_VALUE"""),686.0)</f>
        <v>686</v>
      </c>
      <c r="D2585" s="11">
        <f>IFERROR(__xludf.DUMMYFUNCTION("""COMPUTED_VALUE"""),223.0)</f>
        <v>223</v>
      </c>
      <c r="E2585" s="9"/>
    </row>
    <row r="2586">
      <c r="A2586" s="10">
        <f>IFERROR(__xludf.DUMMYFUNCTION("""COMPUTED_VALUE"""),122177.0)</f>
        <v>122177</v>
      </c>
      <c r="B2586" s="11">
        <f>IFERROR(__xludf.DUMMYFUNCTION("""COMPUTED_VALUE"""),0.0)</f>
        <v>0</v>
      </c>
      <c r="C2586" s="11">
        <f>IFERROR(__xludf.DUMMYFUNCTION("""COMPUTED_VALUE"""),491.0)</f>
        <v>491</v>
      </c>
      <c r="D2586" s="11">
        <f>IFERROR(__xludf.DUMMYFUNCTION("""COMPUTED_VALUE"""),224.0)</f>
        <v>224</v>
      </c>
      <c r="E2586" s="9"/>
    </row>
    <row r="2587">
      <c r="A2587" s="10">
        <f>IFERROR(__xludf.DUMMYFUNCTION("""COMPUTED_VALUE"""),114909.0)</f>
        <v>114909</v>
      </c>
      <c r="B2587" s="11">
        <f>IFERROR(__xludf.DUMMYFUNCTION("""COMPUTED_VALUE"""),0.0)</f>
        <v>0</v>
      </c>
      <c r="C2587" s="11">
        <f>IFERROR(__xludf.DUMMYFUNCTION("""COMPUTED_VALUE"""),956.0)</f>
        <v>956</v>
      </c>
      <c r="D2587" s="11">
        <f>IFERROR(__xludf.DUMMYFUNCTION("""COMPUTED_VALUE"""),76.0)</f>
        <v>76</v>
      </c>
      <c r="E2587" s="9"/>
    </row>
    <row r="2588">
      <c r="A2588" s="10">
        <f>IFERROR(__xludf.DUMMYFUNCTION("""COMPUTED_VALUE"""),119230.0)</f>
        <v>119230</v>
      </c>
      <c r="B2588" s="11">
        <f>IFERROR(__xludf.DUMMYFUNCTION("""COMPUTED_VALUE"""),0.0)</f>
        <v>0</v>
      </c>
      <c r="C2588" s="11">
        <f>IFERROR(__xludf.DUMMYFUNCTION("""COMPUTED_VALUE"""),699.0)</f>
        <v>699</v>
      </c>
      <c r="D2588" s="11">
        <f>IFERROR(__xludf.DUMMYFUNCTION("""COMPUTED_VALUE"""),373.0)</f>
        <v>373</v>
      </c>
      <c r="E2588" s="9"/>
    </row>
    <row r="2589">
      <c r="A2589" s="10">
        <f>IFERROR(__xludf.DUMMYFUNCTION("""COMPUTED_VALUE"""),107109.0)</f>
        <v>107109</v>
      </c>
      <c r="B2589" s="11">
        <f>IFERROR(__xludf.DUMMYFUNCTION("""COMPUTED_VALUE"""),0.0)</f>
        <v>0</v>
      </c>
      <c r="C2589" s="11">
        <f>IFERROR(__xludf.DUMMYFUNCTION("""COMPUTED_VALUE"""),781.0)</f>
        <v>781</v>
      </c>
      <c r="D2589" s="11">
        <f>IFERROR(__xludf.DUMMYFUNCTION("""COMPUTED_VALUE"""),76.0)</f>
        <v>76</v>
      </c>
      <c r="E2589" s="9"/>
    </row>
    <row r="2590">
      <c r="A2590" s="10">
        <f>IFERROR(__xludf.DUMMYFUNCTION("""COMPUTED_VALUE"""),121461.0)</f>
        <v>121461</v>
      </c>
      <c r="B2590" s="11">
        <f>IFERROR(__xludf.DUMMYFUNCTION("""COMPUTED_VALUE"""),0.0)</f>
        <v>0</v>
      </c>
      <c r="C2590" s="11">
        <f>IFERROR(__xludf.DUMMYFUNCTION("""COMPUTED_VALUE"""),548.0)</f>
        <v>548</v>
      </c>
      <c r="D2590" s="11">
        <f>IFERROR(__xludf.DUMMYFUNCTION("""COMPUTED_VALUE"""),62.0)</f>
        <v>62</v>
      </c>
      <c r="E2590" s="9"/>
    </row>
    <row r="2591">
      <c r="A2591" s="10">
        <f>IFERROR(__xludf.DUMMYFUNCTION("""COMPUTED_VALUE"""),86413.0)</f>
        <v>86413</v>
      </c>
      <c r="B2591" s="11">
        <f>IFERROR(__xludf.DUMMYFUNCTION("""COMPUTED_VALUE"""),1.0)</f>
        <v>1</v>
      </c>
      <c r="C2591" s="11">
        <f>IFERROR(__xludf.DUMMYFUNCTION("""COMPUTED_VALUE"""),684.0)</f>
        <v>684</v>
      </c>
      <c r="D2591" s="11">
        <f>IFERROR(__xludf.DUMMYFUNCTION("""COMPUTED_VALUE"""),308.0)</f>
        <v>308</v>
      </c>
      <c r="E2591" s="9"/>
    </row>
    <row r="2592">
      <c r="A2592" s="10">
        <f>IFERROR(__xludf.DUMMYFUNCTION("""COMPUTED_VALUE"""),108511.0)</f>
        <v>108511</v>
      </c>
      <c r="B2592" s="11">
        <f>IFERROR(__xludf.DUMMYFUNCTION("""COMPUTED_VALUE"""),1.0)</f>
        <v>1</v>
      </c>
      <c r="C2592" s="11">
        <f>IFERROR(__xludf.DUMMYFUNCTION("""COMPUTED_VALUE"""),151.0)</f>
        <v>151</v>
      </c>
      <c r="D2592" s="11">
        <f>IFERROR(__xludf.DUMMYFUNCTION("""COMPUTED_VALUE"""),104.0)</f>
        <v>104</v>
      </c>
      <c r="E2592" s="9"/>
    </row>
    <row r="2593">
      <c r="A2593" s="10">
        <f>IFERROR(__xludf.DUMMYFUNCTION("""COMPUTED_VALUE"""),120877.0)</f>
        <v>120877</v>
      </c>
      <c r="B2593" s="11">
        <f>IFERROR(__xludf.DUMMYFUNCTION("""COMPUTED_VALUE"""),1.0)</f>
        <v>1</v>
      </c>
      <c r="C2593" s="11">
        <f>IFERROR(__xludf.DUMMYFUNCTION("""COMPUTED_VALUE"""),579.0)</f>
        <v>579</v>
      </c>
      <c r="D2593" s="11">
        <f>IFERROR(__xludf.DUMMYFUNCTION("""COMPUTED_VALUE"""),564.0)</f>
        <v>564</v>
      </c>
      <c r="E2593" s="9"/>
    </row>
    <row r="2594">
      <c r="A2594" s="10">
        <f>IFERROR(__xludf.DUMMYFUNCTION("""COMPUTED_VALUE"""),194052.0)</f>
        <v>194052</v>
      </c>
      <c r="B2594" s="11">
        <f>IFERROR(__xludf.DUMMYFUNCTION("""COMPUTED_VALUE"""),0.0)</f>
        <v>0</v>
      </c>
      <c r="C2594" s="11">
        <f>IFERROR(__xludf.DUMMYFUNCTION("""COMPUTED_VALUE"""),860.0)</f>
        <v>860</v>
      </c>
      <c r="D2594" s="11">
        <f>IFERROR(__xludf.DUMMYFUNCTION("""COMPUTED_VALUE"""),263.0)</f>
        <v>263</v>
      </c>
      <c r="E2594" s="9"/>
    </row>
    <row r="2595">
      <c r="A2595" s="10">
        <f>IFERROR(__xludf.DUMMYFUNCTION("""COMPUTED_VALUE"""),121493.0)</f>
        <v>121493</v>
      </c>
      <c r="B2595" s="11">
        <f>IFERROR(__xludf.DUMMYFUNCTION("""COMPUTED_VALUE"""),1.0)</f>
        <v>1</v>
      </c>
      <c r="C2595" s="11">
        <f>IFERROR(__xludf.DUMMYFUNCTION("""COMPUTED_VALUE"""),400.0)</f>
        <v>400</v>
      </c>
      <c r="D2595" s="11">
        <f>IFERROR(__xludf.DUMMYFUNCTION("""COMPUTED_VALUE"""),346.0)</f>
        <v>346</v>
      </c>
      <c r="E2595" s="9"/>
    </row>
    <row r="2596">
      <c r="A2596" s="10">
        <f>IFERROR(__xludf.DUMMYFUNCTION("""COMPUTED_VALUE"""),121479.0)</f>
        <v>121479</v>
      </c>
      <c r="B2596" s="11">
        <f>IFERROR(__xludf.DUMMYFUNCTION("""COMPUTED_VALUE"""),1.0)</f>
        <v>1</v>
      </c>
      <c r="C2596" s="11">
        <f>IFERROR(__xludf.DUMMYFUNCTION("""COMPUTED_VALUE"""),397.0)</f>
        <v>397</v>
      </c>
      <c r="D2596" s="11">
        <f>IFERROR(__xludf.DUMMYFUNCTION("""COMPUTED_VALUE"""),99.0)</f>
        <v>99</v>
      </c>
      <c r="E2596" s="9"/>
    </row>
    <row r="2597">
      <c r="A2597" s="10">
        <f>IFERROR(__xludf.DUMMYFUNCTION("""COMPUTED_VALUE"""),79011.0)</f>
        <v>79011</v>
      </c>
      <c r="B2597" s="11">
        <f>IFERROR(__xludf.DUMMYFUNCTION("""COMPUTED_VALUE"""),1.0)</f>
        <v>1</v>
      </c>
      <c r="C2597" s="11">
        <f>IFERROR(__xludf.DUMMYFUNCTION("""COMPUTED_VALUE"""),908.0)</f>
        <v>908</v>
      </c>
      <c r="D2597" s="11">
        <f>IFERROR(__xludf.DUMMYFUNCTION("""COMPUTED_VALUE"""),725.0)</f>
        <v>725</v>
      </c>
      <c r="E2597" s="9"/>
    </row>
    <row r="2598">
      <c r="A2598" s="10">
        <f>IFERROR(__xludf.DUMMYFUNCTION("""COMPUTED_VALUE"""),86470.0)</f>
        <v>86470</v>
      </c>
      <c r="B2598" s="11">
        <f>IFERROR(__xludf.DUMMYFUNCTION("""COMPUTED_VALUE"""),1.0)</f>
        <v>1</v>
      </c>
      <c r="C2598" s="11">
        <f>IFERROR(__xludf.DUMMYFUNCTION("""COMPUTED_VALUE"""),31.0)</f>
        <v>31</v>
      </c>
      <c r="D2598" s="11">
        <f>IFERROR(__xludf.DUMMYFUNCTION("""COMPUTED_VALUE"""),30.0)</f>
        <v>30</v>
      </c>
      <c r="E2598" s="9"/>
    </row>
    <row r="2599">
      <c r="A2599" s="10">
        <f>IFERROR(__xludf.DUMMYFUNCTION("""COMPUTED_VALUE"""),194997.0)</f>
        <v>194997</v>
      </c>
      <c r="B2599" s="11">
        <f>IFERROR(__xludf.DUMMYFUNCTION("""COMPUTED_VALUE"""),0.0)</f>
        <v>0</v>
      </c>
      <c r="C2599" s="11">
        <f>IFERROR(__xludf.DUMMYFUNCTION("""COMPUTED_VALUE"""),509.0)</f>
        <v>509</v>
      </c>
      <c r="D2599" s="11">
        <f>IFERROR(__xludf.DUMMYFUNCTION("""COMPUTED_VALUE"""),235.0)</f>
        <v>235</v>
      </c>
      <c r="E2599" s="9"/>
    </row>
    <row r="2600">
      <c r="A2600" s="10">
        <f>IFERROR(__xludf.DUMMYFUNCTION("""COMPUTED_VALUE"""),108515.0)</f>
        <v>108515</v>
      </c>
      <c r="B2600" s="11">
        <f>IFERROR(__xludf.DUMMYFUNCTION("""COMPUTED_VALUE"""),0.0)</f>
        <v>0</v>
      </c>
      <c r="C2600" s="11">
        <f>IFERROR(__xludf.DUMMYFUNCTION("""COMPUTED_VALUE"""),36.0)</f>
        <v>36</v>
      </c>
      <c r="D2600" s="11">
        <f>IFERROR(__xludf.DUMMYFUNCTION("""COMPUTED_VALUE"""),13.0)</f>
        <v>13</v>
      </c>
      <c r="E2600" s="9"/>
    </row>
    <row r="2601">
      <c r="A2601" s="10">
        <f>IFERROR(__xludf.DUMMYFUNCTION("""COMPUTED_VALUE"""),69346.0)</f>
        <v>69346</v>
      </c>
      <c r="B2601" s="11">
        <f>IFERROR(__xludf.DUMMYFUNCTION("""COMPUTED_VALUE"""),1.0)</f>
        <v>1</v>
      </c>
      <c r="C2601" s="11">
        <f>IFERROR(__xludf.DUMMYFUNCTION("""COMPUTED_VALUE"""),112.0)</f>
        <v>112</v>
      </c>
      <c r="D2601" s="11">
        <f>IFERROR(__xludf.DUMMYFUNCTION("""COMPUTED_VALUE"""),92.0)</f>
        <v>92</v>
      </c>
      <c r="E2601" s="9"/>
    </row>
    <row r="2602">
      <c r="A2602" s="10">
        <f>IFERROR(__xludf.DUMMYFUNCTION("""COMPUTED_VALUE"""),119971.0)</f>
        <v>119971</v>
      </c>
      <c r="B2602" s="11">
        <f>IFERROR(__xludf.DUMMYFUNCTION("""COMPUTED_VALUE"""),0.0)</f>
        <v>0</v>
      </c>
      <c r="C2602" s="11">
        <f>IFERROR(__xludf.DUMMYFUNCTION("""COMPUTED_VALUE"""),156.0)</f>
        <v>156</v>
      </c>
      <c r="D2602" s="11">
        <f>IFERROR(__xludf.DUMMYFUNCTION("""COMPUTED_VALUE"""),59.0)</f>
        <v>59</v>
      </c>
      <c r="E2602" s="9"/>
    </row>
    <row r="2603">
      <c r="A2603" s="10">
        <f>IFERROR(__xludf.DUMMYFUNCTION("""COMPUTED_VALUE"""),107274.0)</f>
        <v>107274</v>
      </c>
      <c r="B2603" s="11">
        <f>IFERROR(__xludf.DUMMYFUNCTION("""COMPUTED_VALUE"""),0.0)</f>
        <v>0</v>
      </c>
      <c r="C2603" s="11">
        <f>IFERROR(__xludf.DUMMYFUNCTION("""COMPUTED_VALUE"""),584.0)</f>
        <v>584</v>
      </c>
      <c r="D2603" s="11">
        <f>IFERROR(__xludf.DUMMYFUNCTION("""COMPUTED_VALUE"""),41.0)</f>
        <v>41</v>
      </c>
      <c r="E2603" s="9"/>
    </row>
    <row r="2604">
      <c r="A2604" s="10">
        <f>IFERROR(__xludf.DUMMYFUNCTION("""COMPUTED_VALUE"""),69451.0)</f>
        <v>69451</v>
      </c>
      <c r="B2604" s="11">
        <f>IFERROR(__xludf.DUMMYFUNCTION("""COMPUTED_VALUE"""),0.0)</f>
        <v>0</v>
      </c>
      <c r="C2604" s="11">
        <f>IFERROR(__xludf.DUMMYFUNCTION("""COMPUTED_VALUE"""),490.0)</f>
        <v>490</v>
      </c>
      <c r="D2604" s="11">
        <f>IFERROR(__xludf.DUMMYFUNCTION("""COMPUTED_VALUE"""),416.0)</f>
        <v>416</v>
      </c>
      <c r="E2604" s="9"/>
    </row>
    <row r="2605">
      <c r="A2605" s="10">
        <f>IFERROR(__xludf.DUMMYFUNCTION("""COMPUTED_VALUE"""),87416.0)</f>
        <v>87416</v>
      </c>
      <c r="B2605" s="11">
        <f>IFERROR(__xludf.DUMMYFUNCTION("""COMPUTED_VALUE"""),1.0)</f>
        <v>1</v>
      </c>
      <c r="C2605" s="11">
        <f>IFERROR(__xludf.DUMMYFUNCTION("""COMPUTED_VALUE"""),871.0)</f>
        <v>871</v>
      </c>
      <c r="D2605" s="11">
        <f>IFERROR(__xludf.DUMMYFUNCTION("""COMPUTED_VALUE"""),357.0)</f>
        <v>357</v>
      </c>
      <c r="E2605" s="9"/>
    </row>
    <row r="2606">
      <c r="A2606" s="10">
        <f>IFERROR(__xludf.DUMMYFUNCTION("""COMPUTED_VALUE"""),23667.0)</f>
        <v>23667</v>
      </c>
      <c r="B2606" s="11">
        <f>IFERROR(__xludf.DUMMYFUNCTION("""COMPUTED_VALUE"""),0.0)</f>
        <v>0</v>
      </c>
      <c r="C2606" s="11">
        <f>IFERROR(__xludf.DUMMYFUNCTION("""COMPUTED_VALUE"""),537.0)</f>
        <v>537</v>
      </c>
      <c r="D2606" s="11">
        <f>IFERROR(__xludf.DUMMYFUNCTION("""COMPUTED_VALUE"""),455.0)</f>
        <v>455</v>
      </c>
      <c r="E2606" s="9"/>
    </row>
    <row r="2607">
      <c r="A2607" s="10">
        <f>IFERROR(__xludf.DUMMYFUNCTION("""COMPUTED_VALUE"""),112770.0)</f>
        <v>112770</v>
      </c>
      <c r="B2607" s="11">
        <f>IFERROR(__xludf.DUMMYFUNCTION("""COMPUTED_VALUE"""),1.0)</f>
        <v>1</v>
      </c>
      <c r="C2607" s="11">
        <f>IFERROR(__xludf.DUMMYFUNCTION("""COMPUTED_VALUE"""),782.0)</f>
        <v>782</v>
      </c>
      <c r="D2607" s="11">
        <f>IFERROR(__xludf.DUMMYFUNCTION("""COMPUTED_VALUE"""),552.0)</f>
        <v>552</v>
      </c>
      <c r="E2607" s="9"/>
    </row>
    <row r="2608">
      <c r="A2608" s="10">
        <f>IFERROR(__xludf.DUMMYFUNCTION("""COMPUTED_VALUE"""),116186.0)</f>
        <v>116186</v>
      </c>
      <c r="B2608" s="11">
        <f>IFERROR(__xludf.DUMMYFUNCTION("""COMPUTED_VALUE"""),1.0)</f>
        <v>1</v>
      </c>
      <c r="C2608" s="11">
        <f>IFERROR(__xludf.DUMMYFUNCTION("""COMPUTED_VALUE"""),116.0)</f>
        <v>116</v>
      </c>
      <c r="D2608" s="11">
        <f>IFERROR(__xludf.DUMMYFUNCTION("""COMPUTED_VALUE"""),98.0)</f>
        <v>98</v>
      </c>
      <c r="E2608" s="9"/>
    </row>
    <row r="2609">
      <c r="A2609" s="10">
        <f>IFERROR(__xludf.DUMMYFUNCTION("""COMPUTED_VALUE"""),95413.0)</f>
        <v>95413</v>
      </c>
      <c r="B2609" s="11">
        <f>IFERROR(__xludf.DUMMYFUNCTION("""COMPUTED_VALUE"""),0.0)</f>
        <v>0</v>
      </c>
      <c r="C2609" s="11">
        <f>IFERROR(__xludf.DUMMYFUNCTION("""COMPUTED_VALUE"""),282.0)</f>
        <v>282</v>
      </c>
      <c r="D2609" s="11">
        <f>IFERROR(__xludf.DUMMYFUNCTION("""COMPUTED_VALUE"""),2.0)</f>
        <v>2</v>
      </c>
      <c r="E2609" s="9"/>
    </row>
    <row r="2610">
      <c r="A2610" s="10">
        <f>IFERROR(__xludf.DUMMYFUNCTION("""COMPUTED_VALUE"""),116184.0)</f>
        <v>116184</v>
      </c>
      <c r="B2610" s="11">
        <f>IFERROR(__xludf.DUMMYFUNCTION("""COMPUTED_VALUE"""),0.0)</f>
        <v>0</v>
      </c>
      <c r="C2610" s="11">
        <f>IFERROR(__xludf.DUMMYFUNCTION("""COMPUTED_VALUE"""),645.0)</f>
        <v>645</v>
      </c>
      <c r="D2610" s="11">
        <f>IFERROR(__xludf.DUMMYFUNCTION("""COMPUTED_VALUE"""),447.0)</f>
        <v>447</v>
      </c>
      <c r="E2610" s="9"/>
    </row>
    <row r="2611">
      <c r="A2611" s="10">
        <f>IFERROR(__xludf.DUMMYFUNCTION("""COMPUTED_VALUE"""),95412.0)</f>
        <v>95412</v>
      </c>
      <c r="B2611" s="11">
        <f>IFERROR(__xludf.DUMMYFUNCTION("""COMPUTED_VALUE"""),0.0)</f>
        <v>0</v>
      </c>
      <c r="C2611" s="11">
        <f>IFERROR(__xludf.DUMMYFUNCTION("""COMPUTED_VALUE"""),41.0)</f>
        <v>41</v>
      </c>
      <c r="D2611" s="11">
        <f>IFERROR(__xludf.DUMMYFUNCTION("""COMPUTED_VALUE"""),23.0)</f>
        <v>23</v>
      </c>
      <c r="E2611" s="9"/>
    </row>
    <row r="2612">
      <c r="A2612" s="10">
        <f>IFERROR(__xludf.DUMMYFUNCTION("""COMPUTED_VALUE"""),95414.0)</f>
        <v>95414</v>
      </c>
      <c r="B2612" s="11">
        <f>IFERROR(__xludf.DUMMYFUNCTION("""COMPUTED_VALUE"""),1.0)</f>
        <v>1</v>
      </c>
      <c r="C2612" s="11">
        <f>IFERROR(__xludf.DUMMYFUNCTION("""COMPUTED_VALUE"""),281.0)</f>
        <v>281</v>
      </c>
      <c r="D2612" s="11">
        <f>IFERROR(__xludf.DUMMYFUNCTION("""COMPUTED_VALUE"""),120.0)</f>
        <v>120</v>
      </c>
      <c r="E2612" s="9"/>
    </row>
    <row r="2613">
      <c r="A2613" s="10">
        <f>IFERROR(__xludf.DUMMYFUNCTION("""COMPUTED_VALUE"""),24088.0)</f>
        <v>24088</v>
      </c>
      <c r="B2613" s="11">
        <f>IFERROR(__xludf.DUMMYFUNCTION("""COMPUTED_VALUE"""),1.0)</f>
        <v>1</v>
      </c>
      <c r="C2613" s="11">
        <f>IFERROR(__xludf.DUMMYFUNCTION("""COMPUTED_VALUE"""),155.0)</f>
        <v>155</v>
      </c>
      <c r="D2613" s="11">
        <f>IFERROR(__xludf.DUMMYFUNCTION("""COMPUTED_VALUE"""),52.0)</f>
        <v>52</v>
      </c>
      <c r="E2613" s="9"/>
    </row>
    <row r="2614">
      <c r="A2614" s="10">
        <f>IFERROR(__xludf.DUMMYFUNCTION("""COMPUTED_VALUE"""),75156.0)</f>
        <v>75156</v>
      </c>
      <c r="B2614" s="11">
        <f>IFERROR(__xludf.DUMMYFUNCTION("""COMPUTED_VALUE"""),1.0)</f>
        <v>1</v>
      </c>
      <c r="C2614" s="11">
        <f>IFERROR(__xludf.DUMMYFUNCTION("""COMPUTED_VALUE"""),661.0)</f>
        <v>661</v>
      </c>
      <c r="D2614" s="11">
        <f>IFERROR(__xludf.DUMMYFUNCTION("""COMPUTED_VALUE"""),221.0)</f>
        <v>221</v>
      </c>
      <c r="E2614" s="9"/>
    </row>
    <row r="2615">
      <c r="A2615" s="10">
        <f>IFERROR(__xludf.DUMMYFUNCTION("""COMPUTED_VALUE"""),6216.0)</f>
        <v>6216</v>
      </c>
      <c r="B2615" s="11">
        <f>IFERROR(__xludf.DUMMYFUNCTION("""COMPUTED_VALUE"""),1.0)</f>
        <v>1</v>
      </c>
      <c r="C2615" s="11">
        <f>IFERROR(__xludf.DUMMYFUNCTION("""COMPUTED_VALUE"""),369.0)</f>
        <v>369</v>
      </c>
      <c r="D2615" s="11">
        <f>IFERROR(__xludf.DUMMYFUNCTION("""COMPUTED_VALUE"""),3.0)</f>
        <v>3</v>
      </c>
      <c r="E2615" s="9"/>
    </row>
    <row r="2616">
      <c r="A2616" s="10">
        <f>IFERROR(__xludf.DUMMYFUNCTION("""COMPUTED_VALUE"""),149867.0)</f>
        <v>149867</v>
      </c>
      <c r="B2616" s="11">
        <f>IFERROR(__xludf.DUMMYFUNCTION("""COMPUTED_VALUE"""),1.0)</f>
        <v>1</v>
      </c>
      <c r="C2616" s="11">
        <f>IFERROR(__xludf.DUMMYFUNCTION("""COMPUTED_VALUE"""),210.0)</f>
        <v>210</v>
      </c>
      <c r="D2616" s="11">
        <f>IFERROR(__xludf.DUMMYFUNCTION("""COMPUTED_VALUE"""),152.0)</f>
        <v>152</v>
      </c>
      <c r="E2616" s="9"/>
    </row>
    <row r="2617">
      <c r="A2617" s="10">
        <f>IFERROR(__xludf.DUMMYFUNCTION("""COMPUTED_VALUE"""),44037.0)</f>
        <v>44037</v>
      </c>
      <c r="B2617" s="11">
        <f>IFERROR(__xludf.DUMMYFUNCTION("""COMPUTED_VALUE"""),1.0)</f>
        <v>1</v>
      </c>
      <c r="C2617" s="11">
        <f>IFERROR(__xludf.DUMMYFUNCTION("""COMPUTED_VALUE"""),54.0)</f>
        <v>54</v>
      </c>
      <c r="D2617" s="11">
        <f>IFERROR(__xludf.DUMMYFUNCTION("""COMPUTED_VALUE"""),45.0)</f>
        <v>45</v>
      </c>
      <c r="E2617" s="9"/>
    </row>
    <row r="2618">
      <c r="A2618" s="10">
        <f>IFERROR(__xludf.DUMMYFUNCTION("""COMPUTED_VALUE"""),83029.0)</f>
        <v>83029</v>
      </c>
      <c r="B2618" s="11">
        <f>IFERROR(__xludf.DUMMYFUNCTION("""COMPUTED_VALUE"""),0.0)</f>
        <v>0</v>
      </c>
      <c r="C2618" s="11">
        <f>IFERROR(__xludf.DUMMYFUNCTION("""COMPUTED_VALUE"""),200.0)</f>
        <v>200</v>
      </c>
      <c r="D2618" s="11">
        <f>IFERROR(__xludf.DUMMYFUNCTION("""COMPUTED_VALUE"""),32.0)</f>
        <v>32</v>
      </c>
      <c r="E2618" s="9"/>
    </row>
    <row r="2619">
      <c r="A2619" s="10">
        <f>IFERROR(__xludf.DUMMYFUNCTION("""COMPUTED_VALUE"""),100395.0)</f>
        <v>100395</v>
      </c>
      <c r="B2619" s="11">
        <f>IFERROR(__xludf.DUMMYFUNCTION("""COMPUTED_VALUE"""),1.0)</f>
        <v>1</v>
      </c>
      <c r="C2619" s="11">
        <f>IFERROR(__xludf.DUMMYFUNCTION("""COMPUTED_VALUE"""),730.0)</f>
        <v>730</v>
      </c>
      <c r="D2619" s="11">
        <f>IFERROR(__xludf.DUMMYFUNCTION("""COMPUTED_VALUE"""),183.0)</f>
        <v>183</v>
      </c>
      <c r="E2619" s="9"/>
    </row>
    <row r="2620">
      <c r="A2620" s="10">
        <f>IFERROR(__xludf.DUMMYFUNCTION("""COMPUTED_VALUE"""),110437.0)</f>
        <v>110437</v>
      </c>
      <c r="B2620" s="11">
        <f>IFERROR(__xludf.DUMMYFUNCTION("""COMPUTED_VALUE"""),1.0)</f>
        <v>1</v>
      </c>
      <c r="C2620" s="11">
        <f>IFERROR(__xludf.DUMMYFUNCTION("""COMPUTED_VALUE"""),728.0)</f>
        <v>728</v>
      </c>
      <c r="D2620" s="11">
        <f>IFERROR(__xludf.DUMMYFUNCTION("""COMPUTED_VALUE"""),79.0)</f>
        <v>79</v>
      </c>
      <c r="E2620" s="9"/>
    </row>
    <row r="2621">
      <c r="A2621" s="10">
        <f>IFERROR(__xludf.DUMMYFUNCTION("""COMPUTED_VALUE"""),29430.0)</f>
        <v>29430</v>
      </c>
      <c r="B2621" s="11">
        <f>IFERROR(__xludf.DUMMYFUNCTION("""COMPUTED_VALUE"""),0.0)</f>
        <v>0</v>
      </c>
      <c r="C2621" s="11">
        <f>IFERROR(__xludf.DUMMYFUNCTION("""COMPUTED_VALUE"""),835.0)</f>
        <v>835</v>
      </c>
      <c r="D2621" s="11">
        <f>IFERROR(__xludf.DUMMYFUNCTION("""COMPUTED_VALUE"""),301.0)</f>
        <v>301</v>
      </c>
      <c r="E2621" s="9"/>
    </row>
    <row r="2622">
      <c r="A2622" s="10">
        <f>IFERROR(__xludf.DUMMYFUNCTION("""COMPUTED_VALUE"""),95416.0)</f>
        <v>95416</v>
      </c>
      <c r="B2622" s="11">
        <f>IFERROR(__xludf.DUMMYFUNCTION("""COMPUTED_VALUE"""),1.0)</f>
        <v>1</v>
      </c>
      <c r="C2622" s="11">
        <f>IFERROR(__xludf.DUMMYFUNCTION("""COMPUTED_VALUE"""),868.0)</f>
        <v>868</v>
      </c>
      <c r="D2622" s="11">
        <f>IFERROR(__xludf.DUMMYFUNCTION("""COMPUTED_VALUE"""),308.0)</f>
        <v>308</v>
      </c>
      <c r="E2622" s="9"/>
    </row>
    <row r="2623">
      <c r="A2623" s="10">
        <f>IFERROR(__xludf.DUMMYFUNCTION("""COMPUTED_VALUE"""),108493.0)</f>
        <v>108493</v>
      </c>
      <c r="B2623" s="11">
        <f>IFERROR(__xludf.DUMMYFUNCTION("""COMPUTED_VALUE"""),0.0)</f>
        <v>0</v>
      </c>
      <c r="C2623" s="11">
        <f>IFERROR(__xludf.DUMMYFUNCTION("""COMPUTED_VALUE"""),918.0)</f>
        <v>918</v>
      </c>
      <c r="D2623" s="11">
        <f>IFERROR(__xludf.DUMMYFUNCTION("""COMPUTED_VALUE"""),873.0)</f>
        <v>873</v>
      </c>
      <c r="E2623" s="9"/>
    </row>
    <row r="2624">
      <c r="A2624" s="10">
        <f>IFERROR(__xludf.DUMMYFUNCTION("""COMPUTED_VALUE"""),109293.0)</f>
        <v>109293</v>
      </c>
      <c r="B2624" s="11">
        <f>IFERROR(__xludf.DUMMYFUNCTION("""COMPUTED_VALUE"""),0.0)</f>
        <v>0</v>
      </c>
      <c r="C2624" s="11">
        <f>IFERROR(__xludf.DUMMYFUNCTION("""COMPUTED_VALUE"""),144.0)</f>
        <v>144</v>
      </c>
      <c r="D2624" s="11">
        <f>IFERROR(__xludf.DUMMYFUNCTION("""COMPUTED_VALUE"""),29.0)</f>
        <v>29</v>
      </c>
      <c r="E2624" s="9"/>
    </row>
    <row r="2625">
      <c r="A2625" s="10">
        <f>IFERROR(__xludf.DUMMYFUNCTION("""COMPUTED_VALUE"""),73581.0)</f>
        <v>73581</v>
      </c>
      <c r="B2625" s="11">
        <f>IFERROR(__xludf.DUMMYFUNCTION("""COMPUTED_VALUE"""),0.0)</f>
        <v>0</v>
      </c>
      <c r="C2625" s="11">
        <f>IFERROR(__xludf.DUMMYFUNCTION("""COMPUTED_VALUE"""),298.0)</f>
        <v>298</v>
      </c>
      <c r="D2625" s="11">
        <f>IFERROR(__xludf.DUMMYFUNCTION("""COMPUTED_VALUE"""),274.0)</f>
        <v>274</v>
      </c>
      <c r="E2625" s="9"/>
    </row>
    <row r="2626">
      <c r="A2626" s="10">
        <f>IFERROR(__xludf.DUMMYFUNCTION("""COMPUTED_VALUE"""),100396.0)</f>
        <v>100396</v>
      </c>
      <c r="B2626" s="11">
        <f>IFERROR(__xludf.DUMMYFUNCTION("""COMPUTED_VALUE"""),1.0)</f>
        <v>1</v>
      </c>
      <c r="C2626" s="11">
        <f>IFERROR(__xludf.DUMMYFUNCTION("""COMPUTED_VALUE"""),454.0)</f>
        <v>454</v>
      </c>
      <c r="D2626" s="11">
        <f>IFERROR(__xludf.DUMMYFUNCTION("""COMPUTED_VALUE"""),315.0)</f>
        <v>315</v>
      </c>
      <c r="E2626" s="9"/>
    </row>
    <row r="2627">
      <c r="A2627" s="10">
        <f>IFERROR(__xludf.DUMMYFUNCTION("""COMPUTED_VALUE"""),45917.0)</f>
        <v>45917</v>
      </c>
      <c r="B2627" s="11">
        <f>IFERROR(__xludf.DUMMYFUNCTION("""COMPUTED_VALUE"""),0.0)</f>
        <v>0</v>
      </c>
      <c r="C2627" s="11">
        <f>IFERROR(__xludf.DUMMYFUNCTION("""COMPUTED_VALUE"""),0.0)</f>
        <v>0</v>
      </c>
      <c r="D2627" s="11">
        <f>IFERROR(__xludf.DUMMYFUNCTION("""COMPUTED_VALUE"""),0.0)</f>
        <v>0</v>
      </c>
      <c r="E2627" s="9"/>
    </row>
    <row r="2628">
      <c r="A2628" s="10">
        <f>IFERROR(__xludf.DUMMYFUNCTION("""COMPUTED_VALUE"""),83420.0)</f>
        <v>83420</v>
      </c>
      <c r="B2628" s="11">
        <f>IFERROR(__xludf.DUMMYFUNCTION("""COMPUTED_VALUE"""),0.0)</f>
        <v>0</v>
      </c>
      <c r="C2628" s="11">
        <f>IFERROR(__xludf.DUMMYFUNCTION("""COMPUTED_VALUE"""),321.0)</f>
        <v>321</v>
      </c>
      <c r="D2628" s="11">
        <f>IFERROR(__xludf.DUMMYFUNCTION("""COMPUTED_VALUE"""),205.0)</f>
        <v>205</v>
      </c>
      <c r="E2628" s="9"/>
    </row>
    <row r="2629">
      <c r="A2629" s="10">
        <f>IFERROR(__xludf.DUMMYFUNCTION("""COMPUTED_VALUE"""),101591.0)</f>
        <v>101591</v>
      </c>
      <c r="B2629" s="11">
        <f>IFERROR(__xludf.DUMMYFUNCTION("""COMPUTED_VALUE"""),0.0)</f>
        <v>0</v>
      </c>
      <c r="C2629" s="11">
        <f>IFERROR(__xludf.DUMMYFUNCTION("""COMPUTED_VALUE"""),121.0)</f>
        <v>121</v>
      </c>
      <c r="D2629" s="11">
        <f>IFERROR(__xludf.DUMMYFUNCTION("""COMPUTED_VALUE"""),89.0)</f>
        <v>89</v>
      </c>
      <c r="E2629" s="9"/>
    </row>
    <row r="2630">
      <c r="A2630" s="10">
        <f>IFERROR(__xludf.DUMMYFUNCTION("""COMPUTED_VALUE"""),116181.0)</f>
        <v>116181</v>
      </c>
      <c r="B2630" s="11">
        <f>IFERROR(__xludf.DUMMYFUNCTION("""COMPUTED_VALUE"""),1.0)</f>
        <v>1</v>
      </c>
      <c r="C2630" s="11">
        <f>IFERROR(__xludf.DUMMYFUNCTION("""COMPUTED_VALUE"""),374.0)</f>
        <v>374</v>
      </c>
      <c r="D2630" s="11">
        <f>IFERROR(__xludf.DUMMYFUNCTION("""COMPUTED_VALUE"""),358.0)</f>
        <v>358</v>
      </c>
      <c r="E2630" s="9"/>
    </row>
    <row r="2631">
      <c r="A2631" s="10">
        <f>IFERROR(__xludf.DUMMYFUNCTION("""COMPUTED_VALUE"""),109300.0)</f>
        <v>109300</v>
      </c>
      <c r="B2631" s="11">
        <f>IFERROR(__xludf.DUMMYFUNCTION("""COMPUTED_VALUE"""),0.0)</f>
        <v>0</v>
      </c>
      <c r="C2631" s="11">
        <f>IFERROR(__xludf.DUMMYFUNCTION("""COMPUTED_VALUE"""),822.0)</f>
        <v>822</v>
      </c>
      <c r="D2631" s="11">
        <f>IFERROR(__xludf.DUMMYFUNCTION("""COMPUTED_VALUE"""),638.0)</f>
        <v>638</v>
      </c>
      <c r="E2631" s="9"/>
    </row>
    <row r="2632">
      <c r="A2632" s="10">
        <f>IFERROR(__xludf.DUMMYFUNCTION("""COMPUTED_VALUE"""),46160.0)</f>
        <v>46160</v>
      </c>
      <c r="B2632" s="11">
        <f>IFERROR(__xludf.DUMMYFUNCTION("""COMPUTED_VALUE"""),1.0)</f>
        <v>1</v>
      </c>
      <c r="C2632" s="11">
        <f>IFERROR(__xludf.DUMMYFUNCTION("""COMPUTED_VALUE"""),442.0)</f>
        <v>442</v>
      </c>
      <c r="D2632" s="11">
        <f>IFERROR(__xludf.DUMMYFUNCTION("""COMPUTED_VALUE"""),43.0)</f>
        <v>43</v>
      </c>
      <c r="E2632" s="9"/>
    </row>
    <row r="2633">
      <c r="A2633" s="10">
        <f>IFERROR(__xludf.DUMMYFUNCTION("""COMPUTED_VALUE"""),116202.0)</f>
        <v>116202</v>
      </c>
      <c r="B2633" s="11">
        <f>IFERROR(__xludf.DUMMYFUNCTION("""COMPUTED_VALUE"""),0.0)</f>
        <v>0</v>
      </c>
      <c r="C2633" s="11">
        <f>IFERROR(__xludf.DUMMYFUNCTION("""COMPUTED_VALUE"""),864.0)</f>
        <v>864</v>
      </c>
      <c r="D2633" s="11">
        <f>IFERROR(__xludf.DUMMYFUNCTION("""COMPUTED_VALUE"""),574.0)</f>
        <v>574</v>
      </c>
      <c r="E2633" s="9"/>
    </row>
    <row r="2634">
      <c r="A2634" s="10">
        <f>IFERROR(__xludf.DUMMYFUNCTION("""COMPUTED_VALUE"""),106884.0)</f>
        <v>106884</v>
      </c>
      <c r="B2634" s="11">
        <f>IFERROR(__xludf.DUMMYFUNCTION("""COMPUTED_VALUE"""),0.0)</f>
        <v>0</v>
      </c>
      <c r="C2634" s="11">
        <f>IFERROR(__xludf.DUMMYFUNCTION("""COMPUTED_VALUE"""),46.0)</f>
        <v>46</v>
      </c>
      <c r="D2634" s="11">
        <f>IFERROR(__xludf.DUMMYFUNCTION("""COMPUTED_VALUE"""),22.0)</f>
        <v>22</v>
      </c>
      <c r="E2634" s="9"/>
    </row>
    <row r="2635">
      <c r="A2635" s="10">
        <f>IFERROR(__xludf.DUMMYFUNCTION("""COMPUTED_VALUE"""),98598.0)</f>
        <v>98598</v>
      </c>
      <c r="B2635" s="11">
        <f>IFERROR(__xludf.DUMMYFUNCTION("""COMPUTED_VALUE"""),0.0)</f>
        <v>0</v>
      </c>
      <c r="C2635" s="11">
        <f>IFERROR(__xludf.DUMMYFUNCTION("""COMPUTED_VALUE"""),957.0)</f>
        <v>957</v>
      </c>
      <c r="D2635" s="11">
        <f>IFERROR(__xludf.DUMMYFUNCTION("""COMPUTED_VALUE"""),368.0)</f>
        <v>368</v>
      </c>
      <c r="E2635" s="9"/>
    </row>
    <row r="2636">
      <c r="A2636" s="10">
        <f>IFERROR(__xludf.DUMMYFUNCTION("""COMPUTED_VALUE"""),78515.0)</f>
        <v>78515</v>
      </c>
      <c r="B2636" s="11">
        <f>IFERROR(__xludf.DUMMYFUNCTION("""COMPUTED_VALUE"""),0.0)</f>
        <v>0</v>
      </c>
      <c r="C2636" s="11">
        <f>IFERROR(__xludf.DUMMYFUNCTION("""COMPUTED_VALUE"""),959.0)</f>
        <v>959</v>
      </c>
      <c r="D2636" s="11">
        <f>IFERROR(__xludf.DUMMYFUNCTION("""COMPUTED_VALUE"""),740.0)</f>
        <v>740</v>
      </c>
      <c r="E2636" s="9"/>
    </row>
    <row r="2637">
      <c r="A2637" s="10">
        <f>IFERROR(__xludf.DUMMYFUNCTION("""COMPUTED_VALUE"""),46154.0)</f>
        <v>46154</v>
      </c>
      <c r="B2637" s="11">
        <f>IFERROR(__xludf.DUMMYFUNCTION("""COMPUTED_VALUE"""),0.0)</f>
        <v>0</v>
      </c>
      <c r="C2637" s="11">
        <f>IFERROR(__xludf.DUMMYFUNCTION("""COMPUTED_VALUE"""),178.0)</f>
        <v>178</v>
      </c>
      <c r="D2637" s="11">
        <f>IFERROR(__xludf.DUMMYFUNCTION("""COMPUTED_VALUE"""),157.0)</f>
        <v>157</v>
      </c>
      <c r="E2637" s="9"/>
    </row>
    <row r="2638">
      <c r="A2638" s="10">
        <f>IFERROR(__xludf.DUMMYFUNCTION("""COMPUTED_VALUE"""),23668.0)</f>
        <v>23668</v>
      </c>
      <c r="B2638" s="11">
        <f>IFERROR(__xludf.DUMMYFUNCTION("""COMPUTED_VALUE"""),1.0)</f>
        <v>1</v>
      </c>
      <c r="C2638" s="11">
        <f>IFERROR(__xludf.DUMMYFUNCTION("""COMPUTED_VALUE"""),683.0)</f>
        <v>683</v>
      </c>
      <c r="D2638" s="11">
        <f>IFERROR(__xludf.DUMMYFUNCTION("""COMPUTED_VALUE"""),571.0)</f>
        <v>571</v>
      </c>
      <c r="E2638" s="9"/>
    </row>
    <row r="2639">
      <c r="A2639" s="10">
        <f>IFERROR(__xludf.DUMMYFUNCTION("""COMPUTED_VALUE"""),107900.0)</f>
        <v>107900</v>
      </c>
      <c r="B2639" s="11">
        <f>IFERROR(__xludf.DUMMYFUNCTION("""COMPUTED_VALUE"""),1.0)</f>
        <v>1</v>
      </c>
      <c r="C2639" s="11">
        <f>IFERROR(__xludf.DUMMYFUNCTION("""COMPUTED_VALUE"""),752.0)</f>
        <v>752</v>
      </c>
      <c r="D2639" s="11">
        <f>IFERROR(__xludf.DUMMYFUNCTION("""COMPUTED_VALUE"""),309.0)</f>
        <v>309</v>
      </c>
      <c r="E2639" s="9"/>
    </row>
    <row r="2640">
      <c r="A2640" s="10">
        <f>IFERROR(__xludf.DUMMYFUNCTION("""COMPUTED_VALUE"""),85037.0)</f>
        <v>85037</v>
      </c>
      <c r="B2640" s="11">
        <f>IFERROR(__xludf.DUMMYFUNCTION("""COMPUTED_VALUE"""),0.0)</f>
        <v>0</v>
      </c>
      <c r="C2640" s="11">
        <f>IFERROR(__xludf.DUMMYFUNCTION("""COMPUTED_VALUE"""),910.0)</f>
        <v>910</v>
      </c>
      <c r="D2640" s="11">
        <f>IFERROR(__xludf.DUMMYFUNCTION("""COMPUTED_VALUE"""),50.0)</f>
        <v>50</v>
      </c>
      <c r="E2640" s="9"/>
    </row>
    <row r="2641">
      <c r="A2641" s="10">
        <f>IFERROR(__xludf.DUMMYFUNCTION("""COMPUTED_VALUE"""),49182.0)</f>
        <v>49182</v>
      </c>
      <c r="B2641" s="11">
        <f>IFERROR(__xludf.DUMMYFUNCTION("""COMPUTED_VALUE"""),1.0)</f>
        <v>1</v>
      </c>
      <c r="C2641" s="11">
        <f>IFERROR(__xludf.DUMMYFUNCTION("""COMPUTED_VALUE"""),135.0)</f>
        <v>135</v>
      </c>
      <c r="D2641" s="11">
        <f>IFERROR(__xludf.DUMMYFUNCTION("""COMPUTED_VALUE"""),14.0)</f>
        <v>14</v>
      </c>
      <c r="E2641" s="9"/>
    </row>
    <row r="2642">
      <c r="A2642" s="10">
        <f>IFERROR(__xludf.DUMMYFUNCTION("""COMPUTED_VALUE"""),69111.0)</f>
        <v>69111</v>
      </c>
      <c r="B2642" s="11">
        <f>IFERROR(__xludf.DUMMYFUNCTION("""COMPUTED_VALUE"""),1.0)</f>
        <v>1</v>
      </c>
      <c r="C2642" s="11">
        <f>IFERROR(__xludf.DUMMYFUNCTION("""COMPUTED_VALUE"""),239.0)</f>
        <v>239</v>
      </c>
      <c r="D2642" s="11">
        <f>IFERROR(__xludf.DUMMYFUNCTION("""COMPUTED_VALUE"""),58.0)</f>
        <v>58</v>
      </c>
      <c r="E2642" s="9"/>
    </row>
    <row r="2643">
      <c r="A2643" s="10">
        <f>IFERROR(__xludf.DUMMYFUNCTION("""COMPUTED_VALUE"""),80054.0)</f>
        <v>80054</v>
      </c>
      <c r="B2643" s="11">
        <f>IFERROR(__xludf.DUMMYFUNCTION("""COMPUTED_VALUE"""),1.0)</f>
        <v>1</v>
      </c>
      <c r="C2643" s="11">
        <f>IFERROR(__xludf.DUMMYFUNCTION("""COMPUTED_VALUE"""),394.0)</f>
        <v>394</v>
      </c>
      <c r="D2643" s="11">
        <f>IFERROR(__xludf.DUMMYFUNCTION("""COMPUTED_VALUE"""),154.0)</f>
        <v>154</v>
      </c>
      <c r="E2643" s="9"/>
    </row>
    <row r="2644">
      <c r="A2644" s="10">
        <f>IFERROR(__xludf.DUMMYFUNCTION("""COMPUTED_VALUE"""),79782.0)</f>
        <v>79782</v>
      </c>
      <c r="B2644" s="11">
        <f>IFERROR(__xludf.DUMMYFUNCTION("""COMPUTED_VALUE"""),1.0)</f>
        <v>1</v>
      </c>
      <c r="C2644" s="11">
        <f>IFERROR(__xludf.DUMMYFUNCTION("""COMPUTED_VALUE"""),418.0)</f>
        <v>418</v>
      </c>
      <c r="D2644" s="11">
        <f>IFERROR(__xludf.DUMMYFUNCTION("""COMPUTED_VALUE"""),247.0)</f>
        <v>247</v>
      </c>
      <c r="E2644" s="9"/>
    </row>
    <row r="2645">
      <c r="A2645" s="10">
        <f>IFERROR(__xludf.DUMMYFUNCTION("""COMPUTED_VALUE"""),80045.0)</f>
        <v>80045</v>
      </c>
      <c r="B2645" s="11">
        <f>IFERROR(__xludf.DUMMYFUNCTION("""COMPUTED_VALUE"""),1.0)</f>
        <v>1</v>
      </c>
      <c r="C2645" s="11">
        <f>IFERROR(__xludf.DUMMYFUNCTION("""COMPUTED_VALUE"""),76.0)</f>
        <v>76</v>
      </c>
      <c r="D2645" s="11">
        <f>IFERROR(__xludf.DUMMYFUNCTION("""COMPUTED_VALUE"""),7.0)</f>
        <v>7</v>
      </c>
      <c r="E2645" s="9"/>
    </row>
    <row r="2646">
      <c r="A2646" s="10">
        <f>IFERROR(__xludf.DUMMYFUNCTION("""COMPUTED_VALUE"""),69108.0)</f>
        <v>69108</v>
      </c>
      <c r="B2646" s="11">
        <f>IFERROR(__xludf.DUMMYFUNCTION("""COMPUTED_VALUE"""),0.0)</f>
        <v>0</v>
      </c>
      <c r="C2646" s="11">
        <f>IFERROR(__xludf.DUMMYFUNCTION("""COMPUTED_VALUE"""),555.0)</f>
        <v>555</v>
      </c>
      <c r="D2646" s="11">
        <f>IFERROR(__xludf.DUMMYFUNCTION("""COMPUTED_VALUE"""),4.0)</f>
        <v>4</v>
      </c>
      <c r="E2646" s="9"/>
    </row>
    <row r="2647">
      <c r="A2647" s="10">
        <f>IFERROR(__xludf.DUMMYFUNCTION("""COMPUTED_VALUE"""),69112.0)</f>
        <v>69112</v>
      </c>
      <c r="B2647" s="11">
        <f>IFERROR(__xludf.DUMMYFUNCTION("""COMPUTED_VALUE"""),1.0)</f>
        <v>1</v>
      </c>
      <c r="C2647" s="11">
        <f>IFERROR(__xludf.DUMMYFUNCTION("""COMPUTED_VALUE"""),123.0)</f>
        <v>123</v>
      </c>
      <c r="D2647" s="11">
        <f>IFERROR(__xludf.DUMMYFUNCTION("""COMPUTED_VALUE"""),83.0)</f>
        <v>83</v>
      </c>
      <c r="E2647" s="9"/>
    </row>
    <row r="2648">
      <c r="A2648" s="10">
        <f>IFERROR(__xludf.DUMMYFUNCTION("""COMPUTED_VALUE"""),121992.0)</f>
        <v>121992</v>
      </c>
      <c r="B2648" s="11">
        <f>IFERROR(__xludf.DUMMYFUNCTION("""COMPUTED_VALUE"""),0.0)</f>
        <v>0</v>
      </c>
      <c r="C2648" s="11">
        <f>IFERROR(__xludf.DUMMYFUNCTION("""COMPUTED_VALUE"""),822.0)</f>
        <v>822</v>
      </c>
      <c r="D2648" s="11">
        <f>IFERROR(__xludf.DUMMYFUNCTION("""COMPUTED_VALUE"""),378.0)</f>
        <v>378</v>
      </c>
      <c r="E2648" s="9"/>
    </row>
    <row r="2649">
      <c r="A2649" s="10">
        <f>IFERROR(__xludf.DUMMYFUNCTION("""COMPUTED_VALUE"""),80048.0)</f>
        <v>80048</v>
      </c>
      <c r="B2649" s="11">
        <f>IFERROR(__xludf.DUMMYFUNCTION("""COMPUTED_VALUE"""),0.0)</f>
        <v>0</v>
      </c>
      <c r="C2649" s="11">
        <f>IFERROR(__xludf.DUMMYFUNCTION("""COMPUTED_VALUE"""),818.0)</f>
        <v>818</v>
      </c>
      <c r="D2649" s="11">
        <f>IFERROR(__xludf.DUMMYFUNCTION("""COMPUTED_VALUE"""),720.0)</f>
        <v>720</v>
      </c>
      <c r="E2649" s="9"/>
    </row>
    <row r="2650">
      <c r="A2650" s="10">
        <f>IFERROR(__xludf.DUMMYFUNCTION("""COMPUTED_VALUE"""),121982.0)</f>
        <v>121982</v>
      </c>
      <c r="B2650" s="11">
        <f>IFERROR(__xludf.DUMMYFUNCTION("""COMPUTED_VALUE"""),0.0)</f>
        <v>0</v>
      </c>
      <c r="C2650" s="11">
        <f>IFERROR(__xludf.DUMMYFUNCTION("""COMPUTED_VALUE"""),433.0)</f>
        <v>433</v>
      </c>
      <c r="D2650" s="11">
        <f>IFERROR(__xludf.DUMMYFUNCTION("""COMPUTED_VALUE"""),13.0)</f>
        <v>13</v>
      </c>
      <c r="E2650" s="9"/>
    </row>
    <row r="2651">
      <c r="A2651" s="10">
        <f>IFERROR(__xludf.DUMMYFUNCTION("""COMPUTED_VALUE"""),121974.0)</f>
        <v>121974</v>
      </c>
      <c r="B2651" s="11">
        <f>IFERROR(__xludf.DUMMYFUNCTION("""COMPUTED_VALUE"""),1.0)</f>
        <v>1</v>
      </c>
      <c r="C2651" s="11">
        <f>IFERROR(__xludf.DUMMYFUNCTION("""COMPUTED_VALUE"""),4.0)</f>
        <v>4</v>
      </c>
      <c r="D2651" s="11">
        <f>IFERROR(__xludf.DUMMYFUNCTION("""COMPUTED_VALUE"""),1.0)</f>
        <v>1</v>
      </c>
      <c r="E2651" s="9"/>
    </row>
    <row r="2652">
      <c r="A2652" s="10">
        <f>IFERROR(__xludf.DUMMYFUNCTION("""COMPUTED_VALUE"""),69110.0)</f>
        <v>69110</v>
      </c>
      <c r="B2652" s="11">
        <f>IFERROR(__xludf.DUMMYFUNCTION("""COMPUTED_VALUE"""),0.0)</f>
        <v>0</v>
      </c>
      <c r="C2652" s="11">
        <f>IFERROR(__xludf.DUMMYFUNCTION("""COMPUTED_VALUE"""),252.0)</f>
        <v>252</v>
      </c>
      <c r="D2652" s="11">
        <f>IFERROR(__xludf.DUMMYFUNCTION("""COMPUTED_VALUE"""),58.0)</f>
        <v>58</v>
      </c>
      <c r="E2652" s="9"/>
    </row>
    <row r="2653">
      <c r="A2653" s="10">
        <f>IFERROR(__xludf.DUMMYFUNCTION("""COMPUTED_VALUE"""),23540.0)</f>
        <v>23540</v>
      </c>
      <c r="B2653" s="11">
        <f>IFERROR(__xludf.DUMMYFUNCTION("""COMPUTED_VALUE"""),0.0)</f>
        <v>0</v>
      </c>
      <c r="C2653" s="11">
        <f>IFERROR(__xludf.DUMMYFUNCTION("""COMPUTED_VALUE"""),702.0)</f>
        <v>702</v>
      </c>
      <c r="D2653" s="11">
        <f>IFERROR(__xludf.DUMMYFUNCTION("""COMPUTED_VALUE"""),220.0)</f>
        <v>220</v>
      </c>
      <c r="E2653" s="9"/>
    </row>
    <row r="2654">
      <c r="A2654" s="10">
        <f>IFERROR(__xludf.DUMMYFUNCTION("""COMPUTED_VALUE"""),69123.0)</f>
        <v>69123</v>
      </c>
      <c r="B2654" s="11">
        <f>IFERROR(__xludf.DUMMYFUNCTION("""COMPUTED_VALUE"""),1.0)</f>
        <v>1</v>
      </c>
      <c r="C2654" s="11">
        <f>IFERROR(__xludf.DUMMYFUNCTION("""COMPUTED_VALUE"""),736.0)</f>
        <v>736</v>
      </c>
      <c r="D2654" s="11">
        <f>IFERROR(__xludf.DUMMYFUNCTION("""COMPUTED_VALUE"""),9.0)</f>
        <v>9</v>
      </c>
      <c r="E2654" s="9"/>
    </row>
    <row r="2655">
      <c r="A2655" s="10">
        <f>IFERROR(__xludf.DUMMYFUNCTION("""COMPUTED_VALUE"""),121984.0)</f>
        <v>121984</v>
      </c>
      <c r="B2655" s="11">
        <f>IFERROR(__xludf.DUMMYFUNCTION("""COMPUTED_VALUE"""),1.0)</f>
        <v>1</v>
      </c>
      <c r="C2655" s="11">
        <f>IFERROR(__xludf.DUMMYFUNCTION("""COMPUTED_VALUE"""),456.0)</f>
        <v>456</v>
      </c>
      <c r="D2655" s="11">
        <f>IFERROR(__xludf.DUMMYFUNCTION("""COMPUTED_VALUE"""),109.0)</f>
        <v>109</v>
      </c>
      <c r="E2655" s="9"/>
    </row>
    <row r="2656">
      <c r="A2656" s="10">
        <f>IFERROR(__xludf.DUMMYFUNCTION("""COMPUTED_VALUE"""),121979.0)</f>
        <v>121979</v>
      </c>
      <c r="B2656" s="11">
        <f>IFERROR(__xludf.DUMMYFUNCTION("""COMPUTED_VALUE"""),0.0)</f>
        <v>0</v>
      </c>
      <c r="C2656" s="11">
        <f>IFERROR(__xludf.DUMMYFUNCTION("""COMPUTED_VALUE"""),715.0)</f>
        <v>715</v>
      </c>
      <c r="D2656" s="11">
        <f>IFERROR(__xludf.DUMMYFUNCTION("""COMPUTED_VALUE"""),255.0)</f>
        <v>255</v>
      </c>
      <c r="E2656" s="9"/>
    </row>
    <row r="2657">
      <c r="A2657" s="10">
        <f>IFERROR(__xludf.DUMMYFUNCTION("""COMPUTED_VALUE"""),80043.0)</f>
        <v>80043</v>
      </c>
      <c r="B2657" s="11">
        <f>IFERROR(__xludf.DUMMYFUNCTION("""COMPUTED_VALUE"""),1.0)</f>
        <v>1</v>
      </c>
      <c r="C2657" s="11">
        <f>IFERROR(__xludf.DUMMYFUNCTION("""COMPUTED_VALUE"""),408.0)</f>
        <v>408</v>
      </c>
      <c r="D2657" s="11">
        <f>IFERROR(__xludf.DUMMYFUNCTION("""COMPUTED_VALUE"""),181.0)</f>
        <v>181</v>
      </c>
      <c r="E2657" s="9"/>
    </row>
    <row r="2658">
      <c r="A2658" s="10">
        <f>IFERROR(__xludf.DUMMYFUNCTION("""COMPUTED_VALUE"""),100326.0)</f>
        <v>100326</v>
      </c>
      <c r="B2658" s="11">
        <f>IFERROR(__xludf.DUMMYFUNCTION("""COMPUTED_VALUE"""),1.0)</f>
        <v>1</v>
      </c>
      <c r="C2658" s="11">
        <f>IFERROR(__xludf.DUMMYFUNCTION("""COMPUTED_VALUE"""),589.0)</f>
        <v>589</v>
      </c>
      <c r="D2658" s="11">
        <f>IFERROR(__xludf.DUMMYFUNCTION("""COMPUTED_VALUE"""),207.0)</f>
        <v>207</v>
      </c>
      <c r="E2658" s="9"/>
    </row>
    <row r="2659">
      <c r="A2659" s="10">
        <f>IFERROR(__xludf.DUMMYFUNCTION("""COMPUTED_VALUE"""),69117.0)</f>
        <v>69117</v>
      </c>
      <c r="B2659" s="11">
        <f>IFERROR(__xludf.DUMMYFUNCTION("""COMPUTED_VALUE"""),0.0)</f>
        <v>0</v>
      </c>
      <c r="C2659" s="11">
        <f>IFERROR(__xludf.DUMMYFUNCTION("""COMPUTED_VALUE"""),523.0)</f>
        <v>523</v>
      </c>
      <c r="D2659" s="11">
        <f>IFERROR(__xludf.DUMMYFUNCTION("""COMPUTED_VALUE"""),213.0)</f>
        <v>213</v>
      </c>
      <c r="E2659" s="9"/>
    </row>
    <row r="2660">
      <c r="A2660" s="10">
        <f>IFERROR(__xludf.DUMMYFUNCTION("""COMPUTED_VALUE"""),100334.0)</f>
        <v>100334</v>
      </c>
      <c r="B2660" s="11">
        <f>IFERROR(__xludf.DUMMYFUNCTION("""COMPUTED_VALUE"""),1.0)</f>
        <v>1</v>
      </c>
      <c r="C2660" s="11">
        <f>IFERROR(__xludf.DUMMYFUNCTION("""COMPUTED_VALUE"""),327.0)</f>
        <v>327</v>
      </c>
      <c r="D2660" s="11">
        <f>IFERROR(__xludf.DUMMYFUNCTION("""COMPUTED_VALUE"""),124.0)</f>
        <v>124</v>
      </c>
      <c r="E2660" s="9"/>
    </row>
    <row r="2661">
      <c r="A2661" s="10">
        <f>IFERROR(__xludf.DUMMYFUNCTION("""COMPUTED_VALUE"""),69120.0)</f>
        <v>69120</v>
      </c>
      <c r="B2661" s="11">
        <f>IFERROR(__xludf.DUMMYFUNCTION("""COMPUTED_VALUE"""),0.0)</f>
        <v>0</v>
      </c>
      <c r="C2661" s="11">
        <f>IFERROR(__xludf.DUMMYFUNCTION("""COMPUTED_VALUE"""),730.0)</f>
        <v>730</v>
      </c>
      <c r="D2661" s="11">
        <f>IFERROR(__xludf.DUMMYFUNCTION("""COMPUTED_VALUE"""),656.0)</f>
        <v>656</v>
      </c>
      <c r="E2661" s="9"/>
    </row>
    <row r="2662">
      <c r="A2662" s="10">
        <f>IFERROR(__xludf.DUMMYFUNCTION("""COMPUTED_VALUE"""),69119.0)</f>
        <v>69119</v>
      </c>
      <c r="B2662" s="11">
        <f>IFERROR(__xludf.DUMMYFUNCTION("""COMPUTED_VALUE"""),0.0)</f>
        <v>0</v>
      </c>
      <c r="C2662" s="11">
        <f>IFERROR(__xludf.DUMMYFUNCTION("""COMPUTED_VALUE"""),772.0)</f>
        <v>772</v>
      </c>
      <c r="D2662" s="11">
        <f>IFERROR(__xludf.DUMMYFUNCTION("""COMPUTED_VALUE"""),129.0)</f>
        <v>129</v>
      </c>
      <c r="E2662" s="9"/>
    </row>
    <row r="2663">
      <c r="A2663" s="10">
        <f>IFERROR(__xludf.DUMMYFUNCTION("""COMPUTED_VALUE"""),69118.0)</f>
        <v>69118</v>
      </c>
      <c r="B2663" s="11">
        <f>IFERROR(__xludf.DUMMYFUNCTION("""COMPUTED_VALUE"""),1.0)</f>
        <v>1</v>
      </c>
      <c r="C2663" s="11">
        <f>IFERROR(__xludf.DUMMYFUNCTION("""COMPUTED_VALUE"""),396.0)</f>
        <v>396</v>
      </c>
      <c r="D2663" s="11">
        <f>IFERROR(__xludf.DUMMYFUNCTION("""COMPUTED_VALUE"""),169.0)</f>
        <v>169</v>
      </c>
      <c r="E2663" s="9"/>
    </row>
    <row r="2664">
      <c r="A2664" s="10">
        <f>IFERROR(__xludf.DUMMYFUNCTION("""COMPUTED_VALUE"""),80044.0)</f>
        <v>80044</v>
      </c>
      <c r="B2664" s="11">
        <f>IFERROR(__xludf.DUMMYFUNCTION("""COMPUTED_VALUE"""),0.0)</f>
        <v>0</v>
      </c>
      <c r="C2664" s="11">
        <f>IFERROR(__xludf.DUMMYFUNCTION("""COMPUTED_VALUE"""),184.0)</f>
        <v>184</v>
      </c>
      <c r="D2664" s="11">
        <f>IFERROR(__xludf.DUMMYFUNCTION("""COMPUTED_VALUE"""),117.0)</f>
        <v>117</v>
      </c>
      <c r="E2664" s="9"/>
    </row>
    <row r="2665">
      <c r="A2665" s="10">
        <f>IFERROR(__xludf.DUMMYFUNCTION("""COMPUTED_VALUE"""),23556.0)</f>
        <v>23556</v>
      </c>
      <c r="B2665" s="11">
        <f>IFERROR(__xludf.DUMMYFUNCTION("""COMPUTED_VALUE"""),0.0)</f>
        <v>0</v>
      </c>
      <c r="C2665" s="11">
        <f>IFERROR(__xludf.DUMMYFUNCTION("""COMPUTED_VALUE"""),1.0)</f>
        <v>1</v>
      </c>
      <c r="D2665" s="11">
        <f>IFERROR(__xludf.DUMMYFUNCTION("""COMPUTED_VALUE"""),0.0)</f>
        <v>0</v>
      </c>
      <c r="E2665" s="9"/>
    </row>
    <row r="2666">
      <c r="A2666" s="10">
        <f>IFERROR(__xludf.DUMMYFUNCTION("""COMPUTED_VALUE"""),69114.0)</f>
        <v>69114</v>
      </c>
      <c r="B2666" s="11">
        <f>IFERROR(__xludf.DUMMYFUNCTION("""COMPUTED_VALUE"""),0.0)</f>
        <v>0</v>
      </c>
      <c r="C2666" s="11">
        <f>IFERROR(__xludf.DUMMYFUNCTION("""COMPUTED_VALUE"""),320.0)</f>
        <v>320</v>
      </c>
      <c r="D2666" s="11">
        <f>IFERROR(__xludf.DUMMYFUNCTION("""COMPUTED_VALUE"""),117.0)</f>
        <v>117</v>
      </c>
      <c r="E2666" s="9"/>
    </row>
    <row r="2667">
      <c r="A2667" s="10">
        <f>IFERROR(__xludf.DUMMYFUNCTION("""COMPUTED_VALUE"""),79778.0)</f>
        <v>79778</v>
      </c>
      <c r="B2667" s="11">
        <f>IFERROR(__xludf.DUMMYFUNCTION("""COMPUTED_VALUE"""),0.0)</f>
        <v>0</v>
      </c>
      <c r="C2667" s="11">
        <f>IFERROR(__xludf.DUMMYFUNCTION("""COMPUTED_VALUE"""),504.0)</f>
        <v>504</v>
      </c>
      <c r="D2667" s="11">
        <f>IFERROR(__xludf.DUMMYFUNCTION("""COMPUTED_VALUE"""),38.0)</f>
        <v>38</v>
      </c>
      <c r="E2667" s="9"/>
    </row>
    <row r="2668">
      <c r="A2668" s="10">
        <f>IFERROR(__xludf.DUMMYFUNCTION("""COMPUTED_VALUE"""),100323.0)</f>
        <v>100323</v>
      </c>
      <c r="B2668" s="11">
        <f>IFERROR(__xludf.DUMMYFUNCTION("""COMPUTED_VALUE"""),1.0)</f>
        <v>1</v>
      </c>
      <c r="C2668" s="11">
        <f>IFERROR(__xludf.DUMMYFUNCTION("""COMPUTED_VALUE"""),488.0)</f>
        <v>488</v>
      </c>
      <c r="D2668" s="11">
        <f>IFERROR(__xludf.DUMMYFUNCTION("""COMPUTED_VALUE"""),12.0)</f>
        <v>12</v>
      </c>
      <c r="E2668" s="9"/>
    </row>
    <row r="2669">
      <c r="A2669" s="10">
        <f>IFERROR(__xludf.DUMMYFUNCTION("""COMPUTED_VALUE"""),69116.0)</f>
        <v>69116</v>
      </c>
      <c r="B2669" s="11">
        <f>IFERROR(__xludf.DUMMYFUNCTION("""COMPUTED_VALUE"""),0.0)</f>
        <v>0</v>
      </c>
      <c r="C2669" s="11">
        <f>IFERROR(__xludf.DUMMYFUNCTION("""COMPUTED_VALUE"""),259.0)</f>
        <v>259</v>
      </c>
      <c r="D2669" s="11">
        <f>IFERROR(__xludf.DUMMYFUNCTION("""COMPUTED_VALUE"""),216.0)</f>
        <v>216</v>
      </c>
      <c r="E2669" s="9"/>
    </row>
    <row r="2670">
      <c r="A2670" s="10">
        <f>IFERROR(__xludf.DUMMYFUNCTION("""COMPUTED_VALUE"""),68938.0)</f>
        <v>68938</v>
      </c>
      <c r="B2670" s="11">
        <f>IFERROR(__xludf.DUMMYFUNCTION("""COMPUTED_VALUE"""),1.0)</f>
        <v>1</v>
      </c>
      <c r="C2670" s="11">
        <f>IFERROR(__xludf.DUMMYFUNCTION("""COMPUTED_VALUE"""),844.0)</f>
        <v>844</v>
      </c>
      <c r="D2670" s="11">
        <f>IFERROR(__xludf.DUMMYFUNCTION("""COMPUTED_VALUE"""),805.0)</f>
        <v>805</v>
      </c>
      <c r="E2670" s="9"/>
    </row>
    <row r="2671">
      <c r="A2671" s="10">
        <f>IFERROR(__xludf.DUMMYFUNCTION("""COMPUTED_VALUE"""),121987.0)</f>
        <v>121987</v>
      </c>
      <c r="B2671" s="11">
        <f>IFERROR(__xludf.DUMMYFUNCTION("""COMPUTED_VALUE"""),0.0)</f>
        <v>0</v>
      </c>
      <c r="C2671" s="11">
        <f>IFERROR(__xludf.DUMMYFUNCTION("""COMPUTED_VALUE"""),772.0)</f>
        <v>772</v>
      </c>
      <c r="D2671" s="11">
        <f>IFERROR(__xludf.DUMMYFUNCTION("""COMPUTED_VALUE"""),64.0)</f>
        <v>64</v>
      </c>
      <c r="E2671" s="9"/>
    </row>
    <row r="2672">
      <c r="A2672" s="10">
        <f>IFERROR(__xludf.DUMMYFUNCTION("""COMPUTED_VALUE"""),69113.0)</f>
        <v>69113</v>
      </c>
      <c r="B2672" s="11">
        <f>IFERROR(__xludf.DUMMYFUNCTION("""COMPUTED_VALUE"""),1.0)</f>
        <v>1</v>
      </c>
      <c r="C2672" s="11">
        <f>IFERROR(__xludf.DUMMYFUNCTION("""COMPUTED_VALUE"""),20.0)</f>
        <v>20</v>
      </c>
      <c r="D2672" s="11">
        <f>IFERROR(__xludf.DUMMYFUNCTION("""COMPUTED_VALUE"""),9.0)</f>
        <v>9</v>
      </c>
      <c r="E2672" s="9"/>
    </row>
    <row r="2673">
      <c r="A2673" s="10">
        <f>IFERROR(__xludf.DUMMYFUNCTION("""COMPUTED_VALUE"""),80053.0)</f>
        <v>80053</v>
      </c>
      <c r="B2673" s="11">
        <f>IFERROR(__xludf.DUMMYFUNCTION("""COMPUTED_VALUE"""),1.0)</f>
        <v>1</v>
      </c>
      <c r="C2673" s="11">
        <f>IFERROR(__xludf.DUMMYFUNCTION("""COMPUTED_VALUE"""),594.0)</f>
        <v>594</v>
      </c>
      <c r="D2673" s="11">
        <f>IFERROR(__xludf.DUMMYFUNCTION("""COMPUTED_VALUE"""),404.0)</f>
        <v>404</v>
      </c>
      <c r="E2673" s="9"/>
    </row>
    <row r="2674">
      <c r="A2674" s="10">
        <f>IFERROR(__xludf.DUMMYFUNCTION("""COMPUTED_VALUE"""),121986.0)</f>
        <v>121986</v>
      </c>
      <c r="B2674" s="11">
        <f>IFERROR(__xludf.DUMMYFUNCTION("""COMPUTED_VALUE"""),0.0)</f>
        <v>0</v>
      </c>
      <c r="C2674" s="11">
        <f>IFERROR(__xludf.DUMMYFUNCTION("""COMPUTED_VALUE"""),396.0)</f>
        <v>396</v>
      </c>
      <c r="D2674" s="11">
        <f>IFERROR(__xludf.DUMMYFUNCTION("""COMPUTED_VALUE"""),5.0)</f>
        <v>5</v>
      </c>
      <c r="E2674" s="9"/>
    </row>
    <row r="2675">
      <c r="A2675" s="10">
        <f>IFERROR(__xludf.DUMMYFUNCTION("""COMPUTED_VALUE"""),121988.0)</f>
        <v>121988</v>
      </c>
      <c r="B2675" s="11">
        <f>IFERROR(__xludf.DUMMYFUNCTION("""COMPUTED_VALUE"""),0.0)</f>
        <v>0</v>
      </c>
      <c r="C2675" s="11">
        <f>IFERROR(__xludf.DUMMYFUNCTION("""COMPUTED_VALUE"""),66.0)</f>
        <v>66</v>
      </c>
      <c r="D2675" s="11">
        <f>IFERROR(__xludf.DUMMYFUNCTION("""COMPUTED_VALUE"""),33.0)</f>
        <v>33</v>
      </c>
      <c r="E2675" s="9"/>
    </row>
    <row r="2676">
      <c r="A2676" s="10">
        <f>IFERROR(__xludf.DUMMYFUNCTION("""COMPUTED_VALUE"""),121990.0)</f>
        <v>121990</v>
      </c>
      <c r="B2676" s="11">
        <f>IFERROR(__xludf.DUMMYFUNCTION("""COMPUTED_VALUE"""),0.0)</f>
        <v>0</v>
      </c>
      <c r="C2676" s="11">
        <f>IFERROR(__xludf.DUMMYFUNCTION("""COMPUTED_VALUE"""),670.0)</f>
        <v>670</v>
      </c>
      <c r="D2676" s="11">
        <f>IFERROR(__xludf.DUMMYFUNCTION("""COMPUTED_VALUE"""),69.0)</f>
        <v>69</v>
      </c>
      <c r="E2676" s="9"/>
    </row>
    <row r="2677">
      <c r="A2677" s="10">
        <f>IFERROR(__xludf.DUMMYFUNCTION("""COMPUTED_VALUE"""),68941.0)</f>
        <v>68941</v>
      </c>
      <c r="B2677" s="11">
        <f>IFERROR(__xludf.DUMMYFUNCTION("""COMPUTED_VALUE"""),0.0)</f>
        <v>0</v>
      </c>
      <c r="C2677" s="11">
        <f>IFERROR(__xludf.DUMMYFUNCTION("""COMPUTED_VALUE"""),512.0)</f>
        <v>512</v>
      </c>
      <c r="D2677" s="11">
        <f>IFERROR(__xludf.DUMMYFUNCTION("""COMPUTED_VALUE"""),467.0)</f>
        <v>467</v>
      </c>
      <c r="E2677" s="9"/>
    </row>
    <row r="2678">
      <c r="A2678" s="10">
        <f>IFERROR(__xludf.DUMMYFUNCTION("""COMPUTED_VALUE"""),69122.0)</f>
        <v>69122</v>
      </c>
      <c r="B2678" s="11">
        <f>IFERROR(__xludf.DUMMYFUNCTION("""COMPUTED_VALUE"""),0.0)</f>
        <v>0</v>
      </c>
      <c r="C2678" s="11">
        <f>IFERROR(__xludf.DUMMYFUNCTION("""COMPUTED_VALUE"""),247.0)</f>
        <v>247</v>
      </c>
      <c r="D2678" s="11">
        <f>IFERROR(__xludf.DUMMYFUNCTION("""COMPUTED_VALUE"""),225.0)</f>
        <v>225</v>
      </c>
      <c r="E2678" s="9"/>
    </row>
    <row r="2679">
      <c r="A2679" s="10">
        <f>IFERROR(__xludf.DUMMYFUNCTION("""COMPUTED_VALUE"""),80049.0)</f>
        <v>80049</v>
      </c>
      <c r="B2679" s="11">
        <f>IFERROR(__xludf.DUMMYFUNCTION("""COMPUTED_VALUE"""),0.0)</f>
        <v>0</v>
      </c>
      <c r="C2679" s="11">
        <f>IFERROR(__xludf.DUMMYFUNCTION("""COMPUTED_VALUE"""),78.0)</f>
        <v>78</v>
      </c>
      <c r="D2679" s="11">
        <f>IFERROR(__xludf.DUMMYFUNCTION("""COMPUTED_VALUE"""),17.0)</f>
        <v>17</v>
      </c>
      <c r="E2679" s="9"/>
    </row>
    <row r="2680">
      <c r="A2680" s="10">
        <f>IFERROR(__xludf.DUMMYFUNCTION("""COMPUTED_VALUE"""),121971.0)</f>
        <v>121971</v>
      </c>
      <c r="B2680" s="11">
        <f>IFERROR(__xludf.DUMMYFUNCTION("""COMPUTED_VALUE"""),1.0)</f>
        <v>1</v>
      </c>
      <c r="C2680" s="11">
        <f>IFERROR(__xludf.DUMMYFUNCTION("""COMPUTED_VALUE"""),636.0)</f>
        <v>636</v>
      </c>
      <c r="D2680" s="11">
        <f>IFERROR(__xludf.DUMMYFUNCTION("""COMPUTED_VALUE"""),514.0)</f>
        <v>514</v>
      </c>
      <c r="E2680" s="9"/>
    </row>
    <row r="2681">
      <c r="A2681" s="10">
        <f>IFERROR(__xludf.DUMMYFUNCTION("""COMPUTED_VALUE"""),68945.0)</f>
        <v>68945</v>
      </c>
      <c r="B2681" s="11">
        <f>IFERROR(__xludf.DUMMYFUNCTION("""COMPUTED_VALUE"""),1.0)</f>
        <v>1</v>
      </c>
      <c r="C2681" s="11">
        <f>IFERROR(__xludf.DUMMYFUNCTION("""COMPUTED_VALUE"""),404.0)</f>
        <v>404</v>
      </c>
      <c r="D2681" s="11">
        <f>IFERROR(__xludf.DUMMYFUNCTION("""COMPUTED_VALUE"""),188.0)</f>
        <v>188</v>
      </c>
      <c r="E2681" s="9"/>
    </row>
    <row r="2682">
      <c r="A2682" s="10">
        <f>IFERROR(__xludf.DUMMYFUNCTION("""COMPUTED_VALUE"""),79780.0)</f>
        <v>79780</v>
      </c>
      <c r="B2682" s="11">
        <f>IFERROR(__xludf.DUMMYFUNCTION("""COMPUTED_VALUE"""),1.0)</f>
        <v>1</v>
      </c>
      <c r="C2682" s="11">
        <f>IFERROR(__xludf.DUMMYFUNCTION("""COMPUTED_VALUE"""),834.0)</f>
        <v>834</v>
      </c>
      <c r="D2682" s="11">
        <f>IFERROR(__xludf.DUMMYFUNCTION("""COMPUTED_VALUE"""),269.0)</f>
        <v>269</v>
      </c>
      <c r="E2682" s="9"/>
    </row>
    <row r="2683">
      <c r="A2683" s="10">
        <f>IFERROR(__xludf.DUMMYFUNCTION("""COMPUTED_VALUE"""),80056.0)</f>
        <v>80056</v>
      </c>
      <c r="B2683" s="11">
        <f>IFERROR(__xludf.DUMMYFUNCTION("""COMPUTED_VALUE"""),0.0)</f>
        <v>0</v>
      </c>
      <c r="C2683" s="11">
        <f>IFERROR(__xludf.DUMMYFUNCTION("""COMPUTED_VALUE"""),417.0)</f>
        <v>417</v>
      </c>
      <c r="D2683" s="11">
        <f>IFERROR(__xludf.DUMMYFUNCTION("""COMPUTED_VALUE"""),336.0)</f>
        <v>336</v>
      </c>
      <c r="E2683" s="9"/>
    </row>
    <row r="2684">
      <c r="A2684" s="10">
        <f>IFERROR(__xludf.DUMMYFUNCTION("""COMPUTED_VALUE"""),80040.0)</f>
        <v>80040</v>
      </c>
      <c r="B2684" s="11">
        <f>IFERROR(__xludf.DUMMYFUNCTION("""COMPUTED_VALUE"""),1.0)</f>
        <v>1</v>
      </c>
      <c r="C2684" s="11">
        <f>IFERROR(__xludf.DUMMYFUNCTION("""COMPUTED_VALUE"""),817.0)</f>
        <v>817</v>
      </c>
      <c r="D2684" s="11">
        <f>IFERROR(__xludf.DUMMYFUNCTION("""COMPUTED_VALUE"""),706.0)</f>
        <v>706</v>
      </c>
      <c r="E2684" s="9"/>
    </row>
    <row r="2685">
      <c r="A2685" s="10">
        <f>IFERROR(__xludf.DUMMYFUNCTION("""COMPUTED_VALUE"""),114480.0)</f>
        <v>114480</v>
      </c>
      <c r="B2685" s="11">
        <f>IFERROR(__xludf.DUMMYFUNCTION("""COMPUTED_VALUE"""),0.0)</f>
        <v>0</v>
      </c>
      <c r="C2685" s="11">
        <f>IFERROR(__xludf.DUMMYFUNCTION("""COMPUTED_VALUE"""),18.0)</f>
        <v>18</v>
      </c>
      <c r="D2685" s="11">
        <f>IFERROR(__xludf.DUMMYFUNCTION("""COMPUTED_VALUE"""),18.0)</f>
        <v>18</v>
      </c>
      <c r="E2685" s="9"/>
    </row>
    <row r="2686">
      <c r="A2686" s="10">
        <f>IFERROR(__xludf.DUMMYFUNCTION("""COMPUTED_VALUE"""),111922.0)</f>
        <v>111922</v>
      </c>
      <c r="B2686" s="11">
        <f>IFERROR(__xludf.DUMMYFUNCTION("""COMPUTED_VALUE"""),1.0)</f>
        <v>1</v>
      </c>
      <c r="C2686" s="11">
        <f>IFERROR(__xludf.DUMMYFUNCTION("""COMPUTED_VALUE"""),93.0)</f>
        <v>93</v>
      </c>
      <c r="D2686" s="11">
        <f>IFERROR(__xludf.DUMMYFUNCTION("""COMPUTED_VALUE"""),59.0)</f>
        <v>59</v>
      </c>
      <c r="E2686" s="9"/>
    </row>
    <row r="2687">
      <c r="A2687" s="10">
        <f>IFERROR(__xludf.DUMMYFUNCTION("""COMPUTED_VALUE"""),111924.0)</f>
        <v>111924</v>
      </c>
      <c r="B2687" s="11">
        <f>IFERROR(__xludf.DUMMYFUNCTION("""COMPUTED_VALUE"""),0.0)</f>
        <v>0</v>
      </c>
      <c r="C2687" s="11">
        <f>IFERROR(__xludf.DUMMYFUNCTION("""COMPUTED_VALUE"""),214.0)</f>
        <v>214</v>
      </c>
      <c r="D2687" s="11">
        <f>IFERROR(__xludf.DUMMYFUNCTION("""COMPUTED_VALUE"""),164.0)</f>
        <v>164</v>
      </c>
      <c r="E2687" s="9"/>
    </row>
    <row r="2688">
      <c r="A2688" s="10">
        <f>IFERROR(__xludf.DUMMYFUNCTION("""COMPUTED_VALUE"""),80047.0)</f>
        <v>80047</v>
      </c>
      <c r="B2688" s="11">
        <f>IFERROR(__xludf.DUMMYFUNCTION("""COMPUTED_VALUE"""),0.0)</f>
        <v>0</v>
      </c>
      <c r="C2688" s="11">
        <f>IFERROR(__xludf.DUMMYFUNCTION("""COMPUTED_VALUE"""),698.0)</f>
        <v>698</v>
      </c>
      <c r="D2688" s="11">
        <f>IFERROR(__xludf.DUMMYFUNCTION("""COMPUTED_VALUE"""),512.0)</f>
        <v>512</v>
      </c>
      <c r="E2688" s="9"/>
    </row>
    <row r="2689">
      <c r="A2689" s="10">
        <f>IFERROR(__xludf.DUMMYFUNCTION("""COMPUTED_VALUE"""),69121.0)</f>
        <v>69121</v>
      </c>
      <c r="B2689" s="11">
        <f>IFERROR(__xludf.DUMMYFUNCTION("""COMPUTED_VALUE"""),0.0)</f>
        <v>0</v>
      </c>
      <c r="C2689" s="11">
        <f>IFERROR(__xludf.DUMMYFUNCTION("""COMPUTED_VALUE"""),131.0)</f>
        <v>131</v>
      </c>
      <c r="D2689" s="11">
        <f>IFERROR(__xludf.DUMMYFUNCTION("""COMPUTED_VALUE"""),82.0)</f>
        <v>82</v>
      </c>
      <c r="E2689" s="9"/>
    </row>
    <row r="2690">
      <c r="A2690" s="10">
        <f>IFERROR(__xludf.DUMMYFUNCTION("""COMPUTED_VALUE"""),68939.0)</f>
        <v>68939</v>
      </c>
      <c r="B2690" s="11">
        <f>IFERROR(__xludf.DUMMYFUNCTION("""COMPUTED_VALUE"""),1.0)</f>
        <v>1</v>
      </c>
      <c r="C2690" s="11">
        <f>IFERROR(__xludf.DUMMYFUNCTION("""COMPUTED_VALUE"""),824.0)</f>
        <v>824</v>
      </c>
      <c r="D2690" s="11">
        <f>IFERROR(__xludf.DUMMYFUNCTION("""COMPUTED_VALUE"""),55.0)</f>
        <v>55</v>
      </c>
      <c r="E2690" s="9"/>
    </row>
    <row r="2691">
      <c r="A2691" s="10">
        <f>IFERROR(__xludf.DUMMYFUNCTION("""COMPUTED_VALUE"""),69124.0)</f>
        <v>69124</v>
      </c>
      <c r="B2691" s="11">
        <f>IFERROR(__xludf.DUMMYFUNCTION("""COMPUTED_VALUE"""),0.0)</f>
        <v>0</v>
      </c>
      <c r="C2691" s="11">
        <f>IFERROR(__xludf.DUMMYFUNCTION("""COMPUTED_VALUE"""),979.0)</f>
        <v>979</v>
      </c>
      <c r="D2691" s="11">
        <f>IFERROR(__xludf.DUMMYFUNCTION("""COMPUTED_VALUE"""),705.0)</f>
        <v>705</v>
      </c>
      <c r="E2691" s="9"/>
    </row>
    <row r="2692">
      <c r="A2692" s="10">
        <f>IFERROR(__xludf.DUMMYFUNCTION("""COMPUTED_VALUE"""),23552.0)</f>
        <v>23552</v>
      </c>
      <c r="B2692" s="11">
        <f>IFERROR(__xludf.DUMMYFUNCTION("""COMPUTED_VALUE"""),1.0)</f>
        <v>1</v>
      </c>
      <c r="C2692" s="11">
        <f>IFERROR(__xludf.DUMMYFUNCTION("""COMPUTED_VALUE"""),270.0)</f>
        <v>270</v>
      </c>
      <c r="D2692" s="11">
        <f>IFERROR(__xludf.DUMMYFUNCTION("""COMPUTED_VALUE"""),1.0)</f>
        <v>1</v>
      </c>
      <c r="E2692" s="9"/>
    </row>
    <row r="2693">
      <c r="A2693" s="10">
        <f>IFERROR(__xludf.DUMMYFUNCTION("""COMPUTED_VALUE"""),68943.0)</f>
        <v>68943</v>
      </c>
      <c r="B2693" s="11">
        <f>IFERROR(__xludf.DUMMYFUNCTION("""COMPUTED_VALUE"""),1.0)</f>
        <v>1</v>
      </c>
      <c r="C2693" s="11">
        <f>IFERROR(__xludf.DUMMYFUNCTION("""COMPUTED_VALUE"""),697.0)</f>
        <v>697</v>
      </c>
      <c r="D2693" s="11">
        <f>IFERROR(__xludf.DUMMYFUNCTION("""COMPUTED_VALUE"""),483.0)</f>
        <v>483</v>
      </c>
      <c r="E2693" s="9"/>
    </row>
    <row r="2694">
      <c r="A2694" s="10">
        <f>IFERROR(__xludf.DUMMYFUNCTION("""COMPUTED_VALUE"""),69115.0)</f>
        <v>69115</v>
      </c>
      <c r="B2694" s="11">
        <f>IFERROR(__xludf.DUMMYFUNCTION("""COMPUTED_VALUE"""),0.0)</f>
        <v>0</v>
      </c>
      <c r="C2694" s="11">
        <f>IFERROR(__xludf.DUMMYFUNCTION("""COMPUTED_VALUE"""),348.0)</f>
        <v>348</v>
      </c>
      <c r="D2694" s="11">
        <f>IFERROR(__xludf.DUMMYFUNCTION("""COMPUTED_VALUE"""),256.0)</f>
        <v>256</v>
      </c>
      <c r="E2694" s="9"/>
    </row>
    <row r="2695">
      <c r="A2695" s="10">
        <f>IFERROR(__xludf.DUMMYFUNCTION("""COMPUTED_VALUE"""),81122.0)</f>
        <v>81122</v>
      </c>
      <c r="B2695" s="11">
        <f>IFERROR(__xludf.DUMMYFUNCTION("""COMPUTED_VALUE"""),1.0)</f>
        <v>1</v>
      </c>
      <c r="C2695" s="11">
        <f>IFERROR(__xludf.DUMMYFUNCTION("""COMPUTED_VALUE"""),415.0)</f>
        <v>415</v>
      </c>
      <c r="D2695" s="11">
        <f>IFERROR(__xludf.DUMMYFUNCTION("""COMPUTED_VALUE"""),414.0)</f>
        <v>414</v>
      </c>
      <c r="E2695" s="9"/>
    </row>
    <row r="2696">
      <c r="A2696" s="10">
        <f>IFERROR(__xludf.DUMMYFUNCTION("""COMPUTED_VALUE"""),84672.0)</f>
        <v>84672</v>
      </c>
      <c r="B2696" s="11">
        <f>IFERROR(__xludf.DUMMYFUNCTION("""COMPUTED_VALUE"""),1.0)</f>
        <v>1</v>
      </c>
      <c r="C2696" s="11">
        <f>IFERROR(__xludf.DUMMYFUNCTION("""COMPUTED_VALUE"""),179.0)</f>
        <v>179</v>
      </c>
      <c r="D2696" s="11">
        <f>IFERROR(__xludf.DUMMYFUNCTION("""COMPUTED_VALUE"""),125.0)</f>
        <v>125</v>
      </c>
      <c r="E2696" s="9"/>
    </row>
    <row r="2697">
      <c r="A2697" s="10">
        <f>IFERROR(__xludf.DUMMYFUNCTION("""COMPUTED_VALUE"""),81127.0)</f>
        <v>81127</v>
      </c>
      <c r="B2697" s="11">
        <f>IFERROR(__xludf.DUMMYFUNCTION("""COMPUTED_VALUE"""),0.0)</f>
        <v>0</v>
      </c>
      <c r="C2697" s="11">
        <f>IFERROR(__xludf.DUMMYFUNCTION("""COMPUTED_VALUE"""),770.0)</f>
        <v>770</v>
      </c>
      <c r="D2697" s="11">
        <f>IFERROR(__xludf.DUMMYFUNCTION("""COMPUTED_VALUE"""),438.0)</f>
        <v>438</v>
      </c>
      <c r="E2697" s="9"/>
    </row>
    <row r="2698">
      <c r="A2698" s="10">
        <f>IFERROR(__xludf.DUMMYFUNCTION("""COMPUTED_VALUE"""),87858.0)</f>
        <v>87858</v>
      </c>
      <c r="B2698" s="11">
        <f>IFERROR(__xludf.DUMMYFUNCTION("""COMPUTED_VALUE"""),0.0)</f>
        <v>0</v>
      </c>
      <c r="C2698" s="11">
        <f>IFERROR(__xludf.DUMMYFUNCTION("""COMPUTED_VALUE"""),67.0)</f>
        <v>67</v>
      </c>
      <c r="D2698" s="11">
        <f>IFERROR(__xludf.DUMMYFUNCTION("""COMPUTED_VALUE"""),22.0)</f>
        <v>22</v>
      </c>
      <c r="E2698" s="9"/>
    </row>
    <row r="2699">
      <c r="A2699" s="10">
        <f>IFERROR(__xludf.DUMMYFUNCTION("""COMPUTED_VALUE"""),84673.0)</f>
        <v>84673</v>
      </c>
      <c r="B2699" s="11">
        <f>IFERROR(__xludf.DUMMYFUNCTION("""COMPUTED_VALUE"""),0.0)</f>
        <v>0</v>
      </c>
      <c r="C2699" s="11">
        <f>IFERROR(__xludf.DUMMYFUNCTION("""COMPUTED_VALUE"""),110.0)</f>
        <v>110</v>
      </c>
      <c r="D2699" s="11">
        <f>IFERROR(__xludf.DUMMYFUNCTION("""COMPUTED_VALUE"""),56.0)</f>
        <v>56</v>
      </c>
      <c r="E2699" s="9"/>
    </row>
    <row r="2700">
      <c r="A2700" s="10">
        <f>IFERROR(__xludf.DUMMYFUNCTION("""COMPUTED_VALUE"""),81064.0)</f>
        <v>81064</v>
      </c>
      <c r="B2700" s="11">
        <f>IFERROR(__xludf.DUMMYFUNCTION("""COMPUTED_VALUE"""),1.0)</f>
        <v>1</v>
      </c>
      <c r="C2700" s="11">
        <f>IFERROR(__xludf.DUMMYFUNCTION("""COMPUTED_VALUE"""),435.0)</f>
        <v>435</v>
      </c>
      <c r="D2700" s="11">
        <f>IFERROR(__xludf.DUMMYFUNCTION("""COMPUTED_VALUE"""),390.0)</f>
        <v>390</v>
      </c>
      <c r="E2700" s="9"/>
    </row>
    <row r="2701">
      <c r="A2701" s="10">
        <f>IFERROR(__xludf.DUMMYFUNCTION("""COMPUTED_VALUE"""),81139.0)</f>
        <v>81139</v>
      </c>
      <c r="B2701" s="11">
        <f>IFERROR(__xludf.DUMMYFUNCTION("""COMPUTED_VALUE"""),1.0)</f>
        <v>1</v>
      </c>
      <c r="C2701" s="11">
        <f>IFERROR(__xludf.DUMMYFUNCTION("""COMPUTED_VALUE"""),219.0)</f>
        <v>219</v>
      </c>
      <c r="D2701" s="11">
        <f>IFERROR(__xludf.DUMMYFUNCTION("""COMPUTED_VALUE"""),4.0)</f>
        <v>4</v>
      </c>
      <c r="E2701" s="9"/>
    </row>
    <row r="2702">
      <c r="A2702" s="10">
        <f>IFERROR(__xludf.DUMMYFUNCTION("""COMPUTED_VALUE"""),81141.0)</f>
        <v>81141</v>
      </c>
      <c r="B2702" s="11">
        <f>IFERROR(__xludf.DUMMYFUNCTION("""COMPUTED_VALUE"""),1.0)</f>
        <v>1</v>
      </c>
      <c r="C2702" s="11">
        <f>IFERROR(__xludf.DUMMYFUNCTION("""COMPUTED_VALUE"""),278.0)</f>
        <v>278</v>
      </c>
      <c r="D2702" s="11">
        <f>IFERROR(__xludf.DUMMYFUNCTION("""COMPUTED_VALUE"""),260.0)</f>
        <v>260</v>
      </c>
      <c r="E2702" s="9"/>
    </row>
    <row r="2703">
      <c r="A2703" s="10">
        <f>IFERROR(__xludf.DUMMYFUNCTION("""COMPUTED_VALUE"""),81054.0)</f>
        <v>81054</v>
      </c>
      <c r="B2703" s="11">
        <f>IFERROR(__xludf.DUMMYFUNCTION("""COMPUTED_VALUE"""),1.0)</f>
        <v>1</v>
      </c>
      <c r="C2703" s="11">
        <f>IFERROR(__xludf.DUMMYFUNCTION("""COMPUTED_VALUE"""),684.0)</f>
        <v>684</v>
      </c>
      <c r="D2703" s="11">
        <f>IFERROR(__xludf.DUMMYFUNCTION("""COMPUTED_VALUE"""),493.0)</f>
        <v>493</v>
      </c>
      <c r="E2703" s="9"/>
    </row>
    <row r="2704">
      <c r="A2704" s="10">
        <f>IFERROR(__xludf.DUMMYFUNCTION("""COMPUTED_VALUE"""),118352.0)</f>
        <v>118352</v>
      </c>
      <c r="B2704" s="11">
        <f>IFERROR(__xludf.DUMMYFUNCTION("""COMPUTED_VALUE"""),0.0)</f>
        <v>0</v>
      </c>
      <c r="C2704" s="11">
        <f>IFERROR(__xludf.DUMMYFUNCTION("""COMPUTED_VALUE"""),478.0)</f>
        <v>478</v>
      </c>
      <c r="D2704" s="11">
        <f>IFERROR(__xludf.DUMMYFUNCTION("""COMPUTED_VALUE"""),112.0)</f>
        <v>112</v>
      </c>
      <c r="E2704" s="9"/>
    </row>
    <row r="2705">
      <c r="A2705" s="10">
        <f>IFERROR(__xludf.DUMMYFUNCTION("""COMPUTED_VALUE"""),81091.0)</f>
        <v>81091</v>
      </c>
      <c r="B2705" s="11">
        <f>IFERROR(__xludf.DUMMYFUNCTION("""COMPUTED_VALUE"""),0.0)</f>
        <v>0</v>
      </c>
      <c r="C2705" s="11">
        <f>IFERROR(__xludf.DUMMYFUNCTION("""COMPUTED_VALUE"""),380.0)</f>
        <v>380</v>
      </c>
      <c r="D2705" s="11">
        <f>IFERROR(__xludf.DUMMYFUNCTION("""COMPUTED_VALUE"""),206.0)</f>
        <v>206</v>
      </c>
      <c r="E2705" s="9"/>
    </row>
    <row r="2706">
      <c r="A2706" s="10">
        <f>IFERROR(__xludf.DUMMYFUNCTION("""COMPUTED_VALUE"""),81025.0)</f>
        <v>81025</v>
      </c>
      <c r="B2706" s="11">
        <f>IFERROR(__xludf.DUMMYFUNCTION("""COMPUTED_VALUE"""),0.0)</f>
        <v>0</v>
      </c>
      <c r="C2706" s="11">
        <f>IFERROR(__xludf.DUMMYFUNCTION("""COMPUTED_VALUE"""),383.0)</f>
        <v>383</v>
      </c>
      <c r="D2706" s="11">
        <f>IFERROR(__xludf.DUMMYFUNCTION("""COMPUTED_VALUE"""),259.0)</f>
        <v>259</v>
      </c>
      <c r="E2706" s="9"/>
    </row>
    <row r="2707">
      <c r="A2707" s="10">
        <f>IFERROR(__xludf.DUMMYFUNCTION("""COMPUTED_VALUE"""),81129.0)</f>
        <v>81129</v>
      </c>
      <c r="B2707" s="11">
        <f>IFERROR(__xludf.DUMMYFUNCTION("""COMPUTED_VALUE"""),0.0)</f>
        <v>0</v>
      </c>
      <c r="C2707" s="11">
        <f>IFERROR(__xludf.DUMMYFUNCTION("""COMPUTED_VALUE"""),761.0)</f>
        <v>761</v>
      </c>
      <c r="D2707" s="11">
        <f>IFERROR(__xludf.DUMMYFUNCTION("""COMPUTED_VALUE"""),593.0)</f>
        <v>593</v>
      </c>
      <c r="E2707" s="9"/>
    </row>
    <row r="2708">
      <c r="A2708" s="10">
        <f>IFERROR(__xludf.DUMMYFUNCTION("""COMPUTED_VALUE"""),81043.0)</f>
        <v>81043</v>
      </c>
      <c r="B2708" s="11">
        <f>IFERROR(__xludf.DUMMYFUNCTION("""COMPUTED_VALUE"""),0.0)</f>
        <v>0</v>
      </c>
      <c r="C2708" s="11">
        <f>IFERROR(__xludf.DUMMYFUNCTION("""COMPUTED_VALUE"""),87.0)</f>
        <v>87</v>
      </c>
      <c r="D2708" s="11">
        <f>IFERROR(__xludf.DUMMYFUNCTION("""COMPUTED_VALUE"""),32.0)</f>
        <v>32</v>
      </c>
      <c r="E2708" s="9"/>
    </row>
    <row r="2709">
      <c r="A2709" s="10">
        <f>IFERROR(__xludf.DUMMYFUNCTION("""COMPUTED_VALUE"""),81120.0)</f>
        <v>81120</v>
      </c>
      <c r="B2709" s="11">
        <f>IFERROR(__xludf.DUMMYFUNCTION("""COMPUTED_VALUE"""),1.0)</f>
        <v>1</v>
      </c>
      <c r="C2709" s="11">
        <f>IFERROR(__xludf.DUMMYFUNCTION("""COMPUTED_VALUE"""),253.0)</f>
        <v>253</v>
      </c>
      <c r="D2709" s="11">
        <f>IFERROR(__xludf.DUMMYFUNCTION("""COMPUTED_VALUE"""),225.0)</f>
        <v>225</v>
      </c>
      <c r="E2709" s="9"/>
    </row>
    <row r="2710">
      <c r="A2710" s="10">
        <f>IFERROR(__xludf.DUMMYFUNCTION("""COMPUTED_VALUE"""),81109.0)</f>
        <v>81109</v>
      </c>
      <c r="B2710" s="11">
        <f>IFERROR(__xludf.DUMMYFUNCTION("""COMPUTED_VALUE"""),1.0)</f>
        <v>1</v>
      </c>
      <c r="C2710" s="11">
        <f>IFERROR(__xludf.DUMMYFUNCTION("""COMPUTED_VALUE"""),759.0)</f>
        <v>759</v>
      </c>
      <c r="D2710" s="11">
        <f>IFERROR(__xludf.DUMMYFUNCTION("""COMPUTED_VALUE"""),422.0)</f>
        <v>422</v>
      </c>
      <c r="E2710" s="9"/>
    </row>
    <row r="2711">
      <c r="A2711" s="10">
        <f>IFERROR(__xludf.DUMMYFUNCTION("""COMPUTED_VALUE"""),81082.0)</f>
        <v>81082</v>
      </c>
      <c r="B2711" s="11">
        <f>IFERROR(__xludf.DUMMYFUNCTION("""COMPUTED_VALUE"""),1.0)</f>
        <v>1</v>
      </c>
      <c r="C2711" s="11">
        <f>IFERROR(__xludf.DUMMYFUNCTION("""COMPUTED_VALUE"""),16.0)</f>
        <v>16</v>
      </c>
      <c r="D2711" s="11">
        <f>IFERROR(__xludf.DUMMYFUNCTION("""COMPUTED_VALUE"""),2.0)</f>
        <v>2</v>
      </c>
      <c r="E2711" s="9"/>
    </row>
    <row r="2712">
      <c r="A2712" s="10">
        <f>IFERROR(__xludf.DUMMYFUNCTION("""COMPUTED_VALUE"""),81036.0)</f>
        <v>81036</v>
      </c>
      <c r="B2712" s="11">
        <f>IFERROR(__xludf.DUMMYFUNCTION("""COMPUTED_VALUE"""),1.0)</f>
        <v>1</v>
      </c>
      <c r="C2712" s="11">
        <f>IFERROR(__xludf.DUMMYFUNCTION("""COMPUTED_VALUE"""),399.0)</f>
        <v>399</v>
      </c>
      <c r="D2712" s="11">
        <f>IFERROR(__xludf.DUMMYFUNCTION("""COMPUTED_VALUE"""),374.0)</f>
        <v>374</v>
      </c>
      <c r="E2712" s="9"/>
    </row>
    <row r="2713">
      <c r="A2713" s="10">
        <f>IFERROR(__xludf.DUMMYFUNCTION("""COMPUTED_VALUE"""),81690.0)</f>
        <v>81690</v>
      </c>
      <c r="B2713" s="11">
        <f>IFERROR(__xludf.DUMMYFUNCTION("""COMPUTED_VALUE"""),1.0)</f>
        <v>1</v>
      </c>
      <c r="C2713" s="11">
        <f>IFERROR(__xludf.DUMMYFUNCTION("""COMPUTED_VALUE"""),419.0)</f>
        <v>419</v>
      </c>
      <c r="D2713" s="11">
        <f>IFERROR(__xludf.DUMMYFUNCTION("""COMPUTED_VALUE"""),96.0)</f>
        <v>96</v>
      </c>
      <c r="E2713" s="9"/>
    </row>
    <row r="2714">
      <c r="A2714" s="10">
        <f>IFERROR(__xludf.DUMMYFUNCTION("""COMPUTED_VALUE"""),87849.0)</f>
        <v>87849</v>
      </c>
      <c r="B2714" s="11">
        <f>IFERROR(__xludf.DUMMYFUNCTION("""COMPUTED_VALUE"""),1.0)</f>
        <v>1</v>
      </c>
      <c r="C2714" s="11">
        <f>IFERROR(__xludf.DUMMYFUNCTION("""COMPUTED_VALUE"""),804.0)</f>
        <v>804</v>
      </c>
      <c r="D2714" s="11">
        <f>IFERROR(__xludf.DUMMYFUNCTION("""COMPUTED_VALUE"""),722.0)</f>
        <v>722</v>
      </c>
      <c r="E2714" s="9"/>
    </row>
    <row r="2715">
      <c r="A2715" s="10">
        <f>IFERROR(__xludf.DUMMYFUNCTION("""COMPUTED_VALUE"""),81094.0)</f>
        <v>81094</v>
      </c>
      <c r="B2715" s="11">
        <f>IFERROR(__xludf.DUMMYFUNCTION("""COMPUTED_VALUE"""),0.0)</f>
        <v>0</v>
      </c>
      <c r="C2715" s="11">
        <f>IFERROR(__xludf.DUMMYFUNCTION("""COMPUTED_VALUE"""),85.0)</f>
        <v>85</v>
      </c>
      <c r="D2715" s="11">
        <f>IFERROR(__xludf.DUMMYFUNCTION("""COMPUTED_VALUE"""),76.0)</f>
        <v>76</v>
      </c>
      <c r="E2715" s="9"/>
    </row>
    <row r="2716">
      <c r="A2716" s="10">
        <f>IFERROR(__xludf.DUMMYFUNCTION("""COMPUTED_VALUE"""),202726.0)</f>
        <v>202726</v>
      </c>
      <c r="B2716" s="11">
        <f>IFERROR(__xludf.DUMMYFUNCTION("""COMPUTED_VALUE"""),0.0)</f>
        <v>0</v>
      </c>
      <c r="C2716" s="11">
        <f>IFERROR(__xludf.DUMMYFUNCTION("""COMPUTED_VALUE"""),372.0)</f>
        <v>372</v>
      </c>
      <c r="D2716" s="11">
        <f>IFERROR(__xludf.DUMMYFUNCTION("""COMPUTED_VALUE"""),4.0)</f>
        <v>4</v>
      </c>
      <c r="E2716" s="9"/>
    </row>
    <row r="2717">
      <c r="A2717" s="10">
        <f>IFERROR(__xludf.DUMMYFUNCTION("""COMPUTED_VALUE"""),101516.0)</f>
        <v>101516</v>
      </c>
      <c r="B2717" s="11">
        <f>IFERROR(__xludf.DUMMYFUNCTION("""COMPUTED_VALUE"""),1.0)</f>
        <v>1</v>
      </c>
      <c r="C2717" s="11">
        <f>IFERROR(__xludf.DUMMYFUNCTION("""COMPUTED_VALUE"""),606.0)</f>
        <v>606</v>
      </c>
      <c r="D2717" s="11">
        <f>IFERROR(__xludf.DUMMYFUNCTION("""COMPUTED_VALUE"""),302.0)</f>
        <v>302</v>
      </c>
      <c r="E2717" s="9"/>
    </row>
    <row r="2718">
      <c r="A2718" s="10">
        <f>IFERROR(__xludf.DUMMYFUNCTION("""COMPUTED_VALUE"""),84332.0)</f>
        <v>84332</v>
      </c>
      <c r="B2718" s="11">
        <f>IFERROR(__xludf.DUMMYFUNCTION("""COMPUTED_VALUE"""),0.0)</f>
        <v>0</v>
      </c>
      <c r="C2718" s="11">
        <f>IFERROR(__xludf.DUMMYFUNCTION("""COMPUTED_VALUE"""),323.0)</f>
        <v>323</v>
      </c>
      <c r="D2718" s="11">
        <f>IFERROR(__xludf.DUMMYFUNCTION("""COMPUTED_VALUE"""),37.0)</f>
        <v>37</v>
      </c>
      <c r="E2718" s="9"/>
    </row>
    <row r="2719">
      <c r="A2719" s="10">
        <f>IFERROR(__xludf.DUMMYFUNCTION("""COMPUTED_VALUE"""),16959.0)</f>
        <v>16959</v>
      </c>
      <c r="B2719" s="11">
        <f>IFERROR(__xludf.DUMMYFUNCTION("""COMPUTED_VALUE"""),1.0)</f>
        <v>1</v>
      </c>
      <c r="C2719" s="11">
        <f>IFERROR(__xludf.DUMMYFUNCTION("""COMPUTED_VALUE"""),418.0)</f>
        <v>418</v>
      </c>
      <c r="D2719" s="11">
        <f>IFERROR(__xludf.DUMMYFUNCTION("""COMPUTED_VALUE"""),18.0)</f>
        <v>18</v>
      </c>
      <c r="E2719" s="9"/>
    </row>
    <row r="2720">
      <c r="A2720" s="10">
        <f>IFERROR(__xludf.DUMMYFUNCTION("""COMPUTED_VALUE"""),87762.0)</f>
        <v>87762</v>
      </c>
      <c r="B2720" s="11">
        <f>IFERROR(__xludf.DUMMYFUNCTION("""COMPUTED_VALUE"""),1.0)</f>
        <v>1</v>
      </c>
      <c r="C2720" s="11">
        <f>IFERROR(__xludf.DUMMYFUNCTION("""COMPUTED_VALUE"""),766.0)</f>
        <v>766</v>
      </c>
      <c r="D2720" s="11">
        <f>IFERROR(__xludf.DUMMYFUNCTION("""COMPUTED_VALUE"""),157.0)</f>
        <v>157</v>
      </c>
      <c r="E2720" s="9"/>
    </row>
    <row r="2721">
      <c r="A2721" s="10">
        <f>IFERROR(__xludf.DUMMYFUNCTION("""COMPUTED_VALUE"""),16952.0)</f>
        <v>16952</v>
      </c>
      <c r="B2721" s="11">
        <f>IFERROR(__xludf.DUMMYFUNCTION("""COMPUTED_VALUE"""),1.0)</f>
        <v>1</v>
      </c>
      <c r="C2721" s="11">
        <f>IFERROR(__xludf.DUMMYFUNCTION("""COMPUTED_VALUE"""),116.0)</f>
        <v>116</v>
      </c>
      <c r="D2721" s="11">
        <f>IFERROR(__xludf.DUMMYFUNCTION("""COMPUTED_VALUE"""),3.0)</f>
        <v>3</v>
      </c>
      <c r="E2721" s="9"/>
    </row>
    <row r="2722">
      <c r="A2722" s="10">
        <f>IFERROR(__xludf.DUMMYFUNCTION("""COMPUTED_VALUE"""),16958.0)</f>
        <v>16958</v>
      </c>
      <c r="B2722" s="11">
        <f>IFERROR(__xludf.DUMMYFUNCTION("""COMPUTED_VALUE"""),1.0)</f>
        <v>1</v>
      </c>
      <c r="C2722" s="11">
        <f>IFERROR(__xludf.DUMMYFUNCTION("""COMPUTED_VALUE"""),219.0)</f>
        <v>219</v>
      </c>
      <c r="D2722" s="11">
        <f>IFERROR(__xludf.DUMMYFUNCTION("""COMPUTED_VALUE"""),144.0)</f>
        <v>144</v>
      </c>
      <c r="E2722" s="9"/>
    </row>
    <row r="2723">
      <c r="A2723" s="10">
        <f>IFERROR(__xludf.DUMMYFUNCTION("""COMPUTED_VALUE"""),16950.0)</f>
        <v>16950</v>
      </c>
      <c r="B2723" s="11">
        <f>IFERROR(__xludf.DUMMYFUNCTION("""COMPUTED_VALUE"""),0.0)</f>
        <v>0</v>
      </c>
      <c r="C2723" s="11">
        <f>IFERROR(__xludf.DUMMYFUNCTION("""COMPUTED_VALUE"""),151.0)</f>
        <v>151</v>
      </c>
      <c r="D2723" s="11">
        <f>IFERROR(__xludf.DUMMYFUNCTION("""COMPUTED_VALUE"""),138.0)</f>
        <v>138</v>
      </c>
      <c r="E2723" s="9"/>
    </row>
    <row r="2724">
      <c r="A2724" s="10">
        <f>IFERROR(__xludf.DUMMYFUNCTION("""COMPUTED_VALUE"""),102266.0)</f>
        <v>102266</v>
      </c>
      <c r="B2724" s="11">
        <f>IFERROR(__xludf.DUMMYFUNCTION("""COMPUTED_VALUE"""),1.0)</f>
        <v>1</v>
      </c>
      <c r="C2724" s="11">
        <f>IFERROR(__xludf.DUMMYFUNCTION("""COMPUTED_VALUE"""),523.0)</f>
        <v>523</v>
      </c>
      <c r="D2724" s="11">
        <f>IFERROR(__xludf.DUMMYFUNCTION("""COMPUTED_VALUE"""),434.0)</f>
        <v>434</v>
      </c>
      <c r="E2724" s="9"/>
    </row>
    <row r="2725">
      <c r="A2725" s="10">
        <f>IFERROR(__xludf.DUMMYFUNCTION("""COMPUTED_VALUE"""),202746.0)</f>
        <v>202746</v>
      </c>
      <c r="B2725" s="11">
        <f>IFERROR(__xludf.DUMMYFUNCTION("""COMPUTED_VALUE"""),0.0)</f>
        <v>0</v>
      </c>
      <c r="C2725" s="11">
        <f>IFERROR(__xludf.DUMMYFUNCTION("""COMPUTED_VALUE"""),514.0)</f>
        <v>514</v>
      </c>
      <c r="D2725" s="11">
        <f>IFERROR(__xludf.DUMMYFUNCTION("""COMPUTED_VALUE"""),499.0)</f>
        <v>499</v>
      </c>
      <c r="E2725" s="9"/>
    </row>
    <row r="2726">
      <c r="A2726" s="10">
        <f>IFERROR(__xludf.DUMMYFUNCTION("""COMPUTED_VALUE"""),101519.0)</f>
        <v>101519</v>
      </c>
      <c r="B2726" s="11">
        <f>IFERROR(__xludf.DUMMYFUNCTION("""COMPUTED_VALUE"""),1.0)</f>
        <v>1</v>
      </c>
      <c r="C2726" s="11">
        <f>IFERROR(__xludf.DUMMYFUNCTION("""COMPUTED_VALUE"""),610.0)</f>
        <v>610</v>
      </c>
      <c r="D2726" s="11">
        <f>IFERROR(__xludf.DUMMYFUNCTION("""COMPUTED_VALUE"""),512.0)</f>
        <v>512</v>
      </c>
      <c r="E2726" s="9"/>
    </row>
    <row r="2727">
      <c r="A2727" s="10">
        <f>IFERROR(__xludf.DUMMYFUNCTION("""COMPUTED_VALUE"""),81688.0)</f>
        <v>81688</v>
      </c>
      <c r="B2727" s="11">
        <f>IFERROR(__xludf.DUMMYFUNCTION("""COMPUTED_VALUE"""),1.0)</f>
        <v>1</v>
      </c>
      <c r="C2727" s="11">
        <f>IFERROR(__xludf.DUMMYFUNCTION("""COMPUTED_VALUE"""),543.0)</f>
        <v>543</v>
      </c>
      <c r="D2727" s="11">
        <f>IFERROR(__xludf.DUMMYFUNCTION("""COMPUTED_VALUE"""),309.0)</f>
        <v>309</v>
      </c>
      <c r="E2727" s="9"/>
    </row>
    <row r="2728">
      <c r="A2728" s="10">
        <f>IFERROR(__xludf.DUMMYFUNCTION("""COMPUTED_VALUE"""),120365.0)</f>
        <v>120365</v>
      </c>
      <c r="B2728" s="11">
        <f>IFERROR(__xludf.DUMMYFUNCTION("""COMPUTED_VALUE"""),1.0)</f>
        <v>1</v>
      </c>
      <c r="C2728" s="11">
        <f>IFERROR(__xludf.DUMMYFUNCTION("""COMPUTED_VALUE"""),287.0)</f>
        <v>287</v>
      </c>
      <c r="D2728" s="11">
        <f>IFERROR(__xludf.DUMMYFUNCTION("""COMPUTED_VALUE"""),145.0)</f>
        <v>145</v>
      </c>
      <c r="E2728" s="9"/>
    </row>
    <row r="2729">
      <c r="A2729" s="10">
        <f>IFERROR(__xludf.DUMMYFUNCTION("""COMPUTED_VALUE"""),3438.0)</f>
        <v>3438</v>
      </c>
      <c r="B2729" s="11">
        <f>IFERROR(__xludf.DUMMYFUNCTION("""COMPUTED_VALUE"""),1.0)</f>
        <v>1</v>
      </c>
      <c r="C2729" s="11">
        <f>IFERROR(__xludf.DUMMYFUNCTION("""COMPUTED_VALUE"""),743.0)</f>
        <v>743</v>
      </c>
      <c r="D2729" s="11">
        <f>IFERROR(__xludf.DUMMYFUNCTION("""COMPUTED_VALUE"""),686.0)</f>
        <v>686</v>
      </c>
      <c r="E2729" s="9"/>
    </row>
    <row r="2730">
      <c r="A2730" s="10">
        <f>IFERROR(__xludf.DUMMYFUNCTION("""COMPUTED_VALUE"""),102262.0)</f>
        <v>102262</v>
      </c>
      <c r="B2730" s="11">
        <f>IFERROR(__xludf.DUMMYFUNCTION("""COMPUTED_VALUE"""),1.0)</f>
        <v>1</v>
      </c>
      <c r="C2730" s="11">
        <f>IFERROR(__xludf.DUMMYFUNCTION("""COMPUTED_VALUE"""),269.0)</f>
        <v>269</v>
      </c>
      <c r="D2730" s="11">
        <f>IFERROR(__xludf.DUMMYFUNCTION("""COMPUTED_VALUE"""),108.0)</f>
        <v>108</v>
      </c>
      <c r="E2730" s="9"/>
    </row>
    <row r="2731">
      <c r="A2731" s="10">
        <f>IFERROR(__xludf.DUMMYFUNCTION("""COMPUTED_VALUE"""),87764.0)</f>
        <v>87764</v>
      </c>
      <c r="B2731" s="11">
        <f>IFERROR(__xludf.DUMMYFUNCTION("""COMPUTED_VALUE"""),0.0)</f>
        <v>0</v>
      </c>
      <c r="C2731" s="11">
        <f>IFERROR(__xludf.DUMMYFUNCTION("""COMPUTED_VALUE"""),620.0)</f>
        <v>620</v>
      </c>
      <c r="D2731" s="11">
        <f>IFERROR(__xludf.DUMMYFUNCTION("""COMPUTED_VALUE"""),281.0)</f>
        <v>281</v>
      </c>
      <c r="E2731" s="9"/>
    </row>
    <row r="2732">
      <c r="A2732" s="10">
        <f>IFERROR(__xludf.DUMMYFUNCTION("""COMPUTED_VALUE"""),3437.0)</f>
        <v>3437</v>
      </c>
      <c r="B2732" s="11">
        <f>IFERROR(__xludf.DUMMYFUNCTION("""COMPUTED_VALUE"""),0.0)</f>
        <v>0</v>
      </c>
      <c r="C2732" s="11">
        <f>IFERROR(__xludf.DUMMYFUNCTION("""COMPUTED_VALUE"""),855.0)</f>
        <v>855</v>
      </c>
      <c r="D2732" s="11">
        <f>IFERROR(__xludf.DUMMYFUNCTION("""COMPUTED_VALUE"""),665.0)</f>
        <v>665</v>
      </c>
      <c r="E2732" s="9"/>
    </row>
    <row r="2733">
      <c r="A2733" s="10">
        <f>IFERROR(__xludf.DUMMYFUNCTION("""COMPUTED_VALUE"""),111017.0)</f>
        <v>111017</v>
      </c>
      <c r="B2733" s="11">
        <f>IFERROR(__xludf.DUMMYFUNCTION("""COMPUTED_VALUE"""),1.0)</f>
        <v>1</v>
      </c>
      <c r="C2733" s="11">
        <f>IFERROR(__xludf.DUMMYFUNCTION("""COMPUTED_VALUE"""),149.0)</f>
        <v>149</v>
      </c>
      <c r="D2733" s="11">
        <f>IFERROR(__xludf.DUMMYFUNCTION("""COMPUTED_VALUE"""),118.0)</f>
        <v>118</v>
      </c>
      <c r="E2733" s="9"/>
    </row>
    <row r="2734">
      <c r="A2734" s="10">
        <f>IFERROR(__xludf.DUMMYFUNCTION("""COMPUTED_VALUE"""),102264.0)</f>
        <v>102264</v>
      </c>
      <c r="B2734" s="11">
        <f>IFERROR(__xludf.DUMMYFUNCTION("""COMPUTED_VALUE"""),1.0)</f>
        <v>1</v>
      </c>
      <c r="C2734" s="11">
        <f>IFERROR(__xludf.DUMMYFUNCTION("""COMPUTED_VALUE"""),798.0)</f>
        <v>798</v>
      </c>
      <c r="D2734" s="11">
        <f>IFERROR(__xludf.DUMMYFUNCTION("""COMPUTED_VALUE"""),162.0)</f>
        <v>162</v>
      </c>
      <c r="E2734" s="9"/>
    </row>
    <row r="2735">
      <c r="A2735" s="10">
        <f>IFERROR(__xludf.DUMMYFUNCTION("""COMPUTED_VALUE"""),18088.0)</f>
        <v>18088</v>
      </c>
      <c r="B2735" s="11">
        <f>IFERROR(__xludf.DUMMYFUNCTION("""COMPUTED_VALUE"""),1.0)</f>
        <v>1</v>
      </c>
      <c r="C2735" s="11">
        <f>IFERROR(__xludf.DUMMYFUNCTION("""COMPUTED_VALUE"""),257.0)</f>
        <v>257</v>
      </c>
      <c r="D2735" s="11">
        <f>IFERROR(__xludf.DUMMYFUNCTION("""COMPUTED_VALUE"""),1.0)</f>
        <v>1</v>
      </c>
      <c r="E2735" s="9"/>
    </row>
    <row r="2736">
      <c r="A2736" s="10">
        <f>IFERROR(__xludf.DUMMYFUNCTION("""COMPUTED_VALUE"""),87836.0)</f>
        <v>87836</v>
      </c>
      <c r="B2736" s="11">
        <f>IFERROR(__xludf.DUMMYFUNCTION("""COMPUTED_VALUE"""),1.0)</f>
        <v>1</v>
      </c>
      <c r="C2736" s="11">
        <f>IFERROR(__xludf.DUMMYFUNCTION("""COMPUTED_VALUE"""),818.0)</f>
        <v>818</v>
      </c>
      <c r="D2736" s="11">
        <f>IFERROR(__xludf.DUMMYFUNCTION("""COMPUTED_VALUE"""),799.0)</f>
        <v>799</v>
      </c>
      <c r="E2736" s="9"/>
    </row>
    <row r="2737">
      <c r="A2737" s="10">
        <f>IFERROR(__xludf.DUMMYFUNCTION("""COMPUTED_VALUE"""),87804.0)</f>
        <v>87804</v>
      </c>
      <c r="B2737" s="11">
        <f>IFERROR(__xludf.DUMMYFUNCTION("""COMPUTED_VALUE"""),0.0)</f>
        <v>0</v>
      </c>
      <c r="C2737" s="11">
        <f>IFERROR(__xludf.DUMMYFUNCTION("""COMPUTED_VALUE"""),724.0)</f>
        <v>724</v>
      </c>
      <c r="D2737" s="11">
        <f>IFERROR(__xludf.DUMMYFUNCTION("""COMPUTED_VALUE"""),158.0)</f>
        <v>158</v>
      </c>
      <c r="E2737" s="9"/>
    </row>
    <row r="2738">
      <c r="A2738" s="10">
        <f>IFERROR(__xludf.DUMMYFUNCTION("""COMPUTED_VALUE"""),108207.0)</f>
        <v>108207</v>
      </c>
      <c r="B2738" s="11">
        <f>IFERROR(__xludf.DUMMYFUNCTION("""COMPUTED_VALUE"""),1.0)</f>
        <v>1</v>
      </c>
      <c r="C2738" s="11">
        <f>IFERROR(__xludf.DUMMYFUNCTION("""COMPUTED_VALUE"""),515.0)</f>
        <v>515</v>
      </c>
      <c r="D2738" s="11">
        <f>IFERROR(__xludf.DUMMYFUNCTION("""COMPUTED_VALUE"""),202.0)</f>
        <v>202</v>
      </c>
      <c r="E2738" s="9"/>
    </row>
    <row r="2739">
      <c r="A2739" s="10">
        <f>IFERROR(__xludf.DUMMYFUNCTION("""COMPUTED_VALUE"""),111043.0)</f>
        <v>111043</v>
      </c>
      <c r="B2739" s="11">
        <f>IFERROR(__xludf.DUMMYFUNCTION("""COMPUTED_VALUE"""),0.0)</f>
        <v>0</v>
      </c>
      <c r="C2739" s="11">
        <f>IFERROR(__xludf.DUMMYFUNCTION("""COMPUTED_VALUE"""),238.0)</f>
        <v>238</v>
      </c>
      <c r="D2739" s="11">
        <f>IFERROR(__xludf.DUMMYFUNCTION("""COMPUTED_VALUE"""),223.0)</f>
        <v>223</v>
      </c>
      <c r="E2739" s="9"/>
    </row>
    <row r="2740">
      <c r="A2740" s="10">
        <f>IFERROR(__xludf.DUMMYFUNCTION("""COMPUTED_VALUE"""),100223.0)</f>
        <v>100223</v>
      </c>
      <c r="B2740" s="11">
        <f>IFERROR(__xludf.DUMMYFUNCTION("""COMPUTED_VALUE"""),0.0)</f>
        <v>0</v>
      </c>
      <c r="C2740" s="11">
        <f>IFERROR(__xludf.DUMMYFUNCTION("""COMPUTED_VALUE"""),438.0)</f>
        <v>438</v>
      </c>
      <c r="D2740" s="11">
        <f>IFERROR(__xludf.DUMMYFUNCTION("""COMPUTED_VALUE"""),240.0)</f>
        <v>240</v>
      </c>
      <c r="E2740" s="9"/>
    </row>
    <row r="2741">
      <c r="A2741" s="10">
        <f>IFERROR(__xludf.DUMMYFUNCTION("""COMPUTED_VALUE"""),92161.0)</f>
        <v>92161</v>
      </c>
      <c r="B2741" s="11">
        <f>IFERROR(__xludf.DUMMYFUNCTION("""COMPUTED_VALUE"""),0.0)</f>
        <v>0</v>
      </c>
      <c r="C2741" s="11">
        <f>IFERROR(__xludf.DUMMYFUNCTION("""COMPUTED_VALUE"""),555.0)</f>
        <v>555</v>
      </c>
      <c r="D2741" s="11">
        <f>IFERROR(__xludf.DUMMYFUNCTION("""COMPUTED_VALUE"""),501.0)</f>
        <v>501</v>
      </c>
      <c r="E2741" s="9"/>
    </row>
    <row r="2742">
      <c r="A2742" s="10">
        <f>IFERROR(__xludf.DUMMYFUNCTION("""COMPUTED_VALUE"""),113405.0)</f>
        <v>113405</v>
      </c>
      <c r="B2742" s="11">
        <f>IFERROR(__xludf.DUMMYFUNCTION("""COMPUTED_VALUE"""),0.0)</f>
        <v>0</v>
      </c>
      <c r="C2742" s="11">
        <f>IFERROR(__xludf.DUMMYFUNCTION("""COMPUTED_VALUE"""),135.0)</f>
        <v>135</v>
      </c>
      <c r="D2742" s="11">
        <f>IFERROR(__xludf.DUMMYFUNCTION("""COMPUTED_VALUE"""),124.0)</f>
        <v>124</v>
      </c>
      <c r="E2742" s="9"/>
    </row>
    <row r="2743">
      <c r="A2743" s="10">
        <f>IFERROR(__xludf.DUMMYFUNCTION("""COMPUTED_VALUE"""),120817.0)</f>
        <v>120817</v>
      </c>
      <c r="B2743" s="11">
        <f>IFERROR(__xludf.DUMMYFUNCTION("""COMPUTED_VALUE"""),0.0)</f>
        <v>0</v>
      </c>
      <c r="C2743" s="11">
        <f>IFERROR(__xludf.DUMMYFUNCTION("""COMPUTED_VALUE"""),438.0)</f>
        <v>438</v>
      </c>
      <c r="D2743" s="11">
        <f>IFERROR(__xludf.DUMMYFUNCTION("""COMPUTED_VALUE"""),106.0)</f>
        <v>106</v>
      </c>
      <c r="E2743" s="9"/>
    </row>
    <row r="2744">
      <c r="A2744" s="10">
        <f>IFERROR(__xludf.DUMMYFUNCTION("""COMPUTED_VALUE"""),14520.0)</f>
        <v>14520</v>
      </c>
      <c r="B2744" s="11">
        <f>IFERROR(__xludf.DUMMYFUNCTION("""COMPUTED_VALUE"""),0.0)</f>
        <v>0</v>
      </c>
      <c r="C2744" s="11">
        <f>IFERROR(__xludf.DUMMYFUNCTION("""COMPUTED_VALUE"""),234.0)</f>
        <v>234</v>
      </c>
      <c r="D2744" s="11">
        <f>IFERROR(__xludf.DUMMYFUNCTION("""COMPUTED_VALUE"""),151.0)</f>
        <v>151</v>
      </c>
      <c r="E2744" s="9"/>
    </row>
    <row r="2745">
      <c r="A2745" s="10">
        <f>IFERROR(__xludf.DUMMYFUNCTION("""COMPUTED_VALUE"""),104928.0)</f>
        <v>104928</v>
      </c>
      <c r="B2745" s="11">
        <f>IFERROR(__xludf.DUMMYFUNCTION("""COMPUTED_VALUE"""),1.0)</f>
        <v>1</v>
      </c>
      <c r="C2745" s="11">
        <f>IFERROR(__xludf.DUMMYFUNCTION("""COMPUTED_VALUE"""),1.0)</f>
        <v>1</v>
      </c>
      <c r="D2745" s="11">
        <f>IFERROR(__xludf.DUMMYFUNCTION("""COMPUTED_VALUE"""),1.0)</f>
        <v>1</v>
      </c>
      <c r="E2745" s="9"/>
    </row>
    <row r="2746">
      <c r="A2746" s="10">
        <f>IFERROR(__xludf.DUMMYFUNCTION("""COMPUTED_VALUE"""),14517.0)</f>
        <v>14517</v>
      </c>
      <c r="B2746" s="11">
        <f>IFERROR(__xludf.DUMMYFUNCTION("""COMPUTED_VALUE"""),0.0)</f>
        <v>0</v>
      </c>
      <c r="C2746" s="11">
        <f>IFERROR(__xludf.DUMMYFUNCTION("""COMPUTED_VALUE"""),645.0)</f>
        <v>645</v>
      </c>
      <c r="D2746" s="11">
        <f>IFERROR(__xludf.DUMMYFUNCTION("""COMPUTED_VALUE"""),488.0)</f>
        <v>488</v>
      </c>
      <c r="E2746" s="9"/>
    </row>
    <row r="2747">
      <c r="A2747" s="10">
        <f>IFERROR(__xludf.DUMMYFUNCTION("""COMPUTED_VALUE"""),122563.0)</f>
        <v>122563</v>
      </c>
      <c r="B2747" s="11">
        <f>IFERROR(__xludf.DUMMYFUNCTION("""COMPUTED_VALUE"""),0.0)</f>
        <v>0</v>
      </c>
      <c r="C2747" s="11">
        <f>IFERROR(__xludf.DUMMYFUNCTION("""COMPUTED_VALUE"""),878.0)</f>
        <v>878</v>
      </c>
      <c r="D2747" s="11">
        <f>IFERROR(__xludf.DUMMYFUNCTION("""COMPUTED_VALUE"""),848.0)</f>
        <v>848</v>
      </c>
      <c r="E2747" s="9"/>
    </row>
    <row r="2748">
      <c r="A2748" s="10">
        <f>IFERROR(__xludf.DUMMYFUNCTION("""COMPUTED_VALUE"""),96404.0)</f>
        <v>96404</v>
      </c>
      <c r="B2748" s="11">
        <f>IFERROR(__xludf.DUMMYFUNCTION("""COMPUTED_VALUE"""),1.0)</f>
        <v>1</v>
      </c>
      <c r="C2748" s="11">
        <f>IFERROR(__xludf.DUMMYFUNCTION("""COMPUTED_VALUE"""),617.0)</f>
        <v>617</v>
      </c>
      <c r="D2748" s="11">
        <f>IFERROR(__xludf.DUMMYFUNCTION("""COMPUTED_VALUE"""),315.0)</f>
        <v>315</v>
      </c>
      <c r="E2748" s="9"/>
    </row>
    <row r="2749">
      <c r="A2749" s="10">
        <f>IFERROR(__xludf.DUMMYFUNCTION("""COMPUTED_VALUE"""),121469.0)</f>
        <v>121469</v>
      </c>
      <c r="B2749" s="11">
        <f>IFERROR(__xludf.DUMMYFUNCTION("""COMPUTED_VALUE"""),1.0)</f>
        <v>1</v>
      </c>
      <c r="C2749" s="11">
        <f>IFERROR(__xludf.DUMMYFUNCTION("""COMPUTED_VALUE"""),457.0)</f>
        <v>457</v>
      </c>
      <c r="D2749" s="11">
        <f>IFERROR(__xludf.DUMMYFUNCTION("""COMPUTED_VALUE"""),258.0)</f>
        <v>258</v>
      </c>
      <c r="E2749" s="9"/>
    </row>
    <row r="2750">
      <c r="A2750" s="10">
        <f>IFERROR(__xludf.DUMMYFUNCTION("""COMPUTED_VALUE"""),122579.0)</f>
        <v>122579</v>
      </c>
      <c r="B2750" s="11">
        <f>IFERROR(__xludf.DUMMYFUNCTION("""COMPUTED_VALUE"""),1.0)</f>
        <v>1</v>
      </c>
      <c r="C2750" s="11">
        <f>IFERROR(__xludf.DUMMYFUNCTION("""COMPUTED_VALUE"""),400.0)</f>
        <v>400</v>
      </c>
      <c r="D2750" s="11">
        <f>IFERROR(__xludf.DUMMYFUNCTION("""COMPUTED_VALUE"""),346.0)</f>
        <v>346</v>
      </c>
      <c r="E2750" s="9"/>
    </row>
    <row r="2751">
      <c r="A2751" s="10">
        <f>IFERROR(__xludf.DUMMYFUNCTION("""COMPUTED_VALUE"""),113407.0)</f>
        <v>113407</v>
      </c>
      <c r="B2751" s="11">
        <f>IFERROR(__xludf.DUMMYFUNCTION("""COMPUTED_VALUE"""),0.0)</f>
        <v>0</v>
      </c>
      <c r="C2751" s="11">
        <f>IFERROR(__xludf.DUMMYFUNCTION("""COMPUTED_VALUE"""),186.0)</f>
        <v>186</v>
      </c>
      <c r="D2751" s="11">
        <f>IFERROR(__xludf.DUMMYFUNCTION("""COMPUTED_VALUE"""),103.0)</f>
        <v>103</v>
      </c>
      <c r="E2751" s="9"/>
    </row>
    <row r="2752">
      <c r="A2752" s="10">
        <f>IFERROR(__xludf.DUMMYFUNCTION("""COMPUTED_VALUE"""),91995.0)</f>
        <v>91995</v>
      </c>
      <c r="B2752" s="11">
        <f>IFERROR(__xludf.DUMMYFUNCTION("""COMPUTED_VALUE"""),0.0)</f>
        <v>0</v>
      </c>
      <c r="C2752" s="11">
        <f>IFERROR(__xludf.DUMMYFUNCTION("""COMPUTED_VALUE"""),386.0)</f>
        <v>386</v>
      </c>
      <c r="D2752" s="11">
        <f>IFERROR(__xludf.DUMMYFUNCTION("""COMPUTED_VALUE"""),228.0)</f>
        <v>228</v>
      </c>
      <c r="E2752" s="9"/>
    </row>
    <row r="2753">
      <c r="A2753" s="10">
        <f>IFERROR(__xludf.DUMMYFUNCTION("""COMPUTED_VALUE"""),81178.0)</f>
        <v>81178</v>
      </c>
      <c r="B2753" s="11">
        <f>IFERROR(__xludf.DUMMYFUNCTION("""COMPUTED_VALUE"""),1.0)</f>
        <v>1</v>
      </c>
      <c r="C2753" s="11">
        <f>IFERROR(__xludf.DUMMYFUNCTION("""COMPUTED_VALUE"""),9.0)</f>
        <v>9</v>
      </c>
      <c r="D2753" s="11">
        <f>IFERROR(__xludf.DUMMYFUNCTION("""COMPUTED_VALUE"""),7.0)</f>
        <v>7</v>
      </c>
      <c r="E2753" s="9"/>
    </row>
    <row r="2754">
      <c r="A2754" s="10">
        <f>IFERROR(__xludf.DUMMYFUNCTION("""COMPUTED_VALUE"""),12918.0)</f>
        <v>12918</v>
      </c>
      <c r="B2754" s="11">
        <f>IFERROR(__xludf.DUMMYFUNCTION("""COMPUTED_VALUE"""),0.0)</f>
        <v>0</v>
      </c>
      <c r="C2754" s="11">
        <f>IFERROR(__xludf.DUMMYFUNCTION("""COMPUTED_VALUE"""),247.0)</f>
        <v>247</v>
      </c>
      <c r="D2754" s="11">
        <f>IFERROR(__xludf.DUMMYFUNCTION("""COMPUTED_VALUE"""),208.0)</f>
        <v>208</v>
      </c>
      <c r="E2754" s="9"/>
    </row>
    <row r="2755">
      <c r="A2755" s="10">
        <f>IFERROR(__xludf.DUMMYFUNCTION("""COMPUTED_VALUE"""),122411.0)</f>
        <v>122411</v>
      </c>
      <c r="B2755" s="11">
        <f>IFERROR(__xludf.DUMMYFUNCTION("""COMPUTED_VALUE"""),1.0)</f>
        <v>1</v>
      </c>
      <c r="C2755" s="11">
        <f>IFERROR(__xludf.DUMMYFUNCTION("""COMPUTED_VALUE"""),258.0)</f>
        <v>258</v>
      </c>
      <c r="D2755" s="11">
        <f>IFERROR(__xludf.DUMMYFUNCTION("""COMPUTED_VALUE"""),233.0)</f>
        <v>233</v>
      </c>
      <c r="E2755" s="9"/>
    </row>
    <row r="2756">
      <c r="A2756" s="10">
        <f>IFERROR(__xludf.DUMMYFUNCTION("""COMPUTED_VALUE"""),81194.0)</f>
        <v>81194</v>
      </c>
      <c r="B2756" s="11">
        <f>IFERROR(__xludf.DUMMYFUNCTION("""COMPUTED_VALUE"""),0.0)</f>
        <v>0</v>
      </c>
      <c r="C2756" s="11">
        <f>IFERROR(__xludf.DUMMYFUNCTION("""COMPUTED_VALUE"""),310.0)</f>
        <v>310</v>
      </c>
      <c r="D2756" s="11">
        <f>IFERROR(__xludf.DUMMYFUNCTION("""COMPUTED_VALUE"""),255.0)</f>
        <v>255</v>
      </c>
      <c r="E2756" s="9"/>
    </row>
    <row r="2757">
      <c r="A2757" s="10">
        <f>IFERROR(__xludf.DUMMYFUNCTION("""COMPUTED_VALUE"""),71876.0)</f>
        <v>71876</v>
      </c>
      <c r="B2757" s="11">
        <f>IFERROR(__xludf.DUMMYFUNCTION("""COMPUTED_VALUE"""),0.0)</f>
        <v>0</v>
      </c>
      <c r="C2757" s="11">
        <f>IFERROR(__xludf.DUMMYFUNCTION("""COMPUTED_VALUE"""),434.0)</f>
        <v>434</v>
      </c>
      <c r="D2757" s="11">
        <f>IFERROR(__xludf.DUMMYFUNCTION("""COMPUTED_VALUE"""),96.0)</f>
        <v>96</v>
      </c>
      <c r="E2757" s="9"/>
    </row>
    <row r="2758">
      <c r="A2758" s="10">
        <f>IFERROR(__xludf.DUMMYFUNCTION("""COMPUTED_VALUE"""),129493.0)</f>
        <v>129493</v>
      </c>
      <c r="B2758" s="11">
        <f>IFERROR(__xludf.DUMMYFUNCTION("""COMPUTED_VALUE"""),1.0)</f>
        <v>1</v>
      </c>
      <c r="C2758" s="11">
        <f>IFERROR(__xludf.DUMMYFUNCTION("""COMPUTED_VALUE"""),432.0)</f>
        <v>432</v>
      </c>
      <c r="D2758" s="11">
        <f>IFERROR(__xludf.DUMMYFUNCTION("""COMPUTED_VALUE"""),5.0)</f>
        <v>5</v>
      </c>
      <c r="E2758" s="9"/>
    </row>
    <row r="2759">
      <c r="A2759" s="10">
        <f>IFERROR(__xludf.DUMMYFUNCTION("""COMPUTED_VALUE"""),81190.0)</f>
        <v>81190</v>
      </c>
      <c r="B2759" s="11">
        <f>IFERROR(__xludf.DUMMYFUNCTION("""COMPUTED_VALUE"""),0.0)</f>
        <v>0</v>
      </c>
      <c r="C2759" s="11">
        <f>IFERROR(__xludf.DUMMYFUNCTION("""COMPUTED_VALUE"""),774.0)</f>
        <v>774</v>
      </c>
      <c r="D2759" s="11">
        <f>IFERROR(__xludf.DUMMYFUNCTION("""COMPUTED_VALUE"""),218.0)</f>
        <v>218</v>
      </c>
      <c r="E2759" s="9"/>
    </row>
    <row r="2760">
      <c r="A2760" s="10">
        <f>IFERROR(__xludf.DUMMYFUNCTION("""COMPUTED_VALUE"""),71875.0)</f>
        <v>71875</v>
      </c>
      <c r="B2760" s="11">
        <f>IFERROR(__xludf.DUMMYFUNCTION("""COMPUTED_VALUE"""),0.0)</f>
        <v>0</v>
      </c>
      <c r="C2760" s="11">
        <f>IFERROR(__xludf.DUMMYFUNCTION("""COMPUTED_VALUE"""),979.0)</f>
        <v>979</v>
      </c>
      <c r="D2760" s="11">
        <f>IFERROR(__xludf.DUMMYFUNCTION("""COMPUTED_VALUE"""),802.0)</f>
        <v>802</v>
      </c>
      <c r="E2760" s="9"/>
    </row>
    <row r="2761">
      <c r="A2761" s="10">
        <f>IFERROR(__xludf.DUMMYFUNCTION("""COMPUTED_VALUE"""),81198.0)</f>
        <v>81198</v>
      </c>
      <c r="B2761" s="11">
        <f>IFERROR(__xludf.DUMMYFUNCTION("""COMPUTED_VALUE"""),0.0)</f>
        <v>0</v>
      </c>
      <c r="C2761" s="11">
        <f>IFERROR(__xludf.DUMMYFUNCTION("""COMPUTED_VALUE"""),493.0)</f>
        <v>493</v>
      </c>
      <c r="D2761" s="11">
        <f>IFERROR(__xludf.DUMMYFUNCTION("""COMPUTED_VALUE"""),86.0)</f>
        <v>86</v>
      </c>
      <c r="E2761" s="9"/>
    </row>
    <row r="2762">
      <c r="A2762" s="10">
        <f>IFERROR(__xludf.DUMMYFUNCTION("""COMPUTED_VALUE"""),188723.0)</f>
        <v>188723</v>
      </c>
      <c r="B2762" s="11">
        <f>IFERROR(__xludf.DUMMYFUNCTION("""COMPUTED_VALUE"""),0.0)</f>
        <v>0</v>
      </c>
      <c r="C2762" s="11">
        <f>IFERROR(__xludf.DUMMYFUNCTION("""COMPUTED_VALUE"""),645.0)</f>
        <v>645</v>
      </c>
      <c r="D2762" s="11">
        <f>IFERROR(__xludf.DUMMYFUNCTION("""COMPUTED_VALUE"""),241.0)</f>
        <v>241</v>
      </c>
      <c r="E2762" s="9"/>
    </row>
    <row r="2763">
      <c r="A2763" s="10">
        <f>IFERROR(__xludf.DUMMYFUNCTION("""COMPUTED_VALUE"""),115053.0)</f>
        <v>115053</v>
      </c>
      <c r="B2763" s="11">
        <f>IFERROR(__xludf.DUMMYFUNCTION("""COMPUTED_VALUE"""),1.0)</f>
        <v>1</v>
      </c>
      <c r="C2763" s="11">
        <f>IFERROR(__xludf.DUMMYFUNCTION("""COMPUTED_VALUE"""),921.0)</f>
        <v>921</v>
      </c>
      <c r="D2763" s="11">
        <f>IFERROR(__xludf.DUMMYFUNCTION("""COMPUTED_VALUE"""),824.0)</f>
        <v>824</v>
      </c>
      <c r="E2763" s="9"/>
    </row>
    <row r="2764">
      <c r="A2764" s="10">
        <f>IFERROR(__xludf.DUMMYFUNCTION("""COMPUTED_VALUE"""),104609.0)</f>
        <v>104609</v>
      </c>
      <c r="B2764" s="11">
        <f>IFERROR(__xludf.DUMMYFUNCTION("""COMPUTED_VALUE"""),0.0)</f>
        <v>0</v>
      </c>
      <c r="C2764" s="11">
        <f>IFERROR(__xludf.DUMMYFUNCTION("""COMPUTED_VALUE"""),614.0)</f>
        <v>614</v>
      </c>
      <c r="D2764" s="11">
        <f>IFERROR(__xludf.DUMMYFUNCTION("""COMPUTED_VALUE"""),1.0)</f>
        <v>1</v>
      </c>
      <c r="E2764" s="9"/>
    </row>
    <row r="2765">
      <c r="A2765" s="10">
        <f>IFERROR(__xludf.DUMMYFUNCTION("""COMPUTED_VALUE"""),12916.0)</f>
        <v>12916</v>
      </c>
      <c r="B2765" s="11">
        <f>IFERROR(__xludf.DUMMYFUNCTION("""COMPUTED_VALUE"""),0.0)</f>
        <v>0</v>
      </c>
      <c r="C2765" s="11">
        <f>IFERROR(__xludf.DUMMYFUNCTION("""COMPUTED_VALUE"""),631.0)</f>
        <v>631</v>
      </c>
      <c r="D2765" s="11">
        <f>IFERROR(__xludf.DUMMYFUNCTION("""COMPUTED_VALUE"""),42.0)</f>
        <v>42</v>
      </c>
      <c r="E2765" s="9"/>
    </row>
    <row r="2766">
      <c r="A2766" s="10">
        <f>IFERROR(__xludf.DUMMYFUNCTION("""COMPUTED_VALUE"""),129488.0)</f>
        <v>129488</v>
      </c>
      <c r="B2766" s="11">
        <f>IFERROR(__xludf.DUMMYFUNCTION("""COMPUTED_VALUE"""),0.0)</f>
        <v>0</v>
      </c>
      <c r="C2766" s="11">
        <f>IFERROR(__xludf.DUMMYFUNCTION("""COMPUTED_VALUE"""),575.0)</f>
        <v>575</v>
      </c>
      <c r="D2766" s="11">
        <f>IFERROR(__xludf.DUMMYFUNCTION("""COMPUTED_VALUE"""),131.0)</f>
        <v>131</v>
      </c>
      <c r="E2766" s="9"/>
    </row>
    <row r="2767">
      <c r="A2767" s="10">
        <f>IFERROR(__xludf.DUMMYFUNCTION("""COMPUTED_VALUE"""),78566.0)</f>
        <v>78566</v>
      </c>
      <c r="B2767" s="11">
        <f>IFERROR(__xludf.DUMMYFUNCTION("""COMPUTED_VALUE"""),1.0)</f>
        <v>1</v>
      </c>
      <c r="C2767" s="11">
        <f>IFERROR(__xludf.DUMMYFUNCTION("""COMPUTED_VALUE"""),369.0)</f>
        <v>369</v>
      </c>
      <c r="D2767" s="11">
        <f>IFERROR(__xludf.DUMMYFUNCTION("""COMPUTED_VALUE"""),119.0)</f>
        <v>119</v>
      </c>
      <c r="E2767" s="9"/>
    </row>
    <row r="2768">
      <c r="A2768" s="10">
        <f>IFERROR(__xludf.DUMMYFUNCTION("""COMPUTED_VALUE"""),15090.0)</f>
        <v>15090</v>
      </c>
      <c r="B2768" s="11">
        <f>IFERROR(__xludf.DUMMYFUNCTION("""COMPUTED_VALUE"""),1.0)</f>
        <v>1</v>
      </c>
      <c r="C2768" s="11">
        <f>IFERROR(__xludf.DUMMYFUNCTION("""COMPUTED_VALUE"""),492.0)</f>
        <v>492</v>
      </c>
      <c r="D2768" s="11">
        <f>IFERROR(__xludf.DUMMYFUNCTION("""COMPUTED_VALUE"""),346.0)</f>
        <v>346</v>
      </c>
      <c r="E2768" s="9"/>
    </row>
    <row r="2769">
      <c r="A2769" s="10">
        <f>IFERROR(__xludf.DUMMYFUNCTION("""COMPUTED_VALUE"""),81209.0)</f>
        <v>81209</v>
      </c>
      <c r="B2769" s="11">
        <f>IFERROR(__xludf.DUMMYFUNCTION("""COMPUTED_VALUE"""),0.0)</f>
        <v>0</v>
      </c>
      <c r="C2769" s="11">
        <f>IFERROR(__xludf.DUMMYFUNCTION("""COMPUTED_VALUE"""),616.0)</f>
        <v>616</v>
      </c>
      <c r="D2769" s="11">
        <f>IFERROR(__xludf.DUMMYFUNCTION("""COMPUTED_VALUE"""),146.0)</f>
        <v>146</v>
      </c>
      <c r="E2769" s="9"/>
    </row>
    <row r="2770">
      <c r="A2770" s="10">
        <f>IFERROR(__xludf.DUMMYFUNCTION("""COMPUTED_VALUE"""),108141.0)</f>
        <v>108141</v>
      </c>
      <c r="B2770" s="11">
        <f>IFERROR(__xludf.DUMMYFUNCTION("""COMPUTED_VALUE"""),1.0)</f>
        <v>1</v>
      </c>
      <c r="C2770" s="11">
        <f>IFERROR(__xludf.DUMMYFUNCTION("""COMPUTED_VALUE"""),785.0)</f>
        <v>785</v>
      </c>
      <c r="D2770" s="11">
        <f>IFERROR(__xludf.DUMMYFUNCTION("""COMPUTED_VALUE"""),78.0)</f>
        <v>78</v>
      </c>
      <c r="E2770" s="9"/>
    </row>
    <row r="2771">
      <c r="A2771" s="10">
        <f>IFERROR(__xludf.DUMMYFUNCTION("""COMPUTED_VALUE"""),12914.0)</f>
        <v>12914</v>
      </c>
      <c r="B2771" s="11">
        <f>IFERROR(__xludf.DUMMYFUNCTION("""COMPUTED_VALUE"""),0.0)</f>
        <v>0</v>
      </c>
      <c r="C2771" s="11">
        <f>IFERROR(__xludf.DUMMYFUNCTION("""COMPUTED_VALUE"""),509.0)</f>
        <v>509</v>
      </c>
      <c r="D2771" s="11">
        <f>IFERROR(__xludf.DUMMYFUNCTION("""COMPUTED_VALUE"""),431.0)</f>
        <v>431</v>
      </c>
      <c r="E2771" s="9"/>
    </row>
    <row r="2772">
      <c r="A2772" s="10">
        <f>IFERROR(__xludf.DUMMYFUNCTION("""COMPUTED_VALUE"""),129492.0)</f>
        <v>129492</v>
      </c>
      <c r="B2772" s="11">
        <f>IFERROR(__xludf.DUMMYFUNCTION("""COMPUTED_VALUE"""),1.0)</f>
        <v>1</v>
      </c>
      <c r="C2772" s="11">
        <f>IFERROR(__xludf.DUMMYFUNCTION("""COMPUTED_VALUE"""),251.0)</f>
        <v>251</v>
      </c>
      <c r="D2772" s="11">
        <f>IFERROR(__xludf.DUMMYFUNCTION("""COMPUTED_VALUE"""),139.0)</f>
        <v>139</v>
      </c>
      <c r="E2772" s="9"/>
    </row>
    <row r="2773">
      <c r="A2773" s="10">
        <f>IFERROR(__xludf.DUMMYFUNCTION("""COMPUTED_VALUE"""),120473.0)</f>
        <v>120473</v>
      </c>
      <c r="B2773" s="11">
        <f>IFERROR(__xludf.DUMMYFUNCTION("""COMPUTED_VALUE"""),0.0)</f>
        <v>0</v>
      </c>
      <c r="C2773" s="11">
        <f>IFERROR(__xludf.DUMMYFUNCTION("""COMPUTED_VALUE"""),41.0)</f>
        <v>41</v>
      </c>
      <c r="D2773" s="11">
        <f>IFERROR(__xludf.DUMMYFUNCTION("""COMPUTED_VALUE"""),2.0)</f>
        <v>2</v>
      </c>
      <c r="E2773" s="9"/>
    </row>
    <row r="2774">
      <c r="A2774" s="10">
        <f>IFERROR(__xludf.DUMMYFUNCTION("""COMPUTED_VALUE"""),12924.0)</f>
        <v>12924</v>
      </c>
      <c r="B2774" s="11">
        <f>IFERROR(__xludf.DUMMYFUNCTION("""COMPUTED_VALUE"""),0.0)</f>
        <v>0</v>
      </c>
      <c r="C2774" s="11">
        <f>IFERROR(__xludf.DUMMYFUNCTION("""COMPUTED_VALUE"""),809.0)</f>
        <v>809</v>
      </c>
      <c r="D2774" s="11">
        <f>IFERROR(__xludf.DUMMYFUNCTION("""COMPUTED_VALUE"""),414.0)</f>
        <v>414</v>
      </c>
      <c r="E2774" s="9"/>
    </row>
    <row r="2775">
      <c r="A2775" s="10">
        <f>IFERROR(__xludf.DUMMYFUNCTION("""COMPUTED_VALUE"""),12920.0)</f>
        <v>12920</v>
      </c>
      <c r="B2775" s="11">
        <f>IFERROR(__xludf.DUMMYFUNCTION("""COMPUTED_VALUE"""),0.0)</f>
        <v>0</v>
      </c>
      <c r="C2775" s="11">
        <f>IFERROR(__xludf.DUMMYFUNCTION("""COMPUTED_VALUE"""),128.0)</f>
        <v>128</v>
      </c>
      <c r="D2775" s="11">
        <f>IFERROR(__xludf.DUMMYFUNCTION("""COMPUTED_VALUE"""),71.0)</f>
        <v>71</v>
      </c>
      <c r="E2775" s="9"/>
    </row>
    <row r="2776">
      <c r="A2776" s="10">
        <f>IFERROR(__xludf.DUMMYFUNCTION("""COMPUTED_VALUE"""),81200.0)</f>
        <v>81200</v>
      </c>
      <c r="B2776" s="11">
        <f>IFERROR(__xludf.DUMMYFUNCTION("""COMPUTED_VALUE"""),1.0)</f>
        <v>1</v>
      </c>
      <c r="C2776" s="11">
        <f>IFERROR(__xludf.DUMMYFUNCTION("""COMPUTED_VALUE"""),952.0)</f>
        <v>952</v>
      </c>
      <c r="D2776" s="11">
        <f>IFERROR(__xludf.DUMMYFUNCTION("""COMPUTED_VALUE"""),186.0)</f>
        <v>186</v>
      </c>
      <c r="E2776" s="9"/>
    </row>
    <row r="2777">
      <c r="A2777" s="10">
        <f>IFERROR(__xludf.DUMMYFUNCTION("""COMPUTED_VALUE"""),122410.0)</f>
        <v>122410</v>
      </c>
      <c r="B2777" s="11">
        <f>IFERROR(__xludf.DUMMYFUNCTION("""COMPUTED_VALUE"""),1.0)</f>
        <v>1</v>
      </c>
      <c r="C2777" s="11">
        <f>IFERROR(__xludf.DUMMYFUNCTION("""COMPUTED_VALUE"""),200.0)</f>
        <v>200</v>
      </c>
      <c r="D2777" s="11">
        <f>IFERROR(__xludf.DUMMYFUNCTION("""COMPUTED_VALUE"""),119.0)</f>
        <v>119</v>
      </c>
      <c r="E2777" s="9"/>
    </row>
    <row r="2778">
      <c r="A2778" s="10">
        <f>IFERROR(__xludf.DUMMYFUNCTION("""COMPUTED_VALUE"""),81720.0)</f>
        <v>81720</v>
      </c>
      <c r="B2778" s="11">
        <f>IFERROR(__xludf.DUMMYFUNCTION("""COMPUTED_VALUE"""),0.0)</f>
        <v>0</v>
      </c>
      <c r="C2778" s="11">
        <f>IFERROR(__xludf.DUMMYFUNCTION("""COMPUTED_VALUE"""),978.0)</f>
        <v>978</v>
      </c>
      <c r="D2778" s="11">
        <f>IFERROR(__xludf.DUMMYFUNCTION("""COMPUTED_VALUE"""),952.0)</f>
        <v>952</v>
      </c>
      <c r="E2778" s="9"/>
    </row>
    <row r="2779">
      <c r="A2779" s="10">
        <f>IFERROR(__xludf.DUMMYFUNCTION("""COMPUTED_VALUE"""),12923.0)</f>
        <v>12923</v>
      </c>
      <c r="B2779" s="11">
        <f>IFERROR(__xludf.DUMMYFUNCTION("""COMPUTED_VALUE"""),0.0)</f>
        <v>0</v>
      </c>
      <c r="C2779" s="11">
        <f>IFERROR(__xludf.DUMMYFUNCTION("""COMPUTED_VALUE"""),244.0)</f>
        <v>244</v>
      </c>
      <c r="D2779" s="11">
        <f>IFERROR(__xludf.DUMMYFUNCTION("""COMPUTED_VALUE"""),37.0)</f>
        <v>37</v>
      </c>
      <c r="E2779" s="9"/>
    </row>
    <row r="2780">
      <c r="A2780" s="10">
        <f>IFERROR(__xludf.DUMMYFUNCTION("""COMPUTED_VALUE"""),81173.0)</f>
        <v>81173</v>
      </c>
      <c r="B2780" s="11">
        <f>IFERROR(__xludf.DUMMYFUNCTION("""COMPUTED_VALUE"""),1.0)</f>
        <v>1</v>
      </c>
      <c r="C2780" s="11">
        <f>IFERROR(__xludf.DUMMYFUNCTION("""COMPUTED_VALUE"""),860.0)</f>
        <v>860</v>
      </c>
      <c r="D2780" s="11">
        <f>IFERROR(__xludf.DUMMYFUNCTION("""COMPUTED_VALUE"""),335.0)</f>
        <v>335</v>
      </c>
      <c r="E2780" s="9"/>
    </row>
    <row r="2781">
      <c r="A2781" s="10">
        <f>IFERROR(__xludf.DUMMYFUNCTION("""COMPUTED_VALUE"""),12910.0)</f>
        <v>12910</v>
      </c>
      <c r="B2781" s="11">
        <f>IFERROR(__xludf.DUMMYFUNCTION("""COMPUTED_VALUE"""),1.0)</f>
        <v>1</v>
      </c>
      <c r="C2781" s="11">
        <f>IFERROR(__xludf.DUMMYFUNCTION("""COMPUTED_VALUE"""),719.0)</f>
        <v>719</v>
      </c>
      <c r="D2781" s="11">
        <f>IFERROR(__xludf.DUMMYFUNCTION("""COMPUTED_VALUE"""),364.0)</f>
        <v>364</v>
      </c>
      <c r="E2781" s="9"/>
    </row>
    <row r="2782">
      <c r="A2782" s="10">
        <f>IFERROR(__xludf.DUMMYFUNCTION("""COMPUTED_VALUE"""),81193.0)</f>
        <v>81193</v>
      </c>
      <c r="B2782" s="11">
        <f>IFERROR(__xludf.DUMMYFUNCTION("""COMPUTED_VALUE"""),1.0)</f>
        <v>1</v>
      </c>
      <c r="C2782" s="11">
        <f>IFERROR(__xludf.DUMMYFUNCTION("""COMPUTED_VALUE"""),135.0)</f>
        <v>135</v>
      </c>
      <c r="D2782" s="11">
        <f>IFERROR(__xludf.DUMMYFUNCTION("""COMPUTED_VALUE"""),24.0)</f>
        <v>24</v>
      </c>
      <c r="E2782" s="9"/>
    </row>
    <row r="2783">
      <c r="A2783" s="10">
        <f>IFERROR(__xludf.DUMMYFUNCTION("""COMPUTED_VALUE"""),12917.0)</f>
        <v>12917</v>
      </c>
      <c r="B2783" s="11">
        <f>IFERROR(__xludf.DUMMYFUNCTION("""COMPUTED_VALUE"""),0.0)</f>
        <v>0</v>
      </c>
      <c r="C2783" s="11">
        <f>IFERROR(__xludf.DUMMYFUNCTION("""COMPUTED_VALUE"""),303.0)</f>
        <v>303</v>
      </c>
      <c r="D2783" s="11">
        <f>IFERROR(__xludf.DUMMYFUNCTION("""COMPUTED_VALUE"""),185.0)</f>
        <v>185</v>
      </c>
      <c r="E2783" s="9"/>
    </row>
    <row r="2784">
      <c r="A2784" s="10">
        <f>IFERROR(__xludf.DUMMYFUNCTION("""COMPUTED_VALUE"""),129491.0)</f>
        <v>129491</v>
      </c>
      <c r="B2784" s="11">
        <f>IFERROR(__xludf.DUMMYFUNCTION("""COMPUTED_VALUE"""),0.0)</f>
        <v>0</v>
      </c>
      <c r="C2784" s="11">
        <f>IFERROR(__xludf.DUMMYFUNCTION("""COMPUTED_VALUE"""),900.0)</f>
        <v>900</v>
      </c>
      <c r="D2784" s="11">
        <f>IFERROR(__xludf.DUMMYFUNCTION("""COMPUTED_VALUE"""),229.0)</f>
        <v>229</v>
      </c>
      <c r="E2784" s="9"/>
    </row>
    <row r="2785">
      <c r="A2785" s="10">
        <f>IFERROR(__xludf.DUMMYFUNCTION("""COMPUTED_VALUE"""),15104.0)</f>
        <v>15104</v>
      </c>
      <c r="B2785" s="11">
        <f>IFERROR(__xludf.DUMMYFUNCTION("""COMPUTED_VALUE"""),1.0)</f>
        <v>1</v>
      </c>
      <c r="C2785" s="11">
        <f>IFERROR(__xludf.DUMMYFUNCTION("""COMPUTED_VALUE"""),203.0)</f>
        <v>203</v>
      </c>
      <c r="D2785" s="11">
        <f>IFERROR(__xludf.DUMMYFUNCTION("""COMPUTED_VALUE"""),202.0)</f>
        <v>202</v>
      </c>
      <c r="E2785" s="9"/>
    </row>
    <row r="2786">
      <c r="A2786" s="10">
        <f>IFERROR(__xludf.DUMMYFUNCTION("""COMPUTED_VALUE"""),122407.0)</f>
        <v>122407</v>
      </c>
      <c r="B2786" s="11">
        <f>IFERROR(__xludf.DUMMYFUNCTION("""COMPUTED_VALUE"""),1.0)</f>
        <v>1</v>
      </c>
      <c r="C2786" s="11">
        <f>IFERROR(__xludf.DUMMYFUNCTION("""COMPUTED_VALUE"""),116.0)</f>
        <v>116</v>
      </c>
      <c r="D2786" s="11">
        <f>IFERROR(__xludf.DUMMYFUNCTION("""COMPUTED_VALUE"""),7.0)</f>
        <v>7</v>
      </c>
      <c r="E2786" s="9"/>
    </row>
    <row r="2787">
      <c r="A2787" s="10">
        <f>IFERROR(__xludf.DUMMYFUNCTION("""COMPUTED_VALUE"""),81191.0)</f>
        <v>81191</v>
      </c>
      <c r="B2787" s="11">
        <f>IFERROR(__xludf.DUMMYFUNCTION("""COMPUTED_VALUE"""),0.0)</f>
        <v>0</v>
      </c>
      <c r="C2787" s="11">
        <f>IFERROR(__xludf.DUMMYFUNCTION("""COMPUTED_VALUE"""),67.0)</f>
        <v>67</v>
      </c>
      <c r="D2787" s="11">
        <f>IFERROR(__xludf.DUMMYFUNCTION("""COMPUTED_VALUE"""),11.0)</f>
        <v>11</v>
      </c>
      <c r="E2787" s="9"/>
    </row>
    <row r="2788">
      <c r="A2788" s="10">
        <f>IFERROR(__xludf.DUMMYFUNCTION("""COMPUTED_VALUE"""),188725.0)</f>
        <v>188725</v>
      </c>
      <c r="B2788" s="11">
        <f>IFERROR(__xludf.DUMMYFUNCTION("""COMPUTED_VALUE"""),1.0)</f>
        <v>1</v>
      </c>
      <c r="C2788" s="11">
        <f>IFERROR(__xludf.DUMMYFUNCTION("""COMPUTED_VALUE"""),206.0)</f>
        <v>206</v>
      </c>
      <c r="D2788" s="11">
        <f>IFERROR(__xludf.DUMMYFUNCTION("""COMPUTED_VALUE"""),29.0)</f>
        <v>29</v>
      </c>
      <c r="E2788" s="9"/>
    </row>
    <row r="2789">
      <c r="A2789" s="10">
        <f>IFERROR(__xludf.DUMMYFUNCTION("""COMPUTED_VALUE"""),188724.0)</f>
        <v>188724</v>
      </c>
      <c r="B2789" s="11">
        <f>IFERROR(__xludf.DUMMYFUNCTION("""COMPUTED_VALUE"""),0.0)</f>
        <v>0</v>
      </c>
      <c r="C2789" s="11">
        <f>IFERROR(__xludf.DUMMYFUNCTION("""COMPUTED_VALUE"""),903.0)</f>
        <v>903</v>
      </c>
      <c r="D2789" s="11">
        <f>IFERROR(__xludf.DUMMYFUNCTION("""COMPUTED_VALUE"""),505.0)</f>
        <v>505</v>
      </c>
      <c r="E2789" s="9"/>
    </row>
    <row r="2790">
      <c r="A2790" s="10">
        <f>IFERROR(__xludf.DUMMYFUNCTION("""COMPUTED_VALUE"""),12911.0)</f>
        <v>12911</v>
      </c>
      <c r="B2790" s="11">
        <f>IFERROR(__xludf.DUMMYFUNCTION("""COMPUTED_VALUE"""),1.0)</f>
        <v>1</v>
      </c>
      <c r="C2790" s="11">
        <f>IFERROR(__xludf.DUMMYFUNCTION("""COMPUTED_VALUE"""),108.0)</f>
        <v>108</v>
      </c>
      <c r="D2790" s="11">
        <f>IFERROR(__xludf.DUMMYFUNCTION("""COMPUTED_VALUE"""),95.0)</f>
        <v>95</v>
      </c>
      <c r="E2790" s="9"/>
    </row>
    <row r="2791">
      <c r="A2791" s="10">
        <f>IFERROR(__xludf.DUMMYFUNCTION("""COMPUTED_VALUE"""),21612.0)</f>
        <v>21612</v>
      </c>
      <c r="B2791" s="11">
        <f>IFERROR(__xludf.DUMMYFUNCTION("""COMPUTED_VALUE"""),1.0)</f>
        <v>1</v>
      </c>
      <c r="C2791" s="11">
        <f>IFERROR(__xludf.DUMMYFUNCTION("""COMPUTED_VALUE"""),587.0)</f>
        <v>587</v>
      </c>
      <c r="D2791" s="11">
        <f>IFERROR(__xludf.DUMMYFUNCTION("""COMPUTED_VALUE"""),365.0)</f>
        <v>365</v>
      </c>
      <c r="E2791" s="9"/>
    </row>
    <row r="2792">
      <c r="A2792" s="10">
        <f>IFERROR(__xludf.DUMMYFUNCTION("""COMPUTED_VALUE"""),21603.0)</f>
        <v>21603</v>
      </c>
      <c r="B2792" s="11">
        <f>IFERROR(__xludf.DUMMYFUNCTION("""COMPUTED_VALUE"""),1.0)</f>
        <v>1</v>
      </c>
      <c r="C2792" s="11">
        <f>IFERROR(__xludf.DUMMYFUNCTION("""COMPUTED_VALUE"""),356.0)</f>
        <v>356</v>
      </c>
      <c r="D2792" s="11">
        <f>IFERROR(__xludf.DUMMYFUNCTION("""COMPUTED_VALUE"""),43.0)</f>
        <v>43</v>
      </c>
      <c r="E2792" s="9"/>
    </row>
    <row r="2793">
      <c r="A2793" s="10">
        <f>IFERROR(__xludf.DUMMYFUNCTION("""COMPUTED_VALUE"""),81218.0)</f>
        <v>81218</v>
      </c>
      <c r="B2793" s="11">
        <f>IFERROR(__xludf.DUMMYFUNCTION("""COMPUTED_VALUE"""),0.0)</f>
        <v>0</v>
      </c>
      <c r="C2793" s="11">
        <f>IFERROR(__xludf.DUMMYFUNCTION("""COMPUTED_VALUE"""),739.0)</f>
        <v>739</v>
      </c>
      <c r="D2793" s="11">
        <f>IFERROR(__xludf.DUMMYFUNCTION("""COMPUTED_VALUE"""),442.0)</f>
        <v>442</v>
      </c>
      <c r="E2793" s="9"/>
    </row>
    <row r="2794">
      <c r="A2794" s="10">
        <f>IFERROR(__xludf.DUMMYFUNCTION("""COMPUTED_VALUE"""),70543.0)</f>
        <v>70543</v>
      </c>
      <c r="B2794" s="11">
        <f>IFERROR(__xludf.DUMMYFUNCTION("""COMPUTED_VALUE"""),0.0)</f>
        <v>0</v>
      </c>
      <c r="C2794" s="11">
        <f>IFERROR(__xludf.DUMMYFUNCTION("""COMPUTED_VALUE"""),674.0)</f>
        <v>674</v>
      </c>
      <c r="D2794" s="11">
        <f>IFERROR(__xludf.DUMMYFUNCTION("""COMPUTED_VALUE"""),487.0)</f>
        <v>487</v>
      </c>
      <c r="E2794" s="9"/>
    </row>
    <row r="2795">
      <c r="A2795" s="10">
        <f>IFERROR(__xludf.DUMMYFUNCTION("""COMPUTED_VALUE"""),80549.0)</f>
        <v>80549</v>
      </c>
      <c r="B2795" s="11">
        <f>IFERROR(__xludf.DUMMYFUNCTION("""COMPUTED_VALUE"""),0.0)</f>
        <v>0</v>
      </c>
      <c r="C2795" s="11">
        <f>IFERROR(__xludf.DUMMYFUNCTION("""COMPUTED_VALUE"""),192.0)</f>
        <v>192</v>
      </c>
      <c r="D2795" s="11">
        <f>IFERROR(__xludf.DUMMYFUNCTION("""COMPUTED_VALUE"""),135.0)</f>
        <v>135</v>
      </c>
      <c r="E2795" s="9"/>
    </row>
    <row r="2796">
      <c r="A2796" s="10">
        <f>IFERROR(__xludf.DUMMYFUNCTION("""COMPUTED_VALUE"""),79404.0)</f>
        <v>79404</v>
      </c>
      <c r="B2796" s="11">
        <f>IFERROR(__xludf.DUMMYFUNCTION("""COMPUTED_VALUE"""),0.0)</f>
        <v>0</v>
      </c>
      <c r="C2796" s="11">
        <f>IFERROR(__xludf.DUMMYFUNCTION("""COMPUTED_VALUE"""),685.0)</f>
        <v>685</v>
      </c>
      <c r="D2796" s="11">
        <f>IFERROR(__xludf.DUMMYFUNCTION("""COMPUTED_VALUE"""),456.0)</f>
        <v>456</v>
      </c>
      <c r="E2796" s="9"/>
    </row>
    <row r="2797">
      <c r="A2797" s="10">
        <f>IFERROR(__xludf.DUMMYFUNCTION("""COMPUTED_VALUE"""),110596.0)</f>
        <v>110596</v>
      </c>
      <c r="B2797" s="11">
        <f>IFERROR(__xludf.DUMMYFUNCTION("""COMPUTED_VALUE"""),0.0)</f>
        <v>0</v>
      </c>
      <c r="C2797" s="11">
        <f>IFERROR(__xludf.DUMMYFUNCTION("""COMPUTED_VALUE"""),529.0)</f>
        <v>529</v>
      </c>
      <c r="D2797" s="11">
        <f>IFERROR(__xludf.DUMMYFUNCTION("""COMPUTED_VALUE"""),80.0)</f>
        <v>80</v>
      </c>
      <c r="E2797" s="9"/>
    </row>
    <row r="2798">
      <c r="A2798" s="10">
        <f>IFERROR(__xludf.DUMMYFUNCTION("""COMPUTED_VALUE"""),70547.0)</f>
        <v>70547</v>
      </c>
      <c r="B2798" s="11">
        <f>IFERROR(__xludf.DUMMYFUNCTION("""COMPUTED_VALUE"""),1.0)</f>
        <v>1</v>
      </c>
      <c r="C2798" s="11">
        <f>IFERROR(__xludf.DUMMYFUNCTION("""COMPUTED_VALUE"""),956.0)</f>
        <v>956</v>
      </c>
      <c r="D2798" s="11">
        <f>IFERROR(__xludf.DUMMYFUNCTION("""COMPUTED_VALUE"""),545.0)</f>
        <v>545</v>
      </c>
      <c r="E2798" s="9"/>
    </row>
    <row r="2799">
      <c r="A2799" s="10">
        <f>IFERROR(__xludf.DUMMYFUNCTION("""COMPUTED_VALUE"""),11410.0)</f>
        <v>11410</v>
      </c>
      <c r="B2799" s="11">
        <f>IFERROR(__xludf.DUMMYFUNCTION("""COMPUTED_VALUE"""),1.0)</f>
        <v>1</v>
      </c>
      <c r="C2799" s="11">
        <f>IFERROR(__xludf.DUMMYFUNCTION("""COMPUTED_VALUE"""),504.0)</f>
        <v>504</v>
      </c>
      <c r="D2799" s="11">
        <f>IFERROR(__xludf.DUMMYFUNCTION("""COMPUTED_VALUE"""),434.0)</f>
        <v>434</v>
      </c>
      <c r="E2799" s="9"/>
    </row>
    <row r="2800">
      <c r="A2800" s="10">
        <f>IFERROR(__xludf.DUMMYFUNCTION("""COMPUTED_VALUE"""),116632.0)</f>
        <v>116632</v>
      </c>
      <c r="B2800" s="11">
        <f>IFERROR(__xludf.DUMMYFUNCTION("""COMPUTED_VALUE"""),0.0)</f>
        <v>0</v>
      </c>
      <c r="C2800" s="11">
        <f>IFERROR(__xludf.DUMMYFUNCTION("""COMPUTED_VALUE"""),625.0)</f>
        <v>625</v>
      </c>
      <c r="D2800" s="11">
        <f>IFERROR(__xludf.DUMMYFUNCTION("""COMPUTED_VALUE"""),254.0)</f>
        <v>254</v>
      </c>
      <c r="E2800" s="9"/>
    </row>
    <row r="2801">
      <c r="A2801" s="10">
        <f>IFERROR(__xludf.DUMMYFUNCTION("""COMPUTED_VALUE"""),80546.0)</f>
        <v>80546</v>
      </c>
      <c r="B2801" s="11">
        <f>IFERROR(__xludf.DUMMYFUNCTION("""COMPUTED_VALUE"""),1.0)</f>
        <v>1</v>
      </c>
      <c r="C2801" s="11">
        <f>IFERROR(__xludf.DUMMYFUNCTION("""COMPUTED_VALUE"""),143.0)</f>
        <v>143</v>
      </c>
      <c r="D2801" s="11">
        <f>IFERROR(__xludf.DUMMYFUNCTION("""COMPUTED_VALUE"""),117.0)</f>
        <v>117</v>
      </c>
      <c r="E2801" s="9"/>
    </row>
    <row r="2802">
      <c r="A2802" s="10">
        <f>IFERROR(__xludf.DUMMYFUNCTION("""COMPUTED_VALUE"""),80572.0)</f>
        <v>80572</v>
      </c>
      <c r="B2802" s="11">
        <f>IFERROR(__xludf.DUMMYFUNCTION("""COMPUTED_VALUE"""),1.0)</f>
        <v>1</v>
      </c>
      <c r="C2802" s="11">
        <f>IFERROR(__xludf.DUMMYFUNCTION("""COMPUTED_VALUE"""),712.0)</f>
        <v>712</v>
      </c>
      <c r="D2802" s="11">
        <f>IFERROR(__xludf.DUMMYFUNCTION("""COMPUTED_VALUE"""),491.0)</f>
        <v>491</v>
      </c>
      <c r="E2802" s="9"/>
    </row>
    <row r="2803">
      <c r="A2803" s="10">
        <f>IFERROR(__xludf.DUMMYFUNCTION("""COMPUTED_VALUE"""),70558.0)</f>
        <v>70558</v>
      </c>
      <c r="B2803" s="11">
        <f>IFERROR(__xludf.DUMMYFUNCTION("""COMPUTED_VALUE"""),1.0)</f>
        <v>1</v>
      </c>
      <c r="C2803" s="11">
        <f>IFERROR(__xludf.DUMMYFUNCTION("""COMPUTED_VALUE"""),588.0)</f>
        <v>588</v>
      </c>
      <c r="D2803" s="11">
        <f>IFERROR(__xludf.DUMMYFUNCTION("""COMPUTED_VALUE"""),58.0)</f>
        <v>58</v>
      </c>
      <c r="E2803" s="9"/>
    </row>
    <row r="2804">
      <c r="A2804" s="10">
        <f>IFERROR(__xludf.DUMMYFUNCTION("""COMPUTED_VALUE"""),79405.0)</f>
        <v>79405</v>
      </c>
      <c r="B2804" s="11">
        <f>IFERROR(__xludf.DUMMYFUNCTION("""COMPUTED_VALUE"""),1.0)</f>
        <v>1</v>
      </c>
      <c r="C2804" s="11">
        <f>IFERROR(__xludf.DUMMYFUNCTION("""COMPUTED_VALUE"""),877.0)</f>
        <v>877</v>
      </c>
      <c r="D2804" s="11">
        <f>IFERROR(__xludf.DUMMYFUNCTION("""COMPUTED_VALUE"""),211.0)</f>
        <v>211</v>
      </c>
      <c r="E2804" s="9"/>
    </row>
    <row r="2805">
      <c r="A2805" s="10">
        <f>IFERROR(__xludf.DUMMYFUNCTION("""COMPUTED_VALUE"""),80543.0)</f>
        <v>80543</v>
      </c>
      <c r="B2805" s="11">
        <f>IFERROR(__xludf.DUMMYFUNCTION("""COMPUTED_VALUE"""),1.0)</f>
        <v>1</v>
      </c>
      <c r="C2805" s="11">
        <f>IFERROR(__xludf.DUMMYFUNCTION("""COMPUTED_VALUE"""),656.0)</f>
        <v>656</v>
      </c>
      <c r="D2805" s="11">
        <f>IFERROR(__xludf.DUMMYFUNCTION("""COMPUTED_VALUE"""),178.0)</f>
        <v>178</v>
      </c>
      <c r="E2805" s="9"/>
    </row>
    <row r="2806">
      <c r="A2806" s="10">
        <f>IFERROR(__xludf.DUMMYFUNCTION("""COMPUTED_VALUE"""),14041.0)</f>
        <v>14041</v>
      </c>
      <c r="B2806" s="11">
        <f>IFERROR(__xludf.DUMMYFUNCTION("""COMPUTED_VALUE"""),0.0)</f>
        <v>0</v>
      </c>
      <c r="C2806" s="11">
        <f>IFERROR(__xludf.DUMMYFUNCTION("""COMPUTED_VALUE"""),533.0)</f>
        <v>533</v>
      </c>
      <c r="D2806" s="11">
        <f>IFERROR(__xludf.DUMMYFUNCTION("""COMPUTED_VALUE"""),432.0)</f>
        <v>432</v>
      </c>
      <c r="E2806" s="9"/>
    </row>
    <row r="2807">
      <c r="A2807" s="10">
        <f>IFERROR(__xludf.DUMMYFUNCTION("""COMPUTED_VALUE"""),70559.0)</f>
        <v>70559</v>
      </c>
      <c r="B2807" s="11">
        <f>IFERROR(__xludf.DUMMYFUNCTION("""COMPUTED_VALUE"""),1.0)</f>
        <v>1</v>
      </c>
      <c r="C2807" s="11">
        <f>IFERROR(__xludf.DUMMYFUNCTION("""COMPUTED_VALUE"""),825.0)</f>
        <v>825</v>
      </c>
      <c r="D2807" s="11">
        <f>IFERROR(__xludf.DUMMYFUNCTION("""COMPUTED_VALUE"""),317.0)</f>
        <v>317</v>
      </c>
      <c r="E2807" s="9"/>
    </row>
    <row r="2808">
      <c r="A2808" s="10">
        <f>IFERROR(__xludf.DUMMYFUNCTION("""COMPUTED_VALUE"""),80582.0)</f>
        <v>80582</v>
      </c>
      <c r="B2808" s="11">
        <f>IFERROR(__xludf.DUMMYFUNCTION("""COMPUTED_VALUE"""),0.0)</f>
        <v>0</v>
      </c>
      <c r="C2808" s="11">
        <f>IFERROR(__xludf.DUMMYFUNCTION("""COMPUTED_VALUE"""),693.0)</f>
        <v>693</v>
      </c>
      <c r="D2808" s="11">
        <f>IFERROR(__xludf.DUMMYFUNCTION("""COMPUTED_VALUE"""),100.0)</f>
        <v>100</v>
      </c>
      <c r="E2808" s="9"/>
    </row>
    <row r="2809">
      <c r="A2809" s="10">
        <f>IFERROR(__xludf.DUMMYFUNCTION("""COMPUTED_VALUE"""),90004.0)</f>
        <v>90004</v>
      </c>
      <c r="B2809" s="11">
        <f>IFERROR(__xludf.DUMMYFUNCTION("""COMPUTED_VALUE"""),1.0)</f>
        <v>1</v>
      </c>
      <c r="C2809" s="11">
        <f>IFERROR(__xludf.DUMMYFUNCTION("""COMPUTED_VALUE"""),754.0)</f>
        <v>754</v>
      </c>
      <c r="D2809" s="11">
        <f>IFERROR(__xludf.DUMMYFUNCTION("""COMPUTED_VALUE"""),18.0)</f>
        <v>18</v>
      </c>
      <c r="E2809" s="9"/>
    </row>
    <row r="2810">
      <c r="A2810" s="10">
        <f>IFERROR(__xludf.DUMMYFUNCTION("""COMPUTED_VALUE"""),117907.0)</f>
        <v>117907</v>
      </c>
      <c r="B2810" s="11">
        <f>IFERROR(__xludf.DUMMYFUNCTION("""COMPUTED_VALUE"""),1.0)</f>
        <v>1</v>
      </c>
      <c r="C2810" s="11">
        <f>IFERROR(__xludf.DUMMYFUNCTION("""COMPUTED_VALUE"""),450.0)</f>
        <v>450</v>
      </c>
      <c r="D2810" s="11">
        <f>IFERROR(__xludf.DUMMYFUNCTION("""COMPUTED_VALUE"""),93.0)</f>
        <v>93</v>
      </c>
      <c r="E2810" s="9"/>
    </row>
    <row r="2811">
      <c r="A2811" s="10">
        <f>IFERROR(__xludf.DUMMYFUNCTION("""COMPUTED_VALUE"""),70542.0)</f>
        <v>70542</v>
      </c>
      <c r="B2811" s="11">
        <f>IFERROR(__xludf.DUMMYFUNCTION("""COMPUTED_VALUE"""),1.0)</f>
        <v>1</v>
      </c>
      <c r="C2811" s="11">
        <f>IFERROR(__xludf.DUMMYFUNCTION("""COMPUTED_VALUE"""),943.0)</f>
        <v>943</v>
      </c>
      <c r="D2811" s="11">
        <f>IFERROR(__xludf.DUMMYFUNCTION("""COMPUTED_VALUE"""),525.0)</f>
        <v>525</v>
      </c>
      <c r="E2811" s="9"/>
    </row>
    <row r="2812">
      <c r="A2812" s="10">
        <f>IFERROR(__xludf.DUMMYFUNCTION("""COMPUTED_VALUE"""),81210.0)</f>
        <v>81210</v>
      </c>
      <c r="B2812" s="11">
        <f>IFERROR(__xludf.DUMMYFUNCTION("""COMPUTED_VALUE"""),0.0)</f>
        <v>0</v>
      </c>
      <c r="C2812" s="11">
        <f>IFERROR(__xludf.DUMMYFUNCTION("""COMPUTED_VALUE"""),948.0)</f>
        <v>948</v>
      </c>
      <c r="D2812" s="11">
        <f>IFERROR(__xludf.DUMMYFUNCTION("""COMPUTED_VALUE"""),319.0)</f>
        <v>319</v>
      </c>
      <c r="E2812" s="9"/>
    </row>
    <row r="2813">
      <c r="A2813" s="10">
        <f>IFERROR(__xludf.DUMMYFUNCTION("""COMPUTED_VALUE"""),81211.0)</f>
        <v>81211</v>
      </c>
      <c r="B2813" s="11">
        <f>IFERROR(__xludf.DUMMYFUNCTION("""COMPUTED_VALUE"""),0.0)</f>
        <v>0</v>
      </c>
      <c r="C2813" s="11">
        <f>IFERROR(__xludf.DUMMYFUNCTION("""COMPUTED_VALUE"""),179.0)</f>
        <v>179</v>
      </c>
      <c r="D2813" s="11">
        <f>IFERROR(__xludf.DUMMYFUNCTION("""COMPUTED_VALUE"""),109.0)</f>
        <v>109</v>
      </c>
      <c r="E2813" s="9"/>
    </row>
    <row r="2814">
      <c r="A2814" s="10">
        <f>IFERROR(__xludf.DUMMYFUNCTION("""COMPUTED_VALUE"""),80573.0)</f>
        <v>80573</v>
      </c>
      <c r="B2814" s="11">
        <f>IFERROR(__xludf.DUMMYFUNCTION("""COMPUTED_VALUE"""),1.0)</f>
        <v>1</v>
      </c>
      <c r="C2814" s="11">
        <f>IFERROR(__xludf.DUMMYFUNCTION("""COMPUTED_VALUE"""),737.0)</f>
        <v>737</v>
      </c>
      <c r="D2814" s="11">
        <f>IFERROR(__xludf.DUMMYFUNCTION("""COMPUTED_VALUE"""),697.0)</f>
        <v>697</v>
      </c>
      <c r="E2814" s="9"/>
    </row>
    <row r="2815">
      <c r="A2815" s="10">
        <f>IFERROR(__xludf.DUMMYFUNCTION("""COMPUTED_VALUE"""),117909.0)</f>
        <v>117909</v>
      </c>
      <c r="B2815" s="11">
        <f>IFERROR(__xludf.DUMMYFUNCTION("""COMPUTED_VALUE"""),1.0)</f>
        <v>1</v>
      </c>
      <c r="C2815" s="11">
        <f>IFERROR(__xludf.DUMMYFUNCTION("""COMPUTED_VALUE"""),349.0)</f>
        <v>349</v>
      </c>
      <c r="D2815" s="11">
        <f>IFERROR(__xludf.DUMMYFUNCTION("""COMPUTED_VALUE"""),41.0)</f>
        <v>41</v>
      </c>
      <c r="E2815" s="9"/>
    </row>
    <row r="2816">
      <c r="A2816" s="10">
        <f>IFERROR(__xludf.DUMMYFUNCTION("""COMPUTED_VALUE"""),80584.0)</f>
        <v>80584</v>
      </c>
      <c r="B2816" s="11">
        <f>IFERROR(__xludf.DUMMYFUNCTION("""COMPUTED_VALUE"""),0.0)</f>
        <v>0</v>
      </c>
      <c r="C2816" s="11">
        <f>IFERROR(__xludf.DUMMYFUNCTION("""COMPUTED_VALUE"""),33.0)</f>
        <v>33</v>
      </c>
      <c r="D2816" s="11">
        <f>IFERROR(__xludf.DUMMYFUNCTION("""COMPUTED_VALUE"""),8.0)</f>
        <v>8</v>
      </c>
      <c r="E2816" s="9"/>
    </row>
    <row r="2817">
      <c r="A2817" s="10">
        <f>IFERROR(__xludf.DUMMYFUNCTION("""COMPUTED_VALUE"""),80550.0)</f>
        <v>80550</v>
      </c>
      <c r="B2817" s="11">
        <f>IFERROR(__xludf.DUMMYFUNCTION("""COMPUTED_VALUE"""),1.0)</f>
        <v>1</v>
      </c>
      <c r="C2817" s="11">
        <f>IFERROR(__xludf.DUMMYFUNCTION("""COMPUTED_VALUE"""),884.0)</f>
        <v>884</v>
      </c>
      <c r="D2817" s="11">
        <f>IFERROR(__xludf.DUMMYFUNCTION("""COMPUTED_VALUE"""),868.0)</f>
        <v>868</v>
      </c>
      <c r="E2817" s="9"/>
    </row>
    <row r="2818">
      <c r="A2818" s="10">
        <f>IFERROR(__xludf.DUMMYFUNCTION("""COMPUTED_VALUE"""),81227.0)</f>
        <v>81227</v>
      </c>
      <c r="B2818" s="11">
        <f>IFERROR(__xludf.DUMMYFUNCTION("""COMPUTED_VALUE"""),0.0)</f>
        <v>0</v>
      </c>
      <c r="C2818" s="11">
        <f>IFERROR(__xludf.DUMMYFUNCTION("""COMPUTED_VALUE"""),172.0)</f>
        <v>172</v>
      </c>
      <c r="D2818" s="11">
        <f>IFERROR(__xludf.DUMMYFUNCTION("""COMPUTED_VALUE"""),50.0)</f>
        <v>50</v>
      </c>
      <c r="E2818" s="9"/>
    </row>
    <row r="2819">
      <c r="A2819" s="10">
        <f>IFERROR(__xludf.DUMMYFUNCTION("""COMPUTED_VALUE"""),80578.0)</f>
        <v>80578</v>
      </c>
      <c r="B2819" s="11">
        <f>IFERROR(__xludf.DUMMYFUNCTION("""COMPUTED_VALUE"""),0.0)</f>
        <v>0</v>
      </c>
      <c r="C2819" s="11">
        <f>IFERROR(__xludf.DUMMYFUNCTION("""COMPUTED_VALUE"""),25.0)</f>
        <v>25</v>
      </c>
      <c r="D2819" s="11">
        <f>IFERROR(__xludf.DUMMYFUNCTION("""COMPUTED_VALUE"""),22.0)</f>
        <v>22</v>
      </c>
      <c r="E2819" s="9"/>
    </row>
    <row r="2820">
      <c r="A2820" s="10">
        <f>IFERROR(__xludf.DUMMYFUNCTION("""COMPUTED_VALUE"""),110595.0)</f>
        <v>110595</v>
      </c>
      <c r="B2820" s="11">
        <f>IFERROR(__xludf.DUMMYFUNCTION("""COMPUTED_VALUE"""),0.0)</f>
        <v>0</v>
      </c>
      <c r="C2820" s="11">
        <f>IFERROR(__xludf.DUMMYFUNCTION("""COMPUTED_VALUE"""),966.0)</f>
        <v>966</v>
      </c>
      <c r="D2820" s="11">
        <f>IFERROR(__xludf.DUMMYFUNCTION("""COMPUTED_VALUE"""),899.0)</f>
        <v>899</v>
      </c>
      <c r="E2820" s="9"/>
    </row>
    <row r="2821">
      <c r="A2821" s="10">
        <f>IFERROR(__xludf.DUMMYFUNCTION("""COMPUTED_VALUE"""),70557.0)</f>
        <v>70557</v>
      </c>
      <c r="B2821" s="11">
        <f>IFERROR(__xludf.DUMMYFUNCTION("""COMPUTED_VALUE"""),0.0)</f>
        <v>0</v>
      </c>
      <c r="C2821" s="11">
        <f>IFERROR(__xludf.DUMMYFUNCTION("""COMPUTED_VALUE"""),287.0)</f>
        <v>287</v>
      </c>
      <c r="D2821" s="11">
        <f>IFERROR(__xludf.DUMMYFUNCTION("""COMPUTED_VALUE"""),265.0)</f>
        <v>265</v>
      </c>
      <c r="E2821" s="9"/>
    </row>
    <row r="2822">
      <c r="A2822" s="10">
        <f>IFERROR(__xludf.DUMMYFUNCTION("""COMPUTED_VALUE"""),147284.0)</f>
        <v>147284</v>
      </c>
      <c r="B2822" s="11">
        <f>IFERROR(__xludf.DUMMYFUNCTION("""COMPUTED_VALUE"""),1.0)</f>
        <v>1</v>
      </c>
      <c r="C2822" s="11">
        <f>IFERROR(__xludf.DUMMYFUNCTION("""COMPUTED_VALUE"""),736.0)</f>
        <v>736</v>
      </c>
      <c r="D2822" s="11">
        <f>IFERROR(__xludf.DUMMYFUNCTION("""COMPUTED_VALUE"""),88.0)</f>
        <v>88</v>
      </c>
      <c r="E2822" s="9"/>
    </row>
    <row r="2823">
      <c r="A2823" s="10">
        <f>IFERROR(__xludf.DUMMYFUNCTION("""COMPUTED_VALUE"""),70553.0)</f>
        <v>70553</v>
      </c>
      <c r="B2823" s="11">
        <f>IFERROR(__xludf.DUMMYFUNCTION("""COMPUTED_VALUE"""),0.0)</f>
        <v>0</v>
      </c>
      <c r="C2823" s="11">
        <f>IFERROR(__xludf.DUMMYFUNCTION("""COMPUTED_VALUE"""),304.0)</f>
        <v>304</v>
      </c>
      <c r="D2823" s="11">
        <f>IFERROR(__xludf.DUMMYFUNCTION("""COMPUTED_VALUE"""),299.0)</f>
        <v>299</v>
      </c>
      <c r="E2823" s="9"/>
    </row>
    <row r="2824">
      <c r="A2824" s="10">
        <f>IFERROR(__xludf.DUMMYFUNCTION("""COMPUTED_VALUE"""),81212.0)</f>
        <v>81212</v>
      </c>
      <c r="B2824" s="11">
        <f>IFERROR(__xludf.DUMMYFUNCTION("""COMPUTED_VALUE"""),0.0)</f>
        <v>0</v>
      </c>
      <c r="C2824" s="11">
        <f>IFERROR(__xludf.DUMMYFUNCTION("""COMPUTED_VALUE"""),238.0)</f>
        <v>238</v>
      </c>
      <c r="D2824" s="11">
        <f>IFERROR(__xludf.DUMMYFUNCTION("""COMPUTED_VALUE"""),10.0)</f>
        <v>10</v>
      </c>
      <c r="E2824" s="9"/>
    </row>
    <row r="2825">
      <c r="A2825" s="10">
        <f>IFERROR(__xludf.DUMMYFUNCTION("""COMPUTED_VALUE"""),120427.0)</f>
        <v>120427</v>
      </c>
      <c r="B2825" s="11">
        <f>IFERROR(__xludf.DUMMYFUNCTION("""COMPUTED_VALUE"""),1.0)</f>
        <v>1</v>
      </c>
      <c r="C2825" s="11">
        <f>IFERROR(__xludf.DUMMYFUNCTION("""COMPUTED_VALUE"""),720.0)</f>
        <v>720</v>
      </c>
      <c r="D2825" s="11">
        <f>IFERROR(__xludf.DUMMYFUNCTION("""COMPUTED_VALUE"""),580.0)</f>
        <v>580</v>
      </c>
      <c r="E2825" s="9"/>
    </row>
    <row r="2826">
      <c r="A2826" s="10">
        <f>IFERROR(__xludf.DUMMYFUNCTION("""COMPUTED_VALUE"""),46049.0)</f>
        <v>46049</v>
      </c>
      <c r="B2826" s="11">
        <f>IFERROR(__xludf.DUMMYFUNCTION("""COMPUTED_VALUE"""),1.0)</f>
        <v>1</v>
      </c>
      <c r="C2826" s="11">
        <f>IFERROR(__xludf.DUMMYFUNCTION("""COMPUTED_VALUE"""),849.0)</f>
        <v>849</v>
      </c>
      <c r="D2826" s="11">
        <f>IFERROR(__xludf.DUMMYFUNCTION("""COMPUTED_VALUE"""),622.0)</f>
        <v>622</v>
      </c>
      <c r="E2826" s="9"/>
    </row>
    <row r="2827">
      <c r="A2827" s="10">
        <f>IFERROR(__xludf.DUMMYFUNCTION("""COMPUTED_VALUE"""),46039.0)</f>
        <v>46039</v>
      </c>
      <c r="B2827" s="11">
        <f>IFERROR(__xludf.DUMMYFUNCTION("""COMPUTED_VALUE"""),1.0)</f>
        <v>1</v>
      </c>
      <c r="C2827" s="11">
        <f>IFERROR(__xludf.DUMMYFUNCTION("""COMPUTED_VALUE"""),402.0)</f>
        <v>402</v>
      </c>
      <c r="D2827" s="11">
        <f>IFERROR(__xludf.DUMMYFUNCTION("""COMPUTED_VALUE"""),244.0)</f>
        <v>244</v>
      </c>
      <c r="E2827" s="9"/>
    </row>
    <row r="2828">
      <c r="A2828" s="10">
        <f>IFERROR(__xludf.DUMMYFUNCTION("""COMPUTED_VALUE"""),46037.0)</f>
        <v>46037</v>
      </c>
      <c r="B2828" s="11">
        <f>IFERROR(__xludf.DUMMYFUNCTION("""COMPUTED_VALUE"""),0.0)</f>
        <v>0</v>
      </c>
      <c r="C2828" s="11">
        <f>IFERROR(__xludf.DUMMYFUNCTION("""COMPUTED_VALUE"""),832.0)</f>
        <v>832</v>
      </c>
      <c r="D2828" s="11">
        <f>IFERROR(__xludf.DUMMYFUNCTION("""COMPUTED_VALUE"""),602.0)</f>
        <v>602</v>
      </c>
      <c r="E2828" s="9"/>
    </row>
    <row r="2829">
      <c r="A2829" s="10">
        <f>IFERROR(__xludf.DUMMYFUNCTION("""COMPUTED_VALUE"""),88965.0)</f>
        <v>88965</v>
      </c>
      <c r="B2829" s="11">
        <f>IFERROR(__xludf.DUMMYFUNCTION("""COMPUTED_VALUE"""),1.0)</f>
        <v>1</v>
      </c>
      <c r="C2829" s="11">
        <f>IFERROR(__xludf.DUMMYFUNCTION("""COMPUTED_VALUE"""),910.0)</f>
        <v>910</v>
      </c>
      <c r="D2829" s="11">
        <f>IFERROR(__xludf.DUMMYFUNCTION("""COMPUTED_VALUE"""),668.0)</f>
        <v>668</v>
      </c>
      <c r="E2829" s="9"/>
    </row>
    <row r="2830">
      <c r="A2830" s="10">
        <f>IFERROR(__xludf.DUMMYFUNCTION("""COMPUTED_VALUE"""),102614.0)</f>
        <v>102614</v>
      </c>
      <c r="B2830" s="11">
        <f>IFERROR(__xludf.DUMMYFUNCTION("""COMPUTED_VALUE"""),0.0)</f>
        <v>0</v>
      </c>
      <c r="C2830" s="11">
        <f>IFERROR(__xludf.DUMMYFUNCTION("""COMPUTED_VALUE"""),761.0)</f>
        <v>761</v>
      </c>
      <c r="D2830" s="11">
        <f>IFERROR(__xludf.DUMMYFUNCTION("""COMPUTED_VALUE"""),130.0)</f>
        <v>130</v>
      </c>
      <c r="E2830" s="9"/>
    </row>
    <row r="2831">
      <c r="A2831" s="10">
        <f>IFERROR(__xludf.DUMMYFUNCTION("""COMPUTED_VALUE"""),122704.0)</f>
        <v>122704</v>
      </c>
      <c r="B2831" s="11">
        <f>IFERROR(__xludf.DUMMYFUNCTION("""COMPUTED_VALUE"""),0.0)</f>
        <v>0</v>
      </c>
      <c r="C2831" s="11">
        <f>IFERROR(__xludf.DUMMYFUNCTION("""COMPUTED_VALUE"""),417.0)</f>
        <v>417</v>
      </c>
      <c r="D2831" s="11">
        <f>IFERROR(__xludf.DUMMYFUNCTION("""COMPUTED_VALUE"""),411.0)</f>
        <v>411</v>
      </c>
      <c r="E2831" s="9"/>
    </row>
    <row r="2832">
      <c r="A2832" s="10">
        <f>IFERROR(__xludf.DUMMYFUNCTION("""COMPUTED_VALUE"""),164902.0)</f>
        <v>164902</v>
      </c>
      <c r="B2832" s="11">
        <f>IFERROR(__xludf.DUMMYFUNCTION("""COMPUTED_VALUE"""),0.0)</f>
        <v>0</v>
      </c>
      <c r="C2832" s="11">
        <f>IFERROR(__xludf.DUMMYFUNCTION("""COMPUTED_VALUE"""),111.0)</f>
        <v>111</v>
      </c>
      <c r="D2832" s="11">
        <f>IFERROR(__xludf.DUMMYFUNCTION("""COMPUTED_VALUE"""),88.0)</f>
        <v>88</v>
      </c>
      <c r="E2832" s="9"/>
    </row>
    <row r="2833">
      <c r="A2833" s="10">
        <f>IFERROR(__xludf.DUMMYFUNCTION("""COMPUTED_VALUE"""),117783.0)</f>
        <v>117783</v>
      </c>
      <c r="B2833" s="11">
        <f>IFERROR(__xludf.DUMMYFUNCTION("""COMPUTED_VALUE"""),0.0)</f>
        <v>0</v>
      </c>
      <c r="C2833" s="11">
        <f>IFERROR(__xludf.DUMMYFUNCTION("""COMPUTED_VALUE"""),146.0)</f>
        <v>146</v>
      </c>
      <c r="D2833" s="11">
        <f>IFERROR(__xludf.DUMMYFUNCTION("""COMPUTED_VALUE"""),117.0)</f>
        <v>117</v>
      </c>
      <c r="E2833" s="9"/>
    </row>
    <row r="2834">
      <c r="A2834" s="10">
        <f>IFERROR(__xludf.DUMMYFUNCTION("""COMPUTED_VALUE"""),114278.0)</f>
        <v>114278</v>
      </c>
      <c r="B2834" s="11">
        <f>IFERROR(__xludf.DUMMYFUNCTION("""COMPUTED_VALUE"""),0.0)</f>
        <v>0</v>
      </c>
      <c r="C2834" s="11">
        <f>IFERROR(__xludf.DUMMYFUNCTION("""COMPUTED_VALUE"""),420.0)</f>
        <v>420</v>
      </c>
      <c r="D2834" s="11">
        <f>IFERROR(__xludf.DUMMYFUNCTION("""COMPUTED_VALUE"""),200.0)</f>
        <v>200</v>
      </c>
      <c r="E2834" s="9"/>
    </row>
    <row r="2835">
      <c r="A2835" s="10">
        <f>IFERROR(__xludf.DUMMYFUNCTION("""COMPUTED_VALUE"""),46056.0)</f>
        <v>46056</v>
      </c>
      <c r="B2835" s="11">
        <f>IFERROR(__xludf.DUMMYFUNCTION("""COMPUTED_VALUE"""),0.0)</f>
        <v>0</v>
      </c>
      <c r="C2835" s="11">
        <f>IFERROR(__xludf.DUMMYFUNCTION("""COMPUTED_VALUE"""),268.0)</f>
        <v>268</v>
      </c>
      <c r="D2835" s="11">
        <f>IFERROR(__xludf.DUMMYFUNCTION("""COMPUTED_VALUE"""),204.0)</f>
        <v>204</v>
      </c>
      <c r="E2835" s="9"/>
    </row>
    <row r="2836">
      <c r="A2836" s="10">
        <f>IFERROR(__xludf.DUMMYFUNCTION("""COMPUTED_VALUE"""),5703.0)</f>
        <v>5703</v>
      </c>
      <c r="B2836" s="11">
        <f>IFERROR(__xludf.DUMMYFUNCTION("""COMPUTED_VALUE"""),1.0)</f>
        <v>1</v>
      </c>
      <c r="C2836" s="11">
        <f>IFERROR(__xludf.DUMMYFUNCTION("""COMPUTED_VALUE"""),35.0)</f>
        <v>35</v>
      </c>
      <c r="D2836" s="11">
        <f>IFERROR(__xludf.DUMMYFUNCTION("""COMPUTED_VALUE"""),28.0)</f>
        <v>28</v>
      </c>
      <c r="E2836" s="9"/>
    </row>
    <row r="2837">
      <c r="A2837" s="10">
        <f>IFERROR(__xludf.DUMMYFUNCTION("""COMPUTED_VALUE"""),102607.0)</f>
        <v>102607</v>
      </c>
      <c r="B2837" s="11">
        <f>IFERROR(__xludf.DUMMYFUNCTION("""COMPUTED_VALUE"""),0.0)</f>
        <v>0</v>
      </c>
      <c r="C2837" s="11">
        <f>IFERROR(__xludf.DUMMYFUNCTION("""COMPUTED_VALUE"""),113.0)</f>
        <v>113</v>
      </c>
      <c r="D2837" s="11">
        <f>IFERROR(__xludf.DUMMYFUNCTION("""COMPUTED_VALUE"""),14.0)</f>
        <v>14</v>
      </c>
      <c r="E2837" s="9"/>
    </row>
    <row r="2838">
      <c r="A2838" s="10">
        <f>IFERROR(__xludf.DUMMYFUNCTION("""COMPUTED_VALUE"""),87913.0)</f>
        <v>87913</v>
      </c>
      <c r="B2838" s="11">
        <f>IFERROR(__xludf.DUMMYFUNCTION("""COMPUTED_VALUE"""),1.0)</f>
        <v>1</v>
      </c>
      <c r="C2838" s="11">
        <f>IFERROR(__xludf.DUMMYFUNCTION("""COMPUTED_VALUE"""),230.0)</f>
        <v>230</v>
      </c>
      <c r="D2838" s="11">
        <f>IFERROR(__xludf.DUMMYFUNCTION("""COMPUTED_VALUE"""),181.0)</f>
        <v>181</v>
      </c>
      <c r="E2838" s="9"/>
    </row>
    <row r="2839">
      <c r="A2839" s="10">
        <f>IFERROR(__xludf.DUMMYFUNCTION("""COMPUTED_VALUE"""),149513.0)</f>
        <v>149513</v>
      </c>
      <c r="B2839" s="11">
        <f>IFERROR(__xludf.DUMMYFUNCTION("""COMPUTED_VALUE"""),1.0)</f>
        <v>1</v>
      </c>
      <c r="C2839" s="11">
        <f>IFERROR(__xludf.DUMMYFUNCTION("""COMPUTED_VALUE"""),367.0)</f>
        <v>367</v>
      </c>
      <c r="D2839" s="11">
        <f>IFERROR(__xludf.DUMMYFUNCTION("""COMPUTED_VALUE"""),154.0)</f>
        <v>154</v>
      </c>
      <c r="E2839" s="9"/>
    </row>
    <row r="2840">
      <c r="A2840" s="10">
        <f>IFERROR(__xludf.DUMMYFUNCTION("""COMPUTED_VALUE"""),87909.0)</f>
        <v>87909</v>
      </c>
      <c r="B2840" s="11">
        <f>IFERROR(__xludf.DUMMYFUNCTION("""COMPUTED_VALUE"""),1.0)</f>
        <v>1</v>
      </c>
      <c r="C2840" s="11">
        <f>IFERROR(__xludf.DUMMYFUNCTION("""COMPUTED_VALUE"""),655.0)</f>
        <v>655</v>
      </c>
      <c r="D2840" s="11">
        <f>IFERROR(__xludf.DUMMYFUNCTION("""COMPUTED_VALUE"""),251.0)</f>
        <v>251</v>
      </c>
      <c r="E2840" s="9"/>
    </row>
    <row r="2841">
      <c r="A2841" s="10">
        <f>IFERROR(__xludf.DUMMYFUNCTION("""COMPUTED_VALUE"""),101897.0)</f>
        <v>101897</v>
      </c>
      <c r="B2841" s="11">
        <f>IFERROR(__xludf.DUMMYFUNCTION("""COMPUTED_VALUE"""),0.0)</f>
        <v>0</v>
      </c>
      <c r="C2841" s="11">
        <f>IFERROR(__xludf.DUMMYFUNCTION("""COMPUTED_VALUE"""),54.0)</f>
        <v>54</v>
      </c>
      <c r="D2841" s="11">
        <f>IFERROR(__xludf.DUMMYFUNCTION("""COMPUTED_VALUE"""),29.0)</f>
        <v>29</v>
      </c>
      <c r="E2841" s="9"/>
    </row>
    <row r="2842">
      <c r="A2842" s="10">
        <f>IFERROR(__xludf.DUMMYFUNCTION("""COMPUTED_VALUE"""),121675.0)</f>
        <v>121675</v>
      </c>
      <c r="B2842" s="11">
        <f>IFERROR(__xludf.DUMMYFUNCTION("""COMPUTED_VALUE"""),0.0)</f>
        <v>0</v>
      </c>
      <c r="C2842" s="11">
        <f>IFERROR(__xludf.DUMMYFUNCTION("""COMPUTED_VALUE"""),554.0)</f>
        <v>554</v>
      </c>
      <c r="D2842" s="11">
        <f>IFERROR(__xludf.DUMMYFUNCTION("""COMPUTED_VALUE"""),257.0)</f>
        <v>257</v>
      </c>
      <c r="E2842" s="9"/>
    </row>
    <row r="2843">
      <c r="A2843" s="10">
        <f>IFERROR(__xludf.DUMMYFUNCTION("""COMPUTED_VALUE"""),99349.0)</f>
        <v>99349</v>
      </c>
      <c r="B2843" s="11">
        <f>IFERROR(__xludf.DUMMYFUNCTION("""COMPUTED_VALUE"""),1.0)</f>
        <v>1</v>
      </c>
      <c r="C2843" s="11">
        <f>IFERROR(__xludf.DUMMYFUNCTION("""COMPUTED_VALUE"""),422.0)</f>
        <v>422</v>
      </c>
      <c r="D2843" s="11">
        <f>IFERROR(__xludf.DUMMYFUNCTION("""COMPUTED_VALUE"""),354.0)</f>
        <v>354</v>
      </c>
      <c r="E2843" s="9"/>
    </row>
    <row r="2844">
      <c r="A2844" s="10">
        <f>IFERROR(__xludf.DUMMYFUNCTION("""COMPUTED_VALUE"""),117785.0)</f>
        <v>117785</v>
      </c>
      <c r="B2844" s="11">
        <f>IFERROR(__xludf.DUMMYFUNCTION("""COMPUTED_VALUE"""),1.0)</f>
        <v>1</v>
      </c>
      <c r="C2844" s="11">
        <f>IFERROR(__xludf.DUMMYFUNCTION("""COMPUTED_VALUE"""),526.0)</f>
        <v>526</v>
      </c>
      <c r="D2844" s="11">
        <f>IFERROR(__xludf.DUMMYFUNCTION("""COMPUTED_VALUE"""),217.0)</f>
        <v>217</v>
      </c>
      <c r="E2844" s="9"/>
    </row>
    <row r="2845">
      <c r="A2845" s="10">
        <f>IFERROR(__xludf.DUMMYFUNCTION("""COMPUTED_VALUE"""),120558.0)</f>
        <v>120558</v>
      </c>
      <c r="B2845" s="11">
        <f>IFERROR(__xludf.DUMMYFUNCTION("""COMPUTED_VALUE"""),0.0)</f>
        <v>0</v>
      </c>
      <c r="C2845" s="11">
        <f>IFERROR(__xludf.DUMMYFUNCTION("""COMPUTED_VALUE"""),773.0)</f>
        <v>773</v>
      </c>
      <c r="D2845" s="11">
        <f>IFERROR(__xludf.DUMMYFUNCTION("""COMPUTED_VALUE"""),608.0)</f>
        <v>608</v>
      </c>
      <c r="E2845" s="9"/>
    </row>
    <row r="2846">
      <c r="A2846" s="10">
        <f>IFERROR(__xludf.DUMMYFUNCTION("""COMPUTED_VALUE"""),99351.0)</f>
        <v>99351</v>
      </c>
      <c r="B2846" s="11">
        <f>IFERROR(__xludf.DUMMYFUNCTION("""COMPUTED_VALUE"""),0.0)</f>
        <v>0</v>
      </c>
      <c r="C2846" s="11">
        <f>IFERROR(__xludf.DUMMYFUNCTION("""COMPUTED_VALUE"""),710.0)</f>
        <v>710</v>
      </c>
      <c r="D2846" s="11">
        <f>IFERROR(__xludf.DUMMYFUNCTION("""COMPUTED_VALUE"""),394.0)</f>
        <v>394</v>
      </c>
      <c r="E2846" s="9"/>
    </row>
    <row r="2847">
      <c r="A2847" s="10">
        <f>IFERROR(__xludf.DUMMYFUNCTION("""COMPUTED_VALUE"""),113058.0)</f>
        <v>113058</v>
      </c>
      <c r="B2847" s="11">
        <f>IFERROR(__xludf.DUMMYFUNCTION("""COMPUTED_VALUE"""),1.0)</f>
        <v>1</v>
      </c>
      <c r="C2847" s="11">
        <f>IFERROR(__xludf.DUMMYFUNCTION("""COMPUTED_VALUE"""),0.0)</f>
        <v>0</v>
      </c>
      <c r="D2847" s="11">
        <f>IFERROR(__xludf.DUMMYFUNCTION("""COMPUTED_VALUE"""),0.0)</f>
        <v>0</v>
      </c>
      <c r="E2847" s="9"/>
    </row>
    <row r="2848">
      <c r="A2848" s="10">
        <f>IFERROR(__xludf.DUMMYFUNCTION("""COMPUTED_VALUE"""),118917.0)</f>
        <v>118917</v>
      </c>
      <c r="B2848" s="11">
        <f>IFERROR(__xludf.DUMMYFUNCTION("""COMPUTED_VALUE"""),1.0)</f>
        <v>1</v>
      </c>
      <c r="C2848" s="11">
        <f>IFERROR(__xludf.DUMMYFUNCTION("""COMPUTED_VALUE"""),369.0)</f>
        <v>369</v>
      </c>
      <c r="D2848" s="11">
        <f>IFERROR(__xludf.DUMMYFUNCTION("""COMPUTED_VALUE"""),205.0)</f>
        <v>205</v>
      </c>
      <c r="E2848" s="9"/>
    </row>
    <row r="2849">
      <c r="A2849" s="10">
        <f>IFERROR(__xludf.DUMMYFUNCTION("""COMPUTED_VALUE"""),164891.0)</f>
        <v>164891</v>
      </c>
      <c r="B2849" s="11">
        <f>IFERROR(__xludf.DUMMYFUNCTION("""COMPUTED_VALUE"""),0.0)</f>
        <v>0</v>
      </c>
      <c r="C2849" s="11">
        <f>IFERROR(__xludf.DUMMYFUNCTION("""COMPUTED_VALUE"""),337.0)</f>
        <v>337</v>
      </c>
      <c r="D2849" s="11">
        <f>IFERROR(__xludf.DUMMYFUNCTION("""COMPUTED_VALUE"""),229.0)</f>
        <v>229</v>
      </c>
      <c r="E2849" s="9"/>
    </row>
    <row r="2850">
      <c r="A2850" s="10">
        <f>IFERROR(__xludf.DUMMYFUNCTION("""COMPUTED_VALUE"""),101901.0)</f>
        <v>101901</v>
      </c>
      <c r="B2850" s="11">
        <f>IFERROR(__xludf.DUMMYFUNCTION("""COMPUTED_VALUE"""),1.0)</f>
        <v>1</v>
      </c>
      <c r="C2850" s="11">
        <f>IFERROR(__xludf.DUMMYFUNCTION("""COMPUTED_VALUE"""),649.0)</f>
        <v>649</v>
      </c>
      <c r="D2850" s="11">
        <f>IFERROR(__xludf.DUMMYFUNCTION("""COMPUTED_VALUE"""),592.0)</f>
        <v>592</v>
      </c>
      <c r="E2850" s="9"/>
    </row>
    <row r="2851">
      <c r="A2851" s="10">
        <f>IFERROR(__xludf.DUMMYFUNCTION("""COMPUTED_VALUE"""),197164.0)</f>
        <v>197164</v>
      </c>
      <c r="B2851" s="11">
        <f>IFERROR(__xludf.DUMMYFUNCTION("""COMPUTED_VALUE"""),1.0)</f>
        <v>1</v>
      </c>
      <c r="C2851" s="11">
        <f>IFERROR(__xludf.DUMMYFUNCTION("""COMPUTED_VALUE"""),773.0)</f>
        <v>773</v>
      </c>
      <c r="D2851" s="11">
        <f>IFERROR(__xludf.DUMMYFUNCTION("""COMPUTED_VALUE"""),80.0)</f>
        <v>80</v>
      </c>
      <c r="E2851" s="9"/>
    </row>
    <row r="2852">
      <c r="A2852" s="10">
        <f>IFERROR(__xludf.DUMMYFUNCTION("""COMPUTED_VALUE"""),114277.0)</f>
        <v>114277</v>
      </c>
      <c r="B2852" s="11">
        <f>IFERROR(__xludf.DUMMYFUNCTION("""COMPUTED_VALUE"""),1.0)</f>
        <v>1</v>
      </c>
      <c r="C2852" s="11">
        <f>IFERROR(__xludf.DUMMYFUNCTION("""COMPUTED_VALUE"""),630.0)</f>
        <v>630</v>
      </c>
      <c r="D2852" s="11">
        <f>IFERROR(__xludf.DUMMYFUNCTION("""COMPUTED_VALUE"""),118.0)</f>
        <v>118</v>
      </c>
      <c r="E2852" s="9"/>
    </row>
    <row r="2853">
      <c r="A2853" s="10">
        <f>IFERROR(__xludf.DUMMYFUNCTION("""COMPUTED_VALUE"""),86913.0)</f>
        <v>86913</v>
      </c>
      <c r="B2853" s="11">
        <f>IFERROR(__xludf.DUMMYFUNCTION("""COMPUTED_VALUE"""),0.0)</f>
        <v>0</v>
      </c>
      <c r="C2853" s="11">
        <f>IFERROR(__xludf.DUMMYFUNCTION("""COMPUTED_VALUE"""),690.0)</f>
        <v>690</v>
      </c>
      <c r="D2853" s="11">
        <f>IFERROR(__xludf.DUMMYFUNCTION("""COMPUTED_VALUE"""),217.0)</f>
        <v>217</v>
      </c>
      <c r="E2853" s="9"/>
    </row>
    <row r="2854">
      <c r="A2854" s="10">
        <f>IFERROR(__xludf.DUMMYFUNCTION("""COMPUTED_VALUE"""),88971.0)</f>
        <v>88971</v>
      </c>
      <c r="B2854" s="11">
        <f>IFERROR(__xludf.DUMMYFUNCTION("""COMPUTED_VALUE"""),0.0)</f>
        <v>0</v>
      </c>
      <c r="C2854" s="11">
        <f>IFERROR(__xludf.DUMMYFUNCTION("""COMPUTED_VALUE"""),917.0)</f>
        <v>917</v>
      </c>
      <c r="D2854" s="11">
        <f>IFERROR(__xludf.DUMMYFUNCTION("""COMPUTED_VALUE"""),513.0)</f>
        <v>513</v>
      </c>
      <c r="E2854" s="9"/>
    </row>
    <row r="2855">
      <c r="A2855" s="10">
        <f>IFERROR(__xludf.DUMMYFUNCTION("""COMPUTED_VALUE"""),188840.0)</f>
        <v>188840</v>
      </c>
      <c r="B2855" s="11">
        <f>IFERROR(__xludf.DUMMYFUNCTION("""COMPUTED_VALUE"""),1.0)</f>
        <v>1</v>
      </c>
      <c r="C2855" s="11">
        <f>IFERROR(__xludf.DUMMYFUNCTION("""COMPUTED_VALUE"""),741.0)</f>
        <v>741</v>
      </c>
      <c r="D2855" s="11">
        <f>IFERROR(__xludf.DUMMYFUNCTION("""COMPUTED_VALUE"""),544.0)</f>
        <v>544</v>
      </c>
      <c r="E2855" s="9"/>
    </row>
    <row r="2856">
      <c r="A2856" s="10">
        <f>IFERROR(__xludf.DUMMYFUNCTION("""COMPUTED_VALUE"""),95652.0)</f>
        <v>95652</v>
      </c>
      <c r="B2856" s="11">
        <f>IFERROR(__xludf.DUMMYFUNCTION("""COMPUTED_VALUE"""),1.0)</f>
        <v>1</v>
      </c>
      <c r="C2856" s="11">
        <f>IFERROR(__xludf.DUMMYFUNCTION("""COMPUTED_VALUE"""),729.0)</f>
        <v>729</v>
      </c>
      <c r="D2856" s="11">
        <f>IFERROR(__xludf.DUMMYFUNCTION("""COMPUTED_VALUE"""),330.0)</f>
        <v>330</v>
      </c>
      <c r="E2856" s="9"/>
    </row>
    <row r="2857">
      <c r="A2857" s="10">
        <f>IFERROR(__xludf.DUMMYFUNCTION("""COMPUTED_VALUE"""),68627.0)</f>
        <v>68627</v>
      </c>
      <c r="B2857" s="11">
        <f>IFERROR(__xludf.DUMMYFUNCTION("""COMPUTED_VALUE"""),0.0)</f>
        <v>0</v>
      </c>
      <c r="C2857" s="11">
        <f>IFERROR(__xludf.DUMMYFUNCTION("""COMPUTED_VALUE"""),733.0)</f>
        <v>733</v>
      </c>
      <c r="D2857" s="11">
        <f>IFERROR(__xludf.DUMMYFUNCTION("""COMPUTED_VALUE"""),49.0)</f>
        <v>49</v>
      </c>
      <c r="E2857" s="9"/>
    </row>
    <row r="2858">
      <c r="A2858" s="10">
        <f>IFERROR(__xludf.DUMMYFUNCTION("""COMPUTED_VALUE"""),46043.0)</f>
        <v>46043</v>
      </c>
      <c r="B2858" s="11">
        <f>IFERROR(__xludf.DUMMYFUNCTION("""COMPUTED_VALUE"""),1.0)</f>
        <v>1</v>
      </c>
      <c r="C2858" s="11">
        <f>IFERROR(__xludf.DUMMYFUNCTION("""COMPUTED_VALUE"""),267.0)</f>
        <v>267</v>
      </c>
      <c r="D2858" s="11">
        <f>IFERROR(__xludf.DUMMYFUNCTION("""COMPUTED_VALUE"""),35.0)</f>
        <v>35</v>
      </c>
      <c r="E2858" s="9"/>
    </row>
    <row r="2859">
      <c r="A2859" s="10">
        <f>IFERROR(__xludf.DUMMYFUNCTION("""COMPUTED_VALUE"""),60592.0)</f>
        <v>60592</v>
      </c>
      <c r="B2859" s="11">
        <f>IFERROR(__xludf.DUMMYFUNCTION("""COMPUTED_VALUE"""),0.0)</f>
        <v>0</v>
      </c>
      <c r="C2859" s="11">
        <f>IFERROR(__xludf.DUMMYFUNCTION("""COMPUTED_VALUE"""),218.0)</f>
        <v>218</v>
      </c>
      <c r="D2859" s="11">
        <f>IFERROR(__xludf.DUMMYFUNCTION("""COMPUTED_VALUE"""),194.0)</f>
        <v>194</v>
      </c>
      <c r="E2859" s="9"/>
    </row>
    <row r="2860">
      <c r="A2860" s="10">
        <f>IFERROR(__xludf.DUMMYFUNCTION("""COMPUTED_VALUE"""),99350.0)</f>
        <v>99350</v>
      </c>
      <c r="B2860" s="11">
        <f>IFERROR(__xludf.DUMMYFUNCTION("""COMPUTED_VALUE"""),0.0)</f>
        <v>0</v>
      </c>
      <c r="C2860" s="11">
        <f>IFERROR(__xludf.DUMMYFUNCTION("""COMPUTED_VALUE"""),454.0)</f>
        <v>454</v>
      </c>
      <c r="D2860" s="11">
        <f>IFERROR(__xludf.DUMMYFUNCTION("""COMPUTED_VALUE"""),181.0)</f>
        <v>181</v>
      </c>
      <c r="E2860" s="9"/>
    </row>
    <row r="2861">
      <c r="A2861" s="10">
        <f>IFERROR(__xludf.DUMMYFUNCTION("""COMPUTED_VALUE"""),78983.0)</f>
        <v>78983</v>
      </c>
      <c r="B2861" s="11">
        <f>IFERROR(__xludf.DUMMYFUNCTION("""COMPUTED_VALUE"""),0.0)</f>
        <v>0</v>
      </c>
      <c r="C2861" s="11">
        <f>IFERROR(__xludf.DUMMYFUNCTION("""COMPUTED_VALUE"""),382.0)</f>
        <v>382</v>
      </c>
      <c r="D2861" s="11">
        <f>IFERROR(__xludf.DUMMYFUNCTION("""COMPUTED_VALUE"""),128.0)</f>
        <v>128</v>
      </c>
      <c r="E2861" s="9"/>
    </row>
    <row r="2862">
      <c r="A2862" s="10">
        <f>IFERROR(__xludf.DUMMYFUNCTION("""COMPUTED_VALUE"""),188845.0)</f>
        <v>188845</v>
      </c>
      <c r="B2862" s="11">
        <f>IFERROR(__xludf.DUMMYFUNCTION("""COMPUTED_VALUE"""),0.0)</f>
        <v>0</v>
      </c>
      <c r="C2862" s="11">
        <f>IFERROR(__xludf.DUMMYFUNCTION("""COMPUTED_VALUE"""),645.0)</f>
        <v>645</v>
      </c>
      <c r="D2862" s="11">
        <f>IFERROR(__xludf.DUMMYFUNCTION("""COMPUTED_VALUE"""),123.0)</f>
        <v>123</v>
      </c>
      <c r="E2862" s="9"/>
    </row>
    <row r="2863">
      <c r="A2863" s="10">
        <f>IFERROR(__xludf.DUMMYFUNCTION("""COMPUTED_VALUE"""),117787.0)</f>
        <v>117787</v>
      </c>
      <c r="B2863" s="11">
        <f>IFERROR(__xludf.DUMMYFUNCTION("""COMPUTED_VALUE"""),0.0)</f>
        <v>0</v>
      </c>
      <c r="C2863" s="11">
        <f>IFERROR(__xludf.DUMMYFUNCTION("""COMPUTED_VALUE"""),92.0)</f>
        <v>92</v>
      </c>
      <c r="D2863" s="11">
        <f>IFERROR(__xludf.DUMMYFUNCTION("""COMPUTED_VALUE"""),84.0)</f>
        <v>84</v>
      </c>
      <c r="E2863" s="9"/>
    </row>
    <row r="2864">
      <c r="A2864" s="10">
        <f>IFERROR(__xludf.DUMMYFUNCTION("""COMPUTED_VALUE"""),119986.0)</f>
        <v>119986</v>
      </c>
      <c r="B2864" s="11">
        <f>IFERROR(__xludf.DUMMYFUNCTION("""COMPUTED_VALUE"""),1.0)</f>
        <v>1</v>
      </c>
      <c r="C2864" s="11">
        <f>IFERROR(__xludf.DUMMYFUNCTION("""COMPUTED_VALUE"""),785.0)</f>
        <v>785</v>
      </c>
      <c r="D2864" s="11">
        <f>IFERROR(__xludf.DUMMYFUNCTION("""COMPUTED_VALUE"""),665.0)</f>
        <v>665</v>
      </c>
      <c r="E2864" s="9"/>
    </row>
    <row r="2865">
      <c r="A2865" s="10">
        <f>IFERROR(__xludf.DUMMYFUNCTION("""COMPUTED_VALUE"""),188841.0)</f>
        <v>188841</v>
      </c>
      <c r="B2865" s="11">
        <f>IFERROR(__xludf.DUMMYFUNCTION("""COMPUTED_VALUE"""),1.0)</f>
        <v>1</v>
      </c>
      <c r="C2865" s="11">
        <f>IFERROR(__xludf.DUMMYFUNCTION("""COMPUTED_VALUE"""),166.0)</f>
        <v>166</v>
      </c>
      <c r="D2865" s="11">
        <f>IFERROR(__xludf.DUMMYFUNCTION("""COMPUTED_VALUE"""),43.0)</f>
        <v>43</v>
      </c>
      <c r="E2865" s="9"/>
    </row>
    <row r="2866">
      <c r="A2866" s="10">
        <f>IFERROR(__xludf.DUMMYFUNCTION("""COMPUTED_VALUE"""),99348.0)</f>
        <v>99348</v>
      </c>
      <c r="B2866" s="11">
        <f>IFERROR(__xludf.DUMMYFUNCTION("""COMPUTED_VALUE"""),1.0)</f>
        <v>1</v>
      </c>
      <c r="C2866" s="11">
        <f>IFERROR(__xludf.DUMMYFUNCTION("""COMPUTED_VALUE"""),0.0)</f>
        <v>0</v>
      </c>
      <c r="D2866" s="11">
        <f>IFERROR(__xludf.DUMMYFUNCTION("""COMPUTED_VALUE"""),0.0)</f>
        <v>0</v>
      </c>
      <c r="E2866" s="9"/>
    </row>
    <row r="2867">
      <c r="A2867" s="10">
        <f>IFERROR(__xludf.DUMMYFUNCTION("""COMPUTED_VALUE"""),78978.0)</f>
        <v>78978</v>
      </c>
      <c r="B2867" s="11">
        <f>IFERROR(__xludf.DUMMYFUNCTION("""COMPUTED_VALUE"""),0.0)</f>
        <v>0</v>
      </c>
      <c r="C2867" s="11">
        <f>IFERROR(__xludf.DUMMYFUNCTION("""COMPUTED_VALUE"""),234.0)</f>
        <v>234</v>
      </c>
      <c r="D2867" s="11">
        <f>IFERROR(__xludf.DUMMYFUNCTION("""COMPUTED_VALUE"""),205.0)</f>
        <v>205</v>
      </c>
      <c r="E2867" s="9"/>
    </row>
    <row r="2868">
      <c r="A2868" s="10">
        <f>IFERROR(__xludf.DUMMYFUNCTION("""COMPUTED_VALUE"""),120556.0)</f>
        <v>120556</v>
      </c>
      <c r="B2868" s="11">
        <f>IFERROR(__xludf.DUMMYFUNCTION("""COMPUTED_VALUE"""),1.0)</f>
        <v>1</v>
      </c>
      <c r="C2868" s="11">
        <f>IFERROR(__xludf.DUMMYFUNCTION("""COMPUTED_VALUE"""),329.0)</f>
        <v>329</v>
      </c>
      <c r="D2868" s="11">
        <f>IFERROR(__xludf.DUMMYFUNCTION("""COMPUTED_VALUE"""),291.0)</f>
        <v>291</v>
      </c>
      <c r="E2868" s="9"/>
    </row>
    <row r="2869">
      <c r="A2869" s="10">
        <f>IFERROR(__xludf.DUMMYFUNCTION("""COMPUTED_VALUE"""),80254.0)</f>
        <v>80254</v>
      </c>
      <c r="B2869" s="11">
        <f>IFERROR(__xludf.DUMMYFUNCTION("""COMPUTED_VALUE"""),0.0)</f>
        <v>0</v>
      </c>
      <c r="C2869" s="11">
        <f>IFERROR(__xludf.DUMMYFUNCTION("""COMPUTED_VALUE"""),296.0)</f>
        <v>296</v>
      </c>
      <c r="D2869" s="11">
        <f>IFERROR(__xludf.DUMMYFUNCTION("""COMPUTED_VALUE"""),119.0)</f>
        <v>119</v>
      </c>
      <c r="E2869" s="9"/>
    </row>
    <row r="2870">
      <c r="A2870" s="10">
        <f>IFERROR(__xludf.DUMMYFUNCTION("""COMPUTED_VALUE"""),121911.0)</f>
        <v>121911</v>
      </c>
      <c r="B2870" s="11">
        <f>IFERROR(__xludf.DUMMYFUNCTION("""COMPUTED_VALUE"""),1.0)</f>
        <v>1</v>
      </c>
      <c r="C2870" s="11">
        <f>IFERROR(__xludf.DUMMYFUNCTION("""COMPUTED_VALUE"""),320.0)</f>
        <v>320</v>
      </c>
      <c r="D2870" s="11">
        <f>IFERROR(__xludf.DUMMYFUNCTION("""COMPUTED_VALUE"""),108.0)</f>
        <v>108</v>
      </c>
      <c r="E2870" s="9"/>
    </row>
    <row r="2871">
      <c r="A2871" s="10">
        <f>IFERROR(__xludf.DUMMYFUNCTION("""COMPUTED_VALUE"""),120328.0)</f>
        <v>120328</v>
      </c>
      <c r="B2871" s="11">
        <f>IFERROR(__xludf.DUMMYFUNCTION("""COMPUTED_VALUE"""),1.0)</f>
        <v>1</v>
      </c>
      <c r="C2871" s="11">
        <f>IFERROR(__xludf.DUMMYFUNCTION("""COMPUTED_VALUE"""),798.0)</f>
        <v>798</v>
      </c>
      <c r="D2871" s="11">
        <f>IFERROR(__xludf.DUMMYFUNCTION("""COMPUTED_VALUE"""),783.0)</f>
        <v>783</v>
      </c>
      <c r="E2871" s="9"/>
    </row>
    <row r="2872">
      <c r="A2872" s="10">
        <f>IFERROR(__xludf.DUMMYFUNCTION("""COMPUTED_VALUE"""),122702.0)</f>
        <v>122702</v>
      </c>
      <c r="B2872" s="11">
        <f>IFERROR(__xludf.DUMMYFUNCTION("""COMPUTED_VALUE"""),0.0)</f>
        <v>0</v>
      </c>
      <c r="C2872" s="11">
        <f>IFERROR(__xludf.DUMMYFUNCTION("""COMPUTED_VALUE"""),266.0)</f>
        <v>266</v>
      </c>
      <c r="D2872" s="11">
        <f>IFERROR(__xludf.DUMMYFUNCTION("""COMPUTED_VALUE"""),216.0)</f>
        <v>216</v>
      </c>
      <c r="E2872" s="9"/>
    </row>
    <row r="2873">
      <c r="A2873" s="10">
        <f>IFERROR(__xludf.DUMMYFUNCTION("""COMPUTED_VALUE"""),92542.0)</f>
        <v>92542</v>
      </c>
      <c r="B2873" s="11">
        <f>IFERROR(__xludf.DUMMYFUNCTION("""COMPUTED_VALUE"""),0.0)</f>
        <v>0</v>
      </c>
      <c r="C2873" s="11">
        <f>IFERROR(__xludf.DUMMYFUNCTION("""COMPUTED_VALUE"""),267.0)</f>
        <v>267</v>
      </c>
      <c r="D2873" s="11">
        <f>IFERROR(__xludf.DUMMYFUNCTION("""COMPUTED_VALUE"""),47.0)</f>
        <v>47</v>
      </c>
      <c r="E2873" s="9"/>
    </row>
    <row r="2874">
      <c r="A2874" s="10">
        <f>IFERROR(__xludf.DUMMYFUNCTION("""COMPUTED_VALUE"""),15423.0)</f>
        <v>15423</v>
      </c>
      <c r="B2874" s="11">
        <f>IFERROR(__xludf.DUMMYFUNCTION("""COMPUTED_VALUE"""),1.0)</f>
        <v>1</v>
      </c>
      <c r="C2874" s="11">
        <f>IFERROR(__xludf.DUMMYFUNCTION("""COMPUTED_VALUE"""),879.0)</f>
        <v>879</v>
      </c>
      <c r="D2874" s="11">
        <f>IFERROR(__xludf.DUMMYFUNCTION("""COMPUTED_VALUE"""),398.0)</f>
        <v>398</v>
      </c>
      <c r="E2874" s="9"/>
    </row>
    <row r="2875">
      <c r="A2875" s="10">
        <f>IFERROR(__xludf.DUMMYFUNCTION("""COMPUTED_VALUE"""),111797.0)</f>
        <v>111797</v>
      </c>
      <c r="B2875" s="11">
        <f>IFERROR(__xludf.DUMMYFUNCTION("""COMPUTED_VALUE"""),1.0)</f>
        <v>1</v>
      </c>
      <c r="C2875" s="11">
        <f>IFERROR(__xludf.DUMMYFUNCTION("""COMPUTED_VALUE"""),51.0)</f>
        <v>51</v>
      </c>
      <c r="D2875" s="11">
        <f>IFERROR(__xludf.DUMMYFUNCTION("""COMPUTED_VALUE"""),51.0)</f>
        <v>51</v>
      </c>
      <c r="E2875" s="9"/>
    </row>
    <row r="2876">
      <c r="A2876" s="10">
        <f>IFERROR(__xludf.DUMMYFUNCTION("""COMPUTED_VALUE"""),112626.0)</f>
        <v>112626</v>
      </c>
      <c r="B2876" s="11">
        <f>IFERROR(__xludf.DUMMYFUNCTION("""COMPUTED_VALUE"""),1.0)</f>
        <v>1</v>
      </c>
      <c r="C2876" s="11">
        <f>IFERROR(__xludf.DUMMYFUNCTION("""COMPUTED_VALUE"""),494.0)</f>
        <v>494</v>
      </c>
      <c r="D2876" s="11">
        <f>IFERROR(__xludf.DUMMYFUNCTION("""COMPUTED_VALUE"""),54.0)</f>
        <v>54</v>
      </c>
      <c r="E2876" s="9"/>
    </row>
    <row r="2877">
      <c r="A2877" s="10">
        <f>IFERROR(__xludf.DUMMYFUNCTION("""COMPUTED_VALUE"""),12925.0)</f>
        <v>12925</v>
      </c>
      <c r="B2877" s="11">
        <f>IFERROR(__xludf.DUMMYFUNCTION("""COMPUTED_VALUE"""),1.0)</f>
        <v>1</v>
      </c>
      <c r="C2877" s="11">
        <f>IFERROR(__xludf.DUMMYFUNCTION("""COMPUTED_VALUE"""),599.0)</f>
        <v>599</v>
      </c>
      <c r="D2877" s="11">
        <f>IFERROR(__xludf.DUMMYFUNCTION("""COMPUTED_VALUE"""),24.0)</f>
        <v>24</v>
      </c>
      <c r="E2877" s="9"/>
    </row>
    <row r="2878">
      <c r="A2878" s="10">
        <f>IFERROR(__xludf.DUMMYFUNCTION("""COMPUTED_VALUE"""),107034.0)</f>
        <v>107034</v>
      </c>
      <c r="B2878" s="11">
        <f>IFERROR(__xludf.DUMMYFUNCTION("""COMPUTED_VALUE"""),0.0)</f>
        <v>0</v>
      </c>
      <c r="C2878" s="11">
        <f>IFERROR(__xludf.DUMMYFUNCTION("""COMPUTED_VALUE"""),822.0)</f>
        <v>822</v>
      </c>
      <c r="D2878" s="11">
        <f>IFERROR(__xludf.DUMMYFUNCTION("""COMPUTED_VALUE"""),15.0)</f>
        <v>15</v>
      </c>
      <c r="E2878" s="9"/>
    </row>
    <row r="2879">
      <c r="A2879" s="10">
        <f>IFERROR(__xludf.DUMMYFUNCTION("""COMPUTED_VALUE"""),88319.0)</f>
        <v>88319</v>
      </c>
      <c r="B2879" s="11">
        <f>IFERROR(__xludf.DUMMYFUNCTION("""COMPUTED_VALUE"""),1.0)</f>
        <v>1</v>
      </c>
      <c r="C2879" s="11">
        <f>IFERROR(__xludf.DUMMYFUNCTION("""COMPUTED_VALUE"""),574.0)</f>
        <v>574</v>
      </c>
      <c r="D2879" s="11">
        <f>IFERROR(__xludf.DUMMYFUNCTION("""COMPUTED_VALUE"""),296.0)</f>
        <v>296</v>
      </c>
      <c r="E2879" s="9"/>
    </row>
    <row r="2880">
      <c r="A2880" s="10">
        <f>IFERROR(__xludf.DUMMYFUNCTION("""COMPUTED_VALUE"""),3453.0)</f>
        <v>3453</v>
      </c>
      <c r="B2880" s="11">
        <f>IFERROR(__xludf.DUMMYFUNCTION("""COMPUTED_VALUE"""),1.0)</f>
        <v>1</v>
      </c>
      <c r="C2880" s="11">
        <f>IFERROR(__xludf.DUMMYFUNCTION("""COMPUTED_VALUE"""),422.0)</f>
        <v>422</v>
      </c>
      <c r="D2880" s="11">
        <f>IFERROR(__xludf.DUMMYFUNCTION("""COMPUTED_VALUE"""),24.0)</f>
        <v>24</v>
      </c>
      <c r="E2880" s="9"/>
    </row>
    <row r="2881">
      <c r="A2881" s="10">
        <f>IFERROR(__xludf.DUMMYFUNCTION("""COMPUTED_VALUE"""),121425.0)</f>
        <v>121425</v>
      </c>
      <c r="B2881" s="11">
        <f>IFERROR(__xludf.DUMMYFUNCTION("""COMPUTED_VALUE"""),0.0)</f>
        <v>0</v>
      </c>
      <c r="C2881" s="11">
        <f>IFERROR(__xludf.DUMMYFUNCTION("""COMPUTED_VALUE"""),377.0)</f>
        <v>377</v>
      </c>
      <c r="D2881" s="11">
        <f>IFERROR(__xludf.DUMMYFUNCTION("""COMPUTED_VALUE"""),80.0)</f>
        <v>80</v>
      </c>
      <c r="E2881" s="9"/>
    </row>
    <row r="2882">
      <c r="A2882" s="10">
        <f>IFERROR(__xludf.DUMMYFUNCTION("""COMPUTED_VALUE"""),10561.0)</f>
        <v>10561</v>
      </c>
      <c r="B2882" s="11">
        <f>IFERROR(__xludf.DUMMYFUNCTION("""COMPUTED_VALUE"""),0.0)</f>
        <v>0</v>
      </c>
      <c r="C2882" s="11">
        <f>IFERROR(__xludf.DUMMYFUNCTION("""COMPUTED_VALUE"""),660.0)</f>
        <v>660</v>
      </c>
      <c r="D2882" s="11">
        <f>IFERROR(__xludf.DUMMYFUNCTION("""COMPUTED_VALUE"""),210.0)</f>
        <v>210</v>
      </c>
      <c r="E2882" s="9"/>
    </row>
    <row r="2883">
      <c r="A2883" s="10">
        <f>IFERROR(__xludf.DUMMYFUNCTION("""COMPUTED_VALUE"""),90294.0)</f>
        <v>90294</v>
      </c>
      <c r="B2883" s="11">
        <f>IFERROR(__xludf.DUMMYFUNCTION("""COMPUTED_VALUE"""),0.0)</f>
        <v>0</v>
      </c>
      <c r="C2883" s="11">
        <f>IFERROR(__xludf.DUMMYFUNCTION("""COMPUTED_VALUE"""),917.0)</f>
        <v>917</v>
      </c>
      <c r="D2883" s="11">
        <f>IFERROR(__xludf.DUMMYFUNCTION("""COMPUTED_VALUE"""),535.0)</f>
        <v>535</v>
      </c>
      <c r="E2883" s="9"/>
    </row>
    <row r="2884">
      <c r="A2884" s="10">
        <f>IFERROR(__xludf.DUMMYFUNCTION("""COMPUTED_VALUE"""),70804.0)</f>
        <v>70804</v>
      </c>
      <c r="B2884" s="11">
        <f>IFERROR(__xludf.DUMMYFUNCTION("""COMPUTED_VALUE"""),0.0)</f>
        <v>0</v>
      </c>
      <c r="C2884" s="11">
        <f>IFERROR(__xludf.DUMMYFUNCTION("""COMPUTED_VALUE"""),707.0)</f>
        <v>707</v>
      </c>
      <c r="D2884" s="11">
        <f>IFERROR(__xludf.DUMMYFUNCTION("""COMPUTED_VALUE"""),5.0)</f>
        <v>5</v>
      </c>
      <c r="E2884" s="9"/>
    </row>
    <row r="2885">
      <c r="A2885" s="10">
        <f>IFERROR(__xludf.DUMMYFUNCTION("""COMPUTED_VALUE"""),81237.0)</f>
        <v>81237</v>
      </c>
      <c r="B2885" s="11">
        <f>IFERROR(__xludf.DUMMYFUNCTION("""COMPUTED_VALUE"""),1.0)</f>
        <v>1</v>
      </c>
      <c r="C2885" s="11">
        <f>IFERROR(__xludf.DUMMYFUNCTION("""COMPUTED_VALUE"""),293.0)</f>
        <v>293</v>
      </c>
      <c r="D2885" s="11">
        <f>IFERROR(__xludf.DUMMYFUNCTION("""COMPUTED_VALUE"""),45.0)</f>
        <v>45</v>
      </c>
      <c r="E2885" s="9"/>
    </row>
    <row r="2886">
      <c r="A2886" s="10">
        <f>IFERROR(__xludf.DUMMYFUNCTION("""COMPUTED_VALUE"""),47564.0)</f>
        <v>47564</v>
      </c>
      <c r="B2886" s="11">
        <f>IFERROR(__xludf.DUMMYFUNCTION("""COMPUTED_VALUE"""),1.0)</f>
        <v>1</v>
      </c>
      <c r="C2886" s="11">
        <f>IFERROR(__xludf.DUMMYFUNCTION("""COMPUTED_VALUE"""),563.0)</f>
        <v>563</v>
      </c>
      <c r="D2886" s="11">
        <f>IFERROR(__xludf.DUMMYFUNCTION("""COMPUTED_VALUE"""),398.0)</f>
        <v>398</v>
      </c>
      <c r="E2886" s="9"/>
    </row>
    <row r="2887">
      <c r="A2887" s="10">
        <f>IFERROR(__xludf.DUMMYFUNCTION("""COMPUTED_VALUE"""),24055.0)</f>
        <v>24055</v>
      </c>
      <c r="B2887" s="11">
        <f>IFERROR(__xludf.DUMMYFUNCTION("""COMPUTED_VALUE"""),1.0)</f>
        <v>1</v>
      </c>
      <c r="C2887" s="11">
        <f>IFERROR(__xludf.DUMMYFUNCTION("""COMPUTED_VALUE"""),147.0)</f>
        <v>147</v>
      </c>
      <c r="D2887" s="11">
        <f>IFERROR(__xludf.DUMMYFUNCTION("""COMPUTED_VALUE"""),112.0)</f>
        <v>112</v>
      </c>
      <c r="E2887" s="9"/>
    </row>
    <row r="2888">
      <c r="A2888" s="10">
        <f>IFERROR(__xludf.DUMMYFUNCTION("""COMPUTED_VALUE"""),48637.0)</f>
        <v>48637</v>
      </c>
      <c r="B2888" s="11">
        <f>IFERROR(__xludf.DUMMYFUNCTION("""COMPUTED_VALUE"""),1.0)</f>
        <v>1</v>
      </c>
      <c r="C2888" s="11">
        <f>IFERROR(__xludf.DUMMYFUNCTION("""COMPUTED_VALUE"""),910.0)</f>
        <v>910</v>
      </c>
      <c r="D2888" s="11">
        <f>IFERROR(__xludf.DUMMYFUNCTION("""COMPUTED_VALUE"""),443.0)</f>
        <v>443</v>
      </c>
      <c r="E2888" s="9"/>
    </row>
    <row r="2889">
      <c r="A2889" s="10">
        <f>IFERROR(__xludf.DUMMYFUNCTION("""COMPUTED_VALUE"""),3447.0)</f>
        <v>3447</v>
      </c>
      <c r="B2889" s="11">
        <f>IFERROR(__xludf.DUMMYFUNCTION("""COMPUTED_VALUE"""),1.0)</f>
        <v>1</v>
      </c>
      <c r="C2889" s="11">
        <f>IFERROR(__xludf.DUMMYFUNCTION("""COMPUTED_VALUE"""),20.0)</f>
        <v>20</v>
      </c>
      <c r="D2889" s="11">
        <f>IFERROR(__xludf.DUMMYFUNCTION("""COMPUTED_VALUE"""),18.0)</f>
        <v>18</v>
      </c>
      <c r="E2889" s="9"/>
    </row>
    <row r="2890">
      <c r="A2890" s="10">
        <f>IFERROR(__xludf.DUMMYFUNCTION("""COMPUTED_VALUE"""),117921.0)</f>
        <v>117921</v>
      </c>
      <c r="B2890" s="11">
        <f>IFERROR(__xludf.DUMMYFUNCTION("""COMPUTED_VALUE"""),0.0)</f>
        <v>0</v>
      </c>
      <c r="C2890" s="11">
        <f>IFERROR(__xludf.DUMMYFUNCTION("""COMPUTED_VALUE"""),337.0)</f>
        <v>337</v>
      </c>
      <c r="D2890" s="11">
        <f>IFERROR(__xludf.DUMMYFUNCTION("""COMPUTED_VALUE"""),148.0)</f>
        <v>148</v>
      </c>
      <c r="E2890" s="9"/>
    </row>
    <row r="2891">
      <c r="A2891" s="10">
        <f>IFERROR(__xludf.DUMMYFUNCTION("""COMPUTED_VALUE"""),128322.0)</f>
        <v>128322</v>
      </c>
      <c r="B2891" s="11">
        <f>IFERROR(__xludf.DUMMYFUNCTION("""COMPUTED_VALUE"""),0.0)</f>
        <v>0</v>
      </c>
      <c r="C2891" s="11">
        <f>IFERROR(__xludf.DUMMYFUNCTION("""COMPUTED_VALUE"""),935.0)</f>
        <v>935</v>
      </c>
      <c r="D2891" s="11">
        <f>IFERROR(__xludf.DUMMYFUNCTION("""COMPUTED_VALUE"""),249.0)</f>
        <v>249</v>
      </c>
      <c r="E2891" s="9"/>
    </row>
    <row r="2892">
      <c r="A2892" s="10">
        <f>IFERROR(__xludf.DUMMYFUNCTION("""COMPUTED_VALUE"""),42207.0)</f>
        <v>42207</v>
      </c>
      <c r="B2892" s="11">
        <f>IFERROR(__xludf.DUMMYFUNCTION("""COMPUTED_VALUE"""),1.0)</f>
        <v>1</v>
      </c>
      <c r="C2892" s="11">
        <f>IFERROR(__xludf.DUMMYFUNCTION("""COMPUTED_VALUE"""),659.0)</f>
        <v>659</v>
      </c>
      <c r="D2892" s="11">
        <f>IFERROR(__xludf.DUMMYFUNCTION("""COMPUTED_VALUE"""),329.0)</f>
        <v>329</v>
      </c>
      <c r="E2892" s="9"/>
    </row>
    <row r="2893">
      <c r="A2893" s="10">
        <f>IFERROR(__xludf.DUMMYFUNCTION("""COMPUTED_VALUE"""),108394.0)</f>
        <v>108394</v>
      </c>
      <c r="B2893" s="11">
        <f>IFERROR(__xludf.DUMMYFUNCTION("""COMPUTED_VALUE"""),1.0)</f>
        <v>1</v>
      </c>
      <c r="C2893" s="11">
        <f>IFERROR(__xludf.DUMMYFUNCTION("""COMPUTED_VALUE"""),484.0)</f>
        <v>484</v>
      </c>
      <c r="D2893" s="11">
        <f>IFERROR(__xludf.DUMMYFUNCTION("""COMPUTED_VALUE"""),194.0)</f>
        <v>194</v>
      </c>
      <c r="E2893" s="9"/>
    </row>
    <row r="2894">
      <c r="A2894" s="10">
        <f>IFERROR(__xludf.DUMMYFUNCTION("""COMPUTED_VALUE"""),119967.0)</f>
        <v>119967</v>
      </c>
      <c r="B2894" s="11">
        <f>IFERROR(__xludf.DUMMYFUNCTION("""COMPUTED_VALUE"""),1.0)</f>
        <v>1</v>
      </c>
      <c r="C2894" s="11">
        <f>IFERROR(__xludf.DUMMYFUNCTION("""COMPUTED_VALUE"""),832.0)</f>
        <v>832</v>
      </c>
      <c r="D2894" s="11">
        <f>IFERROR(__xludf.DUMMYFUNCTION("""COMPUTED_VALUE"""),375.0)</f>
        <v>375</v>
      </c>
      <c r="E2894" s="9"/>
    </row>
    <row r="2895">
      <c r="A2895" s="10">
        <f>IFERROR(__xludf.DUMMYFUNCTION("""COMPUTED_VALUE"""),81235.0)</f>
        <v>81235</v>
      </c>
      <c r="B2895" s="11">
        <f>IFERROR(__xludf.DUMMYFUNCTION("""COMPUTED_VALUE"""),0.0)</f>
        <v>0</v>
      </c>
      <c r="C2895" s="11">
        <f>IFERROR(__xludf.DUMMYFUNCTION("""COMPUTED_VALUE"""),913.0)</f>
        <v>913</v>
      </c>
      <c r="D2895" s="11">
        <f>IFERROR(__xludf.DUMMYFUNCTION("""COMPUTED_VALUE"""),111.0)</f>
        <v>111</v>
      </c>
      <c r="E2895" s="9"/>
    </row>
    <row r="2896">
      <c r="A2896" s="10">
        <f>IFERROR(__xludf.DUMMYFUNCTION("""COMPUTED_VALUE"""),24053.0)</f>
        <v>24053</v>
      </c>
      <c r="B2896" s="11">
        <f>IFERROR(__xludf.DUMMYFUNCTION("""COMPUTED_VALUE"""),1.0)</f>
        <v>1</v>
      </c>
      <c r="C2896" s="11">
        <f>IFERROR(__xludf.DUMMYFUNCTION("""COMPUTED_VALUE"""),85.0)</f>
        <v>85</v>
      </c>
      <c r="D2896" s="11">
        <f>IFERROR(__xludf.DUMMYFUNCTION("""COMPUTED_VALUE"""),31.0)</f>
        <v>31</v>
      </c>
      <c r="E2896" s="9"/>
    </row>
    <row r="2897">
      <c r="A2897" s="10">
        <f>IFERROR(__xludf.DUMMYFUNCTION("""COMPUTED_VALUE"""),116936.0)</f>
        <v>116936</v>
      </c>
      <c r="B2897" s="11">
        <f>IFERROR(__xludf.DUMMYFUNCTION("""COMPUTED_VALUE"""),0.0)</f>
        <v>0</v>
      </c>
      <c r="C2897" s="11">
        <f>IFERROR(__xludf.DUMMYFUNCTION("""COMPUTED_VALUE"""),556.0)</f>
        <v>556</v>
      </c>
      <c r="D2897" s="11">
        <f>IFERROR(__xludf.DUMMYFUNCTION("""COMPUTED_VALUE"""),141.0)</f>
        <v>141</v>
      </c>
      <c r="E2897" s="9"/>
    </row>
    <row r="2898">
      <c r="A2898" s="10">
        <f>IFERROR(__xludf.DUMMYFUNCTION("""COMPUTED_VALUE"""),44268.0)</f>
        <v>44268</v>
      </c>
      <c r="B2898" s="11">
        <f>IFERROR(__xludf.DUMMYFUNCTION("""COMPUTED_VALUE"""),1.0)</f>
        <v>1</v>
      </c>
      <c r="C2898" s="11">
        <f>IFERROR(__xludf.DUMMYFUNCTION("""COMPUTED_VALUE"""),96.0)</f>
        <v>96</v>
      </c>
      <c r="D2898" s="11">
        <f>IFERROR(__xludf.DUMMYFUNCTION("""COMPUTED_VALUE"""),17.0)</f>
        <v>17</v>
      </c>
      <c r="E2898" s="9"/>
    </row>
    <row r="2899">
      <c r="A2899" s="10">
        <f>IFERROR(__xludf.DUMMYFUNCTION("""COMPUTED_VALUE"""),111946.0)</f>
        <v>111946</v>
      </c>
      <c r="B2899" s="11">
        <f>IFERROR(__xludf.DUMMYFUNCTION("""COMPUTED_VALUE"""),1.0)</f>
        <v>1</v>
      </c>
      <c r="C2899" s="11">
        <f>IFERROR(__xludf.DUMMYFUNCTION("""COMPUTED_VALUE"""),442.0)</f>
        <v>442</v>
      </c>
      <c r="D2899" s="11">
        <f>IFERROR(__xludf.DUMMYFUNCTION("""COMPUTED_VALUE"""),430.0)</f>
        <v>430</v>
      </c>
      <c r="E2899" s="9"/>
    </row>
    <row r="2900">
      <c r="A2900" s="10">
        <f>IFERROR(__xludf.DUMMYFUNCTION("""COMPUTED_VALUE"""),81234.0)</f>
        <v>81234</v>
      </c>
      <c r="B2900" s="11">
        <f>IFERROR(__xludf.DUMMYFUNCTION("""COMPUTED_VALUE"""),1.0)</f>
        <v>1</v>
      </c>
      <c r="C2900" s="11">
        <f>IFERROR(__xludf.DUMMYFUNCTION("""COMPUTED_VALUE"""),345.0)</f>
        <v>345</v>
      </c>
      <c r="D2900" s="11">
        <f>IFERROR(__xludf.DUMMYFUNCTION("""COMPUTED_VALUE"""),138.0)</f>
        <v>138</v>
      </c>
      <c r="E2900" s="9"/>
    </row>
    <row r="2901">
      <c r="A2901" s="10">
        <f>IFERROR(__xludf.DUMMYFUNCTION("""COMPUTED_VALUE"""),24038.0)</f>
        <v>24038</v>
      </c>
      <c r="B2901" s="11">
        <f>IFERROR(__xludf.DUMMYFUNCTION("""COMPUTED_VALUE"""),0.0)</f>
        <v>0</v>
      </c>
      <c r="C2901" s="11">
        <f>IFERROR(__xludf.DUMMYFUNCTION("""COMPUTED_VALUE"""),202.0)</f>
        <v>202</v>
      </c>
      <c r="D2901" s="11">
        <f>IFERROR(__xludf.DUMMYFUNCTION("""COMPUTED_VALUE"""),72.0)</f>
        <v>72</v>
      </c>
      <c r="E2901" s="9"/>
    </row>
    <row r="2902">
      <c r="A2902" s="10">
        <f>IFERROR(__xludf.DUMMYFUNCTION("""COMPUTED_VALUE"""),44882.0)</f>
        <v>44882</v>
      </c>
      <c r="B2902" s="11">
        <f>IFERROR(__xludf.DUMMYFUNCTION("""COMPUTED_VALUE"""),0.0)</f>
        <v>0</v>
      </c>
      <c r="C2902" s="11">
        <f>IFERROR(__xludf.DUMMYFUNCTION("""COMPUTED_VALUE"""),236.0)</f>
        <v>236</v>
      </c>
      <c r="D2902" s="11">
        <f>IFERROR(__xludf.DUMMYFUNCTION("""COMPUTED_VALUE"""),225.0)</f>
        <v>225</v>
      </c>
      <c r="E2902" s="9"/>
    </row>
    <row r="2903">
      <c r="A2903" s="10">
        <f>IFERROR(__xludf.DUMMYFUNCTION("""COMPUTED_VALUE"""),44266.0)</f>
        <v>44266</v>
      </c>
      <c r="B2903" s="11">
        <f>IFERROR(__xludf.DUMMYFUNCTION("""COMPUTED_VALUE"""),0.0)</f>
        <v>0</v>
      </c>
      <c r="C2903" s="11">
        <f>IFERROR(__xludf.DUMMYFUNCTION("""COMPUTED_VALUE"""),44.0)</f>
        <v>44</v>
      </c>
      <c r="D2903" s="11">
        <f>IFERROR(__xludf.DUMMYFUNCTION("""COMPUTED_VALUE"""),13.0)</f>
        <v>13</v>
      </c>
      <c r="E2903" s="9"/>
    </row>
    <row r="2904">
      <c r="A2904" s="10">
        <f>IFERROR(__xludf.DUMMYFUNCTION("""COMPUTED_VALUE"""),3452.0)</f>
        <v>3452</v>
      </c>
      <c r="B2904" s="11">
        <f>IFERROR(__xludf.DUMMYFUNCTION("""COMPUTED_VALUE"""),1.0)</f>
        <v>1</v>
      </c>
      <c r="C2904" s="11">
        <f>IFERROR(__xludf.DUMMYFUNCTION("""COMPUTED_VALUE"""),456.0)</f>
        <v>456</v>
      </c>
      <c r="D2904" s="11">
        <f>IFERROR(__xludf.DUMMYFUNCTION("""COMPUTED_VALUE"""),337.0)</f>
        <v>337</v>
      </c>
      <c r="E2904" s="9"/>
    </row>
    <row r="2905">
      <c r="A2905" s="10">
        <f>IFERROR(__xludf.DUMMYFUNCTION("""COMPUTED_VALUE"""),118569.0)</f>
        <v>118569</v>
      </c>
      <c r="B2905" s="11">
        <f>IFERROR(__xludf.DUMMYFUNCTION("""COMPUTED_VALUE"""),0.0)</f>
        <v>0</v>
      </c>
      <c r="C2905" s="11">
        <f>IFERROR(__xludf.DUMMYFUNCTION("""COMPUTED_VALUE"""),919.0)</f>
        <v>919</v>
      </c>
      <c r="D2905" s="11">
        <f>IFERROR(__xludf.DUMMYFUNCTION("""COMPUTED_VALUE"""),618.0)</f>
        <v>618</v>
      </c>
      <c r="E2905" s="9"/>
    </row>
    <row r="2906">
      <c r="A2906" s="10">
        <f>IFERROR(__xludf.DUMMYFUNCTION("""COMPUTED_VALUE"""),84378.0)</f>
        <v>84378</v>
      </c>
      <c r="B2906" s="11">
        <f>IFERROR(__xludf.DUMMYFUNCTION("""COMPUTED_VALUE"""),0.0)</f>
        <v>0</v>
      </c>
      <c r="C2906" s="11">
        <f>IFERROR(__xludf.DUMMYFUNCTION("""COMPUTED_VALUE"""),496.0)</f>
        <v>496</v>
      </c>
      <c r="D2906" s="11">
        <f>IFERROR(__xludf.DUMMYFUNCTION("""COMPUTED_VALUE"""),54.0)</f>
        <v>54</v>
      </c>
      <c r="E2906" s="9"/>
    </row>
    <row r="2907">
      <c r="A2907" s="10">
        <f>IFERROR(__xludf.DUMMYFUNCTION("""COMPUTED_VALUE"""),112731.0)</f>
        <v>112731</v>
      </c>
      <c r="B2907" s="11">
        <f>IFERROR(__xludf.DUMMYFUNCTION("""COMPUTED_VALUE"""),0.0)</f>
        <v>0</v>
      </c>
      <c r="C2907" s="11">
        <f>IFERROR(__xludf.DUMMYFUNCTION("""COMPUTED_VALUE"""),878.0)</f>
        <v>878</v>
      </c>
      <c r="D2907" s="11">
        <f>IFERROR(__xludf.DUMMYFUNCTION("""COMPUTED_VALUE"""),553.0)</f>
        <v>553</v>
      </c>
      <c r="E2907" s="9"/>
    </row>
    <row r="2908">
      <c r="A2908" s="10">
        <f>IFERROR(__xludf.DUMMYFUNCTION("""COMPUTED_VALUE"""),166201.0)</f>
        <v>166201</v>
      </c>
      <c r="B2908" s="11">
        <f>IFERROR(__xludf.DUMMYFUNCTION("""COMPUTED_VALUE"""),1.0)</f>
        <v>1</v>
      </c>
      <c r="C2908" s="11">
        <f>IFERROR(__xludf.DUMMYFUNCTION("""COMPUTED_VALUE"""),787.0)</f>
        <v>787</v>
      </c>
      <c r="D2908" s="11">
        <f>IFERROR(__xludf.DUMMYFUNCTION("""COMPUTED_VALUE"""),107.0)</f>
        <v>107</v>
      </c>
      <c r="E2908" s="9"/>
    </row>
    <row r="2909">
      <c r="A2909" s="10">
        <f>IFERROR(__xludf.DUMMYFUNCTION("""COMPUTED_VALUE"""),48495.0)</f>
        <v>48495</v>
      </c>
      <c r="B2909" s="11">
        <f>IFERROR(__xludf.DUMMYFUNCTION("""COMPUTED_VALUE"""),0.0)</f>
        <v>0</v>
      </c>
      <c r="C2909" s="11">
        <f>IFERROR(__xludf.DUMMYFUNCTION("""COMPUTED_VALUE"""),899.0)</f>
        <v>899</v>
      </c>
      <c r="D2909" s="11">
        <f>IFERROR(__xludf.DUMMYFUNCTION("""COMPUTED_VALUE"""),613.0)</f>
        <v>613</v>
      </c>
      <c r="E2909" s="9"/>
    </row>
    <row r="2910">
      <c r="A2910" s="10">
        <f>IFERROR(__xludf.DUMMYFUNCTION("""COMPUTED_VALUE"""),10383.0)</f>
        <v>10383</v>
      </c>
      <c r="B2910" s="11">
        <f>IFERROR(__xludf.DUMMYFUNCTION("""COMPUTED_VALUE"""),1.0)</f>
        <v>1</v>
      </c>
      <c r="C2910" s="11">
        <f>IFERROR(__xludf.DUMMYFUNCTION("""COMPUTED_VALUE"""),496.0)</f>
        <v>496</v>
      </c>
      <c r="D2910" s="11">
        <f>IFERROR(__xludf.DUMMYFUNCTION("""COMPUTED_VALUE"""),56.0)</f>
        <v>56</v>
      </c>
      <c r="E2910" s="9"/>
    </row>
    <row r="2911">
      <c r="A2911" s="10">
        <f>IFERROR(__xludf.DUMMYFUNCTION("""COMPUTED_VALUE"""),116284.0)</f>
        <v>116284</v>
      </c>
      <c r="B2911" s="11">
        <f>IFERROR(__xludf.DUMMYFUNCTION("""COMPUTED_VALUE"""),1.0)</f>
        <v>1</v>
      </c>
      <c r="C2911" s="11">
        <f>IFERROR(__xludf.DUMMYFUNCTION("""COMPUTED_VALUE"""),935.0)</f>
        <v>935</v>
      </c>
      <c r="D2911" s="11">
        <f>IFERROR(__xludf.DUMMYFUNCTION("""COMPUTED_VALUE"""),911.0)</f>
        <v>911</v>
      </c>
      <c r="E2911" s="9"/>
    </row>
    <row r="2912">
      <c r="A2912" s="10">
        <f>IFERROR(__xludf.DUMMYFUNCTION("""COMPUTED_VALUE"""),86543.0)</f>
        <v>86543</v>
      </c>
      <c r="B2912" s="11">
        <f>IFERROR(__xludf.DUMMYFUNCTION("""COMPUTED_VALUE"""),1.0)</f>
        <v>1</v>
      </c>
      <c r="C2912" s="11">
        <f>IFERROR(__xludf.DUMMYFUNCTION("""COMPUTED_VALUE"""),666.0)</f>
        <v>666</v>
      </c>
      <c r="D2912" s="11">
        <f>IFERROR(__xludf.DUMMYFUNCTION("""COMPUTED_VALUE"""),401.0)</f>
        <v>401</v>
      </c>
      <c r="E2912" s="9"/>
    </row>
    <row r="2913">
      <c r="A2913" s="10">
        <f>IFERROR(__xludf.DUMMYFUNCTION("""COMPUTED_VALUE"""),21165.0)</f>
        <v>21165</v>
      </c>
      <c r="B2913" s="11">
        <f>IFERROR(__xludf.DUMMYFUNCTION("""COMPUTED_VALUE"""),1.0)</f>
        <v>1</v>
      </c>
      <c r="C2913" s="11">
        <f>IFERROR(__xludf.DUMMYFUNCTION("""COMPUTED_VALUE"""),240.0)</f>
        <v>240</v>
      </c>
      <c r="D2913" s="11">
        <f>IFERROR(__xludf.DUMMYFUNCTION("""COMPUTED_VALUE"""),167.0)</f>
        <v>167</v>
      </c>
      <c r="E2913" s="9"/>
    </row>
    <row r="2914">
      <c r="A2914" s="10">
        <f>IFERROR(__xludf.DUMMYFUNCTION("""COMPUTED_VALUE"""),10309.0)</f>
        <v>10309</v>
      </c>
      <c r="B2914" s="11">
        <f>IFERROR(__xludf.DUMMYFUNCTION("""COMPUTED_VALUE"""),0.0)</f>
        <v>0</v>
      </c>
      <c r="C2914" s="11">
        <f>IFERROR(__xludf.DUMMYFUNCTION("""COMPUTED_VALUE"""),380.0)</f>
        <v>380</v>
      </c>
      <c r="D2914" s="11">
        <f>IFERROR(__xludf.DUMMYFUNCTION("""COMPUTED_VALUE"""),186.0)</f>
        <v>186</v>
      </c>
      <c r="E2914" s="9"/>
    </row>
    <row r="2915">
      <c r="A2915" s="10">
        <f>IFERROR(__xludf.DUMMYFUNCTION("""COMPUTED_VALUE"""),10367.0)</f>
        <v>10367</v>
      </c>
      <c r="B2915" s="11">
        <f>IFERROR(__xludf.DUMMYFUNCTION("""COMPUTED_VALUE"""),1.0)</f>
        <v>1</v>
      </c>
      <c r="C2915" s="11">
        <f>IFERROR(__xludf.DUMMYFUNCTION("""COMPUTED_VALUE"""),934.0)</f>
        <v>934</v>
      </c>
      <c r="D2915" s="11">
        <f>IFERROR(__xludf.DUMMYFUNCTION("""COMPUTED_VALUE"""),473.0)</f>
        <v>473</v>
      </c>
      <c r="E2915" s="9"/>
    </row>
    <row r="2916">
      <c r="A2916" s="10">
        <f>IFERROR(__xludf.DUMMYFUNCTION("""COMPUTED_VALUE"""),86545.0)</f>
        <v>86545</v>
      </c>
      <c r="B2916" s="11">
        <f>IFERROR(__xludf.DUMMYFUNCTION("""COMPUTED_VALUE"""),1.0)</f>
        <v>1</v>
      </c>
      <c r="C2916" s="11">
        <f>IFERROR(__xludf.DUMMYFUNCTION("""COMPUTED_VALUE"""),828.0)</f>
        <v>828</v>
      </c>
      <c r="D2916" s="11">
        <f>IFERROR(__xludf.DUMMYFUNCTION("""COMPUTED_VALUE"""),21.0)</f>
        <v>21</v>
      </c>
      <c r="E2916" s="9"/>
    </row>
    <row r="2917">
      <c r="A2917" s="10">
        <f>IFERROR(__xludf.DUMMYFUNCTION("""COMPUTED_VALUE"""),86544.0)</f>
        <v>86544</v>
      </c>
      <c r="B2917" s="11">
        <f>IFERROR(__xludf.DUMMYFUNCTION("""COMPUTED_VALUE"""),1.0)</f>
        <v>1</v>
      </c>
      <c r="C2917" s="11">
        <f>IFERROR(__xludf.DUMMYFUNCTION("""COMPUTED_VALUE"""),645.0)</f>
        <v>645</v>
      </c>
      <c r="D2917" s="11">
        <f>IFERROR(__xludf.DUMMYFUNCTION("""COMPUTED_VALUE"""),219.0)</f>
        <v>219</v>
      </c>
      <c r="E2917" s="9"/>
    </row>
    <row r="2918">
      <c r="A2918" s="10">
        <f>IFERROR(__xludf.DUMMYFUNCTION("""COMPUTED_VALUE"""),10384.0)</f>
        <v>10384</v>
      </c>
      <c r="B2918" s="11">
        <f>IFERROR(__xludf.DUMMYFUNCTION("""COMPUTED_VALUE"""),0.0)</f>
        <v>0</v>
      </c>
      <c r="C2918" s="11">
        <f>IFERROR(__xludf.DUMMYFUNCTION("""COMPUTED_VALUE"""),38.0)</f>
        <v>38</v>
      </c>
      <c r="D2918" s="11">
        <f>IFERROR(__xludf.DUMMYFUNCTION("""COMPUTED_VALUE"""),12.0)</f>
        <v>12</v>
      </c>
      <c r="E2918" s="9"/>
    </row>
    <row r="2919">
      <c r="A2919" s="10">
        <f>IFERROR(__xludf.DUMMYFUNCTION("""COMPUTED_VALUE"""),79314.0)</f>
        <v>79314</v>
      </c>
      <c r="B2919" s="11">
        <f>IFERROR(__xludf.DUMMYFUNCTION("""COMPUTED_VALUE"""),1.0)</f>
        <v>1</v>
      </c>
      <c r="C2919" s="11">
        <f>IFERROR(__xludf.DUMMYFUNCTION("""COMPUTED_VALUE"""),230.0)</f>
        <v>230</v>
      </c>
      <c r="D2919" s="11">
        <f>IFERROR(__xludf.DUMMYFUNCTION("""COMPUTED_VALUE"""),189.0)</f>
        <v>189</v>
      </c>
      <c r="E2919" s="9"/>
    </row>
    <row r="2920">
      <c r="A2920" s="10">
        <f>IFERROR(__xludf.DUMMYFUNCTION("""COMPUTED_VALUE"""),79311.0)</f>
        <v>79311</v>
      </c>
      <c r="B2920" s="11">
        <f>IFERROR(__xludf.DUMMYFUNCTION("""COMPUTED_VALUE"""),0.0)</f>
        <v>0</v>
      </c>
      <c r="C2920" s="11">
        <f>IFERROR(__xludf.DUMMYFUNCTION("""COMPUTED_VALUE"""),759.0)</f>
        <v>759</v>
      </c>
      <c r="D2920" s="11">
        <f>IFERROR(__xludf.DUMMYFUNCTION("""COMPUTED_VALUE"""),502.0)</f>
        <v>502</v>
      </c>
      <c r="E2920" s="9"/>
    </row>
    <row r="2921">
      <c r="A2921" s="10">
        <f>IFERROR(__xludf.DUMMYFUNCTION("""COMPUTED_VALUE"""),118249.0)</f>
        <v>118249</v>
      </c>
      <c r="B2921" s="11">
        <f>IFERROR(__xludf.DUMMYFUNCTION("""COMPUTED_VALUE"""),1.0)</f>
        <v>1</v>
      </c>
      <c r="C2921" s="11">
        <f>IFERROR(__xludf.DUMMYFUNCTION("""COMPUTED_VALUE"""),776.0)</f>
        <v>776</v>
      </c>
      <c r="D2921" s="11">
        <f>IFERROR(__xludf.DUMMYFUNCTION("""COMPUTED_VALUE"""),160.0)</f>
        <v>160</v>
      </c>
      <c r="E2921" s="9"/>
    </row>
    <row r="2922">
      <c r="A2922" s="10">
        <f>IFERROR(__xludf.DUMMYFUNCTION("""COMPUTED_VALUE"""),128420.0)</f>
        <v>128420</v>
      </c>
      <c r="B2922" s="11">
        <f>IFERROR(__xludf.DUMMYFUNCTION("""COMPUTED_VALUE"""),0.0)</f>
        <v>0</v>
      </c>
      <c r="C2922" s="11">
        <f>IFERROR(__xludf.DUMMYFUNCTION("""COMPUTED_VALUE"""),897.0)</f>
        <v>897</v>
      </c>
      <c r="D2922" s="11">
        <f>IFERROR(__xludf.DUMMYFUNCTION("""COMPUTED_VALUE"""),332.0)</f>
        <v>332</v>
      </c>
      <c r="E2922" s="9"/>
    </row>
    <row r="2923">
      <c r="A2923" s="10">
        <f>IFERROR(__xludf.DUMMYFUNCTION("""COMPUTED_VALUE"""),120692.0)</f>
        <v>120692</v>
      </c>
      <c r="B2923" s="11">
        <f>IFERROR(__xludf.DUMMYFUNCTION("""COMPUTED_VALUE"""),0.0)</f>
        <v>0</v>
      </c>
      <c r="C2923" s="11">
        <f>IFERROR(__xludf.DUMMYFUNCTION("""COMPUTED_VALUE"""),882.0)</f>
        <v>882</v>
      </c>
      <c r="D2923" s="11">
        <f>IFERROR(__xludf.DUMMYFUNCTION("""COMPUTED_VALUE"""),113.0)</f>
        <v>113</v>
      </c>
      <c r="E2923" s="9"/>
    </row>
    <row r="2924">
      <c r="A2924" s="10">
        <f>IFERROR(__xludf.DUMMYFUNCTION("""COMPUTED_VALUE"""),122464.0)</f>
        <v>122464</v>
      </c>
      <c r="B2924" s="11">
        <f>IFERROR(__xludf.DUMMYFUNCTION("""COMPUTED_VALUE"""),1.0)</f>
        <v>1</v>
      </c>
      <c r="C2924" s="11">
        <f>IFERROR(__xludf.DUMMYFUNCTION("""COMPUTED_VALUE"""),701.0)</f>
        <v>701</v>
      </c>
      <c r="D2924" s="11">
        <f>IFERROR(__xludf.DUMMYFUNCTION("""COMPUTED_VALUE"""),431.0)</f>
        <v>431</v>
      </c>
      <c r="E2924" s="9"/>
    </row>
    <row r="2925">
      <c r="A2925" s="10">
        <f>IFERROR(__xludf.DUMMYFUNCTION("""COMPUTED_VALUE"""),79762.0)</f>
        <v>79762</v>
      </c>
      <c r="B2925" s="11">
        <f>IFERROR(__xludf.DUMMYFUNCTION("""COMPUTED_VALUE"""),1.0)</f>
        <v>1</v>
      </c>
      <c r="C2925" s="11">
        <f>IFERROR(__xludf.DUMMYFUNCTION("""COMPUTED_VALUE"""),536.0)</f>
        <v>536</v>
      </c>
      <c r="D2925" s="11">
        <f>IFERROR(__xludf.DUMMYFUNCTION("""COMPUTED_VALUE"""),86.0)</f>
        <v>86</v>
      </c>
      <c r="E2925" s="9"/>
    </row>
    <row r="2926">
      <c r="A2926" s="10">
        <f>IFERROR(__xludf.DUMMYFUNCTION("""COMPUTED_VALUE"""),79315.0)</f>
        <v>79315</v>
      </c>
      <c r="B2926" s="11">
        <f>IFERROR(__xludf.DUMMYFUNCTION("""COMPUTED_VALUE"""),1.0)</f>
        <v>1</v>
      </c>
      <c r="C2926" s="11">
        <f>IFERROR(__xludf.DUMMYFUNCTION("""COMPUTED_VALUE"""),81.0)</f>
        <v>81</v>
      </c>
      <c r="D2926" s="11">
        <f>IFERROR(__xludf.DUMMYFUNCTION("""COMPUTED_VALUE"""),53.0)</f>
        <v>53</v>
      </c>
      <c r="E2926" s="9"/>
    </row>
    <row r="2927">
      <c r="A2927" s="10">
        <f>IFERROR(__xludf.DUMMYFUNCTION("""COMPUTED_VALUE"""),98941.0)</f>
        <v>98941</v>
      </c>
      <c r="B2927" s="11">
        <f>IFERROR(__xludf.DUMMYFUNCTION("""COMPUTED_VALUE"""),1.0)</f>
        <v>1</v>
      </c>
      <c r="C2927" s="11">
        <f>IFERROR(__xludf.DUMMYFUNCTION("""COMPUTED_VALUE"""),221.0)</f>
        <v>221</v>
      </c>
      <c r="D2927" s="11">
        <f>IFERROR(__xludf.DUMMYFUNCTION("""COMPUTED_VALUE"""),30.0)</f>
        <v>30</v>
      </c>
      <c r="E2927" s="9"/>
    </row>
    <row r="2928">
      <c r="A2928" s="10">
        <f>IFERROR(__xludf.DUMMYFUNCTION("""COMPUTED_VALUE"""),118245.0)</f>
        <v>118245</v>
      </c>
      <c r="B2928" s="11">
        <f>IFERROR(__xludf.DUMMYFUNCTION("""COMPUTED_VALUE"""),0.0)</f>
        <v>0</v>
      </c>
      <c r="C2928" s="11">
        <f>IFERROR(__xludf.DUMMYFUNCTION("""COMPUTED_VALUE"""),634.0)</f>
        <v>634</v>
      </c>
      <c r="D2928" s="11">
        <f>IFERROR(__xludf.DUMMYFUNCTION("""COMPUTED_VALUE"""),573.0)</f>
        <v>573</v>
      </c>
      <c r="E2928" s="9"/>
    </row>
    <row r="2929">
      <c r="A2929" s="10">
        <f>IFERROR(__xludf.DUMMYFUNCTION("""COMPUTED_VALUE"""),122333.0)</f>
        <v>122333</v>
      </c>
      <c r="B2929" s="11">
        <f>IFERROR(__xludf.DUMMYFUNCTION("""COMPUTED_VALUE"""),0.0)</f>
        <v>0</v>
      </c>
      <c r="C2929" s="11">
        <f>IFERROR(__xludf.DUMMYFUNCTION("""COMPUTED_VALUE"""),913.0)</f>
        <v>913</v>
      </c>
      <c r="D2929" s="11">
        <f>IFERROR(__xludf.DUMMYFUNCTION("""COMPUTED_VALUE"""),711.0)</f>
        <v>711</v>
      </c>
      <c r="E2929" s="9"/>
    </row>
    <row r="2930">
      <c r="A2930" s="10">
        <f>IFERROR(__xludf.DUMMYFUNCTION("""COMPUTED_VALUE"""),121901.0)</f>
        <v>121901</v>
      </c>
      <c r="B2930" s="11">
        <f>IFERROR(__xludf.DUMMYFUNCTION("""COMPUTED_VALUE"""),0.0)</f>
        <v>0</v>
      </c>
      <c r="C2930" s="11">
        <f>IFERROR(__xludf.DUMMYFUNCTION("""COMPUTED_VALUE"""),774.0)</f>
        <v>774</v>
      </c>
      <c r="D2930" s="11">
        <f>IFERROR(__xludf.DUMMYFUNCTION("""COMPUTED_VALUE"""),275.0)</f>
        <v>275</v>
      </c>
      <c r="E2930" s="9"/>
    </row>
    <row r="2931">
      <c r="A2931" s="10">
        <f>IFERROR(__xludf.DUMMYFUNCTION("""COMPUTED_VALUE"""),79316.0)</f>
        <v>79316</v>
      </c>
      <c r="B2931" s="11">
        <f>IFERROR(__xludf.DUMMYFUNCTION("""COMPUTED_VALUE"""),1.0)</f>
        <v>1</v>
      </c>
      <c r="C2931" s="11">
        <f>IFERROR(__xludf.DUMMYFUNCTION("""COMPUTED_VALUE"""),721.0)</f>
        <v>721</v>
      </c>
      <c r="D2931" s="11">
        <f>IFERROR(__xludf.DUMMYFUNCTION("""COMPUTED_VALUE"""),0.0)</f>
        <v>0</v>
      </c>
      <c r="E2931" s="9"/>
    </row>
    <row r="2932">
      <c r="A2932" s="10">
        <f>IFERROR(__xludf.DUMMYFUNCTION("""COMPUTED_VALUE"""),109899.0)</f>
        <v>109899</v>
      </c>
      <c r="B2932" s="11">
        <f>IFERROR(__xludf.DUMMYFUNCTION("""COMPUTED_VALUE"""),1.0)</f>
        <v>1</v>
      </c>
      <c r="C2932" s="11">
        <f>IFERROR(__xludf.DUMMYFUNCTION("""COMPUTED_VALUE"""),712.0)</f>
        <v>712</v>
      </c>
      <c r="D2932" s="11">
        <f>IFERROR(__xludf.DUMMYFUNCTION("""COMPUTED_VALUE"""),562.0)</f>
        <v>562</v>
      </c>
      <c r="E2932" s="9"/>
    </row>
    <row r="2933">
      <c r="A2933" s="10">
        <f>IFERROR(__xludf.DUMMYFUNCTION("""COMPUTED_VALUE"""),70570.0)</f>
        <v>70570</v>
      </c>
      <c r="B2933" s="11">
        <f>IFERROR(__xludf.DUMMYFUNCTION("""COMPUTED_VALUE"""),1.0)</f>
        <v>1</v>
      </c>
      <c r="C2933" s="11">
        <f>IFERROR(__xludf.DUMMYFUNCTION("""COMPUTED_VALUE"""),910.0)</f>
        <v>910</v>
      </c>
      <c r="D2933" s="11">
        <f>IFERROR(__xludf.DUMMYFUNCTION("""COMPUTED_VALUE"""),235.0)</f>
        <v>235</v>
      </c>
      <c r="E2933" s="9"/>
    </row>
    <row r="2934">
      <c r="A2934" s="10">
        <f>IFERROR(__xludf.DUMMYFUNCTION("""COMPUTED_VALUE"""),79364.0)</f>
        <v>79364</v>
      </c>
      <c r="B2934" s="11">
        <f>IFERROR(__xludf.DUMMYFUNCTION("""COMPUTED_VALUE"""),0.0)</f>
        <v>0</v>
      </c>
      <c r="C2934" s="11">
        <f>IFERROR(__xludf.DUMMYFUNCTION("""COMPUTED_VALUE"""),142.0)</f>
        <v>142</v>
      </c>
      <c r="D2934" s="11">
        <f>IFERROR(__xludf.DUMMYFUNCTION("""COMPUTED_VALUE"""),100.0)</f>
        <v>100</v>
      </c>
      <c r="E2934" s="9"/>
    </row>
    <row r="2935">
      <c r="A2935" s="10">
        <f>IFERROR(__xludf.DUMMYFUNCTION("""COMPUTED_VALUE"""),113103.0)</f>
        <v>113103</v>
      </c>
      <c r="B2935" s="11">
        <f>IFERROR(__xludf.DUMMYFUNCTION("""COMPUTED_VALUE"""),1.0)</f>
        <v>1</v>
      </c>
      <c r="C2935" s="11">
        <f>IFERROR(__xludf.DUMMYFUNCTION("""COMPUTED_VALUE"""),503.0)</f>
        <v>503</v>
      </c>
      <c r="D2935" s="11">
        <f>IFERROR(__xludf.DUMMYFUNCTION("""COMPUTED_VALUE"""),118.0)</f>
        <v>118</v>
      </c>
      <c r="E2935" s="9"/>
    </row>
    <row r="2936">
      <c r="A2936" s="10">
        <f>IFERROR(__xludf.DUMMYFUNCTION("""COMPUTED_VALUE"""),200581.0)</f>
        <v>200581</v>
      </c>
      <c r="B2936" s="11">
        <f>IFERROR(__xludf.DUMMYFUNCTION("""COMPUTED_VALUE"""),0.0)</f>
        <v>0</v>
      </c>
      <c r="C2936" s="11">
        <f>IFERROR(__xludf.DUMMYFUNCTION("""COMPUTED_VALUE"""),304.0)</f>
        <v>304</v>
      </c>
      <c r="D2936" s="11">
        <f>IFERROR(__xludf.DUMMYFUNCTION("""COMPUTED_VALUE"""),83.0)</f>
        <v>83</v>
      </c>
      <c r="E2936" s="9"/>
    </row>
    <row r="2937">
      <c r="A2937" s="10">
        <f>IFERROR(__xludf.DUMMYFUNCTION("""COMPUTED_VALUE"""),91490.0)</f>
        <v>91490</v>
      </c>
      <c r="B2937" s="11">
        <f>IFERROR(__xludf.DUMMYFUNCTION("""COMPUTED_VALUE"""),0.0)</f>
        <v>0</v>
      </c>
      <c r="C2937" s="11">
        <f>IFERROR(__xludf.DUMMYFUNCTION("""COMPUTED_VALUE"""),582.0)</f>
        <v>582</v>
      </c>
      <c r="D2937" s="11">
        <f>IFERROR(__xludf.DUMMYFUNCTION("""COMPUTED_VALUE"""),202.0)</f>
        <v>202</v>
      </c>
      <c r="E2937" s="9"/>
    </row>
    <row r="2938">
      <c r="A2938" s="10">
        <f>IFERROR(__xludf.DUMMYFUNCTION("""COMPUTED_VALUE"""),79320.0)</f>
        <v>79320</v>
      </c>
      <c r="B2938" s="11">
        <f>IFERROR(__xludf.DUMMYFUNCTION("""COMPUTED_VALUE"""),1.0)</f>
        <v>1</v>
      </c>
      <c r="C2938" s="11">
        <f>IFERROR(__xludf.DUMMYFUNCTION("""COMPUTED_VALUE"""),569.0)</f>
        <v>569</v>
      </c>
      <c r="D2938" s="11">
        <f>IFERROR(__xludf.DUMMYFUNCTION("""COMPUTED_VALUE"""),71.0)</f>
        <v>71</v>
      </c>
      <c r="E2938" s="9"/>
    </row>
    <row r="2939">
      <c r="A2939" s="10">
        <f>IFERROR(__xludf.DUMMYFUNCTION("""COMPUTED_VALUE"""),122331.0)</f>
        <v>122331</v>
      </c>
      <c r="B2939" s="11">
        <f>IFERROR(__xludf.DUMMYFUNCTION("""COMPUTED_VALUE"""),0.0)</f>
        <v>0</v>
      </c>
      <c r="C2939" s="11">
        <f>IFERROR(__xludf.DUMMYFUNCTION("""COMPUTED_VALUE"""),606.0)</f>
        <v>606</v>
      </c>
      <c r="D2939" s="11">
        <f>IFERROR(__xludf.DUMMYFUNCTION("""COMPUTED_VALUE"""),351.0)</f>
        <v>351</v>
      </c>
      <c r="E2939" s="9"/>
    </row>
    <row r="2940">
      <c r="A2940" s="10">
        <f>IFERROR(__xludf.DUMMYFUNCTION("""COMPUTED_VALUE"""),79921.0)</f>
        <v>79921</v>
      </c>
      <c r="B2940" s="11">
        <f>IFERROR(__xludf.DUMMYFUNCTION("""COMPUTED_VALUE"""),0.0)</f>
        <v>0</v>
      </c>
      <c r="C2940" s="11">
        <f>IFERROR(__xludf.DUMMYFUNCTION("""COMPUTED_VALUE"""),370.0)</f>
        <v>370</v>
      </c>
      <c r="D2940" s="11">
        <f>IFERROR(__xludf.DUMMYFUNCTION("""COMPUTED_VALUE"""),247.0)</f>
        <v>247</v>
      </c>
      <c r="E2940" s="9"/>
    </row>
    <row r="2941">
      <c r="A2941" s="10">
        <f>IFERROR(__xludf.DUMMYFUNCTION("""COMPUTED_VALUE"""),128421.0)</f>
        <v>128421</v>
      </c>
      <c r="B2941" s="11">
        <f>IFERROR(__xludf.DUMMYFUNCTION("""COMPUTED_VALUE"""),1.0)</f>
        <v>1</v>
      </c>
      <c r="C2941" s="11">
        <f>IFERROR(__xludf.DUMMYFUNCTION("""COMPUTED_VALUE"""),542.0)</f>
        <v>542</v>
      </c>
      <c r="D2941" s="11">
        <f>IFERROR(__xludf.DUMMYFUNCTION("""COMPUTED_VALUE"""),44.0)</f>
        <v>44</v>
      </c>
      <c r="E2941" s="9"/>
    </row>
    <row r="2942">
      <c r="A2942" s="10">
        <f>IFERROR(__xludf.DUMMYFUNCTION("""COMPUTED_VALUE"""),80421.0)</f>
        <v>80421</v>
      </c>
      <c r="B2942" s="11">
        <f>IFERROR(__xludf.DUMMYFUNCTION("""COMPUTED_VALUE"""),1.0)</f>
        <v>1</v>
      </c>
      <c r="C2942" s="11">
        <f>IFERROR(__xludf.DUMMYFUNCTION("""COMPUTED_VALUE"""),323.0)</f>
        <v>323</v>
      </c>
      <c r="D2942" s="11">
        <f>IFERROR(__xludf.DUMMYFUNCTION("""COMPUTED_VALUE"""),219.0)</f>
        <v>219</v>
      </c>
      <c r="E2942" s="9"/>
    </row>
    <row r="2943">
      <c r="A2943" s="10">
        <f>IFERROR(__xludf.DUMMYFUNCTION("""COMPUTED_VALUE"""),121867.0)</f>
        <v>121867</v>
      </c>
      <c r="B2943" s="11">
        <f>IFERROR(__xludf.DUMMYFUNCTION("""COMPUTED_VALUE"""),0.0)</f>
        <v>0</v>
      </c>
      <c r="C2943" s="11">
        <f>IFERROR(__xludf.DUMMYFUNCTION("""COMPUTED_VALUE"""),509.0)</f>
        <v>509</v>
      </c>
      <c r="D2943" s="11">
        <f>IFERROR(__xludf.DUMMYFUNCTION("""COMPUTED_VALUE"""),232.0)</f>
        <v>232</v>
      </c>
      <c r="E2943" s="9"/>
    </row>
    <row r="2944">
      <c r="A2944" s="10">
        <f>IFERROR(__xludf.DUMMYFUNCTION("""COMPUTED_VALUE"""),122501.0)</f>
        <v>122501</v>
      </c>
      <c r="B2944" s="11">
        <f>IFERROR(__xludf.DUMMYFUNCTION("""COMPUTED_VALUE"""),0.0)</f>
        <v>0</v>
      </c>
      <c r="C2944" s="11">
        <f>IFERROR(__xludf.DUMMYFUNCTION("""COMPUTED_VALUE"""),977.0)</f>
        <v>977</v>
      </c>
      <c r="D2944" s="11">
        <f>IFERROR(__xludf.DUMMYFUNCTION("""COMPUTED_VALUE"""),79.0)</f>
        <v>79</v>
      </c>
      <c r="E2944" s="9"/>
    </row>
    <row r="2945">
      <c r="A2945" s="10">
        <f>IFERROR(__xludf.DUMMYFUNCTION("""COMPUTED_VALUE"""),44531.0)</f>
        <v>44531</v>
      </c>
      <c r="B2945" s="11">
        <f>IFERROR(__xludf.DUMMYFUNCTION("""COMPUTED_VALUE"""),1.0)</f>
        <v>1</v>
      </c>
      <c r="C2945" s="11">
        <f>IFERROR(__xludf.DUMMYFUNCTION("""COMPUTED_VALUE"""),534.0)</f>
        <v>534</v>
      </c>
      <c r="D2945" s="11">
        <f>IFERROR(__xludf.DUMMYFUNCTION("""COMPUTED_VALUE"""),338.0)</f>
        <v>338</v>
      </c>
      <c r="E2945" s="9"/>
    </row>
    <row r="2946">
      <c r="A2946" s="10">
        <f>IFERROR(__xludf.DUMMYFUNCTION("""COMPUTED_VALUE"""),118153.0)</f>
        <v>118153</v>
      </c>
      <c r="B2946" s="11">
        <f>IFERROR(__xludf.DUMMYFUNCTION("""COMPUTED_VALUE"""),1.0)</f>
        <v>1</v>
      </c>
      <c r="C2946" s="11">
        <f>IFERROR(__xludf.DUMMYFUNCTION("""COMPUTED_VALUE"""),529.0)</f>
        <v>529</v>
      </c>
      <c r="D2946" s="11">
        <f>IFERROR(__xludf.DUMMYFUNCTION("""COMPUTED_VALUE"""),95.0)</f>
        <v>95</v>
      </c>
      <c r="E2946" s="9"/>
    </row>
    <row r="2947">
      <c r="A2947" s="10">
        <f>IFERROR(__xludf.DUMMYFUNCTION("""COMPUTED_VALUE"""),118244.0)</f>
        <v>118244</v>
      </c>
      <c r="B2947" s="11">
        <f>IFERROR(__xludf.DUMMYFUNCTION("""COMPUTED_VALUE"""),1.0)</f>
        <v>1</v>
      </c>
      <c r="C2947" s="11">
        <f>IFERROR(__xludf.DUMMYFUNCTION("""COMPUTED_VALUE"""),459.0)</f>
        <v>459</v>
      </c>
      <c r="D2947" s="11">
        <f>IFERROR(__xludf.DUMMYFUNCTION("""COMPUTED_VALUE"""),98.0)</f>
        <v>98</v>
      </c>
      <c r="E2947" s="9"/>
    </row>
    <row r="2948">
      <c r="A2948" s="10">
        <f>IFERROR(__xludf.DUMMYFUNCTION("""COMPUTED_VALUE"""),46974.0)</f>
        <v>46974</v>
      </c>
      <c r="B2948" s="11">
        <f>IFERROR(__xludf.DUMMYFUNCTION("""COMPUTED_VALUE"""),0.0)</f>
        <v>0</v>
      </c>
      <c r="C2948" s="11">
        <f>IFERROR(__xludf.DUMMYFUNCTION("""COMPUTED_VALUE"""),517.0)</f>
        <v>517</v>
      </c>
      <c r="D2948" s="11">
        <f>IFERROR(__xludf.DUMMYFUNCTION("""COMPUTED_VALUE"""),266.0)</f>
        <v>266</v>
      </c>
      <c r="E2948" s="9"/>
    </row>
    <row r="2949">
      <c r="A2949" s="10">
        <f>IFERROR(__xludf.DUMMYFUNCTION("""COMPUTED_VALUE"""),69232.0)</f>
        <v>69232</v>
      </c>
      <c r="B2949" s="11">
        <f>IFERROR(__xludf.DUMMYFUNCTION("""COMPUTED_VALUE"""),1.0)</f>
        <v>1</v>
      </c>
      <c r="C2949" s="11">
        <f>IFERROR(__xludf.DUMMYFUNCTION("""COMPUTED_VALUE"""),465.0)</f>
        <v>465</v>
      </c>
      <c r="D2949" s="11">
        <f>IFERROR(__xludf.DUMMYFUNCTION("""COMPUTED_VALUE"""),46.0)</f>
        <v>46</v>
      </c>
      <c r="E2949" s="9"/>
    </row>
    <row r="2950">
      <c r="A2950" s="10">
        <f>IFERROR(__xludf.DUMMYFUNCTION("""COMPUTED_VALUE"""),117461.0)</f>
        <v>117461</v>
      </c>
      <c r="B2950" s="11">
        <f>IFERROR(__xludf.DUMMYFUNCTION("""COMPUTED_VALUE"""),0.0)</f>
        <v>0</v>
      </c>
      <c r="C2950" s="11">
        <f>IFERROR(__xludf.DUMMYFUNCTION("""COMPUTED_VALUE"""),536.0)</f>
        <v>536</v>
      </c>
      <c r="D2950" s="11">
        <f>IFERROR(__xludf.DUMMYFUNCTION("""COMPUTED_VALUE"""),510.0)</f>
        <v>510</v>
      </c>
      <c r="E2950" s="9"/>
    </row>
    <row r="2951">
      <c r="A2951" s="10">
        <f>IFERROR(__xludf.DUMMYFUNCTION("""COMPUTED_VALUE"""),122324.0)</f>
        <v>122324</v>
      </c>
      <c r="B2951" s="11">
        <f>IFERROR(__xludf.DUMMYFUNCTION("""COMPUTED_VALUE"""),0.0)</f>
        <v>0</v>
      </c>
      <c r="C2951" s="11">
        <f>IFERROR(__xludf.DUMMYFUNCTION("""COMPUTED_VALUE"""),652.0)</f>
        <v>652</v>
      </c>
      <c r="D2951" s="11">
        <f>IFERROR(__xludf.DUMMYFUNCTION("""COMPUTED_VALUE"""),167.0)</f>
        <v>167</v>
      </c>
      <c r="E2951" s="9"/>
    </row>
    <row r="2952">
      <c r="A2952" s="10">
        <f>IFERROR(__xludf.DUMMYFUNCTION("""COMPUTED_VALUE"""),119023.0)</f>
        <v>119023</v>
      </c>
      <c r="B2952" s="11">
        <f>IFERROR(__xludf.DUMMYFUNCTION("""COMPUTED_VALUE"""),0.0)</f>
        <v>0</v>
      </c>
      <c r="C2952" s="11">
        <f>IFERROR(__xludf.DUMMYFUNCTION("""COMPUTED_VALUE"""),377.0)</f>
        <v>377</v>
      </c>
      <c r="D2952" s="11">
        <f>IFERROR(__xludf.DUMMYFUNCTION("""COMPUTED_VALUE"""),12.0)</f>
        <v>12</v>
      </c>
      <c r="E2952" s="9"/>
    </row>
    <row r="2953">
      <c r="A2953" s="10">
        <f>IFERROR(__xludf.DUMMYFUNCTION("""COMPUTED_VALUE"""),70600.0)</f>
        <v>70600</v>
      </c>
      <c r="B2953" s="11">
        <f>IFERROR(__xludf.DUMMYFUNCTION("""COMPUTED_VALUE"""),1.0)</f>
        <v>1</v>
      </c>
      <c r="C2953" s="11">
        <f>IFERROR(__xludf.DUMMYFUNCTION("""COMPUTED_VALUE"""),640.0)</f>
        <v>640</v>
      </c>
      <c r="D2953" s="11">
        <f>IFERROR(__xludf.DUMMYFUNCTION("""COMPUTED_VALUE"""),589.0)</f>
        <v>589</v>
      </c>
      <c r="E2953" s="9"/>
    </row>
    <row r="2954">
      <c r="A2954" s="10">
        <f>IFERROR(__xludf.DUMMYFUNCTION("""COMPUTED_VALUE"""),10689.0)</f>
        <v>10689</v>
      </c>
      <c r="B2954" s="11">
        <f>IFERROR(__xludf.DUMMYFUNCTION("""COMPUTED_VALUE"""),0.0)</f>
        <v>0</v>
      </c>
      <c r="C2954" s="11">
        <f>IFERROR(__xludf.DUMMYFUNCTION("""COMPUTED_VALUE"""),490.0)</f>
        <v>490</v>
      </c>
      <c r="D2954" s="11">
        <f>IFERROR(__xludf.DUMMYFUNCTION("""COMPUTED_VALUE"""),227.0)</f>
        <v>227</v>
      </c>
      <c r="E2954" s="9"/>
    </row>
    <row r="2955">
      <c r="A2955" s="10">
        <f>IFERROR(__xludf.DUMMYFUNCTION("""COMPUTED_VALUE"""),158427.0)</f>
        <v>158427</v>
      </c>
      <c r="B2955" s="11">
        <f>IFERROR(__xludf.DUMMYFUNCTION("""COMPUTED_VALUE"""),1.0)</f>
        <v>1</v>
      </c>
      <c r="C2955" s="11">
        <f>IFERROR(__xludf.DUMMYFUNCTION("""COMPUTED_VALUE"""),855.0)</f>
        <v>855</v>
      </c>
      <c r="D2955" s="11">
        <f>IFERROR(__xludf.DUMMYFUNCTION("""COMPUTED_VALUE"""),0.0)</f>
        <v>0</v>
      </c>
      <c r="E2955" s="9"/>
    </row>
    <row r="2956">
      <c r="A2956" s="10">
        <f>IFERROR(__xludf.DUMMYFUNCTION("""COMPUTED_VALUE"""),122462.0)</f>
        <v>122462</v>
      </c>
      <c r="B2956" s="11">
        <f>IFERROR(__xludf.DUMMYFUNCTION("""COMPUTED_VALUE"""),1.0)</f>
        <v>1</v>
      </c>
      <c r="C2956" s="11">
        <f>IFERROR(__xludf.DUMMYFUNCTION("""COMPUTED_VALUE"""),539.0)</f>
        <v>539</v>
      </c>
      <c r="D2956" s="11">
        <f>IFERROR(__xludf.DUMMYFUNCTION("""COMPUTED_VALUE"""),70.0)</f>
        <v>70</v>
      </c>
      <c r="E2956" s="9"/>
    </row>
    <row r="2957">
      <c r="A2957" s="10">
        <f>IFERROR(__xludf.DUMMYFUNCTION("""COMPUTED_VALUE"""),155951.0)</f>
        <v>155951</v>
      </c>
      <c r="B2957" s="11">
        <f>IFERROR(__xludf.DUMMYFUNCTION("""COMPUTED_VALUE"""),0.0)</f>
        <v>0</v>
      </c>
      <c r="C2957" s="11">
        <f>IFERROR(__xludf.DUMMYFUNCTION("""COMPUTED_VALUE"""),579.0)</f>
        <v>579</v>
      </c>
      <c r="D2957" s="11">
        <f>IFERROR(__xludf.DUMMYFUNCTION("""COMPUTED_VALUE"""),239.0)</f>
        <v>239</v>
      </c>
      <c r="E2957" s="9"/>
    </row>
    <row r="2958">
      <c r="A2958" s="10">
        <f>IFERROR(__xludf.DUMMYFUNCTION("""COMPUTED_VALUE"""),79338.0)</f>
        <v>79338</v>
      </c>
      <c r="B2958" s="11">
        <f>IFERROR(__xludf.DUMMYFUNCTION("""COMPUTED_VALUE"""),0.0)</f>
        <v>0</v>
      </c>
      <c r="C2958" s="11">
        <f>IFERROR(__xludf.DUMMYFUNCTION("""COMPUTED_VALUE"""),774.0)</f>
        <v>774</v>
      </c>
      <c r="D2958" s="11">
        <f>IFERROR(__xludf.DUMMYFUNCTION("""COMPUTED_VALUE"""),189.0)</f>
        <v>189</v>
      </c>
      <c r="E2958" s="9"/>
    </row>
    <row r="2959">
      <c r="A2959" s="10">
        <f>IFERROR(__xludf.DUMMYFUNCTION("""COMPUTED_VALUE"""),79919.0)</f>
        <v>79919</v>
      </c>
      <c r="B2959" s="11">
        <f>IFERROR(__xludf.DUMMYFUNCTION("""COMPUTED_VALUE"""),1.0)</f>
        <v>1</v>
      </c>
      <c r="C2959" s="11">
        <f>IFERROR(__xludf.DUMMYFUNCTION("""COMPUTED_VALUE"""),834.0)</f>
        <v>834</v>
      </c>
      <c r="D2959" s="11">
        <f>IFERROR(__xludf.DUMMYFUNCTION("""COMPUTED_VALUE"""),743.0)</f>
        <v>743</v>
      </c>
      <c r="E2959" s="9"/>
    </row>
    <row r="2960">
      <c r="A2960" s="10">
        <f>IFERROR(__xludf.DUMMYFUNCTION("""COMPUTED_VALUE"""),117057.0)</f>
        <v>117057</v>
      </c>
      <c r="B2960" s="11">
        <f>IFERROR(__xludf.DUMMYFUNCTION("""COMPUTED_VALUE"""),0.0)</f>
        <v>0</v>
      </c>
      <c r="C2960" s="11">
        <f>IFERROR(__xludf.DUMMYFUNCTION("""COMPUTED_VALUE"""),456.0)</f>
        <v>456</v>
      </c>
      <c r="D2960" s="11">
        <f>IFERROR(__xludf.DUMMYFUNCTION("""COMPUTED_VALUE"""),433.0)</f>
        <v>433</v>
      </c>
      <c r="E2960" s="9"/>
    </row>
    <row r="2961">
      <c r="A2961" s="10">
        <f>IFERROR(__xludf.DUMMYFUNCTION("""COMPUTED_VALUE"""),122334.0)</f>
        <v>122334</v>
      </c>
      <c r="B2961" s="11">
        <f>IFERROR(__xludf.DUMMYFUNCTION("""COMPUTED_VALUE"""),0.0)</f>
        <v>0</v>
      </c>
      <c r="C2961" s="11">
        <f>IFERROR(__xludf.DUMMYFUNCTION("""COMPUTED_VALUE"""),720.0)</f>
        <v>720</v>
      </c>
      <c r="D2961" s="11">
        <f>IFERROR(__xludf.DUMMYFUNCTION("""COMPUTED_VALUE"""),88.0)</f>
        <v>88</v>
      </c>
      <c r="E2961" s="9"/>
    </row>
    <row r="2962">
      <c r="A2962" s="10">
        <f>IFERROR(__xludf.DUMMYFUNCTION("""COMPUTED_VALUE"""),122648.0)</f>
        <v>122648</v>
      </c>
      <c r="B2962" s="11">
        <f>IFERROR(__xludf.DUMMYFUNCTION("""COMPUTED_VALUE"""),0.0)</f>
        <v>0</v>
      </c>
      <c r="C2962" s="11">
        <f>IFERROR(__xludf.DUMMYFUNCTION("""COMPUTED_VALUE"""),643.0)</f>
        <v>643</v>
      </c>
      <c r="D2962" s="11">
        <f>IFERROR(__xludf.DUMMYFUNCTION("""COMPUTED_VALUE"""),518.0)</f>
        <v>518</v>
      </c>
      <c r="E2962" s="9"/>
    </row>
    <row r="2963">
      <c r="A2963" s="10">
        <f>IFERROR(__xludf.DUMMYFUNCTION("""COMPUTED_VALUE"""),128418.0)</f>
        <v>128418</v>
      </c>
      <c r="B2963" s="11">
        <f>IFERROR(__xludf.DUMMYFUNCTION("""COMPUTED_VALUE"""),0.0)</f>
        <v>0</v>
      </c>
      <c r="C2963" s="11">
        <f>IFERROR(__xludf.DUMMYFUNCTION("""COMPUTED_VALUE"""),629.0)</f>
        <v>629</v>
      </c>
      <c r="D2963" s="11">
        <f>IFERROR(__xludf.DUMMYFUNCTION("""COMPUTED_VALUE"""),480.0)</f>
        <v>480</v>
      </c>
      <c r="E2963" s="9"/>
    </row>
    <row r="2964">
      <c r="A2964" s="10">
        <f>IFERROR(__xludf.DUMMYFUNCTION("""COMPUTED_VALUE"""),109883.0)</f>
        <v>109883</v>
      </c>
      <c r="B2964" s="11">
        <f>IFERROR(__xludf.DUMMYFUNCTION("""COMPUTED_VALUE"""),1.0)</f>
        <v>1</v>
      </c>
      <c r="C2964" s="11">
        <f>IFERROR(__xludf.DUMMYFUNCTION("""COMPUTED_VALUE"""),595.0)</f>
        <v>595</v>
      </c>
      <c r="D2964" s="11">
        <f>IFERROR(__xludf.DUMMYFUNCTION("""COMPUTED_VALUE"""),307.0)</f>
        <v>307</v>
      </c>
      <c r="E2964" s="9"/>
    </row>
    <row r="2965">
      <c r="A2965" s="10">
        <f>IFERROR(__xludf.DUMMYFUNCTION("""COMPUTED_VALUE"""),119027.0)</f>
        <v>119027</v>
      </c>
      <c r="B2965" s="11">
        <f>IFERROR(__xludf.DUMMYFUNCTION("""COMPUTED_VALUE"""),0.0)</f>
        <v>0</v>
      </c>
      <c r="C2965" s="11">
        <f>IFERROR(__xludf.DUMMYFUNCTION("""COMPUTED_VALUE"""),973.0)</f>
        <v>973</v>
      </c>
      <c r="D2965" s="11">
        <f>IFERROR(__xludf.DUMMYFUNCTION("""COMPUTED_VALUE"""),775.0)</f>
        <v>775</v>
      </c>
      <c r="E2965" s="9"/>
    </row>
    <row r="2966">
      <c r="A2966" s="10">
        <f>IFERROR(__xludf.DUMMYFUNCTION("""COMPUTED_VALUE"""),30522.0)</f>
        <v>30522</v>
      </c>
      <c r="B2966" s="11">
        <f>IFERROR(__xludf.DUMMYFUNCTION("""COMPUTED_VALUE"""),1.0)</f>
        <v>1</v>
      </c>
      <c r="C2966" s="11">
        <f>IFERROR(__xludf.DUMMYFUNCTION("""COMPUTED_VALUE"""),941.0)</f>
        <v>941</v>
      </c>
      <c r="D2966" s="11">
        <f>IFERROR(__xludf.DUMMYFUNCTION("""COMPUTED_VALUE"""),103.0)</f>
        <v>103</v>
      </c>
      <c r="E2966" s="9"/>
    </row>
    <row r="2967">
      <c r="A2967" s="10">
        <f>IFERROR(__xludf.DUMMYFUNCTION("""COMPUTED_VALUE"""),118155.0)</f>
        <v>118155</v>
      </c>
      <c r="B2967" s="11">
        <f>IFERROR(__xludf.DUMMYFUNCTION("""COMPUTED_VALUE"""),1.0)</f>
        <v>1</v>
      </c>
      <c r="C2967" s="11">
        <f>IFERROR(__xludf.DUMMYFUNCTION("""COMPUTED_VALUE"""),235.0)</f>
        <v>235</v>
      </c>
      <c r="D2967" s="11">
        <f>IFERROR(__xludf.DUMMYFUNCTION("""COMPUTED_VALUE"""),130.0)</f>
        <v>130</v>
      </c>
      <c r="E2967" s="9"/>
    </row>
    <row r="2968">
      <c r="A2968" s="10">
        <f>IFERROR(__xludf.DUMMYFUNCTION("""COMPUTED_VALUE"""),188068.0)</f>
        <v>188068</v>
      </c>
      <c r="B2968" s="11">
        <f>IFERROR(__xludf.DUMMYFUNCTION("""COMPUTED_VALUE"""),0.0)</f>
        <v>0</v>
      </c>
      <c r="C2968" s="11">
        <f>IFERROR(__xludf.DUMMYFUNCTION("""COMPUTED_VALUE"""),799.0)</f>
        <v>799</v>
      </c>
      <c r="D2968" s="11">
        <f>IFERROR(__xludf.DUMMYFUNCTION("""COMPUTED_VALUE"""),456.0)</f>
        <v>456</v>
      </c>
      <c r="E2968" s="9"/>
    </row>
    <row r="2969">
      <c r="A2969" s="10">
        <f>IFERROR(__xludf.DUMMYFUNCTION("""COMPUTED_VALUE"""),92613.0)</f>
        <v>92613</v>
      </c>
      <c r="B2969" s="11">
        <f>IFERROR(__xludf.DUMMYFUNCTION("""COMPUTED_VALUE"""),1.0)</f>
        <v>1</v>
      </c>
      <c r="C2969" s="11">
        <f>IFERROR(__xludf.DUMMYFUNCTION("""COMPUTED_VALUE"""),764.0)</f>
        <v>764</v>
      </c>
      <c r="D2969" s="11">
        <f>IFERROR(__xludf.DUMMYFUNCTION("""COMPUTED_VALUE"""),194.0)</f>
        <v>194</v>
      </c>
      <c r="E2969" s="9"/>
    </row>
    <row r="2970">
      <c r="A2970" s="10">
        <f>IFERROR(__xludf.DUMMYFUNCTION("""COMPUTED_VALUE"""),69234.0)</f>
        <v>69234</v>
      </c>
      <c r="B2970" s="11">
        <f>IFERROR(__xludf.DUMMYFUNCTION("""COMPUTED_VALUE"""),0.0)</f>
        <v>0</v>
      </c>
      <c r="C2970" s="11">
        <f>IFERROR(__xludf.DUMMYFUNCTION("""COMPUTED_VALUE"""),340.0)</f>
        <v>340</v>
      </c>
      <c r="D2970" s="11">
        <f>IFERROR(__xludf.DUMMYFUNCTION("""COMPUTED_VALUE"""),121.0)</f>
        <v>121</v>
      </c>
      <c r="E2970" s="9"/>
    </row>
    <row r="2971">
      <c r="A2971" s="10">
        <f>IFERROR(__xludf.DUMMYFUNCTION("""COMPUTED_VALUE"""),109938.0)</f>
        <v>109938</v>
      </c>
      <c r="B2971" s="11">
        <f>IFERROR(__xludf.DUMMYFUNCTION("""COMPUTED_VALUE"""),1.0)</f>
        <v>1</v>
      </c>
      <c r="C2971" s="11">
        <f>IFERROR(__xludf.DUMMYFUNCTION("""COMPUTED_VALUE"""),625.0)</f>
        <v>625</v>
      </c>
      <c r="D2971" s="11">
        <f>IFERROR(__xludf.DUMMYFUNCTION("""COMPUTED_VALUE"""),387.0)</f>
        <v>387</v>
      </c>
      <c r="E2971" s="9"/>
    </row>
    <row r="2972">
      <c r="A2972" s="10">
        <f>IFERROR(__xludf.DUMMYFUNCTION("""COMPUTED_VALUE"""),120307.0)</f>
        <v>120307</v>
      </c>
      <c r="B2972" s="11">
        <f>IFERROR(__xludf.DUMMYFUNCTION("""COMPUTED_VALUE"""),0.0)</f>
        <v>0</v>
      </c>
      <c r="C2972" s="11">
        <f>IFERROR(__xludf.DUMMYFUNCTION("""COMPUTED_VALUE"""),412.0)</f>
        <v>412</v>
      </c>
      <c r="D2972" s="11">
        <f>IFERROR(__xludf.DUMMYFUNCTION("""COMPUTED_VALUE"""),301.0)</f>
        <v>301</v>
      </c>
      <c r="E2972" s="9"/>
    </row>
    <row r="2973">
      <c r="A2973" s="10">
        <f>IFERROR(__xludf.DUMMYFUNCTION("""COMPUTED_VALUE"""),118906.0)</f>
        <v>118906</v>
      </c>
      <c r="B2973" s="11">
        <f>IFERROR(__xludf.DUMMYFUNCTION("""COMPUTED_VALUE"""),0.0)</f>
        <v>0</v>
      </c>
      <c r="C2973" s="11">
        <f>IFERROR(__xludf.DUMMYFUNCTION("""COMPUTED_VALUE"""),553.0)</f>
        <v>553</v>
      </c>
      <c r="D2973" s="11">
        <f>IFERROR(__xludf.DUMMYFUNCTION("""COMPUTED_VALUE"""),525.0)</f>
        <v>525</v>
      </c>
      <c r="E2973" s="9"/>
    </row>
    <row r="2974">
      <c r="A2974" s="10">
        <f>IFERROR(__xludf.DUMMYFUNCTION("""COMPUTED_VALUE"""),128309.0)</f>
        <v>128309</v>
      </c>
      <c r="B2974" s="11">
        <f>IFERROR(__xludf.DUMMYFUNCTION("""COMPUTED_VALUE"""),0.0)</f>
        <v>0</v>
      </c>
      <c r="C2974" s="11">
        <f>IFERROR(__xludf.DUMMYFUNCTION("""COMPUTED_VALUE"""),907.0)</f>
        <v>907</v>
      </c>
      <c r="D2974" s="11">
        <f>IFERROR(__xludf.DUMMYFUNCTION("""COMPUTED_VALUE"""),390.0)</f>
        <v>390</v>
      </c>
      <c r="E2974" s="9"/>
    </row>
    <row r="2975">
      <c r="A2975" s="10">
        <f>IFERROR(__xludf.DUMMYFUNCTION("""COMPUTED_VALUE"""),1986.0)</f>
        <v>1986</v>
      </c>
      <c r="B2975" s="11">
        <f>IFERROR(__xludf.DUMMYFUNCTION("""COMPUTED_VALUE"""),0.0)</f>
        <v>0</v>
      </c>
      <c r="C2975" s="11">
        <f>IFERROR(__xludf.DUMMYFUNCTION("""COMPUTED_VALUE"""),585.0)</f>
        <v>585</v>
      </c>
      <c r="D2975" s="11">
        <f>IFERROR(__xludf.DUMMYFUNCTION("""COMPUTED_VALUE"""),25.0)</f>
        <v>25</v>
      </c>
      <c r="E2975" s="9"/>
    </row>
    <row r="2976">
      <c r="A2976" s="10">
        <f>IFERROR(__xludf.DUMMYFUNCTION("""COMPUTED_VALUE"""),117749.0)</f>
        <v>117749</v>
      </c>
      <c r="B2976" s="11">
        <f>IFERROR(__xludf.DUMMYFUNCTION("""COMPUTED_VALUE"""),1.0)</f>
        <v>1</v>
      </c>
      <c r="C2976" s="11">
        <f>IFERROR(__xludf.DUMMYFUNCTION("""COMPUTED_VALUE"""),287.0)</f>
        <v>287</v>
      </c>
      <c r="D2976" s="11">
        <f>IFERROR(__xludf.DUMMYFUNCTION("""COMPUTED_VALUE"""),21.0)</f>
        <v>21</v>
      </c>
      <c r="E2976" s="9"/>
    </row>
    <row r="2977">
      <c r="A2977" s="10">
        <f>IFERROR(__xludf.DUMMYFUNCTION("""COMPUTED_VALUE"""),117748.0)</f>
        <v>117748</v>
      </c>
      <c r="B2977" s="11">
        <f>IFERROR(__xludf.DUMMYFUNCTION("""COMPUTED_VALUE"""),1.0)</f>
        <v>1</v>
      </c>
      <c r="C2977" s="11">
        <f>IFERROR(__xludf.DUMMYFUNCTION("""COMPUTED_VALUE"""),576.0)</f>
        <v>576</v>
      </c>
      <c r="D2977" s="11">
        <f>IFERROR(__xludf.DUMMYFUNCTION("""COMPUTED_VALUE"""),404.0)</f>
        <v>404</v>
      </c>
      <c r="E2977" s="9"/>
    </row>
    <row r="2978">
      <c r="A2978" s="10">
        <f>IFERROR(__xludf.DUMMYFUNCTION("""COMPUTED_VALUE"""),1962.0)</f>
        <v>1962</v>
      </c>
      <c r="B2978" s="11">
        <f>IFERROR(__xludf.DUMMYFUNCTION("""COMPUTED_VALUE"""),0.0)</f>
        <v>0</v>
      </c>
      <c r="C2978" s="11">
        <f>IFERROR(__xludf.DUMMYFUNCTION("""COMPUTED_VALUE"""),140.0)</f>
        <v>140</v>
      </c>
      <c r="D2978" s="11">
        <f>IFERROR(__xludf.DUMMYFUNCTION("""COMPUTED_VALUE"""),59.0)</f>
        <v>59</v>
      </c>
      <c r="E2978" s="9"/>
    </row>
    <row r="2979">
      <c r="A2979" s="10">
        <f>IFERROR(__xludf.DUMMYFUNCTION("""COMPUTED_VALUE"""),109994.0)</f>
        <v>109994</v>
      </c>
      <c r="B2979" s="11">
        <f>IFERROR(__xludf.DUMMYFUNCTION("""COMPUTED_VALUE"""),0.0)</f>
        <v>0</v>
      </c>
      <c r="C2979" s="11">
        <f>IFERROR(__xludf.DUMMYFUNCTION("""COMPUTED_VALUE"""),715.0)</f>
        <v>715</v>
      </c>
      <c r="D2979" s="11">
        <f>IFERROR(__xludf.DUMMYFUNCTION("""COMPUTED_VALUE"""),593.0)</f>
        <v>593</v>
      </c>
      <c r="E2979" s="9"/>
    </row>
    <row r="2980">
      <c r="A2980" s="10">
        <f>IFERROR(__xludf.DUMMYFUNCTION("""COMPUTED_VALUE"""),69364.0)</f>
        <v>69364</v>
      </c>
      <c r="B2980" s="11">
        <f>IFERROR(__xludf.DUMMYFUNCTION("""COMPUTED_VALUE"""),1.0)</f>
        <v>1</v>
      </c>
      <c r="C2980" s="11">
        <f>IFERROR(__xludf.DUMMYFUNCTION("""COMPUTED_VALUE"""),216.0)</f>
        <v>216</v>
      </c>
      <c r="D2980" s="11">
        <f>IFERROR(__xludf.DUMMYFUNCTION("""COMPUTED_VALUE"""),51.0)</f>
        <v>51</v>
      </c>
      <c r="E2980" s="9"/>
    </row>
    <row r="2981">
      <c r="A2981" s="10">
        <f>IFERROR(__xludf.DUMMYFUNCTION("""COMPUTED_VALUE"""),69365.0)</f>
        <v>69365</v>
      </c>
      <c r="B2981" s="11">
        <f>IFERROR(__xludf.DUMMYFUNCTION("""COMPUTED_VALUE"""),1.0)</f>
        <v>1</v>
      </c>
      <c r="C2981" s="11">
        <f>IFERROR(__xludf.DUMMYFUNCTION("""COMPUTED_VALUE"""),487.0)</f>
        <v>487</v>
      </c>
      <c r="D2981" s="11">
        <f>IFERROR(__xludf.DUMMYFUNCTION("""COMPUTED_VALUE"""),469.0)</f>
        <v>469</v>
      </c>
      <c r="E2981" s="9"/>
    </row>
    <row r="2982">
      <c r="A2982" s="10">
        <f>IFERROR(__xludf.DUMMYFUNCTION("""COMPUTED_VALUE"""),46990.0)</f>
        <v>46990</v>
      </c>
      <c r="B2982" s="11">
        <f>IFERROR(__xludf.DUMMYFUNCTION("""COMPUTED_VALUE"""),0.0)</f>
        <v>0</v>
      </c>
      <c r="C2982" s="11">
        <f>IFERROR(__xludf.DUMMYFUNCTION("""COMPUTED_VALUE"""),769.0)</f>
        <v>769</v>
      </c>
      <c r="D2982" s="11">
        <f>IFERROR(__xludf.DUMMYFUNCTION("""COMPUTED_VALUE"""),10.0)</f>
        <v>10</v>
      </c>
      <c r="E2982" s="9"/>
    </row>
    <row r="2983">
      <c r="A2983" s="10">
        <f>IFERROR(__xludf.DUMMYFUNCTION("""COMPUTED_VALUE"""),11428.0)</f>
        <v>11428</v>
      </c>
      <c r="B2983" s="11">
        <f>IFERROR(__xludf.DUMMYFUNCTION("""COMPUTED_VALUE"""),1.0)</f>
        <v>1</v>
      </c>
      <c r="C2983" s="11">
        <f>IFERROR(__xludf.DUMMYFUNCTION("""COMPUTED_VALUE"""),632.0)</f>
        <v>632</v>
      </c>
      <c r="D2983" s="11">
        <f>IFERROR(__xludf.DUMMYFUNCTION("""COMPUTED_VALUE"""),188.0)</f>
        <v>188</v>
      </c>
      <c r="E2983" s="9"/>
    </row>
    <row r="2984">
      <c r="A2984" s="10">
        <f>IFERROR(__xludf.DUMMYFUNCTION("""COMPUTED_VALUE"""),122318.0)</f>
        <v>122318</v>
      </c>
      <c r="B2984" s="11">
        <f>IFERROR(__xludf.DUMMYFUNCTION("""COMPUTED_VALUE"""),0.0)</f>
        <v>0</v>
      </c>
      <c r="C2984" s="11">
        <f>IFERROR(__xludf.DUMMYFUNCTION("""COMPUTED_VALUE"""),434.0)</f>
        <v>434</v>
      </c>
      <c r="D2984" s="11">
        <f>IFERROR(__xludf.DUMMYFUNCTION("""COMPUTED_VALUE"""),46.0)</f>
        <v>46</v>
      </c>
      <c r="E2984" s="9"/>
    </row>
    <row r="2985">
      <c r="A2985" s="10">
        <f>IFERROR(__xludf.DUMMYFUNCTION("""COMPUTED_VALUE"""),182194.0)</f>
        <v>182194</v>
      </c>
      <c r="B2985" s="11">
        <f>IFERROR(__xludf.DUMMYFUNCTION("""COMPUTED_VALUE"""),0.0)</f>
        <v>0</v>
      </c>
      <c r="C2985" s="11">
        <f>IFERROR(__xludf.DUMMYFUNCTION("""COMPUTED_VALUE"""),136.0)</f>
        <v>136</v>
      </c>
      <c r="D2985" s="11">
        <f>IFERROR(__xludf.DUMMYFUNCTION("""COMPUTED_VALUE"""),132.0)</f>
        <v>132</v>
      </c>
      <c r="E2985" s="9"/>
    </row>
    <row r="2986">
      <c r="A2986" s="10">
        <f>IFERROR(__xludf.DUMMYFUNCTION("""COMPUTED_VALUE"""),147256.0)</f>
        <v>147256</v>
      </c>
      <c r="B2986" s="11">
        <f>IFERROR(__xludf.DUMMYFUNCTION("""COMPUTED_VALUE"""),0.0)</f>
        <v>0</v>
      </c>
      <c r="C2986" s="11">
        <f>IFERROR(__xludf.DUMMYFUNCTION("""COMPUTED_VALUE"""),816.0)</f>
        <v>816</v>
      </c>
      <c r="D2986" s="11">
        <f>IFERROR(__xludf.DUMMYFUNCTION("""COMPUTED_VALUE"""),325.0)</f>
        <v>325</v>
      </c>
      <c r="E2986" s="9"/>
    </row>
    <row r="2987">
      <c r="A2987" s="10">
        <f>IFERROR(__xludf.DUMMYFUNCTION("""COMPUTED_VALUE"""),5079.0)</f>
        <v>5079</v>
      </c>
      <c r="B2987" s="11">
        <f>IFERROR(__xludf.DUMMYFUNCTION("""COMPUTED_VALUE"""),1.0)</f>
        <v>1</v>
      </c>
      <c r="C2987" s="11">
        <f>IFERROR(__xludf.DUMMYFUNCTION("""COMPUTED_VALUE"""),978.0)</f>
        <v>978</v>
      </c>
      <c r="D2987" s="11">
        <f>IFERROR(__xludf.DUMMYFUNCTION("""COMPUTED_VALUE"""),886.0)</f>
        <v>886</v>
      </c>
      <c r="E2987" s="9"/>
    </row>
    <row r="2988">
      <c r="A2988" s="10">
        <f>IFERROR(__xludf.DUMMYFUNCTION("""COMPUTED_VALUE"""),92621.0)</f>
        <v>92621</v>
      </c>
      <c r="B2988" s="11">
        <f>IFERROR(__xludf.DUMMYFUNCTION("""COMPUTED_VALUE"""),0.0)</f>
        <v>0</v>
      </c>
      <c r="C2988" s="11">
        <f>IFERROR(__xludf.DUMMYFUNCTION("""COMPUTED_VALUE"""),711.0)</f>
        <v>711</v>
      </c>
      <c r="D2988" s="11">
        <f>IFERROR(__xludf.DUMMYFUNCTION("""COMPUTED_VALUE"""),142.0)</f>
        <v>142</v>
      </c>
      <c r="E2988" s="9"/>
    </row>
    <row r="2989">
      <c r="A2989" s="10">
        <f>IFERROR(__xludf.DUMMYFUNCTION("""COMPUTED_VALUE"""),11003.0)</f>
        <v>11003</v>
      </c>
      <c r="B2989" s="11">
        <f>IFERROR(__xludf.DUMMYFUNCTION("""COMPUTED_VALUE"""),0.0)</f>
        <v>0</v>
      </c>
      <c r="C2989" s="11">
        <f>IFERROR(__xludf.DUMMYFUNCTION("""COMPUTED_VALUE"""),633.0)</f>
        <v>633</v>
      </c>
      <c r="D2989" s="11">
        <f>IFERROR(__xludf.DUMMYFUNCTION("""COMPUTED_VALUE"""),186.0)</f>
        <v>186</v>
      </c>
      <c r="E2989" s="9"/>
    </row>
    <row r="2990">
      <c r="A2990" s="10">
        <f>IFERROR(__xludf.DUMMYFUNCTION("""COMPUTED_VALUE"""),117560.0)</f>
        <v>117560</v>
      </c>
      <c r="B2990" s="11">
        <f>IFERROR(__xludf.DUMMYFUNCTION("""COMPUTED_VALUE"""),1.0)</f>
        <v>1</v>
      </c>
      <c r="C2990" s="11">
        <f>IFERROR(__xludf.DUMMYFUNCTION("""COMPUTED_VALUE"""),525.0)</f>
        <v>525</v>
      </c>
      <c r="D2990" s="11">
        <f>IFERROR(__xludf.DUMMYFUNCTION("""COMPUTED_VALUE"""),314.0)</f>
        <v>314</v>
      </c>
      <c r="E2990" s="9"/>
    </row>
    <row r="2991">
      <c r="A2991" s="10">
        <f>IFERROR(__xludf.DUMMYFUNCTION("""COMPUTED_VALUE"""),188368.0)</f>
        <v>188368</v>
      </c>
      <c r="B2991" s="11">
        <f>IFERROR(__xludf.DUMMYFUNCTION("""COMPUTED_VALUE"""),0.0)</f>
        <v>0</v>
      </c>
      <c r="C2991" s="11">
        <f>IFERROR(__xludf.DUMMYFUNCTION("""COMPUTED_VALUE"""),200.0)</f>
        <v>200</v>
      </c>
      <c r="D2991" s="11">
        <f>IFERROR(__xludf.DUMMYFUNCTION("""COMPUTED_VALUE"""),72.0)</f>
        <v>72</v>
      </c>
      <c r="E2991" s="9"/>
    </row>
    <row r="2992">
      <c r="A2992" s="10">
        <f>IFERROR(__xludf.DUMMYFUNCTION("""COMPUTED_VALUE"""),124765.0)</f>
        <v>124765</v>
      </c>
      <c r="B2992" s="11">
        <f>IFERROR(__xludf.DUMMYFUNCTION("""COMPUTED_VALUE"""),0.0)</f>
        <v>0</v>
      </c>
      <c r="C2992" s="11">
        <f>IFERROR(__xludf.DUMMYFUNCTION("""COMPUTED_VALUE"""),103.0)</f>
        <v>103</v>
      </c>
      <c r="D2992" s="11">
        <f>IFERROR(__xludf.DUMMYFUNCTION("""COMPUTED_VALUE"""),53.0)</f>
        <v>53</v>
      </c>
      <c r="E2992" s="9"/>
    </row>
    <row r="2993">
      <c r="A2993" s="10">
        <f>IFERROR(__xludf.DUMMYFUNCTION("""COMPUTED_VALUE"""),8726.0)</f>
        <v>8726</v>
      </c>
      <c r="B2993" s="11">
        <f>IFERROR(__xludf.DUMMYFUNCTION("""COMPUTED_VALUE"""),1.0)</f>
        <v>1</v>
      </c>
      <c r="C2993" s="11">
        <f>IFERROR(__xludf.DUMMYFUNCTION("""COMPUTED_VALUE"""),235.0)</f>
        <v>235</v>
      </c>
      <c r="D2993" s="11">
        <f>IFERROR(__xludf.DUMMYFUNCTION("""COMPUTED_VALUE"""),173.0)</f>
        <v>173</v>
      </c>
      <c r="E2993" s="9"/>
    </row>
    <row r="2994">
      <c r="A2994" s="10">
        <f>IFERROR(__xludf.DUMMYFUNCTION("""COMPUTED_VALUE"""),118158.0)</f>
        <v>118158</v>
      </c>
      <c r="B2994" s="11">
        <f>IFERROR(__xludf.DUMMYFUNCTION("""COMPUTED_VALUE"""),0.0)</f>
        <v>0</v>
      </c>
      <c r="C2994" s="11">
        <f>IFERROR(__xludf.DUMMYFUNCTION("""COMPUTED_VALUE"""),134.0)</f>
        <v>134</v>
      </c>
      <c r="D2994" s="11">
        <f>IFERROR(__xludf.DUMMYFUNCTION("""COMPUTED_VALUE"""),98.0)</f>
        <v>98</v>
      </c>
      <c r="E2994" s="9"/>
    </row>
    <row r="2995">
      <c r="A2995" s="10">
        <f>IFERROR(__xludf.DUMMYFUNCTION("""COMPUTED_VALUE"""),121871.0)</f>
        <v>121871</v>
      </c>
      <c r="B2995" s="11">
        <f>IFERROR(__xludf.DUMMYFUNCTION("""COMPUTED_VALUE"""),1.0)</f>
        <v>1</v>
      </c>
      <c r="C2995" s="11">
        <f>IFERROR(__xludf.DUMMYFUNCTION("""COMPUTED_VALUE"""),537.0)</f>
        <v>537</v>
      </c>
      <c r="D2995" s="11">
        <f>IFERROR(__xludf.DUMMYFUNCTION("""COMPUTED_VALUE"""),86.0)</f>
        <v>86</v>
      </c>
      <c r="E2995" s="9"/>
    </row>
    <row r="2996">
      <c r="A2996" s="10">
        <f>IFERROR(__xludf.DUMMYFUNCTION("""COMPUTED_VALUE"""),121876.0)</f>
        <v>121876</v>
      </c>
      <c r="B2996" s="11">
        <f>IFERROR(__xludf.DUMMYFUNCTION("""COMPUTED_VALUE"""),1.0)</f>
        <v>1</v>
      </c>
      <c r="C2996" s="11">
        <f>IFERROR(__xludf.DUMMYFUNCTION("""COMPUTED_VALUE"""),320.0)</f>
        <v>320</v>
      </c>
      <c r="D2996" s="11">
        <f>IFERROR(__xludf.DUMMYFUNCTION("""COMPUTED_VALUE"""),151.0)</f>
        <v>151</v>
      </c>
      <c r="E2996" s="9"/>
    </row>
    <row r="2997">
      <c r="A2997" s="10">
        <f>IFERROR(__xludf.DUMMYFUNCTION("""COMPUTED_VALUE"""),121877.0)</f>
        <v>121877</v>
      </c>
      <c r="B2997" s="11">
        <f>IFERROR(__xludf.DUMMYFUNCTION("""COMPUTED_VALUE"""),1.0)</f>
        <v>1</v>
      </c>
      <c r="C2997" s="11">
        <f>IFERROR(__xludf.DUMMYFUNCTION("""COMPUTED_VALUE"""),897.0)</f>
        <v>897</v>
      </c>
      <c r="D2997" s="11">
        <f>IFERROR(__xludf.DUMMYFUNCTION("""COMPUTED_VALUE"""),666.0)</f>
        <v>666</v>
      </c>
      <c r="E2997" s="9"/>
    </row>
    <row r="2998">
      <c r="A2998" s="10">
        <f>IFERROR(__xludf.DUMMYFUNCTION("""COMPUTED_VALUE"""),121879.0)</f>
        <v>121879</v>
      </c>
      <c r="B2998" s="11">
        <f>IFERROR(__xludf.DUMMYFUNCTION("""COMPUTED_VALUE"""),0.0)</f>
        <v>0</v>
      </c>
      <c r="C2998" s="11">
        <f>IFERROR(__xludf.DUMMYFUNCTION("""COMPUTED_VALUE"""),601.0)</f>
        <v>601</v>
      </c>
      <c r="D2998" s="11">
        <f>IFERROR(__xludf.DUMMYFUNCTION("""COMPUTED_VALUE"""),480.0)</f>
        <v>480</v>
      </c>
      <c r="E2998" s="9"/>
    </row>
    <row r="2999">
      <c r="A2999" s="10">
        <f>IFERROR(__xludf.DUMMYFUNCTION("""COMPUTED_VALUE"""),121874.0)</f>
        <v>121874</v>
      </c>
      <c r="B2999" s="11">
        <f>IFERROR(__xludf.DUMMYFUNCTION("""COMPUTED_VALUE"""),1.0)</f>
        <v>1</v>
      </c>
      <c r="C2999" s="11">
        <f>IFERROR(__xludf.DUMMYFUNCTION("""COMPUTED_VALUE"""),82.0)</f>
        <v>82</v>
      </c>
      <c r="D2999" s="11">
        <f>IFERROR(__xludf.DUMMYFUNCTION("""COMPUTED_VALUE"""),53.0)</f>
        <v>53</v>
      </c>
      <c r="E2999" s="9"/>
    </row>
    <row r="3000">
      <c r="A3000" s="10">
        <f>IFERROR(__xludf.DUMMYFUNCTION("""COMPUTED_VALUE"""),121893.0)</f>
        <v>121893</v>
      </c>
      <c r="B3000" s="11">
        <f>IFERROR(__xludf.DUMMYFUNCTION("""COMPUTED_VALUE"""),1.0)</f>
        <v>1</v>
      </c>
      <c r="C3000" s="11">
        <f>IFERROR(__xludf.DUMMYFUNCTION("""COMPUTED_VALUE"""),15.0)</f>
        <v>15</v>
      </c>
      <c r="D3000" s="11">
        <f>IFERROR(__xludf.DUMMYFUNCTION("""COMPUTED_VALUE"""),1.0)</f>
        <v>1</v>
      </c>
      <c r="E3000" s="9"/>
    </row>
    <row r="3001">
      <c r="A3001" s="10">
        <f>IFERROR(__xludf.DUMMYFUNCTION("""COMPUTED_VALUE"""),121892.0)</f>
        <v>121892</v>
      </c>
      <c r="B3001" s="11">
        <f>IFERROR(__xludf.DUMMYFUNCTION("""COMPUTED_VALUE"""),0.0)</f>
        <v>0</v>
      </c>
      <c r="C3001" s="11">
        <f>IFERROR(__xludf.DUMMYFUNCTION("""COMPUTED_VALUE"""),235.0)</f>
        <v>235</v>
      </c>
      <c r="D3001" s="11">
        <f>IFERROR(__xludf.DUMMYFUNCTION("""COMPUTED_VALUE"""),111.0)</f>
        <v>111</v>
      </c>
      <c r="E3001" s="9"/>
    </row>
    <row r="3002">
      <c r="A3002" s="10">
        <f>IFERROR(__xludf.DUMMYFUNCTION("""COMPUTED_VALUE"""),102678.0)</f>
        <v>102678</v>
      </c>
      <c r="B3002" s="11">
        <f>IFERROR(__xludf.DUMMYFUNCTION("""COMPUTED_VALUE"""),0.0)</f>
        <v>0</v>
      </c>
      <c r="C3002" s="11">
        <f>IFERROR(__xludf.DUMMYFUNCTION("""COMPUTED_VALUE"""),237.0)</f>
        <v>237</v>
      </c>
      <c r="D3002" s="11">
        <f>IFERROR(__xludf.DUMMYFUNCTION("""COMPUTED_VALUE"""),10.0)</f>
        <v>10</v>
      </c>
      <c r="E3002" s="9"/>
    </row>
    <row r="3003">
      <c r="A3003" s="10">
        <f>IFERROR(__xludf.DUMMYFUNCTION("""COMPUTED_VALUE"""),121887.0)</f>
        <v>121887</v>
      </c>
      <c r="B3003" s="11">
        <f>IFERROR(__xludf.DUMMYFUNCTION("""COMPUTED_VALUE"""),0.0)</f>
        <v>0</v>
      </c>
      <c r="C3003" s="11">
        <f>IFERROR(__xludf.DUMMYFUNCTION("""COMPUTED_VALUE"""),535.0)</f>
        <v>535</v>
      </c>
      <c r="D3003" s="11">
        <f>IFERROR(__xludf.DUMMYFUNCTION("""COMPUTED_VALUE"""),95.0)</f>
        <v>95</v>
      </c>
      <c r="E3003" s="9"/>
    </row>
    <row r="3004">
      <c r="A3004" s="10">
        <f>IFERROR(__xludf.DUMMYFUNCTION("""COMPUTED_VALUE"""),21344.0)</f>
        <v>21344</v>
      </c>
      <c r="B3004" s="11">
        <f>IFERROR(__xludf.DUMMYFUNCTION("""COMPUTED_VALUE"""),0.0)</f>
        <v>0</v>
      </c>
      <c r="C3004" s="11">
        <f>IFERROR(__xludf.DUMMYFUNCTION("""COMPUTED_VALUE"""),845.0)</f>
        <v>845</v>
      </c>
      <c r="D3004" s="11">
        <f>IFERROR(__xludf.DUMMYFUNCTION("""COMPUTED_VALUE"""),214.0)</f>
        <v>214</v>
      </c>
      <c r="E3004" s="9"/>
    </row>
    <row r="3005">
      <c r="A3005" s="10">
        <f>IFERROR(__xludf.DUMMYFUNCTION("""COMPUTED_VALUE"""),121873.0)</f>
        <v>121873</v>
      </c>
      <c r="B3005" s="11">
        <f>IFERROR(__xludf.DUMMYFUNCTION("""COMPUTED_VALUE"""),0.0)</f>
        <v>0</v>
      </c>
      <c r="C3005" s="11">
        <f>IFERROR(__xludf.DUMMYFUNCTION("""COMPUTED_VALUE"""),71.0)</f>
        <v>71</v>
      </c>
      <c r="D3005" s="11">
        <f>IFERROR(__xludf.DUMMYFUNCTION("""COMPUTED_VALUE"""),14.0)</f>
        <v>14</v>
      </c>
      <c r="E3005" s="9"/>
    </row>
    <row r="3006">
      <c r="A3006" s="10">
        <f>IFERROR(__xludf.DUMMYFUNCTION("""COMPUTED_VALUE"""),108833.0)</f>
        <v>108833</v>
      </c>
      <c r="B3006" s="11">
        <f>IFERROR(__xludf.DUMMYFUNCTION("""COMPUTED_VALUE"""),0.0)</f>
        <v>0</v>
      </c>
      <c r="C3006" s="11">
        <f>IFERROR(__xludf.DUMMYFUNCTION("""COMPUTED_VALUE"""),966.0)</f>
        <v>966</v>
      </c>
      <c r="D3006" s="11">
        <f>IFERROR(__xludf.DUMMYFUNCTION("""COMPUTED_VALUE"""),761.0)</f>
        <v>761</v>
      </c>
      <c r="E3006" s="9"/>
    </row>
    <row r="3007">
      <c r="A3007" s="10">
        <f>IFERROR(__xludf.DUMMYFUNCTION("""COMPUTED_VALUE"""),121882.0)</f>
        <v>121882</v>
      </c>
      <c r="B3007" s="11">
        <f>IFERROR(__xludf.DUMMYFUNCTION("""COMPUTED_VALUE"""),0.0)</f>
        <v>0</v>
      </c>
      <c r="C3007" s="11">
        <f>IFERROR(__xludf.DUMMYFUNCTION("""COMPUTED_VALUE"""),954.0)</f>
        <v>954</v>
      </c>
      <c r="D3007" s="11">
        <f>IFERROR(__xludf.DUMMYFUNCTION("""COMPUTED_VALUE"""),482.0)</f>
        <v>482</v>
      </c>
      <c r="E3007" s="9"/>
    </row>
    <row r="3008">
      <c r="A3008" s="10">
        <f>IFERROR(__xludf.DUMMYFUNCTION("""COMPUTED_VALUE"""),91492.0)</f>
        <v>91492</v>
      </c>
      <c r="B3008" s="11">
        <f>IFERROR(__xludf.DUMMYFUNCTION("""COMPUTED_VALUE"""),0.0)</f>
        <v>0</v>
      </c>
      <c r="C3008" s="11">
        <f>IFERROR(__xludf.DUMMYFUNCTION("""COMPUTED_VALUE"""),405.0)</f>
        <v>405</v>
      </c>
      <c r="D3008" s="11">
        <f>IFERROR(__xludf.DUMMYFUNCTION("""COMPUTED_VALUE"""),404.0)</f>
        <v>404</v>
      </c>
      <c r="E3008" s="9"/>
    </row>
    <row r="3009">
      <c r="A3009" s="10">
        <f>IFERROR(__xludf.DUMMYFUNCTION("""COMPUTED_VALUE"""),111392.0)</f>
        <v>111392</v>
      </c>
      <c r="B3009" s="11">
        <f>IFERROR(__xludf.DUMMYFUNCTION("""COMPUTED_VALUE"""),1.0)</f>
        <v>1</v>
      </c>
      <c r="C3009" s="11">
        <f>IFERROR(__xludf.DUMMYFUNCTION("""COMPUTED_VALUE"""),863.0)</f>
        <v>863</v>
      </c>
      <c r="D3009" s="11">
        <f>IFERROR(__xludf.DUMMYFUNCTION("""COMPUTED_VALUE"""),727.0)</f>
        <v>727</v>
      </c>
      <c r="E3009" s="9"/>
    </row>
    <row r="3010">
      <c r="A3010" s="10">
        <f>IFERROR(__xludf.DUMMYFUNCTION("""COMPUTED_VALUE"""),108835.0)</f>
        <v>108835</v>
      </c>
      <c r="B3010" s="11">
        <f>IFERROR(__xludf.DUMMYFUNCTION("""COMPUTED_VALUE"""),1.0)</f>
        <v>1</v>
      </c>
      <c r="C3010" s="11">
        <f>IFERROR(__xludf.DUMMYFUNCTION("""COMPUTED_VALUE"""),455.0)</f>
        <v>455</v>
      </c>
      <c r="D3010" s="11">
        <f>IFERROR(__xludf.DUMMYFUNCTION("""COMPUTED_VALUE"""),411.0)</f>
        <v>411</v>
      </c>
      <c r="E3010" s="9"/>
    </row>
    <row r="3011">
      <c r="A3011" s="10">
        <f>IFERROR(__xludf.DUMMYFUNCTION("""COMPUTED_VALUE"""),118111.0)</f>
        <v>118111</v>
      </c>
      <c r="B3011" s="11">
        <f>IFERROR(__xludf.DUMMYFUNCTION("""COMPUTED_VALUE"""),0.0)</f>
        <v>0</v>
      </c>
      <c r="C3011" s="11">
        <f>IFERROR(__xludf.DUMMYFUNCTION("""COMPUTED_VALUE"""),328.0)</f>
        <v>328</v>
      </c>
      <c r="D3011" s="11">
        <f>IFERROR(__xludf.DUMMYFUNCTION("""COMPUTED_VALUE"""),292.0)</f>
        <v>292</v>
      </c>
      <c r="E3011" s="9"/>
    </row>
    <row r="3012">
      <c r="A3012" s="10">
        <f>IFERROR(__xludf.DUMMYFUNCTION("""COMPUTED_VALUE"""),121872.0)</f>
        <v>121872</v>
      </c>
      <c r="B3012" s="11">
        <f>IFERROR(__xludf.DUMMYFUNCTION("""COMPUTED_VALUE"""),0.0)</f>
        <v>0</v>
      </c>
      <c r="C3012" s="11">
        <f>IFERROR(__xludf.DUMMYFUNCTION("""COMPUTED_VALUE"""),610.0)</f>
        <v>610</v>
      </c>
      <c r="D3012" s="11">
        <f>IFERROR(__xludf.DUMMYFUNCTION("""COMPUTED_VALUE"""),421.0)</f>
        <v>421</v>
      </c>
      <c r="E3012" s="9"/>
    </row>
    <row r="3013">
      <c r="A3013" s="10">
        <f>IFERROR(__xludf.DUMMYFUNCTION("""COMPUTED_VALUE"""),112885.0)</f>
        <v>112885</v>
      </c>
      <c r="B3013" s="11">
        <f>IFERROR(__xludf.DUMMYFUNCTION("""COMPUTED_VALUE"""),1.0)</f>
        <v>1</v>
      </c>
      <c r="C3013" s="11">
        <f>IFERROR(__xludf.DUMMYFUNCTION("""COMPUTED_VALUE"""),694.0)</f>
        <v>694</v>
      </c>
      <c r="D3013" s="11">
        <f>IFERROR(__xludf.DUMMYFUNCTION("""COMPUTED_VALUE"""),183.0)</f>
        <v>183</v>
      </c>
      <c r="E3013" s="9"/>
    </row>
    <row r="3014">
      <c r="A3014" s="10">
        <f>IFERROR(__xludf.DUMMYFUNCTION("""COMPUTED_VALUE"""),108738.0)</f>
        <v>108738</v>
      </c>
      <c r="B3014" s="11">
        <f>IFERROR(__xludf.DUMMYFUNCTION("""COMPUTED_VALUE"""),1.0)</f>
        <v>1</v>
      </c>
      <c r="C3014" s="11">
        <f>IFERROR(__xludf.DUMMYFUNCTION("""COMPUTED_VALUE"""),779.0)</f>
        <v>779</v>
      </c>
      <c r="D3014" s="11">
        <f>IFERROR(__xludf.DUMMYFUNCTION("""COMPUTED_VALUE"""),628.0)</f>
        <v>628</v>
      </c>
      <c r="E3014" s="9"/>
    </row>
    <row r="3015">
      <c r="A3015" s="10">
        <f>IFERROR(__xludf.DUMMYFUNCTION("""COMPUTED_VALUE"""),21338.0)</f>
        <v>21338</v>
      </c>
      <c r="B3015" s="11">
        <f>IFERROR(__xludf.DUMMYFUNCTION("""COMPUTED_VALUE"""),1.0)</f>
        <v>1</v>
      </c>
      <c r="C3015" s="11">
        <f>IFERROR(__xludf.DUMMYFUNCTION("""COMPUTED_VALUE"""),801.0)</f>
        <v>801</v>
      </c>
      <c r="D3015" s="11">
        <f>IFERROR(__xludf.DUMMYFUNCTION("""COMPUTED_VALUE"""),481.0)</f>
        <v>481</v>
      </c>
      <c r="E3015" s="9"/>
    </row>
    <row r="3016">
      <c r="A3016" s="10">
        <f>IFERROR(__xludf.DUMMYFUNCTION("""COMPUTED_VALUE"""),76513.0)</f>
        <v>76513</v>
      </c>
      <c r="B3016" s="11">
        <f>IFERROR(__xludf.DUMMYFUNCTION("""COMPUTED_VALUE"""),0.0)</f>
        <v>0</v>
      </c>
      <c r="C3016" s="11">
        <f>IFERROR(__xludf.DUMMYFUNCTION("""COMPUTED_VALUE"""),905.0)</f>
        <v>905</v>
      </c>
      <c r="D3016" s="11">
        <f>IFERROR(__xludf.DUMMYFUNCTION("""COMPUTED_VALUE"""),533.0)</f>
        <v>533</v>
      </c>
      <c r="E3016" s="9"/>
    </row>
    <row r="3017">
      <c r="A3017" s="10">
        <f>IFERROR(__xludf.DUMMYFUNCTION("""COMPUTED_VALUE"""),76514.0)</f>
        <v>76514</v>
      </c>
      <c r="B3017" s="11">
        <f>IFERROR(__xludf.DUMMYFUNCTION("""COMPUTED_VALUE"""),0.0)</f>
        <v>0</v>
      </c>
      <c r="C3017" s="11">
        <f>IFERROR(__xludf.DUMMYFUNCTION("""COMPUTED_VALUE"""),561.0)</f>
        <v>561</v>
      </c>
      <c r="D3017" s="11">
        <f>IFERROR(__xludf.DUMMYFUNCTION("""COMPUTED_VALUE"""),415.0)</f>
        <v>415</v>
      </c>
      <c r="E3017" s="9"/>
    </row>
    <row r="3018">
      <c r="A3018" s="10">
        <f>IFERROR(__xludf.DUMMYFUNCTION("""COMPUTED_VALUE"""),21339.0)</f>
        <v>21339</v>
      </c>
      <c r="B3018" s="11">
        <f>IFERROR(__xludf.DUMMYFUNCTION("""COMPUTED_VALUE"""),1.0)</f>
        <v>1</v>
      </c>
      <c r="C3018" s="11">
        <f>IFERROR(__xludf.DUMMYFUNCTION("""COMPUTED_VALUE"""),639.0)</f>
        <v>639</v>
      </c>
      <c r="D3018" s="11">
        <f>IFERROR(__xludf.DUMMYFUNCTION("""COMPUTED_VALUE"""),558.0)</f>
        <v>558</v>
      </c>
      <c r="E3018" s="9"/>
    </row>
    <row r="3019">
      <c r="A3019" s="10">
        <f>IFERROR(__xludf.DUMMYFUNCTION("""COMPUTED_VALUE"""),75436.0)</f>
        <v>75436</v>
      </c>
      <c r="B3019" s="11">
        <f>IFERROR(__xludf.DUMMYFUNCTION("""COMPUTED_VALUE"""),1.0)</f>
        <v>1</v>
      </c>
      <c r="C3019" s="11">
        <f>IFERROR(__xludf.DUMMYFUNCTION("""COMPUTED_VALUE"""),739.0)</f>
        <v>739</v>
      </c>
      <c r="D3019" s="11">
        <f>IFERROR(__xludf.DUMMYFUNCTION("""COMPUTED_VALUE"""),178.0)</f>
        <v>178</v>
      </c>
      <c r="E3019" s="9"/>
    </row>
    <row r="3020">
      <c r="A3020" s="10">
        <f>IFERROR(__xludf.DUMMYFUNCTION("""COMPUTED_VALUE"""),84092.0)</f>
        <v>84092</v>
      </c>
      <c r="B3020" s="11">
        <f>IFERROR(__xludf.DUMMYFUNCTION("""COMPUTED_VALUE"""),0.0)</f>
        <v>0</v>
      </c>
      <c r="C3020" s="11">
        <f>IFERROR(__xludf.DUMMYFUNCTION("""COMPUTED_VALUE"""),477.0)</f>
        <v>477</v>
      </c>
      <c r="D3020" s="11">
        <f>IFERROR(__xludf.DUMMYFUNCTION("""COMPUTED_VALUE"""),409.0)</f>
        <v>409</v>
      </c>
      <c r="E3020" s="9"/>
    </row>
    <row r="3021">
      <c r="A3021" s="10">
        <f>IFERROR(__xludf.DUMMYFUNCTION("""COMPUTED_VALUE"""),86943.0)</f>
        <v>86943</v>
      </c>
      <c r="B3021" s="11">
        <f>IFERROR(__xludf.DUMMYFUNCTION("""COMPUTED_VALUE"""),0.0)</f>
        <v>0</v>
      </c>
      <c r="C3021" s="11">
        <f>IFERROR(__xludf.DUMMYFUNCTION("""COMPUTED_VALUE"""),208.0)</f>
        <v>208</v>
      </c>
      <c r="D3021" s="11">
        <f>IFERROR(__xludf.DUMMYFUNCTION("""COMPUTED_VALUE"""),166.0)</f>
        <v>166</v>
      </c>
      <c r="E3021" s="9"/>
    </row>
    <row r="3022">
      <c r="A3022" s="10">
        <f>IFERROR(__xludf.DUMMYFUNCTION("""COMPUTED_VALUE"""),8688.0)</f>
        <v>8688</v>
      </c>
      <c r="B3022" s="11">
        <f>IFERROR(__xludf.DUMMYFUNCTION("""COMPUTED_VALUE"""),1.0)</f>
        <v>1</v>
      </c>
      <c r="C3022" s="11">
        <f>IFERROR(__xludf.DUMMYFUNCTION("""COMPUTED_VALUE"""),707.0)</f>
        <v>707</v>
      </c>
      <c r="D3022" s="11">
        <f>IFERROR(__xludf.DUMMYFUNCTION("""COMPUTED_VALUE"""),524.0)</f>
        <v>524</v>
      </c>
      <c r="E3022" s="9"/>
    </row>
    <row r="3023">
      <c r="A3023" s="10">
        <f>IFERROR(__xludf.DUMMYFUNCTION("""COMPUTED_VALUE"""),117967.0)</f>
        <v>117967</v>
      </c>
      <c r="B3023" s="11">
        <f>IFERROR(__xludf.DUMMYFUNCTION("""COMPUTED_VALUE"""),1.0)</f>
        <v>1</v>
      </c>
      <c r="C3023" s="11">
        <f>IFERROR(__xludf.DUMMYFUNCTION("""COMPUTED_VALUE"""),412.0)</f>
        <v>412</v>
      </c>
      <c r="D3023" s="11">
        <f>IFERROR(__xludf.DUMMYFUNCTION("""COMPUTED_VALUE"""),165.0)</f>
        <v>165</v>
      </c>
      <c r="E3023" s="9"/>
    </row>
    <row r="3024">
      <c r="A3024" s="10">
        <f>IFERROR(__xludf.DUMMYFUNCTION("""COMPUTED_VALUE"""),23061.0)</f>
        <v>23061</v>
      </c>
      <c r="B3024" s="11">
        <f>IFERROR(__xludf.DUMMYFUNCTION("""COMPUTED_VALUE"""),0.0)</f>
        <v>0</v>
      </c>
      <c r="C3024" s="11">
        <f>IFERROR(__xludf.DUMMYFUNCTION("""COMPUTED_VALUE"""),223.0)</f>
        <v>223</v>
      </c>
      <c r="D3024" s="11">
        <f>IFERROR(__xludf.DUMMYFUNCTION("""COMPUTED_VALUE"""),6.0)</f>
        <v>6</v>
      </c>
      <c r="E3024" s="9"/>
    </row>
    <row r="3025">
      <c r="A3025" s="10">
        <f>IFERROR(__xludf.DUMMYFUNCTION("""COMPUTED_VALUE"""),10688.0)</f>
        <v>10688</v>
      </c>
      <c r="B3025" s="11">
        <f>IFERROR(__xludf.DUMMYFUNCTION("""COMPUTED_VALUE"""),1.0)</f>
        <v>1</v>
      </c>
      <c r="C3025" s="11">
        <f>IFERROR(__xludf.DUMMYFUNCTION("""COMPUTED_VALUE"""),635.0)</f>
        <v>635</v>
      </c>
      <c r="D3025" s="11">
        <f>IFERROR(__xludf.DUMMYFUNCTION("""COMPUTED_VALUE"""),431.0)</f>
        <v>431</v>
      </c>
      <c r="E3025" s="9"/>
    </row>
    <row r="3026">
      <c r="A3026" s="10">
        <f>IFERROR(__xludf.DUMMYFUNCTION("""COMPUTED_VALUE"""),8690.0)</f>
        <v>8690</v>
      </c>
      <c r="B3026" s="11">
        <f>IFERROR(__xludf.DUMMYFUNCTION("""COMPUTED_VALUE"""),1.0)</f>
        <v>1</v>
      </c>
      <c r="C3026" s="11">
        <f>IFERROR(__xludf.DUMMYFUNCTION("""COMPUTED_VALUE"""),130.0)</f>
        <v>130</v>
      </c>
      <c r="D3026" s="11">
        <f>IFERROR(__xludf.DUMMYFUNCTION("""COMPUTED_VALUE"""),102.0)</f>
        <v>102</v>
      </c>
      <c r="E3026" s="9"/>
    </row>
    <row r="3027">
      <c r="A3027" s="10">
        <f>IFERROR(__xludf.DUMMYFUNCTION("""COMPUTED_VALUE"""),79808.0)</f>
        <v>79808</v>
      </c>
      <c r="B3027" s="11">
        <f>IFERROR(__xludf.DUMMYFUNCTION("""COMPUTED_VALUE"""),1.0)</f>
        <v>1</v>
      </c>
      <c r="C3027" s="11">
        <f>IFERROR(__xludf.DUMMYFUNCTION("""COMPUTED_VALUE"""),20.0)</f>
        <v>20</v>
      </c>
      <c r="D3027" s="11">
        <f>IFERROR(__xludf.DUMMYFUNCTION("""COMPUTED_VALUE"""),13.0)</f>
        <v>13</v>
      </c>
      <c r="E3027" s="9"/>
    </row>
    <row r="3028">
      <c r="A3028" s="10">
        <f>IFERROR(__xludf.DUMMYFUNCTION("""COMPUTED_VALUE"""),44797.0)</f>
        <v>44797</v>
      </c>
      <c r="B3028" s="11">
        <f>IFERROR(__xludf.DUMMYFUNCTION("""COMPUTED_VALUE"""),1.0)</f>
        <v>1</v>
      </c>
      <c r="C3028" s="11">
        <f>IFERROR(__xludf.DUMMYFUNCTION("""COMPUTED_VALUE"""),324.0)</f>
        <v>324</v>
      </c>
      <c r="D3028" s="11">
        <f>IFERROR(__xludf.DUMMYFUNCTION("""COMPUTED_VALUE"""),295.0)</f>
        <v>295</v>
      </c>
      <c r="E3028" s="9"/>
    </row>
    <row r="3029">
      <c r="A3029" s="10">
        <f>IFERROR(__xludf.DUMMYFUNCTION("""COMPUTED_VALUE"""),79807.0)</f>
        <v>79807</v>
      </c>
      <c r="B3029" s="11">
        <f>IFERROR(__xludf.DUMMYFUNCTION("""COMPUTED_VALUE"""),0.0)</f>
        <v>0</v>
      </c>
      <c r="C3029" s="11">
        <f>IFERROR(__xludf.DUMMYFUNCTION("""COMPUTED_VALUE"""),5.0)</f>
        <v>5</v>
      </c>
      <c r="D3029" s="11">
        <f>IFERROR(__xludf.DUMMYFUNCTION("""COMPUTED_VALUE"""),1.0)</f>
        <v>1</v>
      </c>
      <c r="E3029" s="9"/>
    </row>
    <row r="3030">
      <c r="A3030" s="10">
        <f>IFERROR(__xludf.DUMMYFUNCTION("""COMPUTED_VALUE"""),11426.0)</f>
        <v>11426</v>
      </c>
      <c r="B3030" s="11">
        <f>IFERROR(__xludf.DUMMYFUNCTION("""COMPUTED_VALUE"""),0.0)</f>
        <v>0</v>
      </c>
      <c r="C3030" s="11">
        <f>IFERROR(__xludf.DUMMYFUNCTION("""COMPUTED_VALUE"""),533.0)</f>
        <v>533</v>
      </c>
      <c r="D3030" s="11">
        <f>IFERROR(__xludf.DUMMYFUNCTION("""COMPUTED_VALUE"""),201.0)</f>
        <v>201</v>
      </c>
      <c r="E3030" s="9"/>
    </row>
    <row r="3031">
      <c r="A3031" s="10">
        <f>IFERROR(__xludf.DUMMYFUNCTION("""COMPUTED_VALUE"""),45059.0)</f>
        <v>45059</v>
      </c>
      <c r="B3031" s="11">
        <f>IFERROR(__xludf.DUMMYFUNCTION("""COMPUTED_VALUE"""),1.0)</f>
        <v>1</v>
      </c>
      <c r="C3031" s="11">
        <f>IFERROR(__xludf.DUMMYFUNCTION("""COMPUTED_VALUE"""),251.0)</f>
        <v>251</v>
      </c>
      <c r="D3031" s="11">
        <f>IFERROR(__xludf.DUMMYFUNCTION("""COMPUTED_VALUE"""),227.0)</f>
        <v>227</v>
      </c>
      <c r="E3031" s="9"/>
    </row>
    <row r="3032">
      <c r="A3032" s="10">
        <f>IFERROR(__xludf.DUMMYFUNCTION("""COMPUTED_VALUE"""),200582.0)</f>
        <v>200582</v>
      </c>
      <c r="B3032" s="11">
        <f>IFERROR(__xludf.DUMMYFUNCTION("""COMPUTED_VALUE"""),1.0)</f>
        <v>1</v>
      </c>
      <c r="C3032" s="11">
        <f>IFERROR(__xludf.DUMMYFUNCTION("""COMPUTED_VALUE"""),304.0)</f>
        <v>304</v>
      </c>
      <c r="D3032" s="11">
        <f>IFERROR(__xludf.DUMMYFUNCTION("""COMPUTED_VALUE"""),227.0)</f>
        <v>227</v>
      </c>
      <c r="E3032" s="9"/>
    </row>
    <row r="3033">
      <c r="A3033" s="10">
        <f>IFERROR(__xludf.DUMMYFUNCTION("""COMPUTED_VALUE"""),143825.0)</f>
        <v>143825</v>
      </c>
      <c r="B3033" s="11">
        <f>IFERROR(__xludf.DUMMYFUNCTION("""COMPUTED_VALUE"""),0.0)</f>
        <v>0</v>
      </c>
      <c r="C3033" s="11">
        <f>IFERROR(__xludf.DUMMYFUNCTION("""COMPUTED_VALUE"""),386.0)</f>
        <v>386</v>
      </c>
      <c r="D3033" s="11">
        <f>IFERROR(__xludf.DUMMYFUNCTION("""COMPUTED_VALUE"""),304.0)</f>
        <v>304</v>
      </c>
      <c r="E3033" s="9"/>
    </row>
    <row r="3034">
      <c r="A3034" s="10">
        <f>IFERROR(__xludf.DUMMYFUNCTION("""COMPUTED_VALUE"""),85232.0)</f>
        <v>85232</v>
      </c>
      <c r="B3034" s="11">
        <f>IFERROR(__xludf.DUMMYFUNCTION("""COMPUTED_VALUE"""),0.0)</f>
        <v>0</v>
      </c>
      <c r="C3034" s="11">
        <f>IFERROR(__xludf.DUMMYFUNCTION("""COMPUTED_VALUE"""),309.0)</f>
        <v>309</v>
      </c>
      <c r="D3034" s="11">
        <f>IFERROR(__xludf.DUMMYFUNCTION("""COMPUTED_VALUE"""),117.0)</f>
        <v>117</v>
      </c>
      <c r="E3034" s="9"/>
    </row>
    <row r="3035">
      <c r="A3035" s="10">
        <f>IFERROR(__xludf.DUMMYFUNCTION("""COMPUTED_VALUE"""),79806.0)</f>
        <v>79806</v>
      </c>
      <c r="B3035" s="11">
        <f>IFERROR(__xludf.DUMMYFUNCTION("""COMPUTED_VALUE"""),0.0)</f>
        <v>0</v>
      </c>
      <c r="C3035" s="11">
        <f>IFERROR(__xludf.DUMMYFUNCTION("""COMPUTED_VALUE"""),769.0)</f>
        <v>769</v>
      </c>
      <c r="D3035" s="11">
        <f>IFERROR(__xludf.DUMMYFUNCTION("""COMPUTED_VALUE"""),454.0)</f>
        <v>454</v>
      </c>
      <c r="E3035" s="9"/>
    </row>
    <row r="3036">
      <c r="A3036" s="10">
        <f>IFERROR(__xludf.DUMMYFUNCTION("""COMPUTED_VALUE"""),46991.0)</f>
        <v>46991</v>
      </c>
      <c r="B3036" s="11">
        <f>IFERROR(__xludf.DUMMYFUNCTION("""COMPUTED_VALUE"""),0.0)</f>
        <v>0</v>
      </c>
      <c r="C3036" s="11">
        <f>IFERROR(__xludf.DUMMYFUNCTION("""COMPUTED_VALUE"""),102.0)</f>
        <v>102</v>
      </c>
      <c r="D3036" s="11">
        <f>IFERROR(__xludf.DUMMYFUNCTION("""COMPUTED_VALUE"""),36.0)</f>
        <v>36</v>
      </c>
      <c r="E3036" s="9"/>
    </row>
    <row r="3037">
      <c r="A3037" s="10">
        <f>IFERROR(__xludf.DUMMYFUNCTION("""COMPUTED_VALUE"""),69360.0)</f>
        <v>69360</v>
      </c>
      <c r="B3037" s="11">
        <f>IFERROR(__xludf.DUMMYFUNCTION("""COMPUTED_VALUE"""),1.0)</f>
        <v>1</v>
      </c>
      <c r="C3037" s="11">
        <f>IFERROR(__xludf.DUMMYFUNCTION("""COMPUTED_VALUE"""),386.0)</f>
        <v>386</v>
      </c>
      <c r="D3037" s="11">
        <f>IFERROR(__xludf.DUMMYFUNCTION("""COMPUTED_VALUE"""),33.0)</f>
        <v>33</v>
      </c>
      <c r="E3037" s="9"/>
    </row>
    <row r="3038">
      <c r="A3038" s="10">
        <f>IFERROR(__xludf.DUMMYFUNCTION("""COMPUTED_VALUE"""),110441.0)</f>
        <v>110441</v>
      </c>
      <c r="B3038" s="11">
        <f>IFERROR(__xludf.DUMMYFUNCTION("""COMPUTED_VALUE"""),1.0)</f>
        <v>1</v>
      </c>
      <c r="C3038" s="11">
        <f>IFERROR(__xludf.DUMMYFUNCTION("""COMPUTED_VALUE"""),589.0)</f>
        <v>589</v>
      </c>
      <c r="D3038" s="11">
        <f>IFERROR(__xludf.DUMMYFUNCTION("""COMPUTED_VALUE"""),54.0)</f>
        <v>54</v>
      </c>
      <c r="E3038" s="9"/>
    </row>
    <row r="3039">
      <c r="A3039" s="10">
        <f>IFERROR(__xludf.DUMMYFUNCTION("""COMPUTED_VALUE"""),120781.0)</f>
        <v>120781</v>
      </c>
      <c r="B3039" s="11">
        <f>IFERROR(__xludf.DUMMYFUNCTION("""COMPUTED_VALUE"""),1.0)</f>
        <v>1</v>
      </c>
      <c r="C3039" s="11">
        <f>IFERROR(__xludf.DUMMYFUNCTION("""COMPUTED_VALUE"""),720.0)</f>
        <v>720</v>
      </c>
      <c r="D3039" s="11">
        <f>IFERROR(__xludf.DUMMYFUNCTION("""COMPUTED_VALUE"""),337.0)</f>
        <v>337</v>
      </c>
      <c r="E3039" s="9"/>
    </row>
    <row r="3040">
      <c r="A3040" s="10">
        <f>IFERROR(__xludf.DUMMYFUNCTION("""COMPUTED_VALUE"""),79809.0)</f>
        <v>79809</v>
      </c>
      <c r="B3040" s="11">
        <f>IFERROR(__xludf.DUMMYFUNCTION("""COMPUTED_VALUE"""),1.0)</f>
        <v>1</v>
      </c>
      <c r="C3040" s="11">
        <f>IFERROR(__xludf.DUMMYFUNCTION("""COMPUTED_VALUE"""),275.0)</f>
        <v>275</v>
      </c>
      <c r="D3040" s="11">
        <f>IFERROR(__xludf.DUMMYFUNCTION("""COMPUTED_VALUE"""),146.0)</f>
        <v>146</v>
      </c>
      <c r="E3040" s="9"/>
    </row>
    <row r="3041">
      <c r="A3041" s="10">
        <f>IFERROR(__xludf.DUMMYFUNCTION("""COMPUTED_VALUE"""),45057.0)</f>
        <v>45057</v>
      </c>
      <c r="B3041" s="11">
        <f>IFERROR(__xludf.DUMMYFUNCTION("""COMPUTED_VALUE"""),1.0)</f>
        <v>1</v>
      </c>
      <c r="C3041" s="11">
        <f>IFERROR(__xludf.DUMMYFUNCTION("""COMPUTED_VALUE"""),901.0)</f>
        <v>901</v>
      </c>
      <c r="D3041" s="11">
        <f>IFERROR(__xludf.DUMMYFUNCTION("""COMPUTED_VALUE"""),683.0)</f>
        <v>683</v>
      </c>
      <c r="E3041" s="9"/>
    </row>
    <row r="3042">
      <c r="A3042" s="10">
        <f>IFERROR(__xludf.DUMMYFUNCTION("""COMPUTED_VALUE"""),79805.0)</f>
        <v>79805</v>
      </c>
      <c r="B3042" s="11">
        <f>IFERROR(__xludf.DUMMYFUNCTION("""COMPUTED_VALUE"""),1.0)</f>
        <v>1</v>
      </c>
      <c r="C3042" s="11">
        <f>IFERROR(__xludf.DUMMYFUNCTION("""COMPUTED_VALUE"""),242.0)</f>
        <v>242</v>
      </c>
      <c r="D3042" s="11">
        <f>IFERROR(__xludf.DUMMYFUNCTION("""COMPUTED_VALUE"""),207.0)</f>
        <v>207</v>
      </c>
      <c r="E3042" s="9"/>
    </row>
    <row r="3043">
      <c r="A3043" s="10">
        <f>IFERROR(__xludf.DUMMYFUNCTION("""COMPUTED_VALUE"""),45707.0)</f>
        <v>45707</v>
      </c>
      <c r="B3043" s="11">
        <f>IFERROR(__xludf.DUMMYFUNCTION("""COMPUTED_VALUE"""),1.0)</f>
        <v>1</v>
      </c>
      <c r="C3043" s="11">
        <f>IFERROR(__xludf.DUMMYFUNCTION("""COMPUTED_VALUE"""),215.0)</f>
        <v>215</v>
      </c>
      <c r="D3043" s="11">
        <f>IFERROR(__xludf.DUMMYFUNCTION("""COMPUTED_VALUE"""),87.0)</f>
        <v>87</v>
      </c>
      <c r="E3043" s="9"/>
    </row>
    <row r="3044">
      <c r="A3044" s="10">
        <f>IFERROR(__xludf.DUMMYFUNCTION("""COMPUTED_VALUE"""),117282.0)</f>
        <v>117282</v>
      </c>
      <c r="B3044" s="11">
        <f>IFERROR(__xludf.DUMMYFUNCTION("""COMPUTED_VALUE"""),1.0)</f>
        <v>1</v>
      </c>
      <c r="C3044" s="11">
        <f>IFERROR(__xludf.DUMMYFUNCTION("""COMPUTED_VALUE"""),215.0)</f>
        <v>215</v>
      </c>
      <c r="D3044" s="11">
        <f>IFERROR(__xludf.DUMMYFUNCTION("""COMPUTED_VALUE"""),147.0)</f>
        <v>147</v>
      </c>
      <c r="E3044" s="9"/>
    </row>
    <row r="3045">
      <c r="A3045" s="10">
        <f>IFERROR(__xludf.DUMMYFUNCTION("""COMPUTED_VALUE"""),30503.0)</f>
        <v>30503</v>
      </c>
      <c r="B3045" s="11">
        <f>IFERROR(__xludf.DUMMYFUNCTION("""COMPUTED_VALUE"""),1.0)</f>
        <v>1</v>
      </c>
      <c r="C3045" s="11">
        <f>IFERROR(__xludf.DUMMYFUNCTION("""COMPUTED_VALUE"""),748.0)</f>
        <v>748</v>
      </c>
      <c r="D3045" s="11">
        <f>IFERROR(__xludf.DUMMYFUNCTION("""COMPUTED_VALUE"""),35.0)</f>
        <v>35</v>
      </c>
      <c r="E3045" s="9"/>
    </row>
    <row r="3046">
      <c r="A3046" s="10">
        <f>IFERROR(__xludf.DUMMYFUNCTION("""COMPUTED_VALUE"""),187336.0)</f>
        <v>187336</v>
      </c>
      <c r="B3046" s="11">
        <f>IFERROR(__xludf.DUMMYFUNCTION("""COMPUTED_VALUE"""),1.0)</f>
        <v>1</v>
      </c>
      <c r="C3046" s="11">
        <f>IFERROR(__xludf.DUMMYFUNCTION("""COMPUTED_VALUE"""),101.0)</f>
        <v>101</v>
      </c>
      <c r="D3046" s="11">
        <f>IFERROR(__xludf.DUMMYFUNCTION("""COMPUTED_VALUE"""),4.0)</f>
        <v>4</v>
      </c>
      <c r="E3046" s="9"/>
    </row>
    <row r="3047">
      <c r="A3047" s="10">
        <f>IFERROR(__xludf.DUMMYFUNCTION("""COMPUTED_VALUE"""),82427.0)</f>
        <v>82427</v>
      </c>
      <c r="B3047" s="11">
        <f>IFERROR(__xludf.DUMMYFUNCTION("""COMPUTED_VALUE"""),1.0)</f>
        <v>1</v>
      </c>
      <c r="C3047" s="11">
        <f>IFERROR(__xludf.DUMMYFUNCTION("""COMPUTED_VALUE"""),391.0)</f>
        <v>391</v>
      </c>
      <c r="D3047" s="11">
        <f>IFERROR(__xludf.DUMMYFUNCTION("""COMPUTED_VALUE"""),86.0)</f>
        <v>86</v>
      </c>
      <c r="E3047" s="9"/>
    </row>
    <row r="3048">
      <c r="A3048" s="10">
        <f>IFERROR(__xludf.DUMMYFUNCTION("""COMPUTED_VALUE"""),11000.0)</f>
        <v>11000</v>
      </c>
      <c r="B3048" s="11">
        <f>IFERROR(__xludf.DUMMYFUNCTION("""COMPUTED_VALUE"""),0.0)</f>
        <v>0</v>
      </c>
      <c r="C3048" s="11">
        <f>IFERROR(__xludf.DUMMYFUNCTION("""COMPUTED_VALUE"""),44.0)</f>
        <v>44</v>
      </c>
      <c r="D3048" s="11">
        <f>IFERROR(__xludf.DUMMYFUNCTION("""COMPUTED_VALUE"""),5.0)</f>
        <v>5</v>
      </c>
      <c r="E3048" s="9"/>
    </row>
    <row r="3049">
      <c r="A3049" s="10">
        <f>IFERROR(__xludf.DUMMYFUNCTION("""COMPUTED_VALUE"""),117274.0)</f>
        <v>117274</v>
      </c>
      <c r="B3049" s="11">
        <f>IFERROR(__xludf.DUMMYFUNCTION("""COMPUTED_VALUE"""),0.0)</f>
        <v>0</v>
      </c>
      <c r="C3049" s="11">
        <f>IFERROR(__xludf.DUMMYFUNCTION("""COMPUTED_VALUE"""),146.0)</f>
        <v>146</v>
      </c>
      <c r="D3049" s="11">
        <f>IFERROR(__xludf.DUMMYFUNCTION("""COMPUTED_VALUE"""),59.0)</f>
        <v>59</v>
      </c>
      <c r="E3049" s="9"/>
    </row>
    <row r="3050">
      <c r="A3050" s="10">
        <f>IFERROR(__xludf.DUMMYFUNCTION("""COMPUTED_VALUE"""),117445.0)</f>
        <v>117445</v>
      </c>
      <c r="B3050" s="11">
        <f>IFERROR(__xludf.DUMMYFUNCTION("""COMPUTED_VALUE"""),1.0)</f>
        <v>1</v>
      </c>
      <c r="C3050" s="11">
        <f>IFERROR(__xludf.DUMMYFUNCTION("""COMPUTED_VALUE"""),720.0)</f>
        <v>720</v>
      </c>
      <c r="D3050" s="11">
        <f>IFERROR(__xludf.DUMMYFUNCTION("""COMPUTED_VALUE"""),560.0)</f>
        <v>560</v>
      </c>
      <c r="E3050" s="9"/>
    </row>
    <row r="3051">
      <c r="A3051" s="10">
        <f>IFERROR(__xludf.DUMMYFUNCTION("""COMPUTED_VALUE"""),103246.0)</f>
        <v>103246</v>
      </c>
      <c r="B3051" s="11">
        <f>IFERROR(__xludf.DUMMYFUNCTION("""COMPUTED_VALUE"""),0.0)</f>
        <v>0</v>
      </c>
      <c r="C3051" s="11">
        <f>IFERROR(__xludf.DUMMYFUNCTION("""COMPUTED_VALUE"""),267.0)</f>
        <v>267</v>
      </c>
      <c r="D3051" s="11">
        <f>IFERROR(__xludf.DUMMYFUNCTION("""COMPUTED_VALUE"""),175.0)</f>
        <v>175</v>
      </c>
      <c r="E3051" s="9"/>
    </row>
    <row r="3052">
      <c r="A3052" s="10">
        <f>IFERROR(__xludf.DUMMYFUNCTION("""COMPUTED_VALUE"""),92626.0)</f>
        <v>92626</v>
      </c>
      <c r="B3052" s="11">
        <f>IFERROR(__xludf.DUMMYFUNCTION("""COMPUTED_VALUE"""),1.0)</f>
        <v>1</v>
      </c>
      <c r="C3052" s="11">
        <f>IFERROR(__xludf.DUMMYFUNCTION("""COMPUTED_VALUE"""),141.0)</f>
        <v>141</v>
      </c>
      <c r="D3052" s="11">
        <f>IFERROR(__xludf.DUMMYFUNCTION("""COMPUTED_VALUE"""),129.0)</f>
        <v>129</v>
      </c>
      <c r="E3052" s="9"/>
    </row>
    <row r="3053">
      <c r="A3053" s="10">
        <f>IFERROR(__xludf.DUMMYFUNCTION("""COMPUTED_VALUE"""),79352.0)</f>
        <v>79352</v>
      </c>
      <c r="B3053" s="11">
        <f>IFERROR(__xludf.DUMMYFUNCTION("""COMPUTED_VALUE"""),0.0)</f>
        <v>0</v>
      </c>
      <c r="C3053" s="11">
        <f>IFERROR(__xludf.DUMMYFUNCTION("""COMPUTED_VALUE"""),13.0)</f>
        <v>13</v>
      </c>
      <c r="D3053" s="11">
        <f>IFERROR(__xludf.DUMMYFUNCTION("""COMPUTED_VALUE"""),6.0)</f>
        <v>6</v>
      </c>
      <c r="E3053" s="9"/>
    </row>
    <row r="3054">
      <c r="A3054" s="10">
        <f>IFERROR(__xludf.DUMMYFUNCTION("""COMPUTED_VALUE"""),128315.0)</f>
        <v>128315</v>
      </c>
      <c r="B3054" s="11">
        <f>IFERROR(__xludf.DUMMYFUNCTION("""COMPUTED_VALUE"""),1.0)</f>
        <v>1</v>
      </c>
      <c r="C3054" s="11">
        <f>IFERROR(__xludf.DUMMYFUNCTION("""COMPUTED_VALUE"""),507.0)</f>
        <v>507</v>
      </c>
      <c r="D3054" s="11">
        <f>IFERROR(__xludf.DUMMYFUNCTION("""COMPUTED_VALUE"""),97.0)</f>
        <v>97</v>
      </c>
      <c r="E3054" s="9"/>
    </row>
    <row r="3055">
      <c r="A3055" s="10">
        <f>IFERROR(__xludf.DUMMYFUNCTION("""COMPUTED_VALUE"""),117272.0)</f>
        <v>117272</v>
      </c>
      <c r="B3055" s="11">
        <f>IFERROR(__xludf.DUMMYFUNCTION("""COMPUTED_VALUE"""),1.0)</f>
        <v>1</v>
      </c>
      <c r="C3055" s="11">
        <f>IFERROR(__xludf.DUMMYFUNCTION("""COMPUTED_VALUE"""),792.0)</f>
        <v>792</v>
      </c>
      <c r="D3055" s="11">
        <f>IFERROR(__xludf.DUMMYFUNCTION("""COMPUTED_VALUE"""),407.0)</f>
        <v>407</v>
      </c>
      <c r="E3055" s="9"/>
    </row>
    <row r="3056">
      <c r="A3056" s="10">
        <f>IFERROR(__xludf.DUMMYFUNCTION("""COMPUTED_VALUE"""),116770.0)</f>
        <v>116770</v>
      </c>
      <c r="B3056" s="11">
        <f>IFERROR(__xludf.DUMMYFUNCTION("""COMPUTED_VALUE"""),1.0)</f>
        <v>1</v>
      </c>
      <c r="C3056" s="11">
        <f>IFERROR(__xludf.DUMMYFUNCTION("""COMPUTED_VALUE"""),358.0)</f>
        <v>358</v>
      </c>
      <c r="D3056" s="11">
        <f>IFERROR(__xludf.DUMMYFUNCTION("""COMPUTED_VALUE"""),125.0)</f>
        <v>125</v>
      </c>
      <c r="E3056" s="9"/>
    </row>
    <row r="3057">
      <c r="A3057" s="10">
        <f>IFERROR(__xludf.DUMMYFUNCTION("""COMPUTED_VALUE"""),118012.0)</f>
        <v>118012</v>
      </c>
      <c r="B3057" s="11">
        <f>IFERROR(__xludf.DUMMYFUNCTION("""COMPUTED_VALUE"""),1.0)</f>
        <v>1</v>
      </c>
      <c r="C3057" s="11">
        <f>IFERROR(__xludf.DUMMYFUNCTION("""COMPUTED_VALUE"""),493.0)</f>
        <v>493</v>
      </c>
      <c r="D3057" s="11">
        <f>IFERROR(__xludf.DUMMYFUNCTION("""COMPUTED_VALUE"""),360.0)</f>
        <v>360</v>
      </c>
      <c r="E3057" s="9"/>
    </row>
    <row r="3058">
      <c r="A3058" s="10">
        <f>IFERROR(__xludf.DUMMYFUNCTION("""COMPUTED_VALUE"""),117306.0)</f>
        <v>117306</v>
      </c>
      <c r="B3058" s="11">
        <f>IFERROR(__xludf.DUMMYFUNCTION("""COMPUTED_VALUE"""),0.0)</f>
        <v>0</v>
      </c>
      <c r="C3058" s="11">
        <f>IFERROR(__xludf.DUMMYFUNCTION("""COMPUTED_VALUE"""),832.0)</f>
        <v>832</v>
      </c>
      <c r="D3058" s="11">
        <f>IFERROR(__xludf.DUMMYFUNCTION("""COMPUTED_VALUE"""),444.0)</f>
        <v>444</v>
      </c>
      <c r="E3058" s="9"/>
    </row>
    <row r="3059">
      <c r="A3059" s="10">
        <f>IFERROR(__xludf.DUMMYFUNCTION("""COMPUTED_VALUE"""),117056.0)</f>
        <v>117056</v>
      </c>
      <c r="B3059" s="11">
        <f>IFERROR(__xludf.DUMMYFUNCTION("""COMPUTED_VALUE"""),1.0)</f>
        <v>1</v>
      </c>
      <c r="C3059" s="11">
        <f>IFERROR(__xludf.DUMMYFUNCTION("""COMPUTED_VALUE"""),411.0)</f>
        <v>411</v>
      </c>
      <c r="D3059" s="11">
        <f>IFERROR(__xludf.DUMMYFUNCTION("""COMPUTED_VALUE"""),345.0)</f>
        <v>345</v>
      </c>
      <c r="E3059" s="9"/>
    </row>
    <row r="3060">
      <c r="A3060" s="10">
        <f>IFERROR(__xludf.DUMMYFUNCTION("""COMPUTED_VALUE"""),188066.0)</f>
        <v>188066</v>
      </c>
      <c r="B3060" s="11">
        <f>IFERROR(__xludf.DUMMYFUNCTION("""COMPUTED_VALUE"""),1.0)</f>
        <v>1</v>
      </c>
      <c r="C3060" s="11">
        <f>IFERROR(__xludf.DUMMYFUNCTION("""COMPUTED_VALUE"""),347.0)</f>
        <v>347</v>
      </c>
      <c r="D3060" s="11">
        <f>IFERROR(__xludf.DUMMYFUNCTION("""COMPUTED_VALUE"""),226.0)</f>
        <v>226</v>
      </c>
      <c r="E3060" s="9"/>
    </row>
    <row r="3061">
      <c r="A3061" s="10">
        <f>IFERROR(__xludf.DUMMYFUNCTION("""COMPUTED_VALUE"""),181147.0)</f>
        <v>181147</v>
      </c>
      <c r="B3061" s="11">
        <f>IFERROR(__xludf.DUMMYFUNCTION("""COMPUTED_VALUE"""),1.0)</f>
        <v>1</v>
      </c>
      <c r="C3061" s="11">
        <f>IFERROR(__xludf.DUMMYFUNCTION("""COMPUTED_VALUE"""),426.0)</f>
        <v>426</v>
      </c>
      <c r="D3061" s="11">
        <f>IFERROR(__xludf.DUMMYFUNCTION("""COMPUTED_VALUE"""),97.0)</f>
        <v>97</v>
      </c>
      <c r="E3061" s="9"/>
    </row>
    <row r="3062">
      <c r="A3062" s="10">
        <f>IFERROR(__xludf.DUMMYFUNCTION("""COMPUTED_VALUE"""),79917.0)</f>
        <v>79917</v>
      </c>
      <c r="B3062" s="11">
        <f>IFERROR(__xludf.DUMMYFUNCTION("""COMPUTED_VALUE"""),1.0)</f>
        <v>1</v>
      </c>
      <c r="C3062" s="11">
        <f>IFERROR(__xludf.DUMMYFUNCTION("""COMPUTED_VALUE"""),450.0)</f>
        <v>450</v>
      </c>
      <c r="D3062" s="11">
        <f>IFERROR(__xludf.DUMMYFUNCTION("""COMPUTED_VALUE"""),278.0)</f>
        <v>278</v>
      </c>
      <c r="E3062" s="9"/>
    </row>
    <row r="3063">
      <c r="A3063" s="10">
        <f>IFERROR(__xludf.DUMMYFUNCTION("""COMPUTED_VALUE"""),110282.0)</f>
        <v>110282</v>
      </c>
      <c r="B3063" s="11">
        <f>IFERROR(__xludf.DUMMYFUNCTION("""COMPUTED_VALUE"""),0.0)</f>
        <v>0</v>
      </c>
      <c r="C3063" s="11">
        <f>IFERROR(__xludf.DUMMYFUNCTION("""COMPUTED_VALUE"""),78.0)</f>
        <v>78</v>
      </c>
      <c r="D3063" s="11">
        <f>IFERROR(__xludf.DUMMYFUNCTION("""COMPUTED_VALUE"""),28.0)</f>
        <v>28</v>
      </c>
      <c r="E3063" s="9"/>
    </row>
    <row r="3064">
      <c r="A3064" s="10">
        <f>IFERROR(__xludf.DUMMYFUNCTION("""COMPUTED_VALUE"""),200526.0)</f>
        <v>200526</v>
      </c>
      <c r="B3064" s="11">
        <f>IFERROR(__xludf.DUMMYFUNCTION("""COMPUTED_VALUE"""),1.0)</f>
        <v>1</v>
      </c>
      <c r="C3064" s="11">
        <f>IFERROR(__xludf.DUMMYFUNCTION("""COMPUTED_VALUE"""),45.0)</f>
        <v>45</v>
      </c>
      <c r="D3064" s="11">
        <f>IFERROR(__xludf.DUMMYFUNCTION("""COMPUTED_VALUE"""),7.0)</f>
        <v>7</v>
      </c>
      <c r="E3064" s="9"/>
    </row>
    <row r="3065">
      <c r="A3065" s="10">
        <f>IFERROR(__xludf.DUMMYFUNCTION("""COMPUTED_VALUE"""),193197.0)</f>
        <v>193197</v>
      </c>
      <c r="B3065" s="11">
        <f>IFERROR(__xludf.DUMMYFUNCTION("""COMPUTED_VALUE"""),0.0)</f>
        <v>0</v>
      </c>
      <c r="C3065" s="11">
        <f>IFERROR(__xludf.DUMMYFUNCTION("""COMPUTED_VALUE"""),49.0)</f>
        <v>49</v>
      </c>
      <c r="D3065" s="11">
        <f>IFERROR(__xludf.DUMMYFUNCTION("""COMPUTED_VALUE"""),31.0)</f>
        <v>31</v>
      </c>
      <c r="E3065" s="9"/>
    </row>
    <row r="3066">
      <c r="A3066" s="10">
        <f>IFERROR(__xludf.DUMMYFUNCTION("""COMPUTED_VALUE"""),79820.0)</f>
        <v>79820</v>
      </c>
      <c r="B3066" s="11">
        <f>IFERROR(__xludf.DUMMYFUNCTION("""COMPUTED_VALUE"""),1.0)</f>
        <v>1</v>
      </c>
      <c r="C3066" s="11">
        <f>IFERROR(__xludf.DUMMYFUNCTION("""COMPUTED_VALUE"""),877.0)</f>
        <v>877</v>
      </c>
      <c r="D3066" s="11">
        <f>IFERROR(__xludf.DUMMYFUNCTION("""COMPUTED_VALUE"""),278.0)</f>
        <v>278</v>
      </c>
      <c r="E3066" s="9"/>
    </row>
    <row r="3067">
      <c r="A3067" s="10">
        <f>IFERROR(__xludf.DUMMYFUNCTION("""COMPUTED_VALUE"""),122327.0)</f>
        <v>122327</v>
      </c>
      <c r="B3067" s="11">
        <f>IFERROR(__xludf.DUMMYFUNCTION("""COMPUTED_VALUE"""),1.0)</f>
        <v>1</v>
      </c>
      <c r="C3067" s="11">
        <f>IFERROR(__xludf.DUMMYFUNCTION("""COMPUTED_VALUE"""),546.0)</f>
        <v>546</v>
      </c>
      <c r="D3067" s="11">
        <f>IFERROR(__xludf.DUMMYFUNCTION("""COMPUTED_VALUE"""),327.0)</f>
        <v>327</v>
      </c>
      <c r="E3067" s="9"/>
    </row>
    <row r="3068">
      <c r="A3068" s="10">
        <f>IFERROR(__xludf.DUMMYFUNCTION("""COMPUTED_VALUE"""),117956.0)</f>
        <v>117956</v>
      </c>
      <c r="B3068" s="11">
        <f>IFERROR(__xludf.DUMMYFUNCTION("""COMPUTED_VALUE"""),0.0)</f>
        <v>0</v>
      </c>
      <c r="C3068" s="11">
        <f>IFERROR(__xludf.DUMMYFUNCTION("""COMPUTED_VALUE"""),20.0)</f>
        <v>20</v>
      </c>
      <c r="D3068" s="11">
        <f>IFERROR(__xludf.DUMMYFUNCTION("""COMPUTED_VALUE"""),17.0)</f>
        <v>17</v>
      </c>
      <c r="E3068" s="9"/>
    </row>
    <row r="3069">
      <c r="A3069" s="10">
        <f>IFERROR(__xludf.DUMMYFUNCTION("""COMPUTED_VALUE"""),86182.0)</f>
        <v>86182</v>
      </c>
      <c r="B3069" s="11">
        <f>IFERROR(__xludf.DUMMYFUNCTION("""COMPUTED_VALUE"""),1.0)</f>
        <v>1</v>
      </c>
      <c r="C3069" s="11">
        <f>IFERROR(__xludf.DUMMYFUNCTION("""COMPUTED_VALUE"""),401.0)</f>
        <v>401</v>
      </c>
      <c r="D3069" s="11">
        <f>IFERROR(__xludf.DUMMYFUNCTION("""COMPUTED_VALUE"""),183.0)</f>
        <v>183</v>
      </c>
      <c r="E3069" s="9"/>
    </row>
    <row r="3070">
      <c r="A3070" s="10">
        <f>IFERROR(__xludf.DUMMYFUNCTION("""COMPUTED_VALUE"""),46989.0)</f>
        <v>46989</v>
      </c>
      <c r="B3070" s="11">
        <f>IFERROR(__xludf.DUMMYFUNCTION("""COMPUTED_VALUE"""),1.0)</f>
        <v>1</v>
      </c>
      <c r="C3070" s="11">
        <f>IFERROR(__xludf.DUMMYFUNCTION("""COMPUTED_VALUE"""),808.0)</f>
        <v>808</v>
      </c>
      <c r="D3070" s="11">
        <f>IFERROR(__xludf.DUMMYFUNCTION("""COMPUTED_VALUE"""),56.0)</f>
        <v>56</v>
      </c>
      <c r="E3070" s="9"/>
    </row>
    <row r="3071">
      <c r="A3071" s="10">
        <f>IFERROR(__xludf.DUMMYFUNCTION("""COMPUTED_VALUE"""),46976.0)</f>
        <v>46976</v>
      </c>
      <c r="B3071" s="11">
        <f>IFERROR(__xludf.DUMMYFUNCTION("""COMPUTED_VALUE"""),0.0)</f>
        <v>0</v>
      </c>
      <c r="C3071" s="11">
        <f>IFERROR(__xludf.DUMMYFUNCTION("""COMPUTED_VALUE"""),337.0)</f>
        <v>337</v>
      </c>
      <c r="D3071" s="11">
        <f>IFERROR(__xludf.DUMMYFUNCTION("""COMPUTED_VALUE"""),277.0)</f>
        <v>277</v>
      </c>
      <c r="E3071" s="9"/>
    </row>
    <row r="3072">
      <c r="A3072" s="10">
        <f>IFERROR(__xludf.DUMMYFUNCTION("""COMPUTED_VALUE"""),79354.0)</f>
        <v>79354</v>
      </c>
      <c r="B3072" s="11">
        <f>IFERROR(__xludf.DUMMYFUNCTION("""COMPUTED_VALUE"""),0.0)</f>
        <v>0</v>
      </c>
      <c r="C3072" s="11">
        <f>IFERROR(__xludf.DUMMYFUNCTION("""COMPUTED_VALUE"""),284.0)</f>
        <v>284</v>
      </c>
      <c r="D3072" s="11">
        <f>IFERROR(__xludf.DUMMYFUNCTION("""COMPUTED_VALUE"""),83.0)</f>
        <v>83</v>
      </c>
      <c r="E3072" s="9"/>
    </row>
    <row r="3073">
      <c r="A3073" s="10">
        <f>IFERROR(__xludf.DUMMYFUNCTION("""COMPUTED_VALUE"""),114268.0)</f>
        <v>114268</v>
      </c>
      <c r="B3073" s="11">
        <f>IFERROR(__xludf.DUMMYFUNCTION("""COMPUTED_VALUE"""),1.0)</f>
        <v>1</v>
      </c>
      <c r="C3073" s="11">
        <f>IFERROR(__xludf.DUMMYFUNCTION("""COMPUTED_VALUE"""),208.0)</f>
        <v>208</v>
      </c>
      <c r="D3073" s="11">
        <f>IFERROR(__xludf.DUMMYFUNCTION("""COMPUTED_VALUE"""),136.0)</f>
        <v>136</v>
      </c>
      <c r="E3073" s="9"/>
    </row>
    <row r="3074">
      <c r="A3074" s="10">
        <f>IFERROR(__xludf.DUMMYFUNCTION("""COMPUTED_VALUE"""),10685.0)</f>
        <v>10685</v>
      </c>
      <c r="B3074" s="11">
        <f>IFERROR(__xludf.DUMMYFUNCTION("""COMPUTED_VALUE"""),0.0)</f>
        <v>0</v>
      </c>
      <c r="C3074" s="11">
        <f>IFERROR(__xludf.DUMMYFUNCTION("""COMPUTED_VALUE"""),180.0)</f>
        <v>180</v>
      </c>
      <c r="D3074" s="11">
        <f>IFERROR(__xludf.DUMMYFUNCTION("""COMPUTED_VALUE"""),27.0)</f>
        <v>27</v>
      </c>
      <c r="E3074" s="9"/>
    </row>
    <row r="3075">
      <c r="A3075" s="10">
        <f>IFERROR(__xludf.DUMMYFUNCTION("""COMPUTED_VALUE"""),118157.0)</f>
        <v>118157</v>
      </c>
      <c r="B3075" s="11">
        <f>IFERROR(__xludf.DUMMYFUNCTION("""COMPUTED_VALUE"""),1.0)</f>
        <v>1</v>
      </c>
      <c r="C3075" s="11">
        <f>IFERROR(__xludf.DUMMYFUNCTION("""COMPUTED_VALUE"""),865.0)</f>
        <v>865</v>
      </c>
      <c r="D3075" s="11">
        <f>IFERROR(__xludf.DUMMYFUNCTION("""COMPUTED_VALUE"""),158.0)</f>
        <v>158</v>
      </c>
      <c r="E3075" s="9"/>
    </row>
    <row r="3076">
      <c r="A3076" s="10">
        <f>IFERROR(__xludf.DUMMYFUNCTION("""COMPUTED_VALUE"""),122322.0)</f>
        <v>122322</v>
      </c>
      <c r="B3076" s="11">
        <f>IFERROR(__xludf.DUMMYFUNCTION("""COMPUTED_VALUE"""),0.0)</f>
        <v>0</v>
      </c>
      <c r="C3076" s="11">
        <f>IFERROR(__xludf.DUMMYFUNCTION("""COMPUTED_VALUE"""),96.0)</f>
        <v>96</v>
      </c>
      <c r="D3076" s="11">
        <f>IFERROR(__xludf.DUMMYFUNCTION("""COMPUTED_VALUE"""),16.0)</f>
        <v>16</v>
      </c>
      <c r="E3076" s="9"/>
    </row>
    <row r="3077">
      <c r="A3077" s="10">
        <f>IFERROR(__xludf.DUMMYFUNCTION("""COMPUTED_VALUE"""),27509.0)</f>
        <v>27509</v>
      </c>
      <c r="B3077" s="11">
        <f>IFERROR(__xludf.DUMMYFUNCTION("""COMPUTED_VALUE"""),1.0)</f>
        <v>1</v>
      </c>
      <c r="C3077" s="11">
        <f>IFERROR(__xludf.DUMMYFUNCTION("""COMPUTED_VALUE"""),659.0)</f>
        <v>659</v>
      </c>
      <c r="D3077" s="11">
        <f>IFERROR(__xludf.DUMMYFUNCTION("""COMPUTED_VALUE"""),136.0)</f>
        <v>136</v>
      </c>
      <c r="E3077" s="9"/>
    </row>
    <row r="3078">
      <c r="A3078" s="10">
        <f>IFERROR(__xludf.DUMMYFUNCTION("""COMPUTED_VALUE"""),110852.0)</f>
        <v>110852</v>
      </c>
      <c r="B3078" s="11">
        <f>IFERROR(__xludf.DUMMYFUNCTION("""COMPUTED_VALUE"""),1.0)</f>
        <v>1</v>
      </c>
      <c r="C3078" s="11">
        <f>IFERROR(__xludf.DUMMYFUNCTION("""COMPUTED_VALUE"""),98.0)</f>
        <v>98</v>
      </c>
      <c r="D3078" s="11">
        <f>IFERROR(__xludf.DUMMYFUNCTION("""COMPUTED_VALUE"""),64.0)</f>
        <v>64</v>
      </c>
      <c r="E3078" s="9"/>
    </row>
    <row r="3079">
      <c r="A3079" s="10">
        <f>IFERROR(__xludf.DUMMYFUNCTION("""COMPUTED_VALUE"""),128312.0)</f>
        <v>128312</v>
      </c>
      <c r="B3079" s="11">
        <f>IFERROR(__xludf.DUMMYFUNCTION("""COMPUTED_VALUE"""),0.0)</f>
        <v>0</v>
      </c>
      <c r="C3079" s="11">
        <f>IFERROR(__xludf.DUMMYFUNCTION("""COMPUTED_VALUE"""),561.0)</f>
        <v>561</v>
      </c>
      <c r="D3079" s="11">
        <f>IFERROR(__xludf.DUMMYFUNCTION("""COMPUTED_VALUE"""),471.0)</f>
        <v>471</v>
      </c>
      <c r="E3079" s="9"/>
    </row>
    <row r="3080">
      <c r="A3080" s="10">
        <f>IFERROR(__xludf.DUMMYFUNCTION("""COMPUTED_VALUE"""),79355.0)</f>
        <v>79355</v>
      </c>
      <c r="B3080" s="11">
        <f>IFERROR(__xludf.DUMMYFUNCTION("""COMPUTED_VALUE"""),1.0)</f>
        <v>1</v>
      </c>
      <c r="C3080" s="11">
        <f>IFERROR(__xludf.DUMMYFUNCTION("""COMPUTED_VALUE"""),476.0)</f>
        <v>476</v>
      </c>
      <c r="D3080" s="11">
        <f>IFERROR(__xludf.DUMMYFUNCTION("""COMPUTED_VALUE"""),139.0)</f>
        <v>139</v>
      </c>
      <c r="E3080" s="9"/>
    </row>
    <row r="3081">
      <c r="A3081" s="10">
        <f>IFERROR(__xludf.DUMMYFUNCTION("""COMPUTED_VALUE"""),86185.0)</f>
        <v>86185</v>
      </c>
      <c r="B3081" s="11">
        <f>IFERROR(__xludf.DUMMYFUNCTION("""COMPUTED_VALUE"""),0.0)</f>
        <v>0</v>
      </c>
      <c r="C3081" s="11">
        <f>IFERROR(__xludf.DUMMYFUNCTION("""COMPUTED_VALUE"""),278.0)</f>
        <v>278</v>
      </c>
      <c r="D3081" s="11">
        <f>IFERROR(__xludf.DUMMYFUNCTION("""COMPUTED_VALUE"""),123.0)</f>
        <v>123</v>
      </c>
      <c r="E3081" s="9"/>
    </row>
    <row r="3082">
      <c r="A3082" s="10">
        <f>IFERROR(__xludf.DUMMYFUNCTION("""COMPUTED_VALUE"""),77138.0)</f>
        <v>77138</v>
      </c>
      <c r="B3082" s="11">
        <f>IFERROR(__xludf.DUMMYFUNCTION("""COMPUTED_VALUE"""),0.0)</f>
        <v>0</v>
      </c>
      <c r="C3082" s="11">
        <f>IFERROR(__xludf.DUMMYFUNCTION("""COMPUTED_VALUE"""),182.0)</f>
        <v>182</v>
      </c>
      <c r="D3082" s="11">
        <f>IFERROR(__xludf.DUMMYFUNCTION("""COMPUTED_VALUE"""),116.0)</f>
        <v>116</v>
      </c>
      <c r="E3082" s="9"/>
    </row>
    <row r="3083">
      <c r="A3083" s="10">
        <f>IFERROR(__xludf.DUMMYFUNCTION("""COMPUTED_VALUE"""),86183.0)</f>
        <v>86183</v>
      </c>
      <c r="B3083" s="11">
        <f>IFERROR(__xludf.DUMMYFUNCTION("""COMPUTED_VALUE"""),0.0)</f>
        <v>0</v>
      </c>
      <c r="C3083" s="11">
        <f>IFERROR(__xludf.DUMMYFUNCTION("""COMPUTED_VALUE"""),858.0)</f>
        <v>858</v>
      </c>
      <c r="D3083" s="11">
        <f>IFERROR(__xludf.DUMMYFUNCTION("""COMPUTED_VALUE"""),148.0)</f>
        <v>148</v>
      </c>
      <c r="E3083" s="9"/>
    </row>
    <row r="3084">
      <c r="A3084" s="10">
        <f>IFERROR(__xludf.DUMMYFUNCTION("""COMPUTED_VALUE"""),122595.0)</f>
        <v>122595</v>
      </c>
      <c r="B3084" s="11">
        <f>IFERROR(__xludf.DUMMYFUNCTION("""COMPUTED_VALUE"""),1.0)</f>
        <v>1</v>
      </c>
      <c r="C3084" s="11">
        <f>IFERROR(__xludf.DUMMYFUNCTION("""COMPUTED_VALUE"""),676.0)</f>
        <v>676</v>
      </c>
      <c r="D3084" s="11">
        <f>IFERROR(__xludf.DUMMYFUNCTION("""COMPUTED_VALUE"""),59.0)</f>
        <v>59</v>
      </c>
      <c r="E3084" s="9"/>
    </row>
    <row r="3085">
      <c r="A3085" s="10">
        <f>IFERROR(__xludf.DUMMYFUNCTION("""COMPUTED_VALUE"""),70338.0)</f>
        <v>70338</v>
      </c>
      <c r="B3085" s="11">
        <f>IFERROR(__xludf.DUMMYFUNCTION("""COMPUTED_VALUE"""),1.0)</f>
        <v>1</v>
      </c>
      <c r="C3085" s="11">
        <f>IFERROR(__xludf.DUMMYFUNCTION("""COMPUTED_VALUE"""),979.0)</f>
        <v>979</v>
      </c>
      <c r="D3085" s="11">
        <f>IFERROR(__xludf.DUMMYFUNCTION("""COMPUTED_VALUE"""),375.0)</f>
        <v>375</v>
      </c>
      <c r="E3085" s="9"/>
    </row>
    <row r="3086">
      <c r="A3086" s="10">
        <f>IFERROR(__xludf.DUMMYFUNCTION("""COMPUTED_VALUE"""),114273.0)</f>
        <v>114273</v>
      </c>
      <c r="B3086" s="11">
        <f>IFERROR(__xludf.DUMMYFUNCTION("""COMPUTED_VALUE"""),1.0)</f>
        <v>1</v>
      </c>
      <c r="C3086" s="11">
        <f>IFERROR(__xludf.DUMMYFUNCTION("""COMPUTED_VALUE"""),62.0)</f>
        <v>62</v>
      </c>
      <c r="D3086" s="11">
        <f>IFERROR(__xludf.DUMMYFUNCTION("""COMPUTED_VALUE"""),3.0)</f>
        <v>3</v>
      </c>
      <c r="E3086" s="9"/>
    </row>
    <row r="3087">
      <c r="A3087" s="10">
        <f>IFERROR(__xludf.DUMMYFUNCTION("""COMPUTED_VALUE"""),110849.0)</f>
        <v>110849</v>
      </c>
      <c r="B3087" s="11">
        <f>IFERROR(__xludf.DUMMYFUNCTION("""COMPUTED_VALUE"""),1.0)</f>
        <v>1</v>
      </c>
      <c r="C3087" s="11">
        <f>IFERROR(__xludf.DUMMYFUNCTION("""COMPUTED_VALUE"""),548.0)</f>
        <v>548</v>
      </c>
      <c r="D3087" s="11">
        <f>IFERROR(__xludf.DUMMYFUNCTION("""COMPUTED_VALUE"""),488.0)</f>
        <v>488</v>
      </c>
      <c r="E3087" s="9"/>
    </row>
    <row r="3088">
      <c r="A3088" s="10">
        <f>IFERROR(__xludf.DUMMYFUNCTION("""COMPUTED_VALUE"""),45056.0)</f>
        <v>45056</v>
      </c>
      <c r="B3088" s="11">
        <f>IFERROR(__xludf.DUMMYFUNCTION("""COMPUTED_VALUE"""),1.0)</f>
        <v>1</v>
      </c>
      <c r="C3088" s="11">
        <f>IFERROR(__xludf.DUMMYFUNCTION("""COMPUTED_VALUE"""),923.0)</f>
        <v>923</v>
      </c>
      <c r="D3088" s="11">
        <f>IFERROR(__xludf.DUMMYFUNCTION("""COMPUTED_VALUE"""),69.0)</f>
        <v>69</v>
      </c>
      <c r="E3088" s="9"/>
    </row>
    <row r="3089">
      <c r="A3089" s="10">
        <f>IFERROR(__xludf.DUMMYFUNCTION("""COMPUTED_VALUE"""),92633.0)</f>
        <v>92633</v>
      </c>
      <c r="B3089" s="11">
        <f>IFERROR(__xludf.DUMMYFUNCTION("""COMPUTED_VALUE"""),1.0)</f>
        <v>1</v>
      </c>
      <c r="C3089" s="11">
        <f>IFERROR(__xludf.DUMMYFUNCTION("""COMPUTED_VALUE"""),341.0)</f>
        <v>341</v>
      </c>
      <c r="D3089" s="11">
        <f>IFERROR(__xludf.DUMMYFUNCTION("""COMPUTED_VALUE"""),259.0)</f>
        <v>259</v>
      </c>
      <c r="E3089" s="9"/>
    </row>
    <row r="3090">
      <c r="A3090" s="10">
        <f>IFERROR(__xludf.DUMMYFUNCTION("""COMPUTED_VALUE"""),111011.0)</f>
        <v>111011</v>
      </c>
      <c r="B3090" s="11">
        <f>IFERROR(__xludf.DUMMYFUNCTION("""COMPUTED_VALUE"""),0.0)</f>
        <v>0</v>
      </c>
      <c r="C3090" s="11">
        <f>IFERROR(__xludf.DUMMYFUNCTION("""COMPUTED_VALUE"""),879.0)</f>
        <v>879</v>
      </c>
      <c r="D3090" s="11">
        <f>IFERROR(__xludf.DUMMYFUNCTION("""COMPUTED_VALUE"""),236.0)</f>
        <v>236</v>
      </c>
      <c r="E3090" s="9"/>
    </row>
    <row r="3091">
      <c r="A3091" s="10">
        <f>IFERROR(__xludf.DUMMYFUNCTION("""COMPUTED_VALUE"""),11002.0)</f>
        <v>11002</v>
      </c>
      <c r="B3091" s="11">
        <f>IFERROR(__xludf.DUMMYFUNCTION("""COMPUTED_VALUE"""),0.0)</f>
        <v>0</v>
      </c>
      <c r="C3091" s="11">
        <f>IFERROR(__xludf.DUMMYFUNCTION("""COMPUTED_VALUE"""),738.0)</f>
        <v>738</v>
      </c>
      <c r="D3091" s="11">
        <f>IFERROR(__xludf.DUMMYFUNCTION("""COMPUTED_VALUE"""),460.0)</f>
        <v>460</v>
      </c>
      <c r="E3091" s="9"/>
    </row>
    <row r="3092">
      <c r="A3092" s="10">
        <f>IFERROR(__xludf.DUMMYFUNCTION("""COMPUTED_VALUE"""),80661.0)</f>
        <v>80661</v>
      </c>
      <c r="B3092" s="11">
        <f>IFERROR(__xludf.DUMMYFUNCTION("""COMPUTED_VALUE"""),1.0)</f>
        <v>1</v>
      </c>
      <c r="C3092" s="11">
        <f>IFERROR(__xludf.DUMMYFUNCTION("""COMPUTED_VALUE"""),829.0)</f>
        <v>829</v>
      </c>
      <c r="D3092" s="11">
        <f>IFERROR(__xludf.DUMMYFUNCTION("""COMPUTED_VALUE"""),439.0)</f>
        <v>439</v>
      </c>
      <c r="E3092" s="9"/>
    </row>
    <row r="3093">
      <c r="A3093" s="10">
        <f>IFERROR(__xludf.DUMMYFUNCTION("""COMPUTED_VALUE"""),128310.0)</f>
        <v>128310</v>
      </c>
      <c r="B3093" s="11">
        <f>IFERROR(__xludf.DUMMYFUNCTION("""COMPUTED_VALUE"""),0.0)</f>
        <v>0</v>
      </c>
      <c r="C3093" s="11">
        <f>IFERROR(__xludf.DUMMYFUNCTION("""COMPUTED_VALUE"""),527.0)</f>
        <v>527</v>
      </c>
      <c r="D3093" s="11">
        <f>IFERROR(__xludf.DUMMYFUNCTION("""COMPUTED_VALUE"""),215.0)</f>
        <v>215</v>
      </c>
      <c r="E3093" s="9"/>
    </row>
    <row r="3094">
      <c r="A3094" s="10">
        <f>IFERROR(__xludf.DUMMYFUNCTION("""COMPUTED_VALUE"""),182193.0)</f>
        <v>182193</v>
      </c>
      <c r="B3094" s="11">
        <f>IFERROR(__xludf.DUMMYFUNCTION("""COMPUTED_VALUE"""),1.0)</f>
        <v>1</v>
      </c>
      <c r="C3094" s="11">
        <f>IFERROR(__xludf.DUMMYFUNCTION("""COMPUTED_VALUE"""),330.0)</f>
        <v>330</v>
      </c>
      <c r="D3094" s="11">
        <f>IFERROR(__xludf.DUMMYFUNCTION("""COMPUTED_VALUE"""),278.0)</f>
        <v>278</v>
      </c>
      <c r="E3094" s="9"/>
    </row>
    <row r="3095">
      <c r="A3095" s="10">
        <f>IFERROR(__xludf.DUMMYFUNCTION("""COMPUTED_VALUE"""),116771.0)</f>
        <v>116771</v>
      </c>
      <c r="B3095" s="11">
        <f>IFERROR(__xludf.DUMMYFUNCTION("""COMPUTED_VALUE"""),1.0)</f>
        <v>1</v>
      </c>
      <c r="C3095" s="11">
        <f>IFERROR(__xludf.DUMMYFUNCTION("""COMPUTED_VALUE"""),4.0)</f>
        <v>4</v>
      </c>
      <c r="D3095" s="11">
        <f>IFERROR(__xludf.DUMMYFUNCTION("""COMPUTED_VALUE"""),2.0)</f>
        <v>2</v>
      </c>
      <c r="E3095" s="9"/>
    </row>
    <row r="3096">
      <c r="A3096" s="10">
        <f>IFERROR(__xludf.DUMMYFUNCTION("""COMPUTED_VALUE"""),103245.0)</f>
        <v>103245</v>
      </c>
      <c r="B3096" s="11">
        <f>IFERROR(__xludf.DUMMYFUNCTION("""COMPUTED_VALUE"""),0.0)</f>
        <v>0</v>
      </c>
      <c r="C3096" s="11">
        <f>IFERROR(__xludf.DUMMYFUNCTION("""COMPUTED_VALUE"""),337.0)</f>
        <v>337</v>
      </c>
      <c r="D3096" s="11">
        <f>IFERROR(__xludf.DUMMYFUNCTION("""COMPUTED_VALUE"""),130.0)</f>
        <v>130</v>
      </c>
      <c r="E3096" s="9"/>
    </row>
    <row r="3097">
      <c r="A3097" s="10">
        <f>IFERROR(__xludf.DUMMYFUNCTION("""COMPUTED_VALUE"""),1961.0)</f>
        <v>1961</v>
      </c>
      <c r="B3097" s="11">
        <f>IFERROR(__xludf.DUMMYFUNCTION("""COMPUTED_VALUE"""),0.0)</f>
        <v>0</v>
      </c>
      <c r="C3097" s="11">
        <f>IFERROR(__xludf.DUMMYFUNCTION("""COMPUTED_VALUE"""),368.0)</f>
        <v>368</v>
      </c>
      <c r="D3097" s="11">
        <f>IFERROR(__xludf.DUMMYFUNCTION("""COMPUTED_VALUE"""),84.0)</f>
        <v>84</v>
      </c>
      <c r="E3097" s="9"/>
    </row>
    <row r="3098">
      <c r="A3098" s="10">
        <f>IFERROR(__xludf.DUMMYFUNCTION("""COMPUTED_VALUE"""),128314.0)</f>
        <v>128314</v>
      </c>
      <c r="B3098" s="11">
        <f>IFERROR(__xludf.DUMMYFUNCTION("""COMPUTED_VALUE"""),1.0)</f>
        <v>1</v>
      </c>
      <c r="C3098" s="11">
        <f>IFERROR(__xludf.DUMMYFUNCTION("""COMPUTED_VALUE"""),486.0)</f>
        <v>486</v>
      </c>
      <c r="D3098" s="11">
        <f>IFERROR(__xludf.DUMMYFUNCTION("""COMPUTED_VALUE"""),303.0)</f>
        <v>303</v>
      </c>
      <c r="E3098" s="9"/>
    </row>
    <row r="3099">
      <c r="A3099" s="10">
        <f>IFERROR(__xludf.DUMMYFUNCTION("""COMPUTED_VALUE"""),109993.0)</f>
        <v>109993</v>
      </c>
      <c r="B3099" s="11">
        <f>IFERROR(__xludf.DUMMYFUNCTION("""COMPUTED_VALUE"""),0.0)</f>
        <v>0</v>
      </c>
      <c r="C3099" s="11">
        <f>IFERROR(__xludf.DUMMYFUNCTION("""COMPUTED_VALUE"""),4.0)</f>
        <v>4</v>
      </c>
      <c r="D3099" s="11">
        <f>IFERROR(__xludf.DUMMYFUNCTION("""COMPUTED_VALUE"""),0.0)</f>
        <v>0</v>
      </c>
      <c r="E3099" s="9"/>
    </row>
    <row r="3100">
      <c r="A3100" s="10">
        <f>IFERROR(__xludf.DUMMYFUNCTION("""COMPUTED_VALUE"""),117270.0)</f>
        <v>117270</v>
      </c>
      <c r="B3100" s="11">
        <f>IFERROR(__xludf.DUMMYFUNCTION("""COMPUTED_VALUE"""),1.0)</f>
        <v>1</v>
      </c>
      <c r="C3100" s="11">
        <f>IFERROR(__xludf.DUMMYFUNCTION("""COMPUTED_VALUE"""),182.0)</f>
        <v>182</v>
      </c>
      <c r="D3100" s="11">
        <f>IFERROR(__xludf.DUMMYFUNCTION("""COMPUTED_VALUE"""),164.0)</f>
        <v>164</v>
      </c>
      <c r="E3100" s="9"/>
    </row>
    <row r="3101">
      <c r="A3101" s="10">
        <f>IFERROR(__xludf.DUMMYFUNCTION("""COMPUTED_VALUE"""),42748.0)</f>
        <v>42748</v>
      </c>
      <c r="B3101" s="11">
        <f>IFERROR(__xludf.DUMMYFUNCTION("""COMPUTED_VALUE"""),1.0)</f>
        <v>1</v>
      </c>
      <c r="C3101" s="11">
        <f>IFERROR(__xludf.DUMMYFUNCTION("""COMPUTED_VALUE"""),189.0)</f>
        <v>189</v>
      </c>
      <c r="D3101" s="11">
        <f>IFERROR(__xludf.DUMMYFUNCTION("""COMPUTED_VALUE"""),75.0)</f>
        <v>75</v>
      </c>
      <c r="E3101" s="9"/>
    </row>
    <row r="3102">
      <c r="A3102" s="10">
        <f>IFERROR(__xludf.DUMMYFUNCTION("""COMPUTED_VALUE"""),110447.0)</f>
        <v>110447</v>
      </c>
      <c r="B3102" s="11">
        <f>IFERROR(__xludf.DUMMYFUNCTION("""COMPUTED_VALUE"""),1.0)</f>
        <v>1</v>
      </c>
      <c r="C3102" s="11">
        <f>IFERROR(__xludf.DUMMYFUNCTION("""COMPUTED_VALUE"""),480.0)</f>
        <v>480</v>
      </c>
      <c r="D3102" s="11">
        <f>IFERROR(__xludf.DUMMYFUNCTION("""COMPUTED_VALUE"""),262.0)</f>
        <v>262</v>
      </c>
      <c r="E3102" s="9"/>
    </row>
    <row r="3103">
      <c r="A3103" s="10">
        <f>IFERROR(__xludf.DUMMYFUNCTION("""COMPUTED_VALUE"""),46979.0)</f>
        <v>46979</v>
      </c>
      <c r="B3103" s="11">
        <f>IFERROR(__xludf.DUMMYFUNCTION("""COMPUTED_VALUE"""),1.0)</f>
        <v>1</v>
      </c>
      <c r="C3103" s="11">
        <f>IFERROR(__xludf.DUMMYFUNCTION("""COMPUTED_VALUE"""),941.0)</f>
        <v>941</v>
      </c>
      <c r="D3103" s="11">
        <f>IFERROR(__xludf.DUMMYFUNCTION("""COMPUTED_VALUE"""),354.0)</f>
        <v>354</v>
      </c>
      <c r="E3103" s="9"/>
    </row>
    <row r="3104">
      <c r="A3104" s="10">
        <f>IFERROR(__xludf.DUMMYFUNCTION("""COMPUTED_VALUE"""),1296.0)</f>
        <v>1296</v>
      </c>
      <c r="B3104" s="11">
        <f>IFERROR(__xludf.DUMMYFUNCTION("""COMPUTED_VALUE"""),1.0)</f>
        <v>1</v>
      </c>
      <c r="C3104" s="11">
        <f>IFERROR(__xludf.DUMMYFUNCTION("""COMPUTED_VALUE"""),941.0)</f>
        <v>941</v>
      </c>
      <c r="D3104" s="11">
        <f>IFERROR(__xludf.DUMMYFUNCTION("""COMPUTED_VALUE"""),704.0)</f>
        <v>704</v>
      </c>
      <c r="E3104" s="9"/>
    </row>
    <row r="3105">
      <c r="A3105" s="10">
        <f>IFERROR(__xludf.DUMMYFUNCTION("""COMPUTED_VALUE"""),109973.0)</f>
        <v>109973</v>
      </c>
      <c r="B3105" s="11">
        <f>IFERROR(__xludf.DUMMYFUNCTION("""COMPUTED_VALUE"""),0.0)</f>
        <v>0</v>
      </c>
      <c r="C3105" s="11">
        <f>IFERROR(__xludf.DUMMYFUNCTION("""COMPUTED_VALUE"""),551.0)</f>
        <v>551</v>
      </c>
      <c r="D3105" s="11">
        <f>IFERROR(__xludf.DUMMYFUNCTION("""COMPUTED_VALUE"""),118.0)</f>
        <v>118</v>
      </c>
      <c r="E3105" s="9"/>
    </row>
    <row r="3106">
      <c r="A3106" s="10">
        <f>IFERROR(__xludf.DUMMYFUNCTION("""COMPUTED_VALUE"""),155949.0)</f>
        <v>155949</v>
      </c>
      <c r="B3106" s="11">
        <f>IFERROR(__xludf.DUMMYFUNCTION("""COMPUTED_VALUE"""),1.0)</f>
        <v>1</v>
      </c>
      <c r="C3106" s="11">
        <f>IFERROR(__xludf.DUMMYFUNCTION("""COMPUTED_VALUE"""),631.0)</f>
        <v>631</v>
      </c>
      <c r="D3106" s="11">
        <f>IFERROR(__xludf.DUMMYFUNCTION("""COMPUTED_VALUE"""),451.0)</f>
        <v>451</v>
      </c>
      <c r="E3106" s="9"/>
    </row>
    <row r="3107">
      <c r="A3107" s="10">
        <f>IFERROR(__xludf.DUMMYFUNCTION("""COMPUTED_VALUE"""),187346.0)</f>
        <v>187346</v>
      </c>
      <c r="B3107" s="11">
        <f>IFERROR(__xludf.DUMMYFUNCTION("""COMPUTED_VALUE"""),1.0)</f>
        <v>1</v>
      </c>
      <c r="C3107" s="11">
        <f>IFERROR(__xludf.DUMMYFUNCTION("""COMPUTED_VALUE"""),853.0)</f>
        <v>853</v>
      </c>
      <c r="D3107" s="11">
        <f>IFERROR(__xludf.DUMMYFUNCTION("""COMPUTED_VALUE"""),334.0)</f>
        <v>334</v>
      </c>
      <c r="E3107" s="9"/>
    </row>
    <row r="3108">
      <c r="A3108" s="10">
        <f>IFERROR(__xludf.DUMMYFUNCTION("""COMPUTED_VALUE"""),46978.0)</f>
        <v>46978</v>
      </c>
      <c r="B3108" s="11">
        <f>IFERROR(__xludf.DUMMYFUNCTION("""COMPUTED_VALUE"""),1.0)</f>
        <v>1</v>
      </c>
      <c r="C3108" s="11">
        <f>IFERROR(__xludf.DUMMYFUNCTION("""COMPUTED_VALUE"""),972.0)</f>
        <v>972</v>
      </c>
      <c r="D3108" s="11">
        <f>IFERROR(__xludf.DUMMYFUNCTION("""COMPUTED_VALUE"""),276.0)</f>
        <v>276</v>
      </c>
      <c r="E3108" s="9"/>
    </row>
    <row r="3109">
      <c r="A3109" s="10">
        <f>IFERROR(__xludf.DUMMYFUNCTION("""COMPUTED_VALUE"""),110283.0)</f>
        <v>110283</v>
      </c>
      <c r="B3109" s="11">
        <f>IFERROR(__xludf.DUMMYFUNCTION("""COMPUTED_VALUE"""),1.0)</f>
        <v>1</v>
      </c>
      <c r="C3109" s="11">
        <f>IFERROR(__xludf.DUMMYFUNCTION("""COMPUTED_VALUE"""),723.0)</f>
        <v>723</v>
      </c>
      <c r="D3109" s="11">
        <f>IFERROR(__xludf.DUMMYFUNCTION("""COMPUTED_VALUE"""),639.0)</f>
        <v>639</v>
      </c>
      <c r="E3109" s="9"/>
    </row>
    <row r="3110">
      <c r="A3110" s="10">
        <f>IFERROR(__xludf.DUMMYFUNCTION("""COMPUTED_VALUE"""),147257.0)</f>
        <v>147257</v>
      </c>
      <c r="B3110" s="11">
        <f>IFERROR(__xludf.DUMMYFUNCTION("""COMPUTED_VALUE"""),1.0)</f>
        <v>1</v>
      </c>
      <c r="C3110" s="11">
        <f>IFERROR(__xludf.DUMMYFUNCTION("""COMPUTED_VALUE"""),651.0)</f>
        <v>651</v>
      </c>
      <c r="D3110" s="11">
        <f>IFERROR(__xludf.DUMMYFUNCTION("""COMPUTED_VALUE"""),498.0)</f>
        <v>498</v>
      </c>
      <c r="E3110" s="9"/>
    </row>
    <row r="3111">
      <c r="A3111" s="10">
        <f>IFERROR(__xludf.DUMMYFUNCTION("""COMPUTED_VALUE"""),182191.0)</f>
        <v>182191</v>
      </c>
      <c r="B3111" s="11">
        <f>IFERROR(__xludf.DUMMYFUNCTION("""COMPUTED_VALUE"""),0.0)</f>
        <v>0</v>
      </c>
      <c r="C3111" s="11">
        <f>IFERROR(__xludf.DUMMYFUNCTION("""COMPUTED_VALUE"""),118.0)</f>
        <v>118</v>
      </c>
      <c r="D3111" s="11">
        <f>IFERROR(__xludf.DUMMYFUNCTION("""COMPUTED_VALUE"""),28.0)</f>
        <v>28</v>
      </c>
      <c r="E3111" s="9"/>
    </row>
    <row r="3112">
      <c r="A3112" s="10">
        <f>IFERROR(__xludf.DUMMYFUNCTION("""COMPUTED_VALUE"""),9722.0)</f>
        <v>9722</v>
      </c>
      <c r="B3112" s="11">
        <f>IFERROR(__xludf.DUMMYFUNCTION("""COMPUTED_VALUE"""),1.0)</f>
        <v>1</v>
      </c>
      <c r="C3112" s="11">
        <f>IFERROR(__xludf.DUMMYFUNCTION("""COMPUTED_VALUE"""),819.0)</f>
        <v>819</v>
      </c>
      <c r="D3112" s="11">
        <f>IFERROR(__xludf.DUMMYFUNCTION("""COMPUTED_VALUE"""),654.0)</f>
        <v>654</v>
      </c>
      <c r="E3112" s="9"/>
    </row>
    <row r="3113">
      <c r="A3113" s="10">
        <f>IFERROR(__xludf.DUMMYFUNCTION("""COMPUTED_VALUE"""),124772.0)</f>
        <v>124772</v>
      </c>
      <c r="B3113" s="11">
        <f>IFERROR(__xludf.DUMMYFUNCTION("""COMPUTED_VALUE"""),1.0)</f>
        <v>1</v>
      </c>
      <c r="C3113" s="11">
        <f>IFERROR(__xludf.DUMMYFUNCTION("""COMPUTED_VALUE"""),192.0)</f>
        <v>192</v>
      </c>
      <c r="D3113" s="11">
        <f>IFERROR(__xludf.DUMMYFUNCTION("""COMPUTED_VALUE"""),86.0)</f>
        <v>86</v>
      </c>
      <c r="E3113" s="9"/>
    </row>
    <row r="3114">
      <c r="A3114" s="10">
        <f>IFERROR(__xludf.DUMMYFUNCTION("""COMPUTED_VALUE"""),8681.0)</f>
        <v>8681</v>
      </c>
      <c r="B3114" s="11">
        <f>IFERROR(__xludf.DUMMYFUNCTION("""COMPUTED_VALUE"""),0.0)</f>
        <v>0</v>
      </c>
      <c r="C3114" s="11">
        <f>IFERROR(__xludf.DUMMYFUNCTION("""COMPUTED_VALUE"""),956.0)</f>
        <v>956</v>
      </c>
      <c r="D3114" s="11">
        <f>IFERROR(__xludf.DUMMYFUNCTION("""COMPUTED_VALUE"""),278.0)</f>
        <v>278</v>
      </c>
      <c r="E3114" s="9"/>
    </row>
    <row r="3115">
      <c r="A3115" s="10">
        <f>IFERROR(__xludf.DUMMYFUNCTION("""COMPUTED_VALUE"""),5077.0)</f>
        <v>5077</v>
      </c>
      <c r="B3115" s="11">
        <f>IFERROR(__xludf.DUMMYFUNCTION("""COMPUTED_VALUE"""),0.0)</f>
        <v>0</v>
      </c>
      <c r="C3115" s="11">
        <f>IFERROR(__xludf.DUMMYFUNCTION("""COMPUTED_VALUE"""),857.0)</f>
        <v>857</v>
      </c>
      <c r="D3115" s="11">
        <f>IFERROR(__xludf.DUMMYFUNCTION("""COMPUTED_VALUE"""),505.0)</f>
        <v>505</v>
      </c>
      <c r="E3115" s="9"/>
    </row>
    <row r="3116">
      <c r="A3116" s="10">
        <f>IFERROR(__xludf.DUMMYFUNCTION("""COMPUTED_VALUE"""),114274.0)</f>
        <v>114274</v>
      </c>
      <c r="B3116" s="11">
        <f>IFERROR(__xludf.DUMMYFUNCTION("""COMPUTED_VALUE"""),1.0)</f>
        <v>1</v>
      </c>
      <c r="C3116" s="11">
        <f>IFERROR(__xludf.DUMMYFUNCTION("""COMPUTED_VALUE"""),642.0)</f>
        <v>642</v>
      </c>
      <c r="D3116" s="11">
        <f>IFERROR(__xludf.DUMMYFUNCTION("""COMPUTED_VALUE"""),259.0)</f>
        <v>259</v>
      </c>
      <c r="E3116" s="9"/>
    </row>
    <row r="3117">
      <c r="A3117" s="10">
        <f>IFERROR(__xludf.DUMMYFUNCTION("""COMPUTED_VALUE"""),1297.0)</f>
        <v>1297</v>
      </c>
      <c r="B3117" s="11">
        <f>IFERROR(__xludf.DUMMYFUNCTION("""COMPUTED_VALUE"""),1.0)</f>
        <v>1</v>
      </c>
      <c r="C3117" s="11">
        <f>IFERROR(__xludf.DUMMYFUNCTION("""COMPUTED_VALUE"""),570.0)</f>
        <v>570</v>
      </c>
      <c r="D3117" s="11">
        <f>IFERROR(__xludf.DUMMYFUNCTION("""COMPUTED_VALUE"""),198.0)</f>
        <v>198</v>
      </c>
      <c r="E3117" s="9"/>
    </row>
    <row r="3118">
      <c r="A3118" s="10">
        <f>IFERROR(__xludf.DUMMYFUNCTION("""COMPUTED_VALUE"""),46988.0)</f>
        <v>46988</v>
      </c>
      <c r="B3118" s="11">
        <f>IFERROR(__xludf.DUMMYFUNCTION("""COMPUTED_VALUE"""),0.0)</f>
        <v>0</v>
      </c>
      <c r="C3118" s="11">
        <f>IFERROR(__xludf.DUMMYFUNCTION("""COMPUTED_VALUE"""),887.0)</f>
        <v>887</v>
      </c>
      <c r="D3118" s="11">
        <f>IFERROR(__xludf.DUMMYFUNCTION("""COMPUTED_VALUE"""),336.0)</f>
        <v>336</v>
      </c>
      <c r="E3118" s="9"/>
    </row>
    <row r="3119">
      <c r="A3119" s="10">
        <f>IFERROR(__xludf.DUMMYFUNCTION("""COMPUTED_VALUE"""),92623.0)</f>
        <v>92623</v>
      </c>
      <c r="B3119" s="11">
        <f>IFERROR(__xludf.DUMMYFUNCTION("""COMPUTED_VALUE"""),1.0)</f>
        <v>1</v>
      </c>
      <c r="C3119" s="11">
        <f>IFERROR(__xludf.DUMMYFUNCTION("""COMPUTED_VALUE"""),685.0)</f>
        <v>685</v>
      </c>
      <c r="D3119" s="11">
        <f>IFERROR(__xludf.DUMMYFUNCTION("""COMPUTED_VALUE"""),475.0)</f>
        <v>475</v>
      </c>
      <c r="E3119" s="9"/>
    </row>
    <row r="3120">
      <c r="A3120" s="10">
        <f>IFERROR(__xludf.DUMMYFUNCTION("""COMPUTED_VALUE"""),79761.0)</f>
        <v>79761</v>
      </c>
      <c r="B3120" s="11">
        <f>IFERROR(__xludf.DUMMYFUNCTION("""COMPUTED_VALUE"""),1.0)</f>
        <v>1</v>
      </c>
      <c r="C3120" s="11">
        <f>IFERROR(__xludf.DUMMYFUNCTION("""COMPUTED_VALUE"""),527.0)</f>
        <v>527</v>
      </c>
      <c r="D3120" s="11">
        <f>IFERROR(__xludf.DUMMYFUNCTION("""COMPUTED_VALUE"""),41.0)</f>
        <v>41</v>
      </c>
      <c r="E3120" s="9"/>
    </row>
    <row r="3121">
      <c r="A3121" s="10">
        <f>IFERROR(__xludf.DUMMYFUNCTION("""COMPUTED_VALUE"""),11001.0)</f>
        <v>11001</v>
      </c>
      <c r="B3121" s="11">
        <f>IFERROR(__xludf.DUMMYFUNCTION("""COMPUTED_VALUE"""),1.0)</f>
        <v>1</v>
      </c>
      <c r="C3121" s="11">
        <f>IFERROR(__xludf.DUMMYFUNCTION("""COMPUTED_VALUE"""),614.0)</f>
        <v>614</v>
      </c>
      <c r="D3121" s="11">
        <f>IFERROR(__xludf.DUMMYFUNCTION("""COMPUTED_VALUE"""),210.0)</f>
        <v>210</v>
      </c>
      <c r="E3121" s="9"/>
    </row>
    <row r="3122">
      <c r="A3122" s="10">
        <f>IFERROR(__xludf.DUMMYFUNCTION("""COMPUTED_VALUE"""),9731.0)</f>
        <v>9731</v>
      </c>
      <c r="B3122" s="11">
        <f>IFERROR(__xludf.DUMMYFUNCTION("""COMPUTED_VALUE"""),0.0)</f>
        <v>0</v>
      </c>
      <c r="C3122" s="11">
        <f>IFERROR(__xludf.DUMMYFUNCTION("""COMPUTED_VALUE"""),630.0)</f>
        <v>630</v>
      </c>
      <c r="D3122" s="11">
        <f>IFERROR(__xludf.DUMMYFUNCTION("""COMPUTED_VALUE"""),591.0)</f>
        <v>591</v>
      </c>
      <c r="E3122" s="9"/>
    </row>
    <row r="3123">
      <c r="A3123" s="10">
        <f>IFERROR(__xludf.DUMMYFUNCTION("""COMPUTED_VALUE"""),122316.0)</f>
        <v>122316</v>
      </c>
      <c r="B3123" s="11">
        <f>IFERROR(__xludf.DUMMYFUNCTION("""COMPUTED_VALUE"""),1.0)</f>
        <v>1</v>
      </c>
      <c r="C3123" s="11">
        <f>IFERROR(__xludf.DUMMYFUNCTION("""COMPUTED_VALUE"""),772.0)</f>
        <v>772</v>
      </c>
      <c r="D3123" s="11">
        <f>IFERROR(__xludf.DUMMYFUNCTION("""COMPUTED_VALUE"""),143.0)</f>
        <v>143</v>
      </c>
      <c r="E3123" s="9"/>
    </row>
    <row r="3124">
      <c r="A3124" s="10">
        <f>IFERROR(__xludf.DUMMYFUNCTION("""COMPUTED_VALUE"""),147255.0)</f>
        <v>147255</v>
      </c>
      <c r="B3124" s="11">
        <f>IFERROR(__xludf.DUMMYFUNCTION("""COMPUTED_VALUE"""),1.0)</f>
        <v>1</v>
      </c>
      <c r="C3124" s="11">
        <f>IFERROR(__xludf.DUMMYFUNCTION("""COMPUTED_VALUE"""),633.0)</f>
        <v>633</v>
      </c>
      <c r="D3124" s="11">
        <f>IFERROR(__xludf.DUMMYFUNCTION("""COMPUTED_VALUE"""),62.0)</f>
        <v>62</v>
      </c>
      <c r="E3124" s="9"/>
    </row>
    <row r="3125">
      <c r="A3125" s="10">
        <f>IFERROR(__xludf.DUMMYFUNCTION("""COMPUTED_VALUE"""),8675.0)</f>
        <v>8675</v>
      </c>
      <c r="B3125" s="11">
        <f>IFERROR(__xludf.DUMMYFUNCTION("""COMPUTED_VALUE"""),0.0)</f>
        <v>0</v>
      </c>
      <c r="C3125" s="11">
        <f>IFERROR(__xludf.DUMMYFUNCTION("""COMPUTED_VALUE"""),369.0)</f>
        <v>369</v>
      </c>
      <c r="D3125" s="11">
        <f>IFERROR(__xludf.DUMMYFUNCTION("""COMPUTED_VALUE"""),23.0)</f>
        <v>23</v>
      </c>
      <c r="E3125" s="9"/>
    </row>
    <row r="3126">
      <c r="A3126" s="10">
        <f>IFERROR(__xludf.DUMMYFUNCTION("""COMPUTED_VALUE"""),121900.0)</f>
        <v>121900</v>
      </c>
      <c r="B3126" s="11">
        <f>IFERROR(__xludf.DUMMYFUNCTION("""COMPUTED_VALUE"""),1.0)</f>
        <v>1</v>
      </c>
      <c r="C3126" s="11">
        <f>IFERROR(__xludf.DUMMYFUNCTION("""COMPUTED_VALUE"""),667.0)</f>
        <v>667</v>
      </c>
      <c r="D3126" s="11">
        <f>IFERROR(__xludf.DUMMYFUNCTION("""COMPUTED_VALUE"""),382.0)</f>
        <v>382</v>
      </c>
      <c r="E3126" s="9"/>
    </row>
    <row r="3127">
      <c r="A3127" s="10">
        <f>IFERROR(__xludf.DUMMYFUNCTION("""COMPUTED_VALUE"""),124764.0)</f>
        <v>124764</v>
      </c>
      <c r="B3127" s="11">
        <f>IFERROR(__xludf.DUMMYFUNCTION("""COMPUTED_VALUE"""),1.0)</f>
        <v>1</v>
      </c>
      <c r="C3127" s="11">
        <f>IFERROR(__xludf.DUMMYFUNCTION("""COMPUTED_VALUE"""),851.0)</f>
        <v>851</v>
      </c>
      <c r="D3127" s="11">
        <f>IFERROR(__xludf.DUMMYFUNCTION("""COMPUTED_VALUE"""),217.0)</f>
        <v>217</v>
      </c>
      <c r="E3127" s="9"/>
    </row>
    <row r="3128">
      <c r="A3128" s="10">
        <f>IFERROR(__xludf.DUMMYFUNCTION("""COMPUTED_VALUE"""),124774.0)</f>
        <v>124774</v>
      </c>
      <c r="B3128" s="11">
        <f>IFERROR(__xludf.DUMMYFUNCTION("""COMPUTED_VALUE"""),0.0)</f>
        <v>0</v>
      </c>
      <c r="C3128" s="11">
        <f>IFERROR(__xludf.DUMMYFUNCTION("""COMPUTED_VALUE"""),185.0)</f>
        <v>185</v>
      </c>
      <c r="D3128" s="11">
        <f>IFERROR(__xludf.DUMMYFUNCTION("""COMPUTED_VALUE"""),127.0)</f>
        <v>127</v>
      </c>
      <c r="E3128" s="9"/>
    </row>
    <row r="3129">
      <c r="A3129" s="10">
        <f>IFERROR(__xludf.DUMMYFUNCTION("""COMPUTED_VALUE"""),79353.0)</f>
        <v>79353</v>
      </c>
      <c r="B3129" s="11">
        <f>IFERROR(__xludf.DUMMYFUNCTION("""COMPUTED_VALUE"""),1.0)</f>
        <v>1</v>
      </c>
      <c r="C3129" s="11">
        <f>IFERROR(__xludf.DUMMYFUNCTION("""COMPUTED_VALUE"""),104.0)</f>
        <v>104</v>
      </c>
      <c r="D3129" s="11">
        <f>IFERROR(__xludf.DUMMYFUNCTION("""COMPUTED_VALUE"""),6.0)</f>
        <v>6</v>
      </c>
      <c r="E3129" s="9"/>
    </row>
    <row r="3130">
      <c r="A3130" s="10">
        <f>IFERROR(__xludf.DUMMYFUNCTION("""COMPUTED_VALUE"""),82703.0)</f>
        <v>82703</v>
      </c>
      <c r="B3130" s="11">
        <f>IFERROR(__xludf.DUMMYFUNCTION("""COMPUTED_VALUE"""),0.0)</f>
        <v>0</v>
      </c>
      <c r="C3130" s="11">
        <f>IFERROR(__xludf.DUMMYFUNCTION("""COMPUTED_VALUE"""),965.0)</f>
        <v>965</v>
      </c>
      <c r="D3130" s="11">
        <f>IFERROR(__xludf.DUMMYFUNCTION("""COMPUTED_VALUE"""),186.0)</f>
        <v>186</v>
      </c>
      <c r="E3130" s="9"/>
    </row>
    <row r="3131">
      <c r="A3131" s="10">
        <f>IFERROR(__xludf.DUMMYFUNCTION("""COMPUTED_VALUE"""),71820.0)</f>
        <v>71820</v>
      </c>
      <c r="B3131" s="11">
        <f>IFERROR(__xludf.DUMMYFUNCTION("""COMPUTED_VALUE"""),1.0)</f>
        <v>1</v>
      </c>
      <c r="C3131" s="11">
        <f>IFERROR(__xludf.DUMMYFUNCTION("""COMPUTED_VALUE"""),607.0)</f>
        <v>607</v>
      </c>
      <c r="D3131" s="11">
        <f>IFERROR(__xludf.DUMMYFUNCTION("""COMPUTED_VALUE"""),129.0)</f>
        <v>129</v>
      </c>
      <c r="E3131" s="9"/>
    </row>
    <row r="3132">
      <c r="A3132" s="10">
        <f>IFERROR(__xludf.DUMMYFUNCTION("""COMPUTED_VALUE"""),128311.0)</f>
        <v>128311</v>
      </c>
      <c r="B3132" s="11">
        <f>IFERROR(__xludf.DUMMYFUNCTION("""COMPUTED_VALUE"""),0.0)</f>
        <v>0</v>
      </c>
      <c r="C3132" s="11">
        <f>IFERROR(__xludf.DUMMYFUNCTION("""COMPUTED_VALUE"""),362.0)</f>
        <v>362</v>
      </c>
      <c r="D3132" s="11">
        <f>IFERROR(__xludf.DUMMYFUNCTION("""COMPUTED_VALUE"""),109.0)</f>
        <v>109</v>
      </c>
      <c r="E3132" s="9"/>
    </row>
    <row r="3133">
      <c r="A3133" s="10">
        <f>IFERROR(__xludf.DUMMYFUNCTION("""COMPUTED_VALUE"""),70595.0)</f>
        <v>70595</v>
      </c>
      <c r="B3133" s="11">
        <f>IFERROR(__xludf.DUMMYFUNCTION("""COMPUTED_VALUE"""),1.0)</f>
        <v>1</v>
      </c>
      <c r="C3133" s="11">
        <f>IFERROR(__xludf.DUMMYFUNCTION("""COMPUTED_VALUE"""),860.0)</f>
        <v>860</v>
      </c>
      <c r="D3133" s="11">
        <f>IFERROR(__xludf.DUMMYFUNCTION("""COMPUTED_VALUE"""),38.0)</f>
        <v>38</v>
      </c>
      <c r="E3133" s="9"/>
    </row>
    <row r="3134">
      <c r="A3134" s="10">
        <f>IFERROR(__xludf.DUMMYFUNCTION("""COMPUTED_VALUE"""),8676.0)</f>
        <v>8676</v>
      </c>
      <c r="B3134" s="11">
        <f>IFERROR(__xludf.DUMMYFUNCTION("""COMPUTED_VALUE"""),0.0)</f>
        <v>0</v>
      </c>
      <c r="C3134" s="11">
        <f>IFERROR(__xludf.DUMMYFUNCTION("""COMPUTED_VALUE"""),274.0)</f>
        <v>274</v>
      </c>
      <c r="D3134" s="11">
        <f>IFERROR(__xludf.DUMMYFUNCTION("""COMPUTED_VALUE"""),113.0)</f>
        <v>113</v>
      </c>
      <c r="E3134" s="9"/>
    </row>
    <row r="3135">
      <c r="A3135" s="10">
        <f>IFERROR(__xludf.DUMMYFUNCTION("""COMPUTED_VALUE"""),128313.0)</f>
        <v>128313</v>
      </c>
      <c r="B3135" s="11">
        <f>IFERROR(__xludf.DUMMYFUNCTION("""COMPUTED_VALUE"""),0.0)</f>
        <v>0</v>
      </c>
      <c r="C3135" s="11">
        <f>IFERROR(__xludf.DUMMYFUNCTION("""COMPUTED_VALUE"""),18.0)</f>
        <v>18</v>
      </c>
      <c r="D3135" s="11">
        <f>IFERROR(__xludf.DUMMYFUNCTION("""COMPUTED_VALUE"""),14.0)</f>
        <v>14</v>
      </c>
      <c r="E3135" s="9"/>
    </row>
    <row r="3136">
      <c r="A3136" s="10">
        <f>IFERROR(__xludf.DUMMYFUNCTION("""COMPUTED_VALUE"""),45479.0)</f>
        <v>45479</v>
      </c>
      <c r="B3136" s="11">
        <f>IFERROR(__xludf.DUMMYFUNCTION("""COMPUTED_VALUE"""),0.0)</f>
        <v>0</v>
      </c>
      <c r="C3136" s="11">
        <f>IFERROR(__xludf.DUMMYFUNCTION("""COMPUTED_VALUE"""),803.0)</f>
        <v>803</v>
      </c>
      <c r="D3136" s="11">
        <f>IFERROR(__xludf.DUMMYFUNCTION("""COMPUTED_VALUE"""),306.0)</f>
        <v>306</v>
      </c>
      <c r="E3136" s="9"/>
    </row>
    <row r="3137">
      <c r="A3137" s="10">
        <f>IFERROR(__xludf.DUMMYFUNCTION("""COMPUTED_VALUE"""),45481.0)</f>
        <v>45481</v>
      </c>
      <c r="B3137" s="11">
        <f>IFERROR(__xludf.DUMMYFUNCTION("""COMPUTED_VALUE"""),1.0)</f>
        <v>1</v>
      </c>
      <c r="C3137" s="11">
        <f>IFERROR(__xludf.DUMMYFUNCTION("""COMPUTED_VALUE"""),578.0)</f>
        <v>578</v>
      </c>
      <c r="D3137" s="11">
        <f>IFERROR(__xludf.DUMMYFUNCTION("""COMPUTED_VALUE"""),500.0)</f>
        <v>500</v>
      </c>
      <c r="E3137" s="9"/>
    </row>
    <row r="3138">
      <c r="A3138" s="10">
        <f>IFERROR(__xludf.DUMMYFUNCTION("""COMPUTED_VALUE"""),80001.0)</f>
        <v>80001</v>
      </c>
      <c r="B3138" s="11">
        <f>IFERROR(__xludf.DUMMYFUNCTION("""COMPUTED_VALUE"""),0.0)</f>
        <v>0</v>
      </c>
      <c r="C3138" s="11">
        <f>IFERROR(__xludf.DUMMYFUNCTION("""COMPUTED_VALUE"""),628.0)</f>
        <v>628</v>
      </c>
      <c r="D3138" s="11">
        <f>IFERROR(__xludf.DUMMYFUNCTION("""COMPUTED_VALUE"""),60.0)</f>
        <v>60</v>
      </c>
      <c r="E3138" s="9"/>
    </row>
    <row r="3139">
      <c r="A3139" s="10">
        <f>IFERROR(__xludf.DUMMYFUNCTION("""COMPUTED_VALUE"""),10068.0)</f>
        <v>10068</v>
      </c>
      <c r="B3139" s="11">
        <f>IFERROR(__xludf.DUMMYFUNCTION("""COMPUTED_VALUE"""),0.0)</f>
        <v>0</v>
      </c>
      <c r="C3139" s="11">
        <f>IFERROR(__xludf.DUMMYFUNCTION("""COMPUTED_VALUE"""),495.0)</f>
        <v>495</v>
      </c>
      <c r="D3139" s="11">
        <f>IFERROR(__xludf.DUMMYFUNCTION("""COMPUTED_VALUE"""),187.0)</f>
        <v>187</v>
      </c>
      <c r="E3139" s="9"/>
    </row>
    <row r="3140">
      <c r="A3140" s="10">
        <f>IFERROR(__xludf.DUMMYFUNCTION("""COMPUTED_VALUE"""),10054.0)</f>
        <v>10054</v>
      </c>
      <c r="B3140" s="11">
        <f>IFERROR(__xludf.DUMMYFUNCTION("""COMPUTED_VALUE"""),0.0)</f>
        <v>0</v>
      </c>
      <c r="C3140" s="11">
        <f>IFERROR(__xludf.DUMMYFUNCTION("""COMPUTED_VALUE"""),568.0)</f>
        <v>568</v>
      </c>
      <c r="D3140" s="11">
        <f>IFERROR(__xludf.DUMMYFUNCTION("""COMPUTED_VALUE"""),416.0)</f>
        <v>416</v>
      </c>
      <c r="E3140" s="9"/>
    </row>
    <row r="3141">
      <c r="A3141" s="10">
        <f>IFERROR(__xludf.DUMMYFUNCTION("""COMPUTED_VALUE"""),10070.0)</f>
        <v>10070</v>
      </c>
      <c r="B3141" s="11">
        <f>IFERROR(__xludf.DUMMYFUNCTION("""COMPUTED_VALUE"""),0.0)</f>
        <v>0</v>
      </c>
      <c r="C3141" s="11">
        <f>IFERROR(__xludf.DUMMYFUNCTION("""COMPUTED_VALUE"""),719.0)</f>
        <v>719</v>
      </c>
      <c r="D3141" s="11">
        <f>IFERROR(__xludf.DUMMYFUNCTION("""COMPUTED_VALUE"""),82.0)</f>
        <v>82</v>
      </c>
      <c r="E3141" s="9"/>
    </row>
    <row r="3142">
      <c r="A3142" s="10">
        <f>IFERROR(__xludf.DUMMYFUNCTION("""COMPUTED_VALUE"""),45480.0)</f>
        <v>45480</v>
      </c>
      <c r="B3142" s="11">
        <f>IFERROR(__xludf.DUMMYFUNCTION("""COMPUTED_VALUE"""),1.0)</f>
        <v>1</v>
      </c>
      <c r="C3142" s="11">
        <f>IFERROR(__xludf.DUMMYFUNCTION("""COMPUTED_VALUE"""),49.0)</f>
        <v>49</v>
      </c>
      <c r="D3142" s="11">
        <f>IFERROR(__xludf.DUMMYFUNCTION("""COMPUTED_VALUE"""),1.0)</f>
        <v>1</v>
      </c>
      <c r="E3142" s="9"/>
    </row>
    <row r="3143">
      <c r="A3143" s="10">
        <f>IFERROR(__xludf.DUMMYFUNCTION("""COMPUTED_VALUE"""),92791.0)</f>
        <v>92791</v>
      </c>
      <c r="B3143" s="11">
        <f>IFERROR(__xludf.DUMMYFUNCTION("""COMPUTED_VALUE"""),0.0)</f>
        <v>0</v>
      </c>
      <c r="C3143" s="11">
        <f>IFERROR(__xludf.DUMMYFUNCTION("""COMPUTED_VALUE"""),309.0)</f>
        <v>309</v>
      </c>
      <c r="D3143" s="11">
        <f>IFERROR(__xludf.DUMMYFUNCTION("""COMPUTED_VALUE"""),5.0)</f>
        <v>5</v>
      </c>
      <c r="E3143" s="9"/>
    </row>
    <row r="3144">
      <c r="A3144" s="10">
        <f>IFERROR(__xludf.DUMMYFUNCTION("""COMPUTED_VALUE"""),188722.0)</f>
        <v>188722</v>
      </c>
      <c r="B3144" s="11">
        <f>IFERROR(__xludf.DUMMYFUNCTION("""COMPUTED_VALUE"""),1.0)</f>
        <v>1</v>
      </c>
      <c r="C3144" s="11">
        <f>IFERROR(__xludf.DUMMYFUNCTION("""COMPUTED_VALUE"""),299.0)</f>
        <v>299</v>
      </c>
      <c r="D3144" s="11">
        <f>IFERROR(__xludf.DUMMYFUNCTION("""COMPUTED_VALUE"""),299.0)</f>
        <v>299</v>
      </c>
      <c r="E3144" s="9"/>
    </row>
    <row r="3145">
      <c r="A3145" s="10">
        <f>IFERROR(__xludf.DUMMYFUNCTION("""COMPUTED_VALUE"""),10061.0)</f>
        <v>10061</v>
      </c>
      <c r="B3145" s="11">
        <f>IFERROR(__xludf.DUMMYFUNCTION("""COMPUTED_VALUE"""),0.0)</f>
        <v>0</v>
      </c>
      <c r="C3145" s="11">
        <f>IFERROR(__xludf.DUMMYFUNCTION("""COMPUTED_VALUE"""),741.0)</f>
        <v>741</v>
      </c>
      <c r="D3145" s="11">
        <f>IFERROR(__xludf.DUMMYFUNCTION("""COMPUTED_VALUE"""),146.0)</f>
        <v>146</v>
      </c>
      <c r="E3145" s="9"/>
    </row>
    <row r="3146">
      <c r="A3146" s="10">
        <f>IFERROR(__xludf.DUMMYFUNCTION("""COMPUTED_VALUE"""),188708.0)</f>
        <v>188708</v>
      </c>
      <c r="B3146" s="11">
        <f>IFERROR(__xludf.DUMMYFUNCTION("""COMPUTED_VALUE"""),1.0)</f>
        <v>1</v>
      </c>
      <c r="C3146" s="11">
        <f>IFERROR(__xludf.DUMMYFUNCTION("""COMPUTED_VALUE"""),702.0)</f>
        <v>702</v>
      </c>
      <c r="D3146" s="11">
        <f>IFERROR(__xludf.DUMMYFUNCTION("""COMPUTED_VALUE"""),585.0)</f>
        <v>585</v>
      </c>
      <c r="E3146" s="9"/>
    </row>
    <row r="3147">
      <c r="A3147" s="10">
        <f>IFERROR(__xludf.DUMMYFUNCTION("""COMPUTED_VALUE"""),110927.0)</f>
        <v>110927</v>
      </c>
      <c r="B3147" s="11">
        <f>IFERROR(__xludf.DUMMYFUNCTION("""COMPUTED_VALUE"""),1.0)</f>
        <v>1</v>
      </c>
      <c r="C3147" s="11">
        <f>IFERROR(__xludf.DUMMYFUNCTION("""COMPUTED_VALUE"""),598.0)</f>
        <v>598</v>
      </c>
      <c r="D3147" s="11">
        <f>IFERROR(__xludf.DUMMYFUNCTION("""COMPUTED_VALUE"""),50.0)</f>
        <v>50</v>
      </c>
      <c r="E3147" s="9"/>
    </row>
    <row r="3148">
      <c r="A3148" s="10">
        <f>IFERROR(__xludf.DUMMYFUNCTION("""COMPUTED_VALUE"""),188729.0)</f>
        <v>188729</v>
      </c>
      <c r="B3148" s="11">
        <f>IFERROR(__xludf.DUMMYFUNCTION("""COMPUTED_VALUE"""),1.0)</f>
        <v>1</v>
      </c>
      <c r="C3148" s="11">
        <f>IFERROR(__xludf.DUMMYFUNCTION("""COMPUTED_VALUE"""),227.0)</f>
        <v>227</v>
      </c>
      <c r="D3148" s="11">
        <f>IFERROR(__xludf.DUMMYFUNCTION("""COMPUTED_VALUE"""),186.0)</f>
        <v>186</v>
      </c>
      <c r="E3148" s="9"/>
    </row>
    <row r="3149">
      <c r="A3149" s="10">
        <f>IFERROR(__xludf.DUMMYFUNCTION("""COMPUTED_VALUE"""),120969.0)</f>
        <v>120969</v>
      </c>
      <c r="B3149" s="11">
        <f>IFERROR(__xludf.DUMMYFUNCTION("""COMPUTED_VALUE"""),0.0)</f>
        <v>0</v>
      </c>
      <c r="C3149" s="11">
        <f>IFERROR(__xludf.DUMMYFUNCTION("""COMPUTED_VALUE"""),141.0)</f>
        <v>141</v>
      </c>
      <c r="D3149" s="11">
        <f>IFERROR(__xludf.DUMMYFUNCTION("""COMPUTED_VALUE"""),49.0)</f>
        <v>49</v>
      </c>
      <c r="E3149" s="9"/>
    </row>
    <row r="3150">
      <c r="A3150" s="10">
        <f>IFERROR(__xludf.DUMMYFUNCTION("""COMPUTED_VALUE"""),188728.0)</f>
        <v>188728</v>
      </c>
      <c r="B3150" s="11">
        <f>IFERROR(__xludf.DUMMYFUNCTION("""COMPUTED_VALUE"""),1.0)</f>
        <v>1</v>
      </c>
      <c r="C3150" s="11">
        <f>IFERROR(__xludf.DUMMYFUNCTION("""COMPUTED_VALUE"""),675.0)</f>
        <v>675</v>
      </c>
      <c r="D3150" s="11">
        <f>IFERROR(__xludf.DUMMYFUNCTION("""COMPUTED_VALUE"""),476.0)</f>
        <v>476</v>
      </c>
      <c r="E3150" s="9"/>
    </row>
    <row r="3151">
      <c r="A3151" s="10">
        <f>IFERROR(__xludf.DUMMYFUNCTION("""COMPUTED_VALUE"""),188663.0)</f>
        <v>188663</v>
      </c>
      <c r="B3151" s="11">
        <f>IFERROR(__xludf.DUMMYFUNCTION("""COMPUTED_VALUE"""),0.0)</f>
        <v>0</v>
      </c>
      <c r="C3151" s="11">
        <f>IFERROR(__xludf.DUMMYFUNCTION("""COMPUTED_VALUE"""),273.0)</f>
        <v>273</v>
      </c>
      <c r="D3151" s="11">
        <f>IFERROR(__xludf.DUMMYFUNCTION("""COMPUTED_VALUE"""),165.0)</f>
        <v>165</v>
      </c>
      <c r="E3151" s="9"/>
    </row>
    <row r="3152">
      <c r="A3152" s="10">
        <f>IFERROR(__xludf.DUMMYFUNCTION("""COMPUTED_VALUE"""),188727.0)</f>
        <v>188727</v>
      </c>
      <c r="B3152" s="11">
        <f>IFERROR(__xludf.DUMMYFUNCTION("""COMPUTED_VALUE"""),0.0)</f>
        <v>0</v>
      </c>
      <c r="C3152" s="11">
        <f>IFERROR(__xludf.DUMMYFUNCTION("""COMPUTED_VALUE"""),412.0)</f>
        <v>412</v>
      </c>
      <c r="D3152" s="11">
        <f>IFERROR(__xludf.DUMMYFUNCTION("""COMPUTED_VALUE"""),129.0)</f>
        <v>129</v>
      </c>
      <c r="E3152" s="9"/>
    </row>
    <row r="3153">
      <c r="A3153" s="10">
        <f>IFERROR(__xludf.DUMMYFUNCTION("""COMPUTED_VALUE"""),9741.0)</f>
        <v>9741</v>
      </c>
      <c r="B3153" s="11">
        <f>IFERROR(__xludf.DUMMYFUNCTION("""COMPUTED_VALUE"""),1.0)</f>
        <v>1</v>
      </c>
      <c r="C3153" s="11">
        <f>IFERROR(__xludf.DUMMYFUNCTION("""COMPUTED_VALUE"""),818.0)</f>
        <v>818</v>
      </c>
      <c r="D3153" s="11">
        <f>IFERROR(__xludf.DUMMYFUNCTION("""COMPUTED_VALUE"""),503.0)</f>
        <v>503</v>
      </c>
      <c r="E3153" s="9"/>
    </row>
    <row r="3154">
      <c r="A3154" s="10">
        <f>IFERROR(__xludf.DUMMYFUNCTION("""COMPUTED_VALUE"""),70406.0)</f>
        <v>70406</v>
      </c>
      <c r="B3154" s="11">
        <f>IFERROR(__xludf.DUMMYFUNCTION("""COMPUTED_VALUE"""),1.0)</f>
        <v>1</v>
      </c>
      <c r="C3154" s="11">
        <f>IFERROR(__xludf.DUMMYFUNCTION("""COMPUTED_VALUE"""),792.0)</f>
        <v>792</v>
      </c>
      <c r="D3154" s="11">
        <f>IFERROR(__xludf.DUMMYFUNCTION("""COMPUTED_VALUE"""),336.0)</f>
        <v>336</v>
      </c>
      <c r="E3154" s="9"/>
    </row>
    <row r="3155">
      <c r="A3155" s="10">
        <f>IFERROR(__xludf.DUMMYFUNCTION("""COMPUTED_VALUE"""),112114.0)</f>
        <v>112114</v>
      </c>
      <c r="B3155" s="11">
        <f>IFERROR(__xludf.DUMMYFUNCTION("""COMPUTED_VALUE"""),0.0)</f>
        <v>0</v>
      </c>
      <c r="C3155" s="11">
        <f>IFERROR(__xludf.DUMMYFUNCTION("""COMPUTED_VALUE"""),393.0)</f>
        <v>393</v>
      </c>
      <c r="D3155" s="11">
        <f>IFERROR(__xludf.DUMMYFUNCTION("""COMPUTED_VALUE"""),211.0)</f>
        <v>211</v>
      </c>
      <c r="E3155" s="9"/>
    </row>
    <row r="3156">
      <c r="A3156" s="10">
        <f>IFERROR(__xludf.DUMMYFUNCTION("""COMPUTED_VALUE"""),70405.0)</f>
        <v>70405</v>
      </c>
      <c r="B3156" s="11">
        <f>IFERROR(__xludf.DUMMYFUNCTION("""COMPUTED_VALUE"""),0.0)</f>
        <v>0</v>
      </c>
      <c r="C3156" s="11">
        <f>IFERROR(__xludf.DUMMYFUNCTION("""COMPUTED_VALUE"""),897.0)</f>
        <v>897</v>
      </c>
      <c r="D3156" s="11">
        <f>IFERROR(__xludf.DUMMYFUNCTION("""COMPUTED_VALUE"""),521.0)</f>
        <v>521</v>
      </c>
      <c r="E3156" s="9"/>
    </row>
    <row r="3157">
      <c r="A3157" s="10">
        <f>IFERROR(__xludf.DUMMYFUNCTION("""COMPUTED_VALUE"""),20405.0)</f>
        <v>20405</v>
      </c>
      <c r="B3157" s="11">
        <f>IFERROR(__xludf.DUMMYFUNCTION("""COMPUTED_VALUE"""),1.0)</f>
        <v>1</v>
      </c>
      <c r="C3157" s="11">
        <f>IFERROR(__xludf.DUMMYFUNCTION("""COMPUTED_VALUE"""),539.0)</f>
        <v>539</v>
      </c>
      <c r="D3157" s="11">
        <f>IFERROR(__xludf.DUMMYFUNCTION("""COMPUTED_VALUE"""),233.0)</f>
        <v>233</v>
      </c>
      <c r="E3157" s="9"/>
    </row>
    <row r="3158">
      <c r="A3158" s="10">
        <f>IFERROR(__xludf.DUMMYFUNCTION("""COMPUTED_VALUE"""),121308.0)</f>
        <v>121308</v>
      </c>
      <c r="B3158" s="11">
        <f>IFERROR(__xludf.DUMMYFUNCTION("""COMPUTED_VALUE"""),1.0)</f>
        <v>1</v>
      </c>
      <c r="C3158" s="11">
        <f>IFERROR(__xludf.DUMMYFUNCTION("""COMPUTED_VALUE"""),26.0)</f>
        <v>26</v>
      </c>
      <c r="D3158" s="11">
        <f>IFERROR(__xludf.DUMMYFUNCTION("""COMPUTED_VALUE"""),12.0)</f>
        <v>12</v>
      </c>
      <c r="E3158" s="9"/>
    </row>
    <row r="3159">
      <c r="A3159" s="10">
        <f>IFERROR(__xludf.DUMMYFUNCTION("""COMPUTED_VALUE"""),121311.0)</f>
        <v>121311</v>
      </c>
      <c r="B3159" s="11">
        <f>IFERROR(__xludf.DUMMYFUNCTION("""COMPUTED_VALUE"""),0.0)</f>
        <v>0</v>
      </c>
      <c r="C3159" s="11">
        <f>IFERROR(__xludf.DUMMYFUNCTION("""COMPUTED_VALUE"""),400.0)</f>
        <v>400</v>
      </c>
      <c r="D3159" s="11">
        <f>IFERROR(__xludf.DUMMYFUNCTION("""COMPUTED_VALUE"""),261.0)</f>
        <v>261</v>
      </c>
      <c r="E3159" s="9"/>
    </row>
    <row r="3160">
      <c r="A3160" s="10">
        <f>IFERROR(__xludf.DUMMYFUNCTION("""COMPUTED_VALUE"""),124748.0)</f>
        <v>124748</v>
      </c>
      <c r="B3160" s="11">
        <f>IFERROR(__xludf.DUMMYFUNCTION("""COMPUTED_VALUE"""),0.0)</f>
        <v>0</v>
      </c>
      <c r="C3160" s="11">
        <f>IFERROR(__xludf.DUMMYFUNCTION("""COMPUTED_VALUE"""),745.0)</f>
        <v>745</v>
      </c>
      <c r="D3160" s="11">
        <f>IFERROR(__xludf.DUMMYFUNCTION("""COMPUTED_VALUE"""),509.0)</f>
        <v>509</v>
      </c>
      <c r="E3160" s="9"/>
    </row>
    <row r="3161">
      <c r="A3161" s="10">
        <f>IFERROR(__xludf.DUMMYFUNCTION("""COMPUTED_VALUE"""),104315.0)</f>
        <v>104315</v>
      </c>
      <c r="B3161" s="11">
        <f>IFERROR(__xludf.DUMMYFUNCTION("""COMPUTED_VALUE"""),0.0)</f>
        <v>0</v>
      </c>
      <c r="C3161" s="11">
        <f>IFERROR(__xludf.DUMMYFUNCTION("""COMPUTED_VALUE"""),16.0)</f>
        <v>16</v>
      </c>
      <c r="D3161" s="11">
        <f>IFERROR(__xludf.DUMMYFUNCTION("""COMPUTED_VALUE"""),8.0)</f>
        <v>8</v>
      </c>
      <c r="E3161" s="9"/>
    </row>
    <row r="3162">
      <c r="A3162" s="10">
        <f>IFERROR(__xludf.DUMMYFUNCTION("""COMPUTED_VALUE"""),104314.0)</f>
        <v>104314</v>
      </c>
      <c r="B3162" s="11">
        <f>IFERROR(__xludf.DUMMYFUNCTION("""COMPUTED_VALUE"""),1.0)</f>
        <v>1</v>
      </c>
      <c r="C3162" s="11">
        <f>IFERROR(__xludf.DUMMYFUNCTION("""COMPUTED_VALUE"""),967.0)</f>
        <v>967</v>
      </c>
      <c r="D3162" s="11">
        <f>IFERROR(__xludf.DUMMYFUNCTION("""COMPUTED_VALUE"""),592.0)</f>
        <v>592</v>
      </c>
      <c r="E3162" s="9"/>
    </row>
    <row r="3163">
      <c r="A3163" s="10">
        <f>IFERROR(__xludf.DUMMYFUNCTION("""COMPUTED_VALUE"""),69287.0)</f>
        <v>69287</v>
      </c>
      <c r="B3163" s="11">
        <f>IFERROR(__xludf.DUMMYFUNCTION("""COMPUTED_VALUE"""),0.0)</f>
        <v>0</v>
      </c>
      <c r="C3163" s="11">
        <f>IFERROR(__xludf.DUMMYFUNCTION("""COMPUTED_VALUE"""),899.0)</f>
        <v>899</v>
      </c>
      <c r="D3163" s="11">
        <f>IFERROR(__xludf.DUMMYFUNCTION("""COMPUTED_VALUE"""),361.0)</f>
        <v>361</v>
      </c>
      <c r="E3163" s="9"/>
    </row>
    <row r="3164">
      <c r="A3164" s="10">
        <f>IFERROR(__xludf.DUMMYFUNCTION("""COMPUTED_VALUE"""),5789.0)</f>
        <v>5789</v>
      </c>
      <c r="B3164" s="11">
        <f>IFERROR(__xludf.DUMMYFUNCTION("""COMPUTED_VALUE"""),1.0)</f>
        <v>1</v>
      </c>
      <c r="C3164" s="11">
        <f>IFERROR(__xludf.DUMMYFUNCTION("""COMPUTED_VALUE"""),268.0)</f>
        <v>268</v>
      </c>
      <c r="D3164" s="11">
        <f>IFERROR(__xludf.DUMMYFUNCTION("""COMPUTED_VALUE"""),122.0)</f>
        <v>122</v>
      </c>
      <c r="E3164" s="9"/>
    </row>
    <row r="3165">
      <c r="A3165" s="10">
        <f>IFERROR(__xludf.DUMMYFUNCTION("""COMPUTED_VALUE"""),14013.0)</f>
        <v>14013</v>
      </c>
      <c r="B3165" s="11">
        <f>IFERROR(__xludf.DUMMYFUNCTION("""COMPUTED_VALUE"""),1.0)</f>
        <v>1</v>
      </c>
      <c r="C3165" s="11">
        <f>IFERROR(__xludf.DUMMYFUNCTION("""COMPUTED_VALUE"""),765.0)</f>
        <v>765</v>
      </c>
      <c r="D3165" s="11">
        <f>IFERROR(__xludf.DUMMYFUNCTION("""COMPUTED_VALUE"""),513.0)</f>
        <v>513</v>
      </c>
      <c r="E3165" s="9"/>
    </row>
    <row r="3166">
      <c r="A3166" s="10">
        <f>IFERROR(__xludf.DUMMYFUNCTION("""COMPUTED_VALUE"""),14015.0)</f>
        <v>14015</v>
      </c>
      <c r="B3166" s="11">
        <f>IFERROR(__xludf.DUMMYFUNCTION("""COMPUTED_VALUE"""),1.0)</f>
        <v>1</v>
      </c>
      <c r="C3166" s="11">
        <f>IFERROR(__xludf.DUMMYFUNCTION("""COMPUTED_VALUE"""),39.0)</f>
        <v>39</v>
      </c>
      <c r="D3166" s="11">
        <f>IFERROR(__xludf.DUMMYFUNCTION("""COMPUTED_VALUE"""),33.0)</f>
        <v>33</v>
      </c>
      <c r="E3166" s="9"/>
    </row>
    <row r="3167">
      <c r="A3167" s="10">
        <f>IFERROR(__xludf.DUMMYFUNCTION("""COMPUTED_VALUE"""),69291.0)</f>
        <v>69291</v>
      </c>
      <c r="B3167" s="11">
        <f>IFERROR(__xludf.DUMMYFUNCTION("""COMPUTED_VALUE"""),1.0)</f>
        <v>1</v>
      </c>
      <c r="C3167" s="11">
        <f>IFERROR(__xludf.DUMMYFUNCTION("""COMPUTED_VALUE"""),54.0)</f>
        <v>54</v>
      </c>
      <c r="D3167" s="11">
        <f>IFERROR(__xludf.DUMMYFUNCTION("""COMPUTED_VALUE"""),38.0)</f>
        <v>38</v>
      </c>
      <c r="E3167" s="9"/>
    </row>
    <row r="3168">
      <c r="A3168" s="10">
        <f>IFERROR(__xludf.DUMMYFUNCTION("""COMPUTED_VALUE"""),26057.0)</f>
        <v>26057</v>
      </c>
      <c r="B3168" s="11">
        <f>IFERROR(__xludf.DUMMYFUNCTION("""COMPUTED_VALUE"""),1.0)</f>
        <v>1</v>
      </c>
      <c r="C3168" s="11">
        <f>IFERROR(__xludf.DUMMYFUNCTION("""COMPUTED_VALUE"""),550.0)</f>
        <v>550</v>
      </c>
      <c r="D3168" s="11">
        <f>IFERROR(__xludf.DUMMYFUNCTION("""COMPUTED_VALUE"""),65.0)</f>
        <v>65</v>
      </c>
      <c r="E3168" s="9"/>
    </row>
    <row r="3169">
      <c r="A3169" s="10">
        <f>IFERROR(__xludf.DUMMYFUNCTION("""COMPUTED_VALUE"""),14022.0)</f>
        <v>14022</v>
      </c>
      <c r="B3169" s="11">
        <f>IFERROR(__xludf.DUMMYFUNCTION("""COMPUTED_VALUE"""),0.0)</f>
        <v>0</v>
      </c>
      <c r="C3169" s="11">
        <f>IFERROR(__xludf.DUMMYFUNCTION("""COMPUTED_VALUE"""),508.0)</f>
        <v>508</v>
      </c>
      <c r="D3169" s="11">
        <f>IFERROR(__xludf.DUMMYFUNCTION("""COMPUTED_VALUE"""),122.0)</f>
        <v>122</v>
      </c>
      <c r="E3169" s="9"/>
    </row>
    <row r="3170">
      <c r="A3170" s="10">
        <f>IFERROR(__xludf.DUMMYFUNCTION("""COMPUTED_VALUE"""),80109.0)</f>
        <v>80109</v>
      </c>
      <c r="B3170" s="11">
        <f>IFERROR(__xludf.DUMMYFUNCTION("""COMPUTED_VALUE"""),1.0)</f>
        <v>1</v>
      </c>
      <c r="C3170" s="11">
        <f>IFERROR(__xludf.DUMMYFUNCTION("""COMPUTED_VALUE"""),60.0)</f>
        <v>60</v>
      </c>
      <c r="D3170" s="11">
        <f>IFERROR(__xludf.DUMMYFUNCTION("""COMPUTED_VALUE"""),23.0)</f>
        <v>23</v>
      </c>
      <c r="E3170" s="9"/>
    </row>
    <row r="3171">
      <c r="A3171" s="10">
        <f>IFERROR(__xludf.DUMMYFUNCTION("""COMPUTED_VALUE"""),121686.0)</f>
        <v>121686</v>
      </c>
      <c r="B3171" s="11">
        <f>IFERROR(__xludf.DUMMYFUNCTION("""COMPUTED_VALUE"""),0.0)</f>
        <v>0</v>
      </c>
      <c r="C3171" s="11">
        <f>IFERROR(__xludf.DUMMYFUNCTION("""COMPUTED_VALUE"""),856.0)</f>
        <v>856</v>
      </c>
      <c r="D3171" s="11">
        <f>IFERROR(__xludf.DUMMYFUNCTION("""COMPUTED_VALUE"""),630.0)</f>
        <v>630</v>
      </c>
      <c r="E3171" s="9"/>
    </row>
    <row r="3172">
      <c r="A3172" s="10">
        <f>IFERROR(__xludf.DUMMYFUNCTION("""COMPUTED_VALUE"""),60365.0)</f>
        <v>60365</v>
      </c>
      <c r="B3172" s="11">
        <f>IFERROR(__xludf.DUMMYFUNCTION("""COMPUTED_VALUE"""),0.0)</f>
        <v>0</v>
      </c>
      <c r="C3172" s="11">
        <f>IFERROR(__xludf.DUMMYFUNCTION("""COMPUTED_VALUE"""),45.0)</f>
        <v>45</v>
      </c>
      <c r="D3172" s="11">
        <f>IFERROR(__xludf.DUMMYFUNCTION("""COMPUTED_VALUE"""),14.0)</f>
        <v>14</v>
      </c>
      <c r="E3172" s="9"/>
    </row>
    <row r="3173">
      <c r="A3173" s="10">
        <f>IFERROR(__xludf.DUMMYFUNCTION("""COMPUTED_VALUE"""),86488.0)</f>
        <v>86488</v>
      </c>
      <c r="B3173" s="11">
        <f>IFERROR(__xludf.DUMMYFUNCTION("""COMPUTED_VALUE"""),0.0)</f>
        <v>0</v>
      </c>
      <c r="C3173" s="11">
        <f>IFERROR(__xludf.DUMMYFUNCTION("""COMPUTED_VALUE"""),338.0)</f>
        <v>338</v>
      </c>
      <c r="D3173" s="11">
        <f>IFERROR(__xludf.DUMMYFUNCTION("""COMPUTED_VALUE"""),245.0)</f>
        <v>245</v>
      </c>
      <c r="E3173" s="9"/>
    </row>
    <row r="3174">
      <c r="A3174" s="10">
        <f>IFERROR(__xludf.DUMMYFUNCTION("""COMPUTED_VALUE"""),122530.0)</f>
        <v>122530</v>
      </c>
      <c r="B3174" s="11">
        <f>IFERROR(__xludf.DUMMYFUNCTION("""COMPUTED_VALUE"""),1.0)</f>
        <v>1</v>
      </c>
      <c r="C3174" s="11">
        <f>IFERROR(__xludf.DUMMYFUNCTION("""COMPUTED_VALUE"""),16.0)</f>
        <v>16</v>
      </c>
      <c r="D3174" s="11">
        <f>IFERROR(__xludf.DUMMYFUNCTION("""COMPUTED_VALUE"""),1.0)</f>
        <v>1</v>
      </c>
      <c r="E3174" s="9"/>
    </row>
    <row r="3175">
      <c r="A3175" s="10">
        <f>IFERROR(__xludf.DUMMYFUNCTION("""COMPUTED_VALUE"""),60526.0)</f>
        <v>60526</v>
      </c>
      <c r="B3175" s="11">
        <f>IFERROR(__xludf.DUMMYFUNCTION("""COMPUTED_VALUE"""),0.0)</f>
        <v>0</v>
      </c>
      <c r="C3175" s="11">
        <f>IFERROR(__xludf.DUMMYFUNCTION("""COMPUTED_VALUE"""),52.0)</f>
        <v>52</v>
      </c>
      <c r="D3175" s="11">
        <f>IFERROR(__xludf.DUMMYFUNCTION("""COMPUTED_VALUE"""),30.0)</f>
        <v>30</v>
      </c>
      <c r="E3175" s="9"/>
    </row>
    <row r="3176">
      <c r="A3176" s="10">
        <f>IFERROR(__xludf.DUMMYFUNCTION("""COMPUTED_VALUE"""),116807.0)</f>
        <v>116807</v>
      </c>
      <c r="B3176" s="11">
        <f>IFERROR(__xludf.DUMMYFUNCTION("""COMPUTED_VALUE"""),0.0)</f>
        <v>0</v>
      </c>
      <c r="C3176" s="11">
        <f>IFERROR(__xludf.DUMMYFUNCTION("""COMPUTED_VALUE"""),674.0)</f>
        <v>674</v>
      </c>
      <c r="D3176" s="11">
        <f>IFERROR(__xludf.DUMMYFUNCTION("""COMPUTED_VALUE"""),411.0)</f>
        <v>411</v>
      </c>
      <c r="E3176" s="9"/>
    </row>
    <row r="3177">
      <c r="A3177" s="10">
        <f>IFERROR(__xludf.DUMMYFUNCTION("""COMPUTED_VALUE"""),80030.0)</f>
        <v>80030</v>
      </c>
      <c r="B3177" s="11">
        <f>IFERROR(__xludf.DUMMYFUNCTION("""COMPUTED_VALUE"""),1.0)</f>
        <v>1</v>
      </c>
      <c r="C3177" s="11">
        <f>IFERROR(__xludf.DUMMYFUNCTION("""COMPUTED_VALUE"""),560.0)</f>
        <v>560</v>
      </c>
      <c r="D3177" s="11">
        <f>IFERROR(__xludf.DUMMYFUNCTION("""COMPUTED_VALUE"""),520.0)</f>
        <v>520</v>
      </c>
      <c r="E3177" s="9"/>
    </row>
    <row r="3178">
      <c r="A3178" s="10">
        <f>IFERROR(__xludf.DUMMYFUNCTION("""COMPUTED_VALUE"""),122529.0)</f>
        <v>122529</v>
      </c>
      <c r="B3178" s="11">
        <f>IFERROR(__xludf.DUMMYFUNCTION("""COMPUTED_VALUE"""),0.0)</f>
        <v>0</v>
      </c>
      <c r="C3178" s="11">
        <f>IFERROR(__xludf.DUMMYFUNCTION("""COMPUTED_VALUE"""),697.0)</f>
        <v>697</v>
      </c>
      <c r="D3178" s="11">
        <f>IFERROR(__xludf.DUMMYFUNCTION("""COMPUTED_VALUE"""),551.0)</f>
        <v>551</v>
      </c>
      <c r="E3178" s="9"/>
    </row>
    <row r="3179">
      <c r="A3179" s="10">
        <f>IFERROR(__xludf.DUMMYFUNCTION("""COMPUTED_VALUE"""),14042.0)</f>
        <v>14042</v>
      </c>
      <c r="B3179" s="11">
        <f>IFERROR(__xludf.DUMMYFUNCTION("""COMPUTED_VALUE"""),1.0)</f>
        <v>1</v>
      </c>
      <c r="C3179" s="11">
        <f>IFERROR(__xludf.DUMMYFUNCTION("""COMPUTED_VALUE"""),736.0)</f>
        <v>736</v>
      </c>
      <c r="D3179" s="11">
        <f>IFERROR(__xludf.DUMMYFUNCTION("""COMPUTED_VALUE"""),82.0)</f>
        <v>82</v>
      </c>
      <c r="E3179" s="9"/>
    </row>
    <row r="3180">
      <c r="A3180" s="10">
        <f>IFERROR(__xludf.DUMMYFUNCTION("""COMPUTED_VALUE"""),14043.0)</f>
        <v>14043</v>
      </c>
      <c r="B3180" s="11">
        <f>IFERROR(__xludf.DUMMYFUNCTION("""COMPUTED_VALUE"""),0.0)</f>
        <v>0</v>
      </c>
      <c r="C3180" s="11">
        <f>IFERROR(__xludf.DUMMYFUNCTION("""COMPUTED_VALUE"""),619.0)</f>
        <v>619</v>
      </c>
      <c r="D3180" s="11">
        <f>IFERROR(__xludf.DUMMYFUNCTION("""COMPUTED_VALUE"""),71.0)</f>
        <v>71</v>
      </c>
      <c r="E3180" s="9"/>
    </row>
    <row r="3181">
      <c r="A3181" s="10">
        <f>IFERROR(__xludf.DUMMYFUNCTION("""COMPUTED_VALUE"""),9157.0)</f>
        <v>9157</v>
      </c>
      <c r="B3181" s="11">
        <f>IFERROR(__xludf.DUMMYFUNCTION("""COMPUTED_VALUE"""),1.0)</f>
        <v>1</v>
      </c>
      <c r="C3181" s="11">
        <f>IFERROR(__xludf.DUMMYFUNCTION("""COMPUTED_VALUE"""),768.0)</f>
        <v>768</v>
      </c>
      <c r="D3181" s="11">
        <f>IFERROR(__xludf.DUMMYFUNCTION("""COMPUTED_VALUE"""),212.0)</f>
        <v>212</v>
      </c>
      <c r="E3181" s="9"/>
    </row>
    <row r="3182">
      <c r="A3182" s="10">
        <f>IFERROR(__xludf.DUMMYFUNCTION("""COMPUTED_VALUE"""),149968.0)</f>
        <v>149968</v>
      </c>
      <c r="B3182" s="11">
        <f>IFERROR(__xludf.DUMMYFUNCTION("""COMPUTED_VALUE"""),0.0)</f>
        <v>0</v>
      </c>
      <c r="C3182" s="11">
        <f>IFERROR(__xludf.DUMMYFUNCTION("""COMPUTED_VALUE"""),103.0)</f>
        <v>103</v>
      </c>
      <c r="D3182" s="11">
        <f>IFERROR(__xludf.DUMMYFUNCTION("""COMPUTED_VALUE"""),98.0)</f>
        <v>98</v>
      </c>
      <c r="E3182" s="9"/>
    </row>
    <row r="3183">
      <c r="A3183" s="10">
        <f>IFERROR(__xludf.DUMMYFUNCTION("""COMPUTED_VALUE"""),47299.0)</f>
        <v>47299</v>
      </c>
      <c r="B3183" s="11">
        <f>IFERROR(__xludf.DUMMYFUNCTION("""COMPUTED_VALUE"""),0.0)</f>
        <v>0</v>
      </c>
      <c r="C3183" s="11">
        <f>IFERROR(__xludf.DUMMYFUNCTION("""COMPUTED_VALUE"""),818.0)</f>
        <v>818</v>
      </c>
      <c r="D3183" s="11">
        <f>IFERROR(__xludf.DUMMYFUNCTION("""COMPUTED_VALUE"""),486.0)</f>
        <v>486</v>
      </c>
      <c r="E3183" s="9"/>
    </row>
    <row r="3184">
      <c r="A3184" s="10">
        <f>IFERROR(__xludf.DUMMYFUNCTION("""COMPUTED_VALUE"""),109275.0)</f>
        <v>109275</v>
      </c>
      <c r="B3184" s="11">
        <f>IFERROR(__xludf.DUMMYFUNCTION("""COMPUTED_VALUE"""),0.0)</f>
        <v>0</v>
      </c>
      <c r="C3184" s="11">
        <f>IFERROR(__xludf.DUMMYFUNCTION("""COMPUTED_VALUE"""),300.0)</f>
        <v>300</v>
      </c>
      <c r="D3184" s="11">
        <f>IFERROR(__xludf.DUMMYFUNCTION("""COMPUTED_VALUE"""),254.0)</f>
        <v>254</v>
      </c>
      <c r="E3184" s="9"/>
    </row>
    <row r="3185">
      <c r="A3185" s="10">
        <f>IFERROR(__xludf.DUMMYFUNCTION("""COMPUTED_VALUE"""),122768.0)</f>
        <v>122768</v>
      </c>
      <c r="B3185" s="11">
        <f>IFERROR(__xludf.DUMMYFUNCTION("""COMPUTED_VALUE"""),1.0)</f>
        <v>1</v>
      </c>
      <c r="C3185" s="11">
        <f>IFERROR(__xludf.DUMMYFUNCTION("""COMPUTED_VALUE"""),907.0)</f>
        <v>907</v>
      </c>
      <c r="D3185" s="11">
        <f>IFERROR(__xludf.DUMMYFUNCTION("""COMPUTED_VALUE"""),361.0)</f>
        <v>361</v>
      </c>
      <c r="E3185" s="9"/>
    </row>
    <row r="3186">
      <c r="A3186" s="10">
        <f>IFERROR(__xludf.DUMMYFUNCTION("""COMPUTED_VALUE"""),80400.0)</f>
        <v>80400</v>
      </c>
      <c r="B3186" s="11">
        <f>IFERROR(__xludf.DUMMYFUNCTION("""COMPUTED_VALUE"""),1.0)</f>
        <v>1</v>
      </c>
      <c r="C3186" s="11">
        <f>IFERROR(__xludf.DUMMYFUNCTION("""COMPUTED_VALUE"""),306.0)</f>
        <v>306</v>
      </c>
      <c r="D3186" s="11">
        <f>IFERROR(__xludf.DUMMYFUNCTION("""COMPUTED_VALUE"""),13.0)</f>
        <v>13</v>
      </c>
      <c r="E3186" s="9"/>
    </row>
    <row r="3187">
      <c r="A3187" s="10">
        <f>IFERROR(__xludf.DUMMYFUNCTION("""COMPUTED_VALUE"""),8803.0)</f>
        <v>8803</v>
      </c>
      <c r="B3187" s="11">
        <f>IFERROR(__xludf.DUMMYFUNCTION("""COMPUTED_VALUE"""),0.0)</f>
        <v>0</v>
      </c>
      <c r="C3187" s="11">
        <f>IFERROR(__xludf.DUMMYFUNCTION("""COMPUTED_VALUE"""),187.0)</f>
        <v>187</v>
      </c>
      <c r="D3187" s="11">
        <f>IFERROR(__xludf.DUMMYFUNCTION("""COMPUTED_VALUE"""),34.0)</f>
        <v>34</v>
      </c>
      <c r="E3187" s="9"/>
    </row>
    <row r="3188">
      <c r="A3188" s="10">
        <f>IFERROR(__xludf.DUMMYFUNCTION("""COMPUTED_VALUE"""),80085.0)</f>
        <v>80085</v>
      </c>
      <c r="B3188" s="11">
        <f>IFERROR(__xludf.DUMMYFUNCTION("""COMPUTED_VALUE"""),0.0)</f>
        <v>0</v>
      </c>
      <c r="C3188" s="11">
        <f>IFERROR(__xludf.DUMMYFUNCTION("""COMPUTED_VALUE"""),302.0)</f>
        <v>302</v>
      </c>
      <c r="D3188" s="11">
        <f>IFERROR(__xludf.DUMMYFUNCTION("""COMPUTED_VALUE"""),18.0)</f>
        <v>18</v>
      </c>
      <c r="E3188" s="9"/>
    </row>
    <row r="3189">
      <c r="A3189" s="10">
        <f>IFERROR(__xludf.DUMMYFUNCTION("""COMPUTED_VALUE"""),47379.0)</f>
        <v>47379</v>
      </c>
      <c r="B3189" s="11">
        <f>IFERROR(__xludf.DUMMYFUNCTION("""COMPUTED_VALUE"""),0.0)</f>
        <v>0</v>
      </c>
      <c r="C3189" s="11">
        <f>IFERROR(__xludf.DUMMYFUNCTION("""COMPUTED_VALUE"""),244.0)</f>
        <v>244</v>
      </c>
      <c r="D3189" s="11">
        <f>IFERROR(__xludf.DUMMYFUNCTION("""COMPUTED_VALUE"""),51.0)</f>
        <v>51</v>
      </c>
      <c r="E3189" s="9"/>
    </row>
    <row r="3190">
      <c r="A3190" s="10">
        <f>IFERROR(__xludf.DUMMYFUNCTION("""COMPUTED_VALUE"""),47366.0)</f>
        <v>47366</v>
      </c>
      <c r="B3190" s="11">
        <f>IFERROR(__xludf.DUMMYFUNCTION("""COMPUTED_VALUE"""),1.0)</f>
        <v>1</v>
      </c>
      <c r="C3190" s="11">
        <f>IFERROR(__xludf.DUMMYFUNCTION("""COMPUTED_VALUE"""),686.0)</f>
        <v>686</v>
      </c>
      <c r="D3190" s="11">
        <f>IFERROR(__xludf.DUMMYFUNCTION("""COMPUTED_VALUE"""),276.0)</f>
        <v>276</v>
      </c>
      <c r="E3190" s="9"/>
    </row>
    <row r="3191">
      <c r="A3191" s="10">
        <f>IFERROR(__xludf.DUMMYFUNCTION("""COMPUTED_VALUE"""),47376.0)</f>
        <v>47376</v>
      </c>
      <c r="B3191" s="11">
        <f>IFERROR(__xludf.DUMMYFUNCTION("""COMPUTED_VALUE"""),0.0)</f>
        <v>0</v>
      </c>
      <c r="C3191" s="11">
        <f>IFERROR(__xludf.DUMMYFUNCTION("""COMPUTED_VALUE"""),30.0)</f>
        <v>30</v>
      </c>
      <c r="D3191" s="11">
        <f>IFERROR(__xludf.DUMMYFUNCTION("""COMPUTED_VALUE"""),2.0)</f>
        <v>2</v>
      </c>
      <c r="E3191" s="9"/>
    </row>
    <row r="3192">
      <c r="A3192" s="10">
        <f>IFERROR(__xludf.DUMMYFUNCTION("""COMPUTED_VALUE"""),95799.0)</f>
        <v>95799</v>
      </c>
      <c r="B3192" s="11">
        <f>IFERROR(__xludf.DUMMYFUNCTION("""COMPUTED_VALUE"""),0.0)</f>
        <v>0</v>
      </c>
      <c r="C3192" s="11">
        <f>IFERROR(__xludf.DUMMYFUNCTION("""COMPUTED_VALUE"""),12.0)</f>
        <v>12</v>
      </c>
      <c r="D3192" s="11">
        <f>IFERROR(__xludf.DUMMYFUNCTION("""COMPUTED_VALUE"""),8.0)</f>
        <v>8</v>
      </c>
      <c r="E3192" s="9"/>
    </row>
    <row r="3193">
      <c r="A3193" s="10">
        <f>IFERROR(__xludf.DUMMYFUNCTION("""COMPUTED_VALUE"""),112733.0)</f>
        <v>112733</v>
      </c>
      <c r="B3193" s="11">
        <f>IFERROR(__xludf.DUMMYFUNCTION("""COMPUTED_VALUE"""),1.0)</f>
        <v>1</v>
      </c>
      <c r="C3193" s="11">
        <f>IFERROR(__xludf.DUMMYFUNCTION("""COMPUTED_VALUE"""),622.0)</f>
        <v>622</v>
      </c>
      <c r="D3193" s="11">
        <f>IFERROR(__xludf.DUMMYFUNCTION("""COMPUTED_VALUE"""),526.0)</f>
        <v>526</v>
      </c>
      <c r="E3193" s="9"/>
    </row>
    <row r="3194">
      <c r="A3194" s="10">
        <f>IFERROR(__xludf.DUMMYFUNCTION("""COMPUTED_VALUE"""),47050.0)</f>
        <v>47050</v>
      </c>
      <c r="B3194" s="11">
        <f>IFERROR(__xludf.DUMMYFUNCTION("""COMPUTED_VALUE"""),1.0)</f>
        <v>1</v>
      </c>
      <c r="C3194" s="11">
        <f>IFERROR(__xludf.DUMMYFUNCTION("""COMPUTED_VALUE"""),539.0)</f>
        <v>539</v>
      </c>
      <c r="D3194" s="11">
        <f>IFERROR(__xludf.DUMMYFUNCTION("""COMPUTED_VALUE"""),518.0)</f>
        <v>518</v>
      </c>
      <c r="E3194" s="9"/>
    </row>
    <row r="3195">
      <c r="A3195" s="10">
        <f>IFERROR(__xludf.DUMMYFUNCTION("""COMPUTED_VALUE"""),112449.0)</f>
        <v>112449</v>
      </c>
      <c r="B3195" s="11">
        <f>IFERROR(__xludf.DUMMYFUNCTION("""COMPUTED_VALUE"""),0.0)</f>
        <v>0</v>
      </c>
      <c r="C3195" s="11">
        <f>IFERROR(__xludf.DUMMYFUNCTION("""COMPUTED_VALUE"""),344.0)</f>
        <v>344</v>
      </c>
      <c r="D3195" s="11">
        <f>IFERROR(__xludf.DUMMYFUNCTION("""COMPUTED_VALUE"""),39.0)</f>
        <v>39</v>
      </c>
      <c r="E3195" s="9"/>
    </row>
    <row r="3196">
      <c r="A3196" s="10">
        <f>IFERROR(__xludf.DUMMYFUNCTION("""COMPUTED_VALUE"""),14025.0)</f>
        <v>14025</v>
      </c>
      <c r="B3196" s="11">
        <f>IFERROR(__xludf.DUMMYFUNCTION("""COMPUTED_VALUE"""),1.0)</f>
        <v>1</v>
      </c>
      <c r="C3196" s="11">
        <f>IFERROR(__xludf.DUMMYFUNCTION("""COMPUTED_VALUE"""),513.0)</f>
        <v>513</v>
      </c>
      <c r="D3196" s="11">
        <f>IFERROR(__xludf.DUMMYFUNCTION("""COMPUTED_VALUE"""),15.0)</f>
        <v>15</v>
      </c>
      <c r="E3196" s="9"/>
    </row>
    <row r="3197">
      <c r="A3197" s="10">
        <f>IFERROR(__xludf.DUMMYFUNCTION("""COMPUTED_VALUE"""),26054.0)</f>
        <v>26054</v>
      </c>
      <c r="B3197" s="11">
        <f>IFERROR(__xludf.DUMMYFUNCTION("""COMPUTED_VALUE"""),0.0)</f>
        <v>0</v>
      </c>
      <c r="C3197" s="11">
        <f>IFERROR(__xludf.DUMMYFUNCTION("""COMPUTED_VALUE"""),759.0)</f>
        <v>759</v>
      </c>
      <c r="D3197" s="11">
        <f>IFERROR(__xludf.DUMMYFUNCTION("""COMPUTED_VALUE"""),10.0)</f>
        <v>10</v>
      </c>
      <c r="E3197" s="9"/>
    </row>
    <row r="3198">
      <c r="A3198" s="10">
        <f>IFERROR(__xludf.DUMMYFUNCTION("""COMPUTED_VALUE"""),60366.0)</f>
        <v>60366</v>
      </c>
      <c r="B3198" s="11">
        <f>IFERROR(__xludf.DUMMYFUNCTION("""COMPUTED_VALUE"""),0.0)</f>
        <v>0</v>
      </c>
      <c r="C3198" s="11">
        <f>IFERROR(__xludf.DUMMYFUNCTION("""COMPUTED_VALUE"""),346.0)</f>
        <v>346</v>
      </c>
      <c r="D3198" s="11">
        <f>IFERROR(__xludf.DUMMYFUNCTION("""COMPUTED_VALUE"""),267.0)</f>
        <v>267</v>
      </c>
      <c r="E3198" s="9"/>
    </row>
    <row r="3199">
      <c r="A3199" s="10">
        <f>IFERROR(__xludf.DUMMYFUNCTION("""COMPUTED_VALUE"""),116805.0)</f>
        <v>116805</v>
      </c>
      <c r="B3199" s="11">
        <f>IFERROR(__xludf.DUMMYFUNCTION("""COMPUTED_VALUE"""),1.0)</f>
        <v>1</v>
      </c>
      <c r="C3199" s="11">
        <f>IFERROR(__xludf.DUMMYFUNCTION("""COMPUTED_VALUE"""),765.0)</f>
        <v>765</v>
      </c>
      <c r="D3199" s="11">
        <f>IFERROR(__xludf.DUMMYFUNCTION("""COMPUTED_VALUE"""),143.0)</f>
        <v>143</v>
      </c>
      <c r="E3199" s="9"/>
    </row>
    <row r="3200">
      <c r="A3200" s="10">
        <f>IFERROR(__xludf.DUMMYFUNCTION("""COMPUTED_VALUE"""),8804.0)</f>
        <v>8804</v>
      </c>
      <c r="B3200" s="11">
        <f>IFERROR(__xludf.DUMMYFUNCTION("""COMPUTED_VALUE"""),1.0)</f>
        <v>1</v>
      </c>
      <c r="C3200" s="11">
        <f>IFERROR(__xludf.DUMMYFUNCTION("""COMPUTED_VALUE"""),423.0)</f>
        <v>423</v>
      </c>
      <c r="D3200" s="11">
        <f>IFERROR(__xludf.DUMMYFUNCTION("""COMPUTED_VALUE"""),420.0)</f>
        <v>420</v>
      </c>
      <c r="E3200" s="9"/>
    </row>
    <row r="3201">
      <c r="A3201" s="10">
        <f>IFERROR(__xludf.DUMMYFUNCTION("""COMPUTED_VALUE"""),48470.0)</f>
        <v>48470</v>
      </c>
      <c r="B3201" s="11">
        <f>IFERROR(__xludf.DUMMYFUNCTION("""COMPUTED_VALUE"""),1.0)</f>
        <v>1</v>
      </c>
      <c r="C3201" s="11">
        <f>IFERROR(__xludf.DUMMYFUNCTION("""COMPUTED_VALUE"""),192.0)</f>
        <v>192</v>
      </c>
      <c r="D3201" s="11">
        <f>IFERROR(__xludf.DUMMYFUNCTION("""COMPUTED_VALUE"""),180.0)</f>
        <v>180</v>
      </c>
      <c r="E3201" s="9"/>
    </row>
    <row r="3202">
      <c r="A3202" s="10">
        <f>IFERROR(__xludf.DUMMYFUNCTION("""COMPUTED_VALUE"""),86485.0)</f>
        <v>86485</v>
      </c>
      <c r="B3202" s="11">
        <f>IFERROR(__xludf.DUMMYFUNCTION("""COMPUTED_VALUE"""),1.0)</f>
        <v>1</v>
      </c>
      <c r="C3202" s="11">
        <f>IFERROR(__xludf.DUMMYFUNCTION("""COMPUTED_VALUE"""),134.0)</f>
        <v>134</v>
      </c>
      <c r="D3202" s="11">
        <f>IFERROR(__xludf.DUMMYFUNCTION("""COMPUTED_VALUE"""),39.0)</f>
        <v>39</v>
      </c>
      <c r="E3202" s="9"/>
    </row>
    <row r="3203">
      <c r="A3203" s="10">
        <f>IFERROR(__xludf.DUMMYFUNCTION("""COMPUTED_VALUE"""),73872.0)</f>
        <v>73872</v>
      </c>
      <c r="B3203" s="11">
        <f>IFERROR(__xludf.DUMMYFUNCTION("""COMPUTED_VALUE"""),1.0)</f>
        <v>1</v>
      </c>
      <c r="C3203" s="11">
        <f>IFERROR(__xludf.DUMMYFUNCTION("""COMPUTED_VALUE"""),47.0)</f>
        <v>47</v>
      </c>
      <c r="D3203" s="11">
        <f>IFERROR(__xludf.DUMMYFUNCTION("""COMPUTED_VALUE"""),29.0)</f>
        <v>29</v>
      </c>
      <c r="E3203" s="9"/>
    </row>
    <row r="3204">
      <c r="A3204" s="10">
        <f>IFERROR(__xludf.DUMMYFUNCTION("""COMPUTED_VALUE"""),72852.0)</f>
        <v>72852</v>
      </c>
      <c r="B3204" s="11">
        <f>IFERROR(__xludf.DUMMYFUNCTION("""COMPUTED_VALUE"""),0.0)</f>
        <v>0</v>
      </c>
      <c r="C3204" s="11">
        <f>IFERROR(__xludf.DUMMYFUNCTION("""COMPUTED_VALUE"""),859.0)</f>
        <v>859</v>
      </c>
      <c r="D3204" s="11">
        <f>IFERROR(__xludf.DUMMYFUNCTION("""COMPUTED_VALUE"""),644.0)</f>
        <v>644</v>
      </c>
      <c r="E3204" s="9"/>
    </row>
    <row r="3205">
      <c r="A3205" s="10">
        <f>IFERROR(__xludf.DUMMYFUNCTION("""COMPUTED_VALUE"""),85856.0)</f>
        <v>85856</v>
      </c>
      <c r="B3205" s="11">
        <f>IFERROR(__xludf.DUMMYFUNCTION("""COMPUTED_VALUE"""),1.0)</f>
        <v>1</v>
      </c>
      <c r="C3205" s="11">
        <f>IFERROR(__xludf.DUMMYFUNCTION("""COMPUTED_VALUE"""),836.0)</f>
        <v>836</v>
      </c>
      <c r="D3205" s="11">
        <f>IFERROR(__xludf.DUMMYFUNCTION("""COMPUTED_VALUE"""),388.0)</f>
        <v>388</v>
      </c>
      <c r="E3205" s="9"/>
    </row>
    <row r="3206">
      <c r="A3206" s="10">
        <f>IFERROR(__xludf.DUMMYFUNCTION("""COMPUTED_VALUE"""),14018.0)</f>
        <v>14018</v>
      </c>
      <c r="B3206" s="11">
        <f>IFERROR(__xludf.DUMMYFUNCTION("""COMPUTED_VALUE"""),0.0)</f>
        <v>0</v>
      </c>
      <c r="C3206" s="11">
        <f>IFERROR(__xludf.DUMMYFUNCTION("""COMPUTED_VALUE"""),197.0)</f>
        <v>197</v>
      </c>
      <c r="D3206" s="11">
        <f>IFERROR(__xludf.DUMMYFUNCTION("""COMPUTED_VALUE"""),102.0)</f>
        <v>102</v>
      </c>
      <c r="E3206" s="9"/>
    </row>
    <row r="3207">
      <c r="A3207" s="10">
        <f>IFERROR(__xludf.DUMMYFUNCTION("""COMPUTED_VALUE"""),100262.0)</f>
        <v>100262</v>
      </c>
      <c r="B3207" s="11">
        <f>IFERROR(__xludf.DUMMYFUNCTION("""COMPUTED_VALUE"""),1.0)</f>
        <v>1</v>
      </c>
      <c r="C3207" s="11">
        <f>IFERROR(__xludf.DUMMYFUNCTION("""COMPUTED_VALUE"""),242.0)</f>
        <v>242</v>
      </c>
      <c r="D3207" s="11">
        <f>IFERROR(__xludf.DUMMYFUNCTION("""COMPUTED_VALUE"""),82.0)</f>
        <v>82</v>
      </c>
      <c r="E3207" s="9"/>
    </row>
    <row r="3208">
      <c r="A3208" s="10">
        <f>IFERROR(__xludf.DUMMYFUNCTION("""COMPUTED_VALUE"""),114657.0)</f>
        <v>114657</v>
      </c>
      <c r="B3208" s="11">
        <f>IFERROR(__xludf.DUMMYFUNCTION("""COMPUTED_VALUE"""),1.0)</f>
        <v>1</v>
      </c>
      <c r="C3208" s="11">
        <f>IFERROR(__xludf.DUMMYFUNCTION("""COMPUTED_VALUE"""),549.0)</f>
        <v>549</v>
      </c>
      <c r="D3208" s="11">
        <f>IFERROR(__xludf.DUMMYFUNCTION("""COMPUTED_VALUE"""),379.0)</f>
        <v>379</v>
      </c>
      <c r="E3208" s="9"/>
    </row>
    <row r="3209">
      <c r="A3209" s="10">
        <f>IFERROR(__xludf.DUMMYFUNCTION("""COMPUTED_VALUE"""),150281.0)</f>
        <v>150281</v>
      </c>
      <c r="B3209" s="11">
        <f>IFERROR(__xludf.DUMMYFUNCTION("""COMPUTED_VALUE"""),1.0)</f>
        <v>1</v>
      </c>
      <c r="C3209" s="11">
        <f>IFERROR(__xludf.DUMMYFUNCTION("""COMPUTED_VALUE"""),323.0)</f>
        <v>323</v>
      </c>
      <c r="D3209" s="11">
        <f>IFERROR(__xludf.DUMMYFUNCTION("""COMPUTED_VALUE"""),293.0)</f>
        <v>293</v>
      </c>
      <c r="E3209" s="9"/>
    </row>
    <row r="3210">
      <c r="A3210" s="10">
        <f>IFERROR(__xludf.DUMMYFUNCTION("""COMPUTED_VALUE"""),81491.0)</f>
        <v>81491</v>
      </c>
      <c r="B3210" s="11">
        <f>IFERROR(__xludf.DUMMYFUNCTION("""COMPUTED_VALUE"""),0.0)</f>
        <v>0</v>
      </c>
      <c r="C3210" s="11">
        <f>IFERROR(__xludf.DUMMYFUNCTION("""COMPUTED_VALUE"""),227.0)</f>
        <v>227</v>
      </c>
      <c r="D3210" s="11">
        <f>IFERROR(__xludf.DUMMYFUNCTION("""COMPUTED_VALUE"""),127.0)</f>
        <v>127</v>
      </c>
      <c r="E3210" s="9"/>
    </row>
    <row r="3211">
      <c r="A3211" s="10">
        <f>IFERROR(__xludf.DUMMYFUNCTION("""COMPUTED_VALUE"""),88519.0)</f>
        <v>88519</v>
      </c>
      <c r="B3211" s="11">
        <f>IFERROR(__xludf.DUMMYFUNCTION("""COMPUTED_VALUE"""),0.0)</f>
        <v>0</v>
      </c>
      <c r="C3211" s="11">
        <f>IFERROR(__xludf.DUMMYFUNCTION("""COMPUTED_VALUE"""),816.0)</f>
        <v>816</v>
      </c>
      <c r="D3211" s="11">
        <f>IFERROR(__xludf.DUMMYFUNCTION("""COMPUTED_VALUE"""),429.0)</f>
        <v>429</v>
      </c>
      <c r="E3211" s="9"/>
    </row>
    <row r="3212">
      <c r="A3212" s="10">
        <f>IFERROR(__xludf.DUMMYFUNCTION("""COMPUTED_VALUE"""),116800.0)</f>
        <v>116800</v>
      </c>
      <c r="B3212" s="11">
        <f>IFERROR(__xludf.DUMMYFUNCTION("""COMPUTED_VALUE"""),0.0)</f>
        <v>0</v>
      </c>
      <c r="C3212" s="11">
        <f>IFERROR(__xludf.DUMMYFUNCTION("""COMPUTED_VALUE"""),689.0)</f>
        <v>689</v>
      </c>
      <c r="D3212" s="11">
        <f>IFERROR(__xludf.DUMMYFUNCTION("""COMPUTED_VALUE"""),26.0)</f>
        <v>26</v>
      </c>
      <c r="E3212" s="9"/>
    </row>
    <row r="3213">
      <c r="A3213" s="10">
        <f>IFERROR(__xludf.DUMMYFUNCTION("""COMPUTED_VALUE"""),117675.0)</f>
        <v>117675</v>
      </c>
      <c r="B3213" s="11">
        <f>IFERROR(__xludf.DUMMYFUNCTION("""COMPUTED_VALUE"""),1.0)</f>
        <v>1</v>
      </c>
      <c r="C3213" s="11">
        <f>IFERROR(__xludf.DUMMYFUNCTION("""COMPUTED_VALUE"""),297.0)</f>
        <v>297</v>
      </c>
      <c r="D3213" s="11">
        <f>IFERROR(__xludf.DUMMYFUNCTION("""COMPUTED_VALUE"""),257.0)</f>
        <v>257</v>
      </c>
      <c r="E3213" s="9"/>
    </row>
    <row r="3214">
      <c r="A3214" s="10">
        <f>IFERROR(__xludf.DUMMYFUNCTION("""COMPUTED_VALUE"""),47051.0)</f>
        <v>47051</v>
      </c>
      <c r="B3214" s="11">
        <f>IFERROR(__xludf.DUMMYFUNCTION("""COMPUTED_VALUE"""),1.0)</f>
        <v>1</v>
      </c>
      <c r="C3214" s="11">
        <f>IFERROR(__xludf.DUMMYFUNCTION("""COMPUTED_VALUE"""),78.0)</f>
        <v>78</v>
      </c>
      <c r="D3214" s="11">
        <f>IFERROR(__xludf.DUMMYFUNCTION("""COMPUTED_VALUE"""),37.0)</f>
        <v>37</v>
      </c>
      <c r="E3214" s="9"/>
    </row>
    <row r="3215">
      <c r="A3215" s="10">
        <f>IFERROR(__xludf.DUMMYFUNCTION("""COMPUTED_VALUE"""),103171.0)</f>
        <v>103171</v>
      </c>
      <c r="B3215" s="11">
        <f>IFERROR(__xludf.DUMMYFUNCTION("""COMPUTED_VALUE"""),0.0)</f>
        <v>0</v>
      </c>
      <c r="C3215" s="11">
        <f>IFERROR(__xludf.DUMMYFUNCTION("""COMPUTED_VALUE"""),81.0)</f>
        <v>81</v>
      </c>
      <c r="D3215" s="11">
        <f>IFERROR(__xludf.DUMMYFUNCTION("""COMPUTED_VALUE"""),79.0)</f>
        <v>79</v>
      </c>
      <c r="E3215" s="9"/>
    </row>
    <row r="3216">
      <c r="A3216" s="10">
        <f>IFERROR(__xludf.DUMMYFUNCTION("""COMPUTED_VALUE"""),47049.0)</f>
        <v>47049</v>
      </c>
      <c r="B3216" s="11">
        <f>IFERROR(__xludf.DUMMYFUNCTION("""COMPUTED_VALUE"""),1.0)</f>
        <v>1</v>
      </c>
      <c r="C3216" s="11">
        <f>IFERROR(__xludf.DUMMYFUNCTION("""COMPUTED_VALUE"""),377.0)</f>
        <v>377</v>
      </c>
      <c r="D3216" s="11">
        <f>IFERROR(__xludf.DUMMYFUNCTION("""COMPUTED_VALUE"""),57.0)</f>
        <v>57</v>
      </c>
      <c r="E3216" s="9"/>
    </row>
    <row r="3217">
      <c r="A3217" s="10">
        <f>IFERROR(__xludf.DUMMYFUNCTION("""COMPUTED_VALUE"""),47351.0)</f>
        <v>47351</v>
      </c>
      <c r="B3217" s="11">
        <f>IFERROR(__xludf.DUMMYFUNCTION("""COMPUTED_VALUE"""),0.0)</f>
        <v>0</v>
      </c>
      <c r="C3217" s="11">
        <f>IFERROR(__xludf.DUMMYFUNCTION("""COMPUTED_VALUE"""),944.0)</f>
        <v>944</v>
      </c>
      <c r="D3217" s="11">
        <f>IFERROR(__xludf.DUMMYFUNCTION("""COMPUTED_VALUE"""),527.0)</f>
        <v>527</v>
      </c>
      <c r="E3217" s="9"/>
    </row>
    <row r="3218">
      <c r="A3218" s="10">
        <f>IFERROR(__xludf.DUMMYFUNCTION("""COMPUTED_VALUE"""),47575.0)</f>
        <v>47575</v>
      </c>
      <c r="B3218" s="11">
        <f>IFERROR(__xludf.DUMMYFUNCTION("""COMPUTED_VALUE"""),0.0)</f>
        <v>0</v>
      </c>
      <c r="C3218" s="11">
        <f>IFERROR(__xludf.DUMMYFUNCTION("""COMPUTED_VALUE"""),371.0)</f>
        <v>371</v>
      </c>
      <c r="D3218" s="11">
        <f>IFERROR(__xludf.DUMMYFUNCTION("""COMPUTED_VALUE"""),103.0)</f>
        <v>103</v>
      </c>
      <c r="E3218" s="9"/>
    </row>
    <row r="3219">
      <c r="A3219" s="10">
        <f>IFERROR(__xludf.DUMMYFUNCTION("""COMPUTED_VALUE"""),80088.0)</f>
        <v>80088</v>
      </c>
      <c r="B3219" s="11">
        <f>IFERROR(__xludf.DUMMYFUNCTION("""COMPUTED_VALUE"""),1.0)</f>
        <v>1</v>
      </c>
      <c r="C3219" s="11">
        <f>IFERROR(__xludf.DUMMYFUNCTION("""COMPUTED_VALUE"""),323.0)</f>
        <v>323</v>
      </c>
      <c r="D3219" s="11">
        <f>IFERROR(__xludf.DUMMYFUNCTION("""COMPUTED_VALUE"""),23.0)</f>
        <v>23</v>
      </c>
      <c r="E3219" s="9"/>
    </row>
    <row r="3220">
      <c r="A3220" s="10">
        <f>IFERROR(__xludf.DUMMYFUNCTION("""COMPUTED_VALUE"""),47298.0)</f>
        <v>47298</v>
      </c>
      <c r="B3220" s="11">
        <f>IFERROR(__xludf.DUMMYFUNCTION("""COMPUTED_VALUE"""),0.0)</f>
        <v>0</v>
      </c>
      <c r="C3220" s="11">
        <f>IFERROR(__xludf.DUMMYFUNCTION("""COMPUTED_VALUE"""),396.0)</f>
        <v>396</v>
      </c>
      <c r="D3220" s="11">
        <f>IFERROR(__xludf.DUMMYFUNCTION("""COMPUTED_VALUE"""),373.0)</f>
        <v>373</v>
      </c>
      <c r="E3220" s="9"/>
    </row>
    <row r="3221">
      <c r="A3221" s="10">
        <f>IFERROR(__xludf.DUMMYFUNCTION("""COMPUTED_VALUE"""),100271.0)</f>
        <v>100271</v>
      </c>
      <c r="B3221" s="11">
        <f>IFERROR(__xludf.DUMMYFUNCTION("""COMPUTED_VALUE"""),0.0)</f>
        <v>0</v>
      </c>
      <c r="C3221" s="11">
        <f>IFERROR(__xludf.DUMMYFUNCTION("""COMPUTED_VALUE"""),564.0)</f>
        <v>564</v>
      </c>
      <c r="D3221" s="11">
        <f>IFERROR(__xludf.DUMMYFUNCTION("""COMPUTED_VALUE"""),180.0)</f>
        <v>180</v>
      </c>
      <c r="E3221" s="9"/>
    </row>
    <row r="3222">
      <c r="A3222" s="10">
        <f>IFERROR(__xludf.DUMMYFUNCTION("""COMPUTED_VALUE"""),47621.0)</f>
        <v>47621</v>
      </c>
      <c r="B3222" s="11">
        <f>IFERROR(__xludf.DUMMYFUNCTION("""COMPUTED_VALUE"""),0.0)</f>
        <v>0</v>
      </c>
      <c r="C3222" s="11">
        <f>IFERROR(__xludf.DUMMYFUNCTION("""COMPUTED_VALUE"""),795.0)</f>
        <v>795</v>
      </c>
      <c r="D3222" s="11">
        <f>IFERROR(__xludf.DUMMYFUNCTION("""COMPUTED_VALUE"""),779.0)</f>
        <v>779</v>
      </c>
      <c r="E3222" s="9"/>
    </row>
    <row r="3223">
      <c r="A3223" s="10">
        <f>IFERROR(__xludf.DUMMYFUNCTION("""COMPUTED_VALUE"""),117609.0)</f>
        <v>117609</v>
      </c>
      <c r="B3223" s="11">
        <f>IFERROR(__xludf.DUMMYFUNCTION("""COMPUTED_VALUE"""),0.0)</f>
        <v>0</v>
      </c>
      <c r="C3223" s="11">
        <f>IFERROR(__xludf.DUMMYFUNCTION("""COMPUTED_VALUE"""),799.0)</f>
        <v>799</v>
      </c>
      <c r="D3223" s="11">
        <f>IFERROR(__xludf.DUMMYFUNCTION("""COMPUTED_VALUE"""),261.0)</f>
        <v>261</v>
      </c>
      <c r="E3223" s="9"/>
    </row>
    <row r="3224">
      <c r="A3224" s="10">
        <f>IFERROR(__xludf.DUMMYFUNCTION("""COMPUTED_VALUE"""),103873.0)</f>
        <v>103873</v>
      </c>
      <c r="B3224" s="11">
        <f>IFERROR(__xludf.DUMMYFUNCTION("""COMPUTED_VALUE"""),1.0)</f>
        <v>1</v>
      </c>
      <c r="C3224" s="11">
        <f>IFERROR(__xludf.DUMMYFUNCTION("""COMPUTED_VALUE"""),504.0)</f>
        <v>504</v>
      </c>
      <c r="D3224" s="11">
        <f>IFERROR(__xludf.DUMMYFUNCTION("""COMPUTED_VALUE"""),155.0)</f>
        <v>155</v>
      </c>
      <c r="E3224" s="9"/>
    </row>
    <row r="3225">
      <c r="A3225" s="10">
        <f>IFERROR(__xludf.DUMMYFUNCTION("""COMPUTED_VALUE"""),14026.0)</f>
        <v>14026</v>
      </c>
      <c r="B3225" s="11">
        <f>IFERROR(__xludf.DUMMYFUNCTION("""COMPUTED_VALUE"""),1.0)</f>
        <v>1</v>
      </c>
      <c r="C3225" s="11">
        <f>IFERROR(__xludf.DUMMYFUNCTION("""COMPUTED_VALUE"""),201.0)</f>
        <v>201</v>
      </c>
      <c r="D3225" s="11">
        <f>IFERROR(__xludf.DUMMYFUNCTION("""COMPUTED_VALUE"""),55.0)</f>
        <v>55</v>
      </c>
      <c r="E3225" s="9"/>
    </row>
    <row r="3226">
      <c r="A3226" s="10">
        <f>IFERROR(__xludf.DUMMYFUNCTION("""COMPUTED_VALUE"""),95951.0)</f>
        <v>95951</v>
      </c>
      <c r="B3226" s="11">
        <f>IFERROR(__xludf.DUMMYFUNCTION("""COMPUTED_VALUE"""),0.0)</f>
        <v>0</v>
      </c>
      <c r="C3226" s="11">
        <f>IFERROR(__xludf.DUMMYFUNCTION("""COMPUTED_VALUE"""),54.0)</f>
        <v>54</v>
      </c>
      <c r="D3226" s="11">
        <f>IFERROR(__xludf.DUMMYFUNCTION("""COMPUTED_VALUE"""),48.0)</f>
        <v>48</v>
      </c>
      <c r="E3226" s="9"/>
    </row>
    <row r="3227">
      <c r="A3227" s="10">
        <f>IFERROR(__xludf.DUMMYFUNCTION("""COMPUTED_VALUE"""),9162.0)</f>
        <v>9162</v>
      </c>
      <c r="B3227" s="11">
        <f>IFERROR(__xludf.DUMMYFUNCTION("""COMPUTED_VALUE"""),0.0)</f>
        <v>0</v>
      </c>
      <c r="C3227" s="11">
        <f>IFERROR(__xludf.DUMMYFUNCTION("""COMPUTED_VALUE"""),480.0)</f>
        <v>480</v>
      </c>
      <c r="D3227" s="11">
        <f>IFERROR(__xludf.DUMMYFUNCTION("""COMPUTED_VALUE"""),227.0)</f>
        <v>227</v>
      </c>
      <c r="E3227" s="9"/>
    </row>
    <row r="3228">
      <c r="A3228" s="10">
        <f>IFERROR(__xludf.DUMMYFUNCTION("""COMPUTED_VALUE"""),80089.0)</f>
        <v>80089</v>
      </c>
      <c r="B3228" s="11">
        <f>IFERROR(__xludf.DUMMYFUNCTION("""COMPUTED_VALUE"""),0.0)</f>
        <v>0</v>
      </c>
      <c r="C3228" s="11">
        <f>IFERROR(__xludf.DUMMYFUNCTION("""COMPUTED_VALUE"""),889.0)</f>
        <v>889</v>
      </c>
      <c r="D3228" s="11">
        <f>IFERROR(__xludf.DUMMYFUNCTION("""COMPUTED_VALUE"""),616.0)</f>
        <v>616</v>
      </c>
      <c r="E3228" s="9"/>
    </row>
    <row r="3229">
      <c r="A3229" s="10">
        <f>IFERROR(__xludf.DUMMYFUNCTION("""COMPUTED_VALUE"""),122521.0)</f>
        <v>122521</v>
      </c>
      <c r="B3229" s="11">
        <f>IFERROR(__xludf.DUMMYFUNCTION("""COMPUTED_VALUE"""),1.0)</f>
        <v>1</v>
      </c>
      <c r="C3229" s="11">
        <f>IFERROR(__xludf.DUMMYFUNCTION("""COMPUTED_VALUE"""),893.0)</f>
        <v>893</v>
      </c>
      <c r="D3229" s="11">
        <f>IFERROR(__xludf.DUMMYFUNCTION("""COMPUTED_VALUE"""),772.0)</f>
        <v>772</v>
      </c>
      <c r="E3229" s="9"/>
    </row>
    <row r="3230">
      <c r="A3230" s="10">
        <f>IFERROR(__xludf.DUMMYFUNCTION("""COMPUTED_VALUE"""),69300.0)</f>
        <v>69300</v>
      </c>
      <c r="B3230" s="11">
        <f>IFERROR(__xludf.DUMMYFUNCTION("""COMPUTED_VALUE"""),1.0)</f>
        <v>1</v>
      </c>
      <c r="C3230" s="11">
        <f>IFERROR(__xludf.DUMMYFUNCTION("""COMPUTED_VALUE"""),341.0)</f>
        <v>341</v>
      </c>
      <c r="D3230" s="11">
        <f>IFERROR(__xludf.DUMMYFUNCTION("""COMPUTED_VALUE"""),196.0)</f>
        <v>196</v>
      </c>
      <c r="E3230" s="9"/>
    </row>
    <row r="3231">
      <c r="A3231" s="10">
        <f>IFERROR(__xludf.DUMMYFUNCTION("""COMPUTED_VALUE"""),80417.0)</f>
        <v>80417</v>
      </c>
      <c r="B3231" s="11">
        <f>IFERROR(__xludf.DUMMYFUNCTION("""COMPUTED_VALUE"""),0.0)</f>
        <v>0</v>
      </c>
      <c r="C3231" s="11">
        <f>IFERROR(__xludf.DUMMYFUNCTION("""COMPUTED_VALUE"""),394.0)</f>
        <v>394</v>
      </c>
      <c r="D3231" s="11">
        <f>IFERROR(__xludf.DUMMYFUNCTION("""COMPUTED_VALUE"""),142.0)</f>
        <v>142</v>
      </c>
      <c r="E3231" s="9"/>
    </row>
    <row r="3232">
      <c r="A3232" s="10">
        <f>IFERROR(__xludf.DUMMYFUNCTION("""COMPUTED_VALUE"""),128323.0)</f>
        <v>128323</v>
      </c>
      <c r="B3232" s="11">
        <f>IFERROR(__xludf.DUMMYFUNCTION("""COMPUTED_VALUE"""),0.0)</f>
        <v>0</v>
      </c>
      <c r="C3232" s="11">
        <f>IFERROR(__xludf.DUMMYFUNCTION("""COMPUTED_VALUE"""),863.0)</f>
        <v>863</v>
      </c>
      <c r="D3232" s="11">
        <f>IFERROR(__xludf.DUMMYFUNCTION("""COMPUTED_VALUE"""),54.0)</f>
        <v>54</v>
      </c>
      <c r="E3232" s="9"/>
    </row>
    <row r="3233">
      <c r="A3233" s="10">
        <f>IFERROR(__xludf.DUMMYFUNCTION("""COMPUTED_VALUE"""),80091.0)</f>
        <v>80091</v>
      </c>
      <c r="B3233" s="11">
        <f>IFERROR(__xludf.DUMMYFUNCTION("""COMPUTED_VALUE"""),1.0)</f>
        <v>1</v>
      </c>
      <c r="C3233" s="11">
        <f>IFERROR(__xludf.DUMMYFUNCTION("""COMPUTED_VALUE"""),370.0)</f>
        <v>370</v>
      </c>
      <c r="D3233" s="11">
        <f>IFERROR(__xludf.DUMMYFUNCTION("""COMPUTED_VALUE"""),181.0)</f>
        <v>181</v>
      </c>
      <c r="E3233" s="9"/>
    </row>
    <row r="3234">
      <c r="A3234" s="10">
        <f>IFERROR(__xludf.DUMMYFUNCTION("""COMPUTED_VALUE"""),92927.0)</f>
        <v>92927</v>
      </c>
      <c r="B3234" s="11">
        <f>IFERROR(__xludf.DUMMYFUNCTION("""COMPUTED_VALUE"""),0.0)</f>
        <v>0</v>
      </c>
      <c r="C3234" s="11">
        <f>IFERROR(__xludf.DUMMYFUNCTION("""COMPUTED_VALUE"""),164.0)</f>
        <v>164</v>
      </c>
      <c r="D3234" s="11">
        <f>IFERROR(__xludf.DUMMYFUNCTION("""COMPUTED_VALUE"""),96.0)</f>
        <v>96</v>
      </c>
      <c r="E3234" s="9"/>
    </row>
    <row r="3235">
      <c r="A3235" s="10">
        <f>IFERROR(__xludf.DUMMYFUNCTION("""COMPUTED_VALUE"""),9158.0)</f>
        <v>9158</v>
      </c>
      <c r="B3235" s="11">
        <f>IFERROR(__xludf.DUMMYFUNCTION("""COMPUTED_VALUE"""),1.0)</f>
        <v>1</v>
      </c>
      <c r="C3235" s="11">
        <f>IFERROR(__xludf.DUMMYFUNCTION("""COMPUTED_VALUE"""),567.0)</f>
        <v>567</v>
      </c>
      <c r="D3235" s="11">
        <f>IFERROR(__xludf.DUMMYFUNCTION("""COMPUTED_VALUE"""),187.0)</f>
        <v>187</v>
      </c>
      <c r="E3235" s="9"/>
    </row>
    <row r="3236">
      <c r="A3236" s="10">
        <f>IFERROR(__xludf.DUMMYFUNCTION("""COMPUTED_VALUE"""),103872.0)</f>
        <v>103872</v>
      </c>
      <c r="B3236" s="11">
        <f>IFERROR(__xludf.DUMMYFUNCTION("""COMPUTED_VALUE"""),1.0)</f>
        <v>1</v>
      </c>
      <c r="C3236" s="11">
        <f>IFERROR(__xludf.DUMMYFUNCTION("""COMPUTED_VALUE"""),890.0)</f>
        <v>890</v>
      </c>
      <c r="D3236" s="11">
        <f>IFERROR(__xludf.DUMMYFUNCTION("""COMPUTED_VALUE"""),713.0)</f>
        <v>713</v>
      </c>
      <c r="E3236" s="9"/>
    </row>
    <row r="3237">
      <c r="A3237" s="10">
        <f>IFERROR(__xludf.DUMMYFUNCTION("""COMPUTED_VALUE"""),116809.0)</f>
        <v>116809</v>
      </c>
      <c r="B3237" s="11">
        <f>IFERROR(__xludf.DUMMYFUNCTION("""COMPUTED_VALUE"""),0.0)</f>
        <v>0</v>
      </c>
      <c r="C3237" s="11">
        <f>IFERROR(__xludf.DUMMYFUNCTION("""COMPUTED_VALUE"""),60.0)</f>
        <v>60</v>
      </c>
      <c r="D3237" s="11">
        <f>IFERROR(__xludf.DUMMYFUNCTION("""COMPUTED_VALUE"""),26.0)</f>
        <v>26</v>
      </c>
      <c r="E3237" s="9"/>
    </row>
    <row r="3238">
      <c r="A3238" s="10">
        <f>IFERROR(__xludf.DUMMYFUNCTION("""COMPUTED_VALUE"""),114655.0)</f>
        <v>114655</v>
      </c>
      <c r="B3238" s="11">
        <f>IFERROR(__xludf.DUMMYFUNCTION("""COMPUTED_VALUE"""),1.0)</f>
        <v>1</v>
      </c>
      <c r="C3238" s="11">
        <f>IFERROR(__xludf.DUMMYFUNCTION("""COMPUTED_VALUE"""),741.0)</f>
        <v>741</v>
      </c>
      <c r="D3238" s="11">
        <f>IFERROR(__xludf.DUMMYFUNCTION("""COMPUTED_VALUE"""),412.0)</f>
        <v>412</v>
      </c>
      <c r="E3238" s="9"/>
    </row>
    <row r="3239">
      <c r="A3239" s="10">
        <f>IFERROR(__xludf.DUMMYFUNCTION("""COMPUTED_VALUE"""),80228.0)</f>
        <v>80228</v>
      </c>
      <c r="B3239" s="11">
        <f>IFERROR(__xludf.DUMMYFUNCTION("""COMPUTED_VALUE"""),0.0)</f>
        <v>0</v>
      </c>
      <c r="C3239" s="11">
        <f>IFERROR(__xludf.DUMMYFUNCTION("""COMPUTED_VALUE"""),452.0)</f>
        <v>452</v>
      </c>
      <c r="D3239" s="11">
        <f>IFERROR(__xludf.DUMMYFUNCTION("""COMPUTED_VALUE"""),94.0)</f>
        <v>94</v>
      </c>
      <c r="E3239" s="9"/>
    </row>
    <row r="3240">
      <c r="A3240" s="10">
        <f>IFERROR(__xludf.DUMMYFUNCTION("""COMPUTED_VALUE"""),47207.0)</f>
        <v>47207</v>
      </c>
      <c r="B3240" s="11">
        <f>IFERROR(__xludf.DUMMYFUNCTION("""COMPUTED_VALUE"""),0.0)</f>
        <v>0</v>
      </c>
      <c r="C3240" s="11">
        <f>IFERROR(__xludf.DUMMYFUNCTION("""COMPUTED_VALUE"""),735.0)</f>
        <v>735</v>
      </c>
      <c r="D3240" s="11">
        <f>IFERROR(__xludf.DUMMYFUNCTION("""COMPUTED_VALUE"""),646.0)</f>
        <v>646</v>
      </c>
      <c r="E3240" s="9"/>
    </row>
    <row r="3241">
      <c r="A3241" s="10">
        <f>IFERROR(__xludf.DUMMYFUNCTION("""COMPUTED_VALUE"""),116402.0)</f>
        <v>116402</v>
      </c>
      <c r="B3241" s="11">
        <f>IFERROR(__xludf.DUMMYFUNCTION("""COMPUTED_VALUE"""),1.0)</f>
        <v>1</v>
      </c>
      <c r="C3241" s="11">
        <f>IFERROR(__xludf.DUMMYFUNCTION("""COMPUTED_VALUE"""),384.0)</f>
        <v>384</v>
      </c>
      <c r="D3241" s="11">
        <f>IFERROR(__xludf.DUMMYFUNCTION("""COMPUTED_VALUE"""),88.0)</f>
        <v>88</v>
      </c>
      <c r="E3241" s="9"/>
    </row>
    <row r="3242">
      <c r="A3242" s="10">
        <f>IFERROR(__xludf.DUMMYFUNCTION("""COMPUTED_VALUE"""),116408.0)</f>
        <v>116408</v>
      </c>
      <c r="B3242" s="11">
        <f>IFERROR(__xludf.DUMMYFUNCTION("""COMPUTED_VALUE"""),0.0)</f>
        <v>0</v>
      </c>
      <c r="C3242" s="11">
        <f>IFERROR(__xludf.DUMMYFUNCTION("""COMPUTED_VALUE"""),58.0)</f>
        <v>58</v>
      </c>
      <c r="D3242" s="11">
        <f>IFERROR(__xludf.DUMMYFUNCTION("""COMPUTED_VALUE"""),5.0)</f>
        <v>5</v>
      </c>
      <c r="E3242" s="9"/>
    </row>
    <row r="3243">
      <c r="A3243" s="10">
        <f>IFERROR(__xludf.DUMMYFUNCTION("""COMPUTED_VALUE"""),83592.0)</f>
        <v>83592</v>
      </c>
      <c r="B3243" s="11">
        <f>IFERROR(__xludf.DUMMYFUNCTION("""COMPUTED_VALUE"""),1.0)</f>
        <v>1</v>
      </c>
      <c r="C3243" s="11">
        <f>IFERROR(__xludf.DUMMYFUNCTION("""COMPUTED_VALUE"""),54.0)</f>
        <v>54</v>
      </c>
      <c r="D3243" s="11">
        <f>IFERROR(__xludf.DUMMYFUNCTION("""COMPUTED_VALUE"""),52.0)</f>
        <v>52</v>
      </c>
      <c r="E3243" s="9"/>
    </row>
    <row r="3244">
      <c r="A3244" s="10">
        <f>IFERROR(__xludf.DUMMYFUNCTION("""COMPUTED_VALUE"""),122241.0)</f>
        <v>122241</v>
      </c>
      <c r="B3244" s="11">
        <f>IFERROR(__xludf.DUMMYFUNCTION("""COMPUTED_VALUE"""),1.0)</f>
        <v>1</v>
      </c>
      <c r="C3244" s="11">
        <f>IFERROR(__xludf.DUMMYFUNCTION("""COMPUTED_VALUE"""),778.0)</f>
        <v>778</v>
      </c>
      <c r="D3244" s="11">
        <f>IFERROR(__xludf.DUMMYFUNCTION("""COMPUTED_VALUE"""),533.0)</f>
        <v>533</v>
      </c>
      <c r="E3244" s="9"/>
    </row>
    <row r="3245">
      <c r="A3245" s="10">
        <f>IFERROR(__xludf.DUMMYFUNCTION("""COMPUTED_VALUE"""),112799.0)</f>
        <v>112799</v>
      </c>
      <c r="B3245" s="11">
        <f>IFERROR(__xludf.DUMMYFUNCTION("""COMPUTED_VALUE"""),0.0)</f>
        <v>0</v>
      </c>
      <c r="C3245" s="11">
        <f>IFERROR(__xludf.DUMMYFUNCTION("""COMPUTED_VALUE"""),460.0)</f>
        <v>460</v>
      </c>
      <c r="D3245" s="11">
        <f>IFERROR(__xludf.DUMMYFUNCTION("""COMPUTED_VALUE"""),419.0)</f>
        <v>419</v>
      </c>
      <c r="E3245" s="9"/>
    </row>
    <row r="3246">
      <c r="A3246" s="10">
        <f>IFERROR(__xludf.DUMMYFUNCTION("""COMPUTED_VALUE"""),122659.0)</f>
        <v>122659</v>
      </c>
      <c r="B3246" s="11">
        <f>IFERROR(__xludf.DUMMYFUNCTION("""COMPUTED_VALUE"""),1.0)</f>
        <v>1</v>
      </c>
      <c r="C3246" s="11">
        <f>IFERROR(__xludf.DUMMYFUNCTION("""COMPUTED_VALUE"""),211.0)</f>
        <v>211</v>
      </c>
      <c r="D3246" s="11">
        <f>IFERROR(__xludf.DUMMYFUNCTION("""COMPUTED_VALUE"""),94.0)</f>
        <v>94</v>
      </c>
      <c r="E3246" s="9"/>
    </row>
    <row r="3247">
      <c r="A3247" s="10">
        <f>IFERROR(__xludf.DUMMYFUNCTION("""COMPUTED_VALUE"""),112797.0)</f>
        <v>112797</v>
      </c>
      <c r="B3247" s="11">
        <f>IFERROR(__xludf.DUMMYFUNCTION("""COMPUTED_VALUE"""),1.0)</f>
        <v>1</v>
      </c>
      <c r="C3247" s="11">
        <f>IFERROR(__xludf.DUMMYFUNCTION("""COMPUTED_VALUE"""),856.0)</f>
        <v>856</v>
      </c>
      <c r="D3247" s="11">
        <f>IFERROR(__xludf.DUMMYFUNCTION("""COMPUTED_VALUE"""),574.0)</f>
        <v>574</v>
      </c>
      <c r="E3247" s="9"/>
    </row>
    <row r="3248">
      <c r="A3248" s="10">
        <f>IFERROR(__xludf.DUMMYFUNCTION("""COMPUTED_VALUE"""),122663.0)</f>
        <v>122663</v>
      </c>
      <c r="B3248" s="11">
        <f>IFERROR(__xludf.DUMMYFUNCTION("""COMPUTED_VALUE"""),0.0)</f>
        <v>0</v>
      </c>
      <c r="C3248" s="11">
        <f>IFERROR(__xludf.DUMMYFUNCTION("""COMPUTED_VALUE"""),576.0)</f>
        <v>576</v>
      </c>
      <c r="D3248" s="11">
        <f>IFERROR(__xludf.DUMMYFUNCTION("""COMPUTED_VALUE"""),384.0)</f>
        <v>384</v>
      </c>
      <c r="E3248" s="9"/>
    </row>
    <row r="3249">
      <c r="A3249" s="10">
        <f>IFERROR(__xludf.DUMMYFUNCTION("""COMPUTED_VALUE"""),112809.0)</f>
        <v>112809</v>
      </c>
      <c r="B3249" s="11">
        <f>IFERROR(__xludf.DUMMYFUNCTION("""COMPUTED_VALUE"""),1.0)</f>
        <v>1</v>
      </c>
      <c r="C3249" s="11">
        <f>IFERROR(__xludf.DUMMYFUNCTION("""COMPUTED_VALUE"""),26.0)</f>
        <v>26</v>
      </c>
      <c r="D3249" s="11">
        <f>IFERROR(__xludf.DUMMYFUNCTION("""COMPUTED_VALUE"""),16.0)</f>
        <v>16</v>
      </c>
      <c r="E3249" s="9"/>
    </row>
    <row r="3250">
      <c r="A3250" s="10">
        <f>IFERROR(__xludf.DUMMYFUNCTION("""COMPUTED_VALUE"""),80220.0)</f>
        <v>80220</v>
      </c>
      <c r="B3250" s="11">
        <f>IFERROR(__xludf.DUMMYFUNCTION("""COMPUTED_VALUE"""),0.0)</f>
        <v>0</v>
      </c>
      <c r="C3250" s="11">
        <f>IFERROR(__xludf.DUMMYFUNCTION("""COMPUTED_VALUE"""),860.0)</f>
        <v>860</v>
      </c>
      <c r="D3250" s="11">
        <f>IFERROR(__xludf.DUMMYFUNCTION("""COMPUTED_VALUE"""),676.0)</f>
        <v>676</v>
      </c>
      <c r="E3250" s="9"/>
    </row>
    <row r="3251">
      <c r="A3251" s="10">
        <f>IFERROR(__xludf.DUMMYFUNCTION("""COMPUTED_VALUE"""),112732.0)</f>
        <v>112732</v>
      </c>
      <c r="B3251" s="11">
        <f>IFERROR(__xludf.DUMMYFUNCTION("""COMPUTED_VALUE"""),0.0)</f>
        <v>0</v>
      </c>
      <c r="C3251" s="11">
        <f>IFERROR(__xludf.DUMMYFUNCTION("""COMPUTED_VALUE"""),660.0)</f>
        <v>660</v>
      </c>
      <c r="D3251" s="11">
        <f>IFERROR(__xludf.DUMMYFUNCTION("""COMPUTED_VALUE"""),524.0)</f>
        <v>524</v>
      </c>
      <c r="E3251" s="9"/>
    </row>
    <row r="3252">
      <c r="A3252" s="10">
        <f>IFERROR(__xludf.DUMMYFUNCTION("""COMPUTED_VALUE"""),83354.0)</f>
        <v>83354</v>
      </c>
      <c r="B3252" s="11">
        <f>IFERROR(__xludf.DUMMYFUNCTION("""COMPUTED_VALUE"""),1.0)</f>
        <v>1</v>
      </c>
      <c r="C3252" s="11">
        <f>IFERROR(__xludf.DUMMYFUNCTION("""COMPUTED_VALUE"""),371.0)</f>
        <v>371</v>
      </c>
      <c r="D3252" s="11">
        <f>IFERROR(__xludf.DUMMYFUNCTION("""COMPUTED_VALUE"""),239.0)</f>
        <v>239</v>
      </c>
      <c r="E3252" s="9"/>
    </row>
    <row r="3253">
      <c r="A3253" s="10">
        <f>IFERROR(__xludf.DUMMYFUNCTION("""COMPUTED_VALUE"""),116410.0)</f>
        <v>116410</v>
      </c>
      <c r="B3253" s="11">
        <f>IFERROR(__xludf.DUMMYFUNCTION("""COMPUTED_VALUE"""),0.0)</f>
        <v>0</v>
      </c>
      <c r="C3253" s="11">
        <f>IFERROR(__xludf.DUMMYFUNCTION("""COMPUTED_VALUE"""),87.0)</f>
        <v>87</v>
      </c>
      <c r="D3253" s="11">
        <f>IFERROR(__xludf.DUMMYFUNCTION("""COMPUTED_VALUE"""),80.0)</f>
        <v>80</v>
      </c>
      <c r="E3253" s="9"/>
    </row>
    <row r="3254">
      <c r="A3254" s="10">
        <f>IFERROR(__xludf.DUMMYFUNCTION("""COMPUTED_VALUE"""),103841.0)</f>
        <v>103841</v>
      </c>
      <c r="B3254" s="11">
        <f>IFERROR(__xludf.DUMMYFUNCTION("""COMPUTED_VALUE"""),1.0)</f>
        <v>1</v>
      </c>
      <c r="C3254" s="11">
        <f>IFERROR(__xludf.DUMMYFUNCTION("""COMPUTED_VALUE"""),511.0)</f>
        <v>511</v>
      </c>
      <c r="D3254" s="11">
        <f>IFERROR(__xludf.DUMMYFUNCTION("""COMPUTED_VALUE"""),42.0)</f>
        <v>42</v>
      </c>
      <c r="E3254" s="9"/>
    </row>
    <row r="3255">
      <c r="A3255" s="10">
        <f>IFERROR(__xludf.DUMMYFUNCTION("""COMPUTED_VALUE"""),116746.0)</f>
        <v>116746</v>
      </c>
      <c r="B3255" s="11">
        <f>IFERROR(__xludf.DUMMYFUNCTION("""COMPUTED_VALUE"""),1.0)</f>
        <v>1</v>
      </c>
      <c r="C3255" s="11">
        <f>IFERROR(__xludf.DUMMYFUNCTION("""COMPUTED_VALUE"""),765.0)</f>
        <v>765</v>
      </c>
      <c r="D3255" s="11">
        <f>IFERROR(__xludf.DUMMYFUNCTION("""COMPUTED_VALUE"""),465.0)</f>
        <v>465</v>
      </c>
      <c r="E3255" s="9"/>
    </row>
    <row r="3256">
      <c r="A3256" s="10">
        <f>IFERROR(__xludf.DUMMYFUNCTION("""COMPUTED_VALUE"""),116405.0)</f>
        <v>116405</v>
      </c>
      <c r="B3256" s="11">
        <f>IFERROR(__xludf.DUMMYFUNCTION("""COMPUTED_VALUE"""),0.0)</f>
        <v>0</v>
      </c>
      <c r="C3256" s="11">
        <f>IFERROR(__xludf.DUMMYFUNCTION("""COMPUTED_VALUE"""),514.0)</f>
        <v>514</v>
      </c>
      <c r="D3256" s="11">
        <f>IFERROR(__xludf.DUMMYFUNCTION("""COMPUTED_VALUE"""),172.0)</f>
        <v>172</v>
      </c>
      <c r="E3256" s="9"/>
    </row>
    <row r="3257">
      <c r="A3257" s="10">
        <f>IFERROR(__xludf.DUMMYFUNCTION("""COMPUTED_VALUE"""),112810.0)</f>
        <v>112810</v>
      </c>
      <c r="B3257" s="11">
        <f>IFERROR(__xludf.DUMMYFUNCTION("""COMPUTED_VALUE"""),1.0)</f>
        <v>1</v>
      </c>
      <c r="C3257" s="11">
        <f>IFERROR(__xludf.DUMMYFUNCTION("""COMPUTED_VALUE"""),893.0)</f>
        <v>893</v>
      </c>
      <c r="D3257" s="11">
        <f>IFERROR(__xludf.DUMMYFUNCTION("""COMPUTED_VALUE"""),454.0)</f>
        <v>454</v>
      </c>
      <c r="E3257" s="9"/>
    </row>
    <row r="3258">
      <c r="A3258" s="10">
        <f>IFERROR(__xludf.DUMMYFUNCTION("""COMPUTED_VALUE"""),47347.0)</f>
        <v>47347</v>
      </c>
      <c r="B3258" s="11">
        <f>IFERROR(__xludf.DUMMYFUNCTION("""COMPUTED_VALUE"""),1.0)</f>
        <v>1</v>
      </c>
      <c r="C3258" s="11">
        <f>IFERROR(__xludf.DUMMYFUNCTION("""COMPUTED_VALUE"""),370.0)</f>
        <v>370</v>
      </c>
      <c r="D3258" s="11">
        <f>IFERROR(__xludf.DUMMYFUNCTION("""COMPUTED_VALUE"""),318.0)</f>
        <v>318</v>
      </c>
      <c r="E3258" s="9"/>
    </row>
    <row r="3259">
      <c r="A3259" s="10">
        <f>IFERROR(__xludf.DUMMYFUNCTION("""COMPUTED_VALUE"""),101902.0)</f>
        <v>101902</v>
      </c>
      <c r="B3259" s="11">
        <f>IFERROR(__xludf.DUMMYFUNCTION("""COMPUTED_VALUE"""),0.0)</f>
        <v>0</v>
      </c>
      <c r="C3259" s="11">
        <f>IFERROR(__xludf.DUMMYFUNCTION("""COMPUTED_VALUE"""),418.0)</f>
        <v>418</v>
      </c>
      <c r="D3259" s="11">
        <f>IFERROR(__xludf.DUMMYFUNCTION("""COMPUTED_VALUE"""),118.0)</f>
        <v>118</v>
      </c>
      <c r="E3259" s="9"/>
    </row>
    <row r="3260">
      <c r="A3260" s="10">
        <f>IFERROR(__xludf.DUMMYFUNCTION("""COMPUTED_VALUE"""),92926.0)</f>
        <v>92926</v>
      </c>
      <c r="B3260" s="11">
        <f>IFERROR(__xludf.DUMMYFUNCTION("""COMPUTED_VALUE"""),0.0)</f>
        <v>0</v>
      </c>
      <c r="C3260" s="11">
        <f>IFERROR(__xludf.DUMMYFUNCTION("""COMPUTED_VALUE"""),845.0)</f>
        <v>845</v>
      </c>
      <c r="D3260" s="11">
        <f>IFERROR(__xludf.DUMMYFUNCTION("""COMPUTED_VALUE"""),106.0)</f>
        <v>106</v>
      </c>
      <c r="E3260" s="9"/>
    </row>
    <row r="3261">
      <c r="A3261" s="10">
        <f>IFERROR(__xludf.DUMMYFUNCTION("""COMPUTED_VALUE"""),47345.0)</f>
        <v>47345</v>
      </c>
      <c r="B3261" s="11">
        <f>IFERROR(__xludf.DUMMYFUNCTION("""COMPUTED_VALUE"""),0.0)</f>
        <v>0</v>
      </c>
      <c r="C3261" s="11">
        <f>IFERROR(__xludf.DUMMYFUNCTION("""COMPUTED_VALUE"""),284.0)</f>
        <v>284</v>
      </c>
      <c r="D3261" s="11">
        <f>IFERROR(__xludf.DUMMYFUNCTION("""COMPUTED_VALUE"""),255.0)</f>
        <v>255</v>
      </c>
      <c r="E3261" s="9"/>
    </row>
    <row r="3262">
      <c r="A3262" s="10">
        <f>IFERROR(__xludf.DUMMYFUNCTION("""COMPUTED_VALUE"""),121611.0)</f>
        <v>121611</v>
      </c>
      <c r="B3262" s="11">
        <f>IFERROR(__xludf.DUMMYFUNCTION("""COMPUTED_VALUE"""),1.0)</f>
        <v>1</v>
      </c>
      <c r="C3262" s="11">
        <f>IFERROR(__xludf.DUMMYFUNCTION("""COMPUTED_VALUE"""),759.0)</f>
        <v>759</v>
      </c>
      <c r="D3262" s="11">
        <f>IFERROR(__xludf.DUMMYFUNCTION("""COMPUTED_VALUE"""),56.0)</f>
        <v>56</v>
      </c>
      <c r="E3262" s="9"/>
    </row>
    <row r="3263">
      <c r="A3263" s="10">
        <f>IFERROR(__xludf.DUMMYFUNCTION("""COMPUTED_VALUE"""),73310.0)</f>
        <v>73310</v>
      </c>
      <c r="B3263" s="11">
        <f>IFERROR(__xludf.DUMMYFUNCTION("""COMPUTED_VALUE"""),1.0)</f>
        <v>1</v>
      </c>
      <c r="C3263" s="11">
        <f>IFERROR(__xludf.DUMMYFUNCTION("""COMPUTED_VALUE"""),205.0)</f>
        <v>205</v>
      </c>
      <c r="D3263" s="11">
        <f>IFERROR(__xludf.DUMMYFUNCTION("""COMPUTED_VALUE"""),69.0)</f>
        <v>69</v>
      </c>
      <c r="E3263" s="9"/>
    </row>
    <row r="3264">
      <c r="A3264" s="10">
        <f>IFERROR(__xludf.DUMMYFUNCTION("""COMPUTED_VALUE"""),80102.0)</f>
        <v>80102</v>
      </c>
      <c r="B3264" s="11">
        <f>IFERROR(__xludf.DUMMYFUNCTION("""COMPUTED_VALUE"""),1.0)</f>
        <v>1</v>
      </c>
      <c r="C3264" s="11">
        <f>IFERROR(__xludf.DUMMYFUNCTION("""COMPUTED_VALUE"""),443.0)</f>
        <v>443</v>
      </c>
      <c r="D3264" s="11">
        <f>IFERROR(__xludf.DUMMYFUNCTION("""COMPUTED_VALUE"""),260.0)</f>
        <v>260</v>
      </c>
      <c r="E3264" s="9"/>
    </row>
    <row r="3265">
      <c r="A3265" s="10">
        <f>IFERROR(__xludf.DUMMYFUNCTION("""COMPUTED_VALUE"""),122773.0)</f>
        <v>122773</v>
      </c>
      <c r="B3265" s="11">
        <f>IFERROR(__xludf.DUMMYFUNCTION("""COMPUTED_VALUE"""),0.0)</f>
        <v>0</v>
      </c>
      <c r="C3265" s="11">
        <f>IFERROR(__xludf.DUMMYFUNCTION("""COMPUTED_VALUE"""),248.0)</f>
        <v>248</v>
      </c>
      <c r="D3265" s="11">
        <f>IFERROR(__xludf.DUMMYFUNCTION("""COMPUTED_VALUE"""),156.0)</f>
        <v>156</v>
      </c>
      <c r="E3265" s="9"/>
    </row>
    <row r="3266">
      <c r="A3266" s="10">
        <f>IFERROR(__xludf.DUMMYFUNCTION("""COMPUTED_VALUE"""),119421.0)</f>
        <v>119421</v>
      </c>
      <c r="B3266" s="11">
        <f>IFERROR(__xludf.DUMMYFUNCTION("""COMPUTED_VALUE"""),1.0)</f>
        <v>1</v>
      </c>
      <c r="C3266" s="11">
        <f>IFERROR(__xludf.DUMMYFUNCTION("""COMPUTED_VALUE"""),485.0)</f>
        <v>485</v>
      </c>
      <c r="D3266" s="11">
        <f>IFERROR(__xludf.DUMMYFUNCTION("""COMPUTED_VALUE"""),309.0)</f>
        <v>309</v>
      </c>
      <c r="E3266" s="9"/>
    </row>
    <row r="3267">
      <c r="A3267" s="10">
        <f>IFERROR(__xludf.DUMMYFUNCTION("""COMPUTED_VALUE"""),118276.0)</f>
        <v>118276</v>
      </c>
      <c r="B3267" s="11">
        <f>IFERROR(__xludf.DUMMYFUNCTION("""COMPUTED_VALUE"""),1.0)</f>
        <v>1</v>
      </c>
      <c r="C3267" s="11">
        <f>IFERROR(__xludf.DUMMYFUNCTION("""COMPUTED_VALUE"""),210.0)</f>
        <v>210</v>
      </c>
      <c r="D3267" s="11">
        <f>IFERROR(__xludf.DUMMYFUNCTION("""COMPUTED_VALUE"""),19.0)</f>
        <v>19</v>
      </c>
      <c r="E3267" s="9"/>
    </row>
    <row r="3268">
      <c r="A3268" s="10">
        <f>IFERROR(__xludf.DUMMYFUNCTION("""COMPUTED_VALUE"""),47314.0)</f>
        <v>47314</v>
      </c>
      <c r="B3268" s="11">
        <f>IFERROR(__xludf.DUMMYFUNCTION("""COMPUTED_VALUE"""),0.0)</f>
        <v>0</v>
      </c>
      <c r="C3268" s="11">
        <f>IFERROR(__xludf.DUMMYFUNCTION("""COMPUTED_VALUE"""),626.0)</f>
        <v>626</v>
      </c>
      <c r="D3268" s="11">
        <f>IFERROR(__xludf.DUMMYFUNCTION("""COMPUTED_VALUE"""),343.0)</f>
        <v>343</v>
      </c>
      <c r="E3268" s="9"/>
    </row>
    <row r="3269">
      <c r="A3269" s="10">
        <f>IFERROR(__xludf.DUMMYFUNCTION("""COMPUTED_VALUE"""),122771.0)</f>
        <v>122771</v>
      </c>
      <c r="B3269" s="11">
        <f>IFERROR(__xludf.DUMMYFUNCTION("""COMPUTED_VALUE"""),0.0)</f>
        <v>0</v>
      </c>
      <c r="C3269" s="11">
        <f>IFERROR(__xludf.DUMMYFUNCTION("""COMPUTED_VALUE"""),485.0)</f>
        <v>485</v>
      </c>
      <c r="D3269" s="11">
        <f>IFERROR(__xludf.DUMMYFUNCTION("""COMPUTED_VALUE"""),326.0)</f>
        <v>326</v>
      </c>
      <c r="E3269" s="9"/>
    </row>
    <row r="3270">
      <c r="A3270" s="10">
        <f>IFERROR(__xludf.DUMMYFUNCTION("""COMPUTED_VALUE"""),47380.0)</f>
        <v>47380</v>
      </c>
      <c r="B3270" s="11">
        <f>IFERROR(__xludf.DUMMYFUNCTION("""COMPUTED_VALUE"""),0.0)</f>
        <v>0</v>
      </c>
      <c r="C3270" s="11">
        <f>IFERROR(__xludf.DUMMYFUNCTION("""COMPUTED_VALUE"""),221.0)</f>
        <v>221</v>
      </c>
      <c r="D3270" s="11">
        <f>IFERROR(__xludf.DUMMYFUNCTION("""COMPUTED_VALUE"""),149.0)</f>
        <v>149</v>
      </c>
      <c r="E3270" s="9"/>
    </row>
    <row r="3271">
      <c r="A3271" s="10">
        <f>IFERROR(__xludf.DUMMYFUNCTION("""COMPUTED_VALUE"""),98329.0)</f>
        <v>98329</v>
      </c>
      <c r="B3271" s="11">
        <f>IFERROR(__xludf.DUMMYFUNCTION("""COMPUTED_VALUE"""),0.0)</f>
        <v>0</v>
      </c>
      <c r="C3271" s="11">
        <f>IFERROR(__xludf.DUMMYFUNCTION("""COMPUTED_VALUE"""),784.0)</f>
        <v>784</v>
      </c>
      <c r="D3271" s="11">
        <f>IFERROR(__xludf.DUMMYFUNCTION("""COMPUTED_VALUE"""),251.0)</f>
        <v>251</v>
      </c>
      <c r="E3271" s="9"/>
    </row>
    <row r="3272">
      <c r="A3272" s="10">
        <f>IFERROR(__xludf.DUMMYFUNCTION("""COMPUTED_VALUE"""),81485.0)</f>
        <v>81485</v>
      </c>
      <c r="B3272" s="11">
        <f>IFERROR(__xludf.DUMMYFUNCTION("""COMPUTED_VALUE"""),0.0)</f>
        <v>0</v>
      </c>
      <c r="C3272" s="11">
        <f>IFERROR(__xludf.DUMMYFUNCTION("""COMPUTED_VALUE"""),32.0)</f>
        <v>32</v>
      </c>
      <c r="D3272" s="11">
        <f>IFERROR(__xludf.DUMMYFUNCTION("""COMPUTED_VALUE"""),28.0)</f>
        <v>28</v>
      </c>
      <c r="E3272" s="9"/>
    </row>
    <row r="3273">
      <c r="A3273" s="10">
        <f>IFERROR(__xludf.DUMMYFUNCTION("""COMPUTED_VALUE"""),77847.0)</f>
        <v>77847</v>
      </c>
      <c r="B3273" s="11">
        <f>IFERROR(__xludf.DUMMYFUNCTION("""COMPUTED_VALUE"""),0.0)</f>
        <v>0</v>
      </c>
      <c r="C3273" s="11">
        <f>IFERROR(__xludf.DUMMYFUNCTION("""COMPUTED_VALUE"""),614.0)</f>
        <v>614</v>
      </c>
      <c r="D3273" s="11">
        <f>IFERROR(__xludf.DUMMYFUNCTION("""COMPUTED_VALUE"""),531.0)</f>
        <v>531</v>
      </c>
      <c r="E3273" s="9"/>
    </row>
    <row r="3274">
      <c r="A3274" s="10">
        <f>IFERROR(__xludf.DUMMYFUNCTION("""COMPUTED_VALUE"""),77290.0)</f>
        <v>77290</v>
      </c>
      <c r="B3274" s="11">
        <f>IFERROR(__xludf.DUMMYFUNCTION("""COMPUTED_VALUE"""),0.0)</f>
        <v>0</v>
      </c>
      <c r="C3274" s="11">
        <f>IFERROR(__xludf.DUMMYFUNCTION("""COMPUTED_VALUE"""),259.0)</f>
        <v>259</v>
      </c>
      <c r="D3274" s="11">
        <f>IFERROR(__xludf.DUMMYFUNCTION("""COMPUTED_VALUE"""),217.0)</f>
        <v>217</v>
      </c>
      <c r="E3274" s="9"/>
    </row>
    <row r="3275">
      <c r="A3275" s="10">
        <f>IFERROR(__xludf.DUMMYFUNCTION("""COMPUTED_VALUE"""),114656.0)</f>
        <v>114656</v>
      </c>
      <c r="B3275" s="11">
        <f>IFERROR(__xludf.DUMMYFUNCTION("""COMPUTED_VALUE"""),0.0)</f>
        <v>0</v>
      </c>
      <c r="C3275" s="11">
        <f>IFERROR(__xludf.DUMMYFUNCTION("""COMPUTED_VALUE"""),321.0)</f>
        <v>321</v>
      </c>
      <c r="D3275" s="11">
        <f>IFERROR(__xludf.DUMMYFUNCTION("""COMPUTED_VALUE"""),150.0)</f>
        <v>150</v>
      </c>
      <c r="E3275" s="9"/>
    </row>
    <row r="3276">
      <c r="A3276" s="10">
        <f>IFERROR(__xludf.DUMMYFUNCTION("""COMPUTED_VALUE"""),118486.0)</f>
        <v>118486</v>
      </c>
      <c r="B3276" s="11">
        <f>IFERROR(__xludf.DUMMYFUNCTION("""COMPUTED_VALUE"""),1.0)</f>
        <v>1</v>
      </c>
      <c r="C3276" s="11">
        <f>IFERROR(__xludf.DUMMYFUNCTION("""COMPUTED_VALUE"""),850.0)</f>
        <v>850</v>
      </c>
      <c r="D3276" s="11">
        <f>IFERROR(__xludf.DUMMYFUNCTION("""COMPUTED_VALUE"""),116.0)</f>
        <v>116</v>
      </c>
      <c r="E3276" s="9"/>
    </row>
    <row r="3277">
      <c r="A3277" s="10">
        <f>IFERROR(__xludf.DUMMYFUNCTION("""COMPUTED_VALUE"""),101889.0)</f>
        <v>101889</v>
      </c>
      <c r="B3277" s="11">
        <f>IFERROR(__xludf.DUMMYFUNCTION("""COMPUTED_VALUE"""),0.0)</f>
        <v>0</v>
      </c>
      <c r="C3277" s="11">
        <f>IFERROR(__xludf.DUMMYFUNCTION("""COMPUTED_VALUE"""),488.0)</f>
        <v>488</v>
      </c>
      <c r="D3277" s="11">
        <f>IFERROR(__xludf.DUMMYFUNCTION("""COMPUTED_VALUE"""),359.0)</f>
        <v>359</v>
      </c>
      <c r="E3277" s="9"/>
    </row>
    <row r="3278">
      <c r="A3278" s="10">
        <f>IFERROR(__xludf.DUMMYFUNCTION("""COMPUTED_VALUE"""),14030.0)</f>
        <v>14030</v>
      </c>
      <c r="B3278" s="11">
        <f>IFERROR(__xludf.DUMMYFUNCTION("""COMPUTED_VALUE"""),0.0)</f>
        <v>0</v>
      </c>
      <c r="C3278" s="11">
        <f>IFERROR(__xludf.DUMMYFUNCTION("""COMPUTED_VALUE"""),475.0)</f>
        <v>475</v>
      </c>
      <c r="D3278" s="11">
        <f>IFERROR(__xludf.DUMMYFUNCTION("""COMPUTED_VALUE"""),182.0)</f>
        <v>182</v>
      </c>
      <c r="E3278" s="9"/>
    </row>
    <row r="3279">
      <c r="A3279" s="10">
        <f>IFERROR(__xludf.DUMMYFUNCTION("""COMPUTED_VALUE"""),47381.0)</f>
        <v>47381</v>
      </c>
      <c r="B3279" s="11">
        <f>IFERROR(__xludf.DUMMYFUNCTION("""COMPUTED_VALUE"""),1.0)</f>
        <v>1</v>
      </c>
      <c r="C3279" s="11">
        <f>IFERROR(__xludf.DUMMYFUNCTION("""COMPUTED_VALUE"""),375.0)</f>
        <v>375</v>
      </c>
      <c r="D3279" s="11">
        <f>IFERROR(__xludf.DUMMYFUNCTION("""COMPUTED_VALUE"""),287.0)</f>
        <v>287</v>
      </c>
      <c r="E3279" s="9"/>
    </row>
    <row r="3280">
      <c r="A3280" s="10">
        <f>IFERROR(__xludf.DUMMYFUNCTION("""COMPUTED_VALUE"""),101888.0)</f>
        <v>101888</v>
      </c>
      <c r="B3280" s="11">
        <f>IFERROR(__xludf.DUMMYFUNCTION("""COMPUTED_VALUE"""),0.0)</f>
        <v>0</v>
      </c>
      <c r="C3280" s="11">
        <f>IFERROR(__xludf.DUMMYFUNCTION("""COMPUTED_VALUE"""),109.0)</f>
        <v>109</v>
      </c>
      <c r="D3280" s="11">
        <f>IFERROR(__xludf.DUMMYFUNCTION("""COMPUTED_VALUE"""),63.0)</f>
        <v>63</v>
      </c>
      <c r="E3280" s="9"/>
    </row>
    <row r="3281">
      <c r="A3281" s="10">
        <f>IFERROR(__xludf.DUMMYFUNCTION("""COMPUTED_VALUE"""),98328.0)</f>
        <v>98328</v>
      </c>
      <c r="B3281" s="11">
        <f>IFERROR(__xludf.DUMMYFUNCTION("""COMPUTED_VALUE"""),0.0)</f>
        <v>0</v>
      </c>
      <c r="C3281" s="11">
        <f>IFERROR(__xludf.DUMMYFUNCTION("""COMPUTED_VALUE"""),354.0)</f>
        <v>354</v>
      </c>
      <c r="D3281" s="11">
        <f>IFERROR(__xludf.DUMMYFUNCTION("""COMPUTED_VALUE"""),221.0)</f>
        <v>221</v>
      </c>
      <c r="E3281" s="9"/>
    </row>
    <row r="3282">
      <c r="A3282" s="10">
        <f>IFERROR(__xludf.DUMMYFUNCTION("""COMPUTED_VALUE"""),79775.0)</f>
        <v>79775</v>
      </c>
      <c r="B3282" s="11">
        <f>IFERROR(__xludf.DUMMYFUNCTION("""COMPUTED_VALUE"""),0.0)</f>
        <v>0</v>
      </c>
      <c r="C3282" s="11">
        <f>IFERROR(__xludf.DUMMYFUNCTION("""COMPUTED_VALUE"""),909.0)</f>
        <v>909</v>
      </c>
      <c r="D3282" s="11">
        <f>IFERROR(__xludf.DUMMYFUNCTION("""COMPUTED_VALUE"""),586.0)</f>
        <v>586</v>
      </c>
      <c r="E3282" s="9"/>
    </row>
    <row r="3283">
      <c r="A3283" s="10">
        <f>IFERROR(__xludf.DUMMYFUNCTION("""COMPUTED_VALUE"""),122616.0)</f>
        <v>122616</v>
      </c>
      <c r="B3283" s="11">
        <f>IFERROR(__xludf.DUMMYFUNCTION("""COMPUTED_VALUE"""),1.0)</f>
        <v>1</v>
      </c>
      <c r="C3283" s="11">
        <f>IFERROR(__xludf.DUMMYFUNCTION("""COMPUTED_VALUE"""),112.0)</f>
        <v>112</v>
      </c>
      <c r="D3283" s="11">
        <f>IFERROR(__xludf.DUMMYFUNCTION("""COMPUTED_VALUE"""),0.0)</f>
        <v>0</v>
      </c>
      <c r="E3283" s="9"/>
    </row>
    <row r="3284">
      <c r="A3284" s="10">
        <f>IFERROR(__xludf.DUMMYFUNCTION("""COMPUTED_VALUE"""),101950.0)</f>
        <v>101950</v>
      </c>
      <c r="B3284" s="11">
        <f>IFERROR(__xludf.DUMMYFUNCTION("""COMPUTED_VALUE"""),0.0)</f>
        <v>0</v>
      </c>
      <c r="C3284" s="11">
        <f>IFERROR(__xludf.DUMMYFUNCTION("""COMPUTED_VALUE"""),916.0)</f>
        <v>916</v>
      </c>
      <c r="D3284" s="11">
        <f>IFERROR(__xludf.DUMMYFUNCTION("""COMPUTED_VALUE"""),512.0)</f>
        <v>512</v>
      </c>
      <c r="E3284" s="9"/>
    </row>
    <row r="3285">
      <c r="A3285" s="10">
        <f>IFERROR(__xludf.DUMMYFUNCTION("""COMPUTED_VALUE"""),9163.0)</f>
        <v>9163</v>
      </c>
      <c r="B3285" s="11">
        <f>IFERROR(__xludf.DUMMYFUNCTION("""COMPUTED_VALUE"""),1.0)</f>
        <v>1</v>
      </c>
      <c r="C3285" s="11">
        <f>IFERROR(__xludf.DUMMYFUNCTION("""COMPUTED_VALUE"""),616.0)</f>
        <v>616</v>
      </c>
      <c r="D3285" s="11">
        <f>IFERROR(__xludf.DUMMYFUNCTION("""COMPUTED_VALUE"""),428.0)</f>
        <v>428</v>
      </c>
      <c r="E3285" s="9"/>
    </row>
    <row r="3286">
      <c r="A3286" s="10">
        <f>IFERROR(__xludf.DUMMYFUNCTION("""COMPUTED_VALUE"""),110106.0)</f>
        <v>110106</v>
      </c>
      <c r="B3286" s="11">
        <f>IFERROR(__xludf.DUMMYFUNCTION("""COMPUTED_VALUE"""),0.0)</f>
        <v>0</v>
      </c>
      <c r="C3286" s="11">
        <f>IFERROR(__xludf.DUMMYFUNCTION("""COMPUTED_VALUE"""),531.0)</f>
        <v>531</v>
      </c>
      <c r="D3286" s="11">
        <f>IFERROR(__xludf.DUMMYFUNCTION("""COMPUTED_VALUE"""),443.0)</f>
        <v>443</v>
      </c>
      <c r="E3286" s="9"/>
    </row>
    <row r="3287">
      <c r="A3287" s="10">
        <f>IFERROR(__xludf.DUMMYFUNCTION("""COMPUTED_VALUE"""),14045.0)</f>
        <v>14045</v>
      </c>
      <c r="B3287" s="11">
        <f>IFERROR(__xludf.DUMMYFUNCTION("""COMPUTED_VALUE"""),0.0)</f>
        <v>0</v>
      </c>
      <c r="C3287" s="11">
        <f>IFERROR(__xludf.DUMMYFUNCTION("""COMPUTED_VALUE"""),391.0)</f>
        <v>391</v>
      </c>
      <c r="D3287" s="11">
        <f>IFERROR(__xludf.DUMMYFUNCTION("""COMPUTED_VALUE"""),373.0)</f>
        <v>373</v>
      </c>
      <c r="E3287" s="9"/>
    </row>
    <row r="3288">
      <c r="A3288" s="10">
        <f>IFERROR(__xludf.DUMMYFUNCTION("""COMPUTED_VALUE"""),95993.0)</f>
        <v>95993</v>
      </c>
      <c r="B3288" s="11">
        <f>IFERROR(__xludf.DUMMYFUNCTION("""COMPUTED_VALUE"""),1.0)</f>
        <v>1</v>
      </c>
      <c r="C3288" s="11">
        <f>IFERROR(__xludf.DUMMYFUNCTION("""COMPUTED_VALUE"""),322.0)</f>
        <v>322</v>
      </c>
      <c r="D3288" s="11">
        <f>IFERROR(__xludf.DUMMYFUNCTION("""COMPUTED_VALUE"""),261.0)</f>
        <v>261</v>
      </c>
      <c r="E3288" s="9"/>
    </row>
    <row r="3289">
      <c r="A3289" s="10">
        <f>IFERROR(__xludf.DUMMYFUNCTION("""COMPUTED_VALUE"""),81488.0)</f>
        <v>81488</v>
      </c>
      <c r="B3289" s="11">
        <f>IFERROR(__xludf.DUMMYFUNCTION("""COMPUTED_VALUE"""),0.0)</f>
        <v>0</v>
      </c>
      <c r="C3289" s="11">
        <f>IFERROR(__xludf.DUMMYFUNCTION("""COMPUTED_VALUE"""),328.0)</f>
        <v>328</v>
      </c>
      <c r="D3289" s="11">
        <f>IFERROR(__xludf.DUMMYFUNCTION("""COMPUTED_VALUE"""),121.0)</f>
        <v>121</v>
      </c>
      <c r="E3289" s="9"/>
    </row>
    <row r="3290">
      <c r="A3290" s="10">
        <f>IFERROR(__xludf.DUMMYFUNCTION("""COMPUTED_VALUE"""),14049.0)</f>
        <v>14049</v>
      </c>
      <c r="B3290" s="11">
        <f>IFERROR(__xludf.DUMMYFUNCTION("""COMPUTED_VALUE"""),0.0)</f>
        <v>0</v>
      </c>
      <c r="C3290" s="11">
        <f>IFERROR(__xludf.DUMMYFUNCTION("""COMPUTED_VALUE"""),291.0)</f>
        <v>291</v>
      </c>
      <c r="D3290" s="11">
        <f>IFERROR(__xludf.DUMMYFUNCTION("""COMPUTED_VALUE"""),244.0)</f>
        <v>244</v>
      </c>
      <c r="E3290" s="9"/>
    </row>
    <row r="3291">
      <c r="A3291" s="10">
        <f>IFERROR(__xludf.DUMMYFUNCTION("""COMPUTED_VALUE"""),121749.0)</f>
        <v>121749</v>
      </c>
      <c r="B3291" s="11">
        <f>IFERROR(__xludf.DUMMYFUNCTION("""COMPUTED_VALUE"""),0.0)</f>
        <v>0</v>
      </c>
      <c r="C3291" s="11">
        <f>IFERROR(__xludf.DUMMYFUNCTION("""COMPUTED_VALUE"""),445.0)</f>
        <v>445</v>
      </c>
      <c r="D3291" s="11">
        <f>IFERROR(__xludf.DUMMYFUNCTION("""COMPUTED_VALUE"""),133.0)</f>
        <v>133</v>
      </c>
      <c r="E3291" s="9"/>
    </row>
    <row r="3292">
      <c r="A3292" s="10">
        <f>IFERROR(__xludf.DUMMYFUNCTION("""COMPUTED_VALUE"""),101927.0)</f>
        <v>101927</v>
      </c>
      <c r="B3292" s="11">
        <f>IFERROR(__xludf.DUMMYFUNCTION("""COMPUTED_VALUE"""),0.0)</f>
        <v>0</v>
      </c>
      <c r="C3292" s="11">
        <f>IFERROR(__xludf.DUMMYFUNCTION("""COMPUTED_VALUE"""),212.0)</f>
        <v>212</v>
      </c>
      <c r="D3292" s="11">
        <f>IFERROR(__xludf.DUMMYFUNCTION("""COMPUTED_VALUE"""),61.0)</f>
        <v>61</v>
      </c>
      <c r="E3292" s="9"/>
    </row>
    <row r="3293">
      <c r="A3293" s="10">
        <f>IFERROR(__xludf.DUMMYFUNCTION("""COMPUTED_VALUE"""),103864.0)</f>
        <v>103864</v>
      </c>
      <c r="B3293" s="11">
        <f>IFERROR(__xludf.DUMMYFUNCTION("""COMPUTED_VALUE"""),0.0)</f>
        <v>0</v>
      </c>
      <c r="C3293" s="11">
        <f>IFERROR(__xludf.DUMMYFUNCTION("""COMPUTED_VALUE"""),179.0)</f>
        <v>179</v>
      </c>
      <c r="D3293" s="11">
        <f>IFERROR(__xludf.DUMMYFUNCTION("""COMPUTED_VALUE"""),134.0)</f>
        <v>134</v>
      </c>
      <c r="E3293" s="9"/>
    </row>
    <row r="3294">
      <c r="A3294" s="10">
        <f>IFERROR(__xludf.DUMMYFUNCTION("""COMPUTED_VALUE"""),85862.0)</f>
        <v>85862</v>
      </c>
      <c r="B3294" s="11">
        <f>IFERROR(__xludf.DUMMYFUNCTION("""COMPUTED_VALUE"""),1.0)</f>
        <v>1</v>
      </c>
      <c r="C3294" s="11">
        <f>IFERROR(__xludf.DUMMYFUNCTION("""COMPUTED_VALUE"""),308.0)</f>
        <v>308</v>
      </c>
      <c r="D3294" s="11">
        <f>IFERROR(__xludf.DUMMYFUNCTION("""COMPUTED_VALUE"""),226.0)</f>
        <v>226</v>
      </c>
      <c r="E3294" s="9"/>
    </row>
    <row r="3295">
      <c r="A3295" s="10">
        <f>IFERROR(__xludf.DUMMYFUNCTION("""COMPUTED_VALUE"""),46124.0)</f>
        <v>46124</v>
      </c>
      <c r="B3295" s="11">
        <f>IFERROR(__xludf.DUMMYFUNCTION("""COMPUTED_VALUE"""),1.0)</f>
        <v>1</v>
      </c>
      <c r="C3295" s="11">
        <f>IFERROR(__xludf.DUMMYFUNCTION("""COMPUTED_VALUE"""),379.0)</f>
        <v>379</v>
      </c>
      <c r="D3295" s="11">
        <f>IFERROR(__xludf.DUMMYFUNCTION("""COMPUTED_VALUE"""),140.0)</f>
        <v>140</v>
      </c>
      <c r="E3295" s="9"/>
    </row>
    <row r="3296">
      <c r="A3296" s="10">
        <f>IFERROR(__xludf.DUMMYFUNCTION("""COMPUTED_VALUE"""),114346.0)</f>
        <v>114346</v>
      </c>
      <c r="B3296" s="11">
        <f>IFERROR(__xludf.DUMMYFUNCTION("""COMPUTED_VALUE"""),1.0)</f>
        <v>1</v>
      </c>
      <c r="C3296" s="11">
        <f>IFERROR(__xludf.DUMMYFUNCTION("""COMPUTED_VALUE"""),919.0)</f>
        <v>919</v>
      </c>
      <c r="D3296" s="11">
        <f>IFERROR(__xludf.DUMMYFUNCTION("""COMPUTED_VALUE"""),397.0)</f>
        <v>397</v>
      </c>
      <c r="E3296" s="9"/>
    </row>
    <row r="3297">
      <c r="A3297" s="10">
        <f>IFERROR(__xludf.DUMMYFUNCTION("""COMPUTED_VALUE"""),80194.0)</f>
        <v>80194</v>
      </c>
      <c r="B3297" s="11">
        <f>IFERROR(__xludf.DUMMYFUNCTION("""COMPUTED_VALUE"""),1.0)</f>
        <v>1</v>
      </c>
      <c r="C3297" s="11">
        <f>IFERROR(__xludf.DUMMYFUNCTION("""COMPUTED_VALUE"""),219.0)</f>
        <v>219</v>
      </c>
      <c r="D3297" s="11">
        <f>IFERROR(__xludf.DUMMYFUNCTION("""COMPUTED_VALUE"""),164.0)</f>
        <v>164</v>
      </c>
      <c r="E3297" s="9"/>
    </row>
    <row r="3298">
      <c r="A3298" s="10">
        <f>IFERROR(__xludf.DUMMYFUNCTION("""COMPUTED_VALUE"""),80192.0)</f>
        <v>80192</v>
      </c>
      <c r="B3298" s="11">
        <f>IFERROR(__xludf.DUMMYFUNCTION("""COMPUTED_VALUE"""),1.0)</f>
        <v>1</v>
      </c>
      <c r="C3298" s="11">
        <f>IFERROR(__xludf.DUMMYFUNCTION("""COMPUTED_VALUE"""),712.0)</f>
        <v>712</v>
      </c>
      <c r="D3298" s="11">
        <f>IFERROR(__xludf.DUMMYFUNCTION("""COMPUTED_VALUE"""),241.0)</f>
        <v>241</v>
      </c>
      <c r="E3298" s="9"/>
    </row>
    <row r="3299">
      <c r="A3299" s="10">
        <f>IFERROR(__xludf.DUMMYFUNCTION("""COMPUTED_VALUE"""),46109.0)</f>
        <v>46109</v>
      </c>
      <c r="B3299" s="11">
        <f>IFERROR(__xludf.DUMMYFUNCTION("""COMPUTED_VALUE"""),1.0)</f>
        <v>1</v>
      </c>
      <c r="C3299" s="11">
        <f>IFERROR(__xludf.DUMMYFUNCTION("""COMPUTED_VALUE"""),877.0)</f>
        <v>877</v>
      </c>
      <c r="D3299" s="11">
        <f>IFERROR(__xludf.DUMMYFUNCTION("""COMPUTED_VALUE"""),146.0)</f>
        <v>146</v>
      </c>
      <c r="E3299" s="9"/>
    </row>
    <row r="3300">
      <c r="A3300" s="10">
        <f>IFERROR(__xludf.DUMMYFUNCTION("""COMPUTED_VALUE"""),80196.0)</f>
        <v>80196</v>
      </c>
      <c r="B3300" s="11">
        <f>IFERROR(__xludf.DUMMYFUNCTION("""COMPUTED_VALUE"""),0.0)</f>
        <v>0</v>
      </c>
      <c r="C3300" s="11">
        <f>IFERROR(__xludf.DUMMYFUNCTION("""COMPUTED_VALUE"""),755.0)</f>
        <v>755</v>
      </c>
      <c r="D3300" s="11">
        <f>IFERROR(__xludf.DUMMYFUNCTION("""COMPUTED_VALUE"""),742.0)</f>
        <v>742</v>
      </c>
      <c r="E3300" s="9"/>
    </row>
    <row r="3301">
      <c r="A3301" s="10">
        <f>IFERROR(__xludf.DUMMYFUNCTION("""COMPUTED_VALUE"""),149602.0)</f>
        <v>149602</v>
      </c>
      <c r="B3301" s="11">
        <f>IFERROR(__xludf.DUMMYFUNCTION("""COMPUTED_VALUE"""),0.0)</f>
        <v>0</v>
      </c>
      <c r="C3301" s="11">
        <f>IFERROR(__xludf.DUMMYFUNCTION("""COMPUTED_VALUE"""),802.0)</f>
        <v>802</v>
      </c>
      <c r="D3301" s="11">
        <f>IFERROR(__xludf.DUMMYFUNCTION("""COMPUTED_VALUE"""),104.0)</f>
        <v>104</v>
      </c>
      <c r="E3301" s="9"/>
    </row>
    <row r="3302">
      <c r="A3302" s="10">
        <f>IFERROR(__xludf.DUMMYFUNCTION("""COMPUTED_VALUE"""),46123.0)</f>
        <v>46123</v>
      </c>
      <c r="B3302" s="11">
        <f>IFERROR(__xludf.DUMMYFUNCTION("""COMPUTED_VALUE"""),0.0)</f>
        <v>0</v>
      </c>
      <c r="C3302" s="11">
        <f>IFERROR(__xludf.DUMMYFUNCTION("""COMPUTED_VALUE"""),662.0)</f>
        <v>662</v>
      </c>
      <c r="D3302" s="11">
        <f>IFERROR(__xludf.DUMMYFUNCTION("""COMPUTED_VALUE"""),635.0)</f>
        <v>635</v>
      </c>
      <c r="E3302" s="9"/>
    </row>
    <row r="3303">
      <c r="A3303" s="10">
        <f>IFERROR(__xludf.DUMMYFUNCTION("""COMPUTED_VALUE"""),46113.0)</f>
        <v>46113</v>
      </c>
      <c r="B3303" s="11">
        <f>IFERROR(__xludf.DUMMYFUNCTION("""COMPUTED_VALUE"""),1.0)</f>
        <v>1</v>
      </c>
      <c r="C3303" s="11">
        <f>IFERROR(__xludf.DUMMYFUNCTION("""COMPUTED_VALUE"""),41.0)</f>
        <v>41</v>
      </c>
      <c r="D3303" s="11">
        <f>IFERROR(__xludf.DUMMYFUNCTION("""COMPUTED_VALUE"""),41.0)</f>
        <v>41</v>
      </c>
      <c r="E3303" s="9"/>
    </row>
    <row r="3304">
      <c r="A3304" s="10">
        <f>IFERROR(__xludf.DUMMYFUNCTION("""COMPUTED_VALUE"""),46116.0)</f>
        <v>46116</v>
      </c>
      <c r="B3304" s="11">
        <f>IFERROR(__xludf.DUMMYFUNCTION("""COMPUTED_VALUE"""),0.0)</f>
        <v>0</v>
      </c>
      <c r="C3304" s="11">
        <f>IFERROR(__xludf.DUMMYFUNCTION("""COMPUTED_VALUE"""),98.0)</f>
        <v>98</v>
      </c>
      <c r="D3304" s="11">
        <f>IFERROR(__xludf.DUMMYFUNCTION("""COMPUTED_VALUE"""),15.0)</f>
        <v>15</v>
      </c>
      <c r="E3304" s="9"/>
    </row>
    <row r="3305">
      <c r="A3305" s="10">
        <f>IFERROR(__xludf.DUMMYFUNCTION("""COMPUTED_VALUE"""),46119.0)</f>
        <v>46119</v>
      </c>
      <c r="B3305" s="11">
        <f>IFERROR(__xludf.DUMMYFUNCTION("""COMPUTED_VALUE"""),1.0)</f>
        <v>1</v>
      </c>
      <c r="C3305" s="11">
        <f>IFERROR(__xludf.DUMMYFUNCTION("""COMPUTED_VALUE"""),497.0)</f>
        <v>497</v>
      </c>
      <c r="D3305" s="11">
        <f>IFERROR(__xludf.DUMMYFUNCTION("""COMPUTED_VALUE"""),479.0)</f>
        <v>479</v>
      </c>
      <c r="E3305" s="9"/>
    </row>
    <row r="3306">
      <c r="A3306" s="10">
        <f>IFERROR(__xludf.DUMMYFUNCTION("""COMPUTED_VALUE"""),63867.0)</f>
        <v>63867</v>
      </c>
      <c r="B3306" s="11">
        <f>IFERROR(__xludf.DUMMYFUNCTION("""COMPUTED_VALUE"""),1.0)</f>
        <v>1</v>
      </c>
      <c r="C3306" s="11">
        <f>IFERROR(__xludf.DUMMYFUNCTION("""COMPUTED_VALUE"""),246.0)</f>
        <v>246</v>
      </c>
      <c r="D3306" s="11">
        <f>IFERROR(__xludf.DUMMYFUNCTION("""COMPUTED_VALUE"""),223.0)</f>
        <v>223</v>
      </c>
      <c r="E3306" s="9"/>
    </row>
    <row r="3307">
      <c r="A3307" s="10">
        <f>IFERROR(__xludf.DUMMYFUNCTION("""COMPUTED_VALUE"""),80190.0)</f>
        <v>80190</v>
      </c>
      <c r="B3307" s="11">
        <f>IFERROR(__xludf.DUMMYFUNCTION("""COMPUTED_VALUE"""),0.0)</f>
        <v>0</v>
      </c>
      <c r="C3307" s="11">
        <f>IFERROR(__xludf.DUMMYFUNCTION("""COMPUTED_VALUE"""),545.0)</f>
        <v>545</v>
      </c>
      <c r="D3307" s="11">
        <f>IFERROR(__xludf.DUMMYFUNCTION("""COMPUTED_VALUE"""),205.0)</f>
        <v>205</v>
      </c>
      <c r="E3307" s="9"/>
    </row>
    <row r="3308">
      <c r="A3308" s="10">
        <f>IFERROR(__xludf.DUMMYFUNCTION("""COMPUTED_VALUE"""),48485.0)</f>
        <v>48485</v>
      </c>
      <c r="B3308" s="11">
        <f>IFERROR(__xludf.DUMMYFUNCTION("""COMPUTED_VALUE"""),1.0)</f>
        <v>1</v>
      </c>
      <c r="C3308" s="11">
        <f>IFERROR(__xludf.DUMMYFUNCTION("""COMPUTED_VALUE"""),847.0)</f>
        <v>847</v>
      </c>
      <c r="D3308" s="11">
        <f>IFERROR(__xludf.DUMMYFUNCTION("""COMPUTED_VALUE"""),299.0)</f>
        <v>299</v>
      </c>
      <c r="E3308" s="9"/>
    </row>
    <row r="3309">
      <c r="A3309" s="10">
        <f>IFERROR(__xludf.DUMMYFUNCTION("""COMPUTED_VALUE"""),80203.0)</f>
        <v>80203</v>
      </c>
      <c r="B3309" s="11">
        <f>IFERROR(__xludf.DUMMYFUNCTION("""COMPUTED_VALUE"""),1.0)</f>
        <v>1</v>
      </c>
      <c r="C3309" s="11">
        <f>IFERROR(__xludf.DUMMYFUNCTION("""COMPUTED_VALUE"""),794.0)</f>
        <v>794</v>
      </c>
      <c r="D3309" s="11">
        <f>IFERROR(__xludf.DUMMYFUNCTION("""COMPUTED_VALUE"""),702.0)</f>
        <v>702</v>
      </c>
      <c r="E3309" s="9"/>
    </row>
    <row r="3310">
      <c r="A3310" s="10">
        <f>IFERROR(__xludf.DUMMYFUNCTION("""COMPUTED_VALUE"""),100670.0)</f>
        <v>100670</v>
      </c>
      <c r="B3310" s="11">
        <f>IFERROR(__xludf.DUMMYFUNCTION("""COMPUTED_VALUE"""),1.0)</f>
        <v>1</v>
      </c>
      <c r="C3310" s="11">
        <f>IFERROR(__xludf.DUMMYFUNCTION("""COMPUTED_VALUE"""),169.0)</f>
        <v>169</v>
      </c>
      <c r="D3310" s="11">
        <f>IFERROR(__xludf.DUMMYFUNCTION("""COMPUTED_VALUE"""),9.0)</f>
        <v>9</v>
      </c>
      <c r="E3310" s="9"/>
    </row>
    <row r="3311">
      <c r="A3311" s="10">
        <f>IFERROR(__xludf.DUMMYFUNCTION("""COMPUTED_VALUE"""),16546.0)</f>
        <v>16546</v>
      </c>
      <c r="B3311" s="11">
        <f>IFERROR(__xludf.DUMMYFUNCTION("""COMPUTED_VALUE"""),1.0)</f>
        <v>1</v>
      </c>
      <c r="C3311" s="11">
        <f>IFERROR(__xludf.DUMMYFUNCTION("""COMPUTED_VALUE"""),564.0)</f>
        <v>564</v>
      </c>
      <c r="D3311" s="11">
        <f>IFERROR(__xludf.DUMMYFUNCTION("""COMPUTED_VALUE"""),160.0)</f>
        <v>160</v>
      </c>
      <c r="E3311" s="9"/>
    </row>
    <row r="3312">
      <c r="A3312" s="10">
        <f>IFERROR(__xludf.DUMMYFUNCTION("""COMPUTED_VALUE"""),121622.0)</f>
        <v>121622</v>
      </c>
      <c r="B3312" s="11">
        <f>IFERROR(__xludf.DUMMYFUNCTION("""COMPUTED_VALUE"""),1.0)</f>
        <v>1</v>
      </c>
      <c r="C3312" s="11">
        <f>IFERROR(__xludf.DUMMYFUNCTION("""COMPUTED_VALUE"""),181.0)</f>
        <v>181</v>
      </c>
      <c r="D3312" s="11">
        <f>IFERROR(__xludf.DUMMYFUNCTION("""COMPUTED_VALUE"""),155.0)</f>
        <v>155</v>
      </c>
      <c r="E3312" s="9"/>
    </row>
    <row r="3313">
      <c r="A3313" s="10">
        <f>IFERROR(__xludf.DUMMYFUNCTION("""COMPUTED_VALUE"""),80202.0)</f>
        <v>80202</v>
      </c>
      <c r="B3313" s="11">
        <f>IFERROR(__xludf.DUMMYFUNCTION("""COMPUTED_VALUE"""),1.0)</f>
        <v>1</v>
      </c>
      <c r="C3313" s="11">
        <f>IFERROR(__xludf.DUMMYFUNCTION("""COMPUTED_VALUE"""),765.0)</f>
        <v>765</v>
      </c>
      <c r="D3313" s="11">
        <f>IFERROR(__xludf.DUMMYFUNCTION("""COMPUTED_VALUE"""),202.0)</f>
        <v>202</v>
      </c>
      <c r="E3313" s="9"/>
    </row>
    <row r="3314">
      <c r="A3314" s="10">
        <f>IFERROR(__xludf.DUMMYFUNCTION("""COMPUTED_VALUE"""),24263.0)</f>
        <v>24263</v>
      </c>
      <c r="B3314" s="11">
        <f>IFERROR(__xludf.DUMMYFUNCTION("""COMPUTED_VALUE"""),0.0)</f>
        <v>0</v>
      </c>
      <c r="C3314" s="11">
        <f>IFERROR(__xludf.DUMMYFUNCTION("""COMPUTED_VALUE"""),728.0)</f>
        <v>728</v>
      </c>
      <c r="D3314" s="11">
        <f>IFERROR(__xludf.DUMMYFUNCTION("""COMPUTED_VALUE"""),616.0)</f>
        <v>616</v>
      </c>
      <c r="E3314" s="9"/>
    </row>
    <row r="3315">
      <c r="A3315" s="10">
        <f>IFERROR(__xludf.DUMMYFUNCTION("""COMPUTED_VALUE"""),16552.0)</f>
        <v>16552</v>
      </c>
      <c r="B3315" s="11">
        <f>IFERROR(__xludf.DUMMYFUNCTION("""COMPUTED_VALUE"""),1.0)</f>
        <v>1</v>
      </c>
      <c r="C3315" s="11">
        <f>IFERROR(__xludf.DUMMYFUNCTION("""COMPUTED_VALUE"""),187.0)</f>
        <v>187</v>
      </c>
      <c r="D3315" s="11">
        <f>IFERROR(__xludf.DUMMYFUNCTION("""COMPUTED_VALUE"""),23.0)</f>
        <v>23</v>
      </c>
      <c r="E3315" s="9"/>
    </row>
    <row r="3316">
      <c r="A3316" s="10">
        <f>IFERROR(__xludf.DUMMYFUNCTION("""COMPUTED_VALUE"""),112771.0)</f>
        <v>112771</v>
      </c>
      <c r="B3316" s="11">
        <f>IFERROR(__xludf.DUMMYFUNCTION("""COMPUTED_VALUE"""),1.0)</f>
        <v>1</v>
      </c>
      <c r="C3316" s="11">
        <f>IFERROR(__xludf.DUMMYFUNCTION("""COMPUTED_VALUE"""),467.0)</f>
        <v>467</v>
      </c>
      <c r="D3316" s="11">
        <f>IFERROR(__xludf.DUMMYFUNCTION("""COMPUTED_VALUE"""),113.0)</f>
        <v>113</v>
      </c>
      <c r="E3316" s="9"/>
    </row>
    <row r="3317">
      <c r="A3317" s="10">
        <f>IFERROR(__xludf.DUMMYFUNCTION("""COMPUTED_VALUE"""),116197.0)</f>
        <v>116197</v>
      </c>
      <c r="B3317" s="11">
        <f>IFERROR(__xludf.DUMMYFUNCTION("""COMPUTED_VALUE"""),1.0)</f>
        <v>1</v>
      </c>
      <c r="C3317" s="11">
        <f>IFERROR(__xludf.DUMMYFUNCTION("""COMPUTED_VALUE"""),355.0)</f>
        <v>355</v>
      </c>
      <c r="D3317" s="11">
        <f>IFERROR(__xludf.DUMMYFUNCTION("""COMPUTED_VALUE"""),129.0)</f>
        <v>129</v>
      </c>
      <c r="E3317" s="9"/>
    </row>
    <row r="3318">
      <c r="A3318" s="10">
        <f>IFERROR(__xludf.DUMMYFUNCTION("""COMPUTED_VALUE"""),46138.0)</f>
        <v>46138</v>
      </c>
      <c r="B3318" s="11">
        <f>IFERROR(__xludf.DUMMYFUNCTION("""COMPUTED_VALUE"""),0.0)</f>
        <v>0</v>
      </c>
      <c r="C3318" s="11">
        <f>IFERROR(__xludf.DUMMYFUNCTION("""COMPUTED_VALUE"""),871.0)</f>
        <v>871</v>
      </c>
      <c r="D3318" s="11">
        <f>IFERROR(__xludf.DUMMYFUNCTION("""COMPUTED_VALUE"""),637.0)</f>
        <v>637</v>
      </c>
      <c r="E3318" s="9"/>
    </row>
    <row r="3319">
      <c r="A3319" s="10">
        <f>IFERROR(__xludf.DUMMYFUNCTION("""COMPUTED_VALUE"""),109546.0)</f>
        <v>109546</v>
      </c>
      <c r="B3319" s="11">
        <f>IFERROR(__xludf.DUMMYFUNCTION("""COMPUTED_VALUE"""),0.0)</f>
        <v>0</v>
      </c>
      <c r="C3319" s="11">
        <f>IFERROR(__xludf.DUMMYFUNCTION("""COMPUTED_VALUE"""),350.0)</f>
        <v>350</v>
      </c>
      <c r="D3319" s="11">
        <f>IFERROR(__xludf.DUMMYFUNCTION("""COMPUTED_VALUE"""),273.0)</f>
        <v>273</v>
      </c>
      <c r="E3319" s="9"/>
    </row>
    <row r="3320">
      <c r="A3320" s="10">
        <f>IFERROR(__xludf.DUMMYFUNCTION("""COMPUTED_VALUE"""),199475.0)</f>
        <v>199475</v>
      </c>
      <c r="B3320" s="11">
        <f>IFERROR(__xludf.DUMMYFUNCTION("""COMPUTED_VALUE"""),0.0)</f>
        <v>0</v>
      </c>
      <c r="C3320" s="11">
        <f>IFERROR(__xludf.DUMMYFUNCTION("""COMPUTED_VALUE"""),807.0)</f>
        <v>807</v>
      </c>
      <c r="D3320" s="11">
        <f>IFERROR(__xludf.DUMMYFUNCTION("""COMPUTED_VALUE"""),325.0)</f>
        <v>325</v>
      </c>
      <c r="E3320" s="9"/>
    </row>
    <row r="3321">
      <c r="A3321" s="10">
        <f>IFERROR(__xludf.DUMMYFUNCTION("""COMPUTED_VALUE"""),199479.0)</f>
        <v>199479</v>
      </c>
      <c r="B3321" s="11">
        <f>IFERROR(__xludf.DUMMYFUNCTION("""COMPUTED_VALUE"""),1.0)</f>
        <v>1</v>
      </c>
      <c r="C3321" s="11">
        <f>IFERROR(__xludf.DUMMYFUNCTION("""COMPUTED_VALUE"""),170.0)</f>
        <v>170</v>
      </c>
      <c r="D3321" s="11">
        <f>IFERROR(__xludf.DUMMYFUNCTION("""COMPUTED_VALUE"""),123.0)</f>
        <v>123</v>
      </c>
      <c r="E3321" s="9"/>
    </row>
    <row r="3322">
      <c r="A3322" s="10">
        <f>IFERROR(__xludf.DUMMYFUNCTION("""COMPUTED_VALUE"""),48180.0)</f>
        <v>48180</v>
      </c>
      <c r="B3322" s="11">
        <f>IFERROR(__xludf.DUMMYFUNCTION("""COMPUTED_VALUE"""),1.0)</f>
        <v>1</v>
      </c>
      <c r="C3322" s="11">
        <f>IFERROR(__xludf.DUMMYFUNCTION("""COMPUTED_VALUE"""),155.0)</f>
        <v>155</v>
      </c>
      <c r="D3322" s="11">
        <f>IFERROR(__xludf.DUMMYFUNCTION("""COMPUTED_VALUE"""),152.0)</f>
        <v>152</v>
      </c>
      <c r="E3322" s="9"/>
    </row>
    <row r="3323">
      <c r="A3323" s="10">
        <f>IFERROR(__xludf.DUMMYFUNCTION("""COMPUTED_VALUE"""),90374.0)</f>
        <v>90374</v>
      </c>
      <c r="B3323" s="11">
        <f>IFERROR(__xludf.DUMMYFUNCTION("""COMPUTED_VALUE"""),0.0)</f>
        <v>0</v>
      </c>
      <c r="C3323" s="11">
        <f>IFERROR(__xludf.DUMMYFUNCTION("""COMPUTED_VALUE"""),964.0)</f>
        <v>964</v>
      </c>
      <c r="D3323" s="11">
        <f>IFERROR(__xludf.DUMMYFUNCTION("""COMPUTED_VALUE"""),697.0)</f>
        <v>697</v>
      </c>
      <c r="E3323" s="9"/>
    </row>
    <row r="3324">
      <c r="A3324" s="10">
        <f>IFERROR(__xludf.DUMMYFUNCTION("""COMPUTED_VALUE"""),80318.0)</f>
        <v>80318</v>
      </c>
      <c r="B3324" s="11">
        <f>IFERROR(__xludf.DUMMYFUNCTION("""COMPUTED_VALUE"""),1.0)</f>
        <v>1</v>
      </c>
      <c r="C3324" s="11">
        <f>IFERROR(__xludf.DUMMYFUNCTION("""COMPUTED_VALUE"""),175.0)</f>
        <v>175</v>
      </c>
      <c r="D3324" s="11">
        <f>IFERROR(__xludf.DUMMYFUNCTION("""COMPUTED_VALUE"""),161.0)</f>
        <v>161</v>
      </c>
      <c r="E3324" s="9"/>
    </row>
    <row r="3325">
      <c r="A3325" s="10">
        <f>IFERROR(__xludf.DUMMYFUNCTION("""COMPUTED_VALUE"""),6206.0)</f>
        <v>6206</v>
      </c>
      <c r="B3325" s="11">
        <f>IFERROR(__xludf.DUMMYFUNCTION("""COMPUTED_VALUE"""),1.0)</f>
        <v>1</v>
      </c>
      <c r="C3325" s="11">
        <f>IFERROR(__xludf.DUMMYFUNCTION("""COMPUTED_VALUE"""),399.0)</f>
        <v>399</v>
      </c>
      <c r="D3325" s="11">
        <f>IFERROR(__xludf.DUMMYFUNCTION("""COMPUTED_VALUE"""),142.0)</f>
        <v>142</v>
      </c>
      <c r="E3325" s="9"/>
    </row>
    <row r="3326">
      <c r="A3326" s="10">
        <f>IFERROR(__xludf.DUMMYFUNCTION("""COMPUTED_VALUE"""),181492.0)</f>
        <v>181492</v>
      </c>
      <c r="B3326" s="11">
        <f>IFERROR(__xludf.DUMMYFUNCTION("""COMPUTED_VALUE"""),0.0)</f>
        <v>0</v>
      </c>
      <c r="C3326" s="11">
        <f>IFERROR(__xludf.DUMMYFUNCTION("""COMPUTED_VALUE"""),151.0)</f>
        <v>151</v>
      </c>
      <c r="D3326" s="11">
        <f>IFERROR(__xludf.DUMMYFUNCTION("""COMPUTED_VALUE"""),19.0)</f>
        <v>19</v>
      </c>
      <c r="E3326" s="9"/>
    </row>
    <row r="3327">
      <c r="A3327" s="10">
        <f>IFERROR(__xludf.DUMMYFUNCTION("""COMPUTED_VALUE"""),148738.0)</f>
        <v>148738</v>
      </c>
      <c r="B3327" s="11">
        <f>IFERROR(__xludf.DUMMYFUNCTION("""COMPUTED_VALUE"""),0.0)</f>
        <v>0</v>
      </c>
      <c r="C3327" s="11">
        <f>IFERROR(__xludf.DUMMYFUNCTION("""COMPUTED_VALUE"""),94.0)</f>
        <v>94</v>
      </c>
      <c r="D3327" s="11">
        <f>IFERROR(__xludf.DUMMYFUNCTION("""COMPUTED_VALUE"""),24.0)</f>
        <v>24</v>
      </c>
      <c r="E3327" s="9"/>
    </row>
    <row r="3328">
      <c r="A3328" s="10">
        <f>IFERROR(__xludf.DUMMYFUNCTION("""COMPUTED_VALUE"""),100692.0)</f>
        <v>100692</v>
      </c>
      <c r="B3328" s="11">
        <f>IFERROR(__xludf.DUMMYFUNCTION("""COMPUTED_VALUE"""),1.0)</f>
        <v>1</v>
      </c>
      <c r="C3328" s="11">
        <f>IFERROR(__xludf.DUMMYFUNCTION("""COMPUTED_VALUE"""),745.0)</f>
        <v>745</v>
      </c>
      <c r="D3328" s="11">
        <f>IFERROR(__xludf.DUMMYFUNCTION("""COMPUTED_VALUE"""),563.0)</f>
        <v>563</v>
      </c>
      <c r="E3328" s="9"/>
    </row>
    <row r="3329">
      <c r="A3329" s="10">
        <f>IFERROR(__xludf.DUMMYFUNCTION("""COMPUTED_VALUE"""),121708.0)</f>
        <v>121708</v>
      </c>
      <c r="B3329" s="11">
        <f>IFERROR(__xludf.DUMMYFUNCTION("""COMPUTED_VALUE"""),1.0)</f>
        <v>1</v>
      </c>
      <c r="C3329" s="11">
        <f>IFERROR(__xludf.DUMMYFUNCTION("""COMPUTED_VALUE"""),914.0)</f>
        <v>914</v>
      </c>
      <c r="D3329" s="11">
        <f>IFERROR(__xludf.DUMMYFUNCTION("""COMPUTED_VALUE"""),607.0)</f>
        <v>607</v>
      </c>
      <c r="E3329" s="9"/>
    </row>
    <row r="3330">
      <c r="A3330" s="10">
        <f>IFERROR(__xludf.DUMMYFUNCTION("""COMPUTED_VALUE"""),47508.0)</f>
        <v>47508</v>
      </c>
      <c r="B3330" s="11">
        <f>IFERROR(__xludf.DUMMYFUNCTION("""COMPUTED_VALUE"""),0.0)</f>
        <v>0</v>
      </c>
      <c r="C3330" s="11">
        <f>IFERROR(__xludf.DUMMYFUNCTION("""COMPUTED_VALUE"""),204.0)</f>
        <v>204</v>
      </c>
      <c r="D3330" s="11">
        <f>IFERROR(__xludf.DUMMYFUNCTION("""COMPUTED_VALUE"""),44.0)</f>
        <v>44</v>
      </c>
      <c r="E3330" s="9"/>
    </row>
    <row r="3331">
      <c r="A3331" s="10">
        <f>IFERROR(__xludf.DUMMYFUNCTION("""COMPUTED_VALUE"""),89514.0)</f>
        <v>89514</v>
      </c>
      <c r="B3331" s="11">
        <f>IFERROR(__xludf.DUMMYFUNCTION("""COMPUTED_VALUE"""),1.0)</f>
        <v>1</v>
      </c>
      <c r="C3331" s="11">
        <f>IFERROR(__xludf.DUMMYFUNCTION("""COMPUTED_VALUE"""),952.0)</f>
        <v>952</v>
      </c>
      <c r="D3331" s="11">
        <f>IFERROR(__xludf.DUMMYFUNCTION("""COMPUTED_VALUE"""),133.0)</f>
        <v>133</v>
      </c>
      <c r="E3331" s="9"/>
    </row>
    <row r="3332">
      <c r="A3332" s="10">
        <f>IFERROR(__xludf.DUMMYFUNCTION("""COMPUTED_VALUE"""),117918.0)</f>
        <v>117918</v>
      </c>
      <c r="B3332" s="11">
        <f>IFERROR(__xludf.DUMMYFUNCTION("""COMPUTED_VALUE"""),0.0)</f>
        <v>0</v>
      </c>
      <c r="C3332" s="11">
        <f>IFERROR(__xludf.DUMMYFUNCTION("""COMPUTED_VALUE"""),17.0)</f>
        <v>17</v>
      </c>
      <c r="D3332" s="11">
        <f>IFERROR(__xludf.DUMMYFUNCTION("""COMPUTED_VALUE"""),15.0)</f>
        <v>15</v>
      </c>
      <c r="E3332" s="9"/>
    </row>
    <row r="3333">
      <c r="A3333" s="10">
        <f>IFERROR(__xludf.DUMMYFUNCTION("""COMPUTED_VALUE"""),16645.0)</f>
        <v>16645</v>
      </c>
      <c r="B3333" s="11">
        <f>IFERROR(__xludf.DUMMYFUNCTION("""COMPUTED_VALUE"""),0.0)</f>
        <v>0</v>
      </c>
      <c r="C3333" s="11">
        <f>IFERROR(__xludf.DUMMYFUNCTION("""COMPUTED_VALUE"""),523.0)</f>
        <v>523</v>
      </c>
      <c r="D3333" s="11">
        <f>IFERROR(__xludf.DUMMYFUNCTION("""COMPUTED_VALUE"""),393.0)</f>
        <v>393</v>
      </c>
      <c r="E3333" s="9"/>
    </row>
    <row r="3334">
      <c r="A3334" s="10">
        <f>IFERROR(__xludf.DUMMYFUNCTION("""COMPUTED_VALUE"""),148740.0)</f>
        <v>148740</v>
      </c>
      <c r="B3334" s="11">
        <f>IFERROR(__xludf.DUMMYFUNCTION("""COMPUTED_VALUE"""),0.0)</f>
        <v>0</v>
      </c>
      <c r="C3334" s="11">
        <f>IFERROR(__xludf.DUMMYFUNCTION("""COMPUTED_VALUE"""),73.0)</f>
        <v>73</v>
      </c>
      <c r="D3334" s="11">
        <f>IFERROR(__xludf.DUMMYFUNCTION("""COMPUTED_VALUE"""),67.0)</f>
        <v>67</v>
      </c>
      <c r="E3334" s="9"/>
    </row>
    <row r="3335">
      <c r="A3335" s="10">
        <f>IFERROR(__xludf.DUMMYFUNCTION("""COMPUTED_VALUE"""),100688.0)</f>
        <v>100688</v>
      </c>
      <c r="B3335" s="11">
        <f>IFERROR(__xludf.DUMMYFUNCTION("""COMPUTED_VALUE"""),0.0)</f>
        <v>0</v>
      </c>
      <c r="C3335" s="11">
        <f>IFERROR(__xludf.DUMMYFUNCTION("""COMPUTED_VALUE"""),34.0)</f>
        <v>34</v>
      </c>
      <c r="D3335" s="11">
        <f>IFERROR(__xludf.DUMMYFUNCTION("""COMPUTED_VALUE"""),33.0)</f>
        <v>33</v>
      </c>
      <c r="E3335" s="9"/>
    </row>
    <row r="3336">
      <c r="A3336" s="10">
        <f>IFERROR(__xludf.DUMMYFUNCTION("""COMPUTED_VALUE"""),148741.0)</f>
        <v>148741</v>
      </c>
      <c r="B3336" s="11">
        <f>IFERROR(__xludf.DUMMYFUNCTION("""COMPUTED_VALUE"""),1.0)</f>
        <v>1</v>
      </c>
      <c r="C3336" s="11">
        <f>IFERROR(__xludf.DUMMYFUNCTION("""COMPUTED_VALUE"""),747.0)</f>
        <v>747</v>
      </c>
      <c r="D3336" s="11">
        <f>IFERROR(__xludf.DUMMYFUNCTION("""COMPUTED_VALUE"""),741.0)</f>
        <v>741</v>
      </c>
      <c r="E3336" s="9"/>
    </row>
    <row r="3337">
      <c r="A3337" s="10">
        <f>IFERROR(__xludf.DUMMYFUNCTION("""COMPUTED_VALUE"""),109299.0)</f>
        <v>109299</v>
      </c>
      <c r="B3337" s="11">
        <f>IFERROR(__xludf.DUMMYFUNCTION("""COMPUTED_VALUE"""),1.0)</f>
        <v>1</v>
      </c>
      <c r="C3337" s="11">
        <f>IFERROR(__xludf.DUMMYFUNCTION("""COMPUTED_VALUE"""),441.0)</f>
        <v>441</v>
      </c>
      <c r="D3337" s="11">
        <f>IFERROR(__xludf.DUMMYFUNCTION("""COMPUTED_VALUE"""),179.0)</f>
        <v>179</v>
      </c>
      <c r="E3337" s="9"/>
    </row>
    <row r="3338">
      <c r="A3338" s="10">
        <f>IFERROR(__xludf.DUMMYFUNCTION("""COMPUTED_VALUE"""),196109.0)</f>
        <v>196109</v>
      </c>
      <c r="B3338" s="11">
        <f>IFERROR(__xludf.DUMMYFUNCTION("""COMPUTED_VALUE"""),0.0)</f>
        <v>0</v>
      </c>
      <c r="C3338" s="11">
        <f>IFERROR(__xludf.DUMMYFUNCTION("""COMPUTED_VALUE"""),34.0)</f>
        <v>34</v>
      </c>
      <c r="D3338" s="11">
        <f>IFERROR(__xludf.DUMMYFUNCTION("""COMPUTED_VALUE"""),18.0)</f>
        <v>18</v>
      </c>
      <c r="E3338" s="9"/>
    </row>
    <row r="3339">
      <c r="A3339" s="10">
        <f>IFERROR(__xludf.DUMMYFUNCTION("""COMPUTED_VALUE"""),72155.0)</f>
        <v>72155</v>
      </c>
      <c r="B3339" s="11">
        <f>IFERROR(__xludf.DUMMYFUNCTION("""COMPUTED_VALUE"""),1.0)</f>
        <v>1</v>
      </c>
      <c r="C3339" s="11">
        <f>IFERROR(__xludf.DUMMYFUNCTION("""COMPUTED_VALUE"""),190.0)</f>
        <v>190</v>
      </c>
      <c r="D3339" s="11">
        <f>IFERROR(__xludf.DUMMYFUNCTION("""COMPUTED_VALUE"""),85.0)</f>
        <v>85</v>
      </c>
      <c r="E3339" s="9"/>
    </row>
    <row r="3340">
      <c r="A3340" s="10">
        <f>IFERROR(__xludf.DUMMYFUNCTION("""COMPUTED_VALUE"""),80245.0)</f>
        <v>80245</v>
      </c>
      <c r="B3340" s="11">
        <f>IFERROR(__xludf.DUMMYFUNCTION("""COMPUTED_VALUE"""),1.0)</f>
        <v>1</v>
      </c>
      <c r="C3340" s="11">
        <f>IFERROR(__xludf.DUMMYFUNCTION("""COMPUTED_VALUE"""),312.0)</f>
        <v>312</v>
      </c>
      <c r="D3340" s="11">
        <f>IFERROR(__xludf.DUMMYFUNCTION("""COMPUTED_VALUE"""),95.0)</f>
        <v>95</v>
      </c>
      <c r="E3340" s="9"/>
    </row>
    <row r="3341">
      <c r="A3341" s="10">
        <f>IFERROR(__xludf.DUMMYFUNCTION("""COMPUTED_VALUE"""),6215.0)</f>
        <v>6215</v>
      </c>
      <c r="B3341" s="11">
        <f>IFERROR(__xludf.DUMMYFUNCTION("""COMPUTED_VALUE"""),1.0)</f>
        <v>1</v>
      </c>
      <c r="C3341" s="11">
        <f>IFERROR(__xludf.DUMMYFUNCTION("""COMPUTED_VALUE"""),21.0)</f>
        <v>21</v>
      </c>
      <c r="D3341" s="11">
        <f>IFERROR(__xludf.DUMMYFUNCTION("""COMPUTED_VALUE"""),1.0)</f>
        <v>1</v>
      </c>
      <c r="E3341" s="9"/>
    </row>
    <row r="3342">
      <c r="A3342" s="10">
        <f>IFERROR(__xludf.DUMMYFUNCTION("""COMPUTED_VALUE"""),45810.0)</f>
        <v>45810</v>
      </c>
      <c r="B3342" s="11">
        <f>IFERROR(__xludf.DUMMYFUNCTION("""COMPUTED_VALUE"""),1.0)</f>
        <v>1</v>
      </c>
      <c r="C3342" s="11">
        <f>IFERROR(__xludf.DUMMYFUNCTION("""COMPUTED_VALUE"""),70.0)</f>
        <v>70</v>
      </c>
      <c r="D3342" s="11">
        <f>IFERROR(__xludf.DUMMYFUNCTION("""COMPUTED_VALUE"""),37.0)</f>
        <v>37</v>
      </c>
      <c r="E3342" s="9"/>
    </row>
    <row r="3343">
      <c r="A3343" s="10">
        <f>IFERROR(__xludf.DUMMYFUNCTION("""COMPUTED_VALUE"""),80205.0)</f>
        <v>80205</v>
      </c>
      <c r="B3343" s="11">
        <f>IFERROR(__xludf.DUMMYFUNCTION("""COMPUTED_VALUE"""),1.0)</f>
        <v>1</v>
      </c>
      <c r="C3343" s="11">
        <f>IFERROR(__xludf.DUMMYFUNCTION("""COMPUTED_VALUE"""),877.0)</f>
        <v>877</v>
      </c>
      <c r="D3343" s="11">
        <f>IFERROR(__xludf.DUMMYFUNCTION("""COMPUTED_VALUE"""),201.0)</f>
        <v>201</v>
      </c>
      <c r="E3343" s="9"/>
    </row>
    <row r="3344">
      <c r="A3344" s="10">
        <f>IFERROR(__xludf.DUMMYFUNCTION("""COMPUTED_VALUE"""),107064.0)</f>
        <v>107064</v>
      </c>
      <c r="B3344" s="11">
        <f>IFERROR(__xludf.DUMMYFUNCTION("""COMPUTED_VALUE"""),0.0)</f>
        <v>0</v>
      </c>
      <c r="C3344" s="11">
        <f>IFERROR(__xludf.DUMMYFUNCTION("""COMPUTED_VALUE"""),91.0)</f>
        <v>91</v>
      </c>
      <c r="D3344" s="11">
        <f>IFERROR(__xludf.DUMMYFUNCTION("""COMPUTED_VALUE"""),51.0)</f>
        <v>51</v>
      </c>
      <c r="E3344" s="9"/>
    </row>
    <row r="3345">
      <c r="A3345" s="10">
        <f>IFERROR(__xludf.DUMMYFUNCTION("""COMPUTED_VALUE"""),6211.0)</f>
        <v>6211</v>
      </c>
      <c r="B3345" s="11">
        <f>IFERROR(__xludf.DUMMYFUNCTION("""COMPUTED_VALUE"""),0.0)</f>
        <v>0</v>
      </c>
      <c r="C3345" s="11">
        <f>IFERROR(__xludf.DUMMYFUNCTION("""COMPUTED_VALUE"""),318.0)</f>
        <v>318</v>
      </c>
      <c r="D3345" s="11">
        <f>IFERROR(__xludf.DUMMYFUNCTION("""COMPUTED_VALUE"""),72.0)</f>
        <v>72</v>
      </c>
      <c r="E3345" s="9"/>
    </row>
    <row r="3346">
      <c r="A3346" s="10">
        <f>IFERROR(__xludf.DUMMYFUNCTION("""COMPUTED_VALUE"""),44036.0)</f>
        <v>44036</v>
      </c>
      <c r="B3346" s="11">
        <f>IFERROR(__xludf.DUMMYFUNCTION("""COMPUTED_VALUE"""),0.0)</f>
        <v>0</v>
      </c>
      <c r="C3346" s="11">
        <f>IFERROR(__xludf.DUMMYFUNCTION("""COMPUTED_VALUE"""),720.0)</f>
        <v>720</v>
      </c>
      <c r="D3346" s="11">
        <f>IFERROR(__xludf.DUMMYFUNCTION("""COMPUTED_VALUE"""),30.0)</f>
        <v>30</v>
      </c>
      <c r="E3346" s="9"/>
    </row>
    <row r="3347">
      <c r="A3347" s="10">
        <f>IFERROR(__xludf.DUMMYFUNCTION("""COMPUTED_VALUE"""),181493.0)</f>
        <v>181493</v>
      </c>
      <c r="B3347" s="11">
        <f>IFERROR(__xludf.DUMMYFUNCTION("""COMPUTED_VALUE"""),0.0)</f>
        <v>0</v>
      </c>
      <c r="C3347" s="11">
        <f>IFERROR(__xludf.DUMMYFUNCTION("""COMPUTED_VALUE"""),925.0)</f>
        <v>925</v>
      </c>
      <c r="D3347" s="11">
        <f>IFERROR(__xludf.DUMMYFUNCTION("""COMPUTED_VALUE"""),283.0)</f>
        <v>283</v>
      </c>
      <c r="E3347" s="9"/>
    </row>
    <row r="3348">
      <c r="A3348" s="10">
        <f>IFERROR(__xludf.DUMMYFUNCTION("""COMPUTED_VALUE"""),6210.0)</f>
        <v>6210</v>
      </c>
      <c r="B3348" s="11">
        <f>IFERROR(__xludf.DUMMYFUNCTION("""COMPUTED_VALUE"""),1.0)</f>
        <v>1</v>
      </c>
      <c r="C3348" s="11">
        <f>IFERROR(__xludf.DUMMYFUNCTION("""COMPUTED_VALUE"""),529.0)</f>
        <v>529</v>
      </c>
      <c r="D3348" s="11">
        <f>IFERROR(__xludf.DUMMYFUNCTION("""COMPUTED_VALUE"""),459.0)</f>
        <v>459</v>
      </c>
      <c r="E3348" s="9"/>
    </row>
    <row r="3349">
      <c r="A3349" s="10">
        <f>IFERROR(__xludf.DUMMYFUNCTION("""COMPUTED_VALUE"""),110431.0)</f>
        <v>110431</v>
      </c>
      <c r="B3349" s="11">
        <f>IFERROR(__xludf.DUMMYFUNCTION("""COMPUTED_VALUE"""),1.0)</f>
        <v>1</v>
      </c>
      <c r="C3349" s="11">
        <f>IFERROR(__xludf.DUMMYFUNCTION("""COMPUTED_VALUE"""),105.0)</f>
        <v>105</v>
      </c>
      <c r="D3349" s="11">
        <f>IFERROR(__xludf.DUMMYFUNCTION("""COMPUTED_VALUE"""),48.0)</f>
        <v>48</v>
      </c>
      <c r="E3349" s="9"/>
    </row>
    <row r="3350">
      <c r="A3350" s="10">
        <f>IFERROR(__xludf.DUMMYFUNCTION("""COMPUTED_VALUE"""),122878.0)</f>
        <v>122878</v>
      </c>
      <c r="B3350" s="11">
        <f>IFERROR(__xludf.DUMMYFUNCTION("""COMPUTED_VALUE"""),0.0)</f>
        <v>0</v>
      </c>
      <c r="C3350" s="11">
        <f>IFERROR(__xludf.DUMMYFUNCTION("""COMPUTED_VALUE"""),872.0)</f>
        <v>872</v>
      </c>
      <c r="D3350" s="11">
        <f>IFERROR(__xludf.DUMMYFUNCTION("""COMPUTED_VALUE"""),46.0)</f>
        <v>46</v>
      </c>
      <c r="E3350" s="9"/>
    </row>
    <row r="3351">
      <c r="A3351" s="10">
        <f>IFERROR(__xludf.DUMMYFUNCTION("""COMPUTED_VALUE"""),14092.0)</f>
        <v>14092</v>
      </c>
      <c r="B3351" s="11">
        <f>IFERROR(__xludf.DUMMYFUNCTION("""COMPUTED_VALUE"""),0.0)</f>
        <v>0</v>
      </c>
      <c r="C3351" s="11">
        <f>IFERROR(__xludf.DUMMYFUNCTION("""COMPUTED_VALUE"""),559.0)</f>
        <v>559</v>
      </c>
      <c r="D3351" s="11">
        <f>IFERROR(__xludf.DUMMYFUNCTION("""COMPUTED_VALUE"""),422.0)</f>
        <v>422</v>
      </c>
      <c r="E3351" s="9"/>
    </row>
    <row r="3352">
      <c r="A3352" s="10">
        <f>IFERROR(__xludf.DUMMYFUNCTION("""COMPUTED_VALUE"""),121621.0)</f>
        <v>121621</v>
      </c>
      <c r="B3352" s="11">
        <f>IFERROR(__xludf.DUMMYFUNCTION("""COMPUTED_VALUE"""),1.0)</f>
        <v>1</v>
      </c>
      <c r="C3352" s="11">
        <f>IFERROR(__xludf.DUMMYFUNCTION("""COMPUTED_VALUE"""),340.0)</f>
        <v>340</v>
      </c>
      <c r="D3352" s="11">
        <f>IFERROR(__xludf.DUMMYFUNCTION("""COMPUTED_VALUE"""),6.0)</f>
        <v>6</v>
      </c>
      <c r="E3352" s="9"/>
    </row>
    <row r="3353">
      <c r="A3353" s="10">
        <f>IFERROR(__xludf.DUMMYFUNCTION("""COMPUTED_VALUE"""),120511.0)</f>
        <v>120511</v>
      </c>
      <c r="B3353" s="11">
        <f>IFERROR(__xludf.DUMMYFUNCTION("""COMPUTED_VALUE"""),1.0)</f>
        <v>1</v>
      </c>
      <c r="C3353" s="11">
        <f>IFERROR(__xludf.DUMMYFUNCTION("""COMPUTED_VALUE"""),206.0)</f>
        <v>206</v>
      </c>
      <c r="D3353" s="11">
        <f>IFERROR(__xludf.DUMMYFUNCTION("""COMPUTED_VALUE"""),138.0)</f>
        <v>138</v>
      </c>
      <c r="E3353" s="9"/>
    </row>
    <row r="3354">
      <c r="A3354" s="10">
        <f>IFERROR(__xludf.DUMMYFUNCTION("""COMPUTED_VALUE"""),46132.0)</f>
        <v>46132</v>
      </c>
      <c r="B3354" s="11">
        <f>IFERROR(__xludf.DUMMYFUNCTION("""COMPUTED_VALUE"""),0.0)</f>
        <v>0</v>
      </c>
      <c r="C3354" s="11">
        <f>IFERROR(__xludf.DUMMYFUNCTION("""COMPUTED_VALUE"""),771.0)</f>
        <v>771</v>
      </c>
      <c r="D3354" s="11">
        <f>IFERROR(__xludf.DUMMYFUNCTION("""COMPUTED_VALUE"""),565.0)</f>
        <v>565</v>
      </c>
      <c r="E3354" s="9"/>
    </row>
    <row r="3355">
      <c r="A3355" s="10">
        <f>IFERROR(__xludf.DUMMYFUNCTION("""COMPUTED_VALUE"""),83014.0)</f>
        <v>83014</v>
      </c>
      <c r="B3355" s="11">
        <f>IFERROR(__xludf.DUMMYFUNCTION("""COMPUTED_VALUE"""),1.0)</f>
        <v>1</v>
      </c>
      <c r="C3355" s="11">
        <f>IFERROR(__xludf.DUMMYFUNCTION("""COMPUTED_VALUE"""),695.0)</f>
        <v>695</v>
      </c>
      <c r="D3355" s="11">
        <f>IFERROR(__xludf.DUMMYFUNCTION("""COMPUTED_VALUE"""),670.0)</f>
        <v>670</v>
      </c>
      <c r="E3355" s="9"/>
    </row>
    <row r="3356">
      <c r="A3356" s="10">
        <f>IFERROR(__xludf.DUMMYFUNCTION("""COMPUTED_VALUE"""),80199.0)</f>
        <v>80199</v>
      </c>
      <c r="B3356" s="11">
        <f>IFERROR(__xludf.DUMMYFUNCTION("""COMPUTED_VALUE"""),0.0)</f>
        <v>0</v>
      </c>
      <c r="C3356" s="11">
        <f>IFERROR(__xludf.DUMMYFUNCTION("""COMPUTED_VALUE"""),565.0)</f>
        <v>565</v>
      </c>
      <c r="D3356" s="11">
        <f>IFERROR(__xludf.DUMMYFUNCTION("""COMPUTED_VALUE"""),181.0)</f>
        <v>181</v>
      </c>
      <c r="E3356" s="9"/>
    </row>
    <row r="3357">
      <c r="A3357" s="10">
        <f>IFERROR(__xludf.DUMMYFUNCTION("""COMPUTED_VALUE"""),80201.0)</f>
        <v>80201</v>
      </c>
      <c r="B3357" s="11">
        <f>IFERROR(__xludf.DUMMYFUNCTION("""COMPUTED_VALUE"""),0.0)</f>
        <v>0</v>
      </c>
      <c r="C3357" s="11">
        <f>IFERROR(__xludf.DUMMYFUNCTION("""COMPUTED_VALUE"""),925.0)</f>
        <v>925</v>
      </c>
      <c r="D3357" s="11">
        <f>IFERROR(__xludf.DUMMYFUNCTION("""COMPUTED_VALUE"""),508.0)</f>
        <v>508</v>
      </c>
      <c r="E3357" s="9"/>
    </row>
    <row r="3358">
      <c r="A3358" s="10">
        <f>IFERROR(__xludf.DUMMYFUNCTION("""COMPUTED_VALUE"""),46131.0)</f>
        <v>46131</v>
      </c>
      <c r="B3358" s="11">
        <f>IFERROR(__xludf.DUMMYFUNCTION("""COMPUTED_VALUE"""),0.0)</f>
        <v>0</v>
      </c>
      <c r="C3358" s="11">
        <f>IFERROR(__xludf.DUMMYFUNCTION("""COMPUTED_VALUE"""),784.0)</f>
        <v>784</v>
      </c>
      <c r="D3358" s="11">
        <f>IFERROR(__xludf.DUMMYFUNCTION("""COMPUTED_VALUE"""),520.0)</f>
        <v>520</v>
      </c>
      <c r="E3358" s="9"/>
    </row>
    <row r="3359">
      <c r="A3359" s="10">
        <f>IFERROR(__xludf.DUMMYFUNCTION("""COMPUTED_VALUE"""),102346.0)</f>
        <v>102346</v>
      </c>
      <c r="B3359" s="11">
        <f>IFERROR(__xludf.DUMMYFUNCTION("""COMPUTED_VALUE"""),1.0)</f>
        <v>1</v>
      </c>
      <c r="C3359" s="11">
        <f>IFERROR(__xludf.DUMMYFUNCTION("""COMPUTED_VALUE"""),788.0)</f>
        <v>788</v>
      </c>
      <c r="D3359" s="11">
        <f>IFERROR(__xludf.DUMMYFUNCTION("""COMPUTED_VALUE"""),28.0)</f>
        <v>28</v>
      </c>
      <c r="E3359" s="9"/>
    </row>
    <row r="3360">
      <c r="A3360" s="10">
        <f>IFERROR(__xludf.DUMMYFUNCTION("""COMPUTED_VALUE"""),14094.0)</f>
        <v>14094</v>
      </c>
      <c r="B3360" s="11">
        <f>IFERROR(__xludf.DUMMYFUNCTION("""COMPUTED_VALUE"""),1.0)</f>
        <v>1</v>
      </c>
      <c r="C3360" s="11">
        <f>IFERROR(__xludf.DUMMYFUNCTION("""COMPUTED_VALUE"""),620.0)</f>
        <v>620</v>
      </c>
      <c r="D3360" s="11">
        <f>IFERROR(__xludf.DUMMYFUNCTION("""COMPUTED_VALUE"""),567.0)</f>
        <v>567</v>
      </c>
      <c r="E3360" s="9"/>
    </row>
    <row r="3361">
      <c r="A3361" s="10">
        <f>IFERROR(__xludf.DUMMYFUNCTION("""COMPUTED_VALUE"""),100679.0)</f>
        <v>100679</v>
      </c>
      <c r="B3361" s="11">
        <f>IFERROR(__xludf.DUMMYFUNCTION("""COMPUTED_VALUE"""),0.0)</f>
        <v>0</v>
      </c>
      <c r="C3361" s="11">
        <f>IFERROR(__xludf.DUMMYFUNCTION("""COMPUTED_VALUE"""),528.0)</f>
        <v>528</v>
      </c>
      <c r="D3361" s="11">
        <f>IFERROR(__xludf.DUMMYFUNCTION("""COMPUTED_VALUE"""),313.0)</f>
        <v>313</v>
      </c>
      <c r="E3361" s="9"/>
    </row>
    <row r="3362">
      <c r="A3362" s="10">
        <f>IFERROR(__xludf.DUMMYFUNCTION("""COMPUTED_VALUE"""),102345.0)</f>
        <v>102345</v>
      </c>
      <c r="B3362" s="11">
        <f>IFERROR(__xludf.DUMMYFUNCTION("""COMPUTED_VALUE"""),1.0)</f>
        <v>1</v>
      </c>
      <c r="C3362" s="11">
        <f>IFERROR(__xludf.DUMMYFUNCTION("""COMPUTED_VALUE"""),736.0)</f>
        <v>736</v>
      </c>
      <c r="D3362" s="11">
        <f>IFERROR(__xludf.DUMMYFUNCTION("""COMPUTED_VALUE"""),594.0)</f>
        <v>594</v>
      </c>
      <c r="E3362" s="9"/>
    </row>
    <row r="3363">
      <c r="A3363" s="10">
        <f>IFERROR(__xludf.DUMMYFUNCTION("""COMPUTED_VALUE"""),121695.0)</f>
        <v>121695</v>
      </c>
      <c r="B3363" s="11">
        <f>IFERROR(__xludf.DUMMYFUNCTION("""COMPUTED_VALUE"""),0.0)</f>
        <v>0</v>
      </c>
      <c r="C3363" s="11">
        <f>IFERROR(__xludf.DUMMYFUNCTION("""COMPUTED_VALUE"""),682.0)</f>
        <v>682</v>
      </c>
      <c r="D3363" s="11">
        <f>IFERROR(__xludf.DUMMYFUNCTION("""COMPUTED_VALUE"""),340.0)</f>
        <v>340</v>
      </c>
      <c r="E3363" s="9"/>
    </row>
    <row r="3364">
      <c r="A3364" s="10">
        <f>IFERROR(__xludf.DUMMYFUNCTION("""COMPUTED_VALUE"""),6204.0)</f>
        <v>6204</v>
      </c>
      <c r="B3364" s="11">
        <f>IFERROR(__xludf.DUMMYFUNCTION("""COMPUTED_VALUE"""),0.0)</f>
        <v>0</v>
      </c>
      <c r="C3364" s="11">
        <f>IFERROR(__xludf.DUMMYFUNCTION("""COMPUTED_VALUE"""),152.0)</f>
        <v>152</v>
      </c>
      <c r="D3364" s="11">
        <f>IFERROR(__xludf.DUMMYFUNCTION("""COMPUTED_VALUE"""),100.0)</f>
        <v>100</v>
      </c>
      <c r="E3364" s="9"/>
    </row>
    <row r="3365">
      <c r="A3365" s="10">
        <f>IFERROR(__xludf.DUMMYFUNCTION("""COMPUTED_VALUE"""),16571.0)</f>
        <v>16571</v>
      </c>
      <c r="B3365" s="11">
        <f>IFERROR(__xludf.DUMMYFUNCTION("""COMPUTED_VALUE"""),1.0)</f>
        <v>1</v>
      </c>
      <c r="C3365" s="11">
        <f>IFERROR(__xludf.DUMMYFUNCTION("""COMPUTED_VALUE"""),891.0)</f>
        <v>891</v>
      </c>
      <c r="D3365" s="11">
        <f>IFERROR(__xludf.DUMMYFUNCTION("""COMPUTED_VALUE"""),795.0)</f>
        <v>795</v>
      </c>
      <c r="E3365" s="9"/>
    </row>
    <row r="3366">
      <c r="A3366" s="10">
        <f>IFERROR(__xludf.DUMMYFUNCTION("""COMPUTED_VALUE"""),181494.0)</f>
        <v>181494</v>
      </c>
      <c r="B3366" s="11">
        <f>IFERROR(__xludf.DUMMYFUNCTION("""COMPUTED_VALUE"""),1.0)</f>
        <v>1</v>
      </c>
      <c r="C3366" s="11">
        <f>IFERROR(__xludf.DUMMYFUNCTION("""COMPUTED_VALUE"""),907.0)</f>
        <v>907</v>
      </c>
      <c r="D3366" s="11">
        <f>IFERROR(__xludf.DUMMYFUNCTION("""COMPUTED_VALUE"""),468.0)</f>
        <v>468</v>
      </c>
      <c r="E3366" s="9"/>
    </row>
    <row r="3367">
      <c r="A3367" s="10">
        <f>IFERROR(__xludf.DUMMYFUNCTION("""COMPUTED_VALUE"""),80315.0)</f>
        <v>80315</v>
      </c>
      <c r="B3367" s="11">
        <f>IFERROR(__xludf.DUMMYFUNCTION("""COMPUTED_VALUE"""),1.0)</f>
        <v>1</v>
      </c>
      <c r="C3367" s="11">
        <f>IFERROR(__xludf.DUMMYFUNCTION("""COMPUTED_VALUE"""),320.0)</f>
        <v>320</v>
      </c>
      <c r="D3367" s="11">
        <f>IFERROR(__xludf.DUMMYFUNCTION("""COMPUTED_VALUE"""),265.0)</f>
        <v>265</v>
      </c>
      <c r="E3367" s="9"/>
    </row>
    <row r="3368">
      <c r="A3368" s="10">
        <f>IFERROR(__xludf.DUMMYFUNCTION("""COMPUTED_VALUE"""),83054.0)</f>
        <v>83054</v>
      </c>
      <c r="B3368" s="11">
        <f>IFERROR(__xludf.DUMMYFUNCTION("""COMPUTED_VALUE"""),0.0)</f>
        <v>0</v>
      </c>
      <c r="C3368" s="11">
        <f>IFERROR(__xludf.DUMMYFUNCTION("""COMPUTED_VALUE"""),397.0)</f>
        <v>397</v>
      </c>
      <c r="D3368" s="11">
        <f>IFERROR(__xludf.DUMMYFUNCTION("""COMPUTED_VALUE"""),252.0)</f>
        <v>252</v>
      </c>
      <c r="E3368" s="9"/>
    </row>
    <row r="3369">
      <c r="A3369" s="10">
        <f>IFERROR(__xludf.DUMMYFUNCTION("""COMPUTED_VALUE"""),83056.0)</f>
        <v>83056</v>
      </c>
      <c r="B3369" s="11">
        <f>IFERROR(__xludf.DUMMYFUNCTION("""COMPUTED_VALUE"""),0.0)</f>
        <v>0</v>
      </c>
      <c r="C3369" s="11">
        <f>IFERROR(__xludf.DUMMYFUNCTION("""COMPUTED_VALUE"""),397.0)</f>
        <v>397</v>
      </c>
      <c r="D3369" s="11">
        <f>IFERROR(__xludf.DUMMYFUNCTION("""COMPUTED_VALUE"""),242.0)</f>
        <v>242</v>
      </c>
      <c r="E3369" s="9"/>
    </row>
    <row r="3370">
      <c r="A3370" s="10">
        <f>IFERROR(__xludf.DUMMYFUNCTION("""COMPUTED_VALUE"""),83055.0)</f>
        <v>83055</v>
      </c>
      <c r="B3370" s="11">
        <f>IFERROR(__xludf.DUMMYFUNCTION("""COMPUTED_VALUE"""),1.0)</f>
        <v>1</v>
      </c>
      <c r="C3370" s="11">
        <f>IFERROR(__xludf.DUMMYFUNCTION("""COMPUTED_VALUE"""),772.0)</f>
        <v>772</v>
      </c>
      <c r="D3370" s="11">
        <f>IFERROR(__xludf.DUMMYFUNCTION("""COMPUTED_VALUE"""),546.0)</f>
        <v>546</v>
      </c>
      <c r="E3370" s="9"/>
    </row>
    <row r="3371">
      <c r="A3371" s="10">
        <f>IFERROR(__xludf.DUMMYFUNCTION("""COMPUTED_VALUE"""),46134.0)</f>
        <v>46134</v>
      </c>
      <c r="B3371" s="11">
        <f>IFERROR(__xludf.DUMMYFUNCTION("""COMPUTED_VALUE"""),0.0)</f>
        <v>0</v>
      </c>
      <c r="C3371" s="11">
        <f>IFERROR(__xludf.DUMMYFUNCTION("""COMPUTED_VALUE"""),32.0)</f>
        <v>32</v>
      </c>
      <c r="D3371" s="11">
        <f>IFERROR(__xludf.DUMMYFUNCTION("""COMPUTED_VALUE"""),7.0)</f>
        <v>7</v>
      </c>
      <c r="E3371" s="9"/>
    </row>
    <row r="3372">
      <c r="A3372" s="10">
        <f>IFERROR(__xludf.DUMMYFUNCTION("""COMPUTED_VALUE"""),121693.0)</f>
        <v>121693</v>
      </c>
      <c r="B3372" s="11">
        <f>IFERROR(__xludf.DUMMYFUNCTION("""COMPUTED_VALUE"""),0.0)</f>
        <v>0</v>
      </c>
      <c r="C3372" s="11">
        <f>IFERROR(__xludf.DUMMYFUNCTION("""COMPUTED_VALUE"""),219.0)</f>
        <v>219</v>
      </c>
      <c r="D3372" s="11">
        <f>IFERROR(__xludf.DUMMYFUNCTION("""COMPUTED_VALUE"""),80.0)</f>
        <v>80</v>
      </c>
      <c r="E3372" s="9"/>
    </row>
    <row r="3373">
      <c r="A3373" s="10">
        <f>IFERROR(__xludf.DUMMYFUNCTION("""COMPUTED_VALUE"""),102344.0)</f>
        <v>102344</v>
      </c>
      <c r="B3373" s="11">
        <f>IFERROR(__xludf.DUMMYFUNCTION("""COMPUTED_VALUE"""),0.0)</f>
        <v>0</v>
      </c>
      <c r="C3373" s="11">
        <f>IFERROR(__xludf.DUMMYFUNCTION("""COMPUTED_VALUE"""),194.0)</f>
        <v>194</v>
      </c>
      <c r="D3373" s="11">
        <f>IFERROR(__xludf.DUMMYFUNCTION("""COMPUTED_VALUE"""),90.0)</f>
        <v>90</v>
      </c>
      <c r="E3373" s="9"/>
    </row>
    <row r="3374">
      <c r="A3374" s="10">
        <f>IFERROR(__xludf.DUMMYFUNCTION("""COMPUTED_VALUE"""),100687.0)</f>
        <v>100687</v>
      </c>
      <c r="B3374" s="11">
        <f>IFERROR(__xludf.DUMMYFUNCTION("""COMPUTED_VALUE"""),0.0)</f>
        <v>0</v>
      </c>
      <c r="C3374" s="11">
        <f>IFERROR(__xludf.DUMMYFUNCTION("""COMPUTED_VALUE"""),899.0)</f>
        <v>899</v>
      </c>
      <c r="D3374" s="11">
        <f>IFERROR(__xludf.DUMMYFUNCTION("""COMPUTED_VALUE"""),474.0)</f>
        <v>474</v>
      </c>
      <c r="E3374" s="9"/>
    </row>
    <row r="3375">
      <c r="A3375" s="10">
        <f>IFERROR(__xludf.DUMMYFUNCTION("""COMPUTED_VALUE"""),70327.0)</f>
        <v>70327</v>
      </c>
      <c r="B3375" s="11">
        <f>IFERROR(__xludf.DUMMYFUNCTION("""COMPUTED_VALUE"""),1.0)</f>
        <v>1</v>
      </c>
      <c r="C3375" s="11">
        <f>IFERROR(__xludf.DUMMYFUNCTION("""COMPUTED_VALUE"""),212.0)</f>
        <v>212</v>
      </c>
      <c r="D3375" s="11">
        <f>IFERROR(__xludf.DUMMYFUNCTION("""COMPUTED_VALUE"""),184.0)</f>
        <v>184</v>
      </c>
      <c r="E3375" s="9"/>
    </row>
    <row r="3376">
      <c r="A3376" s="10">
        <f>IFERROR(__xludf.DUMMYFUNCTION("""COMPUTED_VALUE"""),80191.0)</f>
        <v>80191</v>
      </c>
      <c r="B3376" s="11">
        <f>IFERROR(__xludf.DUMMYFUNCTION("""COMPUTED_VALUE"""),0.0)</f>
        <v>0</v>
      </c>
      <c r="C3376" s="11">
        <f>IFERROR(__xludf.DUMMYFUNCTION("""COMPUTED_VALUE"""),437.0)</f>
        <v>437</v>
      </c>
      <c r="D3376" s="11">
        <f>IFERROR(__xludf.DUMMYFUNCTION("""COMPUTED_VALUE"""),171.0)</f>
        <v>171</v>
      </c>
      <c r="E3376" s="9"/>
    </row>
    <row r="3377">
      <c r="A3377" s="10">
        <f>IFERROR(__xludf.DUMMYFUNCTION("""COMPUTED_VALUE"""),103037.0)</f>
        <v>103037</v>
      </c>
      <c r="B3377" s="11">
        <f>IFERROR(__xludf.DUMMYFUNCTION("""COMPUTED_VALUE"""),0.0)</f>
        <v>0</v>
      </c>
      <c r="C3377" s="11">
        <f>IFERROR(__xludf.DUMMYFUNCTION("""COMPUTED_VALUE"""),157.0)</f>
        <v>157</v>
      </c>
      <c r="D3377" s="11">
        <f>IFERROR(__xludf.DUMMYFUNCTION("""COMPUTED_VALUE"""),128.0)</f>
        <v>128</v>
      </c>
      <c r="E3377" s="9"/>
    </row>
    <row r="3378">
      <c r="A3378" s="10">
        <f>IFERROR(__xludf.DUMMYFUNCTION("""COMPUTED_VALUE"""),6205.0)</f>
        <v>6205</v>
      </c>
      <c r="B3378" s="11">
        <f>IFERROR(__xludf.DUMMYFUNCTION("""COMPUTED_VALUE"""),0.0)</f>
        <v>0</v>
      </c>
      <c r="C3378" s="11">
        <f>IFERROR(__xludf.DUMMYFUNCTION("""COMPUTED_VALUE"""),838.0)</f>
        <v>838</v>
      </c>
      <c r="D3378" s="11">
        <f>IFERROR(__xludf.DUMMYFUNCTION("""COMPUTED_VALUE"""),459.0)</f>
        <v>459</v>
      </c>
      <c r="E3378" s="9"/>
    </row>
    <row r="3379">
      <c r="A3379" s="10">
        <f>IFERROR(__xludf.DUMMYFUNCTION("""COMPUTED_VALUE"""),70387.0)</f>
        <v>70387</v>
      </c>
      <c r="B3379" s="11">
        <f>IFERROR(__xludf.DUMMYFUNCTION("""COMPUTED_VALUE"""),0.0)</f>
        <v>0</v>
      </c>
      <c r="C3379" s="11">
        <f>IFERROR(__xludf.DUMMYFUNCTION("""COMPUTED_VALUE"""),19.0)</f>
        <v>19</v>
      </c>
      <c r="D3379" s="11">
        <f>IFERROR(__xludf.DUMMYFUNCTION("""COMPUTED_VALUE"""),11.0)</f>
        <v>11</v>
      </c>
      <c r="E3379" s="9"/>
    </row>
    <row r="3380">
      <c r="A3380" s="10">
        <f>IFERROR(__xludf.DUMMYFUNCTION("""COMPUTED_VALUE"""),122278.0)</f>
        <v>122278</v>
      </c>
      <c r="B3380" s="11">
        <f>IFERROR(__xludf.DUMMYFUNCTION("""COMPUTED_VALUE"""),1.0)</f>
        <v>1</v>
      </c>
      <c r="C3380" s="11">
        <f>IFERROR(__xludf.DUMMYFUNCTION("""COMPUTED_VALUE"""),456.0)</f>
        <v>456</v>
      </c>
      <c r="D3380" s="11">
        <f>IFERROR(__xludf.DUMMYFUNCTION("""COMPUTED_VALUE"""),424.0)</f>
        <v>424</v>
      </c>
      <c r="E3380" s="9"/>
    </row>
    <row r="3381">
      <c r="A3381" s="10">
        <f>IFERROR(__xludf.DUMMYFUNCTION("""COMPUTED_VALUE"""),29365.0)</f>
        <v>29365</v>
      </c>
      <c r="B3381" s="11">
        <f>IFERROR(__xludf.DUMMYFUNCTION("""COMPUTED_VALUE"""),0.0)</f>
        <v>0</v>
      </c>
      <c r="C3381" s="11">
        <f>IFERROR(__xludf.DUMMYFUNCTION("""COMPUTED_VALUE"""),861.0)</f>
        <v>861</v>
      </c>
      <c r="D3381" s="11">
        <f>IFERROR(__xludf.DUMMYFUNCTION("""COMPUTED_VALUE"""),271.0)</f>
        <v>271</v>
      </c>
      <c r="E3381" s="9"/>
    </row>
    <row r="3382">
      <c r="A3382" s="10">
        <f>IFERROR(__xludf.DUMMYFUNCTION("""COMPUTED_VALUE"""),17769.0)</f>
        <v>17769</v>
      </c>
      <c r="B3382" s="11">
        <f>IFERROR(__xludf.DUMMYFUNCTION("""COMPUTED_VALUE"""),0.0)</f>
        <v>0</v>
      </c>
      <c r="C3382" s="11">
        <f>IFERROR(__xludf.DUMMYFUNCTION("""COMPUTED_VALUE"""),430.0)</f>
        <v>430</v>
      </c>
      <c r="D3382" s="11">
        <f>IFERROR(__xludf.DUMMYFUNCTION("""COMPUTED_VALUE"""),221.0)</f>
        <v>221</v>
      </c>
      <c r="E3382" s="9"/>
    </row>
    <row r="3383">
      <c r="A3383" s="10">
        <f>IFERROR(__xludf.DUMMYFUNCTION("""COMPUTED_VALUE"""),23144.0)</f>
        <v>23144</v>
      </c>
      <c r="B3383" s="11">
        <f>IFERROR(__xludf.DUMMYFUNCTION("""COMPUTED_VALUE"""),1.0)</f>
        <v>1</v>
      </c>
      <c r="C3383" s="11">
        <f>IFERROR(__xludf.DUMMYFUNCTION("""COMPUTED_VALUE"""),433.0)</f>
        <v>433</v>
      </c>
      <c r="D3383" s="11">
        <f>IFERROR(__xludf.DUMMYFUNCTION("""COMPUTED_VALUE"""),383.0)</f>
        <v>383</v>
      </c>
      <c r="E3383" s="9"/>
    </row>
    <row r="3384">
      <c r="A3384" s="10">
        <f>IFERROR(__xludf.DUMMYFUNCTION("""COMPUTED_VALUE"""),120115.0)</f>
        <v>120115</v>
      </c>
      <c r="B3384" s="11">
        <f>IFERROR(__xludf.DUMMYFUNCTION("""COMPUTED_VALUE"""),1.0)</f>
        <v>1</v>
      </c>
      <c r="C3384" s="11">
        <f>IFERROR(__xludf.DUMMYFUNCTION("""COMPUTED_VALUE"""),747.0)</f>
        <v>747</v>
      </c>
      <c r="D3384" s="11">
        <f>IFERROR(__xludf.DUMMYFUNCTION("""COMPUTED_VALUE"""),484.0)</f>
        <v>484</v>
      </c>
      <c r="E3384" s="9"/>
    </row>
    <row r="3385">
      <c r="A3385" s="10">
        <f>IFERROR(__xludf.DUMMYFUNCTION("""COMPUTED_VALUE"""),29384.0)</f>
        <v>29384</v>
      </c>
      <c r="B3385" s="11">
        <f>IFERROR(__xludf.DUMMYFUNCTION("""COMPUTED_VALUE"""),0.0)</f>
        <v>0</v>
      </c>
      <c r="C3385" s="11">
        <f>IFERROR(__xludf.DUMMYFUNCTION("""COMPUTED_VALUE"""),513.0)</f>
        <v>513</v>
      </c>
      <c r="D3385" s="11">
        <f>IFERROR(__xludf.DUMMYFUNCTION("""COMPUTED_VALUE"""),490.0)</f>
        <v>490</v>
      </c>
      <c r="E3385" s="9"/>
    </row>
    <row r="3386">
      <c r="A3386" s="10">
        <f>IFERROR(__xludf.DUMMYFUNCTION("""COMPUTED_VALUE"""),17746.0)</f>
        <v>17746</v>
      </c>
      <c r="B3386" s="11">
        <f>IFERROR(__xludf.DUMMYFUNCTION("""COMPUTED_VALUE"""),0.0)</f>
        <v>0</v>
      </c>
      <c r="C3386" s="11">
        <f>IFERROR(__xludf.DUMMYFUNCTION("""COMPUTED_VALUE"""),630.0)</f>
        <v>630</v>
      </c>
      <c r="D3386" s="11">
        <f>IFERROR(__xludf.DUMMYFUNCTION("""COMPUTED_VALUE"""),106.0)</f>
        <v>106</v>
      </c>
      <c r="E3386" s="9"/>
    </row>
    <row r="3387">
      <c r="A3387" s="10">
        <f>IFERROR(__xludf.DUMMYFUNCTION("""COMPUTED_VALUE"""),121630.0)</f>
        <v>121630</v>
      </c>
      <c r="B3387" s="11">
        <f>IFERROR(__xludf.DUMMYFUNCTION("""COMPUTED_VALUE"""),0.0)</f>
        <v>0</v>
      </c>
      <c r="C3387" s="11">
        <f>IFERROR(__xludf.DUMMYFUNCTION("""COMPUTED_VALUE"""),29.0)</f>
        <v>29</v>
      </c>
      <c r="D3387" s="11">
        <f>IFERROR(__xludf.DUMMYFUNCTION("""COMPUTED_VALUE"""),19.0)</f>
        <v>19</v>
      </c>
      <c r="E3387" s="9"/>
    </row>
    <row r="3388">
      <c r="A3388" s="10">
        <f>IFERROR(__xludf.DUMMYFUNCTION("""COMPUTED_VALUE"""),29385.0)</f>
        <v>29385</v>
      </c>
      <c r="B3388" s="11">
        <f>IFERROR(__xludf.DUMMYFUNCTION("""COMPUTED_VALUE"""),0.0)</f>
        <v>0</v>
      </c>
      <c r="C3388" s="11">
        <f>IFERROR(__xludf.DUMMYFUNCTION("""COMPUTED_VALUE"""),336.0)</f>
        <v>336</v>
      </c>
      <c r="D3388" s="11">
        <f>IFERROR(__xludf.DUMMYFUNCTION("""COMPUTED_VALUE"""),117.0)</f>
        <v>117</v>
      </c>
      <c r="E3388" s="9"/>
    </row>
    <row r="3389">
      <c r="A3389" s="10">
        <f>IFERROR(__xludf.DUMMYFUNCTION("""COMPUTED_VALUE"""),17767.0)</f>
        <v>17767</v>
      </c>
      <c r="B3389" s="11">
        <f>IFERROR(__xludf.DUMMYFUNCTION("""COMPUTED_VALUE"""),0.0)</f>
        <v>0</v>
      </c>
      <c r="C3389" s="11">
        <f>IFERROR(__xludf.DUMMYFUNCTION("""COMPUTED_VALUE"""),797.0)</f>
        <v>797</v>
      </c>
      <c r="D3389" s="11">
        <f>IFERROR(__xludf.DUMMYFUNCTION("""COMPUTED_VALUE"""),689.0)</f>
        <v>689</v>
      </c>
      <c r="E3389" s="9"/>
    </row>
    <row r="3390">
      <c r="A3390" s="10">
        <f>IFERROR(__xludf.DUMMYFUNCTION("""COMPUTED_VALUE"""),103047.0)</f>
        <v>103047</v>
      </c>
      <c r="B3390" s="11">
        <f>IFERROR(__xludf.DUMMYFUNCTION("""COMPUTED_VALUE"""),1.0)</f>
        <v>1</v>
      </c>
      <c r="C3390" s="11">
        <f>IFERROR(__xludf.DUMMYFUNCTION("""COMPUTED_VALUE"""),141.0)</f>
        <v>141</v>
      </c>
      <c r="D3390" s="11">
        <f>IFERROR(__xludf.DUMMYFUNCTION("""COMPUTED_VALUE"""),75.0)</f>
        <v>75</v>
      </c>
      <c r="E3390" s="9"/>
    </row>
    <row r="3391">
      <c r="A3391" s="10">
        <f>IFERROR(__xludf.DUMMYFUNCTION("""COMPUTED_VALUE"""),70209.0)</f>
        <v>70209</v>
      </c>
      <c r="B3391" s="11">
        <f>IFERROR(__xludf.DUMMYFUNCTION("""COMPUTED_VALUE"""),0.0)</f>
        <v>0</v>
      </c>
      <c r="C3391" s="11">
        <f>IFERROR(__xludf.DUMMYFUNCTION("""COMPUTED_VALUE"""),829.0)</f>
        <v>829</v>
      </c>
      <c r="D3391" s="11">
        <f>IFERROR(__xludf.DUMMYFUNCTION("""COMPUTED_VALUE"""),697.0)</f>
        <v>697</v>
      </c>
      <c r="E3391" s="9"/>
    </row>
    <row r="3392">
      <c r="A3392" s="10">
        <f>IFERROR(__xludf.DUMMYFUNCTION("""COMPUTED_VALUE"""),29372.0)</f>
        <v>29372</v>
      </c>
      <c r="B3392" s="11">
        <f>IFERROR(__xludf.DUMMYFUNCTION("""COMPUTED_VALUE"""),0.0)</f>
        <v>0</v>
      </c>
      <c r="C3392" s="11">
        <f>IFERROR(__xludf.DUMMYFUNCTION("""COMPUTED_VALUE"""),432.0)</f>
        <v>432</v>
      </c>
      <c r="D3392" s="11">
        <f>IFERROR(__xludf.DUMMYFUNCTION("""COMPUTED_VALUE"""),276.0)</f>
        <v>276</v>
      </c>
      <c r="E3392" s="9"/>
    </row>
    <row r="3393">
      <c r="A3393" s="10">
        <f>IFERROR(__xludf.DUMMYFUNCTION("""COMPUTED_VALUE"""),120485.0)</f>
        <v>120485</v>
      </c>
      <c r="B3393" s="11">
        <f>IFERROR(__xludf.DUMMYFUNCTION("""COMPUTED_VALUE"""),0.0)</f>
        <v>0</v>
      </c>
      <c r="C3393" s="11">
        <f>IFERROR(__xludf.DUMMYFUNCTION("""COMPUTED_VALUE"""),249.0)</f>
        <v>249</v>
      </c>
      <c r="D3393" s="11">
        <f>IFERROR(__xludf.DUMMYFUNCTION("""COMPUTED_VALUE"""),98.0)</f>
        <v>98</v>
      </c>
      <c r="E3393" s="9"/>
    </row>
    <row r="3394">
      <c r="A3394" s="10">
        <f>IFERROR(__xludf.DUMMYFUNCTION("""COMPUTED_VALUE"""),120486.0)</f>
        <v>120486</v>
      </c>
      <c r="B3394" s="11">
        <f>IFERROR(__xludf.DUMMYFUNCTION("""COMPUTED_VALUE"""),1.0)</f>
        <v>1</v>
      </c>
      <c r="C3394" s="11">
        <f>IFERROR(__xludf.DUMMYFUNCTION("""COMPUTED_VALUE"""),588.0)</f>
        <v>588</v>
      </c>
      <c r="D3394" s="11">
        <f>IFERROR(__xludf.DUMMYFUNCTION("""COMPUTED_VALUE"""),153.0)</f>
        <v>153</v>
      </c>
      <c r="E3394" s="9"/>
    </row>
    <row r="3395">
      <c r="A3395" s="10">
        <f>IFERROR(__xludf.DUMMYFUNCTION("""COMPUTED_VALUE"""),70293.0)</f>
        <v>70293</v>
      </c>
      <c r="B3395" s="11">
        <f>IFERROR(__xludf.DUMMYFUNCTION("""COMPUTED_VALUE"""),1.0)</f>
        <v>1</v>
      </c>
      <c r="C3395" s="11">
        <f>IFERROR(__xludf.DUMMYFUNCTION("""COMPUTED_VALUE"""),934.0)</f>
        <v>934</v>
      </c>
      <c r="D3395" s="11">
        <f>IFERROR(__xludf.DUMMYFUNCTION("""COMPUTED_VALUE"""),422.0)</f>
        <v>422</v>
      </c>
      <c r="E3395" s="9"/>
    </row>
    <row r="3396">
      <c r="A3396" s="10">
        <f>IFERROR(__xludf.DUMMYFUNCTION("""COMPUTED_VALUE"""),71772.0)</f>
        <v>71772</v>
      </c>
      <c r="B3396" s="11">
        <f>IFERROR(__xludf.DUMMYFUNCTION("""COMPUTED_VALUE"""),0.0)</f>
        <v>0</v>
      </c>
      <c r="C3396" s="11">
        <f>IFERROR(__xludf.DUMMYFUNCTION("""COMPUTED_VALUE"""),314.0)</f>
        <v>314</v>
      </c>
      <c r="D3396" s="11">
        <f>IFERROR(__xludf.DUMMYFUNCTION("""COMPUTED_VALUE"""),35.0)</f>
        <v>35</v>
      </c>
      <c r="E3396" s="9"/>
    </row>
    <row r="3397">
      <c r="A3397" s="10">
        <f>IFERROR(__xludf.DUMMYFUNCTION("""COMPUTED_VALUE"""),86111.0)</f>
        <v>86111</v>
      </c>
      <c r="B3397" s="11">
        <f>IFERROR(__xludf.DUMMYFUNCTION("""COMPUTED_VALUE"""),0.0)</f>
        <v>0</v>
      </c>
      <c r="C3397" s="11">
        <f>IFERROR(__xludf.DUMMYFUNCTION("""COMPUTED_VALUE"""),157.0)</f>
        <v>157</v>
      </c>
      <c r="D3397" s="11">
        <f>IFERROR(__xludf.DUMMYFUNCTION("""COMPUTED_VALUE"""),153.0)</f>
        <v>153</v>
      </c>
      <c r="E3397" s="9"/>
    </row>
    <row r="3398">
      <c r="A3398" s="10">
        <f>IFERROR(__xludf.DUMMYFUNCTION("""COMPUTED_VALUE"""),71840.0)</f>
        <v>71840</v>
      </c>
      <c r="B3398" s="11">
        <f>IFERROR(__xludf.DUMMYFUNCTION("""COMPUTED_VALUE"""),0.0)</f>
        <v>0</v>
      </c>
      <c r="C3398" s="11">
        <f>IFERROR(__xludf.DUMMYFUNCTION("""COMPUTED_VALUE"""),133.0)</f>
        <v>133</v>
      </c>
      <c r="D3398" s="11">
        <f>IFERROR(__xludf.DUMMYFUNCTION("""COMPUTED_VALUE"""),59.0)</f>
        <v>59</v>
      </c>
      <c r="E3398" s="9"/>
    </row>
    <row r="3399">
      <c r="A3399" s="10">
        <f>IFERROR(__xludf.DUMMYFUNCTION("""COMPUTED_VALUE"""),28533.0)</f>
        <v>28533</v>
      </c>
      <c r="B3399" s="11">
        <f>IFERROR(__xludf.DUMMYFUNCTION("""COMPUTED_VALUE"""),0.0)</f>
        <v>0</v>
      </c>
      <c r="C3399" s="11">
        <f>IFERROR(__xludf.DUMMYFUNCTION("""COMPUTED_VALUE"""),55.0)</f>
        <v>55</v>
      </c>
      <c r="D3399" s="11">
        <f>IFERROR(__xludf.DUMMYFUNCTION("""COMPUTED_VALUE"""),47.0)</f>
        <v>47</v>
      </c>
      <c r="E3399" s="9"/>
    </row>
    <row r="3400">
      <c r="A3400" s="10">
        <f>IFERROR(__xludf.DUMMYFUNCTION("""COMPUTED_VALUE"""),86994.0)</f>
        <v>86994</v>
      </c>
      <c r="B3400" s="11">
        <f>IFERROR(__xludf.DUMMYFUNCTION("""COMPUTED_VALUE"""),0.0)</f>
        <v>0</v>
      </c>
      <c r="C3400" s="11">
        <f>IFERROR(__xludf.DUMMYFUNCTION("""COMPUTED_VALUE"""),689.0)</f>
        <v>689</v>
      </c>
      <c r="D3400" s="11">
        <f>IFERROR(__xludf.DUMMYFUNCTION("""COMPUTED_VALUE"""),576.0)</f>
        <v>576</v>
      </c>
      <c r="E3400" s="9"/>
    </row>
    <row r="3401">
      <c r="A3401" s="10">
        <f>IFERROR(__xludf.DUMMYFUNCTION("""COMPUTED_VALUE"""),124881.0)</f>
        <v>124881</v>
      </c>
      <c r="B3401" s="11">
        <f>IFERROR(__xludf.DUMMYFUNCTION("""COMPUTED_VALUE"""),0.0)</f>
        <v>0</v>
      </c>
      <c r="C3401" s="11">
        <f>IFERROR(__xludf.DUMMYFUNCTION("""COMPUTED_VALUE"""),684.0)</f>
        <v>684</v>
      </c>
      <c r="D3401" s="11">
        <f>IFERROR(__xludf.DUMMYFUNCTION("""COMPUTED_VALUE"""),391.0)</f>
        <v>391</v>
      </c>
      <c r="E3401" s="9"/>
    </row>
    <row r="3402">
      <c r="A3402" s="10">
        <f>IFERROR(__xludf.DUMMYFUNCTION("""COMPUTED_VALUE"""),119280.0)</f>
        <v>119280</v>
      </c>
      <c r="B3402" s="11">
        <f>IFERROR(__xludf.DUMMYFUNCTION("""COMPUTED_VALUE"""),0.0)</f>
        <v>0</v>
      </c>
      <c r="C3402" s="11">
        <f>IFERROR(__xludf.DUMMYFUNCTION("""COMPUTED_VALUE"""),604.0)</f>
        <v>604</v>
      </c>
      <c r="D3402" s="11">
        <f>IFERROR(__xludf.DUMMYFUNCTION("""COMPUTED_VALUE"""),123.0)</f>
        <v>123</v>
      </c>
      <c r="E3402" s="9"/>
    </row>
    <row r="3403">
      <c r="A3403" s="10">
        <f>IFERROR(__xludf.DUMMYFUNCTION("""COMPUTED_VALUE"""),87001.0)</f>
        <v>87001</v>
      </c>
      <c r="B3403" s="11">
        <f>IFERROR(__xludf.DUMMYFUNCTION("""COMPUTED_VALUE"""),0.0)</f>
        <v>0</v>
      </c>
      <c r="C3403" s="11">
        <f>IFERROR(__xludf.DUMMYFUNCTION("""COMPUTED_VALUE"""),245.0)</f>
        <v>245</v>
      </c>
      <c r="D3403" s="11">
        <f>IFERROR(__xludf.DUMMYFUNCTION("""COMPUTED_VALUE"""),183.0)</f>
        <v>183</v>
      </c>
      <c r="E3403" s="9"/>
    </row>
    <row r="3404">
      <c r="A3404" s="10">
        <f>IFERROR(__xludf.DUMMYFUNCTION("""COMPUTED_VALUE"""),71839.0)</f>
        <v>71839</v>
      </c>
      <c r="B3404" s="11">
        <f>IFERROR(__xludf.DUMMYFUNCTION("""COMPUTED_VALUE"""),1.0)</f>
        <v>1</v>
      </c>
      <c r="C3404" s="11">
        <f>IFERROR(__xludf.DUMMYFUNCTION("""COMPUTED_VALUE"""),139.0)</f>
        <v>139</v>
      </c>
      <c r="D3404" s="11">
        <f>IFERROR(__xludf.DUMMYFUNCTION("""COMPUTED_VALUE"""),132.0)</f>
        <v>132</v>
      </c>
      <c r="E3404" s="9"/>
    </row>
    <row r="3405">
      <c r="A3405" s="10">
        <f>IFERROR(__xludf.DUMMYFUNCTION("""COMPUTED_VALUE"""),119288.0)</f>
        <v>119288</v>
      </c>
      <c r="B3405" s="11">
        <f>IFERROR(__xludf.DUMMYFUNCTION("""COMPUTED_VALUE"""),0.0)</f>
        <v>0</v>
      </c>
      <c r="C3405" s="11">
        <f>IFERROR(__xludf.DUMMYFUNCTION("""COMPUTED_VALUE"""),340.0)</f>
        <v>340</v>
      </c>
      <c r="D3405" s="11">
        <f>IFERROR(__xludf.DUMMYFUNCTION("""COMPUTED_VALUE"""),340.0)</f>
        <v>340</v>
      </c>
      <c r="E3405" s="9"/>
    </row>
    <row r="3406">
      <c r="A3406" s="10">
        <f>IFERROR(__xludf.DUMMYFUNCTION("""COMPUTED_VALUE"""),71770.0)</f>
        <v>71770</v>
      </c>
      <c r="B3406" s="11">
        <f>IFERROR(__xludf.DUMMYFUNCTION("""COMPUTED_VALUE"""),1.0)</f>
        <v>1</v>
      </c>
      <c r="C3406" s="11">
        <f>IFERROR(__xludf.DUMMYFUNCTION("""COMPUTED_VALUE"""),85.0)</f>
        <v>85</v>
      </c>
      <c r="D3406" s="11">
        <f>IFERROR(__xludf.DUMMYFUNCTION("""COMPUTED_VALUE"""),2.0)</f>
        <v>2</v>
      </c>
      <c r="E3406" s="9"/>
    </row>
    <row r="3407">
      <c r="A3407" s="10">
        <f>IFERROR(__xludf.DUMMYFUNCTION("""COMPUTED_VALUE"""),28536.0)</f>
        <v>28536</v>
      </c>
      <c r="B3407" s="11">
        <f>IFERROR(__xludf.DUMMYFUNCTION("""COMPUTED_VALUE"""),1.0)</f>
        <v>1</v>
      </c>
      <c r="C3407" s="11">
        <f>IFERROR(__xludf.DUMMYFUNCTION("""COMPUTED_VALUE"""),50.0)</f>
        <v>50</v>
      </c>
      <c r="D3407" s="11">
        <f>IFERROR(__xludf.DUMMYFUNCTION("""COMPUTED_VALUE"""),13.0)</f>
        <v>13</v>
      </c>
      <c r="E3407" s="9"/>
    </row>
    <row r="3408">
      <c r="A3408" s="10">
        <f>IFERROR(__xludf.DUMMYFUNCTION("""COMPUTED_VALUE"""),90007.0)</f>
        <v>90007</v>
      </c>
      <c r="B3408" s="11">
        <f>IFERROR(__xludf.DUMMYFUNCTION("""COMPUTED_VALUE"""),1.0)</f>
        <v>1</v>
      </c>
      <c r="C3408" s="11">
        <f>IFERROR(__xludf.DUMMYFUNCTION("""COMPUTED_VALUE"""),682.0)</f>
        <v>682</v>
      </c>
      <c r="D3408" s="11">
        <f>IFERROR(__xludf.DUMMYFUNCTION("""COMPUTED_VALUE"""),320.0)</f>
        <v>320</v>
      </c>
      <c r="E3408" s="9"/>
    </row>
    <row r="3409">
      <c r="A3409" s="10">
        <f>IFERROR(__xludf.DUMMYFUNCTION("""COMPUTED_VALUE"""),71830.0)</f>
        <v>71830</v>
      </c>
      <c r="B3409" s="11">
        <f>IFERROR(__xludf.DUMMYFUNCTION("""COMPUTED_VALUE"""),1.0)</f>
        <v>1</v>
      </c>
      <c r="C3409" s="11">
        <f>IFERROR(__xludf.DUMMYFUNCTION("""COMPUTED_VALUE"""),719.0)</f>
        <v>719</v>
      </c>
      <c r="D3409" s="11">
        <f>IFERROR(__xludf.DUMMYFUNCTION("""COMPUTED_VALUE"""),585.0)</f>
        <v>585</v>
      </c>
      <c r="E3409" s="9"/>
    </row>
    <row r="3410">
      <c r="A3410" s="10">
        <f>IFERROR(__xludf.DUMMYFUNCTION("""COMPUTED_VALUE"""),71837.0)</f>
        <v>71837</v>
      </c>
      <c r="B3410" s="11">
        <f>IFERROR(__xludf.DUMMYFUNCTION("""COMPUTED_VALUE"""),0.0)</f>
        <v>0</v>
      </c>
      <c r="C3410" s="11">
        <f>IFERROR(__xludf.DUMMYFUNCTION("""COMPUTED_VALUE"""),196.0)</f>
        <v>196</v>
      </c>
      <c r="D3410" s="11">
        <f>IFERROR(__xludf.DUMMYFUNCTION("""COMPUTED_VALUE"""),114.0)</f>
        <v>114</v>
      </c>
      <c r="E3410" s="9"/>
    </row>
    <row r="3411">
      <c r="A3411" s="10">
        <f>IFERROR(__xludf.DUMMYFUNCTION("""COMPUTED_VALUE"""),83640.0)</f>
        <v>83640</v>
      </c>
      <c r="B3411" s="11">
        <f>IFERROR(__xludf.DUMMYFUNCTION("""COMPUTED_VALUE"""),1.0)</f>
        <v>1</v>
      </c>
      <c r="C3411" s="11">
        <f>IFERROR(__xludf.DUMMYFUNCTION("""COMPUTED_VALUE"""),29.0)</f>
        <v>29</v>
      </c>
      <c r="D3411" s="11">
        <f>IFERROR(__xludf.DUMMYFUNCTION("""COMPUTED_VALUE"""),10.0)</f>
        <v>10</v>
      </c>
      <c r="E3411" s="9"/>
    </row>
    <row r="3412">
      <c r="A3412" s="10">
        <f>IFERROR(__xludf.DUMMYFUNCTION("""COMPUTED_VALUE"""),111191.0)</f>
        <v>111191</v>
      </c>
      <c r="B3412" s="11">
        <f>IFERROR(__xludf.DUMMYFUNCTION("""COMPUTED_VALUE"""),0.0)</f>
        <v>0</v>
      </c>
      <c r="C3412" s="11">
        <f>IFERROR(__xludf.DUMMYFUNCTION("""COMPUTED_VALUE"""),318.0)</f>
        <v>318</v>
      </c>
      <c r="D3412" s="11">
        <f>IFERROR(__xludf.DUMMYFUNCTION("""COMPUTED_VALUE"""),58.0)</f>
        <v>58</v>
      </c>
      <c r="E3412" s="9"/>
    </row>
    <row r="3413">
      <c r="A3413" s="10">
        <f>IFERROR(__xludf.DUMMYFUNCTION("""COMPUTED_VALUE"""),70442.0)</f>
        <v>70442</v>
      </c>
      <c r="B3413" s="11">
        <f>IFERROR(__xludf.DUMMYFUNCTION("""COMPUTED_VALUE"""),1.0)</f>
        <v>1</v>
      </c>
      <c r="C3413" s="11">
        <f>IFERROR(__xludf.DUMMYFUNCTION("""COMPUTED_VALUE"""),692.0)</f>
        <v>692</v>
      </c>
      <c r="D3413" s="11">
        <f>IFERROR(__xludf.DUMMYFUNCTION("""COMPUTED_VALUE"""),280.0)</f>
        <v>280</v>
      </c>
      <c r="E3413" s="9"/>
    </row>
    <row r="3414">
      <c r="A3414" s="10">
        <f>IFERROR(__xludf.DUMMYFUNCTION("""COMPUTED_VALUE"""),122228.0)</f>
        <v>122228</v>
      </c>
      <c r="B3414" s="11">
        <f>IFERROR(__xludf.DUMMYFUNCTION("""COMPUTED_VALUE"""),0.0)</f>
        <v>0</v>
      </c>
      <c r="C3414" s="11">
        <f>IFERROR(__xludf.DUMMYFUNCTION("""COMPUTED_VALUE"""),488.0)</f>
        <v>488</v>
      </c>
      <c r="D3414" s="11">
        <f>IFERROR(__xludf.DUMMYFUNCTION("""COMPUTED_VALUE"""),80.0)</f>
        <v>80</v>
      </c>
      <c r="E3414" s="9"/>
    </row>
    <row r="3415">
      <c r="A3415" s="10">
        <f>IFERROR(__xludf.DUMMYFUNCTION("""COMPUTED_VALUE"""),46822.0)</f>
        <v>46822</v>
      </c>
      <c r="B3415" s="11">
        <f>IFERROR(__xludf.DUMMYFUNCTION("""COMPUTED_VALUE"""),0.0)</f>
        <v>0</v>
      </c>
      <c r="C3415" s="11">
        <f>IFERROR(__xludf.DUMMYFUNCTION("""COMPUTED_VALUE"""),373.0)</f>
        <v>373</v>
      </c>
      <c r="D3415" s="11">
        <f>IFERROR(__xludf.DUMMYFUNCTION("""COMPUTED_VALUE"""),325.0)</f>
        <v>325</v>
      </c>
      <c r="E3415" s="9"/>
    </row>
    <row r="3416">
      <c r="A3416" s="10">
        <f>IFERROR(__xludf.DUMMYFUNCTION("""COMPUTED_VALUE"""),71769.0)</f>
        <v>71769</v>
      </c>
      <c r="B3416" s="11">
        <f>IFERROR(__xludf.DUMMYFUNCTION("""COMPUTED_VALUE"""),0.0)</f>
        <v>0</v>
      </c>
      <c r="C3416" s="11">
        <f>IFERROR(__xludf.DUMMYFUNCTION("""COMPUTED_VALUE"""),777.0)</f>
        <v>777</v>
      </c>
      <c r="D3416" s="11">
        <f>IFERROR(__xludf.DUMMYFUNCTION("""COMPUTED_VALUE"""),366.0)</f>
        <v>366</v>
      </c>
      <c r="E3416" s="9"/>
    </row>
    <row r="3417">
      <c r="A3417" s="10">
        <f>IFERROR(__xludf.DUMMYFUNCTION("""COMPUTED_VALUE"""),9302.0)</f>
        <v>9302</v>
      </c>
      <c r="B3417" s="11">
        <f>IFERROR(__xludf.DUMMYFUNCTION("""COMPUTED_VALUE"""),1.0)</f>
        <v>1</v>
      </c>
      <c r="C3417" s="11">
        <f>IFERROR(__xludf.DUMMYFUNCTION("""COMPUTED_VALUE"""),937.0)</f>
        <v>937</v>
      </c>
      <c r="D3417" s="11">
        <f>IFERROR(__xludf.DUMMYFUNCTION("""COMPUTED_VALUE"""),612.0)</f>
        <v>612</v>
      </c>
      <c r="E3417" s="9"/>
    </row>
    <row r="3418">
      <c r="A3418" s="10">
        <f>IFERROR(__xludf.DUMMYFUNCTION("""COMPUTED_VALUE"""),90006.0)</f>
        <v>90006</v>
      </c>
      <c r="B3418" s="11">
        <f>IFERROR(__xludf.DUMMYFUNCTION("""COMPUTED_VALUE"""),1.0)</f>
        <v>1</v>
      </c>
      <c r="C3418" s="11">
        <f>IFERROR(__xludf.DUMMYFUNCTION("""COMPUTED_VALUE"""),235.0)</f>
        <v>235</v>
      </c>
      <c r="D3418" s="11">
        <f>IFERROR(__xludf.DUMMYFUNCTION("""COMPUTED_VALUE"""),120.0)</f>
        <v>120</v>
      </c>
      <c r="E3418" s="9"/>
    </row>
    <row r="3419">
      <c r="A3419" s="10">
        <f>IFERROR(__xludf.DUMMYFUNCTION("""COMPUTED_VALUE"""),80673.0)</f>
        <v>80673</v>
      </c>
      <c r="B3419" s="11">
        <f>IFERROR(__xludf.DUMMYFUNCTION("""COMPUTED_VALUE"""),1.0)</f>
        <v>1</v>
      </c>
      <c r="C3419" s="11">
        <f>IFERROR(__xludf.DUMMYFUNCTION("""COMPUTED_VALUE"""),708.0)</f>
        <v>708</v>
      </c>
      <c r="D3419" s="11">
        <f>IFERROR(__xludf.DUMMYFUNCTION("""COMPUTED_VALUE"""),583.0)</f>
        <v>583</v>
      </c>
      <c r="E3419" s="9"/>
    </row>
    <row r="3420">
      <c r="A3420" s="10">
        <f>IFERROR(__xludf.DUMMYFUNCTION("""COMPUTED_VALUE"""),71834.0)</f>
        <v>71834</v>
      </c>
      <c r="B3420" s="11">
        <f>IFERROR(__xludf.DUMMYFUNCTION("""COMPUTED_VALUE"""),0.0)</f>
        <v>0</v>
      </c>
      <c r="C3420" s="11">
        <f>IFERROR(__xludf.DUMMYFUNCTION("""COMPUTED_VALUE"""),257.0)</f>
        <v>257</v>
      </c>
      <c r="D3420" s="11">
        <f>IFERROR(__xludf.DUMMYFUNCTION("""COMPUTED_VALUE"""),178.0)</f>
        <v>178</v>
      </c>
      <c r="E3420" s="9"/>
    </row>
    <row r="3421">
      <c r="A3421" s="10">
        <f>IFERROR(__xludf.DUMMYFUNCTION("""COMPUTED_VALUE"""),107310.0)</f>
        <v>107310</v>
      </c>
      <c r="B3421" s="11">
        <f>IFERROR(__xludf.DUMMYFUNCTION("""COMPUTED_VALUE"""),0.0)</f>
        <v>0</v>
      </c>
      <c r="C3421" s="11">
        <f>IFERROR(__xludf.DUMMYFUNCTION("""COMPUTED_VALUE"""),192.0)</f>
        <v>192</v>
      </c>
      <c r="D3421" s="11">
        <f>IFERROR(__xludf.DUMMYFUNCTION("""COMPUTED_VALUE"""),123.0)</f>
        <v>123</v>
      </c>
      <c r="E3421" s="9"/>
    </row>
    <row r="3422">
      <c r="A3422" s="10">
        <f>IFERROR(__xludf.DUMMYFUNCTION("""COMPUTED_VALUE"""),71843.0)</f>
        <v>71843</v>
      </c>
      <c r="B3422" s="11">
        <f>IFERROR(__xludf.DUMMYFUNCTION("""COMPUTED_VALUE"""),0.0)</f>
        <v>0</v>
      </c>
      <c r="C3422" s="11">
        <f>IFERROR(__xludf.DUMMYFUNCTION("""COMPUTED_VALUE"""),769.0)</f>
        <v>769</v>
      </c>
      <c r="D3422" s="11">
        <f>IFERROR(__xludf.DUMMYFUNCTION("""COMPUTED_VALUE"""),724.0)</f>
        <v>724</v>
      </c>
      <c r="E3422" s="9"/>
    </row>
    <row r="3423">
      <c r="A3423" s="10">
        <f>IFERROR(__xludf.DUMMYFUNCTION("""COMPUTED_VALUE"""),107358.0)</f>
        <v>107358</v>
      </c>
      <c r="B3423" s="11">
        <f>IFERROR(__xludf.DUMMYFUNCTION("""COMPUTED_VALUE"""),1.0)</f>
        <v>1</v>
      </c>
      <c r="C3423" s="11">
        <f>IFERROR(__xludf.DUMMYFUNCTION("""COMPUTED_VALUE"""),260.0)</f>
        <v>260</v>
      </c>
      <c r="D3423" s="11">
        <f>IFERROR(__xludf.DUMMYFUNCTION("""COMPUTED_VALUE"""),27.0)</f>
        <v>27</v>
      </c>
      <c r="E3423" s="9"/>
    </row>
    <row r="3424">
      <c r="A3424" s="10">
        <f>IFERROR(__xludf.DUMMYFUNCTION("""COMPUTED_VALUE"""),44842.0)</f>
        <v>44842</v>
      </c>
      <c r="B3424" s="11">
        <f>IFERROR(__xludf.DUMMYFUNCTION("""COMPUTED_VALUE"""),0.0)</f>
        <v>0</v>
      </c>
      <c r="C3424" s="11">
        <f>IFERROR(__xludf.DUMMYFUNCTION("""COMPUTED_VALUE"""),393.0)</f>
        <v>393</v>
      </c>
      <c r="D3424" s="11">
        <f>IFERROR(__xludf.DUMMYFUNCTION("""COMPUTED_VALUE"""),175.0)</f>
        <v>175</v>
      </c>
      <c r="E3424" s="9"/>
    </row>
    <row r="3425">
      <c r="A3425" s="10">
        <f>IFERROR(__xludf.DUMMYFUNCTION("""COMPUTED_VALUE"""),111181.0)</f>
        <v>111181</v>
      </c>
      <c r="B3425" s="11">
        <f>IFERROR(__xludf.DUMMYFUNCTION("""COMPUTED_VALUE"""),0.0)</f>
        <v>0</v>
      </c>
      <c r="C3425" s="11">
        <f>IFERROR(__xludf.DUMMYFUNCTION("""COMPUTED_VALUE"""),111.0)</f>
        <v>111</v>
      </c>
      <c r="D3425" s="11">
        <f>IFERROR(__xludf.DUMMYFUNCTION("""COMPUTED_VALUE"""),6.0)</f>
        <v>6</v>
      </c>
      <c r="E3425" s="9"/>
    </row>
    <row r="3426">
      <c r="A3426" s="10">
        <f>IFERROR(__xludf.DUMMYFUNCTION("""COMPUTED_VALUE"""),71773.0)</f>
        <v>71773</v>
      </c>
      <c r="B3426" s="11">
        <f>IFERROR(__xludf.DUMMYFUNCTION("""COMPUTED_VALUE"""),1.0)</f>
        <v>1</v>
      </c>
      <c r="C3426" s="11">
        <f>IFERROR(__xludf.DUMMYFUNCTION("""COMPUTED_VALUE"""),651.0)</f>
        <v>651</v>
      </c>
      <c r="D3426" s="11">
        <f>IFERROR(__xludf.DUMMYFUNCTION("""COMPUTED_VALUE"""),156.0)</f>
        <v>156</v>
      </c>
      <c r="E3426" s="9"/>
    </row>
    <row r="3427">
      <c r="A3427" s="10">
        <f>IFERROR(__xludf.DUMMYFUNCTION("""COMPUTED_VALUE"""),71836.0)</f>
        <v>71836</v>
      </c>
      <c r="B3427" s="11">
        <f>IFERROR(__xludf.DUMMYFUNCTION("""COMPUTED_VALUE"""),0.0)</f>
        <v>0</v>
      </c>
      <c r="C3427" s="11">
        <f>IFERROR(__xludf.DUMMYFUNCTION("""COMPUTED_VALUE"""),229.0)</f>
        <v>229</v>
      </c>
      <c r="D3427" s="11">
        <f>IFERROR(__xludf.DUMMYFUNCTION("""COMPUTED_VALUE"""),227.0)</f>
        <v>227</v>
      </c>
      <c r="E3427" s="9"/>
    </row>
    <row r="3428">
      <c r="A3428" s="10">
        <f>IFERROR(__xludf.DUMMYFUNCTION("""COMPUTED_VALUE"""),70276.0)</f>
        <v>70276</v>
      </c>
      <c r="B3428" s="11">
        <f>IFERROR(__xludf.DUMMYFUNCTION("""COMPUTED_VALUE"""),1.0)</f>
        <v>1</v>
      </c>
      <c r="C3428" s="11">
        <f>IFERROR(__xludf.DUMMYFUNCTION("""COMPUTED_VALUE"""),556.0)</f>
        <v>556</v>
      </c>
      <c r="D3428" s="11">
        <f>IFERROR(__xludf.DUMMYFUNCTION("""COMPUTED_VALUE"""),338.0)</f>
        <v>338</v>
      </c>
      <c r="E3428" s="9"/>
    </row>
    <row r="3429">
      <c r="A3429" s="10">
        <f>IFERROR(__xludf.DUMMYFUNCTION("""COMPUTED_VALUE"""),71775.0)</f>
        <v>71775</v>
      </c>
      <c r="B3429" s="11">
        <f>IFERROR(__xludf.DUMMYFUNCTION("""COMPUTED_VALUE"""),0.0)</f>
        <v>0</v>
      </c>
      <c r="C3429" s="11">
        <f>IFERROR(__xludf.DUMMYFUNCTION("""COMPUTED_VALUE"""),878.0)</f>
        <v>878</v>
      </c>
      <c r="D3429" s="11">
        <f>IFERROR(__xludf.DUMMYFUNCTION("""COMPUTED_VALUE"""),313.0)</f>
        <v>313</v>
      </c>
      <c r="E3429" s="9"/>
    </row>
    <row r="3430">
      <c r="A3430" s="10">
        <f>IFERROR(__xludf.DUMMYFUNCTION("""COMPUTED_VALUE"""),44844.0)</f>
        <v>44844</v>
      </c>
      <c r="B3430" s="11">
        <f>IFERROR(__xludf.DUMMYFUNCTION("""COMPUTED_VALUE"""),1.0)</f>
        <v>1</v>
      </c>
      <c r="C3430" s="11">
        <f>IFERROR(__xludf.DUMMYFUNCTION("""COMPUTED_VALUE"""),160.0)</f>
        <v>160</v>
      </c>
      <c r="D3430" s="11">
        <f>IFERROR(__xludf.DUMMYFUNCTION("""COMPUTED_VALUE"""),105.0)</f>
        <v>105</v>
      </c>
      <c r="E3430" s="9"/>
    </row>
    <row r="3431">
      <c r="A3431" s="10">
        <f>IFERROR(__xludf.DUMMYFUNCTION("""COMPUTED_VALUE"""),156181.0)</f>
        <v>156181</v>
      </c>
      <c r="B3431" s="11">
        <f>IFERROR(__xludf.DUMMYFUNCTION("""COMPUTED_VALUE"""),0.0)</f>
        <v>0</v>
      </c>
      <c r="C3431" s="11">
        <f>IFERROR(__xludf.DUMMYFUNCTION("""COMPUTED_VALUE"""),88.0)</f>
        <v>88</v>
      </c>
      <c r="D3431" s="11">
        <f>IFERROR(__xludf.DUMMYFUNCTION("""COMPUTED_VALUE"""),73.0)</f>
        <v>73</v>
      </c>
      <c r="E3431" s="9"/>
    </row>
    <row r="3432">
      <c r="A3432" s="10">
        <f>IFERROR(__xludf.DUMMYFUNCTION("""COMPUTED_VALUE"""),102898.0)</f>
        <v>102898</v>
      </c>
      <c r="B3432" s="11">
        <f>IFERROR(__xludf.DUMMYFUNCTION("""COMPUTED_VALUE"""),1.0)</f>
        <v>1</v>
      </c>
      <c r="C3432" s="11">
        <f>IFERROR(__xludf.DUMMYFUNCTION("""COMPUTED_VALUE"""),560.0)</f>
        <v>560</v>
      </c>
      <c r="D3432" s="11">
        <f>IFERROR(__xludf.DUMMYFUNCTION("""COMPUTED_VALUE"""),308.0)</f>
        <v>308</v>
      </c>
      <c r="E3432" s="9"/>
    </row>
    <row r="3433">
      <c r="A3433" s="10">
        <f>IFERROR(__xludf.DUMMYFUNCTION("""COMPUTED_VALUE"""),47600.0)</f>
        <v>47600</v>
      </c>
      <c r="B3433" s="11">
        <f>IFERROR(__xludf.DUMMYFUNCTION("""COMPUTED_VALUE"""),1.0)</f>
        <v>1</v>
      </c>
      <c r="C3433" s="11">
        <f>IFERROR(__xludf.DUMMYFUNCTION("""COMPUTED_VALUE"""),115.0)</f>
        <v>115</v>
      </c>
      <c r="D3433" s="11">
        <f>IFERROR(__xludf.DUMMYFUNCTION("""COMPUTED_VALUE"""),20.0)</f>
        <v>20</v>
      </c>
      <c r="E3433" s="9"/>
    </row>
    <row r="3434">
      <c r="A3434" s="10">
        <f>IFERROR(__xludf.DUMMYFUNCTION("""COMPUTED_VALUE"""),111173.0)</f>
        <v>111173</v>
      </c>
      <c r="B3434" s="11">
        <f>IFERROR(__xludf.DUMMYFUNCTION("""COMPUTED_VALUE"""),0.0)</f>
        <v>0</v>
      </c>
      <c r="C3434" s="11">
        <f>IFERROR(__xludf.DUMMYFUNCTION("""COMPUTED_VALUE"""),589.0)</f>
        <v>589</v>
      </c>
      <c r="D3434" s="11">
        <f>IFERROR(__xludf.DUMMYFUNCTION("""COMPUTED_VALUE"""),398.0)</f>
        <v>398</v>
      </c>
      <c r="E3434" s="9"/>
    </row>
    <row r="3435">
      <c r="A3435" s="10">
        <f>IFERROR(__xludf.DUMMYFUNCTION("""COMPUTED_VALUE"""),70201.0)</f>
        <v>70201</v>
      </c>
      <c r="B3435" s="11">
        <f>IFERROR(__xludf.DUMMYFUNCTION("""COMPUTED_VALUE"""),0.0)</f>
        <v>0</v>
      </c>
      <c r="C3435" s="11">
        <f>IFERROR(__xludf.DUMMYFUNCTION("""COMPUTED_VALUE"""),683.0)</f>
        <v>683</v>
      </c>
      <c r="D3435" s="11">
        <f>IFERROR(__xludf.DUMMYFUNCTION("""COMPUTED_VALUE"""),174.0)</f>
        <v>174</v>
      </c>
      <c r="E3435" s="9"/>
    </row>
    <row r="3436">
      <c r="A3436" s="10">
        <f>IFERROR(__xludf.DUMMYFUNCTION("""COMPUTED_VALUE"""),71842.0)</f>
        <v>71842</v>
      </c>
      <c r="B3436" s="11">
        <f>IFERROR(__xludf.DUMMYFUNCTION("""COMPUTED_VALUE"""),1.0)</f>
        <v>1</v>
      </c>
      <c r="C3436" s="11">
        <f>IFERROR(__xludf.DUMMYFUNCTION("""COMPUTED_VALUE"""),561.0)</f>
        <v>561</v>
      </c>
      <c r="D3436" s="11">
        <f>IFERROR(__xludf.DUMMYFUNCTION("""COMPUTED_VALUE"""),217.0)</f>
        <v>217</v>
      </c>
      <c r="E3436" s="9"/>
    </row>
    <row r="3437">
      <c r="A3437" s="10">
        <f>IFERROR(__xludf.DUMMYFUNCTION("""COMPUTED_VALUE"""),47601.0)</f>
        <v>47601</v>
      </c>
      <c r="B3437" s="11">
        <f>IFERROR(__xludf.DUMMYFUNCTION("""COMPUTED_VALUE"""),1.0)</f>
        <v>1</v>
      </c>
      <c r="C3437" s="11">
        <f>IFERROR(__xludf.DUMMYFUNCTION("""COMPUTED_VALUE"""),161.0)</f>
        <v>161</v>
      </c>
      <c r="D3437" s="11">
        <f>IFERROR(__xludf.DUMMYFUNCTION("""COMPUTED_VALUE"""),35.0)</f>
        <v>35</v>
      </c>
      <c r="E3437" s="9"/>
    </row>
    <row r="3438">
      <c r="A3438" s="10">
        <f>IFERROR(__xludf.DUMMYFUNCTION("""COMPUTED_VALUE"""),87000.0)</f>
        <v>87000</v>
      </c>
      <c r="B3438" s="11">
        <f>IFERROR(__xludf.DUMMYFUNCTION("""COMPUTED_VALUE"""),1.0)</f>
        <v>1</v>
      </c>
      <c r="C3438" s="11">
        <f>IFERROR(__xludf.DUMMYFUNCTION("""COMPUTED_VALUE"""),531.0)</f>
        <v>531</v>
      </c>
      <c r="D3438" s="11">
        <f>IFERROR(__xludf.DUMMYFUNCTION("""COMPUTED_VALUE"""),43.0)</f>
        <v>43</v>
      </c>
      <c r="E3438" s="9"/>
    </row>
    <row r="3439">
      <c r="A3439" s="10">
        <f>IFERROR(__xludf.DUMMYFUNCTION("""COMPUTED_VALUE"""),103457.0)</f>
        <v>103457</v>
      </c>
      <c r="B3439" s="11">
        <f>IFERROR(__xludf.DUMMYFUNCTION("""COMPUTED_VALUE"""),1.0)</f>
        <v>1</v>
      </c>
      <c r="C3439" s="11">
        <f>IFERROR(__xludf.DUMMYFUNCTION("""COMPUTED_VALUE"""),971.0)</f>
        <v>971</v>
      </c>
      <c r="D3439" s="11">
        <f>IFERROR(__xludf.DUMMYFUNCTION("""COMPUTED_VALUE"""),76.0)</f>
        <v>76</v>
      </c>
      <c r="E3439" s="9"/>
    </row>
    <row r="3440">
      <c r="A3440" s="10">
        <f>IFERROR(__xludf.DUMMYFUNCTION("""COMPUTED_VALUE"""),42198.0)</f>
        <v>42198</v>
      </c>
      <c r="B3440" s="11">
        <f>IFERROR(__xludf.DUMMYFUNCTION("""COMPUTED_VALUE"""),1.0)</f>
        <v>1</v>
      </c>
      <c r="C3440" s="11">
        <f>IFERROR(__xludf.DUMMYFUNCTION("""COMPUTED_VALUE"""),898.0)</f>
        <v>898</v>
      </c>
      <c r="D3440" s="11">
        <f>IFERROR(__xludf.DUMMYFUNCTION("""COMPUTED_VALUE"""),340.0)</f>
        <v>340</v>
      </c>
      <c r="E3440" s="9"/>
    </row>
    <row r="3441">
      <c r="A3441" s="10">
        <f>IFERROR(__xludf.DUMMYFUNCTION("""COMPUTED_VALUE"""),46823.0)</f>
        <v>46823</v>
      </c>
      <c r="B3441" s="11">
        <f>IFERROR(__xludf.DUMMYFUNCTION("""COMPUTED_VALUE"""),0.0)</f>
        <v>0</v>
      </c>
      <c r="C3441" s="11">
        <f>IFERROR(__xludf.DUMMYFUNCTION("""COMPUTED_VALUE"""),170.0)</f>
        <v>170</v>
      </c>
      <c r="D3441" s="11">
        <f>IFERROR(__xludf.DUMMYFUNCTION("""COMPUTED_VALUE"""),102.0)</f>
        <v>102</v>
      </c>
      <c r="E3441" s="9"/>
    </row>
    <row r="3442">
      <c r="A3442" s="10">
        <f>IFERROR(__xludf.DUMMYFUNCTION("""COMPUTED_VALUE"""),116196.0)</f>
        <v>116196</v>
      </c>
      <c r="B3442" s="11">
        <f>IFERROR(__xludf.DUMMYFUNCTION("""COMPUTED_VALUE"""),1.0)</f>
        <v>1</v>
      </c>
      <c r="C3442" s="11">
        <f>IFERROR(__xludf.DUMMYFUNCTION("""COMPUTED_VALUE"""),839.0)</f>
        <v>839</v>
      </c>
      <c r="D3442" s="11">
        <f>IFERROR(__xludf.DUMMYFUNCTION("""COMPUTED_VALUE"""),648.0)</f>
        <v>648</v>
      </c>
      <c r="E3442" s="9"/>
    </row>
    <row r="3443">
      <c r="A3443" s="10">
        <f>IFERROR(__xludf.DUMMYFUNCTION("""COMPUTED_VALUE"""),111177.0)</f>
        <v>111177</v>
      </c>
      <c r="B3443" s="11">
        <f>IFERROR(__xludf.DUMMYFUNCTION("""COMPUTED_VALUE"""),0.0)</f>
        <v>0</v>
      </c>
      <c r="C3443" s="11">
        <f>IFERROR(__xludf.DUMMYFUNCTION("""COMPUTED_VALUE"""),155.0)</f>
        <v>155</v>
      </c>
      <c r="D3443" s="11">
        <f>IFERROR(__xludf.DUMMYFUNCTION("""COMPUTED_VALUE"""),2.0)</f>
        <v>2</v>
      </c>
      <c r="E3443" s="9"/>
    </row>
    <row r="3444">
      <c r="A3444" s="10">
        <f>IFERROR(__xludf.DUMMYFUNCTION("""COMPUTED_VALUE"""),70292.0)</f>
        <v>70292</v>
      </c>
      <c r="B3444" s="11">
        <f>IFERROR(__xludf.DUMMYFUNCTION("""COMPUTED_VALUE"""),1.0)</f>
        <v>1</v>
      </c>
      <c r="C3444" s="11">
        <f>IFERROR(__xludf.DUMMYFUNCTION("""COMPUTED_VALUE"""),100.0)</f>
        <v>100</v>
      </c>
      <c r="D3444" s="11">
        <f>IFERROR(__xludf.DUMMYFUNCTION("""COMPUTED_VALUE"""),87.0)</f>
        <v>87</v>
      </c>
      <c r="E3444" s="9"/>
    </row>
    <row r="3445">
      <c r="A3445" s="10">
        <f>IFERROR(__xludf.DUMMYFUNCTION("""COMPUTED_VALUE"""),90008.0)</f>
        <v>90008</v>
      </c>
      <c r="B3445" s="11">
        <f>IFERROR(__xludf.DUMMYFUNCTION("""COMPUTED_VALUE"""),0.0)</f>
        <v>0</v>
      </c>
      <c r="C3445" s="11">
        <f>IFERROR(__xludf.DUMMYFUNCTION("""COMPUTED_VALUE"""),676.0)</f>
        <v>676</v>
      </c>
      <c r="D3445" s="11">
        <f>IFERROR(__xludf.DUMMYFUNCTION("""COMPUTED_VALUE"""),534.0)</f>
        <v>534</v>
      </c>
      <c r="E3445" s="9"/>
    </row>
    <row r="3446">
      <c r="A3446" s="10">
        <f>IFERROR(__xludf.DUMMYFUNCTION("""COMPUTED_VALUE"""),71768.0)</f>
        <v>71768</v>
      </c>
      <c r="B3446" s="11">
        <f>IFERROR(__xludf.DUMMYFUNCTION("""COMPUTED_VALUE"""),1.0)</f>
        <v>1</v>
      </c>
      <c r="C3446" s="11">
        <f>IFERROR(__xludf.DUMMYFUNCTION("""COMPUTED_VALUE"""),842.0)</f>
        <v>842</v>
      </c>
      <c r="D3446" s="11">
        <f>IFERROR(__xludf.DUMMYFUNCTION("""COMPUTED_VALUE"""),464.0)</f>
        <v>464</v>
      </c>
      <c r="E3446" s="9"/>
    </row>
    <row r="3447">
      <c r="A3447" s="10">
        <f>IFERROR(__xludf.DUMMYFUNCTION("""COMPUTED_VALUE"""),86972.0)</f>
        <v>86972</v>
      </c>
      <c r="B3447" s="11">
        <f>IFERROR(__xludf.DUMMYFUNCTION("""COMPUTED_VALUE"""),1.0)</f>
        <v>1</v>
      </c>
      <c r="C3447" s="11">
        <f>IFERROR(__xludf.DUMMYFUNCTION("""COMPUTED_VALUE"""),547.0)</f>
        <v>547</v>
      </c>
      <c r="D3447" s="11">
        <f>IFERROR(__xludf.DUMMYFUNCTION("""COMPUTED_VALUE"""),386.0)</f>
        <v>386</v>
      </c>
      <c r="E3447" s="9"/>
    </row>
    <row r="3448">
      <c r="A3448" s="10">
        <f>IFERROR(__xludf.DUMMYFUNCTION("""COMPUTED_VALUE"""),111179.0)</f>
        <v>111179</v>
      </c>
      <c r="B3448" s="11">
        <f>IFERROR(__xludf.DUMMYFUNCTION("""COMPUTED_VALUE"""),0.0)</f>
        <v>0</v>
      </c>
      <c r="C3448" s="11">
        <f>IFERROR(__xludf.DUMMYFUNCTION("""COMPUTED_VALUE"""),589.0)</f>
        <v>589</v>
      </c>
      <c r="D3448" s="11">
        <f>IFERROR(__xludf.DUMMYFUNCTION("""COMPUTED_VALUE"""),131.0)</f>
        <v>131</v>
      </c>
      <c r="E3448" s="9"/>
    </row>
    <row r="3449">
      <c r="A3449" s="10">
        <f>IFERROR(__xludf.DUMMYFUNCTION("""COMPUTED_VALUE"""),81726.0)</f>
        <v>81726</v>
      </c>
      <c r="B3449" s="11">
        <f>IFERROR(__xludf.DUMMYFUNCTION("""COMPUTED_VALUE"""),0.0)</f>
        <v>0</v>
      </c>
      <c r="C3449" s="11">
        <f>IFERROR(__xludf.DUMMYFUNCTION("""COMPUTED_VALUE"""),815.0)</f>
        <v>815</v>
      </c>
      <c r="D3449" s="11">
        <f>IFERROR(__xludf.DUMMYFUNCTION("""COMPUTED_VALUE"""),81.0)</f>
        <v>81</v>
      </c>
      <c r="E3449" s="9"/>
    </row>
    <row r="3450">
      <c r="A3450" s="10">
        <f>IFERROR(__xludf.DUMMYFUNCTION("""COMPUTED_VALUE"""),28535.0)</f>
        <v>28535</v>
      </c>
      <c r="B3450" s="11">
        <f>IFERROR(__xludf.DUMMYFUNCTION("""COMPUTED_VALUE"""),1.0)</f>
        <v>1</v>
      </c>
      <c r="C3450" s="11">
        <f>IFERROR(__xludf.DUMMYFUNCTION("""COMPUTED_VALUE"""),783.0)</f>
        <v>783</v>
      </c>
      <c r="D3450" s="11">
        <f>IFERROR(__xludf.DUMMYFUNCTION("""COMPUTED_VALUE"""),751.0)</f>
        <v>751</v>
      </c>
      <c r="E3450" s="9"/>
    </row>
    <row r="3451">
      <c r="A3451" s="10">
        <f>IFERROR(__xludf.DUMMYFUNCTION("""COMPUTED_VALUE"""),80682.0)</f>
        <v>80682</v>
      </c>
      <c r="B3451" s="11">
        <f>IFERROR(__xludf.DUMMYFUNCTION("""COMPUTED_VALUE"""),0.0)</f>
        <v>0</v>
      </c>
      <c r="C3451" s="11">
        <f>IFERROR(__xludf.DUMMYFUNCTION("""COMPUTED_VALUE"""),833.0)</f>
        <v>833</v>
      </c>
      <c r="D3451" s="11">
        <f>IFERROR(__xludf.DUMMYFUNCTION("""COMPUTED_VALUE"""),476.0)</f>
        <v>476</v>
      </c>
      <c r="E3451" s="9"/>
    </row>
    <row r="3452">
      <c r="A3452" s="10">
        <f>IFERROR(__xludf.DUMMYFUNCTION("""COMPUTED_VALUE"""),144008.0)</f>
        <v>144008</v>
      </c>
      <c r="B3452" s="11">
        <f>IFERROR(__xludf.DUMMYFUNCTION("""COMPUTED_VALUE"""),0.0)</f>
        <v>0</v>
      </c>
      <c r="C3452" s="11">
        <f>IFERROR(__xludf.DUMMYFUNCTION("""COMPUTED_VALUE"""),933.0)</f>
        <v>933</v>
      </c>
      <c r="D3452" s="11">
        <f>IFERROR(__xludf.DUMMYFUNCTION("""COMPUTED_VALUE"""),344.0)</f>
        <v>344</v>
      </c>
      <c r="E3452" s="9"/>
    </row>
    <row r="3453">
      <c r="A3453" s="10">
        <f>IFERROR(__xludf.DUMMYFUNCTION("""COMPUTED_VALUE"""),111129.0)</f>
        <v>111129</v>
      </c>
      <c r="B3453" s="11">
        <f>IFERROR(__xludf.DUMMYFUNCTION("""COMPUTED_VALUE"""),1.0)</f>
        <v>1</v>
      </c>
      <c r="C3453" s="11">
        <f>IFERROR(__xludf.DUMMYFUNCTION("""COMPUTED_VALUE"""),789.0)</f>
        <v>789</v>
      </c>
      <c r="D3453" s="11">
        <f>IFERROR(__xludf.DUMMYFUNCTION("""COMPUTED_VALUE"""),270.0)</f>
        <v>270</v>
      </c>
      <c r="E3453" s="9"/>
    </row>
    <row r="3454">
      <c r="A3454" s="10">
        <f>IFERROR(__xludf.DUMMYFUNCTION("""COMPUTED_VALUE"""),107307.0)</f>
        <v>107307</v>
      </c>
      <c r="B3454" s="11">
        <f>IFERROR(__xludf.DUMMYFUNCTION("""COMPUTED_VALUE"""),1.0)</f>
        <v>1</v>
      </c>
      <c r="C3454" s="11">
        <f>IFERROR(__xludf.DUMMYFUNCTION("""COMPUTED_VALUE"""),578.0)</f>
        <v>578</v>
      </c>
      <c r="D3454" s="11">
        <f>IFERROR(__xludf.DUMMYFUNCTION("""COMPUTED_VALUE"""),330.0)</f>
        <v>330</v>
      </c>
      <c r="E3454" s="9"/>
    </row>
    <row r="3455">
      <c r="A3455" s="10">
        <f>IFERROR(__xludf.DUMMYFUNCTION("""COMPUTED_VALUE"""),70206.0)</f>
        <v>70206</v>
      </c>
      <c r="B3455" s="11">
        <f>IFERROR(__xludf.DUMMYFUNCTION("""COMPUTED_VALUE"""),0.0)</f>
        <v>0</v>
      </c>
      <c r="C3455" s="11">
        <f>IFERROR(__xludf.DUMMYFUNCTION("""COMPUTED_VALUE"""),863.0)</f>
        <v>863</v>
      </c>
      <c r="D3455" s="11">
        <f>IFERROR(__xludf.DUMMYFUNCTION("""COMPUTED_VALUE"""),834.0)</f>
        <v>834</v>
      </c>
      <c r="E3455" s="9"/>
    </row>
    <row r="3456">
      <c r="A3456" s="10">
        <f>IFERROR(__xludf.DUMMYFUNCTION("""COMPUTED_VALUE"""),107349.0)</f>
        <v>107349</v>
      </c>
      <c r="B3456" s="11">
        <f>IFERROR(__xludf.DUMMYFUNCTION("""COMPUTED_VALUE"""),0.0)</f>
        <v>0</v>
      </c>
      <c r="C3456" s="11">
        <f>IFERROR(__xludf.DUMMYFUNCTION("""COMPUTED_VALUE"""),435.0)</f>
        <v>435</v>
      </c>
      <c r="D3456" s="11">
        <f>IFERROR(__xludf.DUMMYFUNCTION("""COMPUTED_VALUE"""),137.0)</f>
        <v>137</v>
      </c>
      <c r="E3456" s="9"/>
    </row>
    <row r="3457">
      <c r="A3457" s="10">
        <f>IFERROR(__xludf.DUMMYFUNCTION("""COMPUTED_VALUE"""),122231.0)</f>
        <v>122231</v>
      </c>
      <c r="B3457" s="11">
        <f>IFERROR(__xludf.DUMMYFUNCTION("""COMPUTED_VALUE"""),0.0)</f>
        <v>0</v>
      </c>
      <c r="C3457" s="11">
        <f>IFERROR(__xludf.DUMMYFUNCTION("""COMPUTED_VALUE"""),3.0)</f>
        <v>3</v>
      </c>
      <c r="D3457" s="11">
        <f>IFERROR(__xludf.DUMMYFUNCTION("""COMPUTED_VALUE"""),1.0)</f>
        <v>1</v>
      </c>
      <c r="E3457" s="9"/>
    </row>
    <row r="3458">
      <c r="A3458" s="10">
        <f>IFERROR(__xludf.DUMMYFUNCTION("""COMPUTED_VALUE"""),103458.0)</f>
        <v>103458</v>
      </c>
      <c r="B3458" s="11">
        <f>IFERROR(__xludf.DUMMYFUNCTION("""COMPUTED_VALUE"""),0.0)</f>
        <v>0</v>
      </c>
      <c r="C3458" s="11">
        <f>IFERROR(__xludf.DUMMYFUNCTION("""COMPUTED_VALUE"""),963.0)</f>
        <v>963</v>
      </c>
      <c r="D3458" s="11">
        <f>IFERROR(__xludf.DUMMYFUNCTION("""COMPUTED_VALUE"""),19.0)</f>
        <v>19</v>
      </c>
      <c r="E3458" s="9"/>
    </row>
    <row r="3459">
      <c r="A3459" s="10">
        <f>IFERROR(__xludf.DUMMYFUNCTION("""COMPUTED_VALUE"""),71838.0)</f>
        <v>71838</v>
      </c>
      <c r="B3459" s="11">
        <f>IFERROR(__xludf.DUMMYFUNCTION("""COMPUTED_VALUE"""),0.0)</f>
        <v>0</v>
      </c>
      <c r="C3459" s="11">
        <f>IFERROR(__xludf.DUMMYFUNCTION("""COMPUTED_VALUE"""),858.0)</f>
        <v>858</v>
      </c>
      <c r="D3459" s="11">
        <f>IFERROR(__xludf.DUMMYFUNCTION("""COMPUTED_VALUE"""),179.0)</f>
        <v>179</v>
      </c>
      <c r="E3459" s="9"/>
    </row>
    <row r="3460">
      <c r="A3460" s="10">
        <f>IFERROR(__xludf.DUMMYFUNCTION("""COMPUTED_VALUE"""),104671.0)</f>
        <v>104671</v>
      </c>
      <c r="B3460" s="11">
        <f>IFERROR(__xludf.DUMMYFUNCTION("""COMPUTED_VALUE"""),1.0)</f>
        <v>1</v>
      </c>
      <c r="C3460" s="11">
        <f>IFERROR(__xludf.DUMMYFUNCTION("""COMPUTED_VALUE"""),652.0)</f>
        <v>652</v>
      </c>
      <c r="D3460" s="11">
        <f>IFERROR(__xludf.DUMMYFUNCTION("""COMPUTED_VALUE"""),42.0)</f>
        <v>42</v>
      </c>
      <c r="E3460" s="9"/>
    </row>
    <row r="3461">
      <c r="A3461" s="10">
        <f>IFERROR(__xludf.DUMMYFUNCTION("""COMPUTED_VALUE"""),83793.0)</f>
        <v>83793</v>
      </c>
      <c r="B3461" s="11">
        <f>IFERROR(__xludf.DUMMYFUNCTION("""COMPUTED_VALUE"""),1.0)</f>
        <v>1</v>
      </c>
      <c r="C3461" s="11">
        <f>IFERROR(__xludf.DUMMYFUNCTION("""COMPUTED_VALUE"""),772.0)</f>
        <v>772</v>
      </c>
      <c r="D3461" s="11">
        <f>IFERROR(__xludf.DUMMYFUNCTION("""COMPUTED_VALUE"""),397.0)</f>
        <v>397</v>
      </c>
      <c r="E3461" s="9"/>
    </row>
    <row r="3462">
      <c r="A3462" s="10">
        <f>IFERROR(__xludf.DUMMYFUNCTION("""COMPUTED_VALUE"""),50478.0)</f>
        <v>50478</v>
      </c>
      <c r="B3462" s="11">
        <f>IFERROR(__xludf.DUMMYFUNCTION("""COMPUTED_VALUE"""),0.0)</f>
        <v>0</v>
      </c>
      <c r="C3462" s="11">
        <f>IFERROR(__xludf.DUMMYFUNCTION("""COMPUTED_VALUE"""),375.0)</f>
        <v>375</v>
      </c>
      <c r="D3462" s="11">
        <f>IFERROR(__xludf.DUMMYFUNCTION("""COMPUTED_VALUE"""),48.0)</f>
        <v>48</v>
      </c>
      <c r="E3462" s="9"/>
    </row>
    <row r="3463">
      <c r="A3463" s="10">
        <f>IFERROR(__xludf.DUMMYFUNCTION("""COMPUTED_VALUE"""),118891.0)</f>
        <v>118891</v>
      </c>
      <c r="B3463" s="11">
        <f>IFERROR(__xludf.DUMMYFUNCTION("""COMPUTED_VALUE"""),0.0)</f>
        <v>0</v>
      </c>
      <c r="C3463" s="11">
        <f>IFERROR(__xludf.DUMMYFUNCTION("""COMPUTED_VALUE"""),403.0)</f>
        <v>403</v>
      </c>
      <c r="D3463" s="11">
        <f>IFERROR(__xludf.DUMMYFUNCTION("""COMPUTED_VALUE"""),163.0)</f>
        <v>163</v>
      </c>
      <c r="E3463" s="9"/>
    </row>
    <row r="3464">
      <c r="A3464" s="10">
        <f>IFERROR(__xludf.DUMMYFUNCTION("""COMPUTED_VALUE"""),70440.0)</f>
        <v>70440</v>
      </c>
      <c r="B3464" s="11">
        <f>IFERROR(__xludf.DUMMYFUNCTION("""COMPUTED_VALUE"""),0.0)</f>
        <v>0</v>
      </c>
      <c r="C3464" s="11">
        <f>IFERROR(__xludf.DUMMYFUNCTION("""COMPUTED_VALUE"""),373.0)</f>
        <v>373</v>
      </c>
      <c r="D3464" s="11">
        <f>IFERROR(__xludf.DUMMYFUNCTION("""COMPUTED_VALUE"""),350.0)</f>
        <v>350</v>
      </c>
      <c r="E3464" s="9"/>
    </row>
    <row r="3465">
      <c r="A3465" s="10">
        <f>IFERROR(__xludf.DUMMYFUNCTION("""COMPUTED_VALUE"""),44840.0)</f>
        <v>44840</v>
      </c>
      <c r="B3465" s="11">
        <f>IFERROR(__xludf.DUMMYFUNCTION("""COMPUTED_VALUE"""),1.0)</f>
        <v>1</v>
      </c>
      <c r="C3465" s="11">
        <f>IFERROR(__xludf.DUMMYFUNCTION("""COMPUTED_VALUE"""),256.0)</f>
        <v>256</v>
      </c>
      <c r="D3465" s="11">
        <f>IFERROR(__xludf.DUMMYFUNCTION("""COMPUTED_VALUE"""),195.0)</f>
        <v>195</v>
      </c>
      <c r="E3465" s="9"/>
    </row>
    <row r="3466">
      <c r="A3466" s="10">
        <f>IFERROR(__xludf.DUMMYFUNCTION("""COMPUTED_VALUE"""),107304.0)</f>
        <v>107304</v>
      </c>
      <c r="B3466" s="11">
        <f>IFERROR(__xludf.DUMMYFUNCTION("""COMPUTED_VALUE"""),0.0)</f>
        <v>0</v>
      </c>
      <c r="C3466" s="11">
        <f>IFERROR(__xludf.DUMMYFUNCTION("""COMPUTED_VALUE"""),82.0)</f>
        <v>82</v>
      </c>
      <c r="D3466" s="11">
        <f>IFERROR(__xludf.DUMMYFUNCTION("""COMPUTED_VALUE"""),10.0)</f>
        <v>10</v>
      </c>
      <c r="E3466" s="9"/>
    </row>
    <row r="3467">
      <c r="A3467" s="10">
        <f>IFERROR(__xludf.DUMMYFUNCTION("""COMPUTED_VALUE"""),116195.0)</f>
        <v>116195</v>
      </c>
      <c r="B3467" s="11">
        <f>IFERROR(__xludf.DUMMYFUNCTION("""COMPUTED_VALUE"""),1.0)</f>
        <v>1</v>
      </c>
      <c r="C3467" s="11">
        <f>IFERROR(__xludf.DUMMYFUNCTION("""COMPUTED_VALUE"""),435.0)</f>
        <v>435</v>
      </c>
      <c r="D3467" s="11">
        <f>IFERROR(__xludf.DUMMYFUNCTION("""COMPUTED_VALUE"""),223.0)</f>
        <v>223</v>
      </c>
      <c r="E3467" s="9"/>
    </row>
    <row r="3468">
      <c r="A3468" s="10">
        <f>IFERROR(__xludf.DUMMYFUNCTION("""COMPUTED_VALUE"""),86980.0)</f>
        <v>86980</v>
      </c>
      <c r="B3468" s="11">
        <f>IFERROR(__xludf.DUMMYFUNCTION("""COMPUTED_VALUE"""),1.0)</f>
        <v>1</v>
      </c>
      <c r="C3468" s="11">
        <f>IFERROR(__xludf.DUMMYFUNCTION("""COMPUTED_VALUE"""),551.0)</f>
        <v>551</v>
      </c>
      <c r="D3468" s="11">
        <f>IFERROR(__xludf.DUMMYFUNCTION("""COMPUTED_VALUE"""),46.0)</f>
        <v>46</v>
      </c>
      <c r="E3468" s="9"/>
    </row>
    <row r="3469">
      <c r="A3469" s="10">
        <f>IFERROR(__xludf.DUMMYFUNCTION("""COMPUTED_VALUE"""),122230.0)</f>
        <v>122230</v>
      </c>
      <c r="B3469" s="11">
        <f>IFERROR(__xludf.DUMMYFUNCTION("""COMPUTED_VALUE"""),0.0)</f>
        <v>0</v>
      </c>
      <c r="C3469" s="11">
        <f>IFERROR(__xludf.DUMMYFUNCTION("""COMPUTED_VALUE"""),32.0)</f>
        <v>32</v>
      </c>
      <c r="D3469" s="11">
        <f>IFERROR(__xludf.DUMMYFUNCTION("""COMPUTED_VALUE"""),5.0)</f>
        <v>5</v>
      </c>
      <c r="E3469" s="9"/>
    </row>
    <row r="3470">
      <c r="A3470" s="10">
        <f>IFERROR(__xludf.DUMMYFUNCTION("""COMPUTED_VALUE"""),47602.0)</f>
        <v>47602</v>
      </c>
      <c r="B3470" s="11">
        <f>IFERROR(__xludf.DUMMYFUNCTION("""COMPUTED_VALUE"""),1.0)</f>
        <v>1</v>
      </c>
      <c r="C3470" s="11">
        <f>IFERROR(__xludf.DUMMYFUNCTION("""COMPUTED_VALUE"""),14.0)</f>
        <v>14</v>
      </c>
      <c r="D3470" s="11">
        <f>IFERROR(__xludf.DUMMYFUNCTION("""COMPUTED_VALUE"""),13.0)</f>
        <v>13</v>
      </c>
      <c r="E3470" s="9"/>
    </row>
    <row r="3471">
      <c r="A3471" s="10">
        <f>IFERROR(__xludf.DUMMYFUNCTION("""COMPUTED_VALUE"""),42190.0)</f>
        <v>42190</v>
      </c>
      <c r="B3471" s="11">
        <f>IFERROR(__xludf.DUMMYFUNCTION("""COMPUTED_VALUE"""),0.0)</f>
        <v>0</v>
      </c>
      <c r="C3471" s="11">
        <f>IFERROR(__xludf.DUMMYFUNCTION("""COMPUTED_VALUE"""),400.0)</f>
        <v>400</v>
      </c>
      <c r="D3471" s="11">
        <f>IFERROR(__xludf.DUMMYFUNCTION("""COMPUTED_VALUE"""),232.0)</f>
        <v>232</v>
      </c>
      <c r="E3471" s="9"/>
    </row>
    <row r="3472">
      <c r="A3472" s="10">
        <f>IFERROR(__xludf.DUMMYFUNCTION("""COMPUTED_VALUE"""),111130.0)</f>
        <v>111130</v>
      </c>
      <c r="B3472" s="11">
        <f>IFERROR(__xludf.DUMMYFUNCTION("""COMPUTED_VALUE"""),1.0)</f>
        <v>1</v>
      </c>
      <c r="C3472" s="11">
        <f>IFERROR(__xludf.DUMMYFUNCTION("""COMPUTED_VALUE"""),797.0)</f>
        <v>797</v>
      </c>
      <c r="D3472" s="11">
        <f>IFERROR(__xludf.DUMMYFUNCTION("""COMPUTED_VALUE"""),375.0)</f>
        <v>375</v>
      </c>
      <c r="E3472" s="9"/>
    </row>
    <row r="3473">
      <c r="A3473" s="10">
        <f>IFERROR(__xludf.DUMMYFUNCTION("""COMPUTED_VALUE"""),71774.0)</f>
        <v>71774</v>
      </c>
      <c r="B3473" s="11">
        <f>IFERROR(__xludf.DUMMYFUNCTION("""COMPUTED_VALUE"""),0.0)</f>
        <v>0</v>
      </c>
      <c r="C3473" s="11">
        <f>IFERROR(__xludf.DUMMYFUNCTION("""COMPUTED_VALUE"""),930.0)</f>
        <v>930</v>
      </c>
      <c r="D3473" s="11">
        <f>IFERROR(__xludf.DUMMYFUNCTION("""COMPUTED_VALUE"""),483.0)</f>
        <v>483</v>
      </c>
      <c r="E3473" s="9"/>
    </row>
    <row r="3474">
      <c r="A3474" s="10">
        <f>IFERROR(__xludf.DUMMYFUNCTION("""COMPUTED_VALUE"""),75010.0)</f>
        <v>75010</v>
      </c>
      <c r="B3474" s="11">
        <f>IFERROR(__xludf.DUMMYFUNCTION("""COMPUTED_VALUE"""),1.0)</f>
        <v>1</v>
      </c>
      <c r="C3474" s="11">
        <f>IFERROR(__xludf.DUMMYFUNCTION("""COMPUTED_VALUE"""),980.0)</f>
        <v>980</v>
      </c>
      <c r="D3474" s="11">
        <f>IFERROR(__xludf.DUMMYFUNCTION("""COMPUTED_VALUE"""),872.0)</f>
        <v>872</v>
      </c>
      <c r="E3474" s="9"/>
    </row>
    <row r="3475">
      <c r="A3475" s="10">
        <f>IFERROR(__xludf.DUMMYFUNCTION("""COMPUTED_VALUE"""),119276.0)</f>
        <v>119276</v>
      </c>
      <c r="B3475" s="11">
        <f>IFERROR(__xludf.DUMMYFUNCTION("""COMPUTED_VALUE"""),1.0)</f>
        <v>1</v>
      </c>
      <c r="C3475" s="11">
        <f>IFERROR(__xludf.DUMMYFUNCTION("""COMPUTED_VALUE"""),13.0)</f>
        <v>13</v>
      </c>
      <c r="D3475" s="11">
        <f>IFERROR(__xludf.DUMMYFUNCTION("""COMPUTED_VALUE"""),0.0)</f>
        <v>0</v>
      </c>
      <c r="E3475" s="9"/>
    </row>
    <row r="3476">
      <c r="A3476" s="10">
        <f>IFERROR(__xludf.DUMMYFUNCTION("""COMPUTED_VALUE"""),83789.0)</f>
        <v>83789</v>
      </c>
      <c r="B3476" s="11">
        <f>IFERROR(__xludf.DUMMYFUNCTION("""COMPUTED_VALUE"""),1.0)</f>
        <v>1</v>
      </c>
      <c r="C3476" s="11">
        <f>IFERROR(__xludf.DUMMYFUNCTION("""COMPUTED_VALUE"""),115.0)</f>
        <v>115</v>
      </c>
      <c r="D3476" s="11">
        <f>IFERROR(__xludf.DUMMYFUNCTION("""COMPUTED_VALUE"""),14.0)</f>
        <v>14</v>
      </c>
      <c r="E3476" s="9"/>
    </row>
    <row r="3477">
      <c r="A3477" s="10">
        <f>IFERROR(__xludf.DUMMYFUNCTION("""COMPUTED_VALUE"""),86999.0)</f>
        <v>86999</v>
      </c>
      <c r="B3477" s="11">
        <f>IFERROR(__xludf.DUMMYFUNCTION("""COMPUTED_VALUE"""),0.0)</f>
        <v>0</v>
      </c>
      <c r="C3477" s="11">
        <f>IFERROR(__xludf.DUMMYFUNCTION("""COMPUTED_VALUE"""),306.0)</f>
        <v>306</v>
      </c>
      <c r="D3477" s="11">
        <f>IFERROR(__xludf.DUMMYFUNCTION("""COMPUTED_VALUE"""),286.0)</f>
        <v>286</v>
      </c>
      <c r="E3477" s="9"/>
    </row>
    <row r="3478">
      <c r="A3478" s="10">
        <f>IFERROR(__xludf.DUMMYFUNCTION("""COMPUTED_VALUE"""),80678.0)</f>
        <v>80678</v>
      </c>
      <c r="B3478" s="11">
        <f>IFERROR(__xludf.DUMMYFUNCTION("""COMPUTED_VALUE"""),1.0)</f>
        <v>1</v>
      </c>
      <c r="C3478" s="11">
        <f>IFERROR(__xludf.DUMMYFUNCTION("""COMPUTED_VALUE"""),135.0)</f>
        <v>135</v>
      </c>
      <c r="D3478" s="11">
        <f>IFERROR(__xludf.DUMMYFUNCTION("""COMPUTED_VALUE"""),14.0)</f>
        <v>14</v>
      </c>
      <c r="E3478" s="9"/>
    </row>
    <row r="3479">
      <c r="A3479" s="10">
        <f>IFERROR(__xludf.DUMMYFUNCTION("""COMPUTED_VALUE"""),86973.0)</f>
        <v>86973</v>
      </c>
      <c r="B3479" s="11">
        <f>IFERROR(__xludf.DUMMYFUNCTION("""COMPUTED_VALUE"""),0.0)</f>
        <v>0</v>
      </c>
      <c r="C3479" s="11">
        <f>IFERROR(__xludf.DUMMYFUNCTION("""COMPUTED_VALUE"""),909.0)</f>
        <v>909</v>
      </c>
      <c r="D3479" s="11">
        <f>IFERROR(__xludf.DUMMYFUNCTION("""COMPUTED_VALUE"""),468.0)</f>
        <v>468</v>
      </c>
      <c r="E3479" s="9"/>
    </row>
    <row r="3480">
      <c r="A3480" s="10">
        <f>IFERROR(__xludf.DUMMYFUNCTION("""COMPUTED_VALUE"""),81724.0)</f>
        <v>81724</v>
      </c>
      <c r="B3480" s="11">
        <f>IFERROR(__xludf.DUMMYFUNCTION("""COMPUTED_VALUE"""),1.0)</f>
        <v>1</v>
      </c>
      <c r="C3480" s="11">
        <f>IFERROR(__xludf.DUMMYFUNCTION("""COMPUTED_VALUE"""),613.0)</f>
        <v>613</v>
      </c>
      <c r="D3480" s="11">
        <f>IFERROR(__xludf.DUMMYFUNCTION("""COMPUTED_VALUE"""),486.0)</f>
        <v>486</v>
      </c>
      <c r="E3480" s="9"/>
    </row>
    <row r="3481">
      <c r="A3481" s="10">
        <f>IFERROR(__xludf.DUMMYFUNCTION("""COMPUTED_VALUE"""),104678.0)</f>
        <v>104678</v>
      </c>
      <c r="B3481" s="11">
        <f>IFERROR(__xludf.DUMMYFUNCTION("""COMPUTED_VALUE"""),0.0)</f>
        <v>0</v>
      </c>
      <c r="C3481" s="11">
        <f>IFERROR(__xludf.DUMMYFUNCTION("""COMPUTED_VALUE"""),900.0)</f>
        <v>900</v>
      </c>
      <c r="D3481" s="11">
        <f>IFERROR(__xludf.DUMMYFUNCTION("""COMPUTED_VALUE"""),55.0)</f>
        <v>55</v>
      </c>
      <c r="E3481" s="9"/>
    </row>
    <row r="3482">
      <c r="A3482" s="10">
        <f>IFERROR(__xludf.DUMMYFUNCTION("""COMPUTED_VALUE"""),71844.0)</f>
        <v>71844</v>
      </c>
      <c r="B3482" s="11">
        <f>IFERROR(__xludf.DUMMYFUNCTION("""COMPUTED_VALUE"""),1.0)</f>
        <v>1</v>
      </c>
      <c r="C3482" s="11">
        <f>IFERROR(__xludf.DUMMYFUNCTION("""COMPUTED_VALUE"""),162.0)</f>
        <v>162</v>
      </c>
      <c r="D3482" s="11">
        <f>IFERROR(__xludf.DUMMYFUNCTION("""COMPUTED_VALUE"""),121.0)</f>
        <v>121</v>
      </c>
      <c r="E3482" s="9"/>
    </row>
    <row r="3483">
      <c r="A3483" s="10">
        <f>IFERROR(__xludf.DUMMYFUNCTION("""COMPUTED_VALUE"""),42287.0)</f>
        <v>42287</v>
      </c>
      <c r="B3483" s="11">
        <f>IFERROR(__xludf.DUMMYFUNCTION("""COMPUTED_VALUE"""),0.0)</f>
        <v>0</v>
      </c>
      <c r="C3483" s="11">
        <f>IFERROR(__xludf.DUMMYFUNCTION("""COMPUTED_VALUE"""),924.0)</f>
        <v>924</v>
      </c>
      <c r="D3483" s="11">
        <f>IFERROR(__xludf.DUMMYFUNCTION("""COMPUTED_VALUE"""),606.0)</f>
        <v>606</v>
      </c>
      <c r="E3483" s="9"/>
    </row>
    <row r="3484">
      <c r="A3484" s="10">
        <f>IFERROR(__xludf.DUMMYFUNCTION("""COMPUTED_VALUE"""),116678.0)</f>
        <v>116678</v>
      </c>
      <c r="B3484" s="11">
        <f>IFERROR(__xludf.DUMMYFUNCTION("""COMPUTED_VALUE"""),1.0)</f>
        <v>1</v>
      </c>
      <c r="C3484" s="11">
        <f>IFERROR(__xludf.DUMMYFUNCTION("""COMPUTED_VALUE"""),104.0)</f>
        <v>104</v>
      </c>
      <c r="D3484" s="11">
        <f>IFERROR(__xludf.DUMMYFUNCTION("""COMPUTED_VALUE"""),53.0)</f>
        <v>53</v>
      </c>
      <c r="E3484" s="9"/>
    </row>
    <row r="3485">
      <c r="A3485" s="10">
        <f>IFERROR(__xludf.DUMMYFUNCTION("""COMPUTED_VALUE"""),116845.0)</f>
        <v>116845</v>
      </c>
      <c r="B3485" s="11">
        <f>IFERROR(__xludf.DUMMYFUNCTION("""COMPUTED_VALUE"""),1.0)</f>
        <v>1</v>
      </c>
      <c r="C3485" s="11">
        <f>IFERROR(__xludf.DUMMYFUNCTION("""COMPUTED_VALUE"""),496.0)</f>
        <v>496</v>
      </c>
      <c r="D3485" s="11">
        <f>IFERROR(__xludf.DUMMYFUNCTION("""COMPUTED_VALUE"""),78.0)</f>
        <v>78</v>
      </c>
      <c r="E3485" s="9"/>
    </row>
    <row r="3486">
      <c r="A3486" s="10">
        <f>IFERROR(__xludf.DUMMYFUNCTION("""COMPUTED_VALUE"""),114252.0)</f>
        <v>114252</v>
      </c>
      <c r="B3486" s="11">
        <f>IFERROR(__xludf.DUMMYFUNCTION("""COMPUTED_VALUE"""),1.0)</f>
        <v>1</v>
      </c>
      <c r="C3486" s="11">
        <f>IFERROR(__xludf.DUMMYFUNCTION("""COMPUTED_VALUE"""),508.0)</f>
        <v>508</v>
      </c>
      <c r="D3486" s="11">
        <f>IFERROR(__xludf.DUMMYFUNCTION("""COMPUTED_VALUE"""),148.0)</f>
        <v>148</v>
      </c>
      <c r="E3486" s="9"/>
    </row>
    <row r="3487">
      <c r="A3487" s="10">
        <f>IFERROR(__xludf.DUMMYFUNCTION("""COMPUTED_VALUE"""),117595.0)</f>
        <v>117595</v>
      </c>
      <c r="B3487" s="11">
        <f>IFERROR(__xludf.DUMMYFUNCTION("""COMPUTED_VALUE"""),0.0)</f>
        <v>0</v>
      </c>
      <c r="C3487" s="11">
        <f>IFERROR(__xludf.DUMMYFUNCTION("""COMPUTED_VALUE"""),597.0)</f>
        <v>597</v>
      </c>
      <c r="D3487" s="11">
        <f>IFERROR(__xludf.DUMMYFUNCTION("""COMPUTED_VALUE"""),544.0)</f>
        <v>544</v>
      </c>
      <c r="E3487" s="9"/>
    </row>
    <row r="3488">
      <c r="A3488" s="10">
        <f>IFERROR(__xludf.DUMMYFUNCTION("""COMPUTED_VALUE"""),109579.0)</f>
        <v>109579</v>
      </c>
      <c r="B3488" s="11">
        <f>IFERROR(__xludf.DUMMYFUNCTION("""COMPUTED_VALUE"""),0.0)</f>
        <v>0</v>
      </c>
      <c r="C3488" s="11">
        <f>IFERROR(__xludf.DUMMYFUNCTION("""COMPUTED_VALUE"""),854.0)</f>
        <v>854</v>
      </c>
      <c r="D3488" s="11">
        <f>IFERROR(__xludf.DUMMYFUNCTION("""COMPUTED_VALUE"""),520.0)</f>
        <v>520</v>
      </c>
      <c r="E3488" s="9"/>
    </row>
    <row r="3489">
      <c r="A3489" s="10">
        <f>IFERROR(__xludf.DUMMYFUNCTION("""COMPUTED_VALUE"""),117597.0)</f>
        <v>117597</v>
      </c>
      <c r="B3489" s="11">
        <f>IFERROR(__xludf.DUMMYFUNCTION("""COMPUTED_VALUE"""),0.0)</f>
        <v>0</v>
      </c>
      <c r="C3489" s="11">
        <f>IFERROR(__xludf.DUMMYFUNCTION("""COMPUTED_VALUE"""),929.0)</f>
        <v>929</v>
      </c>
      <c r="D3489" s="11">
        <f>IFERROR(__xludf.DUMMYFUNCTION("""COMPUTED_VALUE"""),242.0)</f>
        <v>242</v>
      </c>
      <c r="E3489" s="9"/>
    </row>
    <row r="3490">
      <c r="A3490" s="10">
        <f>IFERROR(__xludf.DUMMYFUNCTION("""COMPUTED_VALUE"""),14401.0)</f>
        <v>14401</v>
      </c>
      <c r="B3490" s="11">
        <f>IFERROR(__xludf.DUMMYFUNCTION("""COMPUTED_VALUE"""),1.0)</f>
        <v>1</v>
      </c>
      <c r="C3490" s="11">
        <f>IFERROR(__xludf.DUMMYFUNCTION("""COMPUTED_VALUE"""),444.0)</f>
        <v>444</v>
      </c>
      <c r="D3490" s="11">
        <f>IFERROR(__xludf.DUMMYFUNCTION("""COMPUTED_VALUE"""),388.0)</f>
        <v>388</v>
      </c>
      <c r="E3490" s="9"/>
    </row>
    <row r="3491">
      <c r="A3491" s="10">
        <f>IFERROR(__xludf.DUMMYFUNCTION("""COMPUTED_VALUE"""),109290.0)</f>
        <v>109290</v>
      </c>
      <c r="B3491" s="11">
        <f>IFERROR(__xludf.DUMMYFUNCTION("""COMPUTED_VALUE"""),0.0)</f>
        <v>0</v>
      </c>
      <c r="C3491" s="11">
        <f>IFERROR(__xludf.DUMMYFUNCTION("""COMPUTED_VALUE"""),526.0)</f>
        <v>526</v>
      </c>
      <c r="D3491" s="11">
        <f>IFERROR(__xludf.DUMMYFUNCTION("""COMPUTED_VALUE"""),460.0)</f>
        <v>460</v>
      </c>
      <c r="E3491" s="9"/>
    </row>
    <row r="3492">
      <c r="A3492" s="10">
        <f>IFERROR(__xludf.DUMMYFUNCTION("""COMPUTED_VALUE"""),117665.0)</f>
        <v>117665</v>
      </c>
      <c r="B3492" s="11">
        <f>IFERROR(__xludf.DUMMYFUNCTION("""COMPUTED_VALUE"""),0.0)</f>
        <v>0</v>
      </c>
      <c r="C3492" s="11">
        <f>IFERROR(__xludf.DUMMYFUNCTION("""COMPUTED_VALUE"""),147.0)</f>
        <v>147</v>
      </c>
      <c r="D3492" s="11">
        <f>IFERROR(__xludf.DUMMYFUNCTION("""COMPUTED_VALUE"""),4.0)</f>
        <v>4</v>
      </c>
      <c r="E3492" s="9"/>
    </row>
    <row r="3493">
      <c r="A3493" s="10">
        <f>IFERROR(__xludf.DUMMYFUNCTION("""COMPUTED_VALUE"""),117681.0)</f>
        <v>117681</v>
      </c>
      <c r="B3493" s="11">
        <f>IFERROR(__xludf.DUMMYFUNCTION("""COMPUTED_VALUE"""),0.0)</f>
        <v>0</v>
      </c>
      <c r="C3493" s="11">
        <f>IFERROR(__xludf.DUMMYFUNCTION("""COMPUTED_VALUE"""),506.0)</f>
        <v>506</v>
      </c>
      <c r="D3493" s="11">
        <f>IFERROR(__xludf.DUMMYFUNCTION("""COMPUTED_VALUE"""),205.0)</f>
        <v>205</v>
      </c>
      <c r="E3493" s="9"/>
    </row>
    <row r="3494">
      <c r="A3494" s="10">
        <f>IFERROR(__xludf.DUMMYFUNCTION("""COMPUTED_VALUE"""),119406.0)</f>
        <v>119406</v>
      </c>
      <c r="B3494" s="11">
        <f>IFERROR(__xludf.DUMMYFUNCTION("""COMPUTED_VALUE"""),0.0)</f>
        <v>0</v>
      </c>
      <c r="C3494" s="11">
        <f>IFERROR(__xludf.DUMMYFUNCTION("""COMPUTED_VALUE"""),706.0)</f>
        <v>706</v>
      </c>
      <c r="D3494" s="11">
        <f>IFERROR(__xludf.DUMMYFUNCTION("""COMPUTED_VALUE"""),652.0)</f>
        <v>652</v>
      </c>
      <c r="E3494" s="9"/>
    </row>
    <row r="3495">
      <c r="A3495" s="10">
        <f>IFERROR(__xludf.DUMMYFUNCTION("""COMPUTED_VALUE"""),117676.0)</f>
        <v>117676</v>
      </c>
      <c r="B3495" s="11">
        <f>IFERROR(__xludf.DUMMYFUNCTION("""COMPUTED_VALUE"""),0.0)</f>
        <v>0</v>
      </c>
      <c r="C3495" s="11">
        <f>IFERROR(__xludf.DUMMYFUNCTION("""COMPUTED_VALUE"""),741.0)</f>
        <v>741</v>
      </c>
      <c r="D3495" s="11">
        <f>IFERROR(__xludf.DUMMYFUNCTION("""COMPUTED_VALUE"""),352.0)</f>
        <v>352</v>
      </c>
      <c r="E3495" s="9"/>
    </row>
    <row r="3496">
      <c r="A3496" s="10">
        <f>IFERROR(__xludf.DUMMYFUNCTION("""COMPUTED_VALUE"""),109571.0)</f>
        <v>109571</v>
      </c>
      <c r="B3496" s="11">
        <f>IFERROR(__xludf.DUMMYFUNCTION("""COMPUTED_VALUE"""),1.0)</f>
        <v>1</v>
      </c>
      <c r="C3496" s="11">
        <f>IFERROR(__xludf.DUMMYFUNCTION("""COMPUTED_VALUE"""),399.0)</f>
        <v>399</v>
      </c>
      <c r="D3496" s="11">
        <f>IFERROR(__xludf.DUMMYFUNCTION("""COMPUTED_VALUE"""),234.0)</f>
        <v>234</v>
      </c>
      <c r="E3496" s="9"/>
    </row>
    <row r="3497">
      <c r="A3497" s="10">
        <f>IFERROR(__xludf.DUMMYFUNCTION("""COMPUTED_VALUE"""),116676.0)</f>
        <v>116676</v>
      </c>
      <c r="B3497" s="11">
        <f>IFERROR(__xludf.DUMMYFUNCTION("""COMPUTED_VALUE"""),0.0)</f>
        <v>0</v>
      </c>
      <c r="C3497" s="11">
        <f>IFERROR(__xludf.DUMMYFUNCTION("""COMPUTED_VALUE"""),123.0)</f>
        <v>123</v>
      </c>
      <c r="D3497" s="11">
        <f>IFERROR(__xludf.DUMMYFUNCTION("""COMPUTED_VALUE"""),108.0)</f>
        <v>108</v>
      </c>
      <c r="E3497" s="9"/>
    </row>
    <row r="3498">
      <c r="A3498" s="10">
        <f>IFERROR(__xludf.DUMMYFUNCTION("""COMPUTED_VALUE"""),116816.0)</f>
        <v>116816</v>
      </c>
      <c r="B3498" s="11">
        <f>IFERROR(__xludf.DUMMYFUNCTION("""COMPUTED_VALUE"""),0.0)</f>
        <v>0</v>
      </c>
      <c r="C3498" s="11">
        <f>IFERROR(__xludf.DUMMYFUNCTION("""COMPUTED_VALUE"""),199.0)</f>
        <v>199</v>
      </c>
      <c r="D3498" s="11">
        <f>IFERROR(__xludf.DUMMYFUNCTION("""COMPUTED_VALUE"""),116.0)</f>
        <v>116</v>
      </c>
      <c r="E3498" s="9"/>
    </row>
    <row r="3499">
      <c r="A3499" s="10">
        <f>IFERROR(__xludf.DUMMYFUNCTION("""COMPUTED_VALUE"""),117663.0)</f>
        <v>117663</v>
      </c>
      <c r="B3499" s="11">
        <f>IFERROR(__xludf.DUMMYFUNCTION("""COMPUTED_VALUE"""),1.0)</f>
        <v>1</v>
      </c>
      <c r="C3499" s="11">
        <f>IFERROR(__xludf.DUMMYFUNCTION("""COMPUTED_VALUE"""),571.0)</f>
        <v>571</v>
      </c>
      <c r="D3499" s="11">
        <f>IFERROR(__xludf.DUMMYFUNCTION("""COMPUTED_VALUE"""),44.0)</f>
        <v>44</v>
      </c>
      <c r="E3499" s="9"/>
    </row>
    <row r="3500">
      <c r="A3500" s="10">
        <f>IFERROR(__xludf.DUMMYFUNCTION("""COMPUTED_VALUE"""),117652.0)</f>
        <v>117652</v>
      </c>
      <c r="B3500" s="11">
        <f>IFERROR(__xludf.DUMMYFUNCTION("""COMPUTED_VALUE"""),0.0)</f>
        <v>0</v>
      </c>
      <c r="C3500" s="11">
        <f>IFERROR(__xludf.DUMMYFUNCTION("""COMPUTED_VALUE"""),564.0)</f>
        <v>564</v>
      </c>
      <c r="D3500" s="11">
        <f>IFERROR(__xludf.DUMMYFUNCTION("""COMPUTED_VALUE"""),506.0)</f>
        <v>506</v>
      </c>
      <c r="E3500" s="9"/>
    </row>
    <row r="3501">
      <c r="A3501" s="10">
        <f>IFERROR(__xludf.DUMMYFUNCTION("""COMPUTED_VALUE"""),109289.0)</f>
        <v>109289</v>
      </c>
      <c r="B3501" s="11">
        <f>IFERROR(__xludf.DUMMYFUNCTION("""COMPUTED_VALUE"""),1.0)</f>
        <v>1</v>
      </c>
      <c r="C3501" s="11">
        <f>IFERROR(__xludf.DUMMYFUNCTION("""COMPUTED_VALUE"""),266.0)</f>
        <v>266</v>
      </c>
      <c r="D3501" s="11">
        <f>IFERROR(__xludf.DUMMYFUNCTION("""COMPUTED_VALUE"""),171.0)</f>
        <v>171</v>
      </c>
      <c r="E3501" s="9"/>
    </row>
    <row r="3502">
      <c r="A3502" s="10">
        <f>IFERROR(__xludf.DUMMYFUNCTION("""COMPUTED_VALUE"""),117656.0)</f>
        <v>117656</v>
      </c>
      <c r="B3502" s="11">
        <f>IFERROR(__xludf.DUMMYFUNCTION("""COMPUTED_VALUE"""),0.0)</f>
        <v>0</v>
      </c>
      <c r="C3502" s="11">
        <f>IFERROR(__xludf.DUMMYFUNCTION("""COMPUTED_VALUE"""),447.0)</f>
        <v>447</v>
      </c>
      <c r="D3502" s="11">
        <f>IFERROR(__xludf.DUMMYFUNCTION("""COMPUTED_VALUE"""),138.0)</f>
        <v>138</v>
      </c>
      <c r="E3502" s="9"/>
    </row>
    <row r="3503">
      <c r="A3503" s="10">
        <f>IFERROR(__xludf.DUMMYFUNCTION("""COMPUTED_VALUE"""),117677.0)</f>
        <v>117677</v>
      </c>
      <c r="B3503" s="11">
        <f>IFERROR(__xludf.DUMMYFUNCTION("""COMPUTED_VALUE"""),1.0)</f>
        <v>1</v>
      </c>
      <c r="C3503" s="11">
        <f>IFERROR(__xludf.DUMMYFUNCTION("""COMPUTED_VALUE"""),404.0)</f>
        <v>404</v>
      </c>
      <c r="D3503" s="11">
        <f>IFERROR(__xludf.DUMMYFUNCTION("""COMPUTED_VALUE"""),386.0)</f>
        <v>386</v>
      </c>
      <c r="E3503" s="9"/>
    </row>
    <row r="3504">
      <c r="A3504" s="10">
        <f>IFERROR(__xludf.DUMMYFUNCTION("""COMPUTED_VALUE"""),116677.0)</f>
        <v>116677</v>
      </c>
      <c r="B3504" s="11">
        <f>IFERROR(__xludf.DUMMYFUNCTION("""COMPUTED_VALUE"""),1.0)</f>
        <v>1</v>
      </c>
      <c r="C3504" s="11">
        <f>IFERROR(__xludf.DUMMYFUNCTION("""COMPUTED_VALUE"""),0.0)</f>
        <v>0</v>
      </c>
      <c r="D3504" s="11">
        <f>IFERROR(__xludf.DUMMYFUNCTION("""COMPUTED_VALUE"""),0.0)</f>
        <v>0</v>
      </c>
      <c r="E3504" s="9"/>
    </row>
    <row r="3505">
      <c r="A3505" s="10">
        <f>IFERROR(__xludf.DUMMYFUNCTION("""COMPUTED_VALUE"""),117256.0)</f>
        <v>117256</v>
      </c>
      <c r="B3505" s="11">
        <f>IFERROR(__xludf.DUMMYFUNCTION("""COMPUTED_VALUE"""),1.0)</f>
        <v>1</v>
      </c>
      <c r="C3505" s="11">
        <f>IFERROR(__xludf.DUMMYFUNCTION("""COMPUTED_VALUE"""),751.0)</f>
        <v>751</v>
      </c>
      <c r="D3505" s="11">
        <f>IFERROR(__xludf.DUMMYFUNCTION("""COMPUTED_VALUE"""),302.0)</f>
        <v>302</v>
      </c>
      <c r="E3505" s="9"/>
    </row>
    <row r="3506">
      <c r="A3506" s="10">
        <f>IFERROR(__xludf.DUMMYFUNCTION("""COMPUTED_VALUE"""),122738.0)</f>
        <v>122738</v>
      </c>
      <c r="B3506" s="11">
        <f>IFERROR(__xludf.DUMMYFUNCTION("""COMPUTED_VALUE"""),1.0)</f>
        <v>1</v>
      </c>
      <c r="C3506" s="11">
        <f>IFERROR(__xludf.DUMMYFUNCTION("""COMPUTED_VALUE"""),238.0)</f>
        <v>238</v>
      </c>
      <c r="D3506" s="11">
        <f>IFERROR(__xludf.DUMMYFUNCTION("""COMPUTED_VALUE"""),114.0)</f>
        <v>114</v>
      </c>
      <c r="E3506" s="9"/>
    </row>
    <row r="3507">
      <c r="A3507" s="10">
        <f>IFERROR(__xludf.DUMMYFUNCTION("""COMPUTED_VALUE"""),116679.0)</f>
        <v>116679</v>
      </c>
      <c r="B3507" s="11">
        <f>IFERROR(__xludf.DUMMYFUNCTION("""COMPUTED_VALUE"""),1.0)</f>
        <v>1</v>
      </c>
      <c r="C3507" s="11">
        <f>IFERROR(__xludf.DUMMYFUNCTION("""COMPUTED_VALUE"""),724.0)</f>
        <v>724</v>
      </c>
      <c r="D3507" s="11">
        <f>IFERROR(__xludf.DUMMYFUNCTION("""COMPUTED_VALUE"""),622.0)</f>
        <v>622</v>
      </c>
      <c r="E3507" s="9"/>
    </row>
    <row r="3508">
      <c r="A3508" s="10">
        <f>IFERROR(__xludf.DUMMYFUNCTION("""COMPUTED_VALUE"""),116831.0)</f>
        <v>116831</v>
      </c>
      <c r="B3508" s="11">
        <f>IFERROR(__xludf.DUMMYFUNCTION("""COMPUTED_VALUE"""),1.0)</f>
        <v>1</v>
      </c>
      <c r="C3508" s="11">
        <f>IFERROR(__xludf.DUMMYFUNCTION("""COMPUTED_VALUE"""),689.0)</f>
        <v>689</v>
      </c>
      <c r="D3508" s="11">
        <f>IFERROR(__xludf.DUMMYFUNCTION("""COMPUTED_VALUE"""),618.0)</f>
        <v>618</v>
      </c>
      <c r="E3508" s="9"/>
    </row>
    <row r="3509">
      <c r="A3509" s="10">
        <f>IFERROR(__xludf.DUMMYFUNCTION("""COMPUTED_VALUE"""),109577.0)</f>
        <v>109577</v>
      </c>
      <c r="B3509" s="11">
        <f>IFERROR(__xludf.DUMMYFUNCTION("""COMPUTED_VALUE"""),0.0)</f>
        <v>0</v>
      </c>
      <c r="C3509" s="11">
        <f>IFERROR(__xludf.DUMMYFUNCTION("""COMPUTED_VALUE"""),980.0)</f>
        <v>980</v>
      </c>
      <c r="D3509" s="11">
        <f>IFERROR(__xludf.DUMMYFUNCTION("""COMPUTED_VALUE"""),702.0)</f>
        <v>702</v>
      </c>
      <c r="E3509" s="9"/>
    </row>
    <row r="3510">
      <c r="A3510" s="10">
        <f>IFERROR(__xludf.DUMMYFUNCTION("""COMPUTED_VALUE"""),77790.0)</f>
        <v>77790</v>
      </c>
      <c r="B3510" s="11">
        <f>IFERROR(__xludf.DUMMYFUNCTION("""COMPUTED_VALUE"""),1.0)</f>
        <v>1</v>
      </c>
      <c r="C3510" s="11">
        <f>IFERROR(__xludf.DUMMYFUNCTION("""COMPUTED_VALUE"""),42.0)</f>
        <v>42</v>
      </c>
      <c r="D3510" s="11">
        <f>IFERROR(__xludf.DUMMYFUNCTION("""COMPUTED_VALUE"""),30.0)</f>
        <v>30</v>
      </c>
      <c r="E3510" s="9"/>
    </row>
    <row r="3511">
      <c r="A3511" s="10">
        <f>IFERROR(__xludf.DUMMYFUNCTION("""COMPUTED_VALUE"""),101172.0)</f>
        <v>101172</v>
      </c>
      <c r="B3511" s="11">
        <f>IFERROR(__xludf.DUMMYFUNCTION("""COMPUTED_VALUE"""),0.0)</f>
        <v>0</v>
      </c>
      <c r="C3511" s="11">
        <f>IFERROR(__xludf.DUMMYFUNCTION("""COMPUTED_VALUE"""),470.0)</f>
        <v>470</v>
      </c>
      <c r="D3511" s="11">
        <f>IFERROR(__xludf.DUMMYFUNCTION("""COMPUTED_VALUE"""),388.0)</f>
        <v>388</v>
      </c>
      <c r="E3511" s="9"/>
    </row>
    <row r="3512">
      <c r="A3512" s="10">
        <f>IFERROR(__xludf.DUMMYFUNCTION("""COMPUTED_VALUE"""),87023.0)</f>
        <v>87023</v>
      </c>
      <c r="B3512" s="11">
        <f>IFERROR(__xludf.DUMMYFUNCTION("""COMPUTED_VALUE"""),1.0)</f>
        <v>1</v>
      </c>
      <c r="C3512" s="11">
        <f>IFERROR(__xludf.DUMMYFUNCTION("""COMPUTED_VALUE"""),648.0)</f>
        <v>648</v>
      </c>
      <c r="D3512" s="11">
        <f>IFERROR(__xludf.DUMMYFUNCTION("""COMPUTED_VALUE"""),435.0)</f>
        <v>435</v>
      </c>
      <c r="E3512" s="9"/>
    </row>
    <row r="3513">
      <c r="A3513" s="10">
        <f>IFERROR(__xludf.DUMMYFUNCTION("""COMPUTED_VALUE"""),101520.0)</f>
        <v>101520</v>
      </c>
      <c r="B3513" s="11">
        <f>IFERROR(__xludf.DUMMYFUNCTION("""COMPUTED_VALUE"""),1.0)</f>
        <v>1</v>
      </c>
      <c r="C3513" s="11">
        <f>IFERROR(__xludf.DUMMYFUNCTION("""COMPUTED_VALUE"""),634.0)</f>
        <v>634</v>
      </c>
      <c r="D3513" s="11">
        <f>IFERROR(__xludf.DUMMYFUNCTION("""COMPUTED_VALUE"""),53.0)</f>
        <v>53</v>
      </c>
      <c r="E3513" s="9"/>
    </row>
    <row r="3514">
      <c r="A3514" s="10">
        <f>IFERROR(__xludf.DUMMYFUNCTION("""COMPUTED_VALUE"""),118362.0)</f>
        <v>118362</v>
      </c>
      <c r="B3514" s="11">
        <f>IFERROR(__xludf.DUMMYFUNCTION("""COMPUTED_VALUE"""),0.0)</f>
        <v>0</v>
      </c>
      <c r="C3514" s="11">
        <f>IFERROR(__xludf.DUMMYFUNCTION("""COMPUTED_VALUE"""),948.0)</f>
        <v>948</v>
      </c>
      <c r="D3514" s="11">
        <f>IFERROR(__xludf.DUMMYFUNCTION("""COMPUTED_VALUE"""),156.0)</f>
        <v>156</v>
      </c>
      <c r="E3514" s="9"/>
    </row>
    <row r="3515">
      <c r="A3515" s="10">
        <f>IFERROR(__xludf.DUMMYFUNCTION("""COMPUTED_VALUE"""),87313.0)</f>
        <v>87313</v>
      </c>
      <c r="B3515" s="11">
        <f>IFERROR(__xludf.DUMMYFUNCTION("""COMPUTED_VALUE"""),0.0)</f>
        <v>0</v>
      </c>
      <c r="C3515" s="11">
        <f>IFERROR(__xludf.DUMMYFUNCTION("""COMPUTED_VALUE"""),399.0)</f>
        <v>399</v>
      </c>
      <c r="D3515" s="11">
        <f>IFERROR(__xludf.DUMMYFUNCTION("""COMPUTED_VALUE"""),175.0)</f>
        <v>175</v>
      </c>
      <c r="E3515" s="9"/>
    </row>
    <row r="3516">
      <c r="A3516" s="10">
        <f>IFERROR(__xludf.DUMMYFUNCTION("""COMPUTED_VALUE"""),111015.0)</f>
        <v>111015</v>
      </c>
      <c r="B3516" s="11">
        <f>IFERROR(__xludf.DUMMYFUNCTION("""COMPUTED_VALUE"""),0.0)</f>
        <v>0</v>
      </c>
      <c r="C3516" s="11">
        <f>IFERROR(__xludf.DUMMYFUNCTION("""COMPUTED_VALUE"""),967.0)</f>
        <v>967</v>
      </c>
      <c r="D3516" s="11">
        <f>IFERROR(__xludf.DUMMYFUNCTION("""COMPUTED_VALUE"""),560.0)</f>
        <v>560</v>
      </c>
      <c r="E3516" s="9"/>
    </row>
    <row r="3517">
      <c r="A3517" s="10">
        <f>IFERROR(__xludf.DUMMYFUNCTION("""COMPUTED_VALUE"""),87312.0)</f>
        <v>87312</v>
      </c>
      <c r="B3517" s="11">
        <f>IFERROR(__xludf.DUMMYFUNCTION("""COMPUTED_VALUE"""),1.0)</f>
        <v>1</v>
      </c>
      <c r="C3517" s="11">
        <f>IFERROR(__xludf.DUMMYFUNCTION("""COMPUTED_VALUE"""),188.0)</f>
        <v>188</v>
      </c>
      <c r="D3517" s="11">
        <f>IFERROR(__xludf.DUMMYFUNCTION("""COMPUTED_VALUE"""),66.0)</f>
        <v>66</v>
      </c>
      <c r="E3517" s="9"/>
    </row>
    <row r="3518">
      <c r="A3518" s="10">
        <f>IFERROR(__xludf.DUMMYFUNCTION("""COMPUTED_VALUE"""),87025.0)</f>
        <v>87025</v>
      </c>
      <c r="B3518" s="11">
        <f>IFERROR(__xludf.DUMMYFUNCTION("""COMPUTED_VALUE"""),1.0)</f>
        <v>1</v>
      </c>
      <c r="C3518" s="11">
        <f>IFERROR(__xludf.DUMMYFUNCTION("""COMPUTED_VALUE"""),673.0)</f>
        <v>673</v>
      </c>
      <c r="D3518" s="11">
        <f>IFERROR(__xludf.DUMMYFUNCTION("""COMPUTED_VALUE"""),552.0)</f>
        <v>552</v>
      </c>
      <c r="E3518" s="9"/>
    </row>
    <row r="3519">
      <c r="A3519" s="10">
        <f>IFERROR(__xludf.DUMMYFUNCTION("""COMPUTED_VALUE"""),111587.0)</f>
        <v>111587</v>
      </c>
      <c r="B3519" s="11">
        <f>IFERROR(__xludf.DUMMYFUNCTION("""COMPUTED_VALUE"""),0.0)</f>
        <v>0</v>
      </c>
      <c r="C3519" s="11">
        <f>IFERROR(__xludf.DUMMYFUNCTION("""COMPUTED_VALUE"""),48.0)</f>
        <v>48</v>
      </c>
      <c r="D3519" s="11">
        <f>IFERROR(__xludf.DUMMYFUNCTION("""COMPUTED_VALUE"""),6.0)</f>
        <v>6</v>
      </c>
      <c r="E3519" s="9"/>
    </row>
    <row r="3520">
      <c r="A3520" s="10">
        <f>IFERROR(__xludf.DUMMYFUNCTION("""COMPUTED_VALUE"""),114934.0)</f>
        <v>114934</v>
      </c>
      <c r="B3520" s="11">
        <f>IFERROR(__xludf.DUMMYFUNCTION("""COMPUTED_VALUE"""),1.0)</f>
        <v>1</v>
      </c>
      <c r="C3520" s="11">
        <f>IFERROR(__xludf.DUMMYFUNCTION("""COMPUTED_VALUE"""),235.0)</f>
        <v>235</v>
      </c>
      <c r="D3520" s="11">
        <f>IFERROR(__xludf.DUMMYFUNCTION("""COMPUTED_VALUE"""),165.0)</f>
        <v>165</v>
      </c>
      <c r="E3520" s="9"/>
    </row>
    <row r="3521">
      <c r="A3521" s="10">
        <f>IFERROR(__xludf.DUMMYFUNCTION("""COMPUTED_VALUE"""),116519.0)</f>
        <v>116519</v>
      </c>
      <c r="B3521" s="11">
        <f>IFERROR(__xludf.DUMMYFUNCTION("""COMPUTED_VALUE"""),0.0)</f>
        <v>0</v>
      </c>
      <c r="C3521" s="11">
        <f>IFERROR(__xludf.DUMMYFUNCTION("""COMPUTED_VALUE"""),614.0)</f>
        <v>614</v>
      </c>
      <c r="D3521" s="11">
        <f>IFERROR(__xludf.DUMMYFUNCTION("""COMPUTED_VALUE"""),140.0)</f>
        <v>140</v>
      </c>
      <c r="E3521" s="9"/>
    </row>
    <row r="3522">
      <c r="A3522" s="10">
        <f>IFERROR(__xludf.DUMMYFUNCTION("""COMPUTED_VALUE"""),116516.0)</f>
        <v>116516</v>
      </c>
      <c r="B3522" s="11">
        <f>IFERROR(__xludf.DUMMYFUNCTION("""COMPUTED_VALUE"""),0.0)</f>
        <v>0</v>
      </c>
      <c r="C3522" s="11">
        <f>IFERROR(__xludf.DUMMYFUNCTION("""COMPUTED_VALUE"""),791.0)</f>
        <v>791</v>
      </c>
      <c r="D3522" s="11">
        <f>IFERROR(__xludf.DUMMYFUNCTION("""COMPUTED_VALUE"""),275.0)</f>
        <v>275</v>
      </c>
      <c r="E3522" s="9"/>
    </row>
    <row r="3523">
      <c r="A3523" s="10">
        <f>IFERROR(__xludf.DUMMYFUNCTION("""COMPUTED_VALUE"""),104931.0)</f>
        <v>104931</v>
      </c>
      <c r="B3523" s="11">
        <f>IFERROR(__xludf.DUMMYFUNCTION("""COMPUTED_VALUE"""),0.0)</f>
        <v>0</v>
      </c>
      <c r="C3523" s="11">
        <f>IFERROR(__xludf.DUMMYFUNCTION("""COMPUTED_VALUE"""),916.0)</f>
        <v>916</v>
      </c>
      <c r="D3523" s="11">
        <f>IFERROR(__xludf.DUMMYFUNCTION("""COMPUTED_VALUE"""),629.0)</f>
        <v>629</v>
      </c>
      <c r="E3523" s="9"/>
    </row>
    <row r="3524">
      <c r="A3524" s="10">
        <f>IFERROR(__xludf.DUMMYFUNCTION("""COMPUTED_VALUE"""),105656.0)</f>
        <v>105656</v>
      </c>
      <c r="B3524" s="11">
        <f>IFERROR(__xludf.DUMMYFUNCTION("""COMPUTED_VALUE"""),0.0)</f>
        <v>0</v>
      </c>
      <c r="C3524" s="11">
        <f>IFERROR(__xludf.DUMMYFUNCTION("""COMPUTED_VALUE"""),621.0)</f>
        <v>621</v>
      </c>
      <c r="D3524" s="11">
        <f>IFERROR(__xludf.DUMMYFUNCTION("""COMPUTED_VALUE"""),149.0)</f>
        <v>149</v>
      </c>
      <c r="E3524" s="9"/>
    </row>
    <row r="3525">
      <c r="A3525" s="10">
        <f>IFERROR(__xludf.DUMMYFUNCTION("""COMPUTED_VALUE"""),117702.0)</f>
        <v>117702</v>
      </c>
      <c r="B3525" s="11">
        <f>IFERROR(__xludf.DUMMYFUNCTION("""COMPUTED_VALUE"""),1.0)</f>
        <v>1</v>
      </c>
      <c r="C3525" s="11">
        <f>IFERROR(__xludf.DUMMYFUNCTION("""COMPUTED_VALUE"""),935.0)</f>
        <v>935</v>
      </c>
      <c r="D3525" s="11">
        <f>IFERROR(__xludf.DUMMYFUNCTION("""COMPUTED_VALUE"""),914.0)</f>
        <v>914</v>
      </c>
      <c r="E3525" s="9"/>
    </row>
    <row r="3526">
      <c r="A3526" s="10">
        <f>IFERROR(__xludf.DUMMYFUNCTION("""COMPUTED_VALUE"""),88385.0)</f>
        <v>88385</v>
      </c>
      <c r="B3526" s="11">
        <f>IFERROR(__xludf.DUMMYFUNCTION("""COMPUTED_VALUE"""),1.0)</f>
        <v>1</v>
      </c>
      <c r="C3526" s="11">
        <f>IFERROR(__xludf.DUMMYFUNCTION("""COMPUTED_VALUE"""),524.0)</f>
        <v>524</v>
      </c>
      <c r="D3526" s="11">
        <f>IFERROR(__xludf.DUMMYFUNCTION("""COMPUTED_VALUE"""),66.0)</f>
        <v>66</v>
      </c>
      <c r="E3526" s="9"/>
    </row>
    <row r="3527">
      <c r="A3527" s="10">
        <f>IFERROR(__xludf.DUMMYFUNCTION("""COMPUTED_VALUE"""),76451.0)</f>
        <v>76451</v>
      </c>
      <c r="B3527" s="11">
        <f>IFERROR(__xludf.DUMMYFUNCTION("""COMPUTED_VALUE"""),1.0)</f>
        <v>1</v>
      </c>
      <c r="C3527" s="11">
        <f>IFERROR(__xludf.DUMMYFUNCTION("""COMPUTED_VALUE"""),490.0)</f>
        <v>490</v>
      </c>
      <c r="D3527" s="11">
        <f>IFERROR(__xludf.DUMMYFUNCTION("""COMPUTED_VALUE"""),212.0)</f>
        <v>212</v>
      </c>
      <c r="E3527" s="9"/>
    </row>
    <row r="3528">
      <c r="A3528" s="10">
        <f>IFERROR(__xludf.DUMMYFUNCTION("""COMPUTED_VALUE"""),199950.0)</f>
        <v>199950</v>
      </c>
      <c r="B3528" s="11">
        <f>IFERROR(__xludf.DUMMYFUNCTION("""COMPUTED_VALUE"""),1.0)</f>
        <v>1</v>
      </c>
      <c r="C3528" s="11">
        <f>IFERROR(__xludf.DUMMYFUNCTION("""COMPUTED_VALUE"""),538.0)</f>
        <v>538</v>
      </c>
      <c r="D3528" s="11">
        <f>IFERROR(__xludf.DUMMYFUNCTION("""COMPUTED_VALUE"""),517.0)</f>
        <v>517</v>
      </c>
      <c r="E3528" s="9"/>
    </row>
    <row r="3529">
      <c r="A3529" s="10">
        <f>IFERROR(__xludf.DUMMYFUNCTION("""COMPUTED_VALUE"""),121167.0)</f>
        <v>121167</v>
      </c>
      <c r="B3529" s="11">
        <f>IFERROR(__xludf.DUMMYFUNCTION("""COMPUTED_VALUE"""),1.0)</f>
        <v>1</v>
      </c>
      <c r="C3529" s="11">
        <f>IFERROR(__xludf.DUMMYFUNCTION("""COMPUTED_VALUE"""),922.0)</f>
        <v>922</v>
      </c>
      <c r="D3529" s="11">
        <f>IFERROR(__xludf.DUMMYFUNCTION("""COMPUTED_VALUE"""),913.0)</f>
        <v>913</v>
      </c>
      <c r="E3529" s="9"/>
    </row>
    <row r="3530">
      <c r="A3530" s="10">
        <f>IFERROR(__xludf.DUMMYFUNCTION("""COMPUTED_VALUE"""),199954.0)</f>
        <v>199954</v>
      </c>
      <c r="B3530" s="11">
        <f>IFERROR(__xludf.DUMMYFUNCTION("""COMPUTED_VALUE"""),1.0)</f>
        <v>1</v>
      </c>
      <c r="C3530" s="11">
        <f>IFERROR(__xludf.DUMMYFUNCTION("""COMPUTED_VALUE"""),665.0)</f>
        <v>665</v>
      </c>
      <c r="D3530" s="11">
        <f>IFERROR(__xludf.DUMMYFUNCTION("""COMPUTED_VALUE"""),254.0)</f>
        <v>254</v>
      </c>
      <c r="E3530" s="9"/>
    </row>
    <row r="3531">
      <c r="A3531" s="10">
        <f>IFERROR(__xludf.DUMMYFUNCTION("""COMPUTED_VALUE"""),190713.0)</f>
        <v>190713</v>
      </c>
      <c r="B3531" s="11">
        <f>IFERROR(__xludf.DUMMYFUNCTION("""COMPUTED_VALUE"""),0.0)</f>
        <v>0</v>
      </c>
      <c r="C3531" s="11">
        <f>IFERROR(__xludf.DUMMYFUNCTION("""COMPUTED_VALUE"""),251.0)</f>
        <v>251</v>
      </c>
      <c r="D3531" s="11">
        <f>IFERROR(__xludf.DUMMYFUNCTION("""COMPUTED_VALUE"""),14.0)</f>
        <v>14</v>
      </c>
      <c r="E3531" s="9"/>
    </row>
    <row r="3532">
      <c r="A3532" s="10">
        <f>IFERROR(__xludf.DUMMYFUNCTION("""COMPUTED_VALUE"""),199951.0)</f>
        <v>199951</v>
      </c>
      <c r="B3532" s="11">
        <f>IFERROR(__xludf.DUMMYFUNCTION("""COMPUTED_VALUE"""),0.0)</f>
        <v>0</v>
      </c>
      <c r="C3532" s="11">
        <f>IFERROR(__xludf.DUMMYFUNCTION("""COMPUTED_VALUE"""),592.0)</f>
        <v>592</v>
      </c>
      <c r="D3532" s="11">
        <f>IFERROR(__xludf.DUMMYFUNCTION("""COMPUTED_VALUE"""),567.0)</f>
        <v>567</v>
      </c>
      <c r="E3532" s="9"/>
    </row>
    <row r="3533">
      <c r="A3533" s="10">
        <f>IFERROR(__xludf.DUMMYFUNCTION("""COMPUTED_VALUE"""),85263.0)</f>
        <v>85263</v>
      </c>
      <c r="B3533" s="11">
        <f>IFERROR(__xludf.DUMMYFUNCTION("""COMPUTED_VALUE"""),1.0)</f>
        <v>1</v>
      </c>
      <c r="C3533" s="11">
        <f>IFERROR(__xludf.DUMMYFUNCTION("""COMPUTED_VALUE"""),617.0)</f>
        <v>617</v>
      </c>
      <c r="D3533" s="11">
        <f>IFERROR(__xludf.DUMMYFUNCTION("""COMPUTED_VALUE"""),471.0)</f>
        <v>471</v>
      </c>
      <c r="E3533" s="9"/>
    </row>
    <row r="3534">
      <c r="A3534" s="10">
        <f>IFERROR(__xludf.DUMMYFUNCTION("""COMPUTED_VALUE"""),180016.0)</f>
        <v>180016</v>
      </c>
      <c r="B3534" s="11">
        <f>IFERROR(__xludf.DUMMYFUNCTION("""COMPUTED_VALUE"""),0.0)</f>
        <v>0</v>
      </c>
      <c r="C3534" s="11">
        <f>IFERROR(__xludf.DUMMYFUNCTION("""COMPUTED_VALUE"""),710.0)</f>
        <v>710</v>
      </c>
      <c r="D3534" s="11">
        <f>IFERROR(__xludf.DUMMYFUNCTION("""COMPUTED_VALUE"""),413.0)</f>
        <v>413</v>
      </c>
      <c r="E3534" s="9"/>
    </row>
    <row r="3535">
      <c r="A3535" s="10">
        <f>IFERROR(__xludf.DUMMYFUNCTION("""COMPUTED_VALUE"""),129432.0)</f>
        <v>129432</v>
      </c>
      <c r="B3535" s="11">
        <f>IFERROR(__xludf.DUMMYFUNCTION("""COMPUTED_VALUE"""),0.0)</f>
        <v>0</v>
      </c>
      <c r="C3535" s="11">
        <f>IFERROR(__xludf.DUMMYFUNCTION("""COMPUTED_VALUE"""),45.0)</f>
        <v>45</v>
      </c>
      <c r="D3535" s="11">
        <f>IFERROR(__xludf.DUMMYFUNCTION("""COMPUTED_VALUE"""),4.0)</f>
        <v>4</v>
      </c>
      <c r="E3535" s="9"/>
    </row>
    <row r="3536">
      <c r="A3536" s="10">
        <f>IFERROR(__xludf.DUMMYFUNCTION("""COMPUTED_VALUE"""),120052.0)</f>
        <v>120052</v>
      </c>
      <c r="B3536" s="11">
        <f>IFERROR(__xludf.DUMMYFUNCTION("""COMPUTED_VALUE"""),1.0)</f>
        <v>1</v>
      </c>
      <c r="C3536" s="11">
        <f>IFERROR(__xludf.DUMMYFUNCTION("""COMPUTED_VALUE"""),511.0)</f>
        <v>511</v>
      </c>
      <c r="D3536" s="11">
        <f>IFERROR(__xludf.DUMMYFUNCTION("""COMPUTED_VALUE"""),424.0)</f>
        <v>424</v>
      </c>
      <c r="E3536" s="9"/>
    </row>
    <row r="3537">
      <c r="A3537" s="10">
        <f>IFERROR(__xludf.DUMMYFUNCTION("""COMPUTED_VALUE"""),111876.0)</f>
        <v>111876</v>
      </c>
      <c r="B3537" s="11">
        <f>IFERROR(__xludf.DUMMYFUNCTION("""COMPUTED_VALUE"""),0.0)</f>
        <v>0</v>
      </c>
      <c r="C3537" s="11">
        <f>IFERROR(__xludf.DUMMYFUNCTION("""COMPUTED_VALUE"""),712.0)</f>
        <v>712</v>
      </c>
      <c r="D3537" s="11">
        <f>IFERROR(__xludf.DUMMYFUNCTION("""COMPUTED_VALUE"""),665.0)</f>
        <v>665</v>
      </c>
      <c r="E3537" s="9"/>
    </row>
    <row r="3538">
      <c r="A3538" s="10">
        <f>IFERROR(__xludf.DUMMYFUNCTION("""COMPUTED_VALUE"""),85092.0)</f>
        <v>85092</v>
      </c>
      <c r="B3538" s="11">
        <f>IFERROR(__xludf.DUMMYFUNCTION("""COMPUTED_VALUE"""),0.0)</f>
        <v>0</v>
      </c>
      <c r="C3538" s="11">
        <f>IFERROR(__xludf.DUMMYFUNCTION("""COMPUTED_VALUE"""),233.0)</f>
        <v>233</v>
      </c>
      <c r="D3538" s="11">
        <f>IFERROR(__xludf.DUMMYFUNCTION("""COMPUTED_VALUE"""),194.0)</f>
        <v>194</v>
      </c>
      <c r="E3538" s="9"/>
    </row>
    <row r="3539">
      <c r="A3539" s="10">
        <f>IFERROR(__xludf.DUMMYFUNCTION("""COMPUTED_VALUE"""),121046.0)</f>
        <v>121046</v>
      </c>
      <c r="B3539" s="11">
        <f>IFERROR(__xludf.DUMMYFUNCTION("""COMPUTED_VALUE"""),1.0)</f>
        <v>1</v>
      </c>
      <c r="C3539" s="11">
        <f>IFERROR(__xludf.DUMMYFUNCTION("""COMPUTED_VALUE"""),360.0)</f>
        <v>360</v>
      </c>
      <c r="D3539" s="11">
        <f>IFERROR(__xludf.DUMMYFUNCTION("""COMPUTED_VALUE"""),359.0)</f>
        <v>359</v>
      </c>
      <c r="E3539" s="9"/>
    </row>
    <row r="3540">
      <c r="A3540" s="10">
        <f>IFERROR(__xludf.DUMMYFUNCTION("""COMPUTED_VALUE"""),849.0)</f>
        <v>849</v>
      </c>
      <c r="B3540" s="11">
        <f>IFERROR(__xludf.DUMMYFUNCTION("""COMPUTED_VALUE"""),0.0)</f>
        <v>0</v>
      </c>
      <c r="C3540" s="11">
        <f>IFERROR(__xludf.DUMMYFUNCTION("""COMPUTED_VALUE"""),127.0)</f>
        <v>127</v>
      </c>
      <c r="D3540" s="11">
        <f>IFERROR(__xludf.DUMMYFUNCTION("""COMPUTED_VALUE"""),112.0)</f>
        <v>112</v>
      </c>
      <c r="E3540" s="9"/>
    </row>
    <row r="3541">
      <c r="A3541" s="10">
        <f>IFERROR(__xludf.DUMMYFUNCTION("""COMPUTED_VALUE"""),21662.0)</f>
        <v>21662</v>
      </c>
      <c r="B3541" s="11">
        <f>IFERROR(__xludf.DUMMYFUNCTION("""COMPUTED_VALUE"""),0.0)</f>
        <v>0</v>
      </c>
      <c r="C3541" s="11">
        <f>IFERROR(__xludf.DUMMYFUNCTION("""COMPUTED_VALUE"""),906.0)</f>
        <v>906</v>
      </c>
      <c r="D3541" s="11">
        <f>IFERROR(__xludf.DUMMYFUNCTION("""COMPUTED_VALUE"""),896.0)</f>
        <v>896</v>
      </c>
      <c r="E3541" s="9"/>
    </row>
    <row r="3542">
      <c r="A3542" s="10">
        <f>IFERROR(__xludf.DUMMYFUNCTION("""COMPUTED_VALUE"""),127038.0)</f>
        <v>127038</v>
      </c>
      <c r="B3542" s="11">
        <f>IFERROR(__xludf.DUMMYFUNCTION("""COMPUTED_VALUE"""),0.0)</f>
        <v>0</v>
      </c>
      <c r="C3542" s="11">
        <f>IFERROR(__xludf.DUMMYFUNCTION("""COMPUTED_VALUE"""),850.0)</f>
        <v>850</v>
      </c>
      <c r="D3542" s="11">
        <f>IFERROR(__xludf.DUMMYFUNCTION("""COMPUTED_VALUE"""),561.0)</f>
        <v>561</v>
      </c>
      <c r="E3542" s="9"/>
    </row>
    <row r="3543">
      <c r="A3543" s="10">
        <f>IFERROR(__xludf.DUMMYFUNCTION("""COMPUTED_VALUE"""),91954.0)</f>
        <v>91954</v>
      </c>
      <c r="B3543" s="11">
        <f>IFERROR(__xludf.DUMMYFUNCTION("""COMPUTED_VALUE"""),1.0)</f>
        <v>1</v>
      </c>
      <c r="C3543" s="11">
        <f>IFERROR(__xludf.DUMMYFUNCTION("""COMPUTED_VALUE"""),746.0)</f>
        <v>746</v>
      </c>
      <c r="D3543" s="11">
        <f>IFERROR(__xludf.DUMMYFUNCTION("""COMPUTED_VALUE"""),101.0)</f>
        <v>101</v>
      </c>
      <c r="E3543" s="9"/>
    </row>
    <row r="3544">
      <c r="A3544" s="10">
        <f>IFERROR(__xludf.DUMMYFUNCTION("""COMPUTED_VALUE"""),96365.0)</f>
        <v>96365</v>
      </c>
      <c r="B3544" s="11">
        <f>IFERROR(__xludf.DUMMYFUNCTION("""COMPUTED_VALUE"""),1.0)</f>
        <v>1</v>
      </c>
      <c r="C3544" s="11">
        <f>IFERROR(__xludf.DUMMYFUNCTION("""COMPUTED_VALUE"""),190.0)</f>
        <v>190</v>
      </c>
      <c r="D3544" s="11">
        <f>IFERROR(__xludf.DUMMYFUNCTION("""COMPUTED_VALUE"""),24.0)</f>
        <v>24</v>
      </c>
      <c r="E3544" s="9"/>
    </row>
    <row r="3545">
      <c r="A3545" s="10">
        <f>IFERROR(__xludf.DUMMYFUNCTION("""COMPUTED_VALUE"""),121172.0)</f>
        <v>121172</v>
      </c>
      <c r="B3545" s="11">
        <f>IFERROR(__xludf.DUMMYFUNCTION("""COMPUTED_VALUE"""),0.0)</f>
        <v>0</v>
      </c>
      <c r="C3545" s="11">
        <f>IFERROR(__xludf.DUMMYFUNCTION("""COMPUTED_VALUE"""),562.0)</f>
        <v>562</v>
      </c>
      <c r="D3545" s="11">
        <f>IFERROR(__xludf.DUMMYFUNCTION("""COMPUTED_VALUE"""),67.0)</f>
        <v>67</v>
      </c>
      <c r="E3545" s="9"/>
    </row>
    <row r="3546">
      <c r="A3546" s="10">
        <f>IFERROR(__xludf.DUMMYFUNCTION("""COMPUTED_VALUE"""),74331.0)</f>
        <v>74331</v>
      </c>
      <c r="B3546" s="11">
        <f>IFERROR(__xludf.DUMMYFUNCTION("""COMPUTED_VALUE"""),1.0)</f>
        <v>1</v>
      </c>
      <c r="C3546" s="11">
        <f>IFERROR(__xludf.DUMMYFUNCTION("""COMPUTED_VALUE"""),24.0)</f>
        <v>24</v>
      </c>
      <c r="D3546" s="11">
        <f>IFERROR(__xludf.DUMMYFUNCTION("""COMPUTED_VALUE"""),14.0)</f>
        <v>14</v>
      </c>
      <c r="E3546" s="9"/>
    </row>
    <row r="3547">
      <c r="A3547" s="10">
        <f>IFERROR(__xludf.DUMMYFUNCTION("""COMPUTED_VALUE"""),105657.0)</f>
        <v>105657</v>
      </c>
      <c r="B3547" s="11">
        <f>IFERROR(__xludf.DUMMYFUNCTION("""COMPUTED_VALUE"""),1.0)</f>
        <v>1</v>
      </c>
      <c r="C3547" s="11">
        <f>IFERROR(__xludf.DUMMYFUNCTION("""COMPUTED_VALUE"""),199.0)</f>
        <v>199</v>
      </c>
      <c r="D3547" s="11">
        <f>IFERROR(__xludf.DUMMYFUNCTION("""COMPUTED_VALUE"""),104.0)</f>
        <v>104</v>
      </c>
      <c r="E3547" s="9"/>
    </row>
    <row r="3548">
      <c r="A3548" s="10">
        <f>IFERROR(__xludf.DUMMYFUNCTION("""COMPUTED_VALUE"""),113716.0)</f>
        <v>113716</v>
      </c>
      <c r="B3548" s="11">
        <f>IFERROR(__xludf.DUMMYFUNCTION("""COMPUTED_VALUE"""),1.0)</f>
        <v>1</v>
      </c>
      <c r="C3548" s="11">
        <f>IFERROR(__xludf.DUMMYFUNCTION("""COMPUTED_VALUE"""),153.0)</f>
        <v>153</v>
      </c>
      <c r="D3548" s="11">
        <f>IFERROR(__xludf.DUMMYFUNCTION("""COMPUTED_VALUE"""),127.0)</f>
        <v>127</v>
      </c>
      <c r="E3548" s="9"/>
    </row>
    <row r="3549">
      <c r="A3549" s="10">
        <f>IFERROR(__xludf.DUMMYFUNCTION("""COMPUTED_VALUE"""),104510.0)</f>
        <v>104510</v>
      </c>
      <c r="B3549" s="11">
        <f>IFERROR(__xludf.DUMMYFUNCTION("""COMPUTED_VALUE"""),0.0)</f>
        <v>0</v>
      </c>
      <c r="C3549" s="11">
        <f>IFERROR(__xludf.DUMMYFUNCTION("""COMPUTED_VALUE"""),888.0)</f>
        <v>888</v>
      </c>
      <c r="D3549" s="11">
        <f>IFERROR(__xludf.DUMMYFUNCTION("""COMPUTED_VALUE"""),460.0)</f>
        <v>460</v>
      </c>
      <c r="E3549" s="9"/>
    </row>
    <row r="3550">
      <c r="A3550" s="10">
        <f>IFERROR(__xludf.DUMMYFUNCTION("""COMPUTED_VALUE"""),105059.0)</f>
        <v>105059</v>
      </c>
      <c r="B3550" s="11">
        <f>IFERROR(__xludf.DUMMYFUNCTION("""COMPUTED_VALUE"""),1.0)</f>
        <v>1</v>
      </c>
      <c r="C3550" s="11">
        <f>IFERROR(__xludf.DUMMYFUNCTION("""COMPUTED_VALUE"""),671.0)</f>
        <v>671</v>
      </c>
      <c r="D3550" s="11">
        <f>IFERROR(__xludf.DUMMYFUNCTION("""COMPUTED_VALUE"""),464.0)</f>
        <v>464</v>
      </c>
      <c r="E3550" s="9"/>
    </row>
    <row r="3551">
      <c r="A3551" s="10">
        <f>IFERROR(__xludf.DUMMYFUNCTION("""COMPUTED_VALUE"""),63608.0)</f>
        <v>63608</v>
      </c>
      <c r="B3551" s="11">
        <f>IFERROR(__xludf.DUMMYFUNCTION("""COMPUTED_VALUE"""),0.0)</f>
        <v>0</v>
      </c>
      <c r="C3551" s="11">
        <f>IFERROR(__xludf.DUMMYFUNCTION("""COMPUTED_VALUE"""),293.0)</f>
        <v>293</v>
      </c>
      <c r="D3551" s="11">
        <f>IFERROR(__xludf.DUMMYFUNCTION("""COMPUTED_VALUE"""),144.0)</f>
        <v>144</v>
      </c>
      <c r="E3551" s="9"/>
    </row>
    <row r="3552">
      <c r="A3552" s="10">
        <f>IFERROR(__xludf.DUMMYFUNCTION("""COMPUTED_VALUE"""),121095.0)</f>
        <v>121095</v>
      </c>
      <c r="B3552" s="11">
        <f>IFERROR(__xludf.DUMMYFUNCTION("""COMPUTED_VALUE"""),0.0)</f>
        <v>0</v>
      </c>
      <c r="C3552" s="11">
        <f>IFERROR(__xludf.DUMMYFUNCTION("""COMPUTED_VALUE"""),508.0)</f>
        <v>508</v>
      </c>
      <c r="D3552" s="11">
        <f>IFERROR(__xludf.DUMMYFUNCTION("""COMPUTED_VALUE"""),270.0)</f>
        <v>270</v>
      </c>
      <c r="E3552" s="9"/>
    </row>
    <row r="3553">
      <c r="A3553" s="10">
        <f>IFERROR(__xludf.DUMMYFUNCTION("""COMPUTED_VALUE"""),76450.0)</f>
        <v>76450</v>
      </c>
      <c r="B3553" s="11">
        <f>IFERROR(__xludf.DUMMYFUNCTION("""COMPUTED_VALUE"""),0.0)</f>
        <v>0</v>
      </c>
      <c r="C3553" s="11">
        <f>IFERROR(__xludf.DUMMYFUNCTION("""COMPUTED_VALUE"""),157.0)</f>
        <v>157</v>
      </c>
      <c r="D3553" s="11">
        <f>IFERROR(__xludf.DUMMYFUNCTION("""COMPUTED_VALUE"""),7.0)</f>
        <v>7</v>
      </c>
      <c r="E3553" s="9"/>
    </row>
    <row r="3554">
      <c r="A3554" s="10">
        <f>IFERROR(__xludf.DUMMYFUNCTION("""COMPUTED_VALUE"""),121012.0)</f>
        <v>121012</v>
      </c>
      <c r="B3554" s="11">
        <f>IFERROR(__xludf.DUMMYFUNCTION("""COMPUTED_VALUE"""),0.0)</f>
        <v>0</v>
      </c>
      <c r="C3554" s="11">
        <f>IFERROR(__xludf.DUMMYFUNCTION("""COMPUTED_VALUE"""),810.0)</f>
        <v>810</v>
      </c>
      <c r="D3554" s="11">
        <f>IFERROR(__xludf.DUMMYFUNCTION("""COMPUTED_VALUE"""),85.0)</f>
        <v>85</v>
      </c>
      <c r="E3554" s="9"/>
    </row>
    <row r="3555">
      <c r="A3555" s="10">
        <f>IFERROR(__xludf.DUMMYFUNCTION("""COMPUTED_VALUE"""),113187.0)</f>
        <v>113187</v>
      </c>
      <c r="B3555" s="11">
        <f>IFERROR(__xludf.DUMMYFUNCTION("""COMPUTED_VALUE"""),0.0)</f>
        <v>0</v>
      </c>
      <c r="C3555" s="11">
        <f>IFERROR(__xludf.DUMMYFUNCTION("""COMPUTED_VALUE"""),804.0)</f>
        <v>804</v>
      </c>
      <c r="D3555" s="11">
        <f>IFERROR(__xludf.DUMMYFUNCTION("""COMPUTED_VALUE"""),670.0)</f>
        <v>670</v>
      </c>
      <c r="E3555" s="9"/>
    </row>
    <row r="3556">
      <c r="A3556" s="10">
        <f>IFERROR(__xludf.DUMMYFUNCTION("""COMPUTED_VALUE"""),101946.0)</f>
        <v>101946</v>
      </c>
      <c r="B3556" s="11">
        <f>IFERROR(__xludf.DUMMYFUNCTION("""COMPUTED_VALUE"""),0.0)</f>
        <v>0</v>
      </c>
      <c r="C3556" s="11">
        <f>IFERROR(__xludf.DUMMYFUNCTION("""COMPUTED_VALUE"""),338.0)</f>
        <v>338</v>
      </c>
      <c r="D3556" s="11">
        <f>IFERROR(__xludf.DUMMYFUNCTION("""COMPUTED_VALUE"""),39.0)</f>
        <v>39</v>
      </c>
      <c r="E3556" s="9"/>
    </row>
    <row r="3557">
      <c r="A3557" s="10">
        <f>IFERROR(__xludf.DUMMYFUNCTION("""COMPUTED_VALUE"""),117275.0)</f>
        <v>117275</v>
      </c>
      <c r="B3557" s="11">
        <f>IFERROR(__xludf.DUMMYFUNCTION("""COMPUTED_VALUE"""),0.0)</f>
        <v>0</v>
      </c>
      <c r="C3557" s="11">
        <f>IFERROR(__xludf.DUMMYFUNCTION("""COMPUTED_VALUE"""),580.0)</f>
        <v>580</v>
      </c>
      <c r="D3557" s="11">
        <f>IFERROR(__xludf.DUMMYFUNCTION("""COMPUTED_VALUE"""),525.0)</f>
        <v>525</v>
      </c>
      <c r="E3557" s="9"/>
    </row>
    <row r="3558">
      <c r="A3558" s="10">
        <f>IFERROR(__xludf.DUMMYFUNCTION("""COMPUTED_VALUE"""),117695.0)</f>
        <v>117695</v>
      </c>
      <c r="B3558" s="11">
        <f>IFERROR(__xludf.DUMMYFUNCTION("""COMPUTED_VALUE"""),0.0)</f>
        <v>0</v>
      </c>
      <c r="C3558" s="11">
        <f>IFERROR(__xludf.DUMMYFUNCTION("""COMPUTED_VALUE"""),732.0)</f>
        <v>732</v>
      </c>
      <c r="D3558" s="11">
        <f>IFERROR(__xludf.DUMMYFUNCTION("""COMPUTED_VALUE"""),597.0)</f>
        <v>597</v>
      </c>
      <c r="E3558" s="9"/>
    </row>
    <row r="3559">
      <c r="A3559" s="10">
        <f>IFERROR(__xludf.DUMMYFUNCTION("""COMPUTED_VALUE"""),74398.0)</f>
        <v>74398</v>
      </c>
      <c r="B3559" s="11">
        <f>IFERROR(__xludf.DUMMYFUNCTION("""COMPUTED_VALUE"""),1.0)</f>
        <v>1</v>
      </c>
      <c r="C3559" s="11">
        <f>IFERROR(__xludf.DUMMYFUNCTION("""COMPUTED_VALUE"""),785.0)</f>
        <v>785</v>
      </c>
      <c r="D3559" s="11">
        <f>IFERROR(__xludf.DUMMYFUNCTION("""COMPUTED_VALUE"""),725.0)</f>
        <v>725</v>
      </c>
      <c r="E3559" s="9"/>
    </row>
    <row r="3560">
      <c r="A3560" s="10">
        <f>IFERROR(__xludf.DUMMYFUNCTION("""COMPUTED_VALUE"""),105230.0)</f>
        <v>105230</v>
      </c>
      <c r="B3560" s="11">
        <f>IFERROR(__xludf.DUMMYFUNCTION("""COMPUTED_VALUE"""),0.0)</f>
        <v>0</v>
      </c>
      <c r="C3560" s="11">
        <f>IFERROR(__xludf.DUMMYFUNCTION("""COMPUTED_VALUE"""),270.0)</f>
        <v>270</v>
      </c>
      <c r="D3560" s="11">
        <f>IFERROR(__xludf.DUMMYFUNCTION("""COMPUTED_VALUE"""),204.0)</f>
        <v>204</v>
      </c>
      <c r="E3560" s="9"/>
    </row>
    <row r="3561">
      <c r="A3561" s="10">
        <f>IFERROR(__xludf.DUMMYFUNCTION("""COMPUTED_VALUE"""),112776.0)</f>
        <v>112776</v>
      </c>
      <c r="B3561" s="11">
        <f>IFERROR(__xludf.DUMMYFUNCTION("""COMPUTED_VALUE"""),0.0)</f>
        <v>0</v>
      </c>
      <c r="C3561" s="11">
        <f>IFERROR(__xludf.DUMMYFUNCTION("""COMPUTED_VALUE"""),263.0)</f>
        <v>263</v>
      </c>
      <c r="D3561" s="11">
        <f>IFERROR(__xludf.DUMMYFUNCTION("""COMPUTED_VALUE"""),76.0)</f>
        <v>76</v>
      </c>
      <c r="E3561" s="9"/>
    </row>
    <row r="3562">
      <c r="A3562" s="10">
        <f>IFERROR(__xludf.DUMMYFUNCTION("""COMPUTED_VALUE"""),23968.0)</f>
        <v>23968</v>
      </c>
      <c r="B3562" s="11">
        <f>IFERROR(__xludf.DUMMYFUNCTION("""COMPUTED_VALUE"""),0.0)</f>
        <v>0</v>
      </c>
      <c r="C3562" s="11">
        <f>IFERROR(__xludf.DUMMYFUNCTION("""COMPUTED_VALUE"""),832.0)</f>
        <v>832</v>
      </c>
      <c r="D3562" s="11">
        <f>IFERROR(__xludf.DUMMYFUNCTION("""COMPUTED_VALUE"""),610.0)</f>
        <v>610</v>
      </c>
      <c r="E3562" s="9"/>
    </row>
    <row r="3563">
      <c r="A3563" s="10">
        <f>IFERROR(__xludf.DUMMYFUNCTION("""COMPUTED_VALUE"""),127025.0)</f>
        <v>127025</v>
      </c>
      <c r="B3563" s="11">
        <f>IFERROR(__xludf.DUMMYFUNCTION("""COMPUTED_VALUE"""),1.0)</f>
        <v>1</v>
      </c>
      <c r="C3563" s="11">
        <f>IFERROR(__xludf.DUMMYFUNCTION("""COMPUTED_VALUE"""),947.0)</f>
        <v>947</v>
      </c>
      <c r="D3563" s="11">
        <f>IFERROR(__xludf.DUMMYFUNCTION("""COMPUTED_VALUE"""),663.0)</f>
        <v>663</v>
      </c>
      <c r="E3563" s="9"/>
    </row>
    <row r="3564">
      <c r="A3564" s="10">
        <f>IFERROR(__xludf.DUMMYFUNCTION("""COMPUTED_VALUE"""),118956.0)</f>
        <v>118956</v>
      </c>
      <c r="B3564" s="11">
        <f>IFERROR(__xludf.DUMMYFUNCTION("""COMPUTED_VALUE"""),0.0)</f>
        <v>0</v>
      </c>
      <c r="C3564" s="11">
        <f>IFERROR(__xludf.DUMMYFUNCTION("""COMPUTED_VALUE"""),521.0)</f>
        <v>521</v>
      </c>
      <c r="D3564" s="11">
        <f>IFERROR(__xludf.DUMMYFUNCTION("""COMPUTED_VALUE"""),256.0)</f>
        <v>256</v>
      </c>
      <c r="E3564" s="9"/>
    </row>
    <row r="3565">
      <c r="A3565" s="10">
        <f>IFERROR(__xludf.DUMMYFUNCTION("""COMPUTED_VALUE"""),118947.0)</f>
        <v>118947</v>
      </c>
      <c r="B3565" s="11">
        <f>IFERROR(__xludf.DUMMYFUNCTION("""COMPUTED_VALUE"""),1.0)</f>
        <v>1</v>
      </c>
      <c r="C3565" s="11">
        <f>IFERROR(__xludf.DUMMYFUNCTION("""COMPUTED_VALUE"""),31.0)</f>
        <v>31</v>
      </c>
      <c r="D3565" s="11">
        <f>IFERROR(__xludf.DUMMYFUNCTION("""COMPUTED_VALUE"""),19.0)</f>
        <v>19</v>
      </c>
      <c r="E3565" s="9"/>
    </row>
    <row r="3566">
      <c r="A3566" s="10">
        <f>IFERROR(__xludf.DUMMYFUNCTION("""COMPUTED_VALUE"""),95873.0)</f>
        <v>95873</v>
      </c>
      <c r="B3566" s="11">
        <f>IFERROR(__xludf.DUMMYFUNCTION("""COMPUTED_VALUE"""),0.0)</f>
        <v>0</v>
      </c>
      <c r="C3566" s="11">
        <f>IFERROR(__xludf.DUMMYFUNCTION("""COMPUTED_VALUE"""),522.0)</f>
        <v>522</v>
      </c>
      <c r="D3566" s="11">
        <f>IFERROR(__xludf.DUMMYFUNCTION("""COMPUTED_VALUE"""),442.0)</f>
        <v>442</v>
      </c>
      <c r="E3566" s="9"/>
    </row>
    <row r="3567">
      <c r="A3567" s="10">
        <f>IFERROR(__xludf.DUMMYFUNCTION("""COMPUTED_VALUE"""),118946.0)</f>
        <v>118946</v>
      </c>
      <c r="B3567" s="11">
        <f>IFERROR(__xludf.DUMMYFUNCTION("""COMPUTED_VALUE"""),0.0)</f>
        <v>0</v>
      </c>
      <c r="C3567" s="11">
        <f>IFERROR(__xludf.DUMMYFUNCTION("""COMPUTED_VALUE"""),718.0)</f>
        <v>718</v>
      </c>
      <c r="D3567" s="11">
        <f>IFERROR(__xludf.DUMMYFUNCTION("""COMPUTED_VALUE"""),54.0)</f>
        <v>54</v>
      </c>
      <c r="E3567" s="9"/>
    </row>
    <row r="3568">
      <c r="A3568" s="10">
        <f>IFERROR(__xludf.DUMMYFUNCTION("""COMPUTED_VALUE"""),44991.0)</f>
        <v>44991</v>
      </c>
      <c r="B3568" s="11">
        <f>IFERROR(__xludf.DUMMYFUNCTION("""COMPUTED_VALUE"""),0.0)</f>
        <v>0</v>
      </c>
      <c r="C3568" s="11">
        <f>IFERROR(__xludf.DUMMYFUNCTION("""COMPUTED_VALUE"""),602.0)</f>
        <v>602</v>
      </c>
      <c r="D3568" s="11">
        <f>IFERROR(__xludf.DUMMYFUNCTION("""COMPUTED_VALUE"""),39.0)</f>
        <v>39</v>
      </c>
      <c r="E3568" s="9"/>
    </row>
    <row r="3569">
      <c r="A3569" s="10">
        <f>IFERROR(__xludf.DUMMYFUNCTION("""COMPUTED_VALUE"""),122398.0)</f>
        <v>122398</v>
      </c>
      <c r="B3569" s="11">
        <f>IFERROR(__xludf.DUMMYFUNCTION("""COMPUTED_VALUE"""),1.0)</f>
        <v>1</v>
      </c>
      <c r="C3569" s="11">
        <f>IFERROR(__xludf.DUMMYFUNCTION("""COMPUTED_VALUE"""),714.0)</f>
        <v>714</v>
      </c>
      <c r="D3569" s="11">
        <f>IFERROR(__xludf.DUMMYFUNCTION("""COMPUTED_VALUE"""),689.0)</f>
        <v>689</v>
      </c>
      <c r="E3569" s="9"/>
    </row>
    <row r="3570">
      <c r="A3570" s="10">
        <f>IFERROR(__xludf.DUMMYFUNCTION("""COMPUTED_VALUE"""),108638.0)</f>
        <v>108638</v>
      </c>
      <c r="B3570" s="11">
        <f>IFERROR(__xludf.DUMMYFUNCTION("""COMPUTED_VALUE"""),0.0)</f>
        <v>0</v>
      </c>
      <c r="C3570" s="11">
        <f>IFERROR(__xludf.DUMMYFUNCTION("""COMPUTED_VALUE"""),510.0)</f>
        <v>510</v>
      </c>
      <c r="D3570" s="11">
        <f>IFERROR(__xludf.DUMMYFUNCTION("""COMPUTED_VALUE"""),243.0)</f>
        <v>243</v>
      </c>
      <c r="E3570" s="9"/>
    </row>
    <row r="3571">
      <c r="A3571" s="10">
        <f>IFERROR(__xludf.DUMMYFUNCTION("""COMPUTED_VALUE"""),113633.0)</f>
        <v>113633</v>
      </c>
      <c r="B3571" s="11">
        <f>IFERROR(__xludf.DUMMYFUNCTION("""COMPUTED_VALUE"""),1.0)</f>
        <v>1</v>
      </c>
      <c r="C3571" s="11">
        <f>IFERROR(__xludf.DUMMYFUNCTION("""COMPUTED_VALUE"""),421.0)</f>
        <v>421</v>
      </c>
      <c r="D3571" s="11">
        <f>IFERROR(__xludf.DUMMYFUNCTION("""COMPUTED_VALUE"""),217.0)</f>
        <v>217</v>
      </c>
      <c r="E3571" s="9"/>
    </row>
    <row r="3572">
      <c r="A3572" s="10">
        <f>IFERROR(__xludf.DUMMYFUNCTION("""COMPUTED_VALUE"""),113649.0)</f>
        <v>113649</v>
      </c>
      <c r="B3572" s="11">
        <f>IFERROR(__xludf.DUMMYFUNCTION("""COMPUTED_VALUE"""),0.0)</f>
        <v>0</v>
      </c>
      <c r="C3572" s="11">
        <f>IFERROR(__xludf.DUMMYFUNCTION("""COMPUTED_VALUE"""),772.0)</f>
        <v>772</v>
      </c>
      <c r="D3572" s="11">
        <f>IFERROR(__xludf.DUMMYFUNCTION("""COMPUTED_VALUE"""),346.0)</f>
        <v>346</v>
      </c>
      <c r="E3572" s="9"/>
    </row>
    <row r="3573">
      <c r="A3573" s="10">
        <f>IFERROR(__xludf.DUMMYFUNCTION("""COMPUTED_VALUE"""),113619.0)</f>
        <v>113619</v>
      </c>
      <c r="B3573" s="11">
        <f>IFERROR(__xludf.DUMMYFUNCTION("""COMPUTED_VALUE"""),0.0)</f>
        <v>0</v>
      </c>
      <c r="C3573" s="11">
        <f>IFERROR(__xludf.DUMMYFUNCTION("""COMPUTED_VALUE"""),69.0)</f>
        <v>69</v>
      </c>
      <c r="D3573" s="11">
        <f>IFERROR(__xludf.DUMMYFUNCTION("""COMPUTED_VALUE"""),2.0)</f>
        <v>2</v>
      </c>
      <c r="E3573" s="9"/>
    </row>
    <row r="3574">
      <c r="A3574" s="10">
        <f>IFERROR(__xludf.DUMMYFUNCTION("""COMPUTED_VALUE"""),113648.0)</f>
        <v>113648</v>
      </c>
      <c r="B3574" s="11">
        <f>IFERROR(__xludf.DUMMYFUNCTION("""COMPUTED_VALUE"""),0.0)</f>
        <v>0</v>
      </c>
      <c r="C3574" s="11">
        <f>IFERROR(__xludf.DUMMYFUNCTION("""COMPUTED_VALUE"""),245.0)</f>
        <v>245</v>
      </c>
      <c r="D3574" s="11">
        <f>IFERROR(__xludf.DUMMYFUNCTION("""COMPUTED_VALUE"""),134.0)</f>
        <v>134</v>
      </c>
      <c r="E3574" s="9"/>
    </row>
    <row r="3575">
      <c r="A3575" s="10">
        <f>IFERROR(__xludf.DUMMYFUNCTION("""COMPUTED_VALUE"""),120889.0)</f>
        <v>120889</v>
      </c>
      <c r="B3575" s="11">
        <f>IFERROR(__xludf.DUMMYFUNCTION("""COMPUTED_VALUE"""),0.0)</f>
        <v>0</v>
      </c>
      <c r="C3575" s="11">
        <f>IFERROR(__xludf.DUMMYFUNCTION("""COMPUTED_VALUE"""),623.0)</f>
        <v>623</v>
      </c>
      <c r="D3575" s="11">
        <f>IFERROR(__xludf.DUMMYFUNCTION("""COMPUTED_VALUE"""),51.0)</f>
        <v>51</v>
      </c>
      <c r="E3575" s="9"/>
    </row>
    <row r="3576">
      <c r="A3576" s="10">
        <f>IFERROR(__xludf.DUMMYFUNCTION("""COMPUTED_VALUE"""),113620.0)</f>
        <v>113620</v>
      </c>
      <c r="B3576" s="11">
        <f>IFERROR(__xludf.DUMMYFUNCTION("""COMPUTED_VALUE"""),1.0)</f>
        <v>1</v>
      </c>
      <c r="C3576" s="11">
        <f>IFERROR(__xludf.DUMMYFUNCTION("""COMPUTED_VALUE"""),965.0)</f>
        <v>965</v>
      </c>
      <c r="D3576" s="11">
        <f>IFERROR(__xludf.DUMMYFUNCTION("""COMPUTED_VALUE"""),21.0)</f>
        <v>21</v>
      </c>
      <c r="E3576" s="9"/>
    </row>
    <row r="3577">
      <c r="A3577" s="10">
        <f>IFERROR(__xludf.DUMMYFUNCTION("""COMPUTED_VALUE"""),113626.0)</f>
        <v>113626</v>
      </c>
      <c r="B3577" s="11">
        <f>IFERROR(__xludf.DUMMYFUNCTION("""COMPUTED_VALUE"""),1.0)</f>
        <v>1</v>
      </c>
      <c r="C3577" s="11">
        <f>IFERROR(__xludf.DUMMYFUNCTION("""COMPUTED_VALUE"""),98.0)</f>
        <v>98</v>
      </c>
      <c r="D3577" s="11">
        <f>IFERROR(__xludf.DUMMYFUNCTION("""COMPUTED_VALUE"""),39.0)</f>
        <v>39</v>
      </c>
      <c r="E3577" s="9"/>
    </row>
    <row r="3578">
      <c r="A3578" s="10">
        <f>IFERROR(__xludf.DUMMYFUNCTION("""COMPUTED_VALUE"""),113657.0)</f>
        <v>113657</v>
      </c>
      <c r="B3578" s="11">
        <f>IFERROR(__xludf.DUMMYFUNCTION("""COMPUTED_VALUE"""),1.0)</f>
        <v>1</v>
      </c>
      <c r="C3578" s="11">
        <f>IFERROR(__xludf.DUMMYFUNCTION("""COMPUTED_VALUE"""),15.0)</f>
        <v>15</v>
      </c>
      <c r="D3578" s="11">
        <f>IFERROR(__xludf.DUMMYFUNCTION("""COMPUTED_VALUE"""),14.0)</f>
        <v>14</v>
      </c>
      <c r="E3578" s="9"/>
    </row>
    <row r="3579">
      <c r="A3579" s="10">
        <f>IFERROR(__xludf.DUMMYFUNCTION("""COMPUTED_VALUE"""),113645.0)</f>
        <v>113645</v>
      </c>
      <c r="B3579" s="11">
        <f>IFERROR(__xludf.DUMMYFUNCTION("""COMPUTED_VALUE"""),1.0)</f>
        <v>1</v>
      </c>
      <c r="C3579" s="11">
        <f>IFERROR(__xludf.DUMMYFUNCTION("""COMPUTED_VALUE"""),742.0)</f>
        <v>742</v>
      </c>
      <c r="D3579" s="11">
        <f>IFERROR(__xludf.DUMMYFUNCTION("""COMPUTED_VALUE"""),135.0)</f>
        <v>135</v>
      </c>
      <c r="E3579" s="9"/>
    </row>
    <row r="3580">
      <c r="A3580" s="10">
        <f>IFERROR(__xludf.DUMMYFUNCTION("""COMPUTED_VALUE"""),18247.0)</f>
        <v>18247</v>
      </c>
      <c r="B3580" s="11">
        <f>IFERROR(__xludf.DUMMYFUNCTION("""COMPUTED_VALUE"""),1.0)</f>
        <v>1</v>
      </c>
      <c r="C3580" s="11">
        <f>IFERROR(__xludf.DUMMYFUNCTION("""COMPUTED_VALUE"""),463.0)</f>
        <v>463</v>
      </c>
      <c r="D3580" s="11">
        <f>IFERROR(__xludf.DUMMYFUNCTION("""COMPUTED_VALUE"""),172.0)</f>
        <v>172</v>
      </c>
      <c r="E3580" s="9"/>
    </row>
    <row r="3581">
      <c r="A3581" s="10">
        <f>IFERROR(__xludf.DUMMYFUNCTION("""COMPUTED_VALUE"""),121249.0)</f>
        <v>121249</v>
      </c>
      <c r="B3581" s="11">
        <f>IFERROR(__xludf.DUMMYFUNCTION("""COMPUTED_VALUE"""),1.0)</f>
        <v>1</v>
      </c>
      <c r="C3581" s="11">
        <f>IFERROR(__xludf.DUMMYFUNCTION("""COMPUTED_VALUE"""),203.0)</f>
        <v>203</v>
      </c>
      <c r="D3581" s="11">
        <f>IFERROR(__xludf.DUMMYFUNCTION("""COMPUTED_VALUE"""),103.0)</f>
        <v>103</v>
      </c>
      <c r="E3581" s="9"/>
    </row>
    <row r="3582">
      <c r="A3582" s="10">
        <f>IFERROR(__xludf.DUMMYFUNCTION("""COMPUTED_VALUE"""),104912.0)</f>
        <v>104912</v>
      </c>
      <c r="B3582" s="11">
        <f>IFERROR(__xludf.DUMMYFUNCTION("""COMPUTED_VALUE"""),1.0)</f>
        <v>1</v>
      </c>
      <c r="C3582" s="11">
        <f>IFERROR(__xludf.DUMMYFUNCTION("""COMPUTED_VALUE"""),138.0)</f>
        <v>138</v>
      </c>
      <c r="D3582" s="11">
        <f>IFERROR(__xludf.DUMMYFUNCTION("""COMPUTED_VALUE"""),13.0)</f>
        <v>13</v>
      </c>
      <c r="E3582" s="9"/>
    </row>
    <row r="3583">
      <c r="A3583" s="10">
        <f>IFERROR(__xludf.DUMMYFUNCTION("""COMPUTED_VALUE"""),73222.0)</f>
        <v>73222</v>
      </c>
      <c r="B3583" s="11">
        <f>IFERROR(__xludf.DUMMYFUNCTION("""COMPUTED_VALUE"""),1.0)</f>
        <v>1</v>
      </c>
      <c r="C3583" s="11">
        <f>IFERROR(__xludf.DUMMYFUNCTION("""COMPUTED_VALUE"""),34.0)</f>
        <v>34</v>
      </c>
      <c r="D3583" s="11">
        <f>IFERROR(__xludf.DUMMYFUNCTION("""COMPUTED_VALUE"""),21.0)</f>
        <v>21</v>
      </c>
      <c r="E3583" s="9"/>
    </row>
    <row r="3584">
      <c r="A3584" s="10">
        <f>IFERROR(__xludf.DUMMYFUNCTION("""COMPUTED_VALUE"""),78834.0)</f>
        <v>78834</v>
      </c>
      <c r="B3584" s="11">
        <f>IFERROR(__xludf.DUMMYFUNCTION("""COMPUTED_VALUE"""),0.0)</f>
        <v>0</v>
      </c>
      <c r="C3584" s="11">
        <f>IFERROR(__xludf.DUMMYFUNCTION("""COMPUTED_VALUE"""),465.0)</f>
        <v>465</v>
      </c>
      <c r="D3584" s="11">
        <f>IFERROR(__xludf.DUMMYFUNCTION("""COMPUTED_VALUE"""),203.0)</f>
        <v>203</v>
      </c>
      <c r="E3584" s="9"/>
    </row>
    <row r="3585">
      <c r="A3585" s="10">
        <f>IFERROR(__xludf.DUMMYFUNCTION("""COMPUTED_VALUE"""),15109.0)</f>
        <v>15109</v>
      </c>
      <c r="B3585" s="11">
        <f>IFERROR(__xludf.DUMMYFUNCTION("""COMPUTED_VALUE"""),0.0)</f>
        <v>0</v>
      </c>
      <c r="C3585" s="11">
        <f>IFERROR(__xludf.DUMMYFUNCTION("""COMPUTED_VALUE"""),137.0)</f>
        <v>137</v>
      </c>
      <c r="D3585" s="11">
        <f>IFERROR(__xludf.DUMMYFUNCTION("""COMPUTED_VALUE"""),78.0)</f>
        <v>78</v>
      </c>
      <c r="E3585" s="9"/>
    </row>
    <row r="3586">
      <c r="A3586" s="10">
        <f>IFERROR(__xludf.DUMMYFUNCTION("""COMPUTED_VALUE"""),26126.0)</f>
        <v>26126</v>
      </c>
      <c r="B3586" s="11">
        <f>IFERROR(__xludf.DUMMYFUNCTION("""COMPUTED_VALUE"""),0.0)</f>
        <v>0</v>
      </c>
      <c r="C3586" s="11">
        <f>IFERROR(__xludf.DUMMYFUNCTION("""COMPUTED_VALUE"""),808.0)</f>
        <v>808</v>
      </c>
      <c r="D3586" s="11">
        <f>IFERROR(__xludf.DUMMYFUNCTION("""COMPUTED_VALUE"""),218.0)</f>
        <v>218</v>
      </c>
      <c r="E3586" s="9"/>
    </row>
    <row r="3587">
      <c r="A3587" s="10">
        <f>IFERROR(__xludf.DUMMYFUNCTION("""COMPUTED_VALUE"""),48724.0)</f>
        <v>48724</v>
      </c>
      <c r="B3587" s="11">
        <f>IFERROR(__xludf.DUMMYFUNCTION("""COMPUTED_VALUE"""),0.0)</f>
        <v>0</v>
      </c>
      <c r="C3587" s="11">
        <f>IFERROR(__xludf.DUMMYFUNCTION("""COMPUTED_VALUE"""),210.0)</f>
        <v>210</v>
      </c>
      <c r="D3587" s="11">
        <f>IFERROR(__xludf.DUMMYFUNCTION("""COMPUTED_VALUE"""),62.0)</f>
        <v>62</v>
      </c>
      <c r="E3587" s="9"/>
    </row>
    <row r="3588">
      <c r="A3588" s="10">
        <f>IFERROR(__xludf.DUMMYFUNCTION("""COMPUTED_VALUE"""),98888.0)</f>
        <v>98888</v>
      </c>
      <c r="B3588" s="11">
        <f>IFERROR(__xludf.DUMMYFUNCTION("""COMPUTED_VALUE"""),1.0)</f>
        <v>1</v>
      </c>
      <c r="C3588" s="11">
        <f>IFERROR(__xludf.DUMMYFUNCTION("""COMPUTED_VALUE"""),919.0)</f>
        <v>919</v>
      </c>
      <c r="D3588" s="11">
        <f>IFERROR(__xludf.DUMMYFUNCTION("""COMPUTED_VALUE"""),165.0)</f>
        <v>165</v>
      </c>
      <c r="E3588" s="9"/>
    </row>
    <row r="3589">
      <c r="A3589" s="10">
        <f>IFERROR(__xludf.DUMMYFUNCTION("""COMPUTED_VALUE"""),48605.0)</f>
        <v>48605</v>
      </c>
      <c r="B3589" s="11">
        <f>IFERROR(__xludf.DUMMYFUNCTION("""COMPUTED_VALUE"""),0.0)</f>
        <v>0</v>
      </c>
      <c r="C3589" s="11">
        <f>IFERROR(__xludf.DUMMYFUNCTION("""COMPUTED_VALUE"""),229.0)</f>
        <v>229</v>
      </c>
      <c r="D3589" s="11">
        <f>IFERROR(__xludf.DUMMYFUNCTION("""COMPUTED_VALUE"""),32.0)</f>
        <v>32</v>
      </c>
      <c r="E3589" s="9"/>
    </row>
    <row r="3590">
      <c r="A3590" s="10">
        <f>IFERROR(__xludf.DUMMYFUNCTION("""COMPUTED_VALUE"""),119243.0)</f>
        <v>119243</v>
      </c>
      <c r="B3590" s="11">
        <f>IFERROR(__xludf.DUMMYFUNCTION("""COMPUTED_VALUE"""),1.0)</f>
        <v>1</v>
      </c>
      <c r="C3590" s="11">
        <f>IFERROR(__xludf.DUMMYFUNCTION("""COMPUTED_VALUE"""),212.0)</f>
        <v>212</v>
      </c>
      <c r="D3590" s="11">
        <f>IFERROR(__xludf.DUMMYFUNCTION("""COMPUTED_VALUE"""),166.0)</f>
        <v>166</v>
      </c>
      <c r="E3590" s="9"/>
    </row>
    <row r="3591">
      <c r="A3591" s="10">
        <f>IFERROR(__xludf.DUMMYFUNCTION("""COMPUTED_VALUE"""),22045.0)</f>
        <v>22045</v>
      </c>
      <c r="B3591" s="11">
        <f>IFERROR(__xludf.DUMMYFUNCTION("""COMPUTED_VALUE"""),0.0)</f>
        <v>0</v>
      </c>
      <c r="C3591" s="11">
        <f>IFERROR(__xludf.DUMMYFUNCTION("""COMPUTED_VALUE"""),961.0)</f>
        <v>961</v>
      </c>
      <c r="D3591" s="11">
        <f>IFERROR(__xludf.DUMMYFUNCTION("""COMPUTED_VALUE"""),301.0)</f>
        <v>301</v>
      </c>
      <c r="E3591" s="9"/>
    </row>
    <row r="3592">
      <c r="A3592" s="10">
        <f>IFERROR(__xludf.DUMMYFUNCTION("""COMPUTED_VALUE"""),73221.0)</f>
        <v>73221</v>
      </c>
      <c r="B3592" s="11">
        <f>IFERROR(__xludf.DUMMYFUNCTION("""COMPUTED_VALUE"""),0.0)</f>
        <v>0</v>
      </c>
      <c r="C3592" s="11">
        <f>IFERROR(__xludf.DUMMYFUNCTION("""COMPUTED_VALUE"""),827.0)</f>
        <v>827</v>
      </c>
      <c r="D3592" s="11">
        <f>IFERROR(__xludf.DUMMYFUNCTION("""COMPUTED_VALUE"""),786.0)</f>
        <v>786</v>
      </c>
      <c r="E3592" s="9"/>
    </row>
    <row r="3593">
      <c r="A3593" s="10">
        <f>IFERROR(__xludf.DUMMYFUNCTION("""COMPUTED_VALUE"""),72168.0)</f>
        <v>72168</v>
      </c>
      <c r="B3593" s="11">
        <f>IFERROR(__xludf.DUMMYFUNCTION("""COMPUTED_VALUE"""),1.0)</f>
        <v>1</v>
      </c>
      <c r="C3593" s="11">
        <f>IFERROR(__xludf.DUMMYFUNCTION("""COMPUTED_VALUE"""),334.0)</f>
        <v>334</v>
      </c>
      <c r="D3593" s="11">
        <f>IFERROR(__xludf.DUMMYFUNCTION("""COMPUTED_VALUE"""),81.0)</f>
        <v>81</v>
      </c>
      <c r="E3593" s="9"/>
    </row>
    <row r="3594">
      <c r="A3594" s="10">
        <f>IFERROR(__xludf.DUMMYFUNCTION("""COMPUTED_VALUE"""),127039.0)</f>
        <v>127039</v>
      </c>
      <c r="B3594" s="11">
        <f>IFERROR(__xludf.DUMMYFUNCTION("""COMPUTED_VALUE"""),1.0)</f>
        <v>1</v>
      </c>
      <c r="C3594" s="11">
        <f>IFERROR(__xludf.DUMMYFUNCTION("""COMPUTED_VALUE"""),938.0)</f>
        <v>938</v>
      </c>
      <c r="D3594" s="11">
        <f>IFERROR(__xludf.DUMMYFUNCTION("""COMPUTED_VALUE"""),490.0)</f>
        <v>490</v>
      </c>
      <c r="E3594" s="9"/>
    </row>
    <row r="3595">
      <c r="A3595" s="10">
        <f>IFERROR(__xludf.DUMMYFUNCTION("""COMPUTED_VALUE"""),155861.0)</f>
        <v>155861</v>
      </c>
      <c r="B3595" s="11">
        <f>IFERROR(__xludf.DUMMYFUNCTION("""COMPUTED_VALUE"""),0.0)</f>
        <v>0</v>
      </c>
      <c r="C3595" s="11">
        <f>IFERROR(__xludf.DUMMYFUNCTION("""COMPUTED_VALUE"""),104.0)</f>
        <v>104</v>
      </c>
      <c r="D3595" s="11">
        <f>IFERROR(__xludf.DUMMYFUNCTION("""COMPUTED_VALUE"""),26.0)</f>
        <v>26</v>
      </c>
      <c r="E3595" s="9"/>
    </row>
    <row r="3596">
      <c r="A3596" s="10">
        <f>IFERROR(__xludf.DUMMYFUNCTION("""COMPUTED_VALUE"""),6213.0)</f>
        <v>6213</v>
      </c>
      <c r="B3596" s="11">
        <f>IFERROR(__xludf.DUMMYFUNCTION("""COMPUTED_VALUE"""),0.0)</f>
        <v>0</v>
      </c>
      <c r="C3596" s="11">
        <f>IFERROR(__xludf.DUMMYFUNCTION("""COMPUTED_VALUE"""),735.0)</f>
        <v>735</v>
      </c>
      <c r="D3596" s="11">
        <f>IFERROR(__xludf.DUMMYFUNCTION("""COMPUTED_VALUE"""),350.0)</f>
        <v>350</v>
      </c>
      <c r="E3596" s="9"/>
    </row>
    <row r="3597">
      <c r="A3597" s="10">
        <f>IFERROR(__xludf.DUMMYFUNCTION("""COMPUTED_VALUE"""),6476.0)</f>
        <v>6476</v>
      </c>
      <c r="B3597" s="11">
        <f>IFERROR(__xludf.DUMMYFUNCTION("""COMPUTED_VALUE"""),1.0)</f>
        <v>1</v>
      </c>
      <c r="C3597" s="11">
        <f>IFERROR(__xludf.DUMMYFUNCTION("""COMPUTED_VALUE"""),571.0)</f>
        <v>571</v>
      </c>
      <c r="D3597" s="11">
        <f>IFERROR(__xludf.DUMMYFUNCTION("""COMPUTED_VALUE"""),260.0)</f>
        <v>260</v>
      </c>
      <c r="E3597" s="9"/>
    </row>
    <row r="3598">
      <c r="A3598" s="10">
        <f>IFERROR(__xludf.DUMMYFUNCTION("""COMPUTED_VALUE"""),114933.0)</f>
        <v>114933</v>
      </c>
      <c r="B3598" s="11">
        <f>IFERROR(__xludf.DUMMYFUNCTION("""COMPUTED_VALUE"""),1.0)</f>
        <v>1</v>
      </c>
      <c r="C3598" s="11">
        <f>IFERROR(__xludf.DUMMYFUNCTION("""COMPUTED_VALUE"""),623.0)</f>
        <v>623</v>
      </c>
      <c r="D3598" s="11">
        <f>IFERROR(__xludf.DUMMYFUNCTION("""COMPUTED_VALUE"""),82.0)</f>
        <v>82</v>
      </c>
      <c r="E3598" s="9"/>
    </row>
    <row r="3599">
      <c r="A3599" s="10">
        <f>IFERROR(__xludf.DUMMYFUNCTION("""COMPUTED_VALUE"""),6473.0)</f>
        <v>6473</v>
      </c>
      <c r="B3599" s="11">
        <f>IFERROR(__xludf.DUMMYFUNCTION("""COMPUTED_VALUE"""),0.0)</f>
        <v>0</v>
      </c>
      <c r="C3599" s="11">
        <f>IFERROR(__xludf.DUMMYFUNCTION("""COMPUTED_VALUE"""),962.0)</f>
        <v>962</v>
      </c>
      <c r="D3599" s="11">
        <f>IFERROR(__xludf.DUMMYFUNCTION("""COMPUTED_VALUE"""),109.0)</f>
        <v>109</v>
      </c>
      <c r="E3599" s="9"/>
    </row>
    <row r="3600">
      <c r="A3600" s="10">
        <f>IFERROR(__xludf.DUMMYFUNCTION("""COMPUTED_VALUE"""),99248.0)</f>
        <v>99248</v>
      </c>
      <c r="B3600" s="11">
        <f>IFERROR(__xludf.DUMMYFUNCTION("""COMPUTED_VALUE"""),1.0)</f>
        <v>1</v>
      </c>
      <c r="C3600" s="11">
        <f>IFERROR(__xludf.DUMMYFUNCTION("""COMPUTED_VALUE"""),725.0)</f>
        <v>725</v>
      </c>
      <c r="D3600" s="11">
        <f>IFERROR(__xludf.DUMMYFUNCTION("""COMPUTED_VALUE"""),573.0)</f>
        <v>573</v>
      </c>
      <c r="E3600" s="9"/>
    </row>
    <row r="3601">
      <c r="A3601" s="10">
        <f>IFERROR(__xludf.DUMMYFUNCTION("""COMPUTED_VALUE"""),6477.0)</f>
        <v>6477</v>
      </c>
      <c r="B3601" s="11">
        <f>IFERROR(__xludf.DUMMYFUNCTION("""COMPUTED_VALUE"""),0.0)</f>
        <v>0</v>
      </c>
      <c r="C3601" s="11">
        <f>IFERROR(__xludf.DUMMYFUNCTION("""COMPUTED_VALUE"""),117.0)</f>
        <v>117</v>
      </c>
      <c r="D3601" s="11">
        <f>IFERROR(__xludf.DUMMYFUNCTION("""COMPUTED_VALUE"""),99.0)</f>
        <v>99</v>
      </c>
      <c r="E3601" s="9"/>
    </row>
    <row r="3602">
      <c r="A3602" s="10">
        <f>IFERROR(__xludf.DUMMYFUNCTION("""COMPUTED_VALUE"""),6478.0)</f>
        <v>6478</v>
      </c>
      <c r="B3602" s="11">
        <f>IFERROR(__xludf.DUMMYFUNCTION("""COMPUTED_VALUE"""),1.0)</f>
        <v>1</v>
      </c>
      <c r="C3602" s="11">
        <f>IFERROR(__xludf.DUMMYFUNCTION("""COMPUTED_VALUE"""),599.0)</f>
        <v>599</v>
      </c>
      <c r="D3602" s="11">
        <f>IFERROR(__xludf.DUMMYFUNCTION("""COMPUTED_VALUE"""),139.0)</f>
        <v>139</v>
      </c>
      <c r="E3602" s="9"/>
    </row>
    <row r="3603">
      <c r="A3603" s="10">
        <f>IFERROR(__xludf.DUMMYFUNCTION("""COMPUTED_VALUE"""),6474.0)</f>
        <v>6474</v>
      </c>
      <c r="B3603" s="11">
        <f>IFERROR(__xludf.DUMMYFUNCTION("""COMPUTED_VALUE"""),1.0)</f>
        <v>1</v>
      </c>
      <c r="C3603" s="11">
        <f>IFERROR(__xludf.DUMMYFUNCTION("""COMPUTED_VALUE"""),791.0)</f>
        <v>791</v>
      </c>
      <c r="D3603" s="11">
        <f>IFERROR(__xludf.DUMMYFUNCTION("""COMPUTED_VALUE"""),206.0)</f>
        <v>206</v>
      </c>
      <c r="E3603" s="9"/>
    </row>
    <row r="3604">
      <c r="A3604" s="10">
        <f>IFERROR(__xludf.DUMMYFUNCTION("""COMPUTED_VALUE"""),70574.0)</f>
        <v>70574</v>
      </c>
      <c r="B3604" s="11">
        <f>IFERROR(__xludf.DUMMYFUNCTION("""COMPUTED_VALUE"""),1.0)</f>
        <v>1</v>
      </c>
      <c r="C3604" s="11">
        <f>IFERROR(__xludf.DUMMYFUNCTION("""COMPUTED_VALUE"""),596.0)</f>
        <v>596</v>
      </c>
      <c r="D3604" s="11">
        <f>IFERROR(__xludf.DUMMYFUNCTION("""COMPUTED_VALUE"""),218.0)</f>
        <v>218</v>
      </c>
      <c r="E3604" s="9"/>
    </row>
    <row r="3605">
      <c r="A3605" s="10">
        <f>IFERROR(__xludf.DUMMYFUNCTION("""COMPUTED_VALUE"""),101302.0)</f>
        <v>101302</v>
      </c>
      <c r="B3605" s="11">
        <f>IFERROR(__xludf.DUMMYFUNCTION("""COMPUTED_VALUE"""),1.0)</f>
        <v>1</v>
      </c>
      <c r="C3605" s="11">
        <f>IFERROR(__xludf.DUMMYFUNCTION("""COMPUTED_VALUE"""),535.0)</f>
        <v>535</v>
      </c>
      <c r="D3605" s="11">
        <f>IFERROR(__xludf.DUMMYFUNCTION("""COMPUTED_VALUE"""),108.0)</f>
        <v>108</v>
      </c>
      <c r="E3605" s="9"/>
    </row>
    <row r="3606">
      <c r="A3606" s="10">
        <f>IFERROR(__xludf.DUMMYFUNCTION("""COMPUTED_VALUE"""),104475.0)</f>
        <v>104475</v>
      </c>
      <c r="B3606" s="11">
        <f>IFERROR(__xludf.DUMMYFUNCTION("""COMPUTED_VALUE"""),1.0)</f>
        <v>1</v>
      </c>
      <c r="C3606" s="11">
        <f>IFERROR(__xludf.DUMMYFUNCTION("""COMPUTED_VALUE"""),179.0)</f>
        <v>179</v>
      </c>
      <c r="D3606" s="11">
        <f>IFERROR(__xludf.DUMMYFUNCTION("""COMPUTED_VALUE"""),15.0)</f>
        <v>15</v>
      </c>
      <c r="E3606" s="9"/>
    </row>
    <row r="3607">
      <c r="A3607" s="10">
        <f>IFERROR(__xludf.DUMMYFUNCTION("""COMPUTED_VALUE"""),101296.0)</f>
        <v>101296</v>
      </c>
      <c r="B3607" s="11">
        <f>IFERROR(__xludf.DUMMYFUNCTION("""COMPUTED_VALUE"""),1.0)</f>
        <v>1</v>
      </c>
      <c r="C3607" s="11">
        <f>IFERROR(__xludf.DUMMYFUNCTION("""COMPUTED_VALUE"""),289.0)</f>
        <v>289</v>
      </c>
      <c r="D3607" s="11">
        <f>IFERROR(__xludf.DUMMYFUNCTION("""COMPUTED_VALUE"""),207.0)</f>
        <v>207</v>
      </c>
      <c r="E3607" s="9"/>
    </row>
    <row r="3608">
      <c r="A3608" s="10">
        <f>IFERROR(__xludf.DUMMYFUNCTION("""COMPUTED_VALUE"""),122029.0)</f>
        <v>122029</v>
      </c>
      <c r="B3608" s="11">
        <f>IFERROR(__xludf.DUMMYFUNCTION("""COMPUTED_VALUE"""),1.0)</f>
        <v>1</v>
      </c>
      <c r="C3608" s="11">
        <f>IFERROR(__xludf.DUMMYFUNCTION("""COMPUTED_VALUE"""),879.0)</f>
        <v>879</v>
      </c>
      <c r="D3608" s="11">
        <f>IFERROR(__xludf.DUMMYFUNCTION("""COMPUTED_VALUE"""),467.0)</f>
        <v>467</v>
      </c>
      <c r="E3608" s="9"/>
    </row>
    <row r="3609">
      <c r="A3609" s="10">
        <f>IFERROR(__xludf.DUMMYFUNCTION("""COMPUTED_VALUE"""),102549.0)</f>
        <v>102549</v>
      </c>
      <c r="B3609" s="11">
        <f>IFERROR(__xludf.DUMMYFUNCTION("""COMPUTED_VALUE"""),1.0)</f>
        <v>1</v>
      </c>
      <c r="C3609" s="11">
        <f>IFERROR(__xludf.DUMMYFUNCTION("""COMPUTED_VALUE"""),428.0)</f>
        <v>428</v>
      </c>
      <c r="D3609" s="11">
        <f>IFERROR(__xludf.DUMMYFUNCTION("""COMPUTED_VALUE"""),215.0)</f>
        <v>215</v>
      </c>
      <c r="E3609" s="9"/>
    </row>
    <row r="3610">
      <c r="A3610" s="10">
        <f>IFERROR(__xludf.DUMMYFUNCTION("""COMPUTED_VALUE"""),122026.0)</f>
        <v>122026</v>
      </c>
      <c r="B3610" s="11">
        <f>IFERROR(__xludf.DUMMYFUNCTION("""COMPUTED_VALUE"""),1.0)</f>
        <v>1</v>
      </c>
      <c r="C3610" s="11">
        <f>IFERROR(__xludf.DUMMYFUNCTION("""COMPUTED_VALUE"""),377.0)</f>
        <v>377</v>
      </c>
      <c r="D3610" s="11">
        <f>IFERROR(__xludf.DUMMYFUNCTION("""COMPUTED_VALUE"""),167.0)</f>
        <v>167</v>
      </c>
      <c r="E3610" s="9"/>
    </row>
    <row r="3611">
      <c r="A3611" s="10">
        <f>IFERROR(__xludf.DUMMYFUNCTION("""COMPUTED_VALUE"""),101303.0)</f>
        <v>101303</v>
      </c>
      <c r="B3611" s="11">
        <f>IFERROR(__xludf.DUMMYFUNCTION("""COMPUTED_VALUE"""),0.0)</f>
        <v>0</v>
      </c>
      <c r="C3611" s="11">
        <f>IFERROR(__xludf.DUMMYFUNCTION("""COMPUTED_VALUE"""),128.0)</f>
        <v>128</v>
      </c>
      <c r="D3611" s="11">
        <f>IFERROR(__xludf.DUMMYFUNCTION("""COMPUTED_VALUE"""),48.0)</f>
        <v>48</v>
      </c>
      <c r="E3611" s="9"/>
    </row>
    <row r="3612">
      <c r="A3612" s="10">
        <f>IFERROR(__xludf.DUMMYFUNCTION("""COMPUTED_VALUE"""),102548.0)</f>
        <v>102548</v>
      </c>
      <c r="B3612" s="11">
        <f>IFERROR(__xludf.DUMMYFUNCTION("""COMPUTED_VALUE"""),0.0)</f>
        <v>0</v>
      </c>
      <c r="C3612" s="11">
        <f>IFERROR(__xludf.DUMMYFUNCTION("""COMPUTED_VALUE"""),321.0)</f>
        <v>321</v>
      </c>
      <c r="D3612" s="11">
        <f>IFERROR(__xludf.DUMMYFUNCTION("""COMPUTED_VALUE"""),139.0)</f>
        <v>139</v>
      </c>
      <c r="E3612" s="9"/>
    </row>
    <row r="3613">
      <c r="A3613" s="10">
        <f>IFERROR(__xludf.DUMMYFUNCTION("""COMPUTED_VALUE"""),122027.0)</f>
        <v>122027</v>
      </c>
      <c r="B3613" s="11">
        <f>IFERROR(__xludf.DUMMYFUNCTION("""COMPUTED_VALUE"""),1.0)</f>
        <v>1</v>
      </c>
      <c r="C3613" s="11">
        <f>IFERROR(__xludf.DUMMYFUNCTION("""COMPUTED_VALUE"""),787.0)</f>
        <v>787</v>
      </c>
      <c r="D3613" s="11">
        <f>IFERROR(__xludf.DUMMYFUNCTION("""COMPUTED_VALUE"""),382.0)</f>
        <v>382</v>
      </c>
      <c r="E3613" s="9"/>
    </row>
    <row r="3614">
      <c r="A3614" s="10">
        <f>IFERROR(__xludf.DUMMYFUNCTION("""COMPUTED_VALUE"""),46963.0)</f>
        <v>46963</v>
      </c>
      <c r="B3614" s="11">
        <f>IFERROR(__xludf.DUMMYFUNCTION("""COMPUTED_VALUE"""),0.0)</f>
        <v>0</v>
      </c>
      <c r="C3614" s="11">
        <f>IFERROR(__xludf.DUMMYFUNCTION("""COMPUTED_VALUE"""),538.0)</f>
        <v>538</v>
      </c>
      <c r="D3614" s="11">
        <f>IFERROR(__xludf.DUMMYFUNCTION("""COMPUTED_VALUE"""),492.0)</f>
        <v>492</v>
      </c>
      <c r="E3614" s="9"/>
    </row>
    <row r="3615">
      <c r="A3615" s="10">
        <f>IFERROR(__xludf.DUMMYFUNCTION("""COMPUTED_VALUE"""),102268.0)</f>
        <v>102268</v>
      </c>
      <c r="B3615" s="11">
        <f>IFERROR(__xludf.DUMMYFUNCTION("""COMPUTED_VALUE"""),1.0)</f>
        <v>1</v>
      </c>
      <c r="C3615" s="11">
        <f>IFERROR(__xludf.DUMMYFUNCTION("""COMPUTED_VALUE"""),819.0)</f>
        <v>819</v>
      </c>
      <c r="D3615" s="11">
        <f>IFERROR(__xludf.DUMMYFUNCTION("""COMPUTED_VALUE"""),223.0)</f>
        <v>223</v>
      </c>
      <c r="E3615" s="9"/>
    </row>
    <row r="3616">
      <c r="A3616" s="10">
        <f>IFERROR(__xludf.DUMMYFUNCTION("""COMPUTED_VALUE"""),26649.0)</f>
        <v>26649</v>
      </c>
      <c r="B3616" s="11">
        <f>IFERROR(__xludf.DUMMYFUNCTION("""COMPUTED_VALUE"""),1.0)</f>
        <v>1</v>
      </c>
      <c r="C3616" s="11">
        <f>IFERROR(__xludf.DUMMYFUNCTION("""COMPUTED_VALUE"""),318.0)</f>
        <v>318</v>
      </c>
      <c r="D3616" s="11">
        <f>IFERROR(__xludf.DUMMYFUNCTION("""COMPUTED_VALUE"""),304.0)</f>
        <v>304</v>
      </c>
      <c r="E3616" s="9"/>
    </row>
    <row r="3617">
      <c r="A3617" s="10">
        <f>IFERROR(__xludf.DUMMYFUNCTION("""COMPUTED_VALUE"""),102275.0)</f>
        <v>102275</v>
      </c>
      <c r="B3617" s="11">
        <f>IFERROR(__xludf.DUMMYFUNCTION("""COMPUTED_VALUE"""),1.0)</f>
        <v>1</v>
      </c>
      <c r="C3617" s="11">
        <f>IFERROR(__xludf.DUMMYFUNCTION("""COMPUTED_VALUE"""),881.0)</f>
        <v>881</v>
      </c>
      <c r="D3617" s="11">
        <f>IFERROR(__xludf.DUMMYFUNCTION("""COMPUTED_VALUE"""),763.0)</f>
        <v>763</v>
      </c>
      <c r="E3617" s="9"/>
    </row>
    <row r="3618">
      <c r="A3618" s="10">
        <f>IFERROR(__xludf.DUMMYFUNCTION("""COMPUTED_VALUE"""),43943.0)</f>
        <v>43943</v>
      </c>
      <c r="B3618" s="11">
        <f>IFERROR(__xludf.DUMMYFUNCTION("""COMPUTED_VALUE"""),0.0)</f>
        <v>0</v>
      </c>
      <c r="C3618" s="11">
        <f>IFERROR(__xludf.DUMMYFUNCTION("""COMPUTED_VALUE"""),359.0)</f>
        <v>359</v>
      </c>
      <c r="D3618" s="11">
        <f>IFERROR(__xludf.DUMMYFUNCTION("""COMPUTED_VALUE"""),322.0)</f>
        <v>322</v>
      </c>
      <c r="E3618" s="9"/>
    </row>
    <row r="3619">
      <c r="A3619" s="10">
        <f>IFERROR(__xludf.DUMMYFUNCTION("""COMPUTED_VALUE"""),102550.0)</f>
        <v>102550</v>
      </c>
      <c r="B3619" s="11">
        <f>IFERROR(__xludf.DUMMYFUNCTION("""COMPUTED_VALUE"""),0.0)</f>
        <v>0</v>
      </c>
      <c r="C3619" s="11">
        <f>IFERROR(__xludf.DUMMYFUNCTION("""COMPUTED_VALUE"""),872.0)</f>
        <v>872</v>
      </c>
      <c r="D3619" s="11">
        <f>IFERROR(__xludf.DUMMYFUNCTION("""COMPUTED_VALUE"""),30.0)</f>
        <v>30</v>
      </c>
      <c r="E3619" s="9"/>
    </row>
    <row r="3620">
      <c r="A3620" s="10">
        <f>IFERROR(__xludf.DUMMYFUNCTION("""COMPUTED_VALUE"""),26650.0)</f>
        <v>26650</v>
      </c>
      <c r="B3620" s="11">
        <f>IFERROR(__xludf.DUMMYFUNCTION("""COMPUTED_VALUE"""),1.0)</f>
        <v>1</v>
      </c>
      <c r="C3620" s="11">
        <f>IFERROR(__xludf.DUMMYFUNCTION("""COMPUTED_VALUE"""),531.0)</f>
        <v>531</v>
      </c>
      <c r="D3620" s="11">
        <f>IFERROR(__xludf.DUMMYFUNCTION("""COMPUTED_VALUE"""),295.0)</f>
        <v>295</v>
      </c>
      <c r="E3620" s="9"/>
    </row>
    <row r="3621">
      <c r="A3621" s="10">
        <f>IFERROR(__xludf.DUMMYFUNCTION("""COMPUTED_VALUE"""),117728.0)</f>
        <v>117728</v>
      </c>
      <c r="B3621" s="11">
        <f>IFERROR(__xludf.DUMMYFUNCTION("""COMPUTED_VALUE"""),0.0)</f>
        <v>0</v>
      </c>
      <c r="C3621" s="11">
        <f>IFERROR(__xludf.DUMMYFUNCTION("""COMPUTED_VALUE"""),909.0)</f>
        <v>909</v>
      </c>
      <c r="D3621" s="11">
        <f>IFERROR(__xludf.DUMMYFUNCTION("""COMPUTED_VALUE"""),389.0)</f>
        <v>389</v>
      </c>
      <c r="E3621" s="9"/>
    </row>
    <row r="3622">
      <c r="A3622" s="10">
        <f>IFERROR(__xludf.DUMMYFUNCTION("""COMPUTED_VALUE"""),103588.0)</f>
        <v>103588</v>
      </c>
      <c r="B3622" s="11">
        <f>IFERROR(__xludf.DUMMYFUNCTION("""COMPUTED_VALUE"""),1.0)</f>
        <v>1</v>
      </c>
      <c r="C3622" s="11">
        <f>IFERROR(__xludf.DUMMYFUNCTION("""COMPUTED_VALUE"""),369.0)</f>
        <v>369</v>
      </c>
      <c r="D3622" s="11">
        <f>IFERROR(__xludf.DUMMYFUNCTION("""COMPUTED_VALUE"""),338.0)</f>
        <v>338</v>
      </c>
      <c r="E3622" s="9"/>
    </row>
    <row r="3623">
      <c r="A3623" s="10">
        <f>IFERROR(__xludf.DUMMYFUNCTION("""COMPUTED_VALUE"""),101297.0)</f>
        <v>101297</v>
      </c>
      <c r="B3623" s="11">
        <f>IFERROR(__xludf.DUMMYFUNCTION("""COMPUTED_VALUE"""),1.0)</f>
        <v>1</v>
      </c>
      <c r="C3623" s="11">
        <f>IFERROR(__xludf.DUMMYFUNCTION("""COMPUTED_VALUE"""),162.0)</f>
        <v>162</v>
      </c>
      <c r="D3623" s="11">
        <f>IFERROR(__xludf.DUMMYFUNCTION("""COMPUTED_VALUE"""),32.0)</f>
        <v>32</v>
      </c>
      <c r="E3623" s="9"/>
    </row>
    <row r="3624">
      <c r="A3624" s="10">
        <f>IFERROR(__xludf.DUMMYFUNCTION("""COMPUTED_VALUE"""),101298.0)</f>
        <v>101298</v>
      </c>
      <c r="B3624" s="11">
        <f>IFERROR(__xludf.DUMMYFUNCTION("""COMPUTED_VALUE"""),1.0)</f>
        <v>1</v>
      </c>
      <c r="C3624" s="11">
        <f>IFERROR(__xludf.DUMMYFUNCTION("""COMPUTED_VALUE"""),736.0)</f>
        <v>736</v>
      </c>
      <c r="D3624" s="11">
        <f>IFERROR(__xludf.DUMMYFUNCTION("""COMPUTED_VALUE"""),240.0)</f>
        <v>240</v>
      </c>
      <c r="E3624" s="9"/>
    </row>
    <row r="3625">
      <c r="A3625" s="10">
        <f>IFERROR(__xludf.DUMMYFUNCTION("""COMPUTED_VALUE"""),113129.0)</f>
        <v>113129</v>
      </c>
      <c r="B3625" s="11">
        <f>IFERROR(__xludf.DUMMYFUNCTION("""COMPUTED_VALUE"""),1.0)</f>
        <v>1</v>
      </c>
      <c r="C3625" s="11">
        <f>IFERROR(__xludf.DUMMYFUNCTION("""COMPUTED_VALUE"""),636.0)</f>
        <v>636</v>
      </c>
      <c r="D3625" s="11">
        <f>IFERROR(__xludf.DUMMYFUNCTION("""COMPUTED_VALUE"""),297.0)</f>
        <v>297</v>
      </c>
      <c r="E3625" s="9"/>
    </row>
    <row r="3626">
      <c r="A3626" s="10">
        <f>IFERROR(__xludf.DUMMYFUNCTION("""COMPUTED_VALUE"""),102551.0)</f>
        <v>102551</v>
      </c>
      <c r="B3626" s="11">
        <f>IFERROR(__xludf.DUMMYFUNCTION("""COMPUTED_VALUE"""),0.0)</f>
        <v>0</v>
      </c>
      <c r="C3626" s="11">
        <f>IFERROR(__xludf.DUMMYFUNCTION("""COMPUTED_VALUE"""),674.0)</f>
        <v>674</v>
      </c>
      <c r="D3626" s="11">
        <f>IFERROR(__xludf.DUMMYFUNCTION("""COMPUTED_VALUE"""),198.0)</f>
        <v>198</v>
      </c>
      <c r="E3626" s="9"/>
    </row>
    <row r="3627">
      <c r="A3627" s="10">
        <f>IFERROR(__xludf.DUMMYFUNCTION("""COMPUTED_VALUE"""),117735.0)</f>
        <v>117735</v>
      </c>
      <c r="B3627" s="11">
        <f>IFERROR(__xludf.DUMMYFUNCTION("""COMPUTED_VALUE"""),1.0)</f>
        <v>1</v>
      </c>
      <c r="C3627" s="11">
        <f>IFERROR(__xludf.DUMMYFUNCTION("""COMPUTED_VALUE"""),749.0)</f>
        <v>749</v>
      </c>
      <c r="D3627" s="11">
        <f>IFERROR(__xludf.DUMMYFUNCTION("""COMPUTED_VALUE"""),538.0)</f>
        <v>538</v>
      </c>
      <c r="E3627" s="9"/>
    </row>
    <row r="3628">
      <c r="A3628" s="10">
        <f>IFERROR(__xludf.DUMMYFUNCTION("""COMPUTED_VALUE"""),101299.0)</f>
        <v>101299</v>
      </c>
      <c r="B3628" s="11">
        <f>IFERROR(__xludf.DUMMYFUNCTION("""COMPUTED_VALUE"""),1.0)</f>
        <v>1</v>
      </c>
      <c r="C3628" s="11">
        <f>IFERROR(__xludf.DUMMYFUNCTION("""COMPUTED_VALUE"""),20.0)</f>
        <v>20</v>
      </c>
      <c r="D3628" s="11">
        <f>IFERROR(__xludf.DUMMYFUNCTION("""COMPUTED_VALUE"""),11.0)</f>
        <v>11</v>
      </c>
      <c r="E3628" s="9"/>
    </row>
    <row r="3629">
      <c r="A3629" s="10">
        <f>IFERROR(__xludf.DUMMYFUNCTION("""COMPUTED_VALUE"""),103590.0)</f>
        <v>103590</v>
      </c>
      <c r="B3629" s="11">
        <f>IFERROR(__xludf.DUMMYFUNCTION("""COMPUTED_VALUE"""),1.0)</f>
        <v>1</v>
      </c>
      <c r="C3629" s="11">
        <f>IFERROR(__xludf.DUMMYFUNCTION("""COMPUTED_VALUE"""),790.0)</f>
        <v>790</v>
      </c>
      <c r="D3629" s="11">
        <f>IFERROR(__xludf.DUMMYFUNCTION("""COMPUTED_VALUE"""),675.0)</f>
        <v>675</v>
      </c>
      <c r="E3629" s="9"/>
    </row>
    <row r="3630">
      <c r="A3630" s="10">
        <f>IFERROR(__xludf.DUMMYFUNCTION("""COMPUTED_VALUE"""),43944.0)</f>
        <v>43944</v>
      </c>
      <c r="B3630" s="11">
        <f>IFERROR(__xludf.DUMMYFUNCTION("""COMPUTED_VALUE"""),0.0)</f>
        <v>0</v>
      </c>
      <c r="C3630" s="11">
        <f>IFERROR(__xludf.DUMMYFUNCTION("""COMPUTED_VALUE"""),269.0)</f>
        <v>269</v>
      </c>
      <c r="D3630" s="11">
        <f>IFERROR(__xludf.DUMMYFUNCTION("""COMPUTED_VALUE"""),53.0)</f>
        <v>53</v>
      </c>
      <c r="E3630" s="9"/>
    </row>
    <row r="3631">
      <c r="A3631" s="10">
        <f>IFERROR(__xludf.DUMMYFUNCTION("""COMPUTED_VALUE"""),113128.0)</f>
        <v>113128</v>
      </c>
      <c r="B3631" s="11">
        <f>IFERROR(__xludf.DUMMYFUNCTION("""COMPUTED_VALUE"""),0.0)</f>
        <v>0</v>
      </c>
      <c r="C3631" s="11">
        <f>IFERROR(__xludf.DUMMYFUNCTION("""COMPUTED_VALUE"""),327.0)</f>
        <v>327</v>
      </c>
      <c r="D3631" s="11">
        <f>IFERROR(__xludf.DUMMYFUNCTION("""COMPUTED_VALUE"""),142.0)</f>
        <v>142</v>
      </c>
      <c r="E3631" s="9"/>
    </row>
    <row r="3632">
      <c r="A3632" s="10">
        <f>IFERROR(__xludf.DUMMYFUNCTION("""COMPUTED_VALUE"""),102553.0)</f>
        <v>102553</v>
      </c>
      <c r="B3632" s="11">
        <f>IFERROR(__xludf.DUMMYFUNCTION("""COMPUTED_VALUE"""),0.0)</f>
        <v>0</v>
      </c>
      <c r="C3632" s="11">
        <f>IFERROR(__xludf.DUMMYFUNCTION("""COMPUTED_VALUE"""),826.0)</f>
        <v>826</v>
      </c>
      <c r="D3632" s="11">
        <f>IFERROR(__xludf.DUMMYFUNCTION("""COMPUTED_VALUE"""),563.0)</f>
        <v>563</v>
      </c>
      <c r="E3632" s="9"/>
    </row>
    <row r="3633">
      <c r="A3633" s="10">
        <f>IFERROR(__xludf.DUMMYFUNCTION("""COMPUTED_VALUE"""),114230.0)</f>
        <v>114230</v>
      </c>
      <c r="B3633" s="11">
        <f>IFERROR(__xludf.DUMMYFUNCTION("""COMPUTED_VALUE"""),0.0)</f>
        <v>0</v>
      </c>
      <c r="C3633" s="11">
        <f>IFERROR(__xludf.DUMMYFUNCTION("""COMPUTED_VALUE"""),591.0)</f>
        <v>591</v>
      </c>
      <c r="D3633" s="11">
        <f>IFERROR(__xludf.DUMMYFUNCTION("""COMPUTED_VALUE"""),521.0)</f>
        <v>521</v>
      </c>
      <c r="E3633" s="9"/>
    </row>
    <row r="3634">
      <c r="A3634" s="10">
        <f>IFERROR(__xludf.DUMMYFUNCTION("""COMPUTED_VALUE"""),122028.0)</f>
        <v>122028</v>
      </c>
      <c r="B3634" s="11">
        <f>IFERROR(__xludf.DUMMYFUNCTION("""COMPUTED_VALUE"""),0.0)</f>
        <v>0</v>
      </c>
      <c r="C3634" s="11">
        <f>IFERROR(__xludf.DUMMYFUNCTION("""COMPUTED_VALUE"""),354.0)</f>
        <v>354</v>
      </c>
      <c r="D3634" s="11">
        <f>IFERROR(__xludf.DUMMYFUNCTION("""COMPUTED_VALUE"""),159.0)</f>
        <v>159</v>
      </c>
      <c r="E3634" s="9"/>
    </row>
    <row r="3635">
      <c r="A3635" s="10">
        <f>IFERROR(__xludf.DUMMYFUNCTION("""COMPUTED_VALUE"""),102269.0)</f>
        <v>102269</v>
      </c>
      <c r="B3635" s="11">
        <f>IFERROR(__xludf.DUMMYFUNCTION("""COMPUTED_VALUE"""),1.0)</f>
        <v>1</v>
      </c>
      <c r="C3635" s="11">
        <f>IFERROR(__xludf.DUMMYFUNCTION("""COMPUTED_VALUE"""),826.0)</f>
        <v>826</v>
      </c>
      <c r="D3635" s="11">
        <f>IFERROR(__xludf.DUMMYFUNCTION("""COMPUTED_VALUE"""),595.0)</f>
        <v>595</v>
      </c>
      <c r="E3635" s="9"/>
    </row>
    <row r="3636">
      <c r="A3636" s="10">
        <f>IFERROR(__xludf.DUMMYFUNCTION("""COMPUTED_VALUE"""),26651.0)</f>
        <v>26651</v>
      </c>
      <c r="B3636" s="11">
        <f>IFERROR(__xludf.DUMMYFUNCTION("""COMPUTED_VALUE"""),1.0)</f>
        <v>1</v>
      </c>
      <c r="C3636" s="11">
        <f>IFERROR(__xludf.DUMMYFUNCTION("""COMPUTED_VALUE"""),730.0)</f>
        <v>730</v>
      </c>
      <c r="D3636" s="11">
        <f>IFERROR(__xludf.DUMMYFUNCTION("""COMPUTED_VALUE"""),603.0)</f>
        <v>603</v>
      </c>
      <c r="E3636" s="9"/>
    </row>
    <row r="3637">
      <c r="A3637" s="10">
        <f>IFERROR(__xludf.DUMMYFUNCTION("""COMPUTED_VALUE"""),101316.0)</f>
        <v>101316</v>
      </c>
      <c r="B3637" s="11">
        <f>IFERROR(__xludf.DUMMYFUNCTION("""COMPUTED_VALUE"""),1.0)</f>
        <v>1</v>
      </c>
      <c r="C3637" s="11">
        <f>IFERROR(__xludf.DUMMYFUNCTION("""COMPUTED_VALUE"""),129.0)</f>
        <v>129</v>
      </c>
      <c r="D3637" s="11">
        <f>IFERROR(__xludf.DUMMYFUNCTION("""COMPUTED_VALUE"""),92.0)</f>
        <v>92</v>
      </c>
      <c r="E3637" s="9"/>
    </row>
    <row r="3638">
      <c r="A3638" s="10">
        <f>IFERROR(__xludf.DUMMYFUNCTION("""COMPUTED_VALUE"""),117742.0)</f>
        <v>117742</v>
      </c>
      <c r="B3638" s="11">
        <f>IFERROR(__xludf.DUMMYFUNCTION("""COMPUTED_VALUE"""),1.0)</f>
        <v>1</v>
      </c>
      <c r="C3638" s="11">
        <f>IFERROR(__xludf.DUMMYFUNCTION("""COMPUTED_VALUE"""),252.0)</f>
        <v>252</v>
      </c>
      <c r="D3638" s="11">
        <f>IFERROR(__xludf.DUMMYFUNCTION("""COMPUTED_VALUE"""),252.0)</f>
        <v>252</v>
      </c>
      <c r="E3638" s="9"/>
    </row>
    <row r="3639">
      <c r="A3639" s="10">
        <f>IFERROR(__xludf.DUMMYFUNCTION("""COMPUTED_VALUE"""),101315.0)</f>
        <v>101315</v>
      </c>
      <c r="B3639" s="11">
        <f>IFERROR(__xludf.DUMMYFUNCTION("""COMPUTED_VALUE"""),0.0)</f>
        <v>0</v>
      </c>
      <c r="C3639" s="11">
        <f>IFERROR(__xludf.DUMMYFUNCTION("""COMPUTED_VALUE"""),511.0)</f>
        <v>511</v>
      </c>
      <c r="D3639" s="11">
        <f>IFERROR(__xludf.DUMMYFUNCTION("""COMPUTED_VALUE"""),382.0)</f>
        <v>382</v>
      </c>
      <c r="E3639" s="9"/>
    </row>
    <row r="3640">
      <c r="A3640" s="10">
        <f>IFERROR(__xludf.DUMMYFUNCTION("""COMPUTED_VALUE"""),43945.0)</f>
        <v>43945</v>
      </c>
      <c r="B3640" s="11">
        <f>IFERROR(__xludf.DUMMYFUNCTION("""COMPUTED_VALUE"""),0.0)</f>
        <v>0</v>
      </c>
      <c r="C3640" s="11">
        <f>IFERROR(__xludf.DUMMYFUNCTION("""COMPUTED_VALUE"""),969.0)</f>
        <v>969</v>
      </c>
      <c r="D3640" s="11">
        <f>IFERROR(__xludf.DUMMYFUNCTION("""COMPUTED_VALUE"""),930.0)</f>
        <v>930</v>
      </c>
      <c r="E3640" s="9"/>
    </row>
    <row r="3641">
      <c r="A3641" s="10">
        <f>IFERROR(__xludf.DUMMYFUNCTION("""COMPUTED_VALUE"""),103589.0)</f>
        <v>103589</v>
      </c>
      <c r="B3641" s="11">
        <f>IFERROR(__xludf.DUMMYFUNCTION("""COMPUTED_VALUE"""),0.0)</f>
        <v>0</v>
      </c>
      <c r="C3641" s="11">
        <f>IFERROR(__xludf.DUMMYFUNCTION("""COMPUTED_VALUE"""),800.0)</f>
        <v>800</v>
      </c>
      <c r="D3641" s="11">
        <f>IFERROR(__xludf.DUMMYFUNCTION("""COMPUTED_VALUE"""),760.0)</f>
        <v>760</v>
      </c>
      <c r="E3641" s="9"/>
    </row>
    <row r="3642">
      <c r="A3642" s="10">
        <f>IFERROR(__xludf.DUMMYFUNCTION("""COMPUTED_VALUE"""),88896.0)</f>
        <v>88896</v>
      </c>
      <c r="B3642" s="11">
        <f>IFERROR(__xludf.DUMMYFUNCTION("""COMPUTED_VALUE"""),1.0)</f>
        <v>1</v>
      </c>
      <c r="C3642" s="11">
        <f>IFERROR(__xludf.DUMMYFUNCTION("""COMPUTED_VALUE"""),491.0)</f>
        <v>491</v>
      </c>
      <c r="D3642" s="11">
        <f>IFERROR(__xludf.DUMMYFUNCTION("""COMPUTED_VALUE"""),248.0)</f>
        <v>248</v>
      </c>
      <c r="E3642" s="9"/>
    </row>
    <row r="3643">
      <c r="A3643" s="10">
        <f>IFERROR(__xludf.DUMMYFUNCTION("""COMPUTED_VALUE"""),103595.0)</f>
        <v>103595</v>
      </c>
      <c r="B3643" s="11">
        <f>IFERROR(__xludf.DUMMYFUNCTION("""COMPUTED_VALUE"""),1.0)</f>
        <v>1</v>
      </c>
      <c r="C3643" s="11">
        <f>IFERROR(__xludf.DUMMYFUNCTION("""COMPUTED_VALUE"""),436.0)</f>
        <v>436</v>
      </c>
      <c r="D3643" s="11">
        <f>IFERROR(__xludf.DUMMYFUNCTION("""COMPUTED_VALUE"""),65.0)</f>
        <v>65</v>
      </c>
      <c r="E3643" s="9"/>
    </row>
    <row r="3644">
      <c r="A3644" s="10">
        <f>IFERROR(__xludf.DUMMYFUNCTION("""COMPUTED_VALUE"""),101300.0)</f>
        <v>101300</v>
      </c>
      <c r="B3644" s="11">
        <f>IFERROR(__xludf.DUMMYFUNCTION("""COMPUTED_VALUE"""),1.0)</f>
        <v>1</v>
      </c>
      <c r="C3644" s="11">
        <f>IFERROR(__xludf.DUMMYFUNCTION("""COMPUTED_VALUE"""),130.0)</f>
        <v>130</v>
      </c>
      <c r="D3644" s="11">
        <f>IFERROR(__xludf.DUMMYFUNCTION("""COMPUTED_VALUE"""),62.0)</f>
        <v>62</v>
      </c>
      <c r="E3644" s="9"/>
    </row>
    <row r="3645">
      <c r="A3645" s="10">
        <f>IFERROR(__xludf.DUMMYFUNCTION("""COMPUTED_VALUE"""),113130.0)</f>
        <v>113130</v>
      </c>
      <c r="B3645" s="11">
        <f>IFERROR(__xludf.DUMMYFUNCTION("""COMPUTED_VALUE"""),1.0)</f>
        <v>1</v>
      </c>
      <c r="C3645" s="11">
        <f>IFERROR(__xludf.DUMMYFUNCTION("""COMPUTED_VALUE"""),401.0)</f>
        <v>401</v>
      </c>
      <c r="D3645" s="11">
        <f>IFERROR(__xludf.DUMMYFUNCTION("""COMPUTED_VALUE"""),109.0)</f>
        <v>109</v>
      </c>
      <c r="E3645" s="9"/>
    </row>
    <row r="3646">
      <c r="A3646" s="10">
        <f>IFERROR(__xludf.DUMMYFUNCTION("""COMPUTED_VALUE"""),102272.0)</f>
        <v>102272</v>
      </c>
      <c r="B3646" s="11">
        <f>IFERROR(__xludf.DUMMYFUNCTION("""COMPUTED_VALUE"""),0.0)</f>
        <v>0</v>
      </c>
      <c r="C3646" s="11">
        <f>IFERROR(__xludf.DUMMYFUNCTION("""COMPUTED_VALUE"""),315.0)</f>
        <v>315</v>
      </c>
      <c r="D3646" s="11">
        <f>IFERROR(__xludf.DUMMYFUNCTION("""COMPUTED_VALUE"""),124.0)</f>
        <v>124</v>
      </c>
      <c r="E3646" s="9"/>
    </row>
    <row r="3647">
      <c r="A3647" s="10">
        <f>IFERROR(__xludf.DUMMYFUNCTION("""COMPUTED_VALUE"""),43947.0)</f>
        <v>43947</v>
      </c>
      <c r="B3647" s="11">
        <f>IFERROR(__xludf.DUMMYFUNCTION("""COMPUTED_VALUE"""),1.0)</f>
        <v>1</v>
      </c>
      <c r="C3647" s="11">
        <f>IFERROR(__xludf.DUMMYFUNCTION("""COMPUTED_VALUE"""),742.0)</f>
        <v>742</v>
      </c>
      <c r="D3647" s="11">
        <f>IFERROR(__xludf.DUMMYFUNCTION("""COMPUTED_VALUE"""),594.0)</f>
        <v>594</v>
      </c>
      <c r="E3647" s="9"/>
    </row>
    <row r="3648">
      <c r="A3648" s="10">
        <f>IFERROR(__xludf.DUMMYFUNCTION("""COMPUTED_VALUE"""),102271.0)</f>
        <v>102271</v>
      </c>
      <c r="B3648" s="11">
        <f>IFERROR(__xludf.DUMMYFUNCTION("""COMPUTED_VALUE"""),0.0)</f>
        <v>0</v>
      </c>
      <c r="C3648" s="11">
        <f>IFERROR(__xludf.DUMMYFUNCTION("""COMPUTED_VALUE"""),616.0)</f>
        <v>616</v>
      </c>
      <c r="D3648" s="11">
        <f>IFERROR(__xludf.DUMMYFUNCTION("""COMPUTED_VALUE"""),25.0)</f>
        <v>25</v>
      </c>
      <c r="E3648" s="9"/>
    </row>
    <row r="3649">
      <c r="A3649" s="10">
        <f>IFERROR(__xludf.DUMMYFUNCTION("""COMPUTED_VALUE"""),103592.0)</f>
        <v>103592</v>
      </c>
      <c r="B3649" s="11">
        <f>IFERROR(__xludf.DUMMYFUNCTION("""COMPUTED_VALUE"""),1.0)</f>
        <v>1</v>
      </c>
      <c r="C3649" s="11">
        <f>IFERROR(__xludf.DUMMYFUNCTION("""COMPUTED_VALUE"""),42.0)</f>
        <v>42</v>
      </c>
      <c r="D3649" s="11">
        <f>IFERROR(__xludf.DUMMYFUNCTION("""COMPUTED_VALUE"""),30.0)</f>
        <v>30</v>
      </c>
      <c r="E3649" s="9"/>
    </row>
    <row r="3650">
      <c r="A3650" s="10">
        <f>IFERROR(__xludf.DUMMYFUNCTION("""COMPUTED_VALUE"""),26652.0)</f>
        <v>26652</v>
      </c>
      <c r="B3650" s="11">
        <f>IFERROR(__xludf.DUMMYFUNCTION("""COMPUTED_VALUE"""),1.0)</f>
        <v>1</v>
      </c>
      <c r="C3650" s="11">
        <f>IFERROR(__xludf.DUMMYFUNCTION("""COMPUTED_VALUE"""),237.0)</f>
        <v>237</v>
      </c>
      <c r="D3650" s="11">
        <f>IFERROR(__xludf.DUMMYFUNCTION("""COMPUTED_VALUE"""),141.0)</f>
        <v>141</v>
      </c>
      <c r="E3650" s="9"/>
    </row>
    <row r="3651">
      <c r="A3651" s="10">
        <f>IFERROR(__xludf.DUMMYFUNCTION("""COMPUTED_VALUE"""),43946.0)</f>
        <v>43946</v>
      </c>
      <c r="B3651" s="11">
        <f>IFERROR(__xludf.DUMMYFUNCTION("""COMPUTED_VALUE"""),0.0)</f>
        <v>0</v>
      </c>
      <c r="C3651" s="11">
        <f>IFERROR(__xludf.DUMMYFUNCTION("""COMPUTED_VALUE"""),94.0)</f>
        <v>94</v>
      </c>
      <c r="D3651" s="11">
        <f>IFERROR(__xludf.DUMMYFUNCTION("""COMPUTED_VALUE"""),59.0)</f>
        <v>59</v>
      </c>
      <c r="E3651" s="9"/>
    </row>
    <row r="3652">
      <c r="A3652" s="10">
        <f>IFERROR(__xludf.DUMMYFUNCTION("""COMPUTED_VALUE"""),101301.0)</f>
        <v>101301</v>
      </c>
      <c r="B3652" s="11">
        <f>IFERROR(__xludf.DUMMYFUNCTION("""COMPUTED_VALUE"""),0.0)</f>
        <v>0</v>
      </c>
      <c r="C3652" s="11">
        <f>IFERROR(__xludf.DUMMYFUNCTION("""COMPUTED_VALUE"""),62.0)</f>
        <v>62</v>
      </c>
      <c r="D3652" s="11">
        <f>IFERROR(__xludf.DUMMYFUNCTION("""COMPUTED_VALUE"""),39.0)</f>
        <v>39</v>
      </c>
      <c r="E3652" s="9"/>
    </row>
    <row r="3653">
      <c r="A3653" s="10">
        <f>IFERROR(__xludf.DUMMYFUNCTION("""COMPUTED_VALUE"""),108458.0)</f>
        <v>108458</v>
      </c>
      <c r="B3653" s="11">
        <f>IFERROR(__xludf.DUMMYFUNCTION("""COMPUTED_VALUE"""),1.0)</f>
        <v>1</v>
      </c>
      <c r="C3653" s="11">
        <f>IFERROR(__xludf.DUMMYFUNCTION("""COMPUTED_VALUE"""),142.0)</f>
        <v>142</v>
      </c>
      <c r="D3653" s="11">
        <f>IFERROR(__xludf.DUMMYFUNCTION("""COMPUTED_VALUE"""),36.0)</f>
        <v>36</v>
      </c>
      <c r="E3653" s="9"/>
    </row>
    <row r="3654">
      <c r="A3654" s="10">
        <f>IFERROR(__xludf.DUMMYFUNCTION("""COMPUTED_VALUE"""),117736.0)</f>
        <v>117736</v>
      </c>
      <c r="B3654" s="11">
        <f>IFERROR(__xludf.DUMMYFUNCTION("""COMPUTED_VALUE"""),0.0)</f>
        <v>0</v>
      </c>
      <c r="C3654" s="11">
        <f>IFERROR(__xludf.DUMMYFUNCTION("""COMPUTED_VALUE"""),106.0)</f>
        <v>106</v>
      </c>
      <c r="D3654" s="11">
        <f>IFERROR(__xludf.DUMMYFUNCTION("""COMPUTED_VALUE"""),35.0)</f>
        <v>35</v>
      </c>
      <c r="E3654" s="9"/>
    </row>
    <row r="3655">
      <c r="A3655" s="10">
        <f>IFERROR(__xludf.DUMMYFUNCTION("""COMPUTED_VALUE"""),49606.0)</f>
        <v>49606</v>
      </c>
      <c r="B3655" s="11">
        <f>IFERROR(__xludf.DUMMYFUNCTION("""COMPUTED_VALUE"""),0.0)</f>
        <v>0</v>
      </c>
      <c r="C3655" s="11">
        <f>IFERROR(__xludf.DUMMYFUNCTION("""COMPUTED_VALUE"""),172.0)</f>
        <v>172</v>
      </c>
      <c r="D3655" s="11">
        <f>IFERROR(__xludf.DUMMYFUNCTION("""COMPUTED_VALUE"""),21.0)</f>
        <v>21</v>
      </c>
      <c r="E3655" s="9"/>
    </row>
    <row r="3656">
      <c r="A3656" s="10">
        <f>IFERROR(__xludf.DUMMYFUNCTION("""COMPUTED_VALUE"""),106297.0)</f>
        <v>106297</v>
      </c>
      <c r="B3656" s="11">
        <f>IFERROR(__xludf.DUMMYFUNCTION("""COMPUTED_VALUE"""),1.0)</f>
        <v>1</v>
      </c>
      <c r="C3656" s="11">
        <f>IFERROR(__xludf.DUMMYFUNCTION("""COMPUTED_VALUE"""),434.0)</f>
        <v>434</v>
      </c>
      <c r="D3656" s="11">
        <f>IFERROR(__xludf.DUMMYFUNCTION("""COMPUTED_VALUE"""),24.0)</f>
        <v>24</v>
      </c>
      <c r="E3656" s="9"/>
    </row>
    <row r="3657">
      <c r="A3657" s="10">
        <f>IFERROR(__xludf.DUMMYFUNCTION("""COMPUTED_VALUE"""),15556.0)</f>
        <v>15556</v>
      </c>
      <c r="B3657" s="11">
        <f>IFERROR(__xludf.DUMMYFUNCTION("""COMPUTED_VALUE"""),1.0)</f>
        <v>1</v>
      </c>
      <c r="C3657" s="11">
        <f>IFERROR(__xludf.DUMMYFUNCTION("""COMPUTED_VALUE"""),770.0)</f>
        <v>770</v>
      </c>
      <c r="D3657" s="11">
        <f>IFERROR(__xludf.DUMMYFUNCTION("""COMPUTED_VALUE"""),703.0)</f>
        <v>703</v>
      </c>
      <c r="E3657" s="9"/>
    </row>
    <row r="3658">
      <c r="A3658" s="10">
        <f>IFERROR(__xludf.DUMMYFUNCTION("""COMPUTED_VALUE"""),49605.0)</f>
        <v>49605</v>
      </c>
      <c r="B3658" s="11">
        <f>IFERROR(__xludf.DUMMYFUNCTION("""COMPUTED_VALUE"""),0.0)</f>
        <v>0</v>
      </c>
      <c r="C3658" s="11">
        <f>IFERROR(__xludf.DUMMYFUNCTION("""COMPUTED_VALUE"""),933.0)</f>
        <v>933</v>
      </c>
      <c r="D3658" s="11">
        <f>IFERROR(__xludf.DUMMYFUNCTION("""COMPUTED_VALUE"""),551.0)</f>
        <v>551</v>
      </c>
      <c r="E3658" s="9"/>
    </row>
    <row r="3659">
      <c r="A3659" s="10">
        <f>IFERROR(__xludf.DUMMYFUNCTION("""COMPUTED_VALUE"""),102312.0)</f>
        <v>102312</v>
      </c>
      <c r="B3659" s="11">
        <f>IFERROR(__xludf.DUMMYFUNCTION("""COMPUTED_VALUE"""),1.0)</f>
        <v>1</v>
      </c>
      <c r="C3659" s="11">
        <f>IFERROR(__xludf.DUMMYFUNCTION("""COMPUTED_VALUE"""),745.0)</f>
        <v>745</v>
      </c>
      <c r="D3659" s="11">
        <f>IFERROR(__xludf.DUMMYFUNCTION("""COMPUTED_VALUE"""),233.0)</f>
        <v>233</v>
      </c>
      <c r="E3659" s="9"/>
    </row>
    <row r="3660">
      <c r="A3660" s="10">
        <f>IFERROR(__xludf.DUMMYFUNCTION("""COMPUTED_VALUE"""),121125.0)</f>
        <v>121125</v>
      </c>
      <c r="B3660" s="11">
        <f>IFERROR(__xludf.DUMMYFUNCTION("""COMPUTED_VALUE"""),1.0)</f>
        <v>1</v>
      </c>
      <c r="C3660" s="11">
        <f>IFERROR(__xludf.DUMMYFUNCTION("""COMPUTED_VALUE"""),580.0)</f>
        <v>580</v>
      </c>
      <c r="D3660" s="11">
        <f>IFERROR(__xludf.DUMMYFUNCTION("""COMPUTED_VALUE"""),481.0)</f>
        <v>481</v>
      </c>
      <c r="E3660" s="9"/>
    </row>
    <row r="3661">
      <c r="A3661" s="10">
        <f>IFERROR(__xludf.DUMMYFUNCTION("""COMPUTED_VALUE"""),106401.0)</f>
        <v>106401</v>
      </c>
      <c r="B3661" s="11">
        <f>IFERROR(__xludf.DUMMYFUNCTION("""COMPUTED_VALUE"""),0.0)</f>
        <v>0</v>
      </c>
      <c r="C3661" s="11">
        <f>IFERROR(__xludf.DUMMYFUNCTION("""COMPUTED_VALUE"""),143.0)</f>
        <v>143</v>
      </c>
      <c r="D3661" s="11">
        <f>IFERROR(__xludf.DUMMYFUNCTION("""COMPUTED_VALUE"""),68.0)</f>
        <v>68</v>
      </c>
      <c r="E3661" s="9"/>
    </row>
    <row r="3662">
      <c r="A3662" s="10">
        <f>IFERROR(__xludf.DUMMYFUNCTION("""COMPUTED_VALUE"""),116834.0)</f>
        <v>116834</v>
      </c>
      <c r="B3662" s="11">
        <f>IFERROR(__xludf.DUMMYFUNCTION("""COMPUTED_VALUE"""),0.0)</f>
        <v>0</v>
      </c>
      <c r="C3662" s="11">
        <f>IFERROR(__xludf.DUMMYFUNCTION("""COMPUTED_VALUE"""),852.0)</f>
        <v>852</v>
      </c>
      <c r="D3662" s="11">
        <f>IFERROR(__xludf.DUMMYFUNCTION("""COMPUTED_VALUE"""),266.0)</f>
        <v>266</v>
      </c>
      <c r="E3662" s="9"/>
    </row>
    <row r="3663">
      <c r="A3663" s="10">
        <f>IFERROR(__xludf.DUMMYFUNCTION("""COMPUTED_VALUE"""),1953.0)</f>
        <v>1953</v>
      </c>
      <c r="B3663" s="11">
        <f>IFERROR(__xludf.DUMMYFUNCTION("""COMPUTED_VALUE"""),0.0)</f>
        <v>0</v>
      </c>
      <c r="C3663" s="11">
        <f>IFERROR(__xludf.DUMMYFUNCTION("""COMPUTED_VALUE"""),558.0)</f>
        <v>558</v>
      </c>
      <c r="D3663" s="11">
        <f>IFERROR(__xludf.DUMMYFUNCTION("""COMPUTED_VALUE"""),132.0)</f>
        <v>132</v>
      </c>
      <c r="E3663" s="9"/>
    </row>
    <row r="3664">
      <c r="A3664" s="10">
        <f>IFERROR(__xludf.DUMMYFUNCTION("""COMPUTED_VALUE"""),106305.0)</f>
        <v>106305</v>
      </c>
      <c r="B3664" s="11">
        <f>IFERROR(__xludf.DUMMYFUNCTION("""COMPUTED_VALUE"""),0.0)</f>
        <v>0</v>
      </c>
      <c r="C3664" s="11">
        <f>IFERROR(__xludf.DUMMYFUNCTION("""COMPUTED_VALUE"""),865.0)</f>
        <v>865</v>
      </c>
      <c r="D3664" s="11">
        <f>IFERROR(__xludf.DUMMYFUNCTION("""COMPUTED_VALUE"""),441.0)</f>
        <v>441</v>
      </c>
      <c r="E3664" s="9"/>
    </row>
    <row r="3665">
      <c r="A3665" s="10">
        <f>IFERROR(__xludf.DUMMYFUNCTION("""COMPUTED_VALUE"""),108278.0)</f>
        <v>108278</v>
      </c>
      <c r="B3665" s="11">
        <f>IFERROR(__xludf.DUMMYFUNCTION("""COMPUTED_VALUE"""),0.0)</f>
        <v>0</v>
      </c>
      <c r="C3665" s="11">
        <f>IFERROR(__xludf.DUMMYFUNCTION("""COMPUTED_VALUE"""),379.0)</f>
        <v>379</v>
      </c>
      <c r="D3665" s="11">
        <f>IFERROR(__xludf.DUMMYFUNCTION("""COMPUTED_VALUE"""),72.0)</f>
        <v>72</v>
      </c>
      <c r="E3665" s="9"/>
    </row>
    <row r="3666">
      <c r="A3666" s="10">
        <f>IFERROR(__xludf.DUMMYFUNCTION("""COMPUTED_VALUE"""),47660.0)</f>
        <v>47660</v>
      </c>
      <c r="B3666" s="11">
        <f>IFERROR(__xludf.DUMMYFUNCTION("""COMPUTED_VALUE"""),0.0)</f>
        <v>0</v>
      </c>
      <c r="C3666" s="11">
        <f>IFERROR(__xludf.DUMMYFUNCTION("""COMPUTED_VALUE"""),545.0)</f>
        <v>545</v>
      </c>
      <c r="D3666" s="11">
        <f>IFERROR(__xludf.DUMMYFUNCTION("""COMPUTED_VALUE"""),475.0)</f>
        <v>475</v>
      </c>
      <c r="E3666" s="9"/>
    </row>
    <row r="3667">
      <c r="A3667" s="10">
        <f>IFERROR(__xludf.DUMMYFUNCTION("""COMPUTED_VALUE"""),47657.0)</f>
        <v>47657</v>
      </c>
      <c r="B3667" s="11">
        <f>IFERROR(__xludf.DUMMYFUNCTION("""COMPUTED_VALUE"""),0.0)</f>
        <v>0</v>
      </c>
      <c r="C3667" s="11">
        <f>IFERROR(__xludf.DUMMYFUNCTION("""COMPUTED_VALUE"""),680.0)</f>
        <v>680</v>
      </c>
      <c r="D3667" s="11">
        <f>IFERROR(__xludf.DUMMYFUNCTION("""COMPUTED_VALUE"""),177.0)</f>
        <v>177</v>
      </c>
      <c r="E3667" s="9"/>
    </row>
    <row r="3668">
      <c r="A3668" s="10">
        <f>IFERROR(__xludf.DUMMYFUNCTION("""COMPUTED_VALUE"""),64185.0)</f>
        <v>64185</v>
      </c>
      <c r="B3668" s="11">
        <f>IFERROR(__xludf.DUMMYFUNCTION("""COMPUTED_VALUE"""),1.0)</f>
        <v>1</v>
      </c>
      <c r="C3668" s="11">
        <f>IFERROR(__xludf.DUMMYFUNCTION("""COMPUTED_VALUE"""),487.0)</f>
        <v>487</v>
      </c>
      <c r="D3668" s="11">
        <f>IFERROR(__xludf.DUMMYFUNCTION("""COMPUTED_VALUE"""),440.0)</f>
        <v>440</v>
      </c>
      <c r="E3668" s="9"/>
    </row>
    <row r="3669">
      <c r="A3669" s="10">
        <f>IFERROR(__xludf.DUMMYFUNCTION("""COMPUTED_VALUE"""),108256.0)</f>
        <v>108256</v>
      </c>
      <c r="B3669" s="11">
        <f>IFERROR(__xludf.DUMMYFUNCTION("""COMPUTED_VALUE"""),1.0)</f>
        <v>1</v>
      </c>
      <c r="C3669" s="11">
        <f>IFERROR(__xludf.DUMMYFUNCTION("""COMPUTED_VALUE"""),100.0)</f>
        <v>100</v>
      </c>
      <c r="D3669" s="11">
        <f>IFERROR(__xludf.DUMMYFUNCTION("""COMPUTED_VALUE"""),70.0)</f>
        <v>70</v>
      </c>
      <c r="E3669" s="9"/>
    </row>
    <row r="3670">
      <c r="A3670" s="10">
        <f>IFERROR(__xludf.DUMMYFUNCTION("""COMPUTED_VALUE"""),62597.0)</f>
        <v>62597</v>
      </c>
      <c r="B3670" s="11">
        <f>IFERROR(__xludf.DUMMYFUNCTION("""COMPUTED_VALUE"""),0.0)</f>
        <v>0</v>
      </c>
      <c r="C3670" s="11">
        <f>IFERROR(__xludf.DUMMYFUNCTION("""COMPUTED_VALUE"""),175.0)</f>
        <v>175</v>
      </c>
      <c r="D3670" s="11">
        <f>IFERROR(__xludf.DUMMYFUNCTION("""COMPUTED_VALUE"""),46.0)</f>
        <v>46</v>
      </c>
      <c r="E3670" s="9"/>
    </row>
    <row r="3671">
      <c r="A3671" s="10">
        <f>IFERROR(__xludf.DUMMYFUNCTION("""COMPUTED_VALUE"""),102304.0)</f>
        <v>102304</v>
      </c>
      <c r="B3671" s="11">
        <f>IFERROR(__xludf.DUMMYFUNCTION("""COMPUTED_VALUE"""),1.0)</f>
        <v>1</v>
      </c>
      <c r="C3671" s="11">
        <f>IFERROR(__xludf.DUMMYFUNCTION("""COMPUTED_VALUE"""),200.0)</f>
        <v>200</v>
      </c>
      <c r="D3671" s="11">
        <f>IFERROR(__xludf.DUMMYFUNCTION("""COMPUTED_VALUE"""),90.0)</f>
        <v>90</v>
      </c>
      <c r="E3671" s="9"/>
    </row>
    <row r="3672">
      <c r="A3672" s="10">
        <f>IFERROR(__xludf.DUMMYFUNCTION("""COMPUTED_VALUE"""),118242.0)</f>
        <v>118242</v>
      </c>
      <c r="B3672" s="11">
        <f>IFERROR(__xludf.DUMMYFUNCTION("""COMPUTED_VALUE"""),1.0)</f>
        <v>1</v>
      </c>
      <c r="C3672" s="11">
        <f>IFERROR(__xludf.DUMMYFUNCTION("""COMPUTED_VALUE"""),819.0)</f>
        <v>819</v>
      </c>
      <c r="D3672" s="11">
        <f>IFERROR(__xludf.DUMMYFUNCTION("""COMPUTED_VALUE"""),76.0)</f>
        <v>76</v>
      </c>
      <c r="E3672" s="9"/>
    </row>
    <row r="3673">
      <c r="A3673" s="10">
        <f>IFERROR(__xludf.DUMMYFUNCTION("""COMPUTED_VALUE"""),121743.0)</f>
        <v>121743</v>
      </c>
      <c r="B3673" s="11">
        <f>IFERROR(__xludf.DUMMYFUNCTION("""COMPUTED_VALUE"""),0.0)</f>
        <v>0</v>
      </c>
      <c r="C3673" s="11">
        <f>IFERROR(__xludf.DUMMYFUNCTION("""COMPUTED_VALUE"""),945.0)</f>
        <v>945</v>
      </c>
      <c r="D3673" s="11">
        <f>IFERROR(__xludf.DUMMYFUNCTION("""COMPUTED_VALUE"""),288.0)</f>
        <v>288</v>
      </c>
      <c r="E3673" s="9"/>
    </row>
    <row r="3674">
      <c r="A3674" s="10">
        <f>IFERROR(__xludf.DUMMYFUNCTION("""COMPUTED_VALUE"""),108257.0)</f>
        <v>108257</v>
      </c>
      <c r="B3674" s="11">
        <f>IFERROR(__xludf.DUMMYFUNCTION("""COMPUTED_VALUE"""),0.0)</f>
        <v>0</v>
      </c>
      <c r="C3674" s="11">
        <f>IFERROR(__xludf.DUMMYFUNCTION("""COMPUTED_VALUE"""),74.0)</f>
        <v>74</v>
      </c>
      <c r="D3674" s="11">
        <f>IFERROR(__xludf.DUMMYFUNCTION("""COMPUTED_VALUE"""),13.0)</f>
        <v>13</v>
      </c>
      <c r="E3674" s="9"/>
    </row>
    <row r="3675">
      <c r="A3675" s="10">
        <f>IFERROR(__xludf.DUMMYFUNCTION("""COMPUTED_VALUE"""),117756.0)</f>
        <v>117756</v>
      </c>
      <c r="B3675" s="11">
        <f>IFERROR(__xludf.DUMMYFUNCTION("""COMPUTED_VALUE"""),1.0)</f>
        <v>1</v>
      </c>
      <c r="C3675" s="11">
        <f>IFERROR(__xludf.DUMMYFUNCTION("""COMPUTED_VALUE"""),535.0)</f>
        <v>535</v>
      </c>
      <c r="D3675" s="11">
        <f>IFERROR(__xludf.DUMMYFUNCTION("""COMPUTED_VALUE"""),95.0)</f>
        <v>95</v>
      </c>
      <c r="E3675" s="9"/>
    </row>
    <row r="3676">
      <c r="A3676" s="10">
        <f>IFERROR(__xludf.DUMMYFUNCTION("""COMPUTED_VALUE"""),110334.0)</f>
        <v>110334</v>
      </c>
      <c r="B3676" s="11">
        <f>IFERROR(__xludf.DUMMYFUNCTION("""COMPUTED_VALUE"""),1.0)</f>
        <v>1</v>
      </c>
      <c r="C3676" s="11">
        <f>IFERROR(__xludf.DUMMYFUNCTION("""COMPUTED_VALUE"""),62.0)</f>
        <v>62</v>
      </c>
      <c r="D3676" s="11">
        <f>IFERROR(__xludf.DUMMYFUNCTION("""COMPUTED_VALUE"""),29.0)</f>
        <v>29</v>
      </c>
      <c r="E3676" s="9"/>
    </row>
    <row r="3677">
      <c r="A3677" s="10">
        <f>IFERROR(__xludf.DUMMYFUNCTION("""COMPUTED_VALUE"""),102307.0)</f>
        <v>102307</v>
      </c>
      <c r="B3677" s="11">
        <f>IFERROR(__xludf.DUMMYFUNCTION("""COMPUTED_VALUE"""),1.0)</f>
        <v>1</v>
      </c>
      <c r="C3677" s="11">
        <f>IFERROR(__xludf.DUMMYFUNCTION("""COMPUTED_VALUE"""),867.0)</f>
        <v>867</v>
      </c>
      <c r="D3677" s="11">
        <f>IFERROR(__xludf.DUMMYFUNCTION("""COMPUTED_VALUE"""),539.0)</f>
        <v>539</v>
      </c>
      <c r="E3677" s="9"/>
    </row>
    <row r="3678">
      <c r="A3678" s="10">
        <f>IFERROR(__xludf.DUMMYFUNCTION("""COMPUTED_VALUE"""),117750.0)</f>
        <v>117750</v>
      </c>
      <c r="B3678" s="11">
        <f>IFERROR(__xludf.DUMMYFUNCTION("""COMPUTED_VALUE"""),1.0)</f>
        <v>1</v>
      </c>
      <c r="C3678" s="11">
        <f>IFERROR(__xludf.DUMMYFUNCTION("""COMPUTED_VALUE"""),118.0)</f>
        <v>118</v>
      </c>
      <c r="D3678" s="11">
        <f>IFERROR(__xludf.DUMMYFUNCTION("""COMPUTED_VALUE"""),30.0)</f>
        <v>30</v>
      </c>
      <c r="E3678" s="9"/>
    </row>
    <row r="3679">
      <c r="A3679" s="10">
        <f>IFERROR(__xludf.DUMMYFUNCTION("""COMPUTED_VALUE"""),181976.0)</f>
        <v>181976</v>
      </c>
      <c r="B3679" s="11">
        <f>IFERROR(__xludf.DUMMYFUNCTION("""COMPUTED_VALUE"""),1.0)</f>
        <v>1</v>
      </c>
      <c r="C3679" s="11">
        <f>IFERROR(__xludf.DUMMYFUNCTION("""COMPUTED_VALUE"""),156.0)</f>
        <v>156</v>
      </c>
      <c r="D3679" s="11">
        <f>IFERROR(__xludf.DUMMYFUNCTION("""COMPUTED_VALUE"""),37.0)</f>
        <v>37</v>
      </c>
      <c r="E3679" s="9"/>
    </row>
    <row r="3680">
      <c r="A3680" s="10">
        <f>IFERROR(__xludf.DUMMYFUNCTION("""COMPUTED_VALUE"""),108258.0)</f>
        <v>108258</v>
      </c>
      <c r="B3680" s="11">
        <f>IFERROR(__xludf.DUMMYFUNCTION("""COMPUTED_VALUE"""),1.0)</f>
        <v>1</v>
      </c>
      <c r="C3680" s="11">
        <f>IFERROR(__xludf.DUMMYFUNCTION("""COMPUTED_VALUE"""),423.0)</f>
        <v>423</v>
      </c>
      <c r="D3680" s="11">
        <f>IFERROR(__xludf.DUMMYFUNCTION("""COMPUTED_VALUE"""),95.0)</f>
        <v>95</v>
      </c>
      <c r="E3680" s="9"/>
    </row>
    <row r="3681">
      <c r="A3681" s="10">
        <f>IFERROR(__xludf.DUMMYFUNCTION("""COMPUTED_VALUE"""),110241.0)</f>
        <v>110241</v>
      </c>
      <c r="B3681" s="11">
        <f>IFERROR(__xludf.DUMMYFUNCTION("""COMPUTED_VALUE"""),1.0)</f>
        <v>1</v>
      </c>
      <c r="C3681" s="11">
        <f>IFERROR(__xludf.DUMMYFUNCTION("""COMPUTED_VALUE"""),230.0)</f>
        <v>230</v>
      </c>
      <c r="D3681" s="11">
        <f>IFERROR(__xludf.DUMMYFUNCTION("""COMPUTED_VALUE"""),8.0)</f>
        <v>8</v>
      </c>
      <c r="E3681" s="9"/>
    </row>
    <row r="3682">
      <c r="A3682" s="10">
        <f>IFERROR(__xludf.DUMMYFUNCTION("""COMPUTED_VALUE"""),110337.0)</f>
        <v>110337</v>
      </c>
      <c r="B3682" s="11">
        <f>IFERROR(__xludf.DUMMYFUNCTION("""COMPUTED_VALUE"""),1.0)</f>
        <v>1</v>
      </c>
      <c r="C3682" s="11">
        <f>IFERROR(__xludf.DUMMYFUNCTION("""COMPUTED_VALUE"""),678.0)</f>
        <v>678</v>
      </c>
      <c r="D3682" s="11">
        <f>IFERROR(__xludf.DUMMYFUNCTION("""COMPUTED_VALUE"""),9.0)</f>
        <v>9</v>
      </c>
      <c r="E3682" s="9"/>
    </row>
    <row r="3683">
      <c r="A3683" s="10">
        <f>IFERROR(__xludf.DUMMYFUNCTION("""COMPUTED_VALUE"""),118243.0)</f>
        <v>118243</v>
      </c>
      <c r="B3683" s="11">
        <f>IFERROR(__xludf.DUMMYFUNCTION("""COMPUTED_VALUE"""),1.0)</f>
        <v>1</v>
      </c>
      <c r="C3683" s="11">
        <f>IFERROR(__xludf.DUMMYFUNCTION("""COMPUTED_VALUE"""),540.0)</f>
        <v>540</v>
      </c>
      <c r="D3683" s="11">
        <f>IFERROR(__xludf.DUMMYFUNCTION("""COMPUTED_VALUE"""),56.0)</f>
        <v>56</v>
      </c>
      <c r="E3683" s="9"/>
    </row>
    <row r="3684">
      <c r="A3684" s="10">
        <f>IFERROR(__xludf.DUMMYFUNCTION("""COMPUTED_VALUE"""),102305.0)</f>
        <v>102305</v>
      </c>
      <c r="B3684" s="11">
        <f>IFERROR(__xludf.DUMMYFUNCTION("""COMPUTED_VALUE"""),0.0)</f>
        <v>0</v>
      </c>
      <c r="C3684" s="11">
        <f>IFERROR(__xludf.DUMMYFUNCTION("""COMPUTED_VALUE"""),727.0)</f>
        <v>727</v>
      </c>
      <c r="D3684" s="11">
        <f>IFERROR(__xludf.DUMMYFUNCTION("""COMPUTED_VALUE"""),57.0)</f>
        <v>57</v>
      </c>
      <c r="E3684" s="9"/>
    </row>
    <row r="3685">
      <c r="A3685" s="10">
        <f>IFERROR(__xludf.DUMMYFUNCTION("""COMPUTED_VALUE"""),110342.0)</f>
        <v>110342</v>
      </c>
      <c r="B3685" s="11">
        <f>IFERROR(__xludf.DUMMYFUNCTION("""COMPUTED_VALUE"""),1.0)</f>
        <v>1</v>
      </c>
      <c r="C3685" s="11">
        <f>IFERROR(__xludf.DUMMYFUNCTION("""COMPUTED_VALUE"""),220.0)</f>
        <v>220</v>
      </c>
      <c r="D3685" s="11">
        <f>IFERROR(__xludf.DUMMYFUNCTION("""COMPUTED_VALUE"""),90.0)</f>
        <v>90</v>
      </c>
      <c r="E3685" s="9"/>
    </row>
    <row r="3686">
      <c r="A3686" s="10">
        <f>IFERROR(__xludf.DUMMYFUNCTION("""COMPUTED_VALUE"""),102306.0)</f>
        <v>102306</v>
      </c>
      <c r="B3686" s="11">
        <f>IFERROR(__xludf.DUMMYFUNCTION("""COMPUTED_VALUE"""),1.0)</f>
        <v>1</v>
      </c>
      <c r="C3686" s="11">
        <f>IFERROR(__xludf.DUMMYFUNCTION("""COMPUTED_VALUE"""),860.0)</f>
        <v>860</v>
      </c>
      <c r="D3686" s="11">
        <f>IFERROR(__xludf.DUMMYFUNCTION("""COMPUTED_VALUE"""),210.0)</f>
        <v>210</v>
      </c>
      <c r="E3686" s="9"/>
    </row>
    <row r="3687">
      <c r="A3687" s="10">
        <f>IFERROR(__xludf.DUMMYFUNCTION("""COMPUTED_VALUE"""),194045.0)</f>
        <v>194045</v>
      </c>
      <c r="B3687" s="11">
        <f>IFERROR(__xludf.DUMMYFUNCTION("""COMPUTED_VALUE"""),1.0)</f>
        <v>1</v>
      </c>
      <c r="C3687" s="11">
        <f>IFERROR(__xludf.DUMMYFUNCTION("""COMPUTED_VALUE"""),645.0)</f>
        <v>645</v>
      </c>
      <c r="D3687" s="11">
        <f>IFERROR(__xludf.DUMMYFUNCTION("""COMPUTED_VALUE"""),90.0)</f>
        <v>90</v>
      </c>
      <c r="E3687" s="9"/>
    </row>
    <row r="3688">
      <c r="A3688" s="10">
        <f>IFERROR(__xludf.DUMMYFUNCTION("""COMPUTED_VALUE"""),96009.0)</f>
        <v>96009</v>
      </c>
      <c r="B3688" s="11">
        <f>IFERROR(__xludf.DUMMYFUNCTION("""COMPUTED_VALUE"""),0.0)</f>
        <v>0</v>
      </c>
      <c r="C3688" s="11">
        <f>IFERROR(__xludf.DUMMYFUNCTION("""COMPUTED_VALUE"""),269.0)</f>
        <v>269</v>
      </c>
      <c r="D3688" s="11">
        <f>IFERROR(__xludf.DUMMYFUNCTION("""COMPUTED_VALUE"""),185.0)</f>
        <v>185</v>
      </c>
      <c r="E3688" s="9"/>
    </row>
    <row r="3689">
      <c r="A3689" s="10">
        <f>IFERROR(__xludf.DUMMYFUNCTION("""COMPUTED_VALUE"""),104087.0)</f>
        <v>104087</v>
      </c>
      <c r="B3689" s="11">
        <f>IFERROR(__xludf.DUMMYFUNCTION("""COMPUTED_VALUE"""),0.0)</f>
        <v>0</v>
      </c>
      <c r="C3689" s="11">
        <f>IFERROR(__xludf.DUMMYFUNCTION("""COMPUTED_VALUE"""),525.0)</f>
        <v>525</v>
      </c>
      <c r="D3689" s="11">
        <f>IFERROR(__xludf.DUMMYFUNCTION("""COMPUTED_VALUE"""),315.0)</f>
        <v>315</v>
      </c>
      <c r="E3689" s="9"/>
    </row>
    <row r="3690">
      <c r="A3690" s="10">
        <f>IFERROR(__xludf.DUMMYFUNCTION("""COMPUTED_VALUE"""),77448.0)</f>
        <v>77448</v>
      </c>
      <c r="B3690" s="11">
        <f>IFERROR(__xludf.DUMMYFUNCTION("""COMPUTED_VALUE"""),1.0)</f>
        <v>1</v>
      </c>
      <c r="C3690" s="11">
        <f>IFERROR(__xludf.DUMMYFUNCTION("""COMPUTED_VALUE"""),905.0)</f>
        <v>905</v>
      </c>
      <c r="D3690" s="11">
        <f>IFERROR(__xludf.DUMMYFUNCTION("""COMPUTED_VALUE"""),230.0)</f>
        <v>230</v>
      </c>
      <c r="E3690" s="9"/>
    </row>
    <row r="3691">
      <c r="A3691" s="10">
        <f>IFERROR(__xludf.DUMMYFUNCTION("""COMPUTED_VALUE"""),5801.0)</f>
        <v>5801</v>
      </c>
      <c r="B3691" s="11">
        <f>IFERROR(__xludf.DUMMYFUNCTION("""COMPUTED_VALUE"""),0.0)</f>
        <v>0</v>
      </c>
      <c r="C3691" s="11">
        <f>IFERROR(__xludf.DUMMYFUNCTION("""COMPUTED_VALUE"""),925.0)</f>
        <v>925</v>
      </c>
      <c r="D3691" s="11">
        <f>IFERROR(__xludf.DUMMYFUNCTION("""COMPUTED_VALUE"""),588.0)</f>
        <v>588</v>
      </c>
      <c r="E3691" s="9"/>
    </row>
    <row r="3692">
      <c r="A3692" s="10">
        <f>IFERROR(__xludf.DUMMYFUNCTION("""COMPUTED_VALUE"""),90650.0)</f>
        <v>90650</v>
      </c>
      <c r="B3692" s="11">
        <f>IFERROR(__xludf.DUMMYFUNCTION("""COMPUTED_VALUE"""),0.0)</f>
        <v>0</v>
      </c>
      <c r="C3692" s="11">
        <f>IFERROR(__xludf.DUMMYFUNCTION("""COMPUTED_VALUE"""),551.0)</f>
        <v>551</v>
      </c>
      <c r="D3692" s="11">
        <f>IFERROR(__xludf.DUMMYFUNCTION("""COMPUTED_VALUE"""),419.0)</f>
        <v>419</v>
      </c>
      <c r="E3692" s="9"/>
    </row>
    <row r="3693">
      <c r="A3693" s="10">
        <f>IFERROR(__xludf.DUMMYFUNCTION("""COMPUTED_VALUE"""),6395.0)</f>
        <v>6395</v>
      </c>
      <c r="B3693" s="11">
        <f>IFERROR(__xludf.DUMMYFUNCTION("""COMPUTED_VALUE"""),1.0)</f>
        <v>1</v>
      </c>
      <c r="C3693" s="11">
        <f>IFERROR(__xludf.DUMMYFUNCTION("""COMPUTED_VALUE"""),698.0)</f>
        <v>698</v>
      </c>
      <c r="D3693" s="11">
        <f>IFERROR(__xludf.DUMMYFUNCTION("""COMPUTED_VALUE"""),18.0)</f>
        <v>18</v>
      </c>
      <c r="E3693" s="9"/>
    </row>
    <row r="3694">
      <c r="A3694" s="10">
        <f>IFERROR(__xludf.DUMMYFUNCTION("""COMPUTED_VALUE"""),77444.0)</f>
        <v>77444</v>
      </c>
      <c r="B3694" s="11">
        <f>IFERROR(__xludf.DUMMYFUNCTION("""COMPUTED_VALUE"""),1.0)</f>
        <v>1</v>
      </c>
      <c r="C3694" s="11">
        <f>IFERROR(__xludf.DUMMYFUNCTION("""COMPUTED_VALUE"""),943.0)</f>
        <v>943</v>
      </c>
      <c r="D3694" s="11">
        <f>IFERROR(__xludf.DUMMYFUNCTION("""COMPUTED_VALUE"""),920.0)</f>
        <v>920</v>
      </c>
      <c r="E3694" s="9"/>
    </row>
    <row r="3695">
      <c r="A3695" s="10">
        <f>IFERROR(__xludf.DUMMYFUNCTION("""COMPUTED_VALUE"""),20389.0)</f>
        <v>20389</v>
      </c>
      <c r="B3695" s="11">
        <f>IFERROR(__xludf.DUMMYFUNCTION("""COMPUTED_VALUE"""),0.0)</f>
        <v>0</v>
      </c>
      <c r="C3695" s="11">
        <f>IFERROR(__xludf.DUMMYFUNCTION("""COMPUTED_VALUE"""),144.0)</f>
        <v>144</v>
      </c>
      <c r="D3695" s="11">
        <f>IFERROR(__xludf.DUMMYFUNCTION("""COMPUTED_VALUE"""),77.0)</f>
        <v>77</v>
      </c>
      <c r="E3695" s="9"/>
    </row>
    <row r="3696">
      <c r="A3696" s="10">
        <f>IFERROR(__xludf.DUMMYFUNCTION("""COMPUTED_VALUE"""),68293.0)</f>
        <v>68293</v>
      </c>
      <c r="B3696" s="11">
        <f>IFERROR(__xludf.DUMMYFUNCTION("""COMPUTED_VALUE"""),0.0)</f>
        <v>0</v>
      </c>
      <c r="C3696" s="11">
        <f>IFERROR(__xludf.DUMMYFUNCTION("""COMPUTED_VALUE"""),584.0)</f>
        <v>584</v>
      </c>
      <c r="D3696" s="11">
        <f>IFERROR(__xludf.DUMMYFUNCTION("""COMPUTED_VALUE"""),538.0)</f>
        <v>538</v>
      </c>
      <c r="E3696" s="9"/>
    </row>
    <row r="3697">
      <c r="A3697" s="10">
        <f>IFERROR(__xludf.DUMMYFUNCTION("""COMPUTED_VALUE"""),90982.0)</f>
        <v>90982</v>
      </c>
      <c r="B3697" s="11">
        <f>IFERROR(__xludf.DUMMYFUNCTION("""COMPUTED_VALUE"""),1.0)</f>
        <v>1</v>
      </c>
      <c r="C3697" s="11">
        <f>IFERROR(__xludf.DUMMYFUNCTION("""COMPUTED_VALUE"""),578.0)</f>
        <v>578</v>
      </c>
      <c r="D3697" s="11">
        <f>IFERROR(__xludf.DUMMYFUNCTION("""COMPUTED_VALUE"""),398.0)</f>
        <v>398</v>
      </c>
      <c r="E3697" s="9"/>
    </row>
    <row r="3698">
      <c r="A3698" s="10">
        <f>IFERROR(__xludf.DUMMYFUNCTION("""COMPUTED_VALUE"""),48279.0)</f>
        <v>48279</v>
      </c>
      <c r="B3698" s="11">
        <f>IFERROR(__xludf.DUMMYFUNCTION("""COMPUTED_VALUE"""),1.0)</f>
        <v>1</v>
      </c>
      <c r="C3698" s="11">
        <f>IFERROR(__xludf.DUMMYFUNCTION("""COMPUTED_VALUE"""),743.0)</f>
        <v>743</v>
      </c>
      <c r="D3698" s="11">
        <f>IFERROR(__xludf.DUMMYFUNCTION("""COMPUTED_VALUE"""),556.0)</f>
        <v>556</v>
      </c>
      <c r="E3698" s="9"/>
    </row>
    <row r="3699">
      <c r="A3699" s="10">
        <f>IFERROR(__xludf.DUMMYFUNCTION("""COMPUTED_VALUE"""),77447.0)</f>
        <v>77447</v>
      </c>
      <c r="B3699" s="11">
        <f>IFERROR(__xludf.DUMMYFUNCTION("""COMPUTED_VALUE"""),1.0)</f>
        <v>1</v>
      </c>
      <c r="C3699" s="11">
        <f>IFERROR(__xludf.DUMMYFUNCTION("""COMPUTED_VALUE"""),922.0)</f>
        <v>922</v>
      </c>
      <c r="D3699" s="11">
        <f>IFERROR(__xludf.DUMMYFUNCTION("""COMPUTED_VALUE"""),583.0)</f>
        <v>583</v>
      </c>
      <c r="E3699" s="9"/>
    </row>
    <row r="3700">
      <c r="A3700" s="10">
        <f>IFERROR(__xludf.DUMMYFUNCTION("""COMPUTED_VALUE"""),5710.0)</f>
        <v>5710</v>
      </c>
      <c r="B3700" s="11">
        <f>IFERROR(__xludf.DUMMYFUNCTION("""COMPUTED_VALUE"""),1.0)</f>
        <v>1</v>
      </c>
      <c r="C3700" s="11">
        <f>IFERROR(__xludf.DUMMYFUNCTION("""COMPUTED_VALUE"""),477.0)</f>
        <v>477</v>
      </c>
      <c r="D3700" s="11">
        <f>IFERROR(__xludf.DUMMYFUNCTION("""COMPUTED_VALUE"""),122.0)</f>
        <v>122</v>
      </c>
      <c r="E3700" s="9"/>
    </row>
    <row r="3701">
      <c r="A3701" s="10">
        <f>IFERROR(__xludf.DUMMYFUNCTION("""COMPUTED_VALUE"""),90906.0)</f>
        <v>90906</v>
      </c>
      <c r="B3701" s="11">
        <f>IFERROR(__xludf.DUMMYFUNCTION("""COMPUTED_VALUE"""),0.0)</f>
        <v>0</v>
      </c>
      <c r="C3701" s="11">
        <f>IFERROR(__xludf.DUMMYFUNCTION("""COMPUTED_VALUE"""),272.0)</f>
        <v>272</v>
      </c>
      <c r="D3701" s="11">
        <f>IFERROR(__xludf.DUMMYFUNCTION("""COMPUTED_VALUE"""),88.0)</f>
        <v>88</v>
      </c>
      <c r="E3701" s="9"/>
    </row>
    <row r="3702">
      <c r="A3702" s="10">
        <f>IFERROR(__xludf.DUMMYFUNCTION("""COMPUTED_VALUE"""),90883.0)</f>
        <v>90883</v>
      </c>
      <c r="B3702" s="11">
        <f>IFERROR(__xludf.DUMMYFUNCTION("""COMPUTED_VALUE"""),1.0)</f>
        <v>1</v>
      </c>
      <c r="C3702" s="11">
        <f>IFERROR(__xludf.DUMMYFUNCTION("""COMPUTED_VALUE"""),506.0)</f>
        <v>506</v>
      </c>
      <c r="D3702" s="11">
        <f>IFERROR(__xludf.DUMMYFUNCTION("""COMPUTED_VALUE"""),322.0)</f>
        <v>322</v>
      </c>
      <c r="E3702" s="9"/>
    </row>
    <row r="3703">
      <c r="A3703" s="10">
        <f>IFERROR(__xludf.DUMMYFUNCTION("""COMPUTED_VALUE"""),113093.0)</f>
        <v>113093</v>
      </c>
      <c r="B3703" s="11">
        <f>IFERROR(__xludf.DUMMYFUNCTION("""COMPUTED_VALUE"""),0.0)</f>
        <v>0</v>
      </c>
      <c r="C3703" s="11">
        <f>IFERROR(__xludf.DUMMYFUNCTION("""COMPUTED_VALUE"""),96.0)</f>
        <v>96</v>
      </c>
      <c r="D3703" s="11">
        <f>IFERROR(__xludf.DUMMYFUNCTION("""COMPUTED_VALUE"""),79.0)</f>
        <v>79</v>
      </c>
      <c r="E3703" s="9"/>
    </row>
    <row r="3704">
      <c r="A3704" s="10">
        <f>IFERROR(__xludf.DUMMYFUNCTION("""COMPUTED_VALUE"""),73926.0)</f>
        <v>73926</v>
      </c>
      <c r="B3704" s="11">
        <f>IFERROR(__xludf.DUMMYFUNCTION("""COMPUTED_VALUE"""),0.0)</f>
        <v>0</v>
      </c>
      <c r="C3704" s="11">
        <f>IFERROR(__xludf.DUMMYFUNCTION("""COMPUTED_VALUE"""),119.0)</f>
        <v>119</v>
      </c>
      <c r="D3704" s="11">
        <f>IFERROR(__xludf.DUMMYFUNCTION("""COMPUTED_VALUE"""),96.0)</f>
        <v>96</v>
      </c>
      <c r="E3704" s="9"/>
    </row>
    <row r="3705">
      <c r="A3705" s="10">
        <f>IFERROR(__xludf.DUMMYFUNCTION("""COMPUTED_VALUE"""),110083.0)</f>
        <v>110083</v>
      </c>
      <c r="B3705" s="11">
        <f>IFERROR(__xludf.DUMMYFUNCTION("""COMPUTED_VALUE"""),0.0)</f>
        <v>0</v>
      </c>
      <c r="C3705" s="11">
        <f>IFERROR(__xludf.DUMMYFUNCTION("""COMPUTED_VALUE"""),795.0)</f>
        <v>795</v>
      </c>
      <c r="D3705" s="11">
        <f>IFERROR(__xludf.DUMMYFUNCTION("""COMPUTED_VALUE"""),428.0)</f>
        <v>428</v>
      </c>
      <c r="E3705" s="9"/>
    </row>
    <row r="3706">
      <c r="A3706" s="10">
        <f>IFERROR(__xludf.DUMMYFUNCTION("""COMPUTED_VALUE"""),76313.0)</f>
        <v>76313</v>
      </c>
      <c r="B3706" s="11">
        <f>IFERROR(__xludf.DUMMYFUNCTION("""COMPUTED_VALUE"""),0.0)</f>
        <v>0</v>
      </c>
      <c r="C3706" s="11">
        <f>IFERROR(__xludf.DUMMYFUNCTION("""COMPUTED_VALUE"""),803.0)</f>
        <v>803</v>
      </c>
      <c r="D3706" s="11">
        <f>IFERROR(__xludf.DUMMYFUNCTION("""COMPUTED_VALUE"""),158.0)</f>
        <v>158</v>
      </c>
      <c r="E3706" s="9"/>
    </row>
    <row r="3707">
      <c r="A3707" s="10">
        <f>IFERROR(__xludf.DUMMYFUNCTION("""COMPUTED_VALUE"""),68404.0)</f>
        <v>68404</v>
      </c>
      <c r="B3707" s="11">
        <f>IFERROR(__xludf.DUMMYFUNCTION("""COMPUTED_VALUE"""),1.0)</f>
        <v>1</v>
      </c>
      <c r="C3707" s="11">
        <f>IFERROR(__xludf.DUMMYFUNCTION("""COMPUTED_VALUE"""),903.0)</f>
        <v>903</v>
      </c>
      <c r="D3707" s="11">
        <f>IFERROR(__xludf.DUMMYFUNCTION("""COMPUTED_VALUE"""),537.0)</f>
        <v>537</v>
      </c>
      <c r="E3707" s="9"/>
    </row>
    <row r="3708">
      <c r="A3708" s="10">
        <f>IFERROR(__xludf.DUMMYFUNCTION("""COMPUTED_VALUE"""),68322.0)</f>
        <v>68322</v>
      </c>
      <c r="B3708" s="11">
        <f>IFERROR(__xludf.DUMMYFUNCTION("""COMPUTED_VALUE"""),1.0)</f>
        <v>1</v>
      </c>
      <c r="C3708" s="11">
        <f>IFERROR(__xludf.DUMMYFUNCTION("""COMPUTED_VALUE"""),43.0)</f>
        <v>43</v>
      </c>
      <c r="D3708" s="11">
        <f>IFERROR(__xludf.DUMMYFUNCTION("""COMPUTED_VALUE"""),17.0)</f>
        <v>17</v>
      </c>
      <c r="E3708" s="9"/>
    </row>
    <row r="3709">
      <c r="A3709" s="10">
        <f>IFERROR(__xludf.DUMMYFUNCTION("""COMPUTED_VALUE"""),73947.0)</f>
        <v>73947</v>
      </c>
      <c r="B3709" s="11">
        <f>IFERROR(__xludf.DUMMYFUNCTION("""COMPUTED_VALUE"""),0.0)</f>
        <v>0</v>
      </c>
      <c r="C3709" s="11">
        <f>IFERROR(__xludf.DUMMYFUNCTION("""COMPUTED_VALUE"""),580.0)</f>
        <v>580</v>
      </c>
      <c r="D3709" s="11">
        <f>IFERROR(__xludf.DUMMYFUNCTION("""COMPUTED_VALUE"""),421.0)</f>
        <v>421</v>
      </c>
      <c r="E3709" s="9"/>
    </row>
    <row r="3710">
      <c r="A3710" s="10">
        <f>IFERROR(__xludf.DUMMYFUNCTION("""COMPUTED_VALUE"""),29116.0)</f>
        <v>29116</v>
      </c>
      <c r="B3710" s="11">
        <f>IFERROR(__xludf.DUMMYFUNCTION("""COMPUTED_VALUE"""),1.0)</f>
        <v>1</v>
      </c>
      <c r="C3710" s="11">
        <f>IFERROR(__xludf.DUMMYFUNCTION("""COMPUTED_VALUE"""),408.0)</f>
        <v>408</v>
      </c>
      <c r="D3710" s="11">
        <f>IFERROR(__xludf.DUMMYFUNCTION("""COMPUTED_VALUE"""),3.0)</f>
        <v>3</v>
      </c>
      <c r="E3710" s="9"/>
    </row>
    <row r="3711">
      <c r="A3711" s="10">
        <f>IFERROR(__xludf.DUMMYFUNCTION("""COMPUTED_VALUE"""),90846.0)</f>
        <v>90846</v>
      </c>
      <c r="B3711" s="11">
        <f>IFERROR(__xludf.DUMMYFUNCTION("""COMPUTED_VALUE"""),0.0)</f>
        <v>0</v>
      </c>
      <c r="C3711" s="11">
        <f>IFERROR(__xludf.DUMMYFUNCTION("""COMPUTED_VALUE"""),765.0)</f>
        <v>765</v>
      </c>
      <c r="D3711" s="11">
        <f>IFERROR(__xludf.DUMMYFUNCTION("""COMPUTED_VALUE"""),637.0)</f>
        <v>637</v>
      </c>
      <c r="E3711" s="9"/>
    </row>
    <row r="3712">
      <c r="A3712" s="10">
        <f>IFERROR(__xludf.DUMMYFUNCTION("""COMPUTED_VALUE"""),110084.0)</f>
        <v>110084</v>
      </c>
      <c r="B3712" s="11">
        <f>IFERROR(__xludf.DUMMYFUNCTION("""COMPUTED_VALUE"""),0.0)</f>
        <v>0</v>
      </c>
      <c r="C3712" s="11">
        <f>IFERROR(__xludf.DUMMYFUNCTION("""COMPUTED_VALUE"""),655.0)</f>
        <v>655</v>
      </c>
      <c r="D3712" s="11">
        <f>IFERROR(__xludf.DUMMYFUNCTION("""COMPUTED_VALUE"""),17.0)</f>
        <v>17</v>
      </c>
      <c r="E3712" s="9"/>
    </row>
    <row r="3713">
      <c r="A3713" s="10">
        <f>IFERROR(__xludf.DUMMYFUNCTION("""COMPUTED_VALUE"""),73925.0)</f>
        <v>73925</v>
      </c>
      <c r="B3713" s="11">
        <f>IFERROR(__xludf.DUMMYFUNCTION("""COMPUTED_VALUE"""),1.0)</f>
        <v>1</v>
      </c>
      <c r="C3713" s="11">
        <f>IFERROR(__xludf.DUMMYFUNCTION("""COMPUTED_VALUE"""),210.0)</f>
        <v>210</v>
      </c>
      <c r="D3713" s="11">
        <f>IFERROR(__xludf.DUMMYFUNCTION("""COMPUTED_VALUE"""),122.0)</f>
        <v>122</v>
      </c>
      <c r="E3713" s="9"/>
    </row>
    <row r="3714">
      <c r="A3714" s="10">
        <f>IFERROR(__xludf.DUMMYFUNCTION("""COMPUTED_VALUE"""),68296.0)</f>
        <v>68296</v>
      </c>
      <c r="B3714" s="11">
        <f>IFERROR(__xludf.DUMMYFUNCTION("""COMPUTED_VALUE"""),0.0)</f>
        <v>0</v>
      </c>
      <c r="C3714" s="11">
        <f>IFERROR(__xludf.DUMMYFUNCTION("""COMPUTED_VALUE"""),861.0)</f>
        <v>861</v>
      </c>
      <c r="D3714" s="11">
        <f>IFERROR(__xludf.DUMMYFUNCTION("""COMPUTED_VALUE"""),519.0)</f>
        <v>519</v>
      </c>
      <c r="E3714" s="9"/>
    </row>
    <row r="3715">
      <c r="A3715" s="10">
        <f>IFERROR(__xludf.DUMMYFUNCTION("""COMPUTED_VALUE"""),90873.0)</f>
        <v>90873</v>
      </c>
      <c r="B3715" s="11">
        <f>IFERROR(__xludf.DUMMYFUNCTION("""COMPUTED_VALUE"""),0.0)</f>
        <v>0</v>
      </c>
      <c r="C3715" s="11">
        <f>IFERROR(__xludf.DUMMYFUNCTION("""COMPUTED_VALUE"""),650.0)</f>
        <v>650</v>
      </c>
      <c r="D3715" s="11">
        <f>IFERROR(__xludf.DUMMYFUNCTION("""COMPUTED_VALUE"""),76.0)</f>
        <v>76</v>
      </c>
      <c r="E3715" s="9"/>
    </row>
    <row r="3716">
      <c r="A3716" s="10">
        <f>IFERROR(__xludf.DUMMYFUNCTION("""COMPUTED_VALUE"""),90874.0)</f>
        <v>90874</v>
      </c>
      <c r="B3716" s="11">
        <f>IFERROR(__xludf.DUMMYFUNCTION("""COMPUTED_VALUE"""),0.0)</f>
        <v>0</v>
      </c>
      <c r="C3716" s="11">
        <f>IFERROR(__xludf.DUMMYFUNCTION("""COMPUTED_VALUE"""),921.0)</f>
        <v>921</v>
      </c>
      <c r="D3716" s="11">
        <f>IFERROR(__xludf.DUMMYFUNCTION("""COMPUTED_VALUE"""),253.0)</f>
        <v>253</v>
      </c>
      <c r="E3716" s="9"/>
    </row>
    <row r="3717">
      <c r="A3717" s="10">
        <f>IFERROR(__xludf.DUMMYFUNCTION("""COMPUTED_VALUE"""),90842.0)</f>
        <v>90842</v>
      </c>
      <c r="B3717" s="11">
        <f>IFERROR(__xludf.DUMMYFUNCTION("""COMPUTED_VALUE"""),0.0)</f>
        <v>0</v>
      </c>
      <c r="C3717" s="11">
        <f>IFERROR(__xludf.DUMMYFUNCTION("""COMPUTED_VALUE"""),48.0)</f>
        <v>48</v>
      </c>
      <c r="D3717" s="11">
        <f>IFERROR(__xludf.DUMMYFUNCTION("""COMPUTED_VALUE"""),40.0)</f>
        <v>40</v>
      </c>
      <c r="E3717" s="9"/>
    </row>
    <row r="3718">
      <c r="A3718" s="10">
        <f>IFERROR(__xludf.DUMMYFUNCTION("""COMPUTED_VALUE"""),5709.0)</f>
        <v>5709</v>
      </c>
      <c r="B3718" s="11">
        <f>IFERROR(__xludf.DUMMYFUNCTION("""COMPUTED_VALUE"""),0.0)</f>
        <v>0</v>
      </c>
      <c r="C3718" s="11">
        <f>IFERROR(__xludf.DUMMYFUNCTION("""COMPUTED_VALUE"""),105.0)</f>
        <v>105</v>
      </c>
      <c r="D3718" s="11">
        <f>IFERROR(__xludf.DUMMYFUNCTION("""COMPUTED_VALUE"""),16.0)</f>
        <v>16</v>
      </c>
      <c r="E3718" s="9"/>
    </row>
    <row r="3719">
      <c r="A3719" s="10">
        <f>IFERROR(__xludf.DUMMYFUNCTION("""COMPUTED_VALUE"""),76341.0)</f>
        <v>76341</v>
      </c>
      <c r="B3719" s="11">
        <f>IFERROR(__xludf.DUMMYFUNCTION("""COMPUTED_VALUE"""),0.0)</f>
        <v>0</v>
      </c>
      <c r="C3719" s="11">
        <f>IFERROR(__xludf.DUMMYFUNCTION("""COMPUTED_VALUE"""),468.0)</f>
        <v>468</v>
      </c>
      <c r="D3719" s="11">
        <f>IFERROR(__xludf.DUMMYFUNCTION("""COMPUTED_VALUE"""),251.0)</f>
        <v>251</v>
      </c>
      <c r="E3719" s="9"/>
    </row>
    <row r="3720">
      <c r="A3720" s="10">
        <f>IFERROR(__xludf.DUMMYFUNCTION("""COMPUTED_VALUE"""),113094.0)</f>
        <v>113094</v>
      </c>
      <c r="B3720" s="11">
        <f>IFERROR(__xludf.DUMMYFUNCTION("""COMPUTED_VALUE"""),0.0)</f>
        <v>0</v>
      </c>
      <c r="C3720" s="11">
        <f>IFERROR(__xludf.DUMMYFUNCTION("""COMPUTED_VALUE"""),703.0)</f>
        <v>703</v>
      </c>
      <c r="D3720" s="11">
        <f>IFERROR(__xludf.DUMMYFUNCTION("""COMPUTED_VALUE"""),261.0)</f>
        <v>261</v>
      </c>
      <c r="E3720" s="9"/>
    </row>
    <row r="3721">
      <c r="A3721" s="10">
        <f>IFERROR(__xludf.DUMMYFUNCTION("""COMPUTED_VALUE"""),76301.0)</f>
        <v>76301</v>
      </c>
      <c r="B3721" s="11">
        <f>IFERROR(__xludf.DUMMYFUNCTION("""COMPUTED_VALUE"""),0.0)</f>
        <v>0</v>
      </c>
      <c r="C3721" s="11">
        <f>IFERROR(__xludf.DUMMYFUNCTION("""COMPUTED_VALUE"""),215.0)</f>
        <v>215</v>
      </c>
      <c r="D3721" s="11">
        <f>IFERROR(__xludf.DUMMYFUNCTION("""COMPUTED_VALUE"""),127.0)</f>
        <v>127</v>
      </c>
      <c r="E3721" s="9"/>
    </row>
    <row r="3722">
      <c r="A3722" s="10">
        <f>IFERROR(__xludf.DUMMYFUNCTION("""COMPUTED_VALUE"""),90844.0)</f>
        <v>90844</v>
      </c>
      <c r="B3722" s="11">
        <f>IFERROR(__xludf.DUMMYFUNCTION("""COMPUTED_VALUE"""),1.0)</f>
        <v>1</v>
      </c>
      <c r="C3722" s="11">
        <f>IFERROR(__xludf.DUMMYFUNCTION("""COMPUTED_VALUE"""),318.0)</f>
        <v>318</v>
      </c>
      <c r="D3722" s="11">
        <f>IFERROR(__xludf.DUMMYFUNCTION("""COMPUTED_VALUE"""),312.0)</f>
        <v>312</v>
      </c>
      <c r="E3722" s="9"/>
    </row>
    <row r="3723">
      <c r="A3723" s="10">
        <f>IFERROR(__xludf.DUMMYFUNCTION("""COMPUTED_VALUE"""),90848.0)</f>
        <v>90848</v>
      </c>
      <c r="B3723" s="11">
        <f>IFERROR(__xludf.DUMMYFUNCTION("""COMPUTED_VALUE"""),0.0)</f>
        <v>0</v>
      </c>
      <c r="C3723" s="11">
        <f>IFERROR(__xludf.DUMMYFUNCTION("""COMPUTED_VALUE"""),722.0)</f>
        <v>722</v>
      </c>
      <c r="D3723" s="11">
        <f>IFERROR(__xludf.DUMMYFUNCTION("""COMPUTED_VALUE"""),81.0)</f>
        <v>81</v>
      </c>
      <c r="E3723" s="9"/>
    </row>
    <row r="3724">
      <c r="A3724" s="10">
        <f>IFERROR(__xludf.DUMMYFUNCTION("""COMPUTED_VALUE"""),76318.0)</f>
        <v>76318</v>
      </c>
      <c r="B3724" s="11">
        <f>IFERROR(__xludf.DUMMYFUNCTION("""COMPUTED_VALUE"""),0.0)</f>
        <v>0</v>
      </c>
      <c r="C3724" s="11">
        <f>IFERROR(__xludf.DUMMYFUNCTION("""COMPUTED_VALUE"""),483.0)</f>
        <v>483</v>
      </c>
      <c r="D3724" s="11">
        <f>IFERROR(__xludf.DUMMYFUNCTION("""COMPUTED_VALUE"""),136.0)</f>
        <v>136</v>
      </c>
      <c r="E3724" s="9"/>
    </row>
    <row r="3725">
      <c r="A3725" s="10">
        <f>IFERROR(__xludf.DUMMYFUNCTION("""COMPUTED_VALUE"""),118885.0)</f>
        <v>118885</v>
      </c>
      <c r="B3725" s="11">
        <f>IFERROR(__xludf.DUMMYFUNCTION("""COMPUTED_VALUE"""),1.0)</f>
        <v>1</v>
      </c>
      <c r="C3725" s="11">
        <f>IFERROR(__xludf.DUMMYFUNCTION("""COMPUTED_VALUE"""),274.0)</f>
        <v>274</v>
      </c>
      <c r="D3725" s="11">
        <f>IFERROR(__xludf.DUMMYFUNCTION("""COMPUTED_VALUE"""),103.0)</f>
        <v>103</v>
      </c>
      <c r="E3725" s="9"/>
    </row>
    <row r="3726">
      <c r="A3726" s="10">
        <f>IFERROR(__xludf.DUMMYFUNCTION("""COMPUTED_VALUE"""),76349.0)</f>
        <v>76349</v>
      </c>
      <c r="B3726" s="11">
        <f>IFERROR(__xludf.DUMMYFUNCTION("""COMPUTED_VALUE"""),1.0)</f>
        <v>1</v>
      </c>
      <c r="C3726" s="11">
        <f>IFERROR(__xludf.DUMMYFUNCTION("""COMPUTED_VALUE"""),398.0)</f>
        <v>398</v>
      </c>
      <c r="D3726" s="11">
        <f>IFERROR(__xludf.DUMMYFUNCTION("""COMPUTED_VALUE"""),343.0)</f>
        <v>343</v>
      </c>
      <c r="E3726" s="9"/>
    </row>
    <row r="3727">
      <c r="A3727" s="10">
        <f>IFERROR(__xludf.DUMMYFUNCTION("""COMPUTED_VALUE"""),30878.0)</f>
        <v>30878</v>
      </c>
      <c r="B3727" s="11">
        <f>IFERROR(__xludf.DUMMYFUNCTION("""COMPUTED_VALUE"""),1.0)</f>
        <v>1</v>
      </c>
      <c r="C3727" s="11">
        <f>IFERROR(__xludf.DUMMYFUNCTION("""COMPUTED_VALUE"""),895.0)</f>
        <v>895</v>
      </c>
      <c r="D3727" s="11">
        <f>IFERROR(__xludf.DUMMYFUNCTION("""COMPUTED_VALUE"""),210.0)</f>
        <v>210</v>
      </c>
      <c r="E3727" s="9"/>
    </row>
    <row r="3728">
      <c r="A3728" s="10">
        <f>IFERROR(__xludf.DUMMYFUNCTION("""COMPUTED_VALUE"""),104176.0)</f>
        <v>104176</v>
      </c>
      <c r="B3728" s="11">
        <f>IFERROR(__xludf.DUMMYFUNCTION("""COMPUTED_VALUE"""),0.0)</f>
        <v>0</v>
      </c>
      <c r="C3728" s="11">
        <f>IFERROR(__xludf.DUMMYFUNCTION("""COMPUTED_VALUE"""),509.0)</f>
        <v>509</v>
      </c>
      <c r="D3728" s="11">
        <f>IFERROR(__xludf.DUMMYFUNCTION("""COMPUTED_VALUE"""),237.0)</f>
        <v>237</v>
      </c>
      <c r="E3728" s="9"/>
    </row>
    <row r="3729">
      <c r="A3729" s="10">
        <f>IFERROR(__xludf.DUMMYFUNCTION("""COMPUTED_VALUE"""),78516.0)</f>
        <v>78516</v>
      </c>
      <c r="B3729" s="11">
        <f>IFERROR(__xludf.DUMMYFUNCTION("""COMPUTED_VALUE"""),1.0)</f>
        <v>1</v>
      </c>
      <c r="C3729" s="11">
        <f>IFERROR(__xludf.DUMMYFUNCTION("""COMPUTED_VALUE"""),877.0)</f>
        <v>877</v>
      </c>
      <c r="D3729" s="11">
        <f>IFERROR(__xludf.DUMMYFUNCTION("""COMPUTED_VALUE"""),359.0)</f>
        <v>359</v>
      </c>
      <c r="E3729" s="9"/>
    </row>
    <row r="3730">
      <c r="A3730" s="10">
        <f>IFERROR(__xludf.DUMMYFUNCTION("""COMPUTED_VALUE"""),118884.0)</f>
        <v>118884</v>
      </c>
      <c r="B3730" s="11">
        <f>IFERROR(__xludf.DUMMYFUNCTION("""COMPUTED_VALUE"""),0.0)</f>
        <v>0</v>
      </c>
      <c r="C3730" s="11">
        <f>IFERROR(__xludf.DUMMYFUNCTION("""COMPUTED_VALUE"""),403.0)</f>
        <v>403</v>
      </c>
      <c r="D3730" s="11">
        <f>IFERROR(__xludf.DUMMYFUNCTION("""COMPUTED_VALUE"""),83.0)</f>
        <v>83</v>
      </c>
      <c r="E3730" s="9"/>
    </row>
    <row r="3731">
      <c r="A3731" s="10">
        <f>IFERROR(__xludf.DUMMYFUNCTION("""COMPUTED_VALUE"""),119239.0)</f>
        <v>119239</v>
      </c>
      <c r="B3731" s="11">
        <f>IFERROR(__xludf.DUMMYFUNCTION("""COMPUTED_VALUE"""),1.0)</f>
        <v>1</v>
      </c>
      <c r="C3731" s="11">
        <f>IFERROR(__xludf.DUMMYFUNCTION("""COMPUTED_VALUE"""),433.0)</f>
        <v>433</v>
      </c>
      <c r="D3731" s="11">
        <f>IFERROR(__xludf.DUMMYFUNCTION("""COMPUTED_VALUE"""),308.0)</f>
        <v>308</v>
      </c>
      <c r="E3731" s="9"/>
    </row>
    <row r="3732">
      <c r="A3732" s="10">
        <f>IFERROR(__xludf.DUMMYFUNCTION("""COMPUTED_VALUE"""),30875.0)</f>
        <v>30875</v>
      </c>
      <c r="B3732" s="11">
        <f>IFERROR(__xludf.DUMMYFUNCTION("""COMPUTED_VALUE"""),1.0)</f>
        <v>1</v>
      </c>
      <c r="C3732" s="11">
        <f>IFERROR(__xludf.DUMMYFUNCTION("""COMPUTED_VALUE"""),86.0)</f>
        <v>86</v>
      </c>
      <c r="D3732" s="11">
        <f>IFERROR(__xludf.DUMMYFUNCTION("""COMPUTED_VALUE"""),5.0)</f>
        <v>5</v>
      </c>
      <c r="E3732" s="9"/>
    </row>
    <row r="3733">
      <c r="A3733" s="10">
        <f>IFERROR(__xludf.DUMMYFUNCTION("""COMPUTED_VALUE"""),73946.0)</f>
        <v>73946</v>
      </c>
      <c r="B3733" s="11">
        <f>IFERROR(__xludf.DUMMYFUNCTION("""COMPUTED_VALUE"""),1.0)</f>
        <v>1</v>
      </c>
      <c r="C3733" s="11">
        <f>IFERROR(__xludf.DUMMYFUNCTION("""COMPUTED_VALUE"""),333.0)</f>
        <v>333</v>
      </c>
      <c r="D3733" s="11">
        <f>IFERROR(__xludf.DUMMYFUNCTION("""COMPUTED_VALUE"""),102.0)</f>
        <v>102</v>
      </c>
      <c r="E3733" s="9"/>
    </row>
    <row r="3734">
      <c r="A3734" s="10">
        <f>IFERROR(__xludf.DUMMYFUNCTION("""COMPUTED_VALUE"""),90690.0)</f>
        <v>90690</v>
      </c>
      <c r="B3734" s="11">
        <f>IFERROR(__xludf.DUMMYFUNCTION("""COMPUTED_VALUE"""),0.0)</f>
        <v>0</v>
      </c>
      <c r="C3734" s="11">
        <f>IFERROR(__xludf.DUMMYFUNCTION("""COMPUTED_VALUE"""),693.0)</f>
        <v>693</v>
      </c>
      <c r="D3734" s="11">
        <f>IFERROR(__xludf.DUMMYFUNCTION("""COMPUTED_VALUE"""),301.0)</f>
        <v>301</v>
      </c>
      <c r="E3734" s="9"/>
    </row>
    <row r="3735">
      <c r="A3735" s="10">
        <f>IFERROR(__xludf.DUMMYFUNCTION("""COMPUTED_VALUE"""),101380.0)</f>
        <v>101380</v>
      </c>
      <c r="B3735" s="11">
        <f>IFERROR(__xludf.DUMMYFUNCTION("""COMPUTED_VALUE"""),0.0)</f>
        <v>0</v>
      </c>
      <c r="C3735" s="11">
        <f>IFERROR(__xludf.DUMMYFUNCTION("""COMPUTED_VALUE"""),823.0)</f>
        <v>823</v>
      </c>
      <c r="D3735" s="11">
        <f>IFERROR(__xludf.DUMMYFUNCTION("""COMPUTED_VALUE"""),792.0)</f>
        <v>792</v>
      </c>
      <c r="E3735" s="9"/>
    </row>
    <row r="3736">
      <c r="A3736" s="10">
        <f>IFERROR(__xludf.DUMMYFUNCTION("""COMPUTED_VALUE"""),5804.0)</f>
        <v>5804</v>
      </c>
      <c r="B3736" s="11">
        <f>IFERROR(__xludf.DUMMYFUNCTION("""COMPUTED_VALUE"""),0.0)</f>
        <v>0</v>
      </c>
      <c r="C3736" s="11">
        <f>IFERROR(__xludf.DUMMYFUNCTION("""COMPUTED_VALUE"""),461.0)</f>
        <v>461</v>
      </c>
      <c r="D3736" s="11">
        <f>IFERROR(__xludf.DUMMYFUNCTION("""COMPUTED_VALUE"""),405.0)</f>
        <v>405</v>
      </c>
      <c r="E3736" s="9"/>
    </row>
    <row r="3737">
      <c r="A3737" s="10">
        <f>IFERROR(__xludf.DUMMYFUNCTION("""COMPUTED_VALUE"""),82372.0)</f>
        <v>82372</v>
      </c>
      <c r="B3737" s="11">
        <f>IFERROR(__xludf.DUMMYFUNCTION("""COMPUTED_VALUE"""),1.0)</f>
        <v>1</v>
      </c>
      <c r="C3737" s="11">
        <f>IFERROR(__xludf.DUMMYFUNCTION("""COMPUTED_VALUE"""),451.0)</f>
        <v>451</v>
      </c>
      <c r="D3737" s="11">
        <f>IFERROR(__xludf.DUMMYFUNCTION("""COMPUTED_VALUE"""),280.0)</f>
        <v>280</v>
      </c>
      <c r="E3737" s="9"/>
    </row>
    <row r="3738">
      <c r="A3738" s="10">
        <f>IFERROR(__xludf.DUMMYFUNCTION("""COMPUTED_VALUE"""),90643.0)</f>
        <v>90643</v>
      </c>
      <c r="B3738" s="11">
        <f>IFERROR(__xludf.DUMMYFUNCTION("""COMPUTED_VALUE"""),0.0)</f>
        <v>0</v>
      </c>
      <c r="C3738" s="11">
        <f>IFERROR(__xludf.DUMMYFUNCTION("""COMPUTED_VALUE"""),344.0)</f>
        <v>344</v>
      </c>
      <c r="D3738" s="11">
        <f>IFERROR(__xludf.DUMMYFUNCTION("""COMPUTED_VALUE"""),57.0)</f>
        <v>57</v>
      </c>
      <c r="E3738" s="9"/>
    </row>
    <row r="3739">
      <c r="A3739" s="10">
        <f>IFERROR(__xludf.DUMMYFUNCTION("""COMPUTED_VALUE"""),68412.0)</f>
        <v>68412</v>
      </c>
      <c r="B3739" s="11">
        <f>IFERROR(__xludf.DUMMYFUNCTION("""COMPUTED_VALUE"""),0.0)</f>
        <v>0</v>
      </c>
      <c r="C3739" s="11">
        <f>IFERROR(__xludf.DUMMYFUNCTION("""COMPUTED_VALUE"""),857.0)</f>
        <v>857</v>
      </c>
      <c r="D3739" s="11">
        <f>IFERROR(__xludf.DUMMYFUNCTION("""COMPUTED_VALUE"""),32.0)</f>
        <v>32</v>
      </c>
      <c r="E3739" s="9"/>
    </row>
    <row r="3740">
      <c r="A3740" s="10">
        <f>IFERROR(__xludf.DUMMYFUNCTION("""COMPUTED_VALUE"""),82393.0)</f>
        <v>82393</v>
      </c>
      <c r="B3740" s="11">
        <f>IFERROR(__xludf.DUMMYFUNCTION("""COMPUTED_VALUE"""),1.0)</f>
        <v>1</v>
      </c>
      <c r="C3740" s="11">
        <f>IFERROR(__xludf.DUMMYFUNCTION("""COMPUTED_VALUE"""),971.0)</f>
        <v>971</v>
      </c>
      <c r="D3740" s="11">
        <f>IFERROR(__xludf.DUMMYFUNCTION("""COMPUTED_VALUE"""),956.0)</f>
        <v>956</v>
      </c>
      <c r="E3740" s="9"/>
    </row>
    <row r="3741">
      <c r="A3741" s="10">
        <f>IFERROR(__xludf.DUMMYFUNCTION("""COMPUTED_VALUE"""),5803.0)</f>
        <v>5803</v>
      </c>
      <c r="B3741" s="11">
        <f>IFERROR(__xludf.DUMMYFUNCTION("""COMPUTED_VALUE"""),0.0)</f>
        <v>0</v>
      </c>
      <c r="C3741" s="11">
        <f>IFERROR(__xludf.DUMMYFUNCTION("""COMPUTED_VALUE"""),25.0)</f>
        <v>25</v>
      </c>
      <c r="D3741" s="11">
        <f>IFERROR(__xludf.DUMMYFUNCTION("""COMPUTED_VALUE"""),25.0)</f>
        <v>25</v>
      </c>
      <c r="E3741" s="9"/>
    </row>
    <row r="3742">
      <c r="A3742" s="10">
        <f>IFERROR(__xludf.DUMMYFUNCTION("""COMPUTED_VALUE"""),121706.0)</f>
        <v>121706</v>
      </c>
      <c r="B3742" s="11">
        <f>IFERROR(__xludf.DUMMYFUNCTION("""COMPUTED_VALUE"""),1.0)</f>
        <v>1</v>
      </c>
      <c r="C3742" s="11">
        <f>IFERROR(__xludf.DUMMYFUNCTION("""COMPUTED_VALUE"""),301.0)</f>
        <v>301</v>
      </c>
      <c r="D3742" s="11">
        <f>IFERROR(__xludf.DUMMYFUNCTION("""COMPUTED_VALUE"""),165.0)</f>
        <v>165</v>
      </c>
      <c r="E3742" s="9"/>
    </row>
    <row r="3743">
      <c r="A3743" s="10">
        <f>IFERROR(__xludf.DUMMYFUNCTION("""COMPUTED_VALUE"""),68374.0)</f>
        <v>68374</v>
      </c>
      <c r="B3743" s="11">
        <f>IFERROR(__xludf.DUMMYFUNCTION("""COMPUTED_VALUE"""),0.0)</f>
        <v>0</v>
      </c>
      <c r="C3743" s="11">
        <f>IFERROR(__xludf.DUMMYFUNCTION("""COMPUTED_VALUE"""),60.0)</f>
        <v>60</v>
      </c>
      <c r="D3743" s="11">
        <f>IFERROR(__xludf.DUMMYFUNCTION("""COMPUTED_VALUE"""),45.0)</f>
        <v>45</v>
      </c>
      <c r="E3743" s="9"/>
    </row>
    <row r="3744">
      <c r="A3744" s="10">
        <f>IFERROR(__xludf.DUMMYFUNCTION("""COMPUTED_VALUE"""),90946.0)</f>
        <v>90946</v>
      </c>
      <c r="B3744" s="11">
        <f>IFERROR(__xludf.DUMMYFUNCTION("""COMPUTED_VALUE"""),0.0)</f>
        <v>0</v>
      </c>
      <c r="C3744" s="11">
        <f>IFERROR(__xludf.DUMMYFUNCTION("""COMPUTED_VALUE"""),783.0)</f>
        <v>783</v>
      </c>
      <c r="D3744" s="11">
        <f>IFERROR(__xludf.DUMMYFUNCTION("""COMPUTED_VALUE"""),476.0)</f>
        <v>476</v>
      </c>
      <c r="E3744" s="9"/>
    </row>
    <row r="3745">
      <c r="A3745" s="10">
        <f>IFERROR(__xludf.DUMMYFUNCTION("""COMPUTED_VALUE"""),69312.0)</f>
        <v>69312</v>
      </c>
      <c r="B3745" s="11">
        <f>IFERROR(__xludf.DUMMYFUNCTION("""COMPUTED_VALUE"""),1.0)</f>
        <v>1</v>
      </c>
      <c r="C3745" s="11">
        <f>IFERROR(__xludf.DUMMYFUNCTION("""COMPUTED_VALUE"""),81.0)</f>
        <v>81</v>
      </c>
      <c r="D3745" s="11">
        <f>IFERROR(__xludf.DUMMYFUNCTION("""COMPUTED_VALUE"""),66.0)</f>
        <v>66</v>
      </c>
      <c r="E3745" s="9"/>
    </row>
    <row r="3746">
      <c r="A3746" s="10">
        <f>IFERROR(__xludf.DUMMYFUNCTION("""COMPUTED_VALUE"""),87128.0)</f>
        <v>87128</v>
      </c>
      <c r="B3746" s="11">
        <f>IFERROR(__xludf.DUMMYFUNCTION("""COMPUTED_VALUE"""),0.0)</f>
        <v>0</v>
      </c>
      <c r="C3746" s="11">
        <f>IFERROR(__xludf.DUMMYFUNCTION("""COMPUTED_VALUE"""),597.0)</f>
        <v>597</v>
      </c>
      <c r="D3746" s="11">
        <f>IFERROR(__xludf.DUMMYFUNCTION("""COMPUTED_VALUE"""),341.0)</f>
        <v>341</v>
      </c>
      <c r="E3746" s="9"/>
    </row>
    <row r="3747">
      <c r="A3747" s="10">
        <f>IFERROR(__xludf.DUMMYFUNCTION("""COMPUTED_VALUE"""),149506.0)</f>
        <v>149506</v>
      </c>
      <c r="B3747" s="11">
        <f>IFERROR(__xludf.DUMMYFUNCTION("""COMPUTED_VALUE"""),0.0)</f>
        <v>0</v>
      </c>
      <c r="C3747" s="11">
        <f>IFERROR(__xludf.DUMMYFUNCTION("""COMPUTED_VALUE"""),15.0)</f>
        <v>15</v>
      </c>
      <c r="D3747" s="11">
        <f>IFERROR(__xludf.DUMMYFUNCTION("""COMPUTED_VALUE"""),4.0)</f>
        <v>4</v>
      </c>
      <c r="E3747" s="9"/>
    </row>
    <row r="3748">
      <c r="A3748" s="10">
        <f>IFERROR(__xludf.DUMMYFUNCTION("""COMPUTED_VALUE"""),5722.0)</f>
        <v>5722</v>
      </c>
      <c r="B3748" s="11">
        <f>IFERROR(__xludf.DUMMYFUNCTION("""COMPUTED_VALUE"""),0.0)</f>
        <v>0</v>
      </c>
      <c r="C3748" s="11">
        <f>IFERROR(__xludf.DUMMYFUNCTION("""COMPUTED_VALUE"""),203.0)</f>
        <v>203</v>
      </c>
      <c r="D3748" s="11">
        <f>IFERROR(__xludf.DUMMYFUNCTION("""COMPUTED_VALUE"""),155.0)</f>
        <v>155</v>
      </c>
      <c r="E3748" s="9"/>
    </row>
    <row r="3749">
      <c r="A3749" s="10">
        <f>IFERROR(__xludf.DUMMYFUNCTION("""COMPUTED_VALUE"""),5697.0)</f>
        <v>5697</v>
      </c>
      <c r="B3749" s="11">
        <f>IFERROR(__xludf.DUMMYFUNCTION("""COMPUTED_VALUE"""),0.0)</f>
        <v>0</v>
      </c>
      <c r="C3749" s="11">
        <f>IFERROR(__xludf.DUMMYFUNCTION("""COMPUTED_VALUE"""),965.0)</f>
        <v>965</v>
      </c>
      <c r="D3749" s="11">
        <f>IFERROR(__xludf.DUMMYFUNCTION("""COMPUTED_VALUE"""),650.0)</f>
        <v>650</v>
      </c>
      <c r="E3749" s="9"/>
    </row>
    <row r="3750">
      <c r="A3750" s="10">
        <f>IFERROR(__xludf.DUMMYFUNCTION("""COMPUTED_VALUE"""),29117.0)</f>
        <v>29117</v>
      </c>
      <c r="B3750" s="11">
        <f>IFERROR(__xludf.DUMMYFUNCTION("""COMPUTED_VALUE"""),1.0)</f>
        <v>1</v>
      </c>
      <c r="C3750" s="11">
        <f>IFERROR(__xludf.DUMMYFUNCTION("""COMPUTED_VALUE"""),797.0)</f>
        <v>797</v>
      </c>
      <c r="D3750" s="11">
        <f>IFERROR(__xludf.DUMMYFUNCTION("""COMPUTED_VALUE"""),160.0)</f>
        <v>160</v>
      </c>
      <c r="E3750" s="9"/>
    </row>
    <row r="3751">
      <c r="A3751" s="10">
        <f>IFERROR(__xludf.DUMMYFUNCTION("""COMPUTED_VALUE"""),68305.0)</f>
        <v>68305</v>
      </c>
      <c r="B3751" s="11">
        <f>IFERROR(__xludf.DUMMYFUNCTION("""COMPUTED_VALUE"""),1.0)</f>
        <v>1</v>
      </c>
      <c r="C3751" s="11">
        <f>IFERROR(__xludf.DUMMYFUNCTION("""COMPUTED_VALUE"""),350.0)</f>
        <v>350</v>
      </c>
      <c r="D3751" s="11">
        <f>IFERROR(__xludf.DUMMYFUNCTION("""COMPUTED_VALUE"""),318.0)</f>
        <v>318</v>
      </c>
      <c r="E3751" s="9"/>
    </row>
    <row r="3752">
      <c r="A3752" s="10">
        <f>IFERROR(__xludf.DUMMYFUNCTION("""COMPUTED_VALUE"""),5714.0)</f>
        <v>5714</v>
      </c>
      <c r="B3752" s="11">
        <f>IFERROR(__xludf.DUMMYFUNCTION("""COMPUTED_VALUE"""),1.0)</f>
        <v>1</v>
      </c>
      <c r="C3752" s="11">
        <f>IFERROR(__xludf.DUMMYFUNCTION("""COMPUTED_VALUE"""),799.0)</f>
        <v>799</v>
      </c>
      <c r="D3752" s="11">
        <f>IFERROR(__xludf.DUMMYFUNCTION("""COMPUTED_VALUE"""),257.0)</f>
        <v>257</v>
      </c>
      <c r="E3752" s="9"/>
    </row>
    <row r="3753">
      <c r="A3753" s="10">
        <f>IFERROR(__xludf.DUMMYFUNCTION("""COMPUTED_VALUE"""),73951.0)</f>
        <v>73951</v>
      </c>
      <c r="B3753" s="11">
        <f>IFERROR(__xludf.DUMMYFUNCTION("""COMPUTED_VALUE"""),1.0)</f>
        <v>1</v>
      </c>
      <c r="C3753" s="11">
        <f>IFERROR(__xludf.DUMMYFUNCTION("""COMPUTED_VALUE"""),272.0)</f>
        <v>272</v>
      </c>
      <c r="D3753" s="11">
        <f>IFERROR(__xludf.DUMMYFUNCTION("""COMPUTED_VALUE"""),65.0)</f>
        <v>65</v>
      </c>
      <c r="E3753" s="9"/>
    </row>
    <row r="3754">
      <c r="A3754" s="10">
        <f>IFERROR(__xludf.DUMMYFUNCTION("""COMPUTED_VALUE"""),68337.0)</f>
        <v>68337</v>
      </c>
      <c r="B3754" s="11">
        <f>IFERROR(__xludf.DUMMYFUNCTION("""COMPUTED_VALUE"""),0.0)</f>
        <v>0</v>
      </c>
      <c r="C3754" s="11">
        <f>IFERROR(__xludf.DUMMYFUNCTION("""COMPUTED_VALUE"""),947.0)</f>
        <v>947</v>
      </c>
      <c r="D3754" s="11">
        <f>IFERROR(__xludf.DUMMYFUNCTION("""COMPUTED_VALUE"""),112.0)</f>
        <v>112</v>
      </c>
      <c r="E3754" s="9"/>
    </row>
    <row r="3755">
      <c r="A3755" s="10">
        <f>IFERROR(__xludf.DUMMYFUNCTION("""COMPUTED_VALUE"""),76338.0)</f>
        <v>76338</v>
      </c>
      <c r="B3755" s="11">
        <f>IFERROR(__xludf.DUMMYFUNCTION("""COMPUTED_VALUE"""),0.0)</f>
        <v>0</v>
      </c>
      <c r="C3755" s="11">
        <f>IFERROR(__xludf.DUMMYFUNCTION("""COMPUTED_VALUE"""),909.0)</f>
        <v>909</v>
      </c>
      <c r="D3755" s="11">
        <f>IFERROR(__xludf.DUMMYFUNCTION("""COMPUTED_VALUE"""),614.0)</f>
        <v>614</v>
      </c>
      <c r="E3755" s="9"/>
    </row>
    <row r="3756">
      <c r="A3756" s="10">
        <f>IFERROR(__xludf.DUMMYFUNCTION("""COMPUTED_VALUE"""),202592.0)</f>
        <v>202592</v>
      </c>
      <c r="B3756" s="11">
        <f>IFERROR(__xludf.DUMMYFUNCTION("""COMPUTED_VALUE"""),1.0)</f>
        <v>1</v>
      </c>
      <c r="C3756" s="11">
        <f>IFERROR(__xludf.DUMMYFUNCTION("""COMPUTED_VALUE"""),269.0)</f>
        <v>269</v>
      </c>
      <c r="D3756" s="11">
        <f>IFERROR(__xludf.DUMMYFUNCTION("""COMPUTED_VALUE"""),51.0)</f>
        <v>51</v>
      </c>
      <c r="E3756" s="9"/>
    </row>
    <row r="3757">
      <c r="A3757" s="10">
        <f>IFERROR(__xludf.DUMMYFUNCTION("""COMPUTED_VALUE"""),69578.0)</f>
        <v>69578</v>
      </c>
      <c r="B3757" s="11">
        <f>IFERROR(__xludf.DUMMYFUNCTION("""COMPUTED_VALUE"""),0.0)</f>
        <v>0</v>
      </c>
      <c r="C3757" s="11">
        <f>IFERROR(__xludf.DUMMYFUNCTION("""COMPUTED_VALUE"""),522.0)</f>
        <v>522</v>
      </c>
      <c r="D3757" s="11">
        <f>IFERROR(__xludf.DUMMYFUNCTION("""COMPUTED_VALUE"""),496.0)</f>
        <v>496</v>
      </c>
      <c r="E3757" s="9"/>
    </row>
    <row r="3758">
      <c r="A3758" s="10">
        <f>IFERROR(__xludf.DUMMYFUNCTION("""COMPUTED_VALUE"""),76383.0)</f>
        <v>76383</v>
      </c>
      <c r="B3758" s="11">
        <f>IFERROR(__xludf.DUMMYFUNCTION("""COMPUTED_VALUE"""),0.0)</f>
        <v>0</v>
      </c>
      <c r="C3758" s="11">
        <f>IFERROR(__xludf.DUMMYFUNCTION("""COMPUTED_VALUE"""),797.0)</f>
        <v>797</v>
      </c>
      <c r="D3758" s="11">
        <f>IFERROR(__xludf.DUMMYFUNCTION("""COMPUTED_VALUE"""),26.0)</f>
        <v>26</v>
      </c>
      <c r="E3758" s="9"/>
    </row>
    <row r="3759">
      <c r="A3759" s="10">
        <f>IFERROR(__xludf.DUMMYFUNCTION("""COMPUTED_VALUE"""),5696.0)</f>
        <v>5696</v>
      </c>
      <c r="B3759" s="11">
        <f>IFERROR(__xludf.DUMMYFUNCTION("""COMPUTED_VALUE"""),0.0)</f>
        <v>0</v>
      </c>
      <c r="C3759" s="11">
        <f>IFERROR(__xludf.DUMMYFUNCTION("""COMPUTED_VALUE"""),47.0)</f>
        <v>47</v>
      </c>
      <c r="D3759" s="11">
        <f>IFERROR(__xludf.DUMMYFUNCTION("""COMPUTED_VALUE"""),24.0)</f>
        <v>24</v>
      </c>
      <c r="E3759" s="9"/>
    </row>
    <row r="3760">
      <c r="A3760" s="10">
        <f>IFERROR(__xludf.DUMMYFUNCTION("""COMPUTED_VALUE"""),90929.0)</f>
        <v>90929</v>
      </c>
      <c r="B3760" s="11">
        <f>IFERROR(__xludf.DUMMYFUNCTION("""COMPUTED_VALUE"""),0.0)</f>
        <v>0</v>
      </c>
      <c r="C3760" s="11">
        <f>IFERROR(__xludf.DUMMYFUNCTION("""COMPUTED_VALUE"""),258.0)</f>
        <v>258</v>
      </c>
      <c r="D3760" s="11">
        <f>IFERROR(__xludf.DUMMYFUNCTION("""COMPUTED_VALUE"""),233.0)</f>
        <v>233</v>
      </c>
      <c r="E3760" s="9"/>
    </row>
    <row r="3761">
      <c r="A3761" s="10">
        <f>IFERROR(__xludf.DUMMYFUNCTION("""COMPUTED_VALUE"""),90926.0)</f>
        <v>90926</v>
      </c>
      <c r="B3761" s="11">
        <f>IFERROR(__xludf.DUMMYFUNCTION("""COMPUTED_VALUE"""),1.0)</f>
        <v>1</v>
      </c>
      <c r="C3761" s="11">
        <f>IFERROR(__xludf.DUMMYFUNCTION("""COMPUTED_VALUE"""),442.0)</f>
        <v>442</v>
      </c>
      <c r="D3761" s="11">
        <f>IFERROR(__xludf.DUMMYFUNCTION("""COMPUTED_VALUE"""),21.0)</f>
        <v>21</v>
      </c>
      <c r="E3761" s="9"/>
    </row>
    <row r="3762">
      <c r="A3762" s="10">
        <f>IFERROR(__xludf.DUMMYFUNCTION("""COMPUTED_VALUE"""),76364.0)</f>
        <v>76364</v>
      </c>
      <c r="B3762" s="11">
        <f>IFERROR(__xludf.DUMMYFUNCTION("""COMPUTED_VALUE"""),1.0)</f>
        <v>1</v>
      </c>
      <c r="C3762" s="11">
        <f>IFERROR(__xludf.DUMMYFUNCTION("""COMPUTED_VALUE"""),180.0)</f>
        <v>180</v>
      </c>
      <c r="D3762" s="11">
        <f>IFERROR(__xludf.DUMMYFUNCTION("""COMPUTED_VALUE"""),155.0)</f>
        <v>155</v>
      </c>
      <c r="E3762" s="9"/>
    </row>
    <row r="3763">
      <c r="A3763" s="10">
        <f>IFERROR(__xludf.DUMMYFUNCTION("""COMPUTED_VALUE"""),79152.0)</f>
        <v>79152</v>
      </c>
      <c r="B3763" s="11">
        <f>IFERROR(__xludf.DUMMYFUNCTION("""COMPUTED_VALUE"""),0.0)</f>
        <v>0</v>
      </c>
      <c r="C3763" s="11">
        <f>IFERROR(__xludf.DUMMYFUNCTION("""COMPUTED_VALUE"""),432.0)</f>
        <v>432</v>
      </c>
      <c r="D3763" s="11">
        <f>IFERROR(__xludf.DUMMYFUNCTION("""COMPUTED_VALUE"""),214.0)</f>
        <v>214</v>
      </c>
      <c r="E3763" s="9"/>
    </row>
    <row r="3764">
      <c r="A3764" s="10">
        <f>IFERROR(__xludf.DUMMYFUNCTION("""COMPUTED_VALUE"""),30874.0)</f>
        <v>30874</v>
      </c>
      <c r="B3764" s="11">
        <f>IFERROR(__xludf.DUMMYFUNCTION("""COMPUTED_VALUE"""),0.0)</f>
        <v>0</v>
      </c>
      <c r="C3764" s="11">
        <f>IFERROR(__xludf.DUMMYFUNCTION("""COMPUTED_VALUE"""),99.0)</f>
        <v>99</v>
      </c>
      <c r="D3764" s="11">
        <f>IFERROR(__xludf.DUMMYFUNCTION("""COMPUTED_VALUE"""),20.0)</f>
        <v>20</v>
      </c>
      <c r="E3764" s="9"/>
    </row>
    <row r="3765">
      <c r="A3765" s="10">
        <f>IFERROR(__xludf.DUMMYFUNCTION("""COMPUTED_VALUE"""),5718.0)</f>
        <v>5718</v>
      </c>
      <c r="B3765" s="11">
        <f>IFERROR(__xludf.DUMMYFUNCTION("""COMPUTED_VALUE"""),1.0)</f>
        <v>1</v>
      </c>
      <c r="C3765" s="11">
        <f>IFERROR(__xludf.DUMMYFUNCTION("""COMPUTED_VALUE"""),376.0)</f>
        <v>376</v>
      </c>
      <c r="D3765" s="11">
        <f>IFERROR(__xludf.DUMMYFUNCTION("""COMPUTED_VALUE"""),216.0)</f>
        <v>216</v>
      </c>
      <c r="E3765" s="9"/>
    </row>
    <row r="3766">
      <c r="A3766" s="10">
        <f>IFERROR(__xludf.DUMMYFUNCTION("""COMPUTED_VALUE"""),126542.0)</f>
        <v>126542</v>
      </c>
      <c r="B3766" s="11">
        <f>IFERROR(__xludf.DUMMYFUNCTION("""COMPUTED_VALUE"""),1.0)</f>
        <v>1</v>
      </c>
      <c r="C3766" s="11">
        <f>IFERROR(__xludf.DUMMYFUNCTION("""COMPUTED_VALUE"""),306.0)</f>
        <v>306</v>
      </c>
      <c r="D3766" s="11">
        <f>IFERROR(__xludf.DUMMYFUNCTION("""COMPUTED_VALUE"""),168.0)</f>
        <v>168</v>
      </c>
      <c r="E3766" s="9"/>
    </row>
    <row r="3767">
      <c r="A3767" s="10">
        <f>IFERROR(__xludf.DUMMYFUNCTION("""COMPUTED_VALUE"""),90852.0)</f>
        <v>90852</v>
      </c>
      <c r="B3767" s="11">
        <f>IFERROR(__xludf.DUMMYFUNCTION("""COMPUTED_VALUE"""),1.0)</f>
        <v>1</v>
      </c>
      <c r="C3767" s="11">
        <f>IFERROR(__xludf.DUMMYFUNCTION("""COMPUTED_VALUE"""),200.0)</f>
        <v>200</v>
      </c>
      <c r="D3767" s="11">
        <f>IFERROR(__xludf.DUMMYFUNCTION("""COMPUTED_VALUE"""),156.0)</f>
        <v>156</v>
      </c>
      <c r="E3767" s="9"/>
    </row>
    <row r="3768">
      <c r="A3768" s="10">
        <f>IFERROR(__xludf.DUMMYFUNCTION("""COMPUTED_VALUE"""),122139.0)</f>
        <v>122139</v>
      </c>
      <c r="B3768" s="11">
        <f>IFERROR(__xludf.DUMMYFUNCTION("""COMPUTED_VALUE"""),0.0)</f>
        <v>0</v>
      </c>
      <c r="C3768" s="11">
        <f>IFERROR(__xludf.DUMMYFUNCTION("""COMPUTED_VALUE"""),514.0)</f>
        <v>514</v>
      </c>
      <c r="D3768" s="11">
        <f>IFERROR(__xludf.DUMMYFUNCTION("""COMPUTED_VALUE"""),73.0)</f>
        <v>73</v>
      </c>
      <c r="E3768" s="9"/>
    </row>
    <row r="3769">
      <c r="A3769" s="10">
        <f>IFERROR(__xludf.DUMMYFUNCTION("""COMPUTED_VALUE"""),126975.0)</f>
        <v>126975</v>
      </c>
      <c r="B3769" s="11">
        <f>IFERROR(__xludf.DUMMYFUNCTION("""COMPUTED_VALUE"""),1.0)</f>
        <v>1</v>
      </c>
      <c r="C3769" s="11">
        <f>IFERROR(__xludf.DUMMYFUNCTION("""COMPUTED_VALUE"""),395.0)</f>
        <v>395</v>
      </c>
      <c r="D3769" s="11">
        <f>IFERROR(__xludf.DUMMYFUNCTION("""COMPUTED_VALUE"""),157.0)</f>
        <v>157</v>
      </c>
      <c r="E3769" s="9"/>
    </row>
    <row r="3770">
      <c r="A3770" s="10">
        <f>IFERROR(__xludf.DUMMYFUNCTION("""COMPUTED_VALUE"""),202593.0)</f>
        <v>202593</v>
      </c>
      <c r="B3770" s="11">
        <f>IFERROR(__xludf.DUMMYFUNCTION("""COMPUTED_VALUE"""),1.0)</f>
        <v>1</v>
      </c>
      <c r="C3770" s="11">
        <f>IFERROR(__xludf.DUMMYFUNCTION("""COMPUTED_VALUE"""),357.0)</f>
        <v>357</v>
      </c>
      <c r="D3770" s="11">
        <f>IFERROR(__xludf.DUMMYFUNCTION("""COMPUTED_VALUE"""),340.0)</f>
        <v>340</v>
      </c>
      <c r="E3770" s="9"/>
    </row>
    <row r="3771">
      <c r="A3771" s="10">
        <f>IFERROR(__xludf.DUMMYFUNCTION("""COMPUTED_VALUE"""),73940.0)</f>
        <v>73940</v>
      </c>
      <c r="B3771" s="11">
        <f>IFERROR(__xludf.DUMMYFUNCTION("""COMPUTED_VALUE"""),0.0)</f>
        <v>0</v>
      </c>
      <c r="C3771" s="11">
        <f>IFERROR(__xludf.DUMMYFUNCTION("""COMPUTED_VALUE"""),922.0)</f>
        <v>922</v>
      </c>
      <c r="D3771" s="11">
        <f>IFERROR(__xludf.DUMMYFUNCTION("""COMPUTED_VALUE"""),892.0)</f>
        <v>892</v>
      </c>
      <c r="E3771" s="9"/>
    </row>
    <row r="3772">
      <c r="A3772" s="10">
        <f>IFERROR(__xludf.DUMMYFUNCTION("""COMPUTED_VALUE"""),76360.0)</f>
        <v>76360</v>
      </c>
      <c r="B3772" s="11">
        <f>IFERROR(__xludf.DUMMYFUNCTION("""COMPUTED_VALUE"""),0.0)</f>
        <v>0</v>
      </c>
      <c r="C3772" s="11">
        <f>IFERROR(__xludf.DUMMYFUNCTION("""COMPUTED_VALUE"""),288.0)</f>
        <v>288</v>
      </c>
      <c r="D3772" s="11">
        <f>IFERROR(__xludf.DUMMYFUNCTION("""COMPUTED_VALUE"""),217.0)</f>
        <v>217</v>
      </c>
      <c r="E3772" s="9"/>
    </row>
    <row r="3773">
      <c r="A3773" s="10">
        <f>IFERROR(__xludf.DUMMYFUNCTION("""COMPUTED_VALUE"""),118876.0)</f>
        <v>118876</v>
      </c>
      <c r="B3773" s="11">
        <f>IFERROR(__xludf.DUMMYFUNCTION("""COMPUTED_VALUE"""),1.0)</f>
        <v>1</v>
      </c>
      <c r="C3773" s="11">
        <f>IFERROR(__xludf.DUMMYFUNCTION("""COMPUTED_VALUE"""),673.0)</f>
        <v>673</v>
      </c>
      <c r="D3773" s="11">
        <f>IFERROR(__xludf.DUMMYFUNCTION("""COMPUTED_VALUE"""),671.0)</f>
        <v>671</v>
      </c>
      <c r="E3773" s="9"/>
    </row>
    <row r="3774">
      <c r="A3774" s="10">
        <f>IFERROR(__xludf.DUMMYFUNCTION("""COMPUTED_VALUE"""),76366.0)</f>
        <v>76366</v>
      </c>
      <c r="B3774" s="11">
        <f>IFERROR(__xludf.DUMMYFUNCTION("""COMPUTED_VALUE"""),1.0)</f>
        <v>1</v>
      </c>
      <c r="C3774" s="11">
        <f>IFERROR(__xludf.DUMMYFUNCTION("""COMPUTED_VALUE"""),578.0)</f>
        <v>578</v>
      </c>
      <c r="D3774" s="11">
        <f>IFERROR(__xludf.DUMMYFUNCTION("""COMPUTED_VALUE"""),566.0)</f>
        <v>566</v>
      </c>
      <c r="E3774" s="9"/>
    </row>
    <row r="3775">
      <c r="A3775" s="10">
        <f>IFERROR(__xludf.DUMMYFUNCTION("""COMPUTED_VALUE"""),122645.0)</f>
        <v>122645</v>
      </c>
      <c r="B3775" s="11">
        <f>IFERROR(__xludf.DUMMYFUNCTION("""COMPUTED_VALUE"""),0.0)</f>
        <v>0</v>
      </c>
      <c r="C3775" s="11">
        <f>IFERROR(__xludf.DUMMYFUNCTION("""COMPUTED_VALUE"""),708.0)</f>
        <v>708</v>
      </c>
      <c r="D3775" s="11">
        <f>IFERROR(__xludf.DUMMYFUNCTION("""COMPUTED_VALUE"""),34.0)</f>
        <v>34</v>
      </c>
      <c r="E3775" s="9"/>
    </row>
    <row r="3776">
      <c r="A3776" s="10">
        <f>IFERROR(__xludf.DUMMYFUNCTION("""COMPUTED_VALUE"""),76372.0)</f>
        <v>76372</v>
      </c>
      <c r="B3776" s="11">
        <f>IFERROR(__xludf.DUMMYFUNCTION("""COMPUTED_VALUE"""),1.0)</f>
        <v>1</v>
      </c>
      <c r="C3776" s="11">
        <f>IFERROR(__xludf.DUMMYFUNCTION("""COMPUTED_VALUE"""),696.0)</f>
        <v>696</v>
      </c>
      <c r="D3776" s="11">
        <f>IFERROR(__xludf.DUMMYFUNCTION("""COMPUTED_VALUE"""),484.0)</f>
        <v>484</v>
      </c>
      <c r="E3776" s="9"/>
    </row>
    <row r="3777">
      <c r="A3777" s="10">
        <f>IFERROR(__xludf.DUMMYFUNCTION("""COMPUTED_VALUE"""),5720.0)</f>
        <v>5720</v>
      </c>
      <c r="B3777" s="11">
        <f>IFERROR(__xludf.DUMMYFUNCTION("""COMPUTED_VALUE"""),0.0)</f>
        <v>0</v>
      </c>
      <c r="C3777" s="11">
        <f>IFERROR(__xludf.DUMMYFUNCTION("""COMPUTED_VALUE"""),811.0)</f>
        <v>811</v>
      </c>
      <c r="D3777" s="11">
        <f>IFERROR(__xludf.DUMMYFUNCTION("""COMPUTED_VALUE"""),80.0)</f>
        <v>80</v>
      </c>
      <c r="E3777" s="9"/>
    </row>
    <row r="3778">
      <c r="A3778" s="10">
        <f>IFERROR(__xludf.DUMMYFUNCTION("""COMPUTED_VALUE"""),5695.0)</f>
        <v>5695</v>
      </c>
      <c r="B3778" s="11">
        <f>IFERROR(__xludf.DUMMYFUNCTION("""COMPUTED_VALUE"""),0.0)</f>
        <v>0</v>
      </c>
      <c r="C3778" s="11">
        <f>IFERROR(__xludf.DUMMYFUNCTION("""COMPUTED_VALUE"""),309.0)</f>
        <v>309</v>
      </c>
      <c r="D3778" s="11">
        <f>IFERROR(__xludf.DUMMYFUNCTION("""COMPUTED_VALUE"""),46.0)</f>
        <v>46</v>
      </c>
      <c r="E3778" s="9"/>
    </row>
    <row r="3779">
      <c r="A3779" s="10">
        <f>IFERROR(__xludf.DUMMYFUNCTION("""COMPUTED_VALUE"""),90931.0)</f>
        <v>90931</v>
      </c>
      <c r="B3779" s="11">
        <f>IFERROR(__xludf.DUMMYFUNCTION("""COMPUTED_VALUE"""),0.0)</f>
        <v>0</v>
      </c>
      <c r="C3779" s="11">
        <f>IFERROR(__xludf.DUMMYFUNCTION("""COMPUTED_VALUE"""),99.0)</f>
        <v>99</v>
      </c>
      <c r="D3779" s="11">
        <f>IFERROR(__xludf.DUMMYFUNCTION("""COMPUTED_VALUE"""),77.0)</f>
        <v>77</v>
      </c>
      <c r="E3779" s="9"/>
    </row>
    <row r="3780">
      <c r="A3780" s="10">
        <f>IFERROR(__xludf.DUMMYFUNCTION("""COMPUTED_VALUE"""),110085.0)</f>
        <v>110085</v>
      </c>
      <c r="B3780" s="11">
        <f>IFERROR(__xludf.DUMMYFUNCTION("""COMPUTED_VALUE"""),1.0)</f>
        <v>1</v>
      </c>
      <c r="C3780" s="11">
        <f>IFERROR(__xludf.DUMMYFUNCTION("""COMPUTED_VALUE"""),569.0)</f>
        <v>569</v>
      </c>
      <c r="D3780" s="11">
        <f>IFERROR(__xludf.DUMMYFUNCTION("""COMPUTED_VALUE"""),71.0)</f>
        <v>71</v>
      </c>
      <c r="E3780" s="9"/>
    </row>
    <row r="3781">
      <c r="A3781" s="10">
        <f>IFERROR(__xludf.DUMMYFUNCTION("""COMPUTED_VALUE"""),113096.0)</f>
        <v>113096</v>
      </c>
      <c r="B3781" s="11">
        <f>IFERROR(__xludf.DUMMYFUNCTION("""COMPUTED_VALUE"""),0.0)</f>
        <v>0</v>
      </c>
      <c r="C3781" s="11">
        <f>IFERROR(__xludf.DUMMYFUNCTION("""COMPUTED_VALUE"""),60.0)</f>
        <v>60</v>
      </c>
      <c r="D3781" s="11">
        <f>IFERROR(__xludf.DUMMYFUNCTION("""COMPUTED_VALUE"""),37.0)</f>
        <v>37</v>
      </c>
      <c r="E3781" s="9"/>
    </row>
    <row r="3782">
      <c r="A3782" s="10">
        <f>IFERROR(__xludf.DUMMYFUNCTION("""COMPUTED_VALUE"""),90878.0)</f>
        <v>90878</v>
      </c>
      <c r="B3782" s="11">
        <f>IFERROR(__xludf.DUMMYFUNCTION("""COMPUTED_VALUE"""),1.0)</f>
        <v>1</v>
      </c>
      <c r="C3782" s="11">
        <f>IFERROR(__xludf.DUMMYFUNCTION("""COMPUTED_VALUE"""),469.0)</f>
        <v>469</v>
      </c>
      <c r="D3782" s="11">
        <f>IFERROR(__xludf.DUMMYFUNCTION("""COMPUTED_VALUE"""),393.0)</f>
        <v>393</v>
      </c>
      <c r="E3782" s="9"/>
    </row>
    <row r="3783">
      <c r="A3783" s="10">
        <f>IFERROR(__xludf.DUMMYFUNCTION("""COMPUTED_VALUE"""),73938.0)</f>
        <v>73938</v>
      </c>
      <c r="B3783" s="11">
        <f>IFERROR(__xludf.DUMMYFUNCTION("""COMPUTED_VALUE"""),1.0)</f>
        <v>1</v>
      </c>
      <c r="C3783" s="11">
        <f>IFERROR(__xludf.DUMMYFUNCTION("""COMPUTED_VALUE"""),743.0)</f>
        <v>743</v>
      </c>
      <c r="D3783" s="11">
        <f>IFERROR(__xludf.DUMMYFUNCTION("""COMPUTED_VALUE"""),307.0)</f>
        <v>307</v>
      </c>
      <c r="E3783" s="9"/>
    </row>
    <row r="3784">
      <c r="A3784" s="10">
        <f>IFERROR(__xludf.DUMMYFUNCTION("""COMPUTED_VALUE"""),5698.0)</f>
        <v>5698</v>
      </c>
      <c r="B3784" s="11">
        <f>IFERROR(__xludf.DUMMYFUNCTION("""COMPUTED_VALUE"""),0.0)</f>
        <v>0</v>
      </c>
      <c r="C3784" s="11">
        <f>IFERROR(__xludf.DUMMYFUNCTION("""COMPUTED_VALUE"""),876.0)</f>
        <v>876</v>
      </c>
      <c r="D3784" s="11">
        <f>IFERROR(__xludf.DUMMYFUNCTION("""COMPUTED_VALUE"""),485.0)</f>
        <v>485</v>
      </c>
      <c r="E3784" s="9"/>
    </row>
    <row r="3785">
      <c r="A3785" s="10">
        <f>IFERROR(__xludf.DUMMYFUNCTION("""COMPUTED_VALUE"""),76373.0)</f>
        <v>76373</v>
      </c>
      <c r="B3785" s="11">
        <f>IFERROR(__xludf.DUMMYFUNCTION("""COMPUTED_VALUE"""),1.0)</f>
        <v>1</v>
      </c>
      <c r="C3785" s="11">
        <f>IFERROR(__xludf.DUMMYFUNCTION("""COMPUTED_VALUE"""),116.0)</f>
        <v>116</v>
      </c>
      <c r="D3785" s="11">
        <f>IFERROR(__xludf.DUMMYFUNCTION("""COMPUTED_VALUE"""),76.0)</f>
        <v>76</v>
      </c>
      <c r="E3785" s="9"/>
    </row>
    <row r="3786">
      <c r="A3786" s="10">
        <f>IFERROR(__xludf.DUMMYFUNCTION("""COMPUTED_VALUE"""),73945.0)</f>
        <v>73945</v>
      </c>
      <c r="B3786" s="11">
        <f>IFERROR(__xludf.DUMMYFUNCTION("""COMPUTED_VALUE"""),0.0)</f>
        <v>0</v>
      </c>
      <c r="C3786" s="11">
        <f>IFERROR(__xludf.DUMMYFUNCTION("""COMPUTED_VALUE"""),515.0)</f>
        <v>515</v>
      </c>
      <c r="D3786" s="11">
        <f>IFERROR(__xludf.DUMMYFUNCTION("""COMPUTED_VALUE"""),373.0)</f>
        <v>373</v>
      </c>
      <c r="E3786" s="9"/>
    </row>
    <row r="3787">
      <c r="A3787" s="10">
        <f>IFERROR(__xludf.DUMMYFUNCTION("""COMPUTED_VALUE"""),159200.0)</f>
        <v>159200</v>
      </c>
      <c r="B3787" s="11">
        <f>IFERROR(__xludf.DUMMYFUNCTION("""COMPUTED_VALUE"""),1.0)</f>
        <v>1</v>
      </c>
      <c r="C3787" s="11">
        <f>IFERROR(__xludf.DUMMYFUNCTION("""COMPUTED_VALUE"""),699.0)</f>
        <v>699</v>
      </c>
      <c r="D3787" s="11">
        <f>IFERROR(__xludf.DUMMYFUNCTION("""COMPUTED_VALUE"""),489.0)</f>
        <v>489</v>
      </c>
      <c r="E3787" s="9"/>
    </row>
    <row r="3788">
      <c r="A3788" s="10">
        <f>IFERROR(__xludf.DUMMYFUNCTION("""COMPUTED_VALUE"""),68354.0)</f>
        <v>68354</v>
      </c>
      <c r="B3788" s="11">
        <f>IFERROR(__xludf.DUMMYFUNCTION("""COMPUTED_VALUE"""),1.0)</f>
        <v>1</v>
      </c>
      <c r="C3788" s="11">
        <f>IFERROR(__xludf.DUMMYFUNCTION("""COMPUTED_VALUE"""),234.0)</f>
        <v>234</v>
      </c>
      <c r="D3788" s="11">
        <f>IFERROR(__xludf.DUMMYFUNCTION("""COMPUTED_VALUE"""),180.0)</f>
        <v>180</v>
      </c>
      <c r="E3788" s="9"/>
    </row>
    <row r="3789">
      <c r="A3789" s="10">
        <f>IFERROR(__xludf.DUMMYFUNCTION("""COMPUTED_VALUE"""),5712.0)</f>
        <v>5712</v>
      </c>
      <c r="B3789" s="11">
        <f>IFERROR(__xludf.DUMMYFUNCTION("""COMPUTED_VALUE"""),1.0)</f>
        <v>1</v>
      </c>
      <c r="C3789" s="11">
        <f>IFERROR(__xludf.DUMMYFUNCTION("""COMPUTED_VALUE"""),551.0)</f>
        <v>551</v>
      </c>
      <c r="D3789" s="11">
        <f>IFERROR(__xludf.DUMMYFUNCTION("""COMPUTED_VALUE"""),199.0)</f>
        <v>199</v>
      </c>
      <c r="E3789" s="9"/>
    </row>
    <row r="3790">
      <c r="A3790" s="10">
        <f>IFERROR(__xludf.DUMMYFUNCTION("""COMPUTED_VALUE"""),114471.0)</f>
        <v>114471</v>
      </c>
      <c r="B3790" s="11">
        <f>IFERROR(__xludf.DUMMYFUNCTION("""COMPUTED_VALUE"""),0.0)</f>
        <v>0</v>
      </c>
      <c r="C3790" s="11">
        <f>IFERROR(__xludf.DUMMYFUNCTION("""COMPUTED_VALUE"""),237.0)</f>
        <v>237</v>
      </c>
      <c r="D3790" s="11">
        <f>IFERROR(__xludf.DUMMYFUNCTION("""COMPUTED_VALUE"""),96.0)</f>
        <v>96</v>
      </c>
      <c r="E3790" s="9"/>
    </row>
    <row r="3791">
      <c r="A3791" s="10">
        <f>IFERROR(__xludf.DUMMYFUNCTION("""COMPUTED_VALUE"""),90934.0)</f>
        <v>90934</v>
      </c>
      <c r="B3791" s="11">
        <f>IFERROR(__xludf.DUMMYFUNCTION("""COMPUTED_VALUE"""),0.0)</f>
        <v>0</v>
      </c>
      <c r="C3791" s="11">
        <f>IFERROR(__xludf.DUMMYFUNCTION("""COMPUTED_VALUE"""),262.0)</f>
        <v>262</v>
      </c>
      <c r="D3791" s="11">
        <f>IFERROR(__xludf.DUMMYFUNCTION("""COMPUTED_VALUE"""),89.0)</f>
        <v>89</v>
      </c>
      <c r="E3791" s="9"/>
    </row>
    <row r="3792">
      <c r="A3792" s="10">
        <f>IFERROR(__xludf.DUMMYFUNCTION("""COMPUTED_VALUE"""),87851.0)</f>
        <v>87851</v>
      </c>
      <c r="B3792" s="11">
        <f>IFERROR(__xludf.DUMMYFUNCTION("""COMPUTED_VALUE"""),0.0)</f>
        <v>0</v>
      </c>
      <c r="C3792" s="11">
        <f>IFERROR(__xludf.DUMMYFUNCTION("""COMPUTED_VALUE"""),26.0)</f>
        <v>26</v>
      </c>
      <c r="D3792" s="11">
        <f>IFERROR(__xludf.DUMMYFUNCTION("""COMPUTED_VALUE"""),19.0)</f>
        <v>19</v>
      </c>
      <c r="E3792" s="9"/>
    </row>
    <row r="3793">
      <c r="A3793" s="10">
        <f>IFERROR(__xludf.DUMMYFUNCTION("""COMPUTED_VALUE"""),90891.0)</f>
        <v>90891</v>
      </c>
      <c r="B3793" s="11">
        <f>IFERROR(__xludf.DUMMYFUNCTION("""COMPUTED_VALUE"""),1.0)</f>
        <v>1</v>
      </c>
      <c r="C3793" s="11">
        <f>IFERROR(__xludf.DUMMYFUNCTION("""COMPUTED_VALUE"""),29.0)</f>
        <v>29</v>
      </c>
      <c r="D3793" s="11">
        <f>IFERROR(__xludf.DUMMYFUNCTION("""COMPUTED_VALUE"""),22.0)</f>
        <v>22</v>
      </c>
      <c r="E3793" s="9"/>
    </row>
    <row r="3794">
      <c r="A3794" s="10">
        <f>IFERROR(__xludf.DUMMYFUNCTION("""COMPUTED_VALUE"""),69579.0)</f>
        <v>69579</v>
      </c>
      <c r="B3794" s="11">
        <f>IFERROR(__xludf.DUMMYFUNCTION("""COMPUTED_VALUE"""),1.0)</f>
        <v>1</v>
      </c>
      <c r="C3794" s="11">
        <f>IFERROR(__xludf.DUMMYFUNCTION("""COMPUTED_VALUE"""),561.0)</f>
        <v>561</v>
      </c>
      <c r="D3794" s="11">
        <f>IFERROR(__xludf.DUMMYFUNCTION("""COMPUTED_VALUE"""),377.0)</f>
        <v>377</v>
      </c>
      <c r="E3794" s="9"/>
    </row>
    <row r="3795">
      <c r="A3795" s="10">
        <f>IFERROR(__xludf.DUMMYFUNCTION("""COMPUTED_VALUE"""),90924.0)</f>
        <v>90924</v>
      </c>
      <c r="B3795" s="11">
        <f>IFERROR(__xludf.DUMMYFUNCTION("""COMPUTED_VALUE"""),1.0)</f>
        <v>1</v>
      </c>
      <c r="C3795" s="11">
        <f>IFERROR(__xludf.DUMMYFUNCTION("""COMPUTED_VALUE"""),907.0)</f>
        <v>907</v>
      </c>
      <c r="D3795" s="11">
        <f>IFERROR(__xludf.DUMMYFUNCTION("""COMPUTED_VALUE"""),327.0)</f>
        <v>327</v>
      </c>
      <c r="E3795" s="9"/>
    </row>
    <row r="3796">
      <c r="A3796" s="10">
        <f>IFERROR(__xludf.DUMMYFUNCTION("""COMPUTED_VALUE"""),69311.0)</f>
        <v>69311</v>
      </c>
      <c r="B3796" s="11">
        <f>IFERROR(__xludf.DUMMYFUNCTION("""COMPUTED_VALUE"""),0.0)</f>
        <v>0</v>
      </c>
      <c r="C3796" s="11">
        <f>IFERROR(__xludf.DUMMYFUNCTION("""COMPUTED_VALUE"""),668.0)</f>
        <v>668</v>
      </c>
      <c r="D3796" s="11">
        <f>IFERROR(__xludf.DUMMYFUNCTION("""COMPUTED_VALUE"""),488.0)</f>
        <v>488</v>
      </c>
      <c r="E3796" s="9"/>
    </row>
    <row r="3797">
      <c r="A3797" s="10">
        <f>IFERROR(__xludf.DUMMYFUNCTION("""COMPUTED_VALUE"""),90923.0)</f>
        <v>90923</v>
      </c>
      <c r="B3797" s="11">
        <f>IFERROR(__xludf.DUMMYFUNCTION("""COMPUTED_VALUE"""),1.0)</f>
        <v>1</v>
      </c>
      <c r="C3797" s="11">
        <f>IFERROR(__xludf.DUMMYFUNCTION("""COMPUTED_VALUE"""),721.0)</f>
        <v>721</v>
      </c>
      <c r="D3797" s="11">
        <f>IFERROR(__xludf.DUMMYFUNCTION("""COMPUTED_VALUE"""),157.0)</f>
        <v>157</v>
      </c>
      <c r="E3797" s="9"/>
    </row>
    <row r="3798">
      <c r="A3798" s="10">
        <f>IFERROR(__xludf.DUMMYFUNCTION("""COMPUTED_VALUE"""),159197.0)</f>
        <v>159197</v>
      </c>
      <c r="B3798" s="11">
        <f>IFERROR(__xludf.DUMMYFUNCTION("""COMPUTED_VALUE"""),0.0)</f>
        <v>0</v>
      </c>
      <c r="C3798" s="11">
        <f>IFERROR(__xludf.DUMMYFUNCTION("""COMPUTED_VALUE"""),513.0)</f>
        <v>513</v>
      </c>
      <c r="D3798" s="11">
        <f>IFERROR(__xludf.DUMMYFUNCTION("""COMPUTED_VALUE"""),364.0)</f>
        <v>364</v>
      </c>
      <c r="E3798" s="9"/>
    </row>
    <row r="3799">
      <c r="A3799" s="10">
        <f>IFERROR(__xludf.DUMMYFUNCTION("""COMPUTED_VALUE"""),88268.0)</f>
        <v>88268</v>
      </c>
      <c r="B3799" s="11">
        <f>IFERROR(__xludf.DUMMYFUNCTION("""COMPUTED_VALUE"""),1.0)</f>
        <v>1</v>
      </c>
      <c r="C3799" s="11">
        <f>IFERROR(__xludf.DUMMYFUNCTION("""COMPUTED_VALUE"""),615.0)</f>
        <v>615</v>
      </c>
      <c r="D3799" s="11">
        <f>IFERROR(__xludf.DUMMYFUNCTION("""COMPUTED_VALUE"""),508.0)</f>
        <v>508</v>
      </c>
      <c r="E3799" s="9"/>
    </row>
    <row r="3800">
      <c r="A3800" s="10">
        <f>IFERROR(__xludf.DUMMYFUNCTION("""COMPUTED_VALUE"""),90913.0)</f>
        <v>90913</v>
      </c>
      <c r="B3800" s="11">
        <f>IFERROR(__xludf.DUMMYFUNCTION("""COMPUTED_VALUE"""),0.0)</f>
        <v>0</v>
      </c>
      <c r="C3800" s="11">
        <f>IFERROR(__xludf.DUMMYFUNCTION("""COMPUTED_VALUE"""),276.0)</f>
        <v>276</v>
      </c>
      <c r="D3800" s="11">
        <f>IFERROR(__xludf.DUMMYFUNCTION("""COMPUTED_VALUE"""),221.0)</f>
        <v>221</v>
      </c>
      <c r="E3800" s="9"/>
    </row>
    <row r="3801">
      <c r="A3801" s="10">
        <f>IFERROR(__xludf.DUMMYFUNCTION("""COMPUTED_VALUE"""),76365.0)</f>
        <v>76365</v>
      </c>
      <c r="B3801" s="11">
        <f>IFERROR(__xludf.DUMMYFUNCTION("""COMPUTED_VALUE"""),1.0)</f>
        <v>1</v>
      </c>
      <c r="C3801" s="11">
        <f>IFERROR(__xludf.DUMMYFUNCTION("""COMPUTED_VALUE"""),966.0)</f>
        <v>966</v>
      </c>
      <c r="D3801" s="11">
        <f>IFERROR(__xludf.DUMMYFUNCTION("""COMPUTED_VALUE"""),651.0)</f>
        <v>651</v>
      </c>
      <c r="E3801" s="9"/>
    </row>
    <row r="3802">
      <c r="A3802" s="10">
        <f>IFERROR(__xludf.DUMMYFUNCTION("""COMPUTED_VALUE"""),9205.0)</f>
        <v>9205</v>
      </c>
      <c r="B3802" s="11">
        <f>IFERROR(__xludf.DUMMYFUNCTION("""COMPUTED_VALUE"""),0.0)</f>
        <v>0</v>
      </c>
      <c r="C3802" s="11">
        <f>IFERROR(__xludf.DUMMYFUNCTION("""COMPUTED_VALUE"""),34.0)</f>
        <v>34</v>
      </c>
      <c r="D3802" s="11">
        <f>IFERROR(__xludf.DUMMYFUNCTION("""COMPUTED_VALUE"""),12.0)</f>
        <v>12</v>
      </c>
      <c r="E3802" s="9"/>
    </row>
    <row r="3803">
      <c r="A3803" s="10">
        <f>IFERROR(__xludf.DUMMYFUNCTION("""COMPUTED_VALUE"""),76363.0)</f>
        <v>76363</v>
      </c>
      <c r="B3803" s="11">
        <f>IFERROR(__xludf.DUMMYFUNCTION("""COMPUTED_VALUE"""),0.0)</f>
        <v>0</v>
      </c>
      <c r="C3803" s="11">
        <f>IFERROR(__xludf.DUMMYFUNCTION("""COMPUTED_VALUE"""),543.0)</f>
        <v>543</v>
      </c>
      <c r="D3803" s="11">
        <f>IFERROR(__xludf.DUMMYFUNCTION("""COMPUTED_VALUE"""),119.0)</f>
        <v>119</v>
      </c>
      <c r="E3803" s="9"/>
    </row>
    <row r="3804">
      <c r="A3804" s="10">
        <f>IFERROR(__xludf.DUMMYFUNCTION("""COMPUTED_VALUE"""),121967.0)</f>
        <v>121967</v>
      </c>
      <c r="B3804" s="11">
        <f>IFERROR(__xludf.DUMMYFUNCTION("""COMPUTED_VALUE"""),1.0)</f>
        <v>1</v>
      </c>
      <c r="C3804" s="11">
        <f>IFERROR(__xludf.DUMMYFUNCTION("""COMPUTED_VALUE"""),559.0)</f>
        <v>559</v>
      </c>
      <c r="D3804" s="11">
        <f>IFERROR(__xludf.DUMMYFUNCTION("""COMPUTED_VALUE"""),126.0)</f>
        <v>126</v>
      </c>
      <c r="E3804" s="9"/>
    </row>
    <row r="3805">
      <c r="A3805" s="10">
        <f>IFERROR(__xludf.DUMMYFUNCTION("""COMPUTED_VALUE"""),90935.0)</f>
        <v>90935</v>
      </c>
      <c r="B3805" s="11">
        <f>IFERROR(__xludf.DUMMYFUNCTION("""COMPUTED_VALUE"""),0.0)</f>
        <v>0</v>
      </c>
      <c r="C3805" s="11">
        <f>IFERROR(__xludf.DUMMYFUNCTION("""COMPUTED_VALUE"""),191.0)</f>
        <v>191</v>
      </c>
      <c r="D3805" s="11">
        <f>IFERROR(__xludf.DUMMYFUNCTION("""COMPUTED_VALUE"""),165.0)</f>
        <v>165</v>
      </c>
      <c r="E3805" s="9"/>
    </row>
    <row r="3806">
      <c r="A3806" s="10">
        <f>IFERROR(__xludf.DUMMYFUNCTION("""COMPUTED_VALUE"""),87126.0)</f>
        <v>87126</v>
      </c>
      <c r="B3806" s="11">
        <f>IFERROR(__xludf.DUMMYFUNCTION("""COMPUTED_VALUE"""),0.0)</f>
        <v>0</v>
      </c>
      <c r="C3806" s="11">
        <f>IFERROR(__xludf.DUMMYFUNCTION("""COMPUTED_VALUE"""),70.0)</f>
        <v>70</v>
      </c>
      <c r="D3806" s="11">
        <f>IFERROR(__xludf.DUMMYFUNCTION("""COMPUTED_VALUE"""),49.0)</f>
        <v>49</v>
      </c>
      <c r="E3806" s="9"/>
    </row>
    <row r="3807">
      <c r="A3807" s="10">
        <f>IFERROR(__xludf.DUMMYFUNCTION("""COMPUTED_VALUE"""),90928.0)</f>
        <v>90928</v>
      </c>
      <c r="B3807" s="11">
        <f>IFERROR(__xludf.DUMMYFUNCTION("""COMPUTED_VALUE"""),0.0)</f>
        <v>0</v>
      </c>
      <c r="C3807" s="11">
        <f>IFERROR(__xludf.DUMMYFUNCTION("""COMPUTED_VALUE"""),575.0)</f>
        <v>575</v>
      </c>
      <c r="D3807" s="11">
        <f>IFERROR(__xludf.DUMMYFUNCTION("""COMPUTED_VALUE"""),499.0)</f>
        <v>499</v>
      </c>
      <c r="E3807" s="9"/>
    </row>
    <row r="3808">
      <c r="A3808" s="10">
        <f>IFERROR(__xludf.DUMMYFUNCTION("""COMPUTED_VALUE"""),90912.0)</f>
        <v>90912</v>
      </c>
      <c r="B3808" s="11">
        <f>IFERROR(__xludf.DUMMYFUNCTION("""COMPUTED_VALUE"""),1.0)</f>
        <v>1</v>
      </c>
      <c r="C3808" s="11">
        <f>IFERROR(__xludf.DUMMYFUNCTION("""COMPUTED_VALUE"""),841.0)</f>
        <v>841</v>
      </c>
      <c r="D3808" s="11">
        <f>IFERROR(__xludf.DUMMYFUNCTION("""COMPUTED_VALUE"""),618.0)</f>
        <v>618</v>
      </c>
      <c r="E3808" s="9"/>
    </row>
    <row r="3809">
      <c r="A3809" s="10">
        <f>IFERROR(__xludf.DUMMYFUNCTION("""COMPUTED_VALUE"""),48508.0)</f>
        <v>48508</v>
      </c>
      <c r="B3809" s="11">
        <f>IFERROR(__xludf.DUMMYFUNCTION("""COMPUTED_VALUE"""),1.0)</f>
        <v>1</v>
      </c>
      <c r="C3809" s="11">
        <f>IFERROR(__xludf.DUMMYFUNCTION("""COMPUTED_VALUE"""),97.0)</f>
        <v>97</v>
      </c>
      <c r="D3809" s="11">
        <f>IFERROR(__xludf.DUMMYFUNCTION("""COMPUTED_VALUE"""),12.0)</f>
        <v>12</v>
      </c>
      <c r="E3809" s="9"/>
    </row>
    <row r="3810">
      <c r="A3810" s="10">
        <f>IFERROR(__xludf.DUMMYFUNCTION("""COMPUTED_VALUE"""),90853.0)</f>
        <v>90853</v>
      </c>
      <c r="B3810" s="11">
        <f>IFERROR(__xludf.DUMMYFUNCTION("""COMPUTED_VALUE"""),0.0)</f>
        <v>0</v>
      </c>
      <c r="C3810" s="11">
        <f>IFERROR(__xludf.DUMMYFUNCTION("""COMPUTED_VALUE"""),264.0)</f>
        <v>264</v>
      </c>
      <c r="D3810" s="11">
        <f>IFERROR(__xludf.DUMMYFUNCTION("""COMPUTED_VALUE"""),16.0)</f>
        <v>16</v>
      </c>
      <c r="E3810" s="9"/>
    </row>
    <row r="3811">
      <c r="A3811" s="10">
        <f>IFERROR(__xludf.DUMMYFUNCTION("""COMPUTED_VALUE"""),117628.0)</f>
        <v>117628</v>
      </c>
      <c r="B3811" s="11">
        <f>IFERROR(__xludf.DUMMYFUNCTION("""COMPUTED_VALUE"""),0.0)</f>
        <v>0</v>
      </c>
      <c r="C3811" s="11">
        <f>IFERROR(__xludf.DUMMYFUNCTION("""COMPUTED_VALUE"""),296.0)</f>
        <v>296</v>
      </c>
      <c r="D3811" s="11">
        <f>IFERROR(__xludf.DUMMYFUNCTION("""COMPUTED_VALUE"""),85.0)</f>
        <v>85</v>
      </c>
      <c r="E3811" s="9"/>
    </row>
    <row r="3812">
      <c r="A3812" s="10">
        <f>IFERROR(__xludf.DUMMYFUNCTION("""COMPUTED_VALUE"""),5699.0)</f>
        <v>5699</v>
      </c>
      <c r="B3812" s="11">
        <f>IFERROR(__xludf.DUMMYFUNCTION("""COMPUTED_VALUE"""),0.0)</f>
        <v>0</v>
      </c>
      <c r="C3812" s="11">
        <f>IFERROR(__xludf.DUMMYFUNCTION("""COMPUTED_VALUE"""),124.0)</f>
        <v>124</v>
      </c>
      <c r="D3812" s="11">
        <f>IFERROR(__xludf.DUMMYFUNCTION("""COMPUTED_VALUE"""),4.0)</f>
        <v>4</v>
      </c>
      <c r="E3812" s="9"/>
    </row>
    <row r="3813">
      <c r="A3813" s="10">
        <f>IFERROR(__xludf.DUMMYFUNCTION("""COMPUTED_VALUE"""),5735.0)</f>
        <v>5735</v>
      </c>
      <c r="B3813" s="11">
        <f>IFERROR(__xludf.DUMMYFUNCTION("""COMPUTED_VALUE"""),0.0)</f>
        <v>0</v>
      </c>
      <c r="C3813" s="11">
        <f>IFERROR(__xludf.DUMMYFUNCTION("""COMPUTED_VALUE"""),405.0)</f>
        <v>405</v>
      </c>
      <c r="D3813" s="11">
        <f>IFERROR(__xludf.DUMMYFUNCTION("""COMPUTED_VALUE"""),193.0)</f>
        <v>193</v>
      </c>
      <c r="E3813" s="9"/>
    </row>
    <row r="3814">
      <c r="A3814" s="10">
        <f>IFERROR(__xludf.DUMMYFUNCTION("""COMPUTED_VALUE"""),109832.0)</f>
        <v>109832</v>
      </c>
      <c r="B3814" s="11">
        <f>IFERROR(__xludf.DUMMYFUNCTION("""COMPUTED_VALUE"""),1.0)</f>
        <v>1</v>
      </c>
      <c r="C3814" s="11">
        <f>IFERROR(__xludf.DUMMYFUNCTION("""COMPUTED_VALUE"""),188.0)</f>
        <v>188</v>
      </c>
      <c r="D3814" s="11">
        <f>IFERROR(__xludf.DUMMYFUNCTION("""COMPUTED_VALUE"""),133.0)</f>
        <v>133</v>
      </c>
      <c r="E3814" s="9"/>
    </row>
    <row r="3815">
      <c r="A3815" s="10">
        <f>IFERROR(__xludf.DUMMYFUNCTION("""COMPUTED_VALUE"""),122675.0)</f>
        <v>122675</v>
      </c>
      <c r="B3815" s="11">
        <f>IFERROR(__xludf.DUMMYFUNCTION("""COMPUTED_VALUE"""),0.0)</f>
        <v>0</v>
      </c>
      <c r="C3815" s="11">
        <f>IFERROR(__xludf.DUMMYFUNCTION("""COMPUTED_VALUE"""),24.0)</f>
        <v>24</v>
      </c>
      <c r="D3815" s="11">
        <f>IFERROR(__xludf.DUMMYFUNCTION("""COMPUTED_VALUE"""),7.0)</f>
        <v>7</v>
      </c>
      <c r="E3815" s="9"/>
    </row>
    <row r="3816">
      <c r="A3816" s="10">
        <f>IFERROR(__xludf.DUMMYFUNCTION("""COMPUTED_VALUE"""),87225.0)</f>
        <v>87225</v>
      </c>
      <c r="B3816" s="11">
        <f>IFERROR(__xludf.DUMMYFUNCTION("""COMPUTED_VALUE"""),0.0)</f>
        <v>0</v>
      </c>
      <c r="C3816" s="11">
        <f>IFERROR(__xludf.DUMMYFUNCTION("""COMPUTED_VALUE"""),509.0)</f>
        <v>509</v>
      </c>
      <c r="D3816" s="11">
        <f>IFERROR(__xludf.DUMMYFUNCTION("""COMPUTED_VALUE"""),432.0)</f>
        <v>432</v>
      </c>
      <c r="E3816" s="9"/>
    </row>
    <row r="3817">
      <c r="A3817" s="10">
        <f>IFERROR(__xludf.DUMMYFUNCTION("""COMPUTED_VALUE"""),82373.0)</f>
        <v>82373</v>
      </c>
      <c r="B3817" s="11">
        <f>IFERROR(__xludf.DUMMYFUNCTION("""COMPUTED_VALUE"""),1.0)</f>
        <v>1</v>
      </c>
      <c r="C3817" s="11">
        <f>IFERROR(__xludf.DUMMYFUNCTION("""COMPUTED_VALUE"""),199.0)</f>
        <v>199</v>
      </c>
      <c r="D3817" s="11">
        <f>IFERROR(__xludf.DUMMYFUNCTION("""COMPUTED_VALUE"""),85.0)</f>
        <v>85</v>
      </c>
      <c r="E3817" s="9"/>
    </row>
    <row r="3818">
      <c r="A3818" s="10">
        <f>IFERROR(__xludf.DUMMYFUNCTION("""COMPUTED_VALUE"""),77254.0)</f>
        <v>77254</v>
      </c>
      <c r="B3818" s="11">
        <f>IFERROR(__xludf.DUMMYFUNCTION("""COMPUTED_VALUE"""),1.0)</f>
        <v>1</v>
      </c>
      <c r="C3818" s="11">
        <f>IFERROR(__xludf.DUMMYFUNCTION("""COMPUTED_VALUE"""),581.0)</f>
        <v>581</v>
      </c>
      <c r="D3818" s="11">
        <f>IFERROR(__xludf.DUMMYFUNCTION("""COMPUTED_VALUE"""),500.0)</f>
        <v>500</v>
      </c>
      <c r="E3818" s="9"/>
    </row>
    <row r="3819">
      <c r="A3819" s="10">
        <f>IFERROR(__xludf.DUMMYFUNCTION("""COMPUTED_VALUE"""),5742.0)</f>
        <v>5742</v>
      </c>
      <c r="B3819" s="11">
        <f>IFERROR(__xludf.DUMMYFUNCTION("""COMPUTED_VALUE"""),1.0)</f>
        <v>1</v>
      </c>
      <c r="C3819" s="11">
        <f>IFERROR(__xludf.DUMMYFUNCTION("""COMPUTED_VALUE"""),978.0)</f>
        <v>978</v>
      </c>
      <c r="D3819" s="11">
        <f>IFERROR(__xludf.DUMMYFUNCTION("""COMPUTED_VALUE"""),183.0)</f>
        <v>183</v>
      </c>
      <c r="E3819" s="9"/>
    </row>
    <row r="3820">
      <c r="A3820" s="10">
        <f>IFERROR(__xludf.DUMMYFUNCTION("""COMPUTED_VALUE"""),117622.0)</f>
        <v>117622</v>
      </c>
      <c r="B3820" s="11">
        <f>IFERROR(__xludf.DUMMYFUNCTION("""COMPUTED_VALUE"""),1.0)</f>
        <v>1</v>
      </c>
      <c r="C3820" s="11">
        <f>IFERROR(__xludf.DUMMYFUNCTION("""COMPUTED_VALUE"""),517.0)</f>
        <v>517</v>
      </c>
      <c r="D3820" s="11">
        <f>IFERROR(__xludf.DUMMYFUNCTION("""COMPUTED_VALUE"""),348.0)</f>
        <v>348</v>
      </c>
      <c r="E3820" s="9"/>
    </row>
    <row r="3821">
      <c r="A3821" s="10">
        <f>IFERROR(__xludf.DUMMYFUNCTION("""COMPUTED_VALUE"""),77255.0)</f>
        <v>77255</v>
      </c>
      <c r="B3821" s="11">
        <f>IFERROR(__xludf.DUMMYFUNCTION("""COMPUTED_VALUE"""),1.0)</f>
        <v>1</v>
      </c>
      <c r="C3821" s="11">
        <f>IFERROR(__xludf.DUMMYFUNCTION("""COMPUTED_VALUE"""),605.0)</f>
        <v>605</v>
      </c>
      <c r="D3821" s="11">
        <f>IFERROR(__xludf.DUMMYFUNCTION("""COMPUTED_VALUE"""),183.0)</f>
        <v>183</v>
      </c>
      <c r="E3821" s="9"/>
    </row>
    <row r="3822">
      <c r="A3822" s="10">
        <f>IFERROR(__xludf.DUMMYFUNCTION("""COMPUTED_VALUE"""),101964.0)</f>
        <v>101964</v>
      </c>
      <c r="B3822" s="11">
        <f>IFERROR(__xludf.DUMMYFUNCTION("""COMPUTED_VALUE"""),1.0)</f>
        <v>1</v>
      </c>
      <c r="C3822" s="11">
        <f>IFERROR(__xludf.DUMMYFUNCTION("""COMPUTED_VALUE"""),139.0)</f>
        <v>139</v>
      </c>
      <c r="D3822" s="11">
        <f>IFERROR(__xludf.DUMMYFUNCTION("""COMPUTED_VALUE"""),62.0)</f>
        <v>62</v>
      </c>
      <c r="E3822" s="9"/>
    </row>
    <row r="3823">
      <c r="A3823" s="10">
        <f>IFERROR(__xludf.DUMMYFUNCTION("""COMPUTED_VALUE"""),48491.0)</f>
        <v>48491</v>
      </c>
      <c r="B3823" s="11">
        <f>IFERROR(__xludf.DUMMYFUNCTION("""COMPUTED_VALUE"""),1.0)</f>
        <v>1</v>
      </c>
      <c r="C3823" s="11">
        <f>IFERROR(__xludf.DUMMYFUNCTION("""COMPUTED_VALUE"""),266.0)</f>
        <v>266</v>
      </c>
      <c r="D3823" s="11">
        <f>IFERROR(__xludf.DUMMYFUNCTION("""COMPUTED_VALUE"""),108.0)</f>
        <v>108</v>
      </c>
      <c r="E3823" s="9"/>
    </row>
    <row r="3824">
      <c r="A3824" s="10">
        <f>IFERROR(__xludf.DUMMYFUNCTION("""COMPUTED_VALUE"""),82368.0)</f>
        <v>82368</v>
      </c>
      <c r="B3824" s="11">
        <f>IFERROR(__xludf.DUMMYFUNCTION("""COMPUTED_VALUE"""),0.0)</f>
        <v>0</v>
      </c>
      <c r="C3824" s="11">
        <f>IFERROR(__xludf.DUMMYFUNCTION("""COMPUTED_VALUE"""),367.0)</f>
        <v>367</v>
      </c>
      <c r="D3824" s="11">
        <f>IFERROR(__xludf.DUMMYFUNCTION("""COMPUTED_VALUE"""),335.0)</f>
        <v>335</v>
      </c>
      <c r="E3824" s="9"/>
    </row>
    <row r="3825">
      <c r="A3825" s="10">
        <f>IFERROR(__xludf.DUMMYFUNCTION("""COMPUTED_VALUE"""),82367.0)</f>
        <v>82367</v>
      </c>
      <c r="B3825" s="11">
        <f>IFERROR(__xludf.DUMMYFUNCTION("""COMPUTED_VALUE"""),1.0)</f>
        <v>1</v>
      </c>
      <c r="C3825" s="11">
        <f>IFERROR(__xludf.DUMMYFUNCTION("""COMPUTED_VALUE"""),414.0)</f>
        <v>414</v>
      </c>
      <c r="D3825" s="11">
        <f>IFERROR(__xludf.DUMMYFUNCTION("""COMPUTED_VALUE"""),66.0)</f>
        <v>66</v>
      </c>
      <c r="E3825" s="9"/>
    </row>
    <row r="3826">
      <c r="A3826" s="10">
        <f>IFERROR(__xludf.DUMMYFUNCTION("""COMPUTED_VALUE"""),118426.0)</f>
        <v>118426</v>
      </c>
      <c r="B3826" s="11">
        <f>IFERROR(__xludf.DUMMYFUNCTION("""COMPUTED_VALUE"""),1.0)</f>
        <v>1</v>
      </c>
      <c r="C3826" s="11">
        <f>IFERROR(__xludf.DUMMYFUNCTION("""COMPUTED_VALUE"""),730.0)</f>
        <v>730</v>
      </c>
      <c r="D3826" s="11">
        <f>IFERROR(__xludf.DUMMYFUNCTION("""COMPUTED_VALUE"""),54.0)</f>
        <v>54</v>
      </c>
      <c r="E3826" s="9"/>
    </row>
    <row r="3827">
      <c r="A3827" s="10">
        <f>IFERROR(__xludf.DUMMYFUNCTION("""COMPUTED_VALUE"""),5068.0)</f>
        <v>5068</v>
      </c>
      <c r="B3827" s="11">
        <f>IFERROR(__xludf.DUMMYFUNCTION("""COMPUTED_VALUE"""),0.0)</f>
        <v>0</v>
      </c>
      <c r="C3827" s="11">
        <f>IFERROR(__xludf.DUMMYFUNCTION("""COMPUTED_VALUE"""),221.0)</f>
        <v>221</v>
      </c>
      <c r="D3827" s="11">
        <f>IFERROR(__xludf.DUMMYFUNCTION("""COMPUTED_VALUE"""),121.0)</f>
        <v>121</v>
      </c>
      <c r="E3827" s="9"/>
    </row>
    <row r="3828">
      <c r="A3828" s="10">
        <f>IFERROR(__xludf.DUMMYFUNCTION("""COMPUTED_VALUE"""),84660.0)</f>
        <v>84660</v>
      </c>
      <c r="B3828" s="11">
        <f>IFERROR(__xludf.DUMMYFUNCTION("""COMPUTED_VALUE"""),1.0)</f>
        <v>1</v>
      </c>
      <c r="C3828" s="11">
        <f>IFERROR(__xludf.DUMMYFUNCTION("""COMPUTED_VALUE"""),504.0)</f>
        <v>504</v>
      </c>
      <c r="D3828" s="11">
        <f>IFERROR(__xludf.DUMMYFUNCTION("""COMPUTED_VALUE"""),265.0)</f>
        <v>265</v>
      </c>
      <c r="E3828" s="9"/>
    </row>
    <row r="3829">
      <c r="A3829" s="10">
        <f>IFERROR(__xludf.DUMMYFUNCTION("""COMPUTED_VALUE"""),5070.0)</f>
        <v>5070</v>
      </c>
      <c r="B3829" s="11">
        <f>IFERROR(__xludf.DUMMYFUNCTION("""COMPUTED_VALUE"""),0.0)</f>
        <v>0</v>
      </c>
      <c r="C3829" s="11">
        <f>IFERROR(__xludf.DUMMYFUNCTION("""COMPUTED_VALUE"""),5.0)</f>
        <v>5</v>
      </c>
      <c r="D3829" s="11">
        <f>IFERROR(__xludf.DUMMYFUNCTION("""COMPUTED_VALUE"""),4.0)</f>
        <v>4</v>
      </c>
      <c r="E3829" s="9"/>
    </row>
    <row r="3830">
      <c r="A3830" s="10">
        <f>IFERROR(__xludf.DUMMYFUNCTION("""COMPUTED_VALUE"""),84681.0)</f>
        <v>84681</v>
      </c>
      <c r="B3830" s="11">
        <f>IFERROR(__xludf.DUMMYFUNCTION("""COMPUTED_VALUE"""),1.0)</f>
        <v>1</v>
      </c>
      <c r="C3830" s="11">
        <f>IFERROR(__xludf.DUMMYFUNCTION("""COMPUTED_VALUE"""),899.0)</f>
        <v>899</v>
      </c>
      <c r="D3830" s="11">
        <f>IFERROR(__xludf.DUMMYFUNCTION("""COMPUTED_VALUE"""),13.0)</f>
        <v>13</v>
      </c>
      <c r="E3830" s="9"/>
    </row>
    <row r="3831">
      <c r="A3831" s="10">
        <f>IFERROR(__xludf.DUMMYFUNCTION("""COMPUTED_VALUE"""),102596.0)</f>
        <v>102596</v>
      </c>
      <c r="B3831" s="11">
        <f>IFERROR(__xludf.DUMMYFUNCTION("""COMPUTED_VALUE"""),1.0)</f>
        <v>1</v>
      </c>
      <c r="C3831" s="11">
        <f>IFERROR(__xludf.DUMMYFUNCTION("""COMPUTED_VALUE"""),940.0)</f>
        <v>940</v>
      </c>
      <c r="D3831" s="11">
        <f>IFERROR(__xludf.DUMMYFUNCTION("""COMPUTED_VALUE"""),477.0)</f>
        <v>477</v>
      </c>
      <c r="E3831" s="9"/>
    </row>
    <row r="3832">
      <c r="A3832" s="10">
        <f>IFERROR(__xludf.DUMMYFUNCTION("""COMPUTED_VALUE"""),5037.0)</f>
        <v>5037</v>
      </c>
      <c r="B3832" s="11">
        <f>IFERROR(__xludf.DUMMYFUNCTION("""COMPUTED_VALUE"""),0.0)</f>
        <v>0</v>
      </c>
      <c r="C3832" s="11">
        <f>IFERROR(__xludf.DUMMYFUNCTION("""COMPUTED_VALUE"""),665.0)</f>
        <v>665</v>
      </c>
      <c r="D3832" s="11">
        <f>IFERROR(__xludf.DUMMYFUNCTION("""COMPUTED_VALUE"""),8.0)</f>
        <v>8</v>
      </c>
      <c r="E3832" s="9"/>
    </row>
    <row r="3833">
      <c r="A3833" s="10">
        <f>IFERROR(__xludf.DUMMYFUNCTION("""COMPUTED_VALUE"""),5052.0)</f>
        <v>5052</v>
      </c>
      <c r="B3833" s="11">
        <f>IFERROR(__xludf.DUMMYFUNCTION("""COMPUTED_VALUE"""),1.0)</f>
        <v>1</v>
      </c>
      <c r="C3833" s="11">
        <f>IFERROR(__xludf.DUMMYFUNCTION("""COMPUTED_VALUE"""),118.0)</f>
        <v>118</v>
      </c>
      <c r="D3833" s="11">
        <f>IFERROR(__xludf.DUMMYFUNCTION("""COMPUTED_VALUE"""),70.0)</f>
        <v>70</v>
      </c>
      <c r="E3833" s="9"/>
    </row>
    <row r="3834">
      <c r="A3834" s="10">
        <f>IFERROR(__xludf.DUMMYFUNCTION("""COMPUTED_VALUE"""),5051.0)</f>
        <v>5051</v>
      </c>
      <c r="B3834" s="11">
        <f>IFERROR(__xludf.DUMMYFUNCTION("""COMPUTED_VALUE"""),0.0)</f>
        <v>0</v>
      </c>
      <c r="C3834" s="11">
        <f>IFERROR(__xludf.DUMMYFUNCTION("""COMPUTED_VALUE"""),672.0)</f>
        <v>672</v>
      </c>
      <c r="D3834" s="11">
        <f>IFERROR(__xludf.DUMMYFUNCTION("""COMPUTED_VALUE"""),78.0)</f>
        <v>78</v>
      </c>
      <c r="E3834" s="9"/>
    </row>
    <row r="3835">
      <c r="A3835" s="10">
        <f>IFERROR(__xludf.DUMMYFUNCTION("""COMPUTED_VALUE"""),102647.0)</f>
        <v>102647</v>
      </c>
      <c r="B3835" s="11">
        <f>IFERROR(__xludf.DUMMYFUNCTION("""COMPUTED_VALUE"""),0.0)</f>
        <v>0</v>
      </c>
      <c r="C3835" s="11">
        <f>IFERROR(__xludf.DUMMYFUNCTION("""COMPUTED_VALUE"""),953.0)</f>
        <v>953</v>
      </c>
      <c r="D3835" s="11">
        <f>IFERROR(__xludf.DUMMYFUNCTION("""COMPUTED_VALUE"""),785.0)</f>
        <v>785</v>
      </c>
      <c r="E3835" s="9"/>
    </row>
    <row r="3836">
      <c r="A3836" s="10">
        <f>IFERROR(__xludf.DUMMYFUNCTION("""COMPUTED_VALUE"""),5061.0)</f>
        <v>5061</v>
      </c>
      <c r="B3836" s="11">
        <f>IFERROR(__xludf.DUMMYFUNCTION("""COMPUTED_VALUE"""),0.0)</f>
        <v>0</v>
      </c>
      <c r="C3836" s="11">
        <f>IFERROR(__xludf.DUMMYFUNCTION("""COMPUTED_VALUE"""),624.0)</f>
        <v>624</v>
      </c>
      <c r="D3836" s="11">
        <f>IFERROR(__xludf.DUMMYFUNCTION("""COMPUTED_VALUE"""),291.0)</f>
        <v>291</v>
      </c>
      <c r="E3836" s="9"/>
    </row>
    <row r="3837">
      <c r="A3837" s="10">
        <f>IFERROR(__xludf.DUMMYFUNCTION("""COMPUTED_VALUE"""),102649.0)</f>
        <v>102649</v>
      </c>
      <c r="B3837" s="11">
        <f>IFERROR(__xludf.DUMMYFUNCTION("""COMPUTED_VALUE"""),1.0)</f>
        <v>1</v>
      </c>
      <c r="C3837" s="11">
        <f>IFERROR(__xludf.DUMMYFUNCTION("""COMPUTED_VALUE"""),660.0)</f>
        <v>660</v>
      </c>
      <c r="D3837" s="11">
        <f>IFERROR(__xludf.DUMMYFUNCTION("""COMPUTED_VALUE"""),439.0)</f>
        <v>439</v>
      </c>
      <c r="E3837" s="9"/>
    </row>
    <row r="3838">
      <c r="A3838" s="10">
        <f>IFERROR(__xludf.DUMMYFUNCTION("""COMPUTED_VALUE"""),102662.0)</f>
        <v>102662</v>
      </c>
      <c r="B3838" s="11">
        <f>IFERROR(__xludf.DUMMYFUNCTION("""COMPUTED_VALUE"""),0.0)</f>
        <v>0</v>
      </c>
      <c r="C3838" s="11">
        <f>IFERROR(__xludf.DUMMYFUNCTION("""COMPUTED_VALUE"""),138.0)</f>
        <v>138</v>
      </c>
      <c r="D3838" s="11">
        <f>IFERROR(__xludf.DUMMYFUNCTION("""COMPUTED_VALUE"""),101.0)</f>
        <v>101</v>
      </c>
      <c r="E3838" s="9"/>
    </row>
    <row r="3839">
      <c r="A3839" s="10">
        <f>IFERROR(__xludf.DUMMYFUNCTION("""COMPUTED_VALUE"""),108337.0)</f>
        <v>108337</v>
      </c>
      <c r="B3839" s="11">
        <f>IFERROR(__xludf.DUMMYFUNCTION("""COMPUTED_VALUE"""),1.0)</f>
        <v>1</v>
      </c>
      <c r="C3839" s="11">
        <f>IFERROR(__xludf.DUMMYFUNCTION("""COMPUTED_VALUE"""),643.0)</f>
        <v>643</v>
      </c>
      <c r="D3839" s="11">
        <f>IFERROR(__xludf.DUMMYFUNCTION("""COMPUTED_VALUE"""),595.0)</f>
        <v>595</v>
      </c>
      <c r="E3839" s="9"/>
    </row>
    <row r="3840">
      <c r="A3840" s="10">
        <f>IFERROR(__xludf.DUMMYFUNCTION("""COMPUTED_VALUE"""),188352.0)</f>
        <v>188352</v>
      </c>
      <c r="B3840" s="11">
        <f>IFERROR(__xludf.DUMMYFUNCTION("""COMPUTED_VALUE"""),1.0)</f>
        <v>1</v>
      </c>
      <c r="C3840" s="11">
        <f>IFERROR(__xludf.DUMMYFUNCTION("""COMPUTED_VALUE"""),654.0)</f>
        <v>654</v>
      </c>
      <c r="D3840" s="11">
        <f>IFERROR(__xludf.DUMMYFUNCTION("""COMPUTED_VALUE"""),198.0)</f>
        <v>198</v>
      </c>
      <c r="E3840" s="9"/>
    </row>
    <row r="3841">
      <c r="A3841" s="10">
        <f>IFERROR(__xludf.DUMMYFUNCTION("""COMPUTED_VALUE"""),11459.0)</f>
        <v>11459</v>
      </c>
      <c r="B3841" s="11">
        <f>IFERROR(__xludf.DUMMYFUNCTION("""COMPUTED_VALUE"""),1.0)</f>
        <v>1</v>
      </c>
      <c r="C3841" s="11">
        <f>IFERROR(__xludf.DUMMYFUNCTION("""COMPUTED_VALUE"""),242.0)</f>
        <v>242</v>
      </c>
      <c r="D3841" s="11">
        <f>IFERROR(__xludf.DUMMYFUNCTION("""COMPUTED_VALUE"""),136.0)</f>
        <v>136</v>
      </c>
      <c r="E3841" s="9"/>
    </row>
    <row r="3842">
      <c r="A3842" s="10">
        <f>IFERROR(__xludf.DUMMYFUNCTION("""COMPUTED_VALUE"""),11443.0)</f>
        <v>11443</v>
      </c>
      <c r="B3842" s="11">
        <f>IFERROR(__xludf.DUMMYFUNCTION("""COMPUTED_VALUE"""),1.0)</f>
        <v>1</v>
      </c>
      <c r="C3842" s="11">
        <f>IFERROR(__xludf.DUMMYFUNCTION("""COMPUTED_VALUE"""),61.0)</f>
        <v>61</v>
      </c>
      <c r="D3842" s="11">
        <f>IFERROR(__xludf.DUMMYFUNCTION("""COMPUTED_VALUE"""),17.0)</f>
        <v>17</v>
      </c>
      <c r="E3842" s="9"/>
    </row>
    <row r="3843">
      <c r="A3843" s="10">
        <f>IFERROR(__xludf.DUMMYFUNCTION("""COMPUTED_VALUE"""),70560.0)</f>
        <v>70560</v>
      </c>
      <c r="B3843" s="11">
        <f>IFERROR(__xludf.DUMMYFUNCTION("""COMPUTED_VALUE"""),0.0)</f>
        <v>0</v>
      </c>
      <c r="C3843" s="11">
        <f>IFERROR(__xludf.DUMMYFUNCTION("""COMPUTED_VALUE"""),115.0)</f>
        <v>115</v>
      </c>
      <c r="D3843" s="11">
        <f>IFERROR(__xludf.DUMMYFUNCTION("""COMPUTED_VALUE"""),7.0)</f>
        <v>7</v>
      </c>
      <c r="E3843" s="9"/>
    </row>
    <row r="3844">
      <c r="A3844" s="10">
        <f>IFERROR(__xludf.DUMMYFUNCTION("""COMPUTED_VALUE"""),110363.0)</f>
        <v>110363</v>
      </c>
      <c r="B3844" s="11">
        <f>IFERROR(__xludf.DUMMYFUNCTION("""COMPUTED_VALUE"""),0.0)</f>
        <v>0</v>
      </c>
      <c r="C3844" s="11">
        <f>IFERROR(__xludf.DUMMYFUNCTION("""COMPUTED_VALUE"""),739.0)</f>
        <v>739</v>
      </c>
      <c r="D3844" s="11">
        <f>IFERROR(__xludf.DUMMYFUNCTION("""COMPUTED_VALUE"""),433.0)</f>
        <v>433</v>
      </c>
      <c r="E3844" s="9"/>
    </row>
    <row r="3845">
      <c r="A3845" s="10">
        <f>IFERROR(__xludf.DUMMYFUNCTION("""COMPUTED_VALUE"""),11449.0)</f>
        <v>11449</v>
      </c>
      <c r="B3845" s="11">
        <f>IFERROR(__xludf.DUMMYFUNCTION("""COMPUTED_VALUE"""),1.0)</f>
        <v>1</v>
      </c>
      <c r="C3845" s="11">
        <f>IFERROR(__xludf.DUMMYFUNCTION("""COMPUTED_VALUE"""),939.0)</f>
        <v>939</v>
      </c>
      <c r="D3845" s="11">
        <f>IFERROR(__xludf.DUMMYFUNCTION("""COMPUTED_VALUE"""),925.0)</f>
        <v>925</v>
      </c>
      <c r="E3845" s="9"/>
    </row>
    <row r="3846">
      <c r="A3846" s="10">
        <f>IFERROR(__xludf.DUMMYFUNCTION("""COMPUTED_VALUE"""),119793.0)</f>
        <v>119793</v>
      </c>
      <c r="B3846" s="11">
        <f>IFERROR(__xludf.DUMMYFUNCTION("""COMPUTED_VALUE"""),1.0)</f>
        <v>1</v>
      </c>
      <c r="C3846" s="11">
        <f>IFERROR(__xludf.DUMMYFUNCTION("""COMPUTED_VALUE"""),17.0)</f>
        <v>17</v>
      </c>
      <c r="D3846" s="11">
        <f>IFERROR(__xludf.DUMMYFUNCTION("""COMPUTED_VALUE"""),14.0)</f>
        <v>14</v>
      </c>
      <c r="E3846" s="9"/>
    </row>
    <row r="3847">
      <c r="A3847" s="10">
        <f>IFERROR(__xludf.DUMMYFUNCTION("""COMPUTED_VALUE"""),41107.0)</f>
        <v>41107</v>
      </c>
      <c r="B3847" s="11">
        <f>IFERROR(__xludf.DUMMYFUNCTION("""COMPUTED_VALUE"""),1.0)</f>
        <v>1</v>
      </c>
      <c r="C3847" s="11">
        <f>IFERROR(__xludf.DUMMYFUNCTION("""COMPUTED_VALUE"""),753.0)</f>
        <v>753</v>
      </c>
      <c r="D3847" s="11">
        <f>IFERROR(__xludf.DUMMYFUNCTION("""COMPUTED_VALUE"""),568.0)</f>
        <v>568</v>
      </c>
      <c r="E3847" s="9"/>
    </row>
    <row r="3848">
      <c r="A3848" s="10">
        <f>IFERROR(__xludf.DUMMYFUNCTION("""COMPUTED_VALUE"""),78358.0)</f>
        <v>78358</v>
      </c>
      <c r="B3848" s="11">
        <f>IFERROR(__xludf.DUMMYFUNCTION("""COMPUTED_VALUE"""),0.0)</f>
        <v>0</v>
      </c>
      <c r="C3848" s="11">
        <f>IFERROR(__xludf.DUMMYFUNCTION("""COMPUTED_VALUE"""),691.0)</f>
        <v>691</v>
      </c>
      <c r="D3848" s="11">
        <f>IFERROR(__xludf.DUMMYFUNCTION("""COMPUTED_VALUE"""),677.0)</f>
        <v>677</v>
      </c>
      <c r="E3848" s="9"/>
    </row>
    <row r="3849">
      <c r="A3849" s="10">
        <f>IFERROR(__xludf.DUMMYFUNCTION("""COMPUTED_VALUE"""),77048.0)</f>
        <v>77048</v>
      </c>
      <c r="B3849" s="11">
        <f>IFERROR(__xludf.DUMMYFUNCTION("""COMPUTED_VALUE"""),1.0)</f>
        <v>1</v>
      </c>
      <c r="C3849" s="11">
        <f>IFERROR(__xludf.DUMMYFUNCTION("""COMPUTED_VALUE"""),383.0)</f>
        <v>383</v>
      </c>
      <c r="D3849" s="11">
        <f>IFERROR(__xludf.DUMMYFUNCTION("""COMPUTED_VALUE"""),249.0)</f>
        <v>249</v>
      </c>
      <c r="E3849" s="9"/>
    </row>
    <row r="3850">
      <c r="A3850" s="10">
        <f>IFERROR(__xludf.DUMMYFUNCTION("""COMPUTED_VALUE"""),27428.0)</f>
        <v>27428</v>
      </c>
      <c r="B3850" s="11">
        <f>IFERROR(__xludf.DUMMYFUNCTION("""COMPUTED_VALUE"""),0.0)</f>
        <v>0</v>
      </c>
      <c r="C3850" s="11">
        <f>IFERROR(__xludf.DUMMYFUNCTION("""COMPUTED_VALUE"""),929.0)</f>
        <v>929</v>
      </c>
      <c r="D3850" s="11">
        <f>IFERROR(__xludf.DUMMYFUNCTION("""COMPUTED_VALUE"""),139.0)</f>
        <v>139</v>
      </c>
      <c r="E3850" s="9"/>
    </row>
    <row r="3851">
      <c r="A3851" s="10">
        <f>IFERROR(__xludf.DUMMYFUNCTION("""COMPUTED_VALUE"""),8530.0)</f>
        <v>8530</v>
      </c>
      <c r="B3851" s="11">
        <f>IFERROR(__xludf.DUMMYFUNCTION("""COMPUTED_VALUE"""),1.0)</f>
        <v>1</v>
      </c>
      <c r="C3851" s="11">
        <f>IFERROR(__xludf.DUMMYFUNCTION("""COMPUTED_VALUE"""),912.0)</f>
        <v>912</v>
      </c>
      <c r="D3851" s="11">
        <f>IFERROR(__xludf.DUMMYFUNCTION("""COMPUTED_VALUE"""),185.0)</f>
        <v>185</v>
      </c>
      <c r="E3851" s="9"/>
    </row>
    <row r="3852">
      <c r="A3852" s="10">
        <f>IFERROR(__xludf.DUMMYFUNCTION("""COMPUTED_VALUE"""),14281.0)</f>
        <v>14281</v>
      </c>
      <c r="B3852" s="11">
        <f>IFERROR(__xludf.DUMMYFUNCTION("""COMPUTED_VALUE"""),1.0)</f>
        <v>1</v>
      </c>
      <c r="C3852" s="11">
        <f>IFERROR(__xludf.DUMMYFUNCTION("""COMPUTED_VALUE"""),684.0)</f>
        <v>684</v>
      </c>
      <c r="D3852" s="11">
        <f>IFERROR(__xludf.DUMMYFUNCTION("""COMPUTED_VALUE"""),36.0)</f>
        <v>36</v>
      </c>
      <c r="E3852" s="9"/>
    </row>
    <row r="3853">
      <c r="A3853" s="10">
        <f>IFERROR(__xludf.DUMMYFUNCTION("""COMPUTED_VALUE"""),140582.0)</f>
        <v>140582</v>
      </c>
      <c r="B3853" s="11">
        <f>IFERROR(__xludf.DUMMYFUNCTION("""COMPUTED_VALUE"""),0.0)</f>
        <v>0</v>
      </c>
      <c r="C3853" s="11">
        <f>IFERROR(__xludf.DUMMYFUNCTION("""COMPUTED_VALUE"""),94.0)</f>
        <v>94</v>
      </c>
      <c r="D3853" s="11">
        <f>IFERROR(__xludf.DUMMYFUNCTION("""COMPUTED_VALUE"""),65.0)</f>
        <v>65</v>
      </c>
      <c r="E3853" s="9"/>
    </row>
    <row r="3854">
      <c r="A3854" s="10">
        <f>IFERROR(__xludf.DUMMYFUNCTION("""COMPUTED_VALUE"""),98895.0)</f>
        <v>98895</v>
      </c>
      <c r="B3854" s="11">
        <f>IFERROR(__xludf.DUMMYFUNCTION("""COMPUTED_VALUE"""),1.0)</f>
        <v>1</v>
      </c>
      <c r="C3854" s="11">
        <f>IFERROR(__xludf.DUMMYFUNCTION("""COMPUTED_VALUE"""),534.0)</f>
        <v>534</v>
      </c>
      <c r="D3854" s="11">
        <f>IFERROR(__xludf.DUMMYFUNCTION("""COMPUTED_VALUE"""),75.0)</f>
        <v>75</v>
      </c>
      <c r="E3854" s="9"/>
    </row>
    <row r="3855">
      <c r="A3855" s="10">
        <f>IFERROR(__xludf.DUMMYFUNCTION("""COMPUTED_VALUE"""),77491.0)</f>
        <v>77491</v>
      </c>
      <c r="B3855" s="11">
        <f>IFERROR(__xludf.DUMMYFUNCTION("""COMPUTED_VALUE"""),0.0)</f>
        <v>0</v>
      </c>
      <c r="C3855" s="11">
        <f>IFERROR(__xludf.DUMMYFUNCTION("""COMPUTED_VALUE"""),437.0)</f>
        <v>437</v>
      </c>
      <c r="D3855" s="11">
        <f>IFERROR(__xludf.DUMMYFUNCTION("""COMPUTED_VALUE"""),61.0)</f>
        <v>61</v>
      </c>
      <c r="E3855" s="9"/>
    </row>
    <row r="3856">
      <c r="A3856" s="10">
        <f>IFERROR(__xludf.DUMMYFUNCTION("""COMPUTED_VALUE"""),81704.0)</f>
        <v>81704</v>
      </c>
      <c r="B3856" s="11">
        <f>IFERROR(__xludf.DUMMYFUNCTION("""COMPUTED_VALUE"""),0.0)</f>
        <v>0</v>
      </c>
      <c r="C3856" s="11">
        <f>IFERROR(__xludf.DUMMYFUNCTION("""COMPUTED_VALUE"""),245.0)</f>
        <v>245</v>
      </c>
      <c r="D3856" s="11">
        <f>IFERROR(__xludf.DUMMYFUNCTION("""COMPUTED_VALUE"""),13.0)</f>
        <v>13</v>
      </c>
      <c r="E3856" s="9"/>
    </row>
    <row r="3857">
      <c r="A3857" s="10">
        <f>IFERROR(__xludf.DUMMYFUNCTION("""COMPUTED_VALUE"""),111565.0)</f>
        <v>111565</v>
      </c>
      <c r="B3857" s="11">
        <f>IFERROR(__xludf.DUMMYFUNCTION("""COMPUTED_VALUE"""),1.0)</f>
        <v>1</v>
      </c>
      <c r="C3857" s="11">
        <f>IFERROR(__xludf.DUMMYFUNCTION("""COMPUTED_VALUE"""),98.0)</f>
        <v>98</v>
      </c>
      <c r="D3857" s="11">
        <f>IFERROR(__xludf.DUMMYFUNCTION("""COMPUTED_VALUE"""),70.0)</f>
        <v>70</v>
      </c>
      <c r="E3857" s="9"/>
    </row>
    <row r="3858">
      <c r="A3858" s="10">
        <f>IFERROR(__xludf.DUMMYFUNCTION("""COMPUTED_VALUE"""),5774.0)</f>
        <v>5774</v>
      </c>
      <c r="B3858" s="11">
        <f>IFERROR(__xludf.DUMMYFUNCTION("""COMPUTED_VALUE"""),1.0)</f>
        <v>1</v>
      </c>
      <c r="C3858" s="11">
        <f>IFERROR(__xludf.DUMMYFUNCTION("""COMPUTED_VALUE"""),633.0)</f>
        <v>633</v>
      </c>
      <c r="D3858" s="11">
        <f>IFERROR(__xludf.DUMMYFUNCTION("""COMPUTED_VALUE"""),207.0)</f>
        <v>207</v>
      </c>
      <c r="E3858" s="9"/>
    </row>
    <row r="3859">
      <c r="A3859" s="10">
        <f>IFERROR(__xludf.DUMMYFUNCTION("""COMPUTED_VALUE"""),112075.0)</f>
        <v>112075</v>
      </c>
      <c r="B3859" s="11">
        <f>IFERROR(__xludf.DUMMYFUNCTION("""COMPUTED_VALUE"""),0.0)</f>
        <v>0</v>
      </c>
      <c r="C3859" s="11">
        <f>IFERROR(__xludf.DUMMYFUNCTION("""COMPUTED_VALUE"""),865.0)</f>
        <v>865</v>
      </c>
      <c r="D3859" s="11">
        <f>IFERROR(__xludf.DUMMYFUNCTION("""COMPUTED_VALUE"""),786.0)</f>
        <v>786</v>
      </c>
      <c r="E3859" s="9"/>
    </row>
    <row r="3860">
      <c r="A3860" s="10">
        <f>IFERROR(__xludf.DUMMYFUNCTION("""COMPUTED_VALUE"""),88469.0)</f>
        <v>88469</v>
      </c>
      <c r="B3860" s="11">
        <f>IFERROR(__xludf.DUMMYFUNCTION("""COMPUTED_VALUE"""),0.0)</f>
        <v>0</v>
      </c>
      <c r="C3860" s="11">
        <f>IFERROR(__xludf.DUMMYFUNCTION("""COMPUTED_VALUE"""),236.0)</f>
        <v>236</v>
      </c>
      <c r="D3860" s="11">
        <f>IFERROR(__xludf.DUMMYFUNCTION("""COMPUTED_VALUE"""),63.0)</f>
        <v>63</v>
      </c>
      <c r="E3860" s="9"/>
    </row>
    <row r="3861">
      <c r="A3861" s="10">
        <f>IFERROR(__xludf.DUMMYFUNCTION("""COMPUTED_VALUE"""),112249.0)</f>
        <v>112249</v>
      </c>
      <c r="B3861" s="11">
        <f>IFERROR(__xludf.DUMMYFUNCTION("""COMPUTED_VALUE"""),1.0)</f>
        <v>1</v>
      </c>
      <c r="C3861" s="11">
        <f>IFERROR(__xludf.DUMMYFUNCTION("""COMPUTED_VALUE"""),394.0)</f>
        <v>394</v>
      </c>
      <c r="D3861" s="11">
        <f>IFERROR(__xludf.DUMMYFUNCTION("""COMPUTED_VALUE"""),128.0)</f>
        <v>128</v>
      </c>
      <c r="E3861" s="9"/>
    </row>
    <row r="3862">
      <c r="A3862" s="10">
        <f>IFERROR(__xludf.DUMMYFUNCTION("""COMPUTED_VALUE"""),5775.0)</f>
        <v>5775</v>
      </c>
      <c r="B3862" s="11">
        <f>IFERROR(__xludf.DUMMYFUNCTION("""COMPUTED_VALUE"""),1.0)</f>
        <v>1</v>
      </c>
      <c r="C3862" s="11">
        <f>IFERROR(__xludf.DUMMYFUNCTION("""COMPUTED_VALUE"""),446.0)</f>
        <v>446</v>
      </c>
      <c r="D3862" s="11">
        <f>IFERROR(__xludf.DUMMYFUNCTION("""COMPUTED_VALUE"""),313.0)</f>
        <v>313</v>
      </c>
      <c r="E3862" s="9"/>
    </row>
    <row r="3863">
      <c r="A3863" s="10">
        <f>IFERROR(__xludf.DUMMYFUNCTION("""COMPUTED_VALUE"""),77506.0)</f>
        <v>77506</v>
      </c>
      <c r="B3863" s="11">
        <f>IFERROR(__xludf.DUMMYFUNCTION("""COMPUTED_VALUE"""),0.0)</f>
        <v>0</v>
      </c>
      <c r="C3863" s="11">
        <f>IFERROR(__xludf.DUMMYFUNCTION("""COMPUTED_VALUE"""),471.0)</f>
        <v>471</v>
      </c>
      <c r="D3863" s="11">
        <f>IFERROR(__xludf.DUMMYFUNCTION("""COMPUTED_VALUE"""),214.0)</f>
        <v>214</v>
      </c>
      <c r="E3863" s="9"/>
    </row>
    <row r="3864">
      <c r="A3864" s="10">
        <f>IFERROR(__xludf.DUMMYFUNCTION("""COMPUTED_VALUE"""),83646.0)</f>
        <v>83646</v>
      </c>
      <c r="B3864" s="11">
        <f>IFERROR(__xludf.DUMMYFUNCTION("""COMPUTED_VALUE"""),1.0)</f>
        <v>1</v>
      </c>
      <c r="C3864" s="11">
        <f>IFERROR(__xludf.DUMMYFUNCTION("""COMPUTED_VALUE"""),411.0)</f>
        <v>411</v>
      </c>
      <c r="D3864" s="11">
        <f>IFERROR(__xludf.DUMMYFUNCTION("""COMPUTED_VALUE"""),321.0)</f>
        <v>321</v>
      </c>
      <c r="E3864" s="9"/>
    </row>
    <row r="3865">
      <c r="A3865" s="10">
        <f>IFERROR(__xludf.DUMMYFUNCTION("""COMPUTED_VALUE"""),77484.0)</f>
        <v>77484</v>
      </c>
      <c r="B3865" s="11">
        <f>IFERROR(__xludf.DUMMYFUNCTION("""COMPUTED_VALUE"""),0.0)</f>
        <v>0</v>
      </c>
      <c r="C3865" s="11">
        <f>IFERROR(__xludf.DUMMYFUNCTION("""COMPUTED_VALUE"""),256.0)</f>
        <v>256</v>
      </c>
      <c r="D3865" s="11">
        <f>IFERROR(__xludf.DUMMYFUNCTION("""COMPUTED_VALUE"""),57.0)</f>
        <v>57</v>
      </c>
      <c r="E3865" s="9"/>
    </row>
    <row r="3866">
      <c r="A3866" s="10">
        <f>IFERROR(__xludf.DUMMYFUNCTION("""COMPUTED_VALUE"""),77481.0)</f>
        <v>77481</v>
      </c>
      <c r="B3866" s="11">
        <f>IFERROR(__xludf.DUMMYFUNCTION("""COMPUTED_VALUE"""),0.0)</f>
        <v>0</v>
      </c>
      <c r="C3866" s="11">
        <f>IFERROR(__xludf.DUMMYFUNCTION("""COMPUTED_VALUE"""),676.0)</f>
        <v>676</v>
      </c>
      <c r="D3866" s="11">
        <f>IFERROR(__xludf.DUMMYFUNCTION("""COMPUTED_VALUE"""),638.0)</f>
        <v>638</v>
      </c>
      <c r="E3866" s="9"/>
    </row>
    <row r="3867">
      <c r="A3867" s="10">
        <f>IFERROR(__xludf.DUMMYFUNCTION("""COMPUTED_VALUE"""),17075.0)</f>
        <v>17075</v>
      </c>
      <c r="B3867" s="11">
        <f>IFERROR(__xludf.DUMMYFUNCTION("""COMPUTED_VALUE"""),0.0)</f>
        <v>0</v>
      </c>
      <c r="C3867" s="11">
        <f>IFERROR(__xludf.DUMMYFUNCTION("""COMPUTED_VALUE"""),428.0)</f>
        <v>428</v>
      </c>
      <c r="D3867" s="11">
        <f>IFERROR(__xludf.DUMMYFUNCTION("""COMPUTED_VALUE"""),21.0)</f>
        <v>21</v>
      </c>
      <c r="E3867" s="9"/>
    </row>
    <row r="3868">
      <c r="A3868" s="10">
        <f>IFERROR(__xludf.DUMMYFUNCTION("""COMPUTED_VALUE"""),77492.0)</f>
        <v>77492</v>
      </c>
      <c r="B3868" s="11">
        <f>IFERROR(__xludf.DUMMYFUNCTION("""COMPUTED_VALUE"""),0.0)</f>
        <v>0</v>
      </c>
      <c r="C3868" s="11">
        <f>IFERROR(__xludf.DUMMYFUNCTION("""COMPUTED_VALUE"""),747.0)</f>
        <v>747</v>
      </c>
      <c r="D3868" s="11">
        <f>IFERROR(__xludf.DUMMYFUNCTION("""COMPUTED_VALUE"""),607.0)</f>
        <v>607</v>
      </c>
      <c r="E3868" s="9"/>
    </row>
    <row r="3869">
      <c r="A3869" s="10">
        <f>IFERROR(__xludf.DUMMYFUNCTION("""COMPUTED_VALUE"""),112084.0)</f>
        <v>112084</v>
      </c>
      <c r="B3869" s="11">
        <f>IFERROR(__xludf.DUMMYFUNCTION("""COMPUTED_VALUE"""),0.0)</f>
        <v>0</v>
      </c>
      <c r="C3869" s="11">
        <f>IFERROR(__xludf.DUMMYFUNCTION("""COMPUTED_VALUE"""),352.0)</f>
        <v>352</v>
      </c>
      <c r="D3869" s="11">
        <f>IFERROR(__xludf.DUMMYFUNCTION("""COMPUTED_VALUE"""),82.0)</f>
        <v>82</v>
      </c>
      <c r="E3869" s="9"/>
    </row>
    <row r="3870">
      <c r="A3870" s="10">
        <f>IFERROR(__xludf.DUMMYFUNCTION("""COMPUTED_VALUE"""),12041.0)</f>
        <v>12041</v>
      </c>
      <c r="B3870" s="11">
        <f>IFERROR(__xludf.DUMMYFUNCTION("""COMPUTED_VALUE"""),0.0)</f>
        <v>0</v>
      </c>
      <c r="C3870" s="11">
        <f>IFERROR(__xludf.DUMMYFUNCTION("""COMPUTED_VALUE"""),573.0)</f>
        <v>573</v>
      </c>
      <c r="D3870" s="11">
        <f>IFERROR(__xludf.DUMMYFUNCTION("""COMPUTED_VALUE"""),178.0)</f>
        <v>178</v>
      </c>
      <c r="E3870" s="9"/>
    </row>
    <row r="3871">
      <c r="A3871" s="10">
        <f>IFERROR(__xludf.DUMMYFUNCTION("""COMPUTED_VALUE"""),83042.0)</f>
        <v>83042</v>
      </c>
      <c r="B3871" s="11">
        <f>IFERROR(__xludf.DUMMYFUNCTION("""COMPUTED_VALUE"""),1.0)</f>
        <v>1</v>
      </c>
      <c r="C3871" s="11">
        <f>IFERROR(__xludf.DUMMYFUNCTION("""COMPUTED_VALUE"""),429.0)</f>
        <v>429</v>
      </c>
      <c r="D3871" s="11">
        <f>IFERROR(__xludf.DUMMYFUNCTION("""COMPUTED_VALUE"""),91.0)</f>
        <v>91</v>
      </c>
      <c r="E3871" s="9"/>
    </row>
    <row r="3872">
      <c r="A3872" s="10">
        <f>IFERROR(__xludf.DUMMYFUNCTION("""COMPUTED_VALUE"""),77490.0)</f>
        <v>77490</v>
      </c>
      <c r="B3872" s="11">
        <f>IFERROR(__xludf.DUMMYFUNCTION("""COMPUTED_VALUE"""),1.0)</f>
        <v>1</v>
      </c>
      <c r="C3872" s="11">
        <f>IFERROR(__xludf.DUMMYFUNCTION("""COMPUTED_VALUE"""),168.0)</f>
        <v>168</v>
      </c>
      <c r="D3872" s="11">
        <f>IFERROR(__xludf.DUMMYFUNCTION("""COMPUTED_VALUE"""),130.0)</f>
        <v>130</v>
      </c>
      <c r="E3872" s="9"/>
    </row>
    <row r="3873">
      <c r="A3873" s="10">
        <f>IFERROR(__xludf.DUMMYFUNCTION("""COMPUTED_VALUE"""),43336.0)</f>
        <v>43336</v>
      </c>
      <c r="B3873" s="11">
        <f>IFERROR(__xludf.DUMMYFUNCTION("""COMPUTED_VALUE"""),0.0)</f>
        <v>0</v>
      </c>
      <c r="C3873" s="11">
        <f>IFERROR(__xludf.DUMMYFUNCTION("""COMPUTED_VALUE"""),578.0)</f>
        <v>578</v>
      </c>
      <c r="D3873" s="11">
        <f>IFERROR(__xludf.DUMMYFUNCTION("""COMPUTED_VALUE"""),575.0)</f>
        <v>575</v>
      </c>
      <c r="E3873" s="9"/>
    </row>
    <row r="3874">
      <c r="A3874" s="10">
        <f>IFERROR(__xludf.DUMMYFUNCTION("""COMPUTED_VALUE"""),48609.0)</f>
        <v>48609</v>
      </c>
      <c r="B3874" s="11">
        <f>IFERROR(__xludf.DUMMYFUNCTION("""COMPUTED_VALUE"""),0.0)</f>
        <v>0</v>
      </c>
      <c r="C3874" s="11">
        <f>IFERROR(__xludf.DUMMYFUNCTION("""COMPUTED_VALUE"""),321.0)</f>
        <v>321</v>
      </c>
      <c r="D3874" s="11">
        <f>IFERROR(__xludf.DUMMYFUNCTION("""COMPUTED_VALUE"""),9.0)</f>
        <v>9</v>
      </c>
      <c r="E3874" s="9"/>
    </row>
    <row r="3875">
      <c r="A3875" s="10">
        <f>IFERROR(__xludf.DUMMYFUNCTION("""COMPUTED_VALUE"""),117074.0)</f>
        <v>117074</v>
      </c>
      <c r="B3875" s="11">
        <f>IFERROR(__xludf.DUMMYFUNCTION("""COMPUTED_VALUE"""),0.0)</f>
        <v>0</v>
      </c>
      <c r="C3875" s="11">
        <f>IFERROR(__xludf.DUMMYFUNCTION("""COMPUTED_VALUE"""),638.0)</f>
        <v>638</v>
      </c>
      <c r="D3875" s="11">
        <f>IFERROR(__xludf.DUMMYFUNCTION("""COMPUTED_VALUE"""),198.0)</f>
        <v>198</v>
      </c>
      <c r="E3875" s="9"/>
    </row>
    <row r="3876">
      <c r="A3876" s="10">
        <f>IFERROR(__xludf.DUMMYFUNCTION("""COMPUTED_VALUE"""),112085.0)</f>
        <v>112085</v>
      </c>
      <c r="B3876" s="11">
        <f>IFERROR(__xludf.DUMMYFUNCTION("""COMPUTED_VALUE"""),1.0)</f>
        <v>1</v>
      </c>
      <c r="C3876" s="11">
        <f>IFERROR(__xludf.DUMMYFUNCTION("""COMPUTED_VALUE"""),255.0)</f>
        <v>255</v>
      </c>
      <c r="D3876" s="11">
        <f>IFERROR(__xludf.DUMMYFUNCTION("""COMPUTED_VALUE"""),214.0)</f>
        <v>214</v>
      </c>
      <c r="E3876" s="9"/>
    </row>
    <row r="3877">
      <c r="A3877" s="10">
        <f>IFERROR(__xludf.DUMMYFUNCTION("""COMPUTED_VALUE"""),106656.0)</f>
        <v>106656</v>
      </c>
      <c r="B3877" s="11">
        <f>IFERROR(__xludf.DUMMYFUNCTION("""COMPUTED_VALUE"""),1.0)</f>
        <v>1</v>
      </c>
      <c r="C3877" s="11">
        <f>IFERROR(__xludf.DUMMYFUNCTION("""COMPUTED_VALUE"""),325.0)</f>
        <v>325</v>
      </c>
      <c r="D3877" s="11">
        <f>IFERROR(__xludf.DUMMYFUNCTION("""COMPUTED_VALUE"""),294.0)</f>
        <v>294</v>
      </c>
      <c r="E3877" s="9"/>
    </row>
    <row r="3878">
      <c r="A3878" s="10">
        <f>IFERROR(__xludf.DUMMYFUNCTION("""COMPUTED_VALUE"""),119244.0)</f>
        <v>119244</v>
      </c>
      <c r="B3878" s="11">
        <f>IFERROR(__xludf.DUMMYFUNCTION("""COMPUTED_VALUE"""),0.0)</f>
        <v>0</v>
      </c>
      <c r="C3878" s="11">
        <f>IFERROR(__xludf.DUMMYFUNCTION("""COMPUTED_VALUE"""),620.0)</f>
        <v>620</v>
      </c>
      <c r="D3878" s="11">
        <f>IFERROR(__xludf.DUMMYFUNCTION("""COMPUTED_VALUE"""),534.0)</f>
        <v>534</v>
      </c>
      <c r="E3878" s="9"/>
    </row>
    <row r="3879">
      <c r="A3879" s="10">
        <f>IFERROR(__xludf.DUMMYFUNCTION("""COMPUTED_VALUE"""),73236.0)</f>
        <v>73236</v>
      </c>
      <c r="B3879" s="11">
        <f>IFERROR(__xludf.DUMMYFUNCTION("""COMPUTED_VALUE"""),1.0)</f>
        <v>1</v>
      </c>
      <c r="C3879" s="11">
        <f>IFERROR(__xludf.DUMMYFUNCTION("""COMPUTED_VALUE"""),497.0)</f>
        <v>497</v>
      </c>
      <c r="D3879" s="11">
        <f>IFERROR(__xludf.DUMMYFUNCTION("""COMPUTED_VALUE"""),380.0)</f>
        <v>380</v>
      </c>
      <c r="E3879" s="9"/>
    </row>
    <row r="3880">
      <c r="A3880" s="10">
        <f>IFERROR(__xludf.DUMMYFUNCTION("""COMPUTED_VALUE"""),127582.0)</f>
        <v>127582</v>
      </c>
      <c r="B3880" s="11">
        <f>IFERROR(__xludf.DUMMYFUNCTION("""COMPUTED_VALUE"""),0.0)</f>
        <v>0</v>
      </c>
      <c r="C3880" s="11">
        <f>IFERROR(__xludf.DUMMYFUNCTION("""COMPUTED_VALUE"""),364.0)</f>
        <v>364</v>
      </c>
      <c r="D3880" s="11">
        <f>IFERROR(__xludf.DUMMYFUNCTION("""COMPUTED_VALUE"""),68.0)</f>
        <v>68</v>
      </c>
      <c r="E3880" s="9"/>
    </row>
    <row r="3881">
      <c r="A3881" s="10">
        <f>IFERROR(__xludf.DUMMYFUNCTION("""COMPUTED_VALUE"""),128210.0)</f>
        <v>128210</v>
      </c>
      <c r="B3881" s="11">
        <f>IFERROR(__xludf.DUMMYFUNCTION("""COMPUTED_VALUE"""),1.0)</f>
        <v>1</v>
      </c>
      <c r="C3881" s="11">
        <f>IFERROR(__xludf.DUMMYFUNCTION("""COMPUTED_VALUE"""),517.0)</f>
        <v>517</v>
      </c>
      <c r="D3881" s="11">
        <f>IFERROR(__xludf.DUMMYFUNCTION("""COMPUTED_VALUE"""),47.0)</f>
        <v>47</v>
      </c>
      <c r="E3881" s="9"/>
    </row>
    <row r="3882">
      <c r="A3882" s="10">
        <f>IFERROR(__xludf.DUMMYFUNCTION("""COMPUTED_VALUE"""),73187.0)</f>
        <v>73187</v>
      </c>
      <c r="B3882" s="11">
        <f>IFERROR(__xludf.DUMMYFUNCTION("""COMPUTED_VALUE"""),1.0)</f>
        <v>1</v>
      </c>
      <c r="C3882" s="11">
        <f>IFERROR(__xludf.DUMMYFUNCTION("""COMPUTED_VALUE"""),99.0)</f>
        <v>99</v>
      </c>
      <c r="D3882" s="11">
        <f>IFERROR(__xludf.DUMMYFUNCTION("""COMPUTED_VALUE"""),57.0)</f>
        <v>57</v>
      </c>
      <c r="E3882" s="9"/>
    </row>
    <row r="3883">
      <c r="A3883" s="10">
        <f>IFERROR(__xludf.DUMMYFUNCTION("""COMPUTED_VALUE"""),41681.0)</f>
        <v>41681</v>
      </c>
      <c r="B3883" s="11">
        <f>IFERROR(__xludf.DUMMYFUNCTION("""COMPUTED_VALUE"""),0.0)</f>
        <v>0</v>
      </c>
      <c r="C3883" s="11">
        <f>IFERROR(__xludf.DUMMYFUNCTION("""COMPUTED_VALUE"""),692.0)</f>
        <v>692</v>
      </c>
      <c r="D3883" s="11">
        <f>IFERROR(__xludf.DUMMYFUNCTION("""COMPUTED_VALUE"""),386.0)</f>
        <v>386</v>
      </c>
      <c r="E3883" s="9"/>
    </row>
    <row r="3884">
      <c r="A3884" s="10">
        <f>IFERROR(__xludf.DUMMYFUNCTION("""COMPUTED_VALUE"""),30624.0)</f>
        <v>30624</v>
      </c>
      <c r="B3884" s="11">
        <f>IFERROR(__xludf.DUMMYFUNCTION("""COMPUTED_VALUE"""),0.0)</f>
        <v>0</v>
      </c>
      <c r="C3884" s="11">
        <f>IFERROR(__xludf.DUMMYFUNCTION("""COMPUTED_VALUE"""),587.0)</f>
        <v>587</v>
      </c>
      <c r="D3884" s="11">
        <f>IFERROR(__xludf.DUMMYFUNCTION("""COMPUTED_VALUE"""),552.0)</f>
        <v>552</v>
      </c>
      <c r="E3884" s="9"/>
    </row>
    <row r="3885">
      <c r="A3885" s="10">
        <f>IFERROR(__xludf.DUMMYFUNCTION("""COMPUTED_VALUE"""),114267.0)</f>
        <v>114267</v>
      </c>
      <c r="B3885" s="11">
        <f>IFERROR(__xludf.DUMMYFUNCTION("""COMPUTED_VALUE"""),0.0)</f>
        <v>0</v>
      </c>
      <c r="C3885" s="11">
        <f>IFERROR(__xludf.DUMMYFUNCTION("""COMPUTED_VALUE"""),780.0)</f>
        <v>780</v>
      </c>
      <c r="D3885" s="11">
        <f>IFERROR(__xludf.DUMMYFUNCTION("""COMPUTED_VALUE"""),17.0)</f>
        <v>17</v>
      </c>
      <c r="E3885" s="9"/>
    </row>
    <row r="3886">
      <c r="A3886" s="10">
        <f>IFERROR(__xludf.DUMMYFUNCTION("""COMPUTED_VALUE"""),77441.0)</f>
        <v>77441</v>
      </c>
      <c r="B3886" s="11">
        <f>IFERROR(__xludf.DUMMYFUNCTION("""COMPUTED_VALUE"""),1.0)</f>
        <v>1</v>
      </c>
      <c r="C3886" s="11">
        <f>IFERROR(__xludf.DUMMYFUNCTION("""COMPUTED_VALUE"""),499.0)</f>
        <v>499</v>
      </c>
      <c r="D3886" s="11">
        <f>IFERROR(__xludf.DUMMYFUNCTION("""COMPUTED_VALUE"""),93.0)</f>
        <v>93</v>
      </c>
      <c r="E3886" s="9"/>
    </row>
    <row r="3887">
      <c r="A3887" s="10">
        <f>IFERROR(__xludf.DUMMYFUNCTION("""COMPUTED_VALUE"""),116636.0)</f>
        <v>116636</v>
      </c>
      <c r="B3887" s="11">
        <f>IFERROR(__xludf.DUMMYFUNCTION("""COMPUTED_VALUE"""),0.0)</f>
        <v>0</v>
      </c>
      <c r="C3887" s="11">
        <f>IFERROR(__xludf.DUMMYFUNCTION("""COMPUTED_VALUE"""),797.0)</f>
        <v>797</v>
      </c>
      <c r="D3887" s="11">
        <f>IFERROR(__xludf.DUMMYFUNCTION("""COMPUTED_VALUE"""),67.0)</f>
        <v>67</v>
      </c>
      <c r="E3887" s="9"/>
    </row>
    <row r="3888">
      <c r="A3888" s="10">
        <f>IFERROR(__xludf.DUMMYFUNCTION("""COMPUTED_VALUE"""),115198.0)</f>
        <v>115198</v>
      </c>
      <c r="B3888" s="11">
        <f>IFERROR(__xludf.DUMMYFUNCTION("""COMPUTED_VALUE"""),1.0)</f>
        <v>1</v>
      </c>
      <c r="C3888" s="11">
        <f>IFERROR(__xludf.DUMMYFUNCTION("""COMPUTED_VALUE"""),246.0)</f>
        <v>246</v>
      </c>
      <c r="D3888" s="11">
        <f>IFERROR(__xludf.DUMMYFUNCTION("""COMPUTED_VALUE"""),136.0)</f>
        <v>136</v>
      </c>
      <c r="E3888" s="9"/>
    </row>
    <row r="3889">
      <c r="A3889" s="10">
        <f>IFERROR(__xludf.DUMMYFUNCTION("""COMPUTED_VALUE"""),89845.0)</f>
        <v>89845</v>
      </c>
      <c r="B3889" s="11">
        <f>IFERROR(__xludf.DUMMYFUNCTION("""COMPUTED_VALUE"""),0.0)</f>
        <v>0</v>
      </c>
      <c r="C3889" s="11">
        <f>IFERROR(__xludf.DUMMYFUNCTION("""COMPUTED_VALUE"""),110.0)</f>
        <v>110</v>
      </c>
      <c r="D3889" s="11">
        <f>IFERROR(__xludf.DUMMYFUNCTION("""COMPUTED_VALUE"""),17.0)</f>
        <v>17</v>
      </c>
      <c r="E3889" s="9"/>
    </row>
    <row r="3890">
      <c r="A3890" s="10">
        <f>IFERROR(__xludf.DUMMYFUNCTION("""COMPUTED_VALUE"""),112248.0)</f>
        <v>112248</v>
      </c>
      <c r="B3890" s="11">
        <f>IFERROR(__xludf.DUMMYFUNCTION("""COMPUTED_VALUE"""),0.0)</f>
        <v>0</v>
      </c>
      <c r="C3890" s="11">
        <f>IFERROR(__xludf.DUMMYFUNCTION("""COMPUTED_VALUE"""),331.0)</f>
        <v>331</v>
      </c>
      <c r="D3890" s="11">
        <f>IFERROR(__xludf.DUMMYFUNCTION("""COMPUTED_VALUE"""),45.0)</f>
        <v>45</v>
      </c>
      <c r="E3890" s="9"/>
    </row>
    <row r="3891">
      <c r="A3891" s="10">
        <f>IFERROR(__xludf.DUMMYFUNCTION("""COMPUTED_VALUE"""),89849.0)</f>
        <v>89849</v>
      </c>
      <c r="B3891" s="11">
        <f>IFERROR(__xludf.DUMMYFUNCTION("""COMPUTED_VALUE"""),1.0)</f>
        <v>1</v>
      </c>
      <c r="C3891" s="11">
        <f>IFERROR(__xludf.DUMMYFUNCTION("""COMPUTED_VALUE"""),729.0)</f>
        <v>729</v>
      </c>
      <c r="D3891" s="11">
        <f>IFERROR(__xludf.DUMMYFUNCTION("""COMPUTED_VALUE"""),668.0)</f>
        <v>668</v>
      </c>
      <c r="E3891" s="9"/>
    </row>
    <row r="3892">
      <c r="A3892" s="10">
        <f>IFERROR(__xludf.DUMMYFUNCTION("""COMPUTED_VALUE"""),121709.0)</f>
        <v>121709</v>
      </c>
      <c r="B3892" s="11">
        <f>IFERROR(__xludf.DUMMYFUNCTION("""COMPUTED_VALUE"""),0.0)</f>
        <v>0</v>
      </c>
      <c r="C3892" s="11">
        <f>IFERROR(__xludf.DUMMYFUNCTION("""COMPUTED_VALUE"""),136.0)</f>
        <v>136</v>
      </c>
      <c r="D3892" s="11">
        <f>IFERROR(__xludf.DUMMYFUNCTION("""COMPUTED_VALUE"""),85.0)</f>
        <v>85</v>
      </c>
      <c r="E3892" s="9"/>
    </row>
    <row r="3893">
      <c r="A3893" s="10">
        <f>IFERROR(__xludf.DUMMYFUNCTION("""COMPUTED_VALUE"""),122653.0)</f>
        <v>122653</v>
      </c>
      <c r="B3893" s="11">
        <f>IFERROR(__xludf.DUMMYFUNCTION("""COMPUTED_VALUE"""),1.0)</f>
        <v>1</v>
      </c>
      <c r="C3893" s="11">
        <f>IFERROR(__xludf.DUMMYFUNCTION("""COMPUTED_VALUE"""),283.0)</f>
        <v>283</v>
      </c>
      <c r="D3893" s="11">
        <f>IFERROR(__xludf.DUMMYFUNCTION("""COMPUTED_VALUE"""),251.0)</f>
        <v>251</v>
      </c>
      <c r="E3893" s="9"/>
    </row>
    <row r="3894">
      <c r="A3894" s="10">
        <f>IFERROR(__xludf.DUMMYFUNCTION("""COMPUTED_VALUE"""),9759.0)</f>
        <v>9759</v>
      </c>
      <c r="B3894" s="11">
        <f>IFERROR(__xludf.DUMMYFUNCTION("""COMPUTED_VALUE"""),0.0)</f>
        <v>0</v>
      </c>
      <c r="C3894" s="11">
        <f>IFERROR(__xludf.DUMMYFUNCTION("""COMPUTED_VALUE"""),733.0)</f>
        <v>733</v>
      </c>
      <c r="D3894" s="11">
        <f>IFERROR(__xludf.DUMMYFUNCTION("""COMPUTED_VALUE"""),115.0)</f>
        <v>115</v>
      </c>
      <c r="E3894" s="9"/>
    </row>
    <row r="3895">
      <c r="A3895" s="10">
        <f>IFERROR(__xludf.DUMMYFUNCTION("""COMPUTED_VALUE"""),86782.0)</f>
        <v>86782</v>
      </c>
      <c r="B3895" s="11">
        <f>IFERROR(__xludf.DUMMYFUNCTION("""COMPUTED_VALUE"""),0.0)</f>
        <v>0</v>
      </c>
      <c r="C3895" s="11">
        <f>IFERROR(__xludf.DUMMYFUNCTION("""COMPUTED_VALUE"""),165.0)</f>
        <v>165</v>
      </c>
      <c r="D3895" s="11">
        <f>IFERROR(__xludf.DUMMYFUNCTION("""COMPUTED_VALUE"""),30.0)</f>
        <v>30</v>
      </c>
      <c r="E3895" s="9"/>
    </row>
    <row r="3896">
      <c r="A3896" s="10">
        <f>IFERROR(__xludf.DUMMYFUNCTION("""COMPUTED_VALUE"""),119246.0)</f>
        <v>119246</v>
      </c>
      <c r="B3896" s="11">
        <f>IFERROR(__xludf.DUMMYFUNCTION("""COMPUTED_VALUE"""),0.0)</f>
        <v>0</v>
      </c>
      <c r="C3896" s="11">
        <f>IFERROR(__xludf.DUMMYFUNCTION("""COMPUTED_VALUE"""),64.0)</f>
        <v>64</v>
      </c>
      <c r="D3896" s="11">
        <f>IFERROR(__xludf.DUMMYFUNCTION("""COMPUTED_VALUE"""),1.0)</f>
        <v>1</v>
      </c>
      <c r="E3896" s="9"/>
    </row>
    <row r="3897">
      <c r="A3897" s="10">
        <f>IFERROR(__xludf.DUMMYFUNCTION("""COMPUTED_VALUE"""),6047.0)</f>
        <v>6047</v>
      </c>
      <c r="B3897" s="11">
        <f>IFERROR(__xludf.DUMMYFUNCTION("""COMPUTED_VALUE"""),0.0)</f>
        <v>0</v>
      </c>
      <c r="C3897" s="11">
        <f>IFERROR(__xludf.DUMMYFUNCTION("""COMPUTED_VALUE"""),596.0)</f>
        <v>596</v>
      </c>
      <c r="D3897" s="11">
        <f>IFERROR(__xludf.DUMMYFUNCTION("""COMPUTED_VALUE"""),256.0)</f>
        <v>256</v>
      </c>
      <c r="E3897" s="9"/>
    </row>
    <row r="3898">
      <c r="A3898" s="10">
        <f>IFERROR(__xludf.DUMMYFUNCTION("""COMPUTED_VALUE"""),117526.0)</f>
        <v>117526</v>
      </c>
      <c r="B3898" s="11">
        <f>IFERROR(__xludf.DUMMYFUNCTION("""COMPUTED_VALUE"""),0.0)</f>
        <v>0</v>
      </c>
      <c r="C3898" s="11">
        <f>IFERROR(__xludf.DUMMYFUNCTION("""COMPUTED_VALUE"""),628.0)</f>
        <v>628</v>
      </c>
      <c r="D3898" s="11">
        <f>IFERROR(__xludf.DUMMYFUNCTION("""COMPUTED_VALUE"""),51.0)</f>
        <v>51</v>
      </c>
      <c r="E3898" s="9"/>
    </row>
    <row r="3899">
      <c r="A3899" s="10">
        <f>IFERROR(__xludf.DUMMYFUNCTION("""COMPUTED_VALUE"""),106671.0)</f>
        <v>106671</v>
      </c>
      <c r="B3899" s="11">
        <f>IFERROR(__xludf.DUMMYFUNCTION("""COMPUTED_VALUE"""),0.0)</f>
        <v>0</v>
      </c>
      <c r="C3899" s="11">
        <f>IFERROR(__xludf.DUMMYFUNCTION("""COMPUTED_VALUE"""),591.0)</f>
        <v>591</v>
      </c>
      <c r="D3899" s="11">
        <f>IFERROR(__xludf.DUMMYFUNCTION("""COMPUTED_VALUE"""),432.0)</f>
        <v>432</v>
      </c>
      <c r="E3899" s="9"/>
    </row>
    <row r="3900">
      <c r="A3900" s="10">
        <f>IFERROR(__xludf.DUMMYFUNCTION("""COMPUTED_VALUE"""),30889.0)</f>
        <v>30889</v>
      </c>
      <c r="B3900" s="11">
        <f>IFERROR(__xludf.DUMMYFUNCTION("""COMPUTED_VALUE"""),1.0)</f>
        <v>1</v>
      </c>
      <c r="C3900" s="11">
        <f>IFERROR(__xludf.DUMMYFUNCTION("""COMPUTED_VALUE"""),146.0)</f>
        <v>146</v>
      </c>
      <c r="D3900" s="11">
        <f>IFERROR(__xludf.DUMMYFUNCTION("""COMPUTED_VALUE"""),131.0)</f>
        <v>131</v>
      </c>
      <c r="E3900" s="9"/>
    </row>
    <row r="3901">
      <c r="A3901" s="10">
        <f>IFERROR(__xludf.DUMMYFUNCTION("""COMPUTED_VALUE"""),80634.0)</f>
        <v>80634</v>
      </c>
      <c r="B3901" s="11">
        <f>IFERROR(__xludf.DUMMYFUNCTION("""COMPUTED_VALUE"""),1.0)</f>
        <v>1</v>
      </c>
      <c r="C3901" s="11">
        <f>IFERROR(__xludf.DUMMYFUNCTION("""COMPUTED_VALUE"""),474.0)</f>
        <v>474</v>
      </c>
      <c r="D3901" s="11">
        <f>IFERROR(__xludf.DUMMYFUNCTION("""COMPUTED_VALUE"""),80.0)</f>
        <v>80</v>
      </c>
      <c r="E3901" s="9"/>
    </row>
    <row r="3902">
      <c r="A3902" s="10">
        <f>IFERROR(__xludf.DUMMYFUNCTION("""COMPUTED_VALUE"""),114269.0)</f>
        <v>114269</v>
      </c>
      <c r="B3902" s="11">
        <f>IFERROR(__xludf.DUMMYFUNCTION("""COMPUTED_VALUE"""),1.0)</f>
        <v>1</v>
      </c>
      <c r="C3902" s="11">
        <f>IFERROR(__xludf.DUMMYFUNCTION("""COMPUTED_VALUE"""),642.0)</f>
        <v>642</v>
      </c>
      <c r="D3902" s="11">
        <f>IFERROR(__xludf.DUMMYFUNCTION("""COMPUTED_VALUE"""),469.0)</f>
        <v>469</v>
      </c>
      <c r="E3902" s="9"/>
    </row>
    <row r="3903">
      <c r="A3903" s="10">
        <f>IFERROR(__xludf.DUMMYFUNCTION("""COMPUTED_VALUE"""),84034.0)</f>
        <v>84034</v>
      </c>
      <c r="B3903" s="11">
        <f>IFERROR(__xludf.DUMMYFUNCTION("""COMPUTED_VALUE"""),1.0)</f>
        <v>1</v>
      </c>
      <c r="C3903" s="11">
        <f>IFERROR(__xludf.DUMMYFUNCTION("""COMPUTED_VALUE"""),508.0)</f>
        <v>508</v>
      </c>
      <c r="D3903" s="11">
        <f>IFERROR(__xludf.DUMMYFUNCTION("""COMPUTED_VALUE"""),494.0)</f>
        <v>494</v>
      </c>
      <c r="E3903" s="9"/>
    </row>
    <row r="3904">
      <c r="A3904" s="10">
        <f>IFERROR(__xludf.DUMMYFUNCTION("""COMPUTED_VALUE"""),103271.0)</f>
        <v>103271</v>
      </c>
      <c r="B3904" s="11">
        <f>IFERROR(__xludf.DUMMYFUNCTION("""COMPUTED_VALUE"""),1.0)</f>
        <v>1</v>
      </c>
      <c r="C3904" s="11">
        <f>IFERROR(__xludf.DUMMYFUNCTION("""COMPUTED_VALUE"""),897.0)</f>
        <v>897</v>
      </c>
      <c r="D3904" s="11">
        <f>IFERROR(__xludf.DUMMYFUNCTION("""COMPUTED_VALUE"""),191.0)</f>
        <v>191</v>
      </c>
      <c r="E3904" s="9"/>
    </row>
    <row r="3905">
      <c r="A3905" s="10">
        <f>IFERROR(__xludf.DUMMYFUNCTION("""COMPUTED_VALUE"""),72248.0)</f>
        <v>72248</v>
      </c>
      <c r="B3905" s="11">
        <f>IFERROR(__xludf.DUMMYFUNCTION("""COMPUTED_VALUE"""),1.0)</f>
        <v>1</v>
      </c>
      <c r="C3905" s="11">
        <f>IFERROR(__xludf.DUMMYFUNCTION("""COMPUTED_VALUE"""),928.0)</f>
        <v>928</v>
      </c>
      <c r="D3905" s="11">
        <f>IFERROR(__xludf.DUMMYFUNCTION("""COMPUTED_VALUE"""),62.0)</f>
        <v>62</v>
      </c>
      <c r="E3905" s="9"/>
    </row>
    <row r="3906">
      <c r="A3906" s="10">
        <f>IFERROR(__xludf.DUMMYFUNCTION("""COMPUTED_VALUE"""),7672.0)</f>
        <v>7672</v>
      </c>
      <c r="B3906" s="11">
        <f>IFERROR(__xludf.DUMMYFUNCTION("""COMPUTED_VALUE"""),0.0)</f>
        <v>0</v>
      </c>
      <c r="C3906" s="11">
        <f>IFERROR(__xludf.DUMMYFUNCTION("""COMPUTED_VALUE"""),696.0)</f>
        <v>696</v>
      </c>
      <c r="D3906" s="11">
        <f>IFERROR(__xludf.DUMMYFUNCTION("""COMPUTED_VALUE"""),666.0)</f>
        <v>666</v>
      </c>
      <c r="E3906" s="9"/>
    </row>
    <row r="3907">
      <c r="A3907" s="10">
        <f>IFERROR(__xludf.DUMMYFUNCTION("""COMPUTED_VALUE"""),82844.0)</f>
        <v>82844</v>
      </c>
      <c r="B3907" s="11">
        <f>IFERROR(__xludf.DUMMYFUNCTION("""COMPUTED_VALUE"""),1.0)</f>
        <v>1</v>
      </c>
      <c r="C3907" s="11">
        <f>IFERROR(__xludf.DUMMYFUNCTION("""COMPUTED_VALUE"""),328.0)</f>
        <v>328</v>
      </c>
      <c r="D3907" s="11">
        <f>IFERROR(__xludf.DUMMYFUNCTION("""COMPUTED_VALUE"""),270.0)</f>
        <v>270</v>
      </c>
      <c r="E3907" s="9"/>
    </row>
    <row r="3908">
      <c r="A3908" s="10">
        <f>IFERROR(__xludf.DUMMYFUNCTION("""COMPUTED_VALUE"""),7685.0)</f>
        <v>7685</v>
      </c>
      <c r="B3908" s="11">
        <f>IFERROR(__xludf.DUMMYFUNCTION("""COMPUTED_VALUE"""),1.0)</f>
        <v>1</v>
      </c>
      <c r="C3908" s="11">
        <f>IFERROR(__xludf.DUMMYFUNCTION("""COMPUTED_VALUE"""),620.0)</f>
        <v>620</v>
      </c>
      <c r="D3908" s="11">
        <f>IFERROR(__xludf.DUMMYFUNCTION("""COMPUTED_VALUE"""),408.0)</f>
        <v>408</v>
      </c>
      <c r="E3908" s="9"/>
    </row>
    <row r="3909">
      <c r="A3909" s="10">
        <f>IFERROR(__xludf.DUMMYFUNCTION("""COMPUTED_VALUE"""),7673.0)</f>
        <v>7673</v>
      </c>
      <c r="B3909" s="11">
        <f>IFERROR(__xludf.DUMMYFUNCTION("""COMPUTED_VALUE"""),0.0)</f>
        <v>0</v>
      </c>
      <c r="C3909" s="11">
        <f>IFERROR(__xludf.DUMMYFUNCTION("""COMPUTED_VALUE"""),76.0)</f>
        <v>76</v>
      </c>
      <c r="D3909" s="11">
        <f>IFERROR(__xludf.DUMMYFUNCTION("""COMPUTED_VALUE"""),25.0)</f>
        <v>25</v>
      </c>
      <c r="E3909" s="9"/>
    </row>
    <row r="3910">
      <c r="A3910" s="10">
        <f>IFERROR(__xludf.DUMMYFUNCTION("""COMPUTED_VALUE"""),72328.0)</f>
        <v>72328</v>
      </c>
      <c r="B3910" s="11">
        <f>IFERROR(__xludf.DUMMYFUNCTION("""COMPUTED_VALUE"""),1.0)</f>
        <v>1</v>
      </c>
      <c r="C3910" s="11">
        <f>IFERROR(__xludf.DUMMYFUNCTION("""COMPUTED_VALUE"""),197.0)</f>
        <v>197</v>
      </c>
      <c r="D3910" s="11">
        <f>IFERROR(__xludf.DUMMYFUNCTION("""COMPUTED_VALUE"""),196.0)</f>
        <v>196</v>
      </c>
      <c r="E3910" s="9"/>
    </row>
    <row r="3911">
      <c r="A3911" s="10">
        <f>IFERROR(__xludf.DUMMYFUNCTION("""COMPUTED_VALUE"""),87967.0)</f>
        <v>87967</v>
      </c>
      <c r="B3911" s="11">
        <f>IFERROR(__xludf.DUMMYFUNCTION("""COMPUTED_VALUE"""),1.0)</f>
        <v>1</v>
      </c>
      <c r="C3911" s="11">
        <f>IFERROR(__xludf.DUMMYFUNCTION("""COMPUTED_VALUE"""),541.0)</f>
        <v>541</v>
      </c>
      <c r="D3911" s="11">
        <f>IFERROR(__xludf.DUMMYFUNCTION("""COMPUTED_VALUE"""),310.0)</f>
        <v>310</v>
      </c>
      <c r="E3911" s="9"/>
    </row>
    <row r="3912">
      <c r="A3912" s="10">
        <f>IFERROR(__xludf.DUMMYFUNCTION("""COMPUTED_VALUE"""),113193.0)</f>
        <v>113193</v>
      </c>
      <c r="B3912" s="11">
        <f>IFERROR(__xludf.DUMMYFUNCTION("""COMPUTED_VALUE"""),0.0)</f>
        <v>0</v>
      </c>
      <c r="C3912" s="11">
        <f>IFERROR(__xludf.DUMMYFUNCTION("""COMPUTED_VALUE"""),49.0)</f>
        <v>49</v>
      </c>
      <c r="D3912" s="11">
        <f>IFERROR(__xludf.DUMMYFUNCTION("""COMPUTED_VALUE"""),45.0)</f>
        <v>45</v>
      </c>
      <c r="E3912" s="9"/>
    </row>
    <row r="3913">
      <c r="A3913" s="10">
        <f>IFERROR(__xludf.DUMMYFUNCTION("""COMPUTED_VALUE"""),82821.0)</f>
        <v>82821</v>
      </c>
      <c r="B3913" s="11">
        <f>IFERROR(__xludf.DUMMYFUNCTION("""COMPUTED_VALUE"""),0.0)</f>
        <v>0</v>
      </c>
      <c r="C3913" s="11">
        <f>IFERROR(__xludf.DUMMYFUNCTION("""COMPUTED_VALUE"""),280.0)</f>
        <v>280</v>
      </c>
      <c r="D3913" s="11">
        <f>IFERROR(__xludf.DUMMYFUNCTION("""COMPUTED_VALUE"""),205.0)</f>
        <v>205</v>
      </c>
      <c r="E3913" s="9"/>
    </row>
    <row r="3914">
      <c r="A3914" s="10">
        <f>IFERROR(__xludf.DUMMYFUNCTION("""COMPUTED_VALUE"""),87964.0)</f>
        <v>87964</v>
      </c>
      <c r="B3914" s="11">
        <f>IFERROR(__xludf.DUMMYFUNCTION("""COMPUTED_VALUE"""),1.0)</f>
        <v>1</v>
      </c>
      <c r="C3914" s="11">
        <f>IFERROR(__xludf.DUMMYFUNCTION("""COMPUTED_VALUE"""),80.0)</f>
        <v>80</v>
      </c>
      <c r="D3914" s="11">
        <f>IFERROR(__xludf.DUMMYFUNCTION("""COMPUTED_VALUE"""),43.0)</f>
        <v>43</v>
      </c>
      <c r="E3914" s="9"/>
    </row>
    <row r="3915">
      <c r="A3915" s="10">
        <f>IFERROR(__xludf.DUMMYFUNCTION("""COMPUTED_VALUE"""),201751.0)</f>
        <v>201751</v>
      </c>
      <c r="B3915" s="11">
        <f>IFERROR(__xludf.DUMMYFUNCTION("""COMPUTED_VALUE"""),1.0)</f>
        <v>1</v>
      </c>
      <c r="C3915" s="11">
        <f>IFERROR(__xludf.DUMMYFUNCTION("""COMPUTED_VALUE"""),590.0)</f>
        <v>590</v>
      </c>
      <c r="D3915" s="11">
        <f>IFERROR(__xludf.DUMMYFUNCTION("""COMPUTED_VALUE"""),438.0)</f>
        <v>438</v>
      </c>
      <c r="E3915" s="9"/>
    </row>
    <row r="3916">
      <c r="A3916" s="10">
        <f>IFERROR(__xludf.DUMMYFUNCTION("""COMPUTED_VALUE"""),79057.0)</f>
        <v>79057</v>
      </c>
      <c r="B3916" s="11">
        <f>IFERROR(__xludf.DUMMYFUNCTION("""COMPUTED_VALUE"""),1.0)</f>
        <v>1</v>
      </c>
      <c r="C3916" s="11">
        <f>IFERROR(__xludf.DUMMYFUNCTION("""COMPUTED_VALUE"""),464.0)</f>
        <v>464</v>
      </c>
      <c r="D3916" s="11">
        <f>IFERROR(__xludf.DUMMYFUNCTION("""COMPUTED_VALUE"""),405.0)</f>
        <v>405</v>
      </c>
      <c r="E3916" s="9"/>
    </row>
    <row r="3917">
      <c r="A3917" s="10">
        <f>IFERROR(__xludf.DUMMYFUNCTION("""COMPUTED_VALUE"""),41225.0)</f>
        <v>41225</v>
      </c>
      <c r="B3917" s="11">
        <f>IFERROR(__xludf.DUMMYFUNCTION("""COMPUTED_VALUE"""),1.0)</f>
        <v>1</v>
      </c>
      <c r="C3917" s="11">
        <f>IFERROR(__xludf.DUMMYFUNCTION("""COMPUTED_VALUE"""),402.0)</f>
        <v>402</v>
      </c>
      <c r="D3917" s="11">
        <f>IFERROR(__xludf.DUMMYFUNCTION("""COMPUTED_VALUE"""),28.0)</f>
        <v>28</v>
      </c>
      <c r="E3917" s="9"/>
    </row>
    <row r="3918">
      <c r="A3918" s="10">
        <f>IFERROR(__xludf.DUMMYFUNCTION("""COMPUTED_VALUE"""),113300.0)</f>
        <v>113300</v>
      </c>
      <c r="B3918" s="11">
        <f>IFERROR(__xludf.DUMMYFUNCTION("""COMPUTED_VALUE"""),1.0)</f>
        <v>1</v>
      </c>
      <c r="C3918" s="11">
        <f>IFERROR(__xludf.DUMMYFUNCTION("""COMPUTED_VALUE"""),795.0)</f>
        <v>795</v>
      </c>
      <c r="D3918" s="11">
        <f>IFERROR(__xludf.DUMMYFUNCTION("""COMPUTED_VALUE"""),370.0)</f>
        <v>370</v>
      </c>
      <c r="E3918" s="9"/>
    </row>
    <row r="3919">
      <c r="A3919" s="10">
        <f>IFERROR(__xludf.DUMMYFUNCTION("""COMPUTED_VALUE"""),113299.0)</f>
        <v>113299</v>
      </c>
      <c r="B3919" s="11">
        <f>IFERROR(__xludf.DUMMYFUNCTION("""COMPUTED_VALUE"""),1.0)</f>
        <v>1</v>
      </c>
      <c r="C3919" s="11">
        <f>IFERROR(__xludf.DUMMYFUNCTION("""COMPUTED_VALUE"""),224.0)</f>
        <v>224</v>
      </c>
      <c r="D3919" s="11">
        <f>IFERROR(__xludf.DUMMYFUNCTION("""COMPUTED_VALUE"""),108.0)</f>
        <v>108</v>
      </c>
      <c r="E3919" s="9"/>
    </row>
    <row r="3920">
      <c r="A3920" s="10">
        <f>IFERROR(__xludf.DUMMYFUNCTION("""COMPUTED_VALUE"""),105475.0)</f>
        <v>105475</v>
      </c>
      <c r="B3920" s="11">
        <f>IFERROR(__xludf.DUMMYFUNCTION("""COMPUTED_VALUE"""),0.0)</f>
        <v>0</v>
      </c>
      <c r="C3920" s="11">
        <f>IFERROR(__xludf.DUMMYFUNCTION("""COMPUTED_VALUE"""),149.0)</f>
        <v>149</v>
      </c>
      <c r="D3920" s="11">
        <f>IFERROR(__xludf.DUMMYFUNCTION("""COMPUTED_VALUE"""),27.0)</f>
        <v>27</v>
      </c>
      <c r="E3920" s="9"/>
    </row>
    <row r="3921">
      <c r="A3921" s="10">
        <f>IFERROR(__xludf.DUMMYFUNCTION("""COMPUTED_VALUE"""),114724.0)</f>
        <v>114724</v>
      </c>
      <c r="B3921" s="11">
        <f>IFERROR(__xludf.DUMMYFUNCTION("""COMPUTED_VALUE"""),0.0)</f>
        <v>0</v>
      </c>
      <c r="C3921" s="11">
        <f>IFERROR(__xludf.DUMMYFUNCTION("""COMPUTED_VALUE"""),238.0)</f>
        <v>238</v>
      </c>
      <c r="D3921" s="11">
        <f>IFERROR(__xludf.DUMMYFUNCTION("""COMPUTED_VALUE"""),98.0)</f>
        <v>98</v>
      </c>
      <c r="E3921" s="9"/>
    </row>
    <row r="3922">
      <c r="A3922" s="10">
        <f>IFERROR(__xludf.DUMMYFUNCTION("""COMPUTED_VALUE"""),113298.0)</f>
        <v>113298</v>
      </c>
      <c r="B3922" s="11">
        <f>IFERROR(__xludf.DUMMYFUNCTION("""COMPUTED_VALUE"""),1.0)</f>
        <v>1</v>
      </c>
      <c r="C3922" s="11">
        <f>IFERROR(__xludf.DUMMYFUNCTION("""COMPUTED_VALUE"""),596.0)</f>
        <v>596</v>
      </c>
      <c r="D3922" s="11">
        <f>IFERROR(__xludf.DUMMYFUNCTION("""COMPUTED_VALUE"""),307.0)</f>
        <v>307</v>
      </c>
      <c r="E3922" s="9"/>
    </row>
    <row r="3923">
      <c r="A3923" s="10">
        <f>IFERROR(__xludf.DUMMYFUNCTION("""COMPUTED_VALUE"""),82838.0)</f>
        <v>82838</v>
      </c>
      <c r="B3923" s="11">
        <f>IFERROR(__xludf.DUMMYFUNCTION("""COMPUTED_VALUE"""),0.0)</f>
        <v>0</v>
      </c>
      <c r="C3923" s="11">
        <f>IFERROR(__xludf.DUMMYFUNCTION("""COMPUTED_VALUE"""),319.0)</f>
        <v>319</v>
      </c>
      <c r="D3923" s="11">
        <f>IFERROR(__xludf.DUMMYFUNCTION("""COMPUTED_VALUE"""),287.0)</f>
        <v>287</v>
      </c>
      <c r="E3923" s="9"/>
    </row>
    <row r="3924">
      <c r="A3924" s="10">
        <f>IFERROR(__xludf.DUMMYFUNCTION("""COMPUTED_VALUE"""),111960.0)</f>
        <v>111960</v>
      </c>
      <c r="B3924" s="11">
        <f>IFERROR(__xludf.DUMMYFUNCTION("""COMPUTED_VALUE"""),0.0)</f>
        <v>0</v>
      </c>
      <c r="C3924" s="11">
        <f>IFERROR(__xludf.DUMMYFUNCTION("""COMPUTED_VALUE"""),45.0)</f>
        <v>45</v>
      </c>
      <c r="D3924" s="11">
        <f>IFERROR(__xludf.DUMMYFUNCTION("""COMPUTED_VALUE"""),30.0)</f>
        <v>30</v>
      </c>
      <c r="E3924" s="9"/>
    </row>
    <row r="3925">
      <c r="A3925" s="10">
        <f>IFERROR(__xludf.DUMMYFUNCTION("""COMPUTED_VALUE"""),108840.0)</f>
        <v>108840</v>
      </c>
      <c r="B3925" s="11">
        <f>IFERROR(__xludf.DUMMYFUNCTION("""COMPUTED_VALUE"""),0.0)</f>
        <v>0</v>
      </c>
      <c r="C3925" s="11">
        <f>IFERROR(__xludf.DUMMYFUNCTION("""COMPUTED_VALUE"""),976.0)</f>
        <v>976</v>
      </c>
      <c r="D3925" s="11">
        <f>IFERROR(__xludf.DUMMYFUNCTION("""COMPUTED_VALUE"""),653.0)</f>
        <v>653</v>
      </c>
      <c r="E3925" s="9"/>
    </row>
    <row r="3926">
      <c r="A3926" s="10">
        <f>IFERROR(__xludf.DUMMYFUNCTION("""COMPUTED_VALUE"""),201044.0)</f>
        <v>201044</v>
      </c>
      <c r="B3926" s="11">
        <f>IFERROR(__xludf.DUMMYFUNCTION("""COMPUTED_VALUE"""),1.0)</f>
        <v>1</v>
      </c>
      <c r="C3926" s="11">
        <f>IFERROR(__xludf.DUMMYFUNCTION("""COMPUTED_VALUE"""),539.0)</f>
        <v>539</v>
      </c>
      <c r="D3926" s="11">
        <f>IFERROR(__xludf.DUMMYFUNCTION("""COMPUTED_VALUE"""),107.0)</f>
        <v>107</v>
      </c>
      <c r="E3926" s="9"/>
    </row>
    <row r="3927">
      <c r="A3927" s="10">
        <f>IFERROR(__xludf.DUMMYFUNCTION("""COMPUTED_VALUE"""),81880.0)</f>
        <v>81880</v>
      </c>
      <c r="B3927" s="11">
        <f>IFERROR(__xludf.DUMMYFUNCTION("""COMPUTED_VALUE"""),0.0)</f>
        <v>0</v>
      </c>
      <c r="C3927" s="11">
        <f>IFERROR(__xludf.DUMMYFUNCTION("""COMPUTED_VALUE"""),198.0)</f>
        <v>198</v>
      </c>
      <c r="D3927" s="11">
        <f>IFERROR(__xludf.DUMMYFUNCTION("""COMPUTED_VALUE"""),2.0)</f>
        <v>2</v>
      </c>
      <c r="E3927" s="9"/>
    </row>
    <row r="3928">
      <c r="A3928" s="10">
        <f>IFERROR(__xludf.DUMMYFUNCTION("""COMPUTED_VALUE"""),81873.0)</f>
        <v>81873</v>
      </c>
      <c r="B3928" s="11">
        <f>IFERROR(__xludf.DUMMYFUNCTION("""COMPUTED_VALUE"""),1.0)</f>
        <v>1</v>
      </c>
      <c r="C3928" s="11">
        <f>IFERROR(__xludf.DUMMYFUNCTION("""COMPUTED_VALUE"""),356.0)</f>
        <v>356</v>
      </c>
      <c r="D3928" s="11">
        <f>IFERROR(__xludf.DUMMYFUNCTION("""COMPUTED_VALUE"""),328.0)</f>
        <v>328</v>
      </c>
      <c r="E3928" s="9"/>
    </row>
    <row r="3929">
      <c r="A3929" s="10">
        <f>IFERROR(__xludf.DUMMYFUNCTION("""COMPUTED_VALUE"""),117613.0)</f>
        <v>117613</v>
      </c>
      <c r="B3929" s="11">
        <f>IFERROR(__xludf.DUMMYFUNCTION("""COMPUTED_VALUE"""),0.0)</f>
        <v>0</v>
      </c>
      <c r="C3929" s="11">
        <f>IFERROR(__xludf.DUMMYFUNCTION("""COMPUTED_VALUE"""),568.0)</f>
        <v>568</v>
      </c>
      <c r="D3929" s="11">
        <f>IFERROR(__xludf.DUMMYFUNCTION("""COMPUTED_VALUE"""),552.0)</f>
        <v>552</v>
      </c>
      <c r="E3929" s="9"/>
    </row>
    <row r="3930">
      <c r="A3930" s="10">
        <f>IFERROR(__xludf.DUMMYFUNCTION("""COMPUTED_VALUE"""),81876.0)</f>
        <v>81876</v>
      </c>
      <c r="B3930" s="11">
        <f>IFERROR(__xludf.DUMMYFUNCTION("""COMPUTED_VALUE"""),0.0)</f>
        <v>0</v>
      </c>
      <c r="C3930" s="11">
        <f>IFERROR(__xludf.DUMMYFUNCTION("""COMPUTED_VALUE"""),744.0)</f>
        <v>744</v>
      </c>
      <c r="D3930" s="11">
        <f>IFERROR(__xludf.DUMMYFUNCTION("""COMPUTED_VALUE"""),683.0)</f>
        <v>683</v>
      </c>
      <c r="E3930" s="9"/>
    </row>
    <row r="3931">
      <c r="A3931" s="10">
        <f>IFERROR(__xludf.DUMMYFUNCTION("""COMPUTED_VALUE"""),104050.0)</f>
        <v>104050</v>
      </c>
      <c r="B3931" s="11">
        <f>IFERROR(__xludf.DUMMYFUNCTION("""COMPUTED_VALUE"""),1.0)</f>
        <v>1</v>
      </c>
      <c r="C3931" s="11">
        <f>IFERROR(__xludf.DUMMYFUNCTION("""COMPUTED_VALUE"""),194.0)</f>
        <v>194</v>
      </c>
      <c r="D3931" s="11">
        <f>IFERROR(__xludf.DUMMYFUNCTION("""COMPUTED_VALUE"""),158.0)</f>
        <v>158</v>
      </c>
      <c r="E3931" s="9"/>
    </row>
    <row r="3932">
      <c r="A3932" s="10">
        <f>IFERROR(__xludf.DUMMYFUNCTION("""COMPUTED_VALUE"""),111934.0)</f>
        <v>111934</v>
      </c>
      <c r="B3932" s="11">
        <f>IFERROR(__xludf.DUMMYFUNCTION("""COMPUTED_VALUE"""),0.0)</f>
        <v>0</v>
      </c>
      <c r="C3932" s="11">
        <f>IFERROR(__xludf.DUMMYFUNCTION("""COMPUTED_VALUE"""),664.0)</f>
        <v>664</v>
      </c>
      <c r="D3932" s="11">
        <f>IFERROR(__xludf.DUMMYFUNCTION("""COMPUTED_VALUE"""),582.0)</f>
        <v>582</v>
      </c>
      <c r="E3932" s="9"/>
    </row>
    <row r="3933">
      <c r="A3933" s="10">
        <f>IFERROR(__xludf.DUMMYFUNCTION("""COMPUTED_VALUE"""),29819.0)</f>
        <v>29819</v>
      </c>
      <c r="B3933" s="11">
        <f>IFERROR(__xludf.DUMMYFUNCTION("""COMPUTED_VALUE"""),0.0)</f>
        <v>0</v>
      </c>
      <c r="C3933" s="11">
        <f>IFERROR(__xludf.DUMMYFUNCTION("""COMPUTED_VALUE"""),383.0)</f>
        <v>383</v>
      </c>
      <c r="D3933" s="11">
        <f>IFERROR(__xludf.DUMMYFUNCTION("""COMPUTED_VALUE"""),41.0)</f>
        <v>41</v>
      </c>
      <c r="E3933" s="9"/>
    </row>
    <row r="3934">
      <c r="A3934" s="10">
        <f>IFERROR(__xludf.DUMMYFUNCTION("""COMPUTED_VALUE"""),120392.0)</f>
        <v>120392</v>
      </c>
      <c r="B3934" s="11">
        <f>IFERROR(__xludf.DUMMYFUNCTION("""COMPUTED_VALUE"""),0.0)</f>
        <v>0</v>
      </c>
      <c r="C3934" s="11">
        <f>IFERROR(__xludf.DUMMYFUNCTION("""COMPUTED_VALUE"""),379.0)</f>
        <v>379</v>
      </c>
      <c r="D3934" s="11">
        <f>IFERROR(__xludf.DUMMYFUNCTION("""COMPUTED_VALUE"""),148.0)</f>
        <v>148</v>
      </c>
      <c r="E3934" s="9"/>
    </row>
    <row r="3935">
      <c r="A3935" s="10">
        <f>IFERROR(__xludf.DUMMYFUNCTION("""COMPUTED_VALUE"""),29820.0)</f>
        <v>29820</v>
      </c>
      <c r="B3935" s="11">
        <f>IFERROR(__xludf.DUMMYFUNCTION("""COMPUTED_VALUE"""),1.0)</f>
        <v>1</v>
      </c>
      <c r="C3935" s="11">
        <f>IFERROR(__xludf.DUMMYFUNCTION("""COMPUTED_VALUE"""),380.0)</f>
        <v>380</v>
      </c>
      <c r="D3935" s="11">
        <f>IFERROR(__xludf.DUMMYFUNCTION("""COMPUTED_VALUE"""),344.0)</f>
        <v>344</v>
      </c>
      <c r="E3935" s="9"/>
    </row>
    <row r="3936">
      <c r="A3936" s="10">
        <f>IFERROR(__xludf.DUMMYFUNCTION("""COMPUTED_VALUE"""),83755.0)</f>
        <v>83755</v>
      </c>
      <c r="B3936" s="11">
        <f>IFERROR(__xludf.DUMMYFUNCTION("""COMPUTED_VALUE"""),0.0)</f>
        <v>0</v>
      </c>
      <c r="C3936" s="11">
        <f>IFERROR(__xludf.DUMMYFUNCTION("""COMPUTED_VALUE"""),87.0)</f>
        <v>87</v>
      </c>
      <c r="D3936" s="11">
        <f>IFERROR(__xludf.DUMMYFUNCTION("""COMPUTED_VALUE"""),50.0)</f>
        <v>50</v>
      </c>
      <c r="E3936" s="9"/>
    </row>
    <row r="3937">
      <c r="A3937" s="10">
        <f>IFERROR(__xludf.DUMMYFUNCTION("""COMPUTED_VALUE"""),111941.0)</f>
        <v>111941</v>
      </c>
      <c r="B3937" s="11">
        <f>IFERROR(__xludf.DUMMYFUNCTION("""COMPUTED_VALUE"""),0.0)</f>
        <v>0</v>
      </c>
      <c r="C3937" s="11">
        <f>IFERROR(__xludf.DUMMYFUNCTION("""COMPUTED_VALUE"""),407.0)</f>
        <v>407</v>
      </c>
      <c r="D3937" s="11">
        <f>IFERROR(__xludf.DUMMYFUNCTION("""COMPUTED_VALUE"""),380.0)</f>
        <v>380</v>
      </c>
      <c r="E3937" s="9"/>
    </row>
    <row r="3938">
      <c r="A3938" s="10">
        <f>IFERROR(__xludf.DUMMYFUNCTION("""COMPUTED_VALUE"""),80858.0)</f>
        <v>80858</v>
      </c>
      <c r="B3938" s="11">
        <f>IFERROR(__xludf.DUMMYFUNCTION("""COMPUTED_VALUE"""),1.0)</f>
        <v>1</v>
      </c>
      <c r="C3938" s="11">
        <f>IFERROR(__xludf.DUMMYFUNCTION("""COMPUTED_VALUE"""),93.0)</f>
        <v>93</v>
      </c>
      <c r="D3938" s="11">
        <f>IFERROR(__xludf.DUMMYFUNCTION("""COMPUTED_VALUE"""),66.0)</f>
        <v>66</v>
      </c>
      <c r="E3938" s="9"/>
    </row>
    <row r="3939">
      <c r="A3939" s="10">
        <f>IFERROR(__xludf.DUMMYFUNCTION("""COMPUTED_VALUE"""),81902.0)</f>
        <v>81902</v>
      </c>
      <c r="B3939" s="11">
        <f>IFERROR(__xludf.DUMMYFUNCTION("""COMPUTED_VALUE"""),0.0)</f>
        <v>0</v>
      </c>
      <c r="C3939" s="11">
        <f>IFERROR(__xludf.DUMMYFUNCTION("""COMPUTED_VALUE"""),903.0)</f>
        <v>903</v>
      </c>
      <c r="D3939" s="11">
        <f>IFERROR(__xludf.DUMMYFUNCTION("""COMPUTED_VALUE"""),761.0)</f>
        <v>761</v>
      </c>
      <c r="E3939" s="9"/>
    </row>
    <row r="3940">
      <c r="A3940" s="10">
        <f>IFERROR(__xludf.DUMMYFUNCTION("""COMPUTED_VALUE"""),83754.0)</f>
        <v>83754</v>
      </c>
      <c r="B3940" s="11">
        <f>IFERROR(__xludf.DUMMYFUNCTION("""COMPUTED_VALUE"""),1.0)</f>
        <v>1</v>
      </c>
      <c r="C3940" s="11">
        <f>IFERROR(__xludf.DUMMYFUNCTION("""COMPUTED_VALUE"""),591.0)</f>
        <v>591</v>
      </c>
      <c r="D3940" s="11">
        <f>IFERROR(__xludf.DUMMYFUNCTION("""COMPUTED_VALUE"""),455.0)</f>
        <v>455</v>
      </c>
      <c r="E3940" s="9"/>
    </row>
    <row r="3941">
      <c r="A3941" s="10">
        <f>IFERROR(__xludf.DUMMYFUNCTION("""COMPUTED_VALUE"""),116233.0)</f>
        <v>116233</v>
      </c>
      <c r="B3941" s="11">
        <f>IFERROR(__xludf.DUMMYFUNCTION("""COMPUTED_VALUE"""),0.0)</f>
        <v>0</v>
      </c>
      <c r="C3941" s="11">
        <f>IFERROR(__xludf.DUMMYFUNCTION("""COMPUTED_VALUE"""),76.0)</f>
        <v>76</v>
      </c>
      <c r="D3941" s="11">
        <f>IFERROR(__xludf.DUMMYFUNCTION("""COMPUTED_VALUE"""),21.0)</f>
        <v>21</v>
      </c>
      <c r="E3941" s="9"/>
    </row>
    <row r="3942">
      <c r="A3942" s="10">
        <f>IFERROR(__xludf.DUMMYFUNCTION("""COMPUTED_VALUE"""),112192.0)</f>
        <v>112192</v>
      </c>
      <c r="B3942" s="11">
        <f>IFERROR(__xludf.DUMMYFUNCTION("""COMPUTED_VALUE"""),0.0)</f>
        <v>0</v>
      </c>
      <c r="C3942" s="11">
        <f>IFERROR(__xludf.DUMMYFUNCTION("""COMPUTED_VALUE"""),500.0)</f>
        <v>500</v>
      </c>
      <c r="D3942" s="11">
        <f>IFERROR(__xludf.DUMMYFUNCTION("""COMPUTED_VALUE"""),296.0)</f>
        <v>296</v>
      </c>
      <c r="E3942" s="9"/>
    </row>
    <row r="3943">
      <c r="A3943" s="10">
        <f>IFERROR(__xludf.DUMMYFUNCTION("""COMPUTED_VALUE"""),119728.0)</f>
        <v>119728</v>
      </c>
      <c r="B3943" s="11">
        <f>IFERROR(__xludf.DUMMYFUNCTION("""COMPUTED_VALUE"""),1.0)</f>
        <v>1</v>
      </c>
      <c r="C3943" s="11">
        <f>IFERROR(__xludf.DUMMYFUNCTION("""COMPUTED_VALUE"""),141.0)</f>
        <v>141</v>
      </c>
      <c r="D3943" s="11">
        <f>IFERROR(__xludf.DUMMYFUNCTION("""COMPUTED_VALUE"""),16.0)</f>
        <v>16</v>
      </c>
      <c r="E3943" s="9"/>
    </row>
    <row r="3944">
      <c r="A3944" s="10">
        <f>IFERROR(__xludf.DUMMYFUNCTION("""COMPUTED_VALUE"""),81901.0)</f>
        <v>81901</v>
      </c>
      <c r="B3944" s="11">
        <f>IFERROR(__xludf.DUMMYFUNCTION("""COMPUTED_VALUE"""),0.0)</f>
        <v>0</v>
      </c>
      <c r="C3944" s="11">
        <f>IFERROR(__xludf.DUMMYFUNCTION("""COMPUTED_VALUE"""),831.0)</f>
        <v>831</v>
      </c>
      <c r="D3944" s="11">
        <f>IFERROR(__xludf.DUMMYFUNCTION("""COMPUTED_VALUE"""),597.0)</f>
        <v>597</v>
      </c>
      <c r="E3944" s="9"/>
    </row>
    <row r="3945">
      <c r="A3945" s="10">
        <f>IFERROR(__xludf.DUMMYFUNCTION("""COMPUTED_VALUE"""),141878.0)</f>
        <v>141878</v>
      </c>
      <c r="B3945" s="11">
        <f>IFERROR(__xludf.DUMMYFUNCTION("""COMPUTED_VALUE"""),0.0)</f>
        <v>0</v>
      </c>
      <c r="C3945" s="11">
        <f>IFERROR(__xludf.DUMMYFUNCTION("""COMPUTED_VALUE"""),255.0)</f>
        <v>255</v>
      </c>
      <c r="D3945" s="11">
        <f>IFERROR(__xludf.DUMMYFUNCTION("""COMPUTED_VALUE"""),115.0)</f>
        <v>115</v>
      </c>
      <c r="E3945" s="9"/>
    </row>
    <row r="3946">
      <c r="A3946" s="10">
        <f>IFERROR(__xludf.DUMMYFUNCTION("""COMPUTED_VALUE"""),116236.0)</f>
        <v>116236</v>
      </c>
      <c r="B3946" s="11">
        <f>IFERROR(__xludf.DUMMYFUNCTION("""COMPUTED_VALUE"""),0.0)</f>
        <v>0</v>
      </c>
      <c r="C3946" s="11">
        <f>IFERROR(__xludf.DUMMYFUNCTION("""COMPUTED_VALUE"""),459.0)</f>
        <v>459</v>
      </c>
      <c r="D3946" s="11">
        <f>IFERROR(__xludf.DUMMYFUNCTION("""COMPUTED_VALUE"""),67.0)</f>
        <v>67</v>
      </c>
      <c r="E3946" s="9"/>
    </row>
    <row r="3947">
      <c r="A3947" s="10">
        <f>IFERROR(__xludf.DUMMYFUNCTION("""COMPUTED_VALUE"""),120751.0)</f>
        <v>120751</v>
      </c>
      <c r="B3947" s="11">
        <f>IFERROR(__xludf.DUMMYFUNCTION("""COMPUTED_VALUE"""),0.0)</f>
        <v>0</v>
      </c>
      <c r="C3947" s="11">
        <f>IFERROR(__xludf.DUMMYFUNCTION("""COMPUTED_VALUE"""),272.0)</f>
        <v>272</v>
      </c>
      <c r="D3947" s="11">
        <f>IFERROR(__xludf.DUMMYFUNCTION("""COMPUTED_VALUE"""),30.0)</f>
        <v>30</v>
      </c>
      <c r="E3947" s="9"/>
    </row>
    <row r="3948">
      <c r="A3948" s="10">
        <f>IFERROR(__xludf.DUMMYFUNCTION("""COMPUTED_VALUE"""),80756.0)</f>
        <v>80756</v>
      </c>
      <c r="B3948" s="11">
        <f>IFERROR(__xludf.DUMMYFUNCTION("""COMPUTED_VALUE"""),1.0)</f>
        <v>1</v>
      </c>
      <c r="C3948" s="11">
        <f>IFERROR(__xludf.DUMMYFUNCTION("""COMPUTED_VALUE"""),326.0)</f>
        <v>326</v>
      </c>
      <c r="D3948" s="11">
        <f>IFERROR(__xludf.DUMMYFUNCTION("""COMPUTED_VALUE"""),254.0)</f>
        <v>254</v>
      </c>
      <c r="E3948" s="9"/>
    </row>
    <row r="3949">
      <c r="A3949" s="10">
        <f>IFERROR(__xludf.DUMMYFUNCTION("""COMPUTED_VALUE"""),119729.0)</f>
        <v>119729</v>
      </c>
      <c r="B3949" s="11">
        <f>IFERROR(__xludf.DUMMYFUNCTION("""COMPUTED_VALUE"""),1.0)</f>
        <v>1</v>
      </c>
      <c r="C3949" s="11">
        <f>IFERROR(__xludf.DUMMYFUNCTION("""COMPUTED_VALUE"""),270.0)</f>
        <v>270</v>
      </c>
      <c r="D3949" s="11">
        <f>IFERROR(__xludf.DUMMYFUNCTION("""COMPUTED_VALUE"""),192.0)</f>
        <v>192</v>
      </c>
      <c r="E3949" s="9"/>
    </row>
    <row r="3950">
      <c r="A3950" s="10">
        <f>IFERROR(__xludf.DUMMYFUNCTION("""COMPUTED_VALUE"""),119028.0)</f>
        <v>119028</v>
      </c>
      <c r="B3950" s="11">
        <f>IFERROR(__xludf.DUMMYFUNCTION("""COMPUTED_VALUE"""),1.0)</f>
        <v>1</v>
      </c>
      <c r="C3950" s="11">
        <f>IFERROR(__xludf.DUMMYFUNCTION("""COMPUTED_VALUE"""),867.0)</f>
        <v>867</v>
      </c>
      <c r="D3950" s="11">
        <f>IFERROR(__xludf.DUMMYFUNCTION("""COMPUTED_VALUE"""),649.0)</f>
        <v>649</v>
      </c>
      <c r="E3950" s="9"/>
    </row>
    <row r="3951">
      <c r="A3951" s="10">
        <f>IFERROR(__xludf.DUMMYFUNCTION("""COMPUTED_VALUE"""),116957.0)</f>
        <v>116957</v>
      </c>
      <c r="B3951" s="11">
        <f>IFERROR(__xludf.DUMMYFUNCTION("""COMPUTED_VALUE"""),0.0)</f>
        <v>0</v>
      </c>
      <c r="C3951" s="11">
        <f>IFERROR(__xludf.DUMMYFUNCTION("""COMPUTED_VALUE"""),820.0)</f>
        <v>820</v>
      </c>
      <c r="D3951" s="11">
        <f>IFERROR(__xludf.DUMMYFUNCTION("""COMPUTED_VALUE"""),92.0)</f>
        <v>92</v>
      </c>
      <c r="E3951" s="9"/>
    </row>
    <row r="3952">
      <c r="A3952" s="10">
        <f>IFERROR(__xludf.DUMMYFUNCTION("""COMPUTED_VALUE"""),78235.0)</f>
        <v>78235</v>
      </c>
      <c r="B3952" s="11">
        <f>IFERROR(__xludf.DUMMYFUNCTION("""COMPUTED_VALUE"""),0.0)</f>
        <v>0</v>
      </c>
      <c r="C3952" s="11">
        <f>IFERROR(__xludf.DUMMYFUNCTION("""COMPUTED_VALUE"""),654.0)</f>
        <v>654</v>
      </c>
      <c r="D3952" s="11">
        <f>IFERROR(__xludf.DUMMYFUNCTION("""COMPUTED_VALUE"""),588.0)</f>
        <v>588</v>
      </c>
      <c r="E3952" s="9"/>
    </row>
    <row r="3953">
      <c r="A3953" s="10">
        <f>IFERROR(__xludf.DUMMYFUNCTION("""COMPUTED_VALUE"""),119803.0)</f>
        <v>119803</v>
      </c>
      <c r="B3953" s="11">
        <f>IFERROR(__xludf.DUMMYFUNCTION("""COMPUTED_VALUE"""),0.0)</f>
        <v>0</v>
      </c>
      <c r="C3953" s="11">
        <f>IFERROR(__xludf.DUMMYFUNCTION("""COMPUTED_VALUE"""),405.0)</f>
        <v>405</v>
      </c>
      <c r="D3953" s="11">
        <f>IFERROR(__xludf.DUMMYFUNCTION("""COMPUTED_VALUE"""),216.0)</f>
        <v>216</v>
      </c>
      <c r="E3953" s="9"/>
    </row>
    <row r="3954">
      <c r="A3954" s="10">
        <f>IFERROR(__xludf.DUMMYFUNCTION("""COMPUTED_VALUE"""),7669.0)</f>
        <v>7669</v>
      </c>
      <c r="B3954" s="11">
        <f>IFERROR(__xludf.DUMMYFUNCTION("""COMPUTED_VALUE"""),0.0)</f>
        <v>0</v>
      </c>
      <c r="C3954" s="11">
        <f>IFERROR(__xludf.DUMMYFUNCTION("""COMPUTED_VALUE"""),793.0)</f>
        <v>793</v>
      </c>
      <c r="D3954" s="11">
        <f>IFERROR(__xludf.DUMMYFUNCTION("""COMPUTED_VALUE"""),716.0)</f>
        <v>716</v>
      </c>
      <c r="E3954" s="9"/>
    </row>
    <row r="3955">
      <c r="A3955" s="10">
        <f>IFERROR(__xludf.DUMMYFUNCTION("""COMPUTED_VALUE"""),139312.0)</f>
        <v>139312</v>
      </c>
      <c r="B3955" s="11">
        <f>IFERROR(__xludf.DUMMYFUNCTION("""COMPUTED_VALUE"""),0.0)</f>
        <v>0</v>
      </c>
      <c r="C3955" s="11">
        <f>IFERROR(__xludf.DUMMYFUNCTION("""COMPUTED_VALUE"""),410.0)</f>
        <v>410</v>
      </c>
      <c r="D3955" s="11">
        <f>IFERROR(__xludf.DUMMYFUNCTION("""COMPUTED_VALUE"""),222.0)</f>
        <v>222</v>
      </c>
      <c r="E3955" s="9"/>
    </row>
    <row r="3956">
      <c r="A3956" s="10">
        <f>IFERROR(__xludf.DUMMYFUNCTION("""COMPUTED_VALUE"""),77773.0)</f>
        <v>77773</v>
      </c>
      <c r="B3956" s="11">
        <f>IFERROR(__xludf.DUMMYFUNCTION("""COMPUTED_VALUE"""),1.0)</f>
        <v>1</v>
      </c>
      <c r="C3956" s="11">
        <f>IFERROR(__xludf.DUMMYFUNCTION("""COMPUTED_VALUE"""),529.0)</f>
        <v>529</v>
      </c>
      <c r="D3956" s="11">
        <f>IFERROR(__xludf.DUMMYFUNCTION("""COMPUTED_VALUE"""),314.0)</f>
        <v>314</v>
      </c>
      <c r="E3956" s="9"/>
    </row>
    <row r="3957">
      <c r="A3957" s="10">
        <f>IFERROR(__xludf.DUMMYFUNCTION("""COMPUTED_VALUE"""),73442.0)</f>
        <v>73442</v>
      </c>
      <c r="B3957" s="11">
        <f>IFERROR(__xludf.DUMMYFUNCTION("""COMPUTED_VALUE"""),0.0)</f>
        <v>0</v>
      </c>
      <c r="C3957" s="11">
        <f>IFERROR(__xludf.DUMMYFUNCTION("""COMPUTED_VALUE"""),858.0)</f>
        <v>858</v>
      </c>
      <c r="D3957" s="11">
        <f>IFERROR(__xludf.DUMMYFUNCTION("""COMPUTED_VALUE"""),537.0)</f>
        <v>537</v>
      </c>
      <c r="E3957" s="9"/>
    </row>
    <row r="3958">
      <c r="A3958" s="10">
        <f>IFERROR(__xludf.DUMMYFUNCTION("""COMPUTED_VALUE"""),3974.0)</f>
        <v>3974</v>
      </c>
      <c r="B3958" s="11">
        <f>IFERROR(__xludf.DUMMYFUNCTION("""COMPUTED_VALUE"""),0.0)</f>
        <v>0</v>
      </c>
      <c r="C3958" s="11">
        <f>IFERROR(__xludf.DUMMYFUNCTION("""COMPUTED_VALUE"""),511.0)</f>
        <v>511</v>
      </c>
      <c r="D3958" s="11">
        <f>IFERROR(__xludf.DUMMYFUNCTION("""COMPUTED_VALUE"""),302.0)</f>
        <v>302</v>
      </c>
      <c r="E3958" s="9"/>
    </row>
    <row r="3959">
      <c r="A3959" s="10">
        <f>IFERROR(__xludf.DUMMYFUNCTION("""COMPUTED_VALUE"""),104032.0)</f>
        <v>104032</v>
      </c>
      <c r="B3959" s="11">
        <f>IFERROR(__xludf.DUMMYFUNCTION("""COMPUTED_VALUE"""),0.0)</f>
        <v>0</v>
      </c>
      <c r="C3959" s="11">
        <f>IFERROR(__xludf.DUMMYFUNCTION("""COMPUTED_VALUE"""),720.0)</f>
        <v>720</v>
      </c>
      <c r="D3959" s="11">
        <f>IFERROR(__xludf.DUMMYFUNCTION("""COMPUTED_VALUE"""),137.0)</f>
        <v>137</v>
      </c>
      <c r="E3959" s="9"/>
    </row>
    <row r="3960">
      <c r="A3960" s="10">
        <f>IFERROR(__xludf.DUMMYFUNCTION("""COMPUTED_VALUE"""),24162.0)</f>
        <v>24162</v>
      </c>
      <c r="B3960" s="11">
        <f>IFERROR(__xludf.DUMMYFUNCTION("""COMPUTED_VALUE"""),1.0)</f>
        <v>1</v>
      </c>
      <c r="C3960" s="11">
        <f>IFERROR(__xludf.DUMMYFUNCTION("""COMPUTED_VALUE"""),811.0)</f>
        <v>811</v>
      </c>
      <c r="D3960" s="11">
        <f>IFERROR(__xludf.DUMMYFUNCTION("""COMPUTED_VALUE"""),429.0)</f>
        <v>429</v>
      </c>
      <c r="E3960" s="9"/>
    </row>
    <row r="3961">
      <c r="A3961" s="10">
        <f>IFERROR(__xludf.DUMMYFUNCTION("""COMPUTED_VALUE"""),24167.0)</f>
        <v>24167</v>
      </c>
      <c r="B3961" s="11">
        <f>IFERROR(__xludf.DUMMYFUNCTION("""COMPUTED_VALUE"""),1.0)</f>
        <v>1</v>
      </c>
      <c r="C3961" s="11">
        <f>IFERROR(__xludf.DUMMYFUNCTION("""COMPUTED_VALUE"""),516.0)</f>
        <v>516</v>
      </c>
      <c r="D3961" s="11">
        <f>IFERROR(__xludf.DUMMYFUNCTION("""COMPUTED_VALUE"""),445.0)</f>
        <v>445</v>
      </c>
      <c r="E3961" s="9"/>
    </row>
    <row r="3962">
      <c r="A3962" s="10">
        <f>IFERROR(__xludf.DUMMYFUNCTION("""COMPUTED_VALUE"""),24174.0)</f>
        <v>24174</v>
      </c>
      <c r="B3962" s="11">
        <f>IFERROR(__xludf.DUMMYFUNCTION("""COMPUTED_VALUE"""),0.0)</f>
        <v>0</v>
      </c>
      <c r="C3962" s="11">
        <f>IFERROR(__xludf.DUMMYFUNCTION("""COMPUTED_VALUE"""),545.0)</f>
        <v>545</v>
      </c>
      <c r="D3962" s="11">
        <f>IFERROR(__xludf.DUMMYFUNCTION("""COMPUTED_VALUE"""),505.0)</f>
        <v>505</v>
      </c>
      <c r="E3962" s="9"/>
    </row>
    <row r="3963">
      <c r="A3963" s="10">
        <f>IFERROR(__xludf.DUMMYFUNCTION("""COMPUTED_VALUE"""),24161.0)</f>
        <v>24161</v>
      </c>
      <c r="B3963" s="11">
        <f>IFERROR(__xludf.DUMMYFUNCTION("""COMPUTED_VALUE"""),0.0)</f>
        <v>0</v>
      </c>
      <c r="C3963" s="11">
        <f>IFERROR(__xludf.DUMMYFUNCTION("""COMPUTED_VALUE"""),929.0)</f>
        <v>929</v>
      </c>
      <c r="D3963" s="11">
        <f>IFERROR(__xludf.DUMMYFUNCTION("""COMPUTED_VALUE"""),159.0)</f>
        <v>159</v>
      </c>
      <c r="E3963" s="9"/>
    </row>
    <row r="3964">
      <c r="A3964" s="10">
        <f>IFERROR(__xludf.DUMMYFUNCTION("""COMPUTED_VALUE"""),88594.0)</f>
        <v>88594</v>
      </c>
      <c r="B3964" s="11">
        <f>IFERROR(__xludf.DUMMYFUNCTION("""COMPUTED_VALUE"""),0.0)</f>
        <v>0</v>
      </c>
      <c r="C3964" s="11">
        <f>IFERROR(__xludf.DUMMYFUNCTION("""COMPUTED_VALUE"""),871.0)</f>
        <v>871</v>
      </c>
      <c r="D3964" s="11">
        <f>IFERROR(__xludf.DUMMYFUNCTION("""COMPUTED_VALUE"""),855.0)</f>
        <v>855</v>
      </c>
      <c r="E3964" s="9"/>
    </row>
    <row r="3965">
      <c r="A3965" s="10">
        <f>IFERROR(__xludf.DUMMYFUNCTION("""COMPUTED_VALUE"""),118818.0)</f>
        <v>118818</v>
      </c>
      <c r="B3965" s="11">
        <f>IFERROR(__xludf.DUMMYFUNCTION("""COMPUTED_VALUE"""),1.0)</f>
        <v>1</v>
      </c>
      <c r="C3965" s="11">
        <f>IFERROR(__xludf.DUMMYFUNCTION("""COMPUTED_VALUE"""),891.0)</f>
        <v>891</v>
      </c>
      <c r="D3965" s="11">
        <f>IFERROR(__xludf.DUMMYFUNCTION("""COMPUTED_VALUE"""),196.0)</f>
        <v>196</v>
      </c>
      <c r="E3965" s="9"/>
    </row>
    <row r="3966">
      <c r="A3966" s="10">
        <f>IFERROR(__xludf.DUMMYFUNCTION("""COMPUTED_VALUE"""),24166.0)</f>
        <v>24166</v>
      </c>
      <c r="B3966" s="11">
        <f>IFERROR(__xludf.DUMMYFUNCTION("""COMPUTED_VALUE"""),1.0)</f>
        <v>1</v>
      </c>
      <c r="C3966" s="11">
        <f>IFERROR(__xludf.DUMMYFUNCTION("""COMPUTED_VALUE"""),161.0)</f>
        <v>161</v>
      </c>
      <c r="D3966" s="11">
        <f>IFERROR(__xludf.DUMMYFUNCTION("""COMPUTED_VALUE"""),26.0)</f>
        <v>26</v>
      </c>
      <c r="E3966" s="9"/>
    </row>
    <row r="3967">
      <c r="A3967" s="10">
        <f>IFERROR(__xludf.DUMMYFUNCTION("""COMPUTED_VALUE"""),118828.0)</f>
        <v>118828</v>
      </c>
      <c r="B3967" s="11">
        <f>IFERROR(__xludf.DUMMYFUNCTION("""COMPUTED_VALUE"""),0.0)</f>
        <v>0</v>
      </c>
      <c r="C3967" s="11">
        <f>IFERROR(__xludf.DUMMYFUNCTION("""COMPUTED_VALUE"""),506.0)</f>
        <v>506</v>
      </c>
      <c r="D3967" s="11">
        <f>IFERROR(__xludf.DUMMYFUNCTION("""COMPUTED_VALUE"""),325.0)</f>
        <v>325</v>
      </c>
      <c r="E3967" s="9"/>
    </row>
    <row r="3968">
      <c r="A3968" s="10">
        <f>IFERROR(__xludf.DUMMYFUNCTION("""COMPUTED_VALUE"""),86169.0)</f>
        <v>86169</v>
      </c>
      <c r="B3968" s="11">
        <f>IFERROR(__xludf.DUMMYFUNCTION("""COMPUTED_VALUE"""),1.0)</f>
        <v>1</v>
      </c>
      <c r="C3968" s="11">
        <f>IFERROR(__xludf.DUMMYFUNCTION("""COMPUTED_VALUE"""),921.0)</f>
        <v>921</v>
      </c>
      <c r="D3968" s="11">
        <f>IFERROR(__xludf.DUMMYFUNCTION("""COMPUTED_VALUE"""),48.0)</f>
        <v>48</v>
      </c>
      <c r="E3968" s="9"/>
    </row>
    <row r="3969">
      <c r="A3969" s="10">
        <f>IFERROR(__xludf.DUMMYFUNCTION("""COMPUTED_VALUE"""),118851.0)</f>
        <v>118851</v>
      </c>
      <c r="B3969" s="11">
        <f>IFERROR(__xludf.DUMMYFUNCTION("""COMPUTED_VALUE"""),0.0)</f>
        <v>0</v>
      </c>
      <c r="C3969" s="11">
        <f>IFERROR(__xludf.DUMMYFUNCTION("""COMPUTED_VALUE"""),395.0)</f>
        <v>395</v>
      </c>
      <c r="D3969" s="11">
        <f>IFERROR(__xludf.DUMMYFUNCTION("""COMPUTED_VALUE"""),355.0)</f>
        <v>355</v>
      </c>
      <c r="E3969" s="9"/>
    </row>
    <row r="3970">
      <c r="A3970" s="10">
        <f>IFERROR(__xludf.DUMMYFUNCTION("""COMPUTED_VALUE"""),118824.0)</f>
        <v>118824</v>
      </c>
      <c r="B3970" s="11">
        <f>IFERROR(__xludf.DUMMYFUNCTION("""COMPUTED_VALUE"""),1.0)</f>
        <v>1</v>
      </c>
      <c r="C3970" s="11">
        <f>IFERROR(__xludf.DUMMYFUNCTION("""COMPUTED_VALUE"""),78.0)</f>
        <v>78</v>
      </c>
      <c r="D3970" s="11">
        <f>IFERROR(__xludf.DUMMYFUNCTION("""COMPUTED_VALUE"""),47.0)</f>
        <v>47</v>
      </c>
      <c r="E3970" s="9"/>
    </row>
    <row r="3971">
      <c r="A3971" s="10">
        <f>IFERROR(__xludf.DUMMYFUNCTION("""COMPUTED_VALUE"""),122728.0)</f>
        <v>122728</v>
      </c>
      <c r="B3971" s="11">
        <f>IFERROR(__xludf.DUMMYFUNCTION("""COMPUTED_VALUE"""),0.0)</f>
        <v>0</v>
      </c>
      <c r="C3971" s="11">
        <f>IFERROR(__xludf.DUMMYFUNCTION("""COMPUTED_VALUE"""),689.0)</f>
        <v>689</v>
      </c>
      <c r="D3971" s="11">
        <f>IFERROR(__xludf.DUMMYFUNCTION("""COMPUTED_VALUE"""),126.0)</f>
        <v>126</v>
      </c>
      <c r="E3971" s="9"/>
    </row>
    <row r="3972">
      <c r="A3972" s="10">
        <f>IFERROR(__xludf.DUMMYFUNCTION("""COMPUTED_VALUE"""),103474.0)</f>
        <v>103474</v>
      </c>
      <c r="B3972" s="11">
        <f>IFERROR(__xludf.DUMMYFUNCTION("""COMPUTED_VALUE"""),0.0)</f>
        <v>0</v>
      </c>
      <c r="C3972" s="11">
        <f>IFERROR(__xludf.DUMMYFUNCTION("""COMPUTED_VALUE"""),439.0)</f>
        <v>439</v>
      </c>
      <c r="D3972" s="11">
        <f>IFERROR(__xludf.DUMMYFUNCTION("""COMPUTED_VALUE"""),35.0)</f>
        <v>35</v>
      </c>
      <c r="E3972" s="9"/>
    </row>
    <row r="3973">
      <c r="A3973" s="10">
        <f>IFERROR(__xludf.DUMMYFUNCTION("""COMPUTED_VALUE"""),120635.0)</f>
        <v>120635</v>
      </c>
      <c r="B3973" s="11">
        <f>IFERROR(__xludf.DUMMYFUNCTION("""COMPUTED_VALUE"""),0.0)</f>
        <v>0</v>
      </c>
      <c r="C3973" s="11">
        <f>IFERROR(__xludf.DUMMYFUNCTION("""COMPUTED_VALUE"""),231.0)</f>
        <v>231</v>
      </c>
      <c r="D3973" s="11">
        <f>IFERROR(__xludf.DUMMYFUNCTION("""COMPUTED_VALUE"""),116.0)</f>
        <v>116</v>
      </c>
      <c r="E3973" s="9"/>
    </row>
    <row r="3974">
      <c r="A3974" s="10">
        <f>IFERROR(__xludf.DUMMYFUNCTION("""COMPUTED_VALUE"""),120633.0)</f>
        <v>120633</v>
      </c>
      <c r="B3974" s="11">
        <f>IFERROR(__xludf.DUMMYFUNCTION("""COMPUTED_VALUE"""),1.0)</f>
        <v>1</v>
      </c>
      <c r="C3974" s="11">
        <f>IFERROR(__xludf.DUMMYFUNCTION("""COMPUTED_VALUE"""),339.0)</f>
        <v>339</v>
      </c>
      <c r="D3974" s="11">
        <f>IFERROR(__xludf.DUMMYFUNCTION("""COMPUTED_VALUE"""),165.0)</f>
        <v>165</v>
      </c>
      <c r="E3974" s="9"/>
    </row>
    <row r="3975">
      <c r="A3975" s="10">
        <f>IFERROR(__xludf.DUMMYFUNCTION("""COMPUTED_VALUE"""),121477.0)</f>
        <v>121477</v>
      </c>
      <c r="B3975" s="11">
        <f>IFERROR(__xludf.DUMMYFUNCTION("""COMPUTED_VALUE"""),1.0)</f>
        <v>1</v>
      </c>
      <c r="C3975" s="11">
        <f>IFERROR(__xludf.DUMMYFUNCTION("""COMPUTED_VALUE"""),830.0)</f>
        <v>830</v>
      </c>
      <c r="D3975" s="11">
        <f>IFERROR(__xludf.DUMMYFUNCTION("""COMPUTED_VALUE"""),681.0)</f>
        <v>681</v>
      </c>
      <c r="E3975" s="9"/>
    </row>
    <row r="3976">
      <c r="A3976" s="10">
        <f>IFERROR(__xludf.DUMMYFUNCTION("""COMPUTED_VALUE"""),156024.0)</f>
        <v>156024</v>
      </c>
      <c r="B3976" s="11">
        <f>IFERROR(__xludf.DUMMYFUNCTION("""COMPUTED_VALUE"""),1.0)</f>
        <v>1</v>
      </c>
      <c r="C3976" s="11">
        <f>IFERROR(__xludf.DUMMYFUNCTION("""COMPUTED_VALUE"""),635.0)</f>
        <v>635</v>
      </c>
      <c r="D3976" s="11">
        <f>IFERROR(__xludf.DUMMYFUNCTION("""COMPUTED_VALUE"""),389.0)</f>
        <v>389</v>
      </c>
      <c r="E3976" s="9"/>
    </row>
    <row r="3977">
      <c r="A3977" s="10">
        <f>IFERROR(__xludf.DUMMYFUNCTION("""COMPUTED_VALUE"""),70191.0)</f>
        <v>70191</v>
      </c>
      <c r="B3977" s="11">
        <f>IFERROR(__xludf.DUMMYFUNCTION("""COMPUTED_VALUE"""),0.0)</f>
        <v>0</v>
      </c>
      <c r="C3977" s="11">
        <f>IFERROR(__xludf.DUMMYFUNCTION("""COMPUTED_VALUE"""),297.0)</f>
        <v>297</v>
      </c>
      <c r="D3977" s="11">
        <f>IFERROR(__xludf.DUMMYFUNCTION("""COMPUTED_VALUE"""),13.0)</f>
        <v>13</v>
      </c>
      <c r="E3977" s="9"/>
    </row>
    <row r="3978">
      <c r="A3978" s="10">
        <f>IFERROR(__xludf.DUMMYFUNCTION("""COMPUTED_VALUE"""),19822.0)</f>
        <v>19822</v>
      </c>
      <c r="B3978" s="11">
        <f>IFERROR(__xludf.DUMMYFUNCTION("""COMPUTED_VALUE"""),0.0)</f>
        <v>0</v>
      </c>
      <c r="C3978" s="11">
        <f>IFERROR(__xludf.DUMMYFUNCTION("""COMPUTED_VALUE"""),664.0)</f>
        <v>664</v>
      </c>
      <c r="D3978" s="11">
        <f>IFERROR(__xludf.DUMMYFUNCTION("""COMPUTED_VALUE"""),517.0)</f>
        <v>517</v>
      </c>
      <c r="E3978" s="9"/>
    </row>
    <row r="3979">
      <c r="A3979" s="10">
        <f>IFERROR(__xludf.DUMMYFUNCTION("""COMPUTED_VALUE"""),156023.0)</f>
        <v>156023</v>
      </c>
      <c r="B3979" s="11">
        <f>IFERROR(__xludf.DUMMYFUNCTION("""COMPUTED_VALUE"""),1.0)</f>
        <v>1</v>
      </c>
      <c r="C3979" s="11">
        <f>IFERROR(__xludf.DUMMYFUNCTION("""COMPUTED_VALUE"""),311.0)</f>
        <v>311</v>
      </c>
      <c r="D3979" s="11">
        <f>IFERROR(__xludf.DUMMYFUNCTION("""COMPUTED_VALUE"""),101.0)</f>
        <v>101</v>
      </c>
      <c r="E3979" s="9"/>
    </row>
    <row r="3980">
      <c r="A3980" s="10">
        <f>IFERROR(__xludf.DUMMYFUNCTION("""COMPUTED_VALUE"""),120628.0)</f>
        <v>120628</v>
      </c>
      <c r="B3980" s="11">
        <f>IFERROR(__xludf.DUMMYFUNCTION("""COMPUTED_VALUE"""),0.0)</f>
        <v>0</v>
      </c>
      <c r="C3980" s="11">
        <f>IFERROR(__xludf.DUMMYFUNCTION("""COMPUTED_VALUE"""),553.0)</f>
        <v>553</v>
      </c>
      <c r="D3980" s="11">
        <f>IFERROR(__xludf.DUMMYFUNCTION("""COMPUTED_VALUE"""),57.0)</f>
        <v>57</v>
      </c>
      <c r="E3980" s="9"/>
    </row>
    <row r="3981">
      <c r="A3981" s="10">
        <f>IFERROR(__xludf.DUMMYFUNCTION("""COMPUTED_VALUE"""),45830.0)</f>
        <v>45830</v>
      </c>
      <c r="B3981" s="11">
        <f>IFERROR(__xludf.DUMMYFUNCTION("""COMPUTED_VALUE"""),0.0)</f>
        <v>0</v>
      </c>
      <c r="C3981" s="11">
        <f>IFERROR(__xludf.DUMMYFUNCTION("""COMPUTED_VALUE"""),362.0)</f>
        <v>362</v>
      </c>
      <c r="D3981" s="11">
        <f>IFERROR(__xludf.DUMMYFUNCTION("""COMPUTED_VALUE"""),36.0)</f>
        <v>36</v>
      </c>
      <c r="E3981" s="9"/>
    </row>
    <row r="3982">
      <c r="A3982" s="10">
        <f>IFERROR(__xludf.DUMMYFUNCTION("""COMPUTED_VALUE"""),86192.0)</f>
        <v>86192</v>
      </c>
      <c r="B3982" s="11">
        <f>IFERROR(__xludf.DUMMYFUNCTION("""COMPUTED_VALUE"""),0.0)</f>
        <v>0</v>
      </c>
      <c r="C3982" s="11">
        <f>IFERROR(__xludf.DUMMYFUNCTION("""COMPUTED_VALUE"""),18.0)</f>
        <v>18</v>
      </c>
      <c r="D3982" s="11">
        <f>IFERROR(__xludf.DUMMYFUNCTION("""COMPUTED_VALUE"""),12.0)</f>
        <v>12</v>
      </c>
      <c r="E3982" s="9"/>
    </row>
    <row r="3983">
      <c r="A3983" s="10">
        <f>IFERROR(__xludf.DUMMYFUNCTION("""COMPUTED_VALUE"""),127372.0)</f>
        <v>127372</v>
      </c>
      <c r="B3983" s="11">
        <f>IFERROR(__xludf.DUMMYFUNCTION("""COMPUTED_VALUE"""),0.0)</f>
        <v>0</v>
      </c>
      <c r="C3983" s="11">
        <f>IFERROR(__xludf.DUMMYFUNCTION("""COMPUTED_VALUE"""),750.0)</f>
        <v>750</v>
      </c>
      <c r="D3983" s="11">
        <f>IFERROR(__xludf.DUMMYFUNCTION("""COMPUTED_VALUE"""),291.0)</f>
        <v>291</v>
      </c>
      <c r="E3983" s="9"/>
    </row>
    <row r="3984">
      <c r="A3984" s="10">
        <f>IFERROR(__xludf.DUMMYFUNCTION("""COMPUTED_VALUE"""),113902.0)</f>
        <v>113902</v>
      </c>
      <c r="B3984" s="11">
        <f>IFERROR(__xludf.DUMMYFUNCTION("""COMPUTED_VALUE"""),0.0)</f>
        <v>0</v>
      </c>
      <c r="C3984" s="11">
        <f>IFERROR(__xludf.DUMMYFUNCTION("""COMPUTED_VALUE"""),468.0)</f>
        <v>468</v>
      </c>
      <c r="D3984" s="11">
        <f>IFERROR(__xludf.DUMMYFUNCTION("""COMPUTED_VALUE"""),397.0)</f>
        <v>397</v>
      </c>
      <c r="E3984" s="9"/>
    </row>
    <row r="3985">
      <c r="A3985" s="10">
        <f>IFERROR(__xludf.DUMMYFUNCTION("""COMPUTED_VALUE"""),119133.0)</f>
        <v>119133</v>
      </c>
      <c r="B3985" s="11">
        <f>IFERROR(__xludf.DUMMYFUNCTION("""COMPUTED_VALUE"""),0.0)</f>
        <v>0</v>
      </c>
      <c r="C3985" s="11">
        <f>IFERROR(__xludf.DUMMYFUNCTION("""COMPUTED_VALUE"""),326.0)</f>
        <v>326</v>
      </c>
      <c r="D3985" s="11">
        <f>IFERROR(__xludf.DUMMYFUNCTION("""COMPUTED_VALUE"""),16.0)</f>
        <v>16</v>
      </c>
      <c r="E3985" s="9"/>
    </row>
    <row r="3986">
      <c r="A3986" s="10">
        <f>IFERROR(__xludf.DUMMYFUNCTION("""COMPUTED_VALUE"""),114946.0)</f>
        <v>114946</v>
      </c>
      <c r="B3986" s="11">
        <f>IFERROR(__xludf.DUMMYFUNCTION("""COMPUTED_VALUE"""),0.0)</f>
        <v>0</v>
      </c>
      <c r="C3986" s="11">
        <f>IFERROR(__xludf.DUMMYFUNCTION("""COMPUTED_VALUE"""),943.0)</f>
        <v>943</v>
      </c>
      <c r="D3986" s="11">
        <f>IFERROR(__xludf.DUMMYFUNCTION("""COMPUTED_VALUE"""),492.0)</f>
        <v>492</v>
      </c>
      <c r="E3986" s="9"/>
    </row>
    <row r="3987">
      <c r="A3987" s="10">
        <f>IFERROR(__xludf.DUMMYFUNCTION("""COMPUTED_VALUE"""),118832.0)</f>
        <v>118832</v>
      </c>
      <c r="B3987" s="11">
        <f>IFERROR(__xludf.DUMMYFUNCTION("""COMPUTED_VALUE"""),1.0)</f>
        <v>1</v>
      </c>
      <c r="C3987" s="11">
        <f>IFERROR(__xludf.DUMMYFUNCTION("""COMPUTED_VALUE"""),925.0)</f>
        <v>925</v>
      </c>
      <c r="D3987" s="11">
        <f>IFERROR(__xludf.DUMMYFUNCTION("""COMPUTED_VALUE"""),589.0)</f>
        <v>589</v>
      </c>
      <c r="E3987" s="9"/>
    </row>
    <row r="3988">
      <c r="A3988" s="10">
        <f>IFERROR(__xludf.DUMMYFUNCTION("""COMPUTED_VALUE"""),86499.0)</f>
        <v>86499</v>
      </c>
      <c r="B3988" s="11">
        <f>IFERROR(__xludf.DUMMYFUNCTION("""COMPUTED_VALUE"""),0.0)</f>
        <v>0</v>
      </c>
      <c r="C3988" s="11">
        <f>IFERROR(__xludf.DUMMYFUNCTION("""COMPUTED_VALUE"""),349.0)</f>
        <v>349</v>
      </c>
      <c r="D3988" s="11">
        <f>IFERROR(__xludf.DUMMYFUNCTION("""COMPUTED_VALUE"""),234.0)</f>
        <v>234</v>
      </c>
      <c r="E3988" s="9"/>
    </row>
    <row r="3989">
      <c r="A3989" s="10">
        <f>IFERROR(__xludf.DUMMYFUNCTION("""COMPUTED_VALUE"""),81790.0)</f>
        <v>81790</v>
      </c>
      <c r="B3989" s="11">
        <f>IFERROR(__xludf.DUMMYFUNCTION("""COMPUTED_VALUE"""),0.0)</f>
        <v>0</v>
      </c>
      <c r="C3989" s="11">
        <f>IFERROR(__xludf.DUMMYFUNCTION("""COMPUTED_VALUE"""),606.0)</f>
        <v>606</v>
      </c>
      <c r="D3989" s="11">
        <f>IFERROR(__xludf.DUMMYFUNCTION("""COMPUTED_VALUE"""),504.0)</f>
        <v>504</v>
      </c>
      <c r="E3989" s="9"/>
    </row>
    <row r="3990">
      <c r="A3990" s="10">
        <f>IFERROR(__xludf.DUMMYFUNCTION("""COMPUTED_VALUE"""),45898.0)</f>
        <v>45898</v>
      </c>
      <c r="B3990" s="11">
        <f>IFERROR(__xludf.DUMMYFUNCTION("""COMPUTED_VALUE"""),0.0)</f>
        <v>0</v>
      </c>
      <c r="C3990" s="11">
        <f>IFERROR(__xludf.DUMMYFUNCTION("""COMPUTED_VALUE"""),228.0)</f>
        <v>228</v>
      </c>
      <c r="D3990" s="11">
        <f>IFERROR(__xludf.DUMMYFUNCTION("""COMPUTED_VALUE"""),186.0)</f>
        <v>186</v>
      </c>
      <c r="E3990" s="9"/>
    </row>
    <row r="3991">
      <c r="A3991" s="10">
        <f>IFERROR(__xludf.DUMMYFUNCTION("""COMPUTED_VALUE"""),24144.0)</f>
        <v>24144</v>
      </c>
      <c r="B3991" s="11">
        <f>IFERROR(__xludf.DUMMYFUNCTION("""COMPUTED_VALUE"""),1.0)</f>
        <v>1</v>
      </c>
      <c r="C3991" s="11">
        <f>IFERROR(__xludf.DUMMYFUNCTION("""COMPUTED_VALUE"""),876.0)</f>
        <v>876</v>
      </c>
      <c r="D3991" s="11">
        <f>IFERROR(__xludf.DUMMYFUNCTION("""COMPUTED_VALUE"""),283.0)</f>
        <v>283</v>
      </c>
      <c r="E3991" s="9"/>
    </row>
    <row r="3992">
      <c r="A3992" s="10">
        <f>IFERROR(__xludf.DUMMYFUNCTION("""COMPUTED_VALUE"""),98351.0)</f>
        <v>98351</v>
      </c>
      <c r="B3992" s="11">
        <f>IFERROR(__xludf.DUMMYFUNCTION("""COMPUTED_VALUE"""),1.0)</f>
        <v>1</v>
      </c>
      <c r="C3992" s="11">
        <f>IFERROR(__xludf.DUMMYFUNCTION("""COMPUTED_VALUE"""),566.0)</f>
        <v>566</v>
      </c>
      <c r="D3992" s="11">
        <f>IFERROR(__xludf.DUMMYFUNCTION("""COMPUTED_VALUE"""),354.0)</f>
        <v>354</v>
      </c>
      <c r="E3992" s="9"/>
    </row>
    <row r="3993">
      <c r="A3993" s="10">
        <f>IFERROR(__xludf.DUMMYFUNCTION("""COMPUTED_VALUE"""),86481.0)</f>
        <v>86481</v>
      </c>
      <c r="B3993" s="11">
        <f>IFERROR(__xludf.DUMMYFUNCTION("""COMPUTED_VALUE"""),0.0)</f>
        <v>0</v>
      </c>
      <c r="C3993" s="11">
        <f>IFERROR(__xludf.DUMMYFUNCTION("""COMPUTED_VALUE"""),687.0)</f>
        <v>687</v>
      </c>
      <c r="D3993" s="11">
        <f>IFERROR(__xludf.DUMMYFUNCTION("""COMPUTED_VALUE"""),670.0)</f>
        <v>670</v>
      </c>
      <c r="E3993" s="9"/>
    </row>
    <row r="3994">
      <c r="A3994" s="10">
        <f>IFERROR(__xludf.DUMMYFUNCTION("""COMPUTED_VALUE"""),115747.0)</f>
        <v>115747</v>
      </c>
      <c r="B3994" s="11">
        <f>IFERROR(__xludf.DUMMYFUNCTION("""COMPUTED_VALUE"""),0.0)</f>
        <v>0</v>
      </c>
      <c r="C3994" s="11">
        <f>IFERROR(__xludf.DUMMYFUNCTION("""COMPUTED_VALUE"""),724.0)</f>
        <v>724</v>
      </c>
      <c r="D3994" s="11">
        <f>IFERROR(__xludf.DUMMYFUNCTION("""COMPUTED_VALUE"""),609.0)</f>
        <v>609</v>
      </c>
      <c r="E3994" s="9"/>
    </row>
    <row r="3995">
      <c r="A3995" s="10">
        <f>IFERROR(__xludf.DUMMYFUNCTION("""COMPUTED_VALUE"""),116187.0)</f>
        <v>116187</v>
      </c>
      <c r="B3995" s="11">
        <f>IFERROR(__xludf.DUMMYFUNCTION("""COMPUTED_VALUE"""),0.0)</f>
        <v>0</v>
      </c>
      <c r="C3995" s="11">
        <f>IFERROR(__xludf.DUMMYFUNCTION("""COMPUTED_VALUE"""),727.0)</f>
        <v>727</v>
      </c>
      <c r="D3995" s="11">
        <f>IFERROR(__xludf.DUMMYFUNCTION("""COMPUTED_VALUE"""),485.0)</f>
        <v>485</v>
      </c>
      <c r="E3995" s="9"/>
    </row>
    <row r="3996">
      <c r="A3996" s="10">
        <f>IFERROR(__xludf.DUMMYFUNCTION("""COMPUTED_VALUE"""),86162.0)</f>
        <v>86162</v>
      </c>
      <c r="B3996" s="11">
        <f>IFERROR(__xludf.DUMMYFUNCTION("""COMPUTED_VALUE"""),1.0)</f>
        <v>1</v>
      </c>
      <c r="C3996" s="11">
        <f>IFERROR(__xludf.DUMMYFUNCTION("""COMPUTED_VALUE"""),227.0)</f>
        <v>227</v>
      </c>
      <c r="D3996" s="11">
        <f>IFERROR(__xludf.DUMMYFUNCTION("""COMPUTED_VALUE"""),51.0)</f>
        <v>51</v>
      </c>
      <c r="E3996" s="9"/>
    </row>
    <row r="3997">
      <c r="A3997" s="10">
        <f>IFERROR(__xludf.DUMMYFUNCTION("""COMPUTED_VALUE"""),90654.0)</f>
        <v>90654</v>
      </c>
      <c r="B3997" s="11">
        <f>IFERROR(__xludf.DUMMYFUNCTION("""COMPUTED_VALUE"""),1.0)</f>
        <v>1</v>
      </c>
      <c r="C3997" s="11">
        <f>IFERROR(__xludf.DUMMYFUNCTION("""COMPUTED_VALUE"""),956.0)</f>
        <v>956</v>
      </c>
      <c r="D3997" s="11">
        <f>IFERROR(__xludf.DUMMYFUNCTION("""COMPUTED_VALUE"""),941.0)</f>
        <v>941</v>
      </c>
      <c r="E3997" s="9"/>
    </row>
    <row r="3998">
      <c r="A3998" s="10">
        <f>IFERROR(__xludf.DUMMYFUNCTION("""COMPUTED_VALUE"""),71743.0)</f>
        <v>71743</v>
      </c>
      <c r="B3998" s="11">
        <f>IFERROR(__xludf.DUMMYFUNCTION("""COMPUTED_VALUE"""),1.0)</f>
        <v>1</v>
      </c>
      <c r="C3998" s="11">
        <f>IFERROR(__xludf.DUMMYFUNCTION("""COMPUTED_VALUE"""),530.0)</f>
        <v>530</v>
      </c>
      <c r="D3998" s="11">
        <f>IFERROR(__xludf.DUMMYFUNCTION("""COMPUTED_VALUE"""),509.0)</f>
        <v>509</v>
      </c>
      <c r="E3998" s="9"/>
    </row>
    <row r="3999">
      <c r="A3999" s="10">
        <f>IFERROR(__xludf.DUMMYFUNCTION("""COMPUTED_VALUE"""),71744.0)</f>
        <v>71744</v>
      </c>
      <c r="B3999" s="11">
        <f>IFERROR(__xludf.DUMMYFUNCTION("""COMPUTED_VALUE"""),1.0)</f>
        <v>1</v>
      </c>
      <c r="C3999" s="11">
        <f>IFERROR(__xludf.DUMMYFUNCTION("""COMPUTED_VALUE"""),667.0)</f>
        <v>667</v>
      </c>
      <c r="D3999" s="11">
        <f>IFERROR(__xludf.DUMMYFUNCTION("""COMPUTED_VALUE"""),307.0)</f>
        <v>307</v>
      </c>
      <c r="E3999" s="9"/>
    </row>
    <row r="4000">
      <c r="A4000" s="10">
        <f>IFERROR(__xludf.DUMMYFUNCTION("""COMPUTED_VALUE"""),88590.0)</f>
        <v>88590</v>
      </c>
      <c r="B4000" s="11">
        <f>IFERROR(__xludf.DUMMYFUNCTION("""COMPUTED_VALUE"""),1.0)</f>
        <v>1</v>
      </c>
      <c r="C4000" s="11">
        <f>IFERROR(__xludf.DUMMYFUNCTION("""COMPUTED_VALUE"""),392.0)</f>
        <v>392</v>
      </c>
      <c r="D4000" s="11">
        <f>IFERROR(__xludf.DUMMYFUNCTION("""COMPUTED_VALUE"""),321.0)</f>
        <v>321</v>
      </c>
      <c r="E4000" s="9"/>
    </row>
    <row r="4001">
      <c r="A4001" s="10">
        <f>IFERROR(__xludf.DUMMYFUNCTION("""COMPUTED_VALUE"""),78940.0)</f>
        <v>78940</v>
      </c>
      <c r="B4001" s="11">
        <f>IFERROR(__xludf.DUMMYFUNCTION("""COMPUTED_VALUE"""),1.0)</f>
        <v>1</v>
      </c>
      <c r="C4001" s="11">
        <f>IFERROR(__xludf.DUMMYFUNCTION("""COMPUTED_VALUE"""),883.0)</f>
        <v>883</v>
      </c>
      <c r="D4001" s="11">
        <f>IFERROR(__xludf.DUMMYFUNCTION("""COMPUTED_VALUE"""),315.0)</f>
        <v>315</v>
      </c>
      <c r="E4001" s="9"/>
    </row>
    <row r="4002">
      <c r="A4002" s="10">
        <f>IFERROR(__xludf.DUMMYFUNCTION("""COMPUTED_VALUE"""),194752.0)</f>
        <v>194752</v>
      </c>
      <c r="B4002" s="11">
        <f>IFERROR(__xludf.DUMMYFUNCTION("""COMPUTED_VALUE"""),0.0)</f>
        <v>0</v>
      </c>
      <c r="C4002" s="11">
        <f>IFERROR(__xludf.DUMMYFUNCTION("""COMPUTED_VALUE"""),684.0)</f>
        <v>684</v>
      </c>
      <c r="D4002" s="11">
        <f>IFERROR(__xludf.DUMMYFUNCTION("""COMPUTED_VALUE"""),465.0)</f>
        <v>465</v>
      </c>
      <c r="E4002" s="9"/>
    </row>
    <row r="4003">
      <c r="A4003" s="10">
        <f>IFERROR(__xludf.DUMMYFUNCTION("""COMPUTED_VALUE"""),194748.0)</f>
        <v>194748</v>
      </c>
      <c r="B4003" s="11">
        <f>IFERROR(__xludf.DUMMYFUNCTION("""COMPUTED_VALUE"""),0.0)</f>
        <v>0</v>
      </c>
      <c r="C4003" s="11">
        <f>IFERROR(__xludf.DUMMYFUNCTION("""COMPUTED_VALUE"""),3.0)</f>
        <v>3</v>
      </c>
      <c r="D4003" s="11">
        <f>IFERROR(__xludf.DUMMYFUNCTION("""COMPUTED_VALUE"""),2.0)</f>
        <v>2</v>
      </c>
      <c r="E4003" s="9"/>
    </row>
    <row r="4004">
      <c r="A4004" s="10">
        <f>IFERROR(__xludf.DUMMYFUNCTION("""COMPUTED_VALUE"""),111580.0)</f>
        <v>111580</v>
      </c>
      <c r="B4004" s="11">
        <f>IFERROR(__xludf.DUMMYFUNCTION("""COMPUTED_VALUE"""),1.0)</f>
        <v>1</v>
      </c>
      <c r="C4004" s="11">
        <f>IFERROR(__xludf.DUMMYFUNCTION("""COMPUTED_VALUE"""),40.0)</f>
        <v>40</v>
      </c>
      <c r="D4004" s="11">
        <f>IFERROR(__xludf.DUMMYFUNCTION("""COMPUTED_VALUE"""),10.0)</f>
        <v>10</v>
      </c>
      <c r="E4004" s="9"/>
    </row>
    <row r="4005">
      <c r="A4005" s="10">
        <f>IFERROR(__xludf.DUMMYFUNCTION("""COMPUTED_VALUE"""),194741.0)</f>
        <v>194741</v>
      </c>
      <c r="B4005" s="11">
        <f>IFERROR(__xludf.DUMMYFUNCTION("""COMPUTED_VALUE"""),1.0)</f>
        <v>1</v>
      </c>
      <c r="C4005" s="11">
        <f>IFERROR(__xludf.DUMMYFUNCTION("""COMPUTED_VALUE"""),408.0)</f>
        <v>408</v>
      </c>
      <c r="D4005" s="11">
        <f>IFERROR(__xludf.DUMMYFUNCTION("""COMPUTED_VALUE"""),233.0)</f>
        <v>233</v>
      </c>
      <c r="E4005" s="9"/>
    </row>
    <row r="4006">
      <c r="A4006" s="10">
        <f>IFERROR(__xludf.DUMMYFUNCTION("""COMPUTED_VALUE"""),107082.0)</f>
        <v>107082</v>
      </c>
      <c r="B4006" s="11">
        <f>IFERROR(__xludf.DUMMYFUNCTION("""COMPUTED_VALUE"""),0.0)</f>
        <v>0</v>
      </c>
      <c r="C4006" s="11">
        <f>IFERROR(__xludf.DUMMYFUNCTION("""COMPUTED_VALUE"""),120.0)</f>
        <v>120</v>
      </c>
      <c r="D4006" s="11">
        <f>IFERROR(__xludf.DUMMYFUNCTION("""COMPUTED_VALUE"""),38.0)</f>
        <v>38</v>
      </c>
      <c r="E4006" s="9"/>
    </row>
    <row r="4007">
      <c r="A4007" s="10">
        <f>IFERROR(__xludf.DUMMYFUNCTION("""COMPUTED_VALUE"""),83092.0)</f>
        <v>83092</v>
      </c>
      <c r="B4007" s="11">
        <f>IFERROR(__xludf.DUMMYFUNCTION("""COMPUTED_VALUE"""),0.0)</f>
        <v>0</v>
      </c>
      <c r="C4007" s="11">
        <f>IFERROR(__xludf.DUMMYFUNCTION("""COMPUTED_VALUE"""),171.0)</f>
        <v>171</v>
      </c>
      <c r="D4007" s="11">
        <f>IFERROR(__xludf.DUMMYFUNCTION("""COMPUTED_VALUE"""),107.0)</f>
        <v>107</v>
      </c>
      <c r="E4007" s="9"/>
    </row>
    <row r="4008">
      <c r="A4008" s="10">
        <f>IFERROR(__xludf.DUMMYFUNCTION("""COMPUTED_VALUE"""),111581.0)</f>
        <v>111581</v>
      </c>
      <c r="B4008" s="11">
        <f>IFERROR(__xludf.DUMMYFUNCTION("""COMPUTED_VALUE"""),0.0)</f>
        <v>0</v>
      </c>
      <c r="C4008" s="11">
        <f>IFERROR(__xludf.DUMMYFUNCTION("""COMPUTED_VALUE"""),563.0)</f>
        <v>563</v>
      </c>
      <c r="D4008" s="11">
        <f>IFERROR(__xludf.DUMMYFUNCTION("""COMPUTED_VALUE"""),240.0)</f>
        <v>240</v>
      </c>
      <c r="E4008" s="9"/>
    </row>
    <row r="4009">
      <c r="A4009" s="10">
        <f>IFERROR(__xludf.DUMMYFUNCTION("""COMPUTED_VALUE"""),88402.0)</f>
        <v>88402</v>
      </c>
      <c r="B4009" s="11">
        <f>IFERROR(__xludf.DUMMYFUNCTION("""COMPUTED_VALUE"""),0.0)</f>
        <v>0</v>
      </c>
      <c r="C4009" s="11">
        <f>IFERROR(__xludf.DUMMYFUNCTION("""COMPUTED_VALUE"""),113.0)</f>
        <v>113</v>
      </c>
      <c r="D4009" s="11">
        <f>IFERROR(__xludf.DUMMYFUNCTION("""COMPUTED_VALUE"""),49.0)</f>
        <v>49</v>
      </c>
      <c r="E4009" s="9"/>
    </row>
    <row r="4010">
      <c r="A4010" s="10">
        <f>IFERROR(__xludf.DUMMYFUNCTION("""COMPUTED_VALUE"""),88413.0)</f>
        <v>88413</v>
      </c>
      <c r="B4010" s="11">
        <f>IFERROR(__xludf.DUMMYFUNCTION("""COMPUTED_VALUE"""),0.0)</f>
        <v>0</v>
      </c>
      <c r="C4010" s="11">
        <f>IFERROR(__xludf.DUMMYFUNCTION("""COMPUTED_VALUE"""),492.0)</f>
        <v>492</v>
      </c>
      <c r="D4010" s="11">
        <f>IFERROR(__xludf.DUMMYFUNCTION("""COMPUTED_VALUE"""),435.0)</f>
        <v>435</v>
      </c>
      <c r="E4010" s="9"/>
    </row>
    <row r="4011">
      <c r="A4011" s="10">
        <f>IFERROR(__xludf.DUMMYFUNCTION("""COMPUTED_VALUE"""),86560.0)</f>
        <v>86560</v>
      </c>
      <c r="B4011" s="11">
        <f>IFERROR(__xludf.DUMMYFUNCTION("""COMPUTED_VALUE"""),0.0)</f>
        <v>0</v>
      </c>
      <c r="C4011" s="11">
        <f>IFERROR(__xludf.DUMMYFUNCTION("""COMPUTED_VALUE"""),19.0)</f>
        <v>19</v>
      </c>
      <c r="D4011" s="11">
        <f>IFERROR(__xludf.DUMMYFUNCTION("""COMPUTED_VALUE"""),0.0)</f>
        <v>0</v>
      </c>
      <c r="E4011" s="9"/>
    </row>
    <row r="4012">
      <c r="A4012" s="10">
        <f>IFERROR(__xludf.DUMMYFUNCTION("""COMPUTED_VALUE"""),127584.0)</f>
        <v>127584</v>
      </c>
      <c r="B4012" s="11">
        <f>IFERROR(__xludf.DUMMYFUNCTION("""COMPUTED_VALUE"""),0.0)</f>
        <v>0</v>
      </c>
      <c r="C4012" s="11">
        <f>IFERROR(__xludf.DUMMYFUNCTION("""COMPUTED_VALUE"""),780.0)</f>
        <v>780</v>
      </c>
      <c r="D4012" s="11">
        <f>IFERROR(__xludf.DUMMYFUNCTION("""COMPUTED_VALUE"""),149.0)</f>
        <v>149</v>
      </c>
      <c r="E4012" s="9"/>
    </row>
    <row r="4013">
      <c r="A4013" s="10">
        <f>IFERROR(__xludf.DUMMYFUNCTION("""COMPUTED_VALUE"""),122254.0)</f>
        <v>122254</v>
      </c>
      <c r="B4013" s="11">
        <f>IFERROR(__xludf.DUMMYFUNCTION("""COMPUTED_VALUE"""),1.0)</f>
        <v>1</v>
      </c>
      <c r="C4013" s="11">
        <f>IFERROR(__xludf.DUMMYFUNCTION("""COMPUTED_VALUE"""),545.0)</f>
        <v>545</v>
      </c>
      <c r="D4013" s="11">
        <f>IFERROR(__xludf.DUMMYFUNCTION("""COMPUTED_VALUE"""),23.0)</f>
        <v>23</v>
      </c>
      <c r="E4013" s="9"/>
    </row>
    <row r="4014">
      <c r="A4014" s="10">
        <f>IFERROR(__xludf.DUMMYFUNCTION("""COMPUTED_VALUE"""),118849.0)</f>
        <v>118849</v>
      </c>
      <c r="B4014" s="11">
        <f>IFERROR(__xludf.DUMMYFUNCTION("""COMPUTED_VALUE"""),0.0)</f>
        <v>0</v>
      </c>
      <c r="C4014" s="11">
        <f>IFERROR(__xludf.DUMMYFUNCTION("""COMPUTED_VALUE"""),782.0)</f>
        <v>782</v>
      </c>
      <c r="D4014" s="11">
        <f>IFERROR(__xludf.DUMMYFUNCTION("""COMPUTED_VALUE"""),652.0)</f>
        <v>652</v>
      </c>
      <c r="E4014" s="9"/>
    </row>
    <row r="4015">
      <c r="A4015" s="10">
        <f>IFERROR(__xludf.DUMMYFUNCTION("""COMPUTED_VALUE"""),107187.0)</f>
        <v>107187</v>
      </c>
      <c r="B4015" s="11">
        <f>IFERROR(__xludf.DUMMYFUNCTION("""COMPUTED_VALUE"""),1.0)</f>
        <v>1</v>
      </c>
      <c r="C4015" s="11">
        <f>IFERROR(__xludf.DUMMYFUNCTION("""COMPUTED_VALUE"""),78.0)</f>
        <v>78</v>
      </c>
      <c r="D4015" s="11">
        <f>IFERROR(__xludf.DUMMYFUNCTION("""COMPUTED_VALUE"""),54.0)</f>
        <v>54</v>
      </c>
      <c r="E4015" s="9"/>
    </row>
    <row r="4016">
      <c r="A4016" s="10">
        <f>IFERROR(__xludf.DUMMYFUNCTION("""COMPUTED_VALUE"""),119932.0)</f>
        <v>119932</v>
      </c>
      <c r="B4016" s="11">
        <f>IFERROR(__xludf.DUMMYFUNCTION("""COMPUTED_VALUE"""),1.0)</f>
        <v>1</v>
      </c>
      <c r="C4016" s="11">
        <f>IFERROR(__xludf.DUMMYFUNCTION("""COMPUTED_VALUE"""),490.0)</f>
        <v>490</v>
      </c>
      <c r="D4016" s="11">
        <f>IFERROR(__xludf.DUMMYFUNCTION("""COMPUTED_VALUE"""),324.0)</f>
        <v>324</v>
      </c>
      <c r="E4016" s="9"/>
    </row>
    <row r="4017">
      <c r="A4017" s="10">
        <f>IFERROR(__xludf.DUMMYFUNCTION("""COMPUTED_VALUE"""),92045.0)</f>
        <v>92045</v>
      </c>
      <c r="B4017" s="11">
        <f>IFERROR(__xludf.DUMMYFUNCTION("""COMPUTED_VALUE"""),1.0)</f>
        <v>1</v>
      </c>
      <c r="C4017" s="11">
        <f>IFERROR(__xludf.DUMMYFUNCTION("""COMPUTED_VALUE"""),398.0)</f>
        <v>398</v>
      </c>
      <c r="D4017" s="11">
        <f>IFERROR(__xludf.DUMMYFUNCTION("""COMPUTED_VALUE"""),203.0)</f>
        <v>203</v>
      </c>
      <c r="E4017" s="9"/>
    </row>
    <row r="4018">
      <c r="A4018" s="10">
        <f>IFERROR(__xludf.DUMMYFUNCTION("""COMPUTED_VALUE"""),82168.0)</f>
        <v>82168</v>
      </c>
      <c r="B4018" s="11">
        <f>IFERROR(__xludf.DUMMYFUNCTION("""COMPUTED_VALUE"""),0.0)</f>
        <v>0</v>
      </c>
      <c r="C4018" s="11">
        <f>IFERROR(__xludf.DUMMYFUNCTION("""COMPUTED_VALUE"""),102.0)</f>
        <v>102</v>
      </c>
      <c r="D4018" s="11">
        <f>IFERROR(__xludf.DUMMYFUNCTION("""COMPUTED_VALUE"""),102.0)</f>
        <v>102</v>
      </c>
      <c r="E4018" s="9"/>
    </row>
    <row r="4019">
      <c r="A4019" s="10">
        <f>IFERROR(__xludf.DUMMYFUNCTION("""COMPUTED_VALUE"""),79263.0)</f>
        <v>79263</v>
      </c>
      <c r="B4019" s="11">
        <f>IFERROR(__xludf.DUMMYFUNCTION("""COMPUTED_VALUE"""),0.0)</f>
        <v>0</v>
      </c>
      <c r="C4019" s="11">
        <f>IFERROR(__xludf.DUMMYFUNCTION("""COMPUTED_VALUE"""),55.0)</f>
        <v>55</v>
      </c>
      <c r="D4019" s="11">
        <f>IFERROR(__xludf.DUMMYFUNCTION("""COMPUTED_VALUE"""),4.0)</f>
        <v>4</v>
      </c>
      <c r="E4019" s="9"/>
    </row>
    <row r="4020">
      <c r="A4020" s="10">
        <f>IFERROR(__xludf.DUMMYFUNCTION("""COMPUTED_VALUE"""),92044.0)</f>
        <v>92044</v>
      </c>
      <c r="B4020" s="11">
        <f>IFERROR(__xludf.DUMMYFUNCTION("""COMPUTED_VALUE"""),1.0)</f>
        <v>1</v>
      </c>
      <c r="C4020" s="11">
        <f>IFERROR(__xludf.DUMMYFUNCTION("""COMPUTED_VALUE"""),78.0)</f>
        <v>78</v>
      </c>
      <c r="D4020" s="11">
        <f>IFERROR(__xludf.DUMMYFUNCTION("""COMPUTED_VALUE"""),31.0)</f>
        <v>31</v>
      </c>
      <c r="E4020" s="9"/>
    </row>
    <row r="4021">
      <c r="A4021" s="10">
        <f>IFERROR(__xludf.DUMMYFUNCTION("""COMPUTED_VALUE"""),114725.0)</f>
        <v>114725</v>
      </c>
      <c r="B4021" s="11">
        <f>IFERROR(__xludf.DUMMYFUNCTION("""COMPUTED_VALUE"""),1.0)</f>
        <v>1</v>
      </c>
      <c r="C4021" s="11">
        <f>IFERROR(__xludf.DUMMYFUNCTION("""COMPUTED_VALUE"""),792.0)</f>
        <v>792</v>
      </c>
      <c r="D4021" s="11">
        <f>IFERROR(__xludf.DUMMYFUNCTION("""COMPUTED_VALUE"""),144.0)</f>
        <v>144</v>
      </c>
      <c r="E4021" s="9"/>
    </row>
    <row r="4022">
      <c r="A4022" s="10">
        <f>IFERROR(__xludf.DUMMYFUNCTION("""COMPUTED_VALUE"""),50684.0)</f>
        <v>50684</v>
      </c>
      <c r="B4022" s="11">
        <f>IFERROR(__xludf.DUMMYFUNCTION("""COMPUTED_VALUE"""),0.0)</f>
        <v>0</v>
      </c>
      <c r="C4022" s="11">
        <f>IFERROR(__xludf.DUMMYFUNCTION("""COMPUTED_VALUE"""),405.0)</f>
        <v>405</v>
      </c>
      <c r="D4022" s="11">
        <f>IFERROR(__xludf.DUMMYFUNCTION("""COMPUTED_VALUE"""),34.0)</f>
        <v>34</v>
      </c>
      <c r="E4022" s="9"/>
    </row>
    <row r="4023">
      <c r="A4023" s="10">
        <f>IFERROR(__xludf.DUMMYFUNCTION("""COMPUTED_VALUE"""),82167.0)</f>
        <v>82167</v>
      </c>
      <c r="B4023" s="11">
        <f>IFERROR(__xludf.DUMMYFUNCTION("""COMPUTED_VALUE"""),1.0)</f>
        <v>1</v>
      </c>
      <c r="C4023" s="11">
        <f>IFERROR(__xludf.DUMMYFUNCTION("""COMPUTED_VALUE"""),56.0)</f>
        <v>56</v>
      </c>
      <c r="D4023" s="11">
        <f>IFERROR(__xludf.DUMMYFUNCTION("""COMPUTED_VALUE"""),0.0)</f>
        <v>0</v>
      </c>
      <c r="E4023" s="9"/>
    </row>
    <row r="4024">
      <c r="A4024" s="10">
        <f>IFERROR(__xludf.DUMMYFUNCTION("""COMPUTED_VALUE"""),68513.0)</f>
        <v>68513</v>
      </c>
      <c r="B4024" s="11">
        <f>IFERROR(__xludf.DUMMYFUNCTION("""COMPUTED_VALUE"""),0.0)</f>
        <v>0</v>
      </c>
      <c r="C4024" s="11">
        <f>IFERROR(__xludf.DUMMYFUNCTION("""COMPUTED_VALUE"""),409.0)</f>
        <v>409</v>
      </c>
      <c r="D4024" s="11">
        <f>IFERROR(__xludf.DUMMYFUNCTION("""COMPUTED_VALUE"""),325.0)</f>
        <v>325</v>
      </c>
      <c r="E4024" s="9"/>
    </row>
    <row r="4025">
      <c r="A4025" s="10">
        <f>IFERROR(__xludf.DUMMYFUNCTION("""COMPUTED_VALUE"""),76566.0)</f>
        <v>76566</v>
      </c>
      <c r="B4025" s="11">
        <f>IFERROR(__xludf.DUMMYFUNCTION("""COMPUTED_VALUE"""),1.0)</f>
        <v>1</v>
      </c>
      <c r="C4025" s="11">
        <f>IFERROR(__xludf.DUMMYFUNCTION("""COMPUTED_VALUE"""),458.0)</f>
        <v>458</v>
      </c>
      <c r="D4025" s="11">
        <f>IFERROR(__xludf.DUMMYFUNCTION("""COMPUTED_VALUE"""),411.0)</f>
        <v>411</v>
      </c>
      <c r="E4025" s="9"/>
    </row>
    <row r="4026">
      <c r="A4026" s="10">
        <f>IFERROR(__xludf.DUMMYFUNCTION("""COMPUTED_VALUE"""),119088.0)</f>
        <v>119088</v>
      </c>
      <c r="B4026" s="11">
        <f>IFERROR(__xludf.DUMMYFUNCTION("""COMPUTED_VALUE"""),1.0)</f>
        <v>1</v>
      </c>
      <c r="C4026" s="11">
        <f>IFERROR(__xludf.DUMMYFUNCTION("""COMPUTED_VALUE"""),371.0)</f>
        <v>371</v>
      </c>
      <c r="D4026" s="11">
        <f>IFERROR(__xludf.DUMMYFUNCTION("""COMPUTED_VALUE"""),30.0)</f>
        <v>30</v>
      </c>
      <c r="E4026" s="9"/>
    </row>
    <row r="4027">
      <c r="A4027" s="10">
        <f>IFERROR(__xludf.DUMMYFUNCTION("""COMPUTED_VALUE"""),119431.0)</f>
        <v>119431</v>
      </c>
      <c r="B4027" s="11">
        <f>IFERROR(__xludf.DUMMYFUNCTION("""COMPUTED_VALUE"""),0.0)</f>
        <v>0</v>
      </c>
      <c r="C4027" s="11">
        <f>IFERROR(__xludf.DUMMYFUNCTION("""COMPUTED_VALUE"""),51.0)</f>
        <v>51</v>
      </c>
      <c r="D4027" s="11">
        <f>IFERROR(__xludf.DUMMYFUNCTION("""COMPUTED_VALUE"""),23.0)</f>
        <v>23</v>
      </c>
      <c r="E4027" s="9"/>
    </row>
    <row r="4028">
      <c r="A4028" s="10">
        <f>IFERROR(__xludf.DUMMYFUNCTION("""COMPUTED_VALUE"""),101279.0)</f>
        <v>101279</v>
      </c>
      <c r="B4028" s="11">
        <f>IFERROR(__xludf.DUMMYFUNCTION("""COMPUTED_VALUE"""),1.0)</f>
        <v>1</v>
      </c>
      <c r="C4028" s="11">
        <f>IFERROR(__xludf.DUMMYFUNCTION("""COMPUTED_VALUE"""),536.0)</f>
        <v>536</v>
      </c>
      <c r="D4028" s="11">
        <f>IFERROR(__xludf.DUMMYFUNCTION("""COMPUTED_VALUE"""),236.0)</f>
        <v>236</v>
      </c>
      <c r="E4028" s="9"/>
    </row>
    <row r="4029">
      <c r="A4029" s="10">
        <f>IFERROR(__xludf.DUMMYFUNCTION("""COMPUTED_VALUE"""),101270.0)</f>
        <v>101270</v>
      </c>
      <c r="B4029" s="11">
        <f>IFERROR(__xludf.DUMMYFUNCTION("""COMPUTED_VALUE"""),0.0)</f>
        <v>0</v>
      </c>
      <c r="C4029" s="11">
        <f>IFERROR(__xludf.DUMMYFUNCTION("""COMPUTED_VALUE"""),494.0)</f>
        <v>494</v>
      </c>
      <c r="D4029" s="11">
        <f>IFERROR(__xludf.DUMMYFUNCTION("""COMPUTED_VALUE"""),95.0)</f>
        <v>95</v>
      </c>
      <c r="E4029" s="9"/>
    </row>
    <row r="4030">
      <c r="A4030" s="10">
        <f>IFERROR(__xludf.DUMMYFUNCTION("""COMPUTED_VALUE"""),101282.0)</f>
        <v>101282</v>
      </c>
      <c r="B4030" s="11">
        <f>IFERROR(__xludf.DUMMYFUNCTION("""COMPUTED_VALUE"""),0.0)</f>
        <v>0</v>
      </c>
      <c r="C4030" s="11">
        <f>IFERROR(__xludf.DUMMYFUNCTION("""COMPUTED_VALUE"""),297.0)</f>
        <v>297</v>
      </c>
      <c r="D4030" s="11">
        <f>IFERROR(__xludf.DUMMYFUNCTION("""COMPUTED_VALUE"""),169.0)</f>
        <v>169</v>
      </c>
      <c r="E4030" s="9"/>
    </row>
    <row r="4031">
      <c r="A4031" s="10">
        <f>IFERROR(__xludf.DUMMYFUNCTION("""COMPUTED_VALUE"""),70291.0)</f>
        <v>70291</v>
      </c>
      <c r="B4031" s="11">
        <f>IFERROR(__xludf.DUMMYFUNCTION("""COMPUTED_VALUE"""),1.0)</f>
        <v>1</v>
      </c>
      <c r="C4031" s="11">
        <f>IFERROR(__xludf.DUMMYFUNCTION("""COMPUTED_VALUE"""),524.0)</f>
        <v>524</v>
      </c>
      <c r="D4031" s="11">
        <f>IFERROR(__xludf.DUMMYFUNCTION("""COMPUTED_VALUE"""),127.0)</f>
        <v>127</v>
      </c>
      <c r="E4031" s="9"/>
    </row>
    <row r="4032">
      <c r="A4032" s="10">
        <f>IFERROR(__xludf.DUMMYFUNCTION("""COMPUTED_VALUE"""),70290.0)</f>
        <v>70290</v>
      </c>
      <c r="B4032" s="11">
        <f>IFERROR(__xludf.DUMMYFUNCTION("""COMPUTED_VALUE"""),1.0)</f>
        <v>1</v>
      </c>
      <c r="C4032" s="11">
        <f>IFERROR(__xludf.DUMMYFUNCTION("""COMPUTED_VALUE"""),978.0)</f>
        <v>978</v>
      </c>
      <c r="D4032" s="11">
        <f>IFERROR(__xludf.DUMMYFUNCTION("""COMPUTED_VALUE"""),846.0)</f>
        <v>846</v>
      </c>
      <c r="E4032" s="9"/>
    </row>
    <row r="4033">
      <c r="A4033" s="10">
        <f>IFERROR(__xludf.DUMMYFUNCTION("""COMPUTED_VALUE"""),19188.0)</f>
        <v>19188</v>
      </c>
      <c r="B4033" s="11">
        <f>IFERROR(__xludf.DUMMYFUNCTION("""COMPUTED_VALUE"""),1.0)</f>
        <v>1</v>
      </c>
      <c r="C4033" s="11">
        <f>IFERROR(__xludf.DUMMYFUNCTION("""COMPUTED_VALUE"""),12.0)</f>
        <v>12</v>
      </c>
      <c r="D4033" s="11">
        <f>IFERROR(__xludf.DUMMYFUNCTION("""COMPUTED_VALUE"""),12.0)</f>
        <v>12</v>
      </c>
      <c r="E4033" s="9"/>
    </row>
    <row r="4034">
      <c r="A4034" s="10">
        <f>IFERROR(__xludf.DUMMYFUNCTION("""COMPUTED_VALUE"""),41117.0)</f>
        <v>41117</v>
      </c>
      <c r="B4034" s="11">
        <f>IFERROR(__xludf.DUMMYFUNCTION("""COMPUTED_VALUE"""),0.0)</f>
        <v>0</v>
      </c>
      <c r="C4034" s="11">
        <f>IFERROR(__xludf.DUMMYFUNCTION("""COMPUTED_VALUE"""),382.0)</f>
        <v>382</v>
      </c>
      <c r="D4034" s="11">
        <f>IFERROR(__xludf.DUMMYFUNCTION("""COMPUTED_VALUE"""),334.0)</f>
        <v>334</v>
      </c>
      <c r="E4034" s="9"/>
    </row>
    <row r="4035">
      <c r="A4035" s="10">
        <f>IFERROR(__xludf.DUMMYFUNCTION("""COMPUTED_VALUE"""),30625.0)</f>
        <v>30625</v>
      </c>
      <c r="B4035" s="11">
        <f>IFERROR(__xludf.DUMMYFUNCTION("""COMPUTED_VALUE"""),0.0)</f>
        <v>0</v>
      </c>
      <c r="C4035" s="11">
        <f>IFERROR(__xludf.DUMMYFUNCTION("""COMPUTED_VALUE"""),887.0)</f>
        <v>887</v>
      </c>
      <c r="D4035" s="11">
        <f>IFERROR(__xludf.DUMMYFUNCTION("""COMPUTED_VALUE"""),400.0)</f>
        <v>400</v>
      </c>
      <c r="E4035" s="9"/>
    </row>
    <row r="4036">
      <c r="A4036" s="10">
        <f>IFERROR(__xludf.DUMMYFUNCTION("""COMPUTED_VALUE"""),11462.0)</f>
        <v>11462</v>
      </c>
      <c r="B4036" s="11">
        <f>IFERROR(__xludf.DUMMYFUNCTION("""COMPUTED_VALUE"""),0.0)</f>
        <v>0</v>
      </c>
      <c r="C4036" s="11">
        <f>IFERROR(__xludf.DUMMYFUNCTION("""COMPUTED_VALUE"""),149.0)</f>
        <v>149</v>
      </c>
      <c r="D4036" s="11">
        <f>IFERROR(__xludf.DUMMYFUNCTION("""COMPUTED_VALUE"""),74.0)</f>
        <v>74</v>
      </c>
      <c r="E4036" s="9"/>
    </row>
    <row r="4037">
      <c r="A4037" s="10">
        <f>IFERROR(__xludf.DUMMYFUNCTION("""COMPUTED_VALUE"""),120733.0)</f>
        <v>120733</v>
      </c>
      <c r="B4037" s="11">
        <f>IFERROR(__xludf.DUMMYFUNCTION("""COMPUTED_VALUE"""),0.0)</f>
        <v>0</v>
      </c>
      <c r="C4037" s="11">
        <f>IFERROR(__xludf.DUMMYFUNCTION("""COMPUTED_VALUE"""),611.0)</f>
        <v>611</v>
      </c>
      <c r="D4037" s="11">
        <f>IFERROR(__xludf.DUMMYFUNCTION("""COMPUTED_VALUE"""),119.0)</f>
        <v>119</v>
      </c>
      <c r="E4037" s="9"/>
    </row>
    <row r="4038">
      <c r="A4038" s="10">
        <f>IFERROR(__xludf.DUMMYFUNCTION("""COMPUTED_VALUE"""),83487.0)</f>
        <v>83487</v>
      </c>
      <c r="B4038" s="11">
        <f>IFERROR(__xludf.DUMMYFUNCTION("""COMPUTED_VALUE"""),1.0)</f>
        <v>1</v>
      </c>
      <c r="C4038" s="11">
        <f>IFERROR(__xludf.DUMMYFUNCTION("""COMPUTED_VALUE"""),751.0)</f>
        <v>751</v>
      </c>
      <c r="D4038" s="11">
        <f>IFERROR(__xludf.DUMMYFUNCTION("""COMPUTED_VALUE"""),154.0)</f>
        <v>154</v>
      </c>
      <c r="E4038" s="9"/>
    </row>
    <row r="4039">
      <c r="A4039" s="10">
        <f>IFERROR(__xludf.DUMMYFUNCTION("""COMPUTED_VALUE"""),117610.0)</f>
        <v>117610</v>
      </c>
      <c r="B4039" s="11">
        <f>IFERROR(__xludf.DUMMYFUNCTION("""COMPUTED_VALUE"""),0.0)</f>
        <v>0</v>
      </c>
      <c r="C4039" s="11">
        <f>IFERROR(__xludf.DUMMYFUNCTION("""COMPUTED_VALUE"""),482.0)</f>
        <v>482</v>
      </c>
      <c r="D4039" s="11">
        <f>IFERROR(__xludf.DUMMYFUNCTION("""COMPUTED_VALUE"""),135.0)</f>
        <v>135</v>
      </c>
      <c r="E4039" s="9"/>
    </row>
    <row r="4040">
      <c r="A4040" s="10">
        <f>IFERROR(__xludf.DUMMYFUNCTION("""COMPUTED_VALUE"""),112177.0)</f>
        <v>112177</v>
      </c>
      <c r="B4040" s="11">
        <f>IFERROR(__xludf.DUMMYFUNCTION("""COMPUTED_VALUE"""),1.0)</f>
        <v>1</v>
      </c>
      <c r="C4040" s="11">
        <f>IFERROR(__xludf.DUMMYFUNCTION("""COMPUTED_VALUE"""),682.0)</f>
        <v>682</v>
      </c>
      <c r="D4040" s="11">
        <f>IFERROR(__xludf.DUMMYFUNCTION("""COMPUTED_VALUE"""),398.0)</f>
        <v>398</v>
      </c>
      <c r="E4040" s="9"/>
    </row>
    <row r="4041">
      <c r="A4041" s="10">
        <f>IFERROR(__xludf.DUMMYFUNCTION("""COMPUTED_VALUE"""),11412.0)</f>
        <v>11412</v>
      </c>
      <c r="B4041" s="11">
        <f>IFERROR(__xludf.DUMMYFUNCTION("""COMPUTED_VALUE"""),0.0)</f>
        <v>0</v>
      </c>
      <c r="C4041" s="11">
        <f>IFERROR(__xludf.DUMMYFUNCTION("""COMPUTED_VALUE"""),90.0)</f>
        <v>90</v>
      </c>
      <c r="D4041" s="11">
        <f>IFERROR(__xludf.DUMMYFUNCTION("""COMPUTED_VALUE"""),13.0)</f>
        <v>13</v>
      </c>
      <c r="E4041" s="9"/>
    </row>
    <row r="4042">
      <c r="A4042" s="10">
        <f>IFERROR(__xludf.DUMMYFUNCTION("""COMPUTED_VALUE"""),76842.0)</f>
        <v>76842</v>
      </c>
      <c r="B4042" s="11">
        <f>IFERROR(__xludf.DUMMYFUNCTION("""COMPUTED_VALUE"""),1.0)</f>
        <v>1</v>
      </c>
      <c r="C4042" s="11">
        <f>IFERROR(__xludf.DUMMYFUNCTION("""COMPUTED_VALUE"""),876.0)</f>
        <v>876</v>
      </c>
      <c r="D4042" s="11">
        <f>IFERROR(__xludf.DUMMYFUNCTION("""COMPUTED_VALUE"""),20.0)</f>
        <v>20</v>
      </c>
      <c r="E4042" s="9"/>
    </row>
    <row r="4043">
      <c r="A4043" s="10">
        <f>IFERROR(__xludf.DUMMYFUNCTION("""COMPUTED_VALUE"""),78366.0)</f>
        <v>78366</v>
      </c>
      <c r="B4043" s="11">
        <f>IFERROR(__xludf.DUMMYFUNCTION("""COMPUTED_VALUE"""),0.0)</f>
        <v>0</v>
      </c>
      <c r="C4043" s="11">
        <f>IFERROR(__xludf.DUMMYFUNCTION("""COMPUTED_VALUE"""),441.0)</f>
        <v>441</v>
      </c>
      <c r="D4043" s="11">
        <f>IFERROR(__xludf.DUMMYFUNCTION("""COMPUTED_VALUE"""),338.0)</f>
        <v>338</v>
      </c>
      <c r="E4043" s="9"/>
    </row>
    <row r="4044">
      <c r="A4044" s="10">
        <f>IFERROR(__xludf.DUMMYFUNCTION("""COMPUTED_VALUE"""),98984.0)</f>
        <v>98984</v>
      </c>
      <c r="B4044" s="11">
        <f>IFERROR(__xludf.DUMMYFUNCTION("""COMPUTED_VALUE"""),0.0)</f>
        <v>0</v>
      </c>
      <c r="C4044" s="11">
        <f>IFERROR(__xludf.DUMMYFUNCTION("""COMPUTED_VALUE"""),15.0)</f>
        <v>15</v>
      </c>
      <c r="D4044" s="11">
        <f>IFERROR(__xludf.DUMMYFUNCTION("""COMPUTED_VALUE"""),14.0)</f>
        <v>14</v>
      </c>
      <c r="E4044" s="9"/>
    </row>
    <row r="4045">
      <c r="A4045" s="10">
        <f>IFERROR(__xludf.DUMMYFUNCTION("""COMPUTED_VALUE"""),120310.0)</f>
        <v>120310</v>
      </c>
      <c r="B4045" s="11">
        <f>IFERROR(__xludf.DUMMYFUNCTION("""COMPUTED_VALUE"""),0.0)</f>
        <v>0</v>
      </c>
      <c r="C4045" s="11">
        <f>IFERROR(__xludf.DUMMYFUNCTION("""COMPUTED_VALUE"""),80.0)</f>
        <v>80</v>
      </c>
      <c r="D4045" s="11">
        <f>IFERROR(__xludf.DUMMYFUNCTION("""COMPUTED_VALUE"""),51.0)</f>
        <v>51</v>
      </c>
      <c r="E4045" s="9"/>
    </row>
    <row r="4046">
      <c r="A4046" s="10">
        <f>IFERROR(__xludf.DUMMYFUNCTION("""COMPUTED_VALUE"""),116277.0)</f>
        <v>116277</v>
      </c>
      <c r="B4046" s="11">
        <f>IFERROR(__xludf.DUMMYFUNCTION("""COMPUTED_VALUE"""),0.0)</f>
        <v>0</v>
      </c>
      <c r="C4046" s="11">
        <f>IFERROR(__xludf.DUMMYFUNCTION("""COMPUTED_VALUE"""),775.0)</f>
        <v>775</v>
      </c>
      <c r="D4046" s="11">
        <f>IFERROR(__xludf.DUMMYFUNCTION("""COMPUTED_VALUE"""),373.0)</f>
        <v>373</v>
      </c>
      <c r="E4046" s="9"/>
    </row>
    <row r="4047">
      <c r="A4047" s="10">
        <f>IFERROR(__xludf.DUMMYFUNCTION("""COMPUTED_VALUE"""),77670.0)</f>
        <v>77670</v>
      </c>
      <c r="B4047" s="11">
        <f>IFERROR(__xludf.DUMMYFUNCTION("""COMPUTED_VALUE"""),0.0)</f>
        <v>0</v>
      </c>
      <c r="C4047" s="11">
        <f>IFERROR(__xludf.DUMMYFUNCTION("""COMPUTED_VALUE"""),964.0)</f>
        <v>964</v>
      </c>
      <c r="D4047" s="11">
        <f>IFERROR(__xludf.DUMMYFUNCTION("""COMPUTED_VALUE"""),917.0)</f>
        <v>917</v>
      </c>
      <c r="E4047" s="9"/>
    </row>
    <row r="4048">
      <c r="A4048" s="10">
        <f>IFERROR(__xludf.DUMMYFUNCTION("""COMPUTED_VALUE"""),78363.0)</f>
        <v>78363</v>
      </c>
      <c r="B4048" s="11">
        <f>IFERROR(__xludf.DUMMYFUNCTION("""COMPUTED_VALUE"""),1.0)</f>
        <v>1</v>
      </c>
      <c r="C4048" s="11">
        <f>IFERROR(__xludf.DUMMYFUNCTION("""COMPUTED_VALUE"""),396.0)</f>
        <v>396</v>
      </c>
      <c r="D4048" s="11">
        <f>IFERROR(__xludf.DUMMYFUNCTION("""COMPUTED_VALUE"""),0.0)</f>
        <v>0</v>
      </c>
      <c r="E4048" s="9"/>
    </row>
    <row r="4049">
      <c r="A4049" s="10">
        <f>IFERROR(__xludf.DUMMYFUNCTION("""COMPUTED_VALUE"""),11458.0)</f>
        <v>11458</v>
      </c>
      <c r="B4049" s="11">
        <f>IFERROR(__xludf.DUMMYFUNCTION("""COMPUTED_VALUE"""),0.0)</f>
        <v>0</v>
      </c>
      <c r="C4049" s="11">
        <f>IFERROR(__xludf.DUMMYFUNCTION("""COMPUTED_VALUE"""),867.0)</f>
        <v>867</v>
      </c>
      <c r="D4049" s="11">
        <f>IFERROR(__xludf.DUMMYFUNCTION("""COMPUTED_VALUE"""),223.0)</f>
        <v>223</v>
      </c>
      <c r="E4049" s="9"/>
    </row>
    <row r="4050">
      <c r="A4050" s="10">
        <f>IFERROR(__xludf.DUMMYFUNCTION("""COMPUTED_VALUE"""),11456.0)</f>
        <v>11456</v>
      </c>
      <c r="B4050" s="11">
        <f>IFERROR(__xludf.DUMMYFUNCTION("""COMPUTED_VALUE"""),1.0)</f>
        <v>1</v>
      </c>
      <c r="C4050" s="11">
        <f>IFERROR(__xludf.DUMMYFUNCTION("""COMPUTED_VALUE"""),872.0)</f>
        <v>872</v>
      </c>
      <c r="D4050" s="11">
        <f>IFERROR(__xludf.DUMMYFUNCTION("""COMPUTED_VALUE"""),197.0)</f>
        <v>197</v>
      </c>
      <c r="E4050" s="9"/>
    </row>
    <row r="4051">
      <c r="A4051" s="10">
        <f>IFERROR(__xludf.DUMMYFUNCTION("""COMPUTED_VALUE"""),120726.0)</f>
        <v>120726</v>
      </c>
      <c r="B4051" s="11">
        <f>IFERROR(__xludf.DUMMYFUNCTION("""COMPUTED_VALUE"""),1.0)</f>
        <v>1</v>
      </c>
      <c r="C4051" s="11">
        <f>IFERROR(__xludf.DUMMYFUNCTION("""COMPUTED_VALUE"""),499.0)</f>
        <v>499</v>
      </c>
      <c r="D4051" s="11">
        <f>IFERROR(__xludf.DUMMYFUNCTION("""COMPUTED_VALUE"""),44.0)</f>
        <v>44</v>
      </c>
      <c r="E4051" s="9"/>
    </row>
    <row r="4052">
      <c r="A4052" s="10">
        <f>IFERROR(__xludf.DUMMYFUNCTION("""COMPUTED_VALUE"""),11404.0)</f>
        <v>11404</v>
      </c>
      <c r="B4052" s="11">
        <f>IFERROR(__xludf.DUMMYFUNCTION("""COMPUTED_VALUE"""),1.0)</f>
        <v>1</v>
      </c>
      <c r="C4052" s="11">
        <f>IFERROR(__xludf.DUMMYFUNCTION("""COMPUTED_VALUE"""),58.0)</f>
        <v>58</v>
      </c>
      <c r="D4052" s="11">
        <f>IFERROR(__xludf.DUMMYFUNCTION("""COMPUTED_VALUE"""),58.0)</f>
        <v>58</v>
      </c>
      <c r="E4052" s="9"/>
    </row>
    <row r="4053">
      <c r="A4053" s="10">
        <f>IFERROR(__xludf.DUMMYFUNCTION("""COMPUTED_VALUE"""),11408.0)</f>
        <v>11408</v>
      </c>
      <c r="B4053" s="11">
        <f>IFERROR(__xludf.DUMMYFUNCTION("""COMPUTED_VALUE"""),0.0)</f>
        <v>0</v>
      </c>
      <c r="C4053" s="11">
        <f>IFERROR(__xludf.DUMMYFUNCTION("""COMPUTED_VALUE"""),717.0)</f>
        <v>717</v>
      </c>
      <c r="D4053" s="11">
        <f>IFERROR(__xludf.DUMMYFUNCTION("""COMPUTED_VALUE"""),249.0)</f>
        <v>249</v>
      </c>
      <c r="E4053" s="9"/>
    </row>
    <row r="4054">
      <c r="A4054" s="10">
        <f>IFERROR(__xludf.DUMMYFUNCTION("""COMPUTED_VALUE"""),120708.0)</f>
        <v>120708</v>
      </c>
      <c r="B4054" s="11">
        <f>IFERROR(__xludf.DUMMYFUNCTION("""COMPUTED_VALUE"""),1.0)</f>
        <v>1</v>
      </c>
      <c r="C4054" s="11">
        <f>IFERROR(__xludf.DUMMYFUNCTION("""COMPUTED_VALUE"""),456.0)</f>
        <v>456</v>
      </c>
      <c r="D4054" s="11">
        <f>IFERROR(__xludf.DUMMYFUNCTION("""COMPUTED_VALUE"""),290.0)</f>
        <v>290</v>
      </c>
      <c r="E4054" s="9"/>
    </row>
    <row r="4055">
      <c r="A4055" s="10">
        <f>IFERROR(__xludf.DUMMYFUNCTION("""COMPUTED_VALUE"""),74419.0)</f>
        <v>74419</v>
      </c>
      <c r="B4055" s="11">
        <f>IFERROR(__xludf.DUMMYFUNCTION("""COMPUTED_VALUE"""),0.0)</f>
        <v>0</v>
      </c>
      <c r="C4055" s="11">
        <f>IFERROR(__xludf.DUMMYFUNCTION("""COMPUTED_VALUE"""),351.0)</f>
        <v>351</v>
      </c>
      <c r="D4055" s="11">
        <f>IFERROR(__xludf.DUMMYFUNCTION("""COMPUTED_VALUE"""),272.0)</f>
        <v>272</v>
      </c>
      <c r="E4055" s="9"/>
    </row>
    <row r="4056">
      <c r="A4056" s="10">
        <f>IFERROR(__xludf.DUMMYFUNCTION("""COMPUTED_VALUE"""),113278.0)</f>
        <v>113278</v>
      </c>
      <c r="B4056" s="11">
        <f>IFERROR(__xludf.DUMMYFUNCTION("""COMPUTED_VALUE"""),0.0)</f>
        <v>0</v>
      </c>
      <c r="C4056" s="11">
        <f>IFERROR(__xludf.DUMMYFUNCTION("""COMPUTED_VALUE"""),166.0)</f>
        <v>166</v>
      </c>
      <c r="D4056" s="11">
        <f>IFERROR(__xludf.DUMMYFUNCTION("""COMPUTED_VALUE"""),132.0)</f>
        <v>132</v>
      </c>
      <c r="E4056" s="9"/>
    </row>
    <row r="4057">
      <c r="A4057" s="10">
        <f>IFERROR(__xludf.DUMMYFUNCTION("""COMPUTED_VALUE"""),83486.0)</f>
        <v>83486</v>
      </c>
      <c r="B4057" s="11">
        <f>IFERROR(__xludf.DUMMYFUNCTION("""COMPUTED_VALUE"""),0.0)</f>
        <v>0</v>
      </c>
      <c r="C4057" s="11">
        <f>IFERROR(__xludf.DUMMYFUNCTION("""COMPUTED_VALUE"""),756.0)</f>
        <v>756</v>
      </c>
      <c r="D4057" s="11">
        <f>IFERROR(__xludf.DUMMYFUNCTION("""COMPUTED_VALUE"""),31.0)</f>
        <v>31</v>
      </c>
      <c r="E4057" s="9"/>
    </row>
    <row r="4058">
      <c r="A4058" s="10">
        <f>IFERROR(__xludf.DUMMYFUNCTION("""COMPUTED_VALUE"""),11452.0)</f>
        <v>11452</v>
      </c>
      <c r="B4058" s="11">
        <f>IFERROR(__xludf.DUMMYFUNCTION("""COMPUTED_VALUE"""),1.0)</f>
        <v>1</v>
      </c>
      <c r="C4058" s="11">
        <f>IFERROR(__xludf.DUMMYFUNCTION("""COMPUTED_VALUE"""),313.0)</f>
        <v>313</v>
      </c>
      <c r="D4058" s="11">
        <f>IFERROR(__xludf.DUMMYFUNCTION("""COMPUTED_VALUE"""),137.0)</f>
        <v>137</v>
      </c>
      <c r="E4058" s="9"/>
    </row>
    <row r="4059">
      <c r="A4059" s="10">
        <f>IFERROR(__xludf.DUMMYFUNCTION("""COMPUTED_VALUE"""),116803.0)</f>
        <v>116803</v>
      </c>
      <c r="B4059" s="11">
        <f>IFERROR(__xludf.DUMMYFUNCTION("""COMPUTED_VALUE"""),1.0)</f>
        <v>1</v>
      </c>
      <c r="C4059" s="11">
        <f>IFERROR(__xludf.DUMMYFUNCTION("""COMPUTED_VALUE"""),594.0)</f>
        <v>594</v>
      </c>
      <c r="D4059" s="11">
        <f>IFERROR(__xludf.DUMMYFUNCTION("""COMPUTED_VALUE"""),324.0)</f>
        <v>324</v>
      </c>
      <c r="E4059" s="9"/>
    </row>
    <row r="4060">
      <c r="A4060" s="10">
        <f>IFERROR(__xludf.DUMMYFUNCTION("""COMPUTED_VALUE"""),77657.0)</f>
        <v>77657</v>
      </c>
      <c r="B4060" s="11">
        <f>IFERROR(__xludf.DUMMYFUNCTION("""COMPUTED_VALUE"""),1.0)</f>
        <v>1</v>
      </c>
      <c r="C4060" s="11">
        <f>IFERROR(__xludf.DUMMYFUNCTION("""COMPUTED_VALUE"""),792.0)</f>
        <v>792</v>
      </c>
      <c r="D4060" s="11">
        <f>IFERROR(__xludf.DUMMYFUNCTION("""COMPUTED_VALUE"""),403.0)</f>
        <v>403</v>
      </c>
      <c r="E4060" s="9"/>
    </row>
    <row r="4061">
      <c r="A4061" s="10">
        <f>IFERROR(__xludf.DUMMYFUNCTION("""COMPUTED_VALUE"""),120309.0)</f>
        <v>120309</v>
      </c>
      <c r="B4061" s="11">
        <f>IFERROR(__xludf.DUMMYFUNCTION("""COMPUTED_VALUE"""),0.0)</f>
        <v>0</v>
      </c>
      <c r="C4061" s="11">
        <f>IFERROR(__xludf.DUMMYFUNCTION("""COMPUTED_VALUE"""),503.0)</f>
        <v>503</v>
      </c>
      <c r="D4061" s="11">
        <f>IFERROR(__xludf.DUMMYFUNCTION("""COMPUTED_VALUE"""),113.0)</f>
        <v>113</v>
      </c>
      <c r="E4061" s="9"/>
    </row>
    <row r="4062">
      <c r="A4062" s="10">
        <f>IFERROR(__xludf.DUMMYFUNCTION("""COMPUTED_VALUE"""),116276.0)</f>
        <v>116276</v>
      </c>
      <c r="B4062" s="11">
        <f>IFERROR(__xludf.DUMMYFUNCTION("""COMPUTED_VALUE"""),1.0)</f>
        <v>1</v>
      </c>
      <c r="C4062" s="11">
        <f>IFERROR(__xludf.DUMMYFUNCTION("""COMPUTED_VALUE"""),774.0)</f>
        <v>774</v>
      </c>
      <c r="D4062" s="11">
        <f>IFERROR(__xludf.DUMMYFUNCTION("""COMPUTED_VALUE"""),567.0)</f>
        <v>567</v>
      </c>
      <c r="E4062" s="9"/>
    </row>
    <row r="4063">
      <c r="A4063" s="10">
        <f>IFERROR(__xludf.DUMMYFUNCTION("""COMPUTED_VALUE"""),104623.0)</f>
        <v>104623</v>
      </c>
      <c r="B4063" s="11">
        <f>IFERROR(__xludf.DUMMYFUNCTION("""COMPUTED_VALUE"""),0.0)</f>
        <v>0</v>
      </c>
      <c r="C4063" s="11">
        <f>IFERROR(__xludf.DUMMYFUNCTION("""COMPUTED_VALUE"""),430.0)</f>
        <v>430</v>
      </c>
      <c r="D4063" s="11">
        <f>IFERROR(__xludf.DUMMYFUNCTION("""COMPUTED_VALUE"""),301.0)</f>
        <v>301</v>
      </c>
      <c r="E4063" s="9"/>
    </row>
    <row r="4064">
      <c r="A4064" s="10">
        <f>IFERROR(__xludf.DUMMYFUNCTION("""COMPUTED_VALUE"""),78364.0)</f>
        <v>78364</v>
      </c>
      <c r="B4064" s="11">
        <f>IFERROR(__xludf.DUMMYFUNCTION("""COMPUTED_VALUE"""),0.0)</f>
        <v>0</v>
      </c>
      <c r="C4064" s="11">
        <f>IFERROR(__xludf.DUMMYFUNCTION("""COMPUTED_VALUE"""),973.0)</f>
        <v>973</v>
      </c>
      <c r="D4064" s="11">
        <f>IFERROR(__xludf.DUMMYFUNCTION("""COMPUTED_VALUE"""),200.0)</f>
        <v>200</v>
      </c>
      <c r="E4064" s="9"/>
    </row>
    <row r="4065">
      <c r="A4065" s="10">
        <f>IFERROR(__xludf.DUMMYFUNCTION("""COMPUTED_VALUE"""),76837.0)</f>
        <v>76837</v>
      </c>
      <c r="B4065" s="11">
        <f>IFERROR(__xludf.DUMMYFUNCTION("""COMPUTED_VALUE"""),1.0)</f>
        <v>1</v>
      </c>
      <c r="C4065" s="11">
        <f>IFERROR(__xludf.DUMMYFUNCTION("""COMPUTED_VALUE"""),722.0)</f>
        <v>722</v>
      </c>
      <c r="D4065" s="11">
        <f>IFERROR(__xludf.DUMMYFUNCTION("""COMPUTED_VALUE"""),715.0)</f>
        <v>715</v>
      </c>
      <c r="E4065" s="9"/>
    </row>
    <row r="4066">
      <c r="A4066" s="10">
        <f>IFERROR(__xludf.DUMMYFUNCTION("""COMPUTED_VALUE"""),82873.0)</f>
        <v>82873</v>
      </c>
      <c r="B4066" s="11">
        <f>IFERROR(__xludf.DUMMYFUNCTION("""COMPUTED_VALUE"""),1.0)</f>
        <v>1</v>
      </c>
      <c r="C4066" s="11">
        <f>IFERROR(__xludf.DUMMYFUNCTION("""COMPUTED_VALUE"""),227.0)</f>
        <v>227</v>
      </c>
      <c r="D4066" s="11">
        <f>IFERROR(__xludf.DUMMYFUNCTION("""COMPUTED_VALUE"""),126.0)</f>
        <v>126</v>
      </c>
      <c r="E4066" s="9"/>
    </row>
    <row r="4067">
      <c r="A4067" s="10">
        <f>IFERROR(__xludf.DUMMYFUNCTION("""COMPUTED_VALUE"""),110341.0)</f>
        <v>110341</v>
      </c>
      <c r="B4067" s="11">
        <f>IFERROR(__xludf.DUMMYFUNCTION("""COMPUTED_VALUE"""),1.0)</f>
        <v>1</v>
      </c>
      <c r="C4067" s="11">
        <f>IFERROR(__xludf.DUMMYFUNCTION("""COMPUTED_VALUE"""),221.0)</f>
        <v>221</v>
      </c>
      <c r="D4067" s="11">
        <f>IFERROR(__xludf.DUMMYFUNCTION("""COMPUTED_VALUE"""),106.0)</f>
        <v>106</v>
      </c>
      <c r="E4067" s="9"/>
    </row>
    <row r="4068">
      <c r="A4068" s="10">
        <f>IFERROR(__xludf.DUMMYFUNCTION("""COMPUTED_VALUE"""),76874.0)</f>
        <v>76874</v>
      </c>
      <c r="B4068" s="11">
        <f>IFERROR(__xludf.DUMMYFUNCTION("""COMPUTED_VALUE"""),1.0)</f>
        <v>1</v>
      </c>
      <c r="C4068" s="11">
        <f>IFERROR(__xludf.DUMMYFUNCTION("""COMPUTED_VALUE"""),3.0)</f>
        <v>3</v>
      </c>
      <c r="D4068" s="11">
        <f>IFERROR(__xludf.DUMMYFUNCTION("""COMPUTED_VALUE"""),2.0)</f>
        <v>2</v>
      </c>
      <c r="E4068" s="9"/>
    </row>
    <row r="4069">
      <c r="A4069" s="10">
        <f>IFERROR(__xludf.DUMMYFUNCTION("""COMPUTED_VALUE"""),110340.0)</f>
        <v>110340</v>
      </c>
      <c r="B4069" s="11">
        <f>IFERROR(__xludf.DUMMYFUNCTION("""COMPUTED_VALUE"""),1.0)</f>
        <v>1</v>
      </c>
      <c r="C4069" s="11">
        <f>IFERROR(__xludf.DUMMYFUNCTION("""COMPUTED_VALUE"""),433.0)</f>
        <v>433</v>
      </c>
      <c r="D4069" s="11">
        <f>IFERROR(__xludf.DUMMYFUNCTION("""COMPUTED_VALUE"""),348.0)</f>
        <v>348</v>
      </c>
      <c r="E4069" s="9"/>
    </row>
    <row r="4070">
      <c r="A4070" s="10">
        <f>IFERROR(__xludf.DUMMYFUNCTION("""COMPUTED_VALUE"""),44409.0)</f>
        <v>44409</v>
      </c>
      <c r="B4070" s="11">
        <f>IFERROR(__xludf.DUMMYFUNCTION("""COMPUTED_VALUE"""),0.0)</f>
        <v>0</v>
      </c>
      <c r="C4070" s="11">
        <f>IFERROR(__xludf.DUMMYFUNCTION("""COMPUTED_VALUE"""),822.0)</f>
        <v>822</v>
      </c>
      <c r="D4070" s="11">
        <f>IFERROR(__xludf.DUMMYFUNCTION("""COMPUTED_VALUE"""),505.0)</f>
        <v>505</v>
      </c>
      <c r="E4070" s="9"/>
    </row>
    <row r="4071">
      <c r="A4071" s="10">
        <f>IFERROR(__xludf.DUMMYFUNCTION("""COMPUTED_VALUE"""),73831.0)</f>
        <v>73831</v>
      </c>
      <c r="B4071" s="11">
        <f>IFERROR(__xludf.DUMMYFUNCTION("""COMPUTED_VALUE"""),1.0)</f>
        <v>1</v>
      </c>
      <c r="C4071" s="11">
        <f>IFERROR(__xludf.DUMMYFUNCTION("""COMPUTED_VALUE"""),138.0)</f>
        <v>138</v>
      </c>
      <c r="D4071" s="11">
        <f>IFERROR(__xludf.DUMMYFUNCTION("""COMPUTED_VALUE"""),117.0)</f>
        <v>117</v>
      </c>
      <c r="E4071" s="9"/>
    </row>
    <row r="4072">
      <c r="A4072" s="10">
        <f>IFERROR(__xludf.DUMMYFUNCTION("""COMPUTED_VALUE"""),79035.0)</f>
        <v>79035</v>
      </c>
      <c r="B4072" s="11">
        <f>IFERROR(__xludf.DUMMYFUNCTION("""COMPUTED_VALUE"""),0.0)</f>
        <v>0</v>
      </c>
      <c r="C4072" s="11">
        <f>IFERROR(__xludf.DUMMYFUNCTION("""COMPUTED_VALUE"""),965.0)</f>
        <v>965</v>
      </c>
      <c r="D4072" s="11">
        <f>IFERROR(__xludf.DUMMYFUNCTION("""COMPUTED_VALUE"""),63.0)</f>
        <v>63</v>
      </c>
      <c r="E4072" s="9"/>
    </row>
    <row r="4073">
      <c r="A4073" s="10">
        <f>IFERROR(__xludf.DUMMYFUNCTION("""COMPUTED_VALUE"""),94951.0)</f>
        <v>94951</v>
      </c>
      <c r="B4073" s="11">
        <f>IFERROR(__xludf.DUMMYFUNCTION("""COMPUTED_VALUE"""),1.0)</f>
        <v>1</v>
      </c>
      <c r="C4073" s="11">
        <f>IFERROR(__xludf.DUMMYFUNCTION("""COMPUTED_VALUE"""),400.0)</f>
        <v>400</v>
      </c>
      <c r="D4073" s="11">
        <f>IFERROR(__xludf.DUMMYFUNCTION("""COMPUTED_VALUE"""),25.0)</f>
        <v>25</v>
      </c>
      <c r="E4073" s="9"/>
    </row>
    <row r="4074">
      <c r="A4074" s="10">
        <f>IFERROR(__xludf.DUMMYFUNCTION("""COMPUTED_VALUE"""),22248.0)</f>
        <v>22248</v>
      </c>
      <c r="B4074" s="11">
        <f>IFERROR(__xludf.DUMMYFUNCTION("""COMPUTED_VALUE"""),1.0)</f>
        <v>1</v>
      </c>
      <c r="C4074" s="11">
        <f>IFERROR(__xludf.DUMMYFUNCTION("""COMPUTED_VALUE"""),1.0)</f>
        <v>1</v>
      </c>
      <c r="D4074" s="11">
        <f>IFERROR(__xludf.DUMMYFUNCTION("""COMPUTED_VALUE"""),0.0)</f>
        <v>0</v>
      </c>
      <c r="E4074" s="9"/>
    </row>
    <row r="4075">
      <c r="A4075" s="10">
        <f>IFERROR(__xludf.DUMMYFUNCTION("""COMPUTED_VALUE"""),16088.0)</f>
        <v>16088</v>
      </c>
      <c r="B4075" s="11">
        <f>IFERROR(__xludf.DUMMYFUNCTION("""COMPUTED_VALUE"""),1.0)</f>
        <v>1</v>
      </c>
      <c r="C4075" s="11">
        <f>IFERROR(__xludf.DUMMYFUNCTION("""COMPUTED_VALUE"""),710.0)</f>
        <v>710</v>
      </c>
      <c r="D4075" s="11">
        <f>IFERROR(__xludf.DUMMYFUNCTION("""COMPUTED_VALUE"""),155.0)</f>
        <v>155</v>
      </c>
      <c r="E4075" s="9"/>
    </row>
    <row r="4076">
      <c r="A4076" s="10">
        <f>IFERROR(__xludf.DUMMYFUNCTION("""COMPUTED_VALUE"""),10571.0)</f>
        <v>10571</v>
      </c>
      <c r="B4076" s="11">
        <f>IFERROR(__xludf.DUMMYFUNCTION("""COMPUTED_VALUE"""),1.0)</f>
        <v>1</v>
      </c>
      <c r="C4076" s="11">
        <f>IFERROR(__xludf.DUMMYFUNCTION("""COMPUTED_VALUE"""),913.0)</f>
        <v>913</v>
      </c>
      <c r="D4076" s="11">
        <f>IFERROR(__xludf.DUMMYFUNCTION("""COMPUTED_VALUE"""),506.0)</f>
        <v>506</v>
      </c>
      <c r="E4076" s="9"/>
    </row>
    <row r="4077">
      <c r="A4077" s="10">
        <f>IFERROR(__xludf.DUMMYFUNCTION("""COMPUTED_VALUE"""),182012.0)</f>
        <v>182012</v>
      </c>
      <c r="B4077" s="11">
        <f>IFERROR(__xludf.DUMMYFUNCTION("""COMPUTED_VALUE"""),1.0)</f>
        <v>1</v>
      </c>
      <c r="C4077" s="11">
        <f>IFERROR(__xludf.DUMMYFUNCTION("""COMPUTED_VALUE"""),322.0)</f>
        <v>322</v>
      </c>
      <c r="D4077" s="11">
        <f>IFERROR(__xludf.DUMMYFUNCTION("""COMPUTED_VALUE"""),52.0)</f>
        <v>52</v>
      </c>
      <c r="E4077" s="9"/>
    </row>
    <row r="4078">
      <c r="A4078" s="10">
        <f>IFERROR(__xludf.DUMMYFUNCTION("""COMPUTED_VALUE"""),182013.0)</f>
        <v>182013</v>
      </c>
      <c r="B4078" s="11">
        <f>IFERROR(__xludf.DUMMYFUNCTION("""COMPUTED_VALUE"""),1.0)</f>
        <v>1</v>
      </c>
      <c r="C4078" s="11">
        <f>IFERROR(__xludf.DUMMYFUNCTION("""COMPUTED_VALUE"""),488.0)</f>
        <v>488</v>
      </c>
      <c r="D4078" s="11">
        <f>IFERROR(__xludf.DUMMYFUNCTION("""COMPUTED_VALUE"""),485.0)</f>
        <v>485</v>
      </c>
      <c r="E4078" s="9"/>
    </row>
    <row r="4079">
      <c r="A4079" s="10">
        <f>IFERROR(__xludf.DUMMYFUNCTION("""COMPUTED_VALUE"""),107400.0)</f>
        <v>107400</v>
      </c>
      <c r="B4079" s="11">
        <f>IFERROR(__xludf.DUMMYFUNCTION("""COMPUTED_VALUE"""),0.0)</f>
        <v>0</v>
      </c>
      <c r="C4079" s="11">
        <f>IFERROR(__xludf.DUMMYFUNCTION("""COMPUTED_VALUE"""),258.0)</f>
        <v>258</v>
      </c>
      <c r="D4079" s="11">
        <f>IFERROR(__xludf.DUMMYFUNCTION("""COMPUTED_VALUE"""),135.0)</f>
        <v>135</v>
      </c>
      <c r="E4079" s="9"/>
    </row>
    <row r="4080">
      <c r="A4080" s="10">
        <f>IFERROR(__xludf.DUMMYFUNCTION("""COMPUTED_VALUE"""),48623.0)</f>
        <v>48623</v>
      </c>
      <c r="B4080" s="11">
        <f>IFERROR(__xludf.DUMMYFUNCTION("""COMPUTED_VALUE"""),0.0)</f>
        <v>0</v>
      </c>
      <c r="C4080" s="11">
        <f>IFERROR(__xludf.DUMMYFUNCTION("""COMPUTED_VALUE"""),382.0)</f>
        <v>382</v>
      </c>
      <c r="D4080" s="11">
        <f>IFERROR(__xludf.DUMMYFUNCTION("""COMPUTED_VALUE"""),127.0)</f>
        <v>127</v>
      </c>
      <c r="E4080" s="9"/>
    </row>
    <row r="4081">
      <c r="A4081" s="10">
        <f>IFERROR(__xludf.DUMMYFUNCTION("""COMPUTED_VALUE"""),48616.0)</f>
        <v>48616</v>
      </c>
      <c r="B4081" s="11">
        <f>IFERROR(__xludf.DUMMYFUNCTION("""COMPUTED_VALUE"""),0.0)</f>
        <v>0</v>
      </c>
      <c r="C4081" s="11">
        <f>IFERROR(__xludf.DUMMYFUNCTION("""COMPUTED_VALUE"""),262.0)</f>
        <v>262</v>
      </c>
      <c r="D4081" s="11">
        <f>IFERROR(__xludf.DUMMYFUNCTION("""COMPUTED_VALUE"""),128.0)</f>
        <v>128</v>
      </c>
      <c r="E4081" s="9"/>
    </row>
    <row r="4082">
      <c r="A4082" s="10">
        <f>IFERROR(__xludf.DUMMYFUNCTION("""COMPUTED_VALUE"""),47515.0)</f>
        <v>47515</v>
      </c>
      <c r="B4082" s="11">
        <f>IFERROR(__xludf.DUMMYFUNCTION("""COMPUTED_VALUE"""),0.0)</f>
        <v>0</v>
      </c>
      <c r="C4082" s="11">
        <f>IFERROR(__xludf.DUMMYFUNCTION("""COMPUTED_VALUE"""),424.0)</f>
        <v>424</v>
      </c>
      <c r="D4082" s="11">
        <f>IFERROR(__xludf.DUMMYFUNCTION("""COMPUTED_VALUE"""),202.0)</f>
        <v>202</v>
      </c>
      <c r="E4082" s="9"/>
    </row>
    <row r="4083">
      <c r="A4083" s="10">
        <f>IFERROR(__xludf.DUMMYFUNCTION("""COMPUTED_VALUE"""),81915.0)</f>
        <v>81915</v>
      </c>
      <c r="B4083" s="11">
        <f>IFERROR(__xludf.DUMMYFUNCTION("""COMPUTED_VALUE"""),1.0)</f>
        <v>1</v>
      </c>
      <c r="C4083" s="11">
        <f>IFERROR(__xludf.DUMMYFUNCTION("""COMPUTED_VALUE"""),245.0)</f>
        <v>245</v>
      </c>
      <c r="D4083" s="11">
        <f>IFERROR(__xludf.DUMMYFUNCTION("""COMPUTED_VALUE"""),189.0)</f>
        <v>189</v>
      </c>
      <c r="E4083" s="9"/>
    </row>
    <row r="4084">
      <c r="A4084" s="10">
        <f>IFERROR(__xludf.DUMMYFUNCTION("""COMPUTED_VALUE"""),108920.0)</f>
        <v>108920</v>
      </c>
      <c r="B4084" s="11">
        <f>IFERROR(__xludf.DUMMYFUNCTION("""COMPUTED_VALUE"""),1.0)</f>
        <v>1</v>
      </c>
      <c r="C4084" s="11">
        <f>IFERROR(__xludf.DUMMYFUNCTION("""COMPUTED_VALUE"""),577.0)</f>
        <v>577</v>
      </c>
      <c r="D4084" s="11">
        <f>IFERROR(__xludf.DUMMYFUNCTION("""COMPUTED_VALUE"""),20.0)</f>
        <v>20</v>
      </c>
      <c r="E4084" s="9"/>
    </row>
    <row r="4085">
      <c r="A4085" s="10">
        <f>IFERROR(__xludf.DUMMYFUNCTION("""COMPUTED_VALUE"""),107406.0)</f>
        <v>107406</v>
      </c>
      <c r="B4085" s="11">
        <f>IFERROR(__xludf.DUMMYFUNCTION("""COMPUTED_VALUE"""),1.0)</f>
        <v>1</v>
      </c>
      <c r="C4085" s="11">
        <f>IFERROR(__xludf.DUMMYFUNCTION("""COMPUTED_VALUE"""),429.0)</f>
        <v>429</v>
      </c>
      <c r="D4085" s="11">
        <f>IFERROR(__xludf.DUMMYFUNCTION("""COMPUTED_VALUE"""),415.0)</f>
        <v>415</v>
      </c>
      <c r="E4085" s="9"/>
    </row>
    <row r="4086">
      <c r="A4086" s="10">
        <f>IFERROR(__xludf.DUMMYFUNCTION("""COMPUTED_VALUE"""),24074.0)</f>
        <v>24074</v>
      </c>
      <c r="B4086" s="11">
        <f>IFERROR(__xludf.DUMMYFUNCTION("""COMPUTED_VALUE"""),1.0)</f>
        <v>1</v>
      </c>
      <c r="C4086" s="11">
        <f>IFERROR(__xludf.DUMMYFUNCTION("""COMPUTED_VALUE"""),207.0)</f>
        <v>207</v>
      </c>
      <c r="D4086" s="11">
        <f>IFERROR(__xludf.DUMMYFUNCTION("""COMPUTED_VALUE"""),45.0)</f>
        <v>45</v>
      </c>
      <c r="E4086" s="9"/>
    </row>
    <row r="4087">
      <c r="A4087" s="10">
        <f>IFERROR(__xludf.DUMMYFUNCTION("""COMPUTED_VALUE"""),107388.0)</f>
        <v>107388</v>
      </c>
      <c r="B4087" s="11">
        <f>IFERROR(__xludf.DUMMYFUNCTION("""COMPUTED_VALUE"""),0.0)</f>
        <v>0</v>
      </c>
      <c r="C4087" s="11">
        <f>IFERROR(__xludf.DUMMYFUNCTION("""COMPUTED_VALUE"""),438.0)</f>
        <v>438</v>
      </c>
      <c r="D4087" s="11">
        <f>IFERROR(__xludf.DUMMYFUNCTION("""COMPUTED_VALUE"""),72.0)</f>
        <v>72</v>
      </c>
      <c r="E4087" s="9"/>
    </row>
    <row r="4088">
      <c r="A4088" s="10">
        <f>IFERROR(__xludf.DUMMYFUNCTION("""COMPUTED_VALUE"""),24075.0)</f>
        <v>24075</v>
      </c>
      <c r="B4088" s="11">
        <f>IFERROR(__xludf.DUMMYFUNCTION("""COMPUTED_VALUE"""),0.0)</f>
        <v>0</v>
      </c>
      <c r="C4088" s="11">
        <f>IFERROR(__xludf.DUMMYFUNCTION("""COMPUTED_VALUE"""),253.0)</f>
        <v>253</v>
      </c>
      <c r="D4088" s="11">
        <f>IFERROR(__xludf.DUMMYFUNCTION("""COMPUTED_VALUE"""),33.0)</f>
        <v>33</v>
      </c>
      <c r="E4088" s="9"/>
    </row>
    <row r="4089">
      <c r="A4089" s="10">
        <f>IFERROR(__xludf.DUMMYFUNCTION("""COMPUTED_VALUE"""),27639.0)</f>
        <v>27639</v>
      </c>
      <c r="B4089" s="11">
        <f>IFERROR(__xludf.DUMMYFUNCTION("""COMPUTED_VALUE"""),0.0)</f>
        <v>0</v>
      </c>
      <c r="C4089" s="11">
        <f>IFERROR(__xludf.DUMMYFUNCTION("""COMPUTED_VALUE"""),837.0)</f>
        <v>837</v>
      </c>
      <c r="D4089" s="11">
        <f>IFERROR(__xludf.DUMMYFUNCTION("""COMPUTED_VALUE"""),837.0)</f>
        <v>837</v>
      </c>
      <c r="E4089" s="9"/>
    </row>
    <row r="4090">
      <c r="A4090" s="10">
        <f>IFERROR(__xludf.DUMMYFUNCTION("""COMPUTED_VALUE"""),103632.0)</f>
        <v>103632</v>
      </c>
      <c r="B4090" s="11">
        <f>IFERROR(__xludf.DUMMYFUNCTION("""COMPUTED_VALUE"""),0.0)</f>
        <v>0</v>
      </c>
      <c r="C4090" s="11">
        <f>IFERROR(__xludf.DUMMYFUNCTION("""COMPUTED_VALUE"""),822.0)</f>
        <v>822</v>
      </c>
      <c r="D4090" s="11">
        <f>IFERROR(__xludf.DUMMYFUNCTION("""COMPUTED_VALUE"""),814.0)</f>
        <v>814</v>
      </c>
      <c r="E4090" s="9"/>
    </row>
    <row r="4091">
      <c r="A4091" s="10">
        <f>IFERROR(__xludf.DUMMYFUNCTION("""COMPUTED_VALUE"""),10569.0)</f>
        <v>10569</v>
      </c>
      <c r="B4091" s="11">
        <f>IFERROR(__xludf.DUMMYFUNCTION("""COMPUTED_VALUE"""),1.0)</f>
        <v>1</v>
      </c>
      <c r="C4091" s="11">
        <f>IFERROR(__xludf.DUMMYFUNCTION("""COMPUTED_VALUE"""),294.0)</f>
        <v>294</v>
      </c>
      <c r="D4091" s="11">
        <f>IFERROR(__xludf.DUMMYFUNCTION("""COMPUTED_VALUE"""),182.0)</f>
        <v>182</v>
      </c>
      <c r="E4091" s="9"/>
    </row>
    <row r="4092">
      <c r="A4092" s="10">
        <f>IFERROR(__xludf.DUMMYFUNCTION("""COMPUTED_VALUE"""),182007.0)</f>
        <v>182007</v>
      </c>
      <c r="B4092" s="11">
        <f>IFERROR(__xludf.DUMMYFUNCTION("""COMPUTED_VALUE"""),0.0)</f>
        <v>0</v>
      </c>
      <c r="C4092" s="11">
        <f>IFERROR(__xludf.DUMMYFUNCTION("""COMPUTED_VALUE"""),106.0)</f>
        <v>106</v>
      </c>
      <c r="D4092" s="11">
        <f>IFERROR(__xludf.DUMMYFUNCTION("""COMPUTED_VALUE"""),94.0)</f>
        <v>94</v>
      </c>
      <c r="E4092" s="9"/>
    </row>
    <row r="4093">
      <c r="A4093" s="10">
        <f>IFERROR(__xludf.DUMMYFUNCTION("""COMPUTED_VALUE"""),182009.0)</f>
        <v>182009</v>
      </c>
      <c r="B4093" s="11">
        <f>IFERROR(__xludf.DUMMYFUNCTION("""COMPUTED_VALUE"""),1.0)</f>
        <v>1</v>
      </c>
      <c r="C4093" s="11">
        <f>IFERROR(__xludf.DUMMYFUNCTION("""COMPUTED_VALUE"""),484.0)</f>
        <v>484</v>
      </c>
      <c r="D4093" s="11">
        <f>IFERROR(__xludf.DUMMYFUNCTION("""COMPUTED_VALUE"""),265.0)</f>
        <v>265</v>
      </c>
      <c r="E4093" s="9"/>
    </row>
    <row r="4094">
      <c r="A4094" s="10">
        <f>IFERROR(__xludf.DUMMYFUNCTION("""COMPUTED_VALUE"""),103630.0)</f>
        <v>103630</v>
      </c>
      <c r="B4094" s="11">
        <f>IFERROR(__xludf.DUMMYFUNCTION("""COMPUTED_VALUE"""),0.0)</f>
        <v>0</v>
      </c>
      <c r="C4094" s="11">
        <f>IFERROR(__xludf.DUMMYFUNCTION("""COMPUTED_VALUE"""),451.0)</f>
        <v>451</v>
      </c>
      <c r="D4094" s="11">
        <f>IFERROR(__xludf.DUMMYFUNCTION("""COMPUTED_VALUE"""),223.0)</f>
        <v>223</v>
      </c>
      <c r="E4094" s="9"/>
    </row>
    <row r="4095">
      <c r="A4095" s="10">
        <f>IFERROR(__xludf.DUMMYFUNCTION("""COMPUTED_VALUE"""),47514.0)</f>
        <v>47514</v>
      </c>
      <c r="B4095" s="11">
        <f>IFERROR(__xludf.DUMMYFUNCTION("""COMPUTED_VALUE"""),1.0)</f>
        <v>1</v>
      </c>
      <c r="C4095" s="11">
        <f>IFERROR(__xludf.DUMMYFUNCTION("""COMPUTED_VALUE"""),525.0)</f>
        <v>525</v>
      </c>
      <c r="D4095" s="11">
        <f>IFERROR(__xludf.DUMMYFUNCTION("""COMPUTED_VALUE"""),436.0)</f>
        <v>436</v>
      </c>
      <c r="E4095" s="9"/>
    </row>
    <row r="4096">
      <c r="A4096" s="10">
        <f>IFERROR(__xludf.DUMMYFUNCTION("""COMPUTED_VALUE"""),86370.0)</f>
        <v>86370</v>
      </c>
      <c r="B4096" s="11">
        <f>IFERROR(__xludf.DUMMYFUNCTION("""COMPUTED_VALUE"""),0.0)</f>
        <v>0</v>
      </c>
      <c r="C4096" s="11">
        <f>IFERROR(__xludf.DUMMYFUNCTION("""COMPUTED_VALUE"""),760.0)</f>
        <v>760</v>
      </c>
      <c r="D4096" s="11">
        <f>IFERROR(__xludf.DUMMYFUNCTION("""COMPUTED_VALUE"""),208.0)</f>
        <v>208</v>
      </c>
      <c r="E4096" s="9"/>
    </row>
    <row r="4097">
      <c r="A4097" s="10">
        <f>IFERROR(__xludf.DUMMYFUNCTION("""COMPUTED_VALUE"""),86368.0)</f>
        <v>86368</v>
      </c>
      <c r="B4097" s="11">
        <f>IFERROR(__xludf.DUMMYFUNCTION("""COMPUTED_VALUE"""),0.0)</f>
        <v>0</v>
      </c>
      <c r="C4097" s="11">
        <f>IFERROR(__xludf.DUMMYFUNCTION("""COMPUTED_VALUE"""),972.0)</f>
        <v>972</v>
      </c>
      <c r="D4097" s="11">
        <f>IFERROR(__xludf.DUMMYFUNCTION("""COMPUTED_VALUE"""),123.0)</f>
        <v>123</v>
      </c>
      <c r="E4097" s="9"/>
    </row>
    <row r="4098">
      <c r="A4098" s="10">
        <f>IFERROR(__xludf.DUMMYFUNCTION("""COMPUTED_VALUE"""),103174.0)</f>
        <v>103174</v>
      </c>
      <c r="B4098" s="11">
        <f>IFERROR(__xludf.DUMMYFUNCTION("""COMPUTED_VALUE"""),0.0)</f>
        <v>0</v>
      </c>
      <c r="C4098" s="11">
        <f>IFERROR(__xludf.DUMMYFUNCTION("""COMPUTED_VALUE"""),398.0)</f>
        <v>398</v>
      </c>
      <c r="D4098" s="11">
        <f>IFERROR(__xludf.DUMMYFUNCTION("""COMPUTED_VALUE"""),96.0)</f>
        <v>96</v>
      </c>
      <c r="E4098" s="9"/>
    </row>
    <row r="4099">
      <c r="A4099" s="10">
        <f>IFERROR(__xludf.DUMMYFUNCTION("""COMPUTED_VALUE"""),48632.0)</f>
        <v>48632</v>
      </c>
      <c r="B4099" s="11">
        <f>IFERROR(__xludf.DUMMYFUNCTION("""COMPUTED_VALUE"""),1.0)</f>
        <v>1</v>
      </c>
      <c r="C4099" s="11">
        <f>IFERROR(__xludf.DUMMYFUNCTION("""COMPUTED_VALUE"""),747.0)</f>
        <v>747</v>
      </c>
      <c r="D4099" s="11">
        <f>IFERROR(__xludf.DUMMYFUNCTION("""COMPUTED_VALUE"""),22.0)</f>
        <v>22</v>
      </c>
      <c r="E4099" s="9"/>
    </row>
    <row r="4100">
      <c r="A4100" s="10">
        <f>IFERROR(__xludf.DUMMYFUNCTION("""COMPUTED_VALUE"""),48630.0)</f>
        <v>48630</v>
      </c>
      <c r="B4100" s="11">
        <f>IFERROR(__xludf.DUMMYFUNCTION("""COMPUTED_VALUE"""),0.0)</f>
        <v>0</v>
      </c>
      <c r="C4100" s="11">
        <f>IFERROR(__xludf.DUMMYFUNCTION("""COMPUTED_VALUE"""),67.0)</f>
        <v>67</v>
      </c>
      <c r="D4100" s="11">
        <f>IFERROR(__xludf.DUMMYFUNCTION("""COMPUTED_VALUE"""),40.0)</f>
        <v>40</v>
      </c>
      <c r="E4100" s="9"/>
    </row>
    <row r="4101">
      <c r="A4101" s="10">
        <f>IFERROR(__xludf.DUMMYFUNCTION("""COMPUTED_VALUE"""),48624.0)</f>
        <v>48624</v>
      </c>
      <c r="B4101" s="11">
        <f>IFERROR(__xludf.DUMMYFUNCTION("""COMPUTED_VALUE"""),1.0)</f>
        <v>1</v>
      </c>
      <c r="C4101" s="11">
        <f>IFERROR(__xludf.DUMMYFUNCTION("""COMPUTED_VALUE"""),702.0)</f>
        <v>702</v>
      </c>
      <c r="D4101" s="11">
        <f>IFERROR(__xludf.DUMMYFUNCTION("""COMPUTED_VALUE"""),252.0)</f>
        <v>252</v>
      </c>
      <c r="E4101" s="9"/>
    </row>
    <row r="4102">
      <c r="A4102" s="10">
        <f>IFERROR(__xludf.DUMMYFUNCTION("""COMPUTED_VALUE"""),10573.0)</f>
        <v>10573</v>
      </c>
      <c r="B4102" s="11">
        <f>IFERROR(__xludf.DUMMYFUNCTION("""COMPUTED_VALUE"""),1.0)</f>
        <v>1</v>
      </c>
      <c r="C4102" s="11">
        <f>IFERROR(__xludf.DUMMYFUNCTION("""COMPUTED_VALUE"""),907.0)</f>
        <v>907</v>
      </c>
      <c r="D4102" s="11">
        <f>IFERROR(__xludf.DUMMYFUNCTION("""COMPUTED_VALUE"""),479.0)</f>
        <v>479</v>
      </c>
      <c r="E4102" s="9"/>
    </row>
    <row r="4103">
      <c r="A4103" s="10">
        <f>IFERROR(__xludf.DUMMYFUNCTION("""COMPUTED_VALUE"""),18115.0)</f>
        <v>18115</v>
      </c>
      <c r="B4103" s="11">
        <f>IFERROR(__xludf.DUMMYFUNCTION("""COMPUTED_VALUE"""),0.0)</f>
        <v>0</v>
      </c>
      <c r="C4103" s="11">
        <f>IFERROR(__xludf.DUMMYFUNCTION("""COMPUTED_VALUE"""),820.0)</f>
        <v>820</v>
      </c>
      <c r="D4103" s="11">
        <f>IFERROR(__xludf.DUMMYFUNCTION("""COMPUTED_VALUE"""),396.0)</f>
        <v>396</v>
      </c>
      <c r="E4103" s="9"/>
    </row>
    <row r="4104">
      <c r="A4104" s="10">
        <f>IFERROR(__xludf.DUMMYFUNCTION("""COMPUTED_VALUE"""),83057.0)</f>
        <v>83057</v>
      </c>
      <c r="B4104" s="11">
        <f>IFERROR(__xludf.DUMMYFUNCTION("""COMPUTED_VALUE"""),0.0)</f>
        <v>0</v>
      </c>
      <c r="C4104" s="11">
        <f>IFERROR(__xludf.DUMMYFUNCTION("""COMPUTED_VALUE"""),514.0)</f>
        <v>514</v>
      </c>
      <c r="D4104" s="11">
        <f>IFERROR(__xludf.DUMMYFUNCTION("""COMPUTED_VALUE"""),328.0)</f>
        <v>328</v>
      </c>
      <c r="E4104" s="9"/>
    </row>
    <row r="4105">
      <c r="A4105" s="10">
        <f>IFERROR(__xludf.DUMMYFUNCTION("""COMPUTED_VALUE"""),26727.0)</f>
        <v>26727</v>
      </c>
      <c r="B4105" s="11">
        <f>IFERROR(__xludf.DUMMYFUNCTION("""COMPUTED_VALUE"""),0.0)</f>
        <v>0</v>
      </c>
      <c r="C4105" s="11">
        <f>IFERROR(__xludf.DUMMYFUNCTION("""COMPUTED_VALUE"""),357.0)</f>
        <v>357</v>
      </c>
      <c r="D4105" s="11">
        <f>IFERROR(__xludf.DUMMYFUNCTION("""COMPUTED_VALUE"""),139.0)</f>
        <v>139</v>
      </c>
      <c r="E4105" s="9"/>
    </row>
    <row r="4106">
      <c r="A4106" s="10">
        <f>IFERROR(__xludf.DUMMYFUNCTION("""COMPUTED_VALUE"""),85779.0)</f>
        <v>85779</v>
      </c>
      <c r="B4106" s="11">
        <f>IFERROR(__xludf.DUMMYFUNCTION("""COMPUTED_VALUE"""),1.0)</f>
        <v>1</v>
      </c>
      <c r="C4106" s="11">
        <f>IFERROR(__xludf.DUMMYFUNCTION("""COMPUTED_VALUE"""),448.0)</f>
        <v>448</v>
      </c>
      <c r="D4106" s="11">
        <f>IFERROR(__xludf.DUMMYFUNCTION("""COMPUTED_VALUE"""),155.0)</f>
        <v>155</v>
      </c>
      <c r="E4106" s="9"/>
    </row>
    <row r="4107">
      <c r="A4107" s="10">
        <f>IFERROR(__xludf.DUMMYFUNCTION("""COMPUTED_VALUE"""),84396.0)</f>
        <v>84396</v>
      </c>
      <c r="B4107" s="11">
        <f>IFERROR(__xludf.DUMMYFUNCTION("""COMPUTED_VALUE"""),1.0)</f>
        <v>1</v>
      </c>
      <c r="C4107" s="11">
        <f>IFERROR(__xludf.DUMMYFUNCTION("""COMPUTED_VALUE"""),552.0)</f>
        <v>552</v>
      </c>
      <c r="D4107" s="11">
        <f>IFERROR(__xludf.DUMMYFUNCTION("""COMPUTED_VALUE"""),321.0)</f>
        <v>321</v>
      </c>
      <c r="E4107" s="9"/>
    </row>
    <row r="4108">
      <c r="A4108" s="10">
        <f>IFERROR(__xludf.DUMMYFUNCTION("""COMPUTED_VALUE"""),42676.0)</f>
        <v>42676</v>
      </c>
      <c r="B4108" s="11">
        <f>IFERROR(__xludf.DUMMYFUNCTION("""COMPUTED_VALUE"""),1.0)</f>
        <v>1</v>
      </c>
      <c r="C4108" s="11">
        <f>IFERROR(__xludf.DUMMYFUNCTION("""COMPUTED_VALUE"""),572.0)</f>
        <v>572</v>
      </c>
      <c r="D4108" s="11">
        <f>IFERROR(__xludf.DUMMYFUNCTION("""COMPUTED_VALUE"""),531.0)</f>
        <v>531</v>
      </c>
      <c r="E4108" s="9"/>
    </row>
    <row r="4109">
      <c r="A4109" s="10">
        <f>IFERROR(__xludf.DUMMYFUNCTION("""COMPUTED_VALUE"""),108380.0)</f>
        <v>108380</v>
      </c>
      <c r="B4109" s="11">
        <f>IFERROR(__xludf.DUMMYFUNCTION("""COMPUTED_VALUE"""),1.0)</f>
        <v>1</v>
      </c>
      <c r="C4109" s="11">
        <f>IFERROR(__xludf.DUMMYFUNCTION("""COMPUTED_VALUE"""),787.0)</f>
        <v>787</v>
      </c>
      <c r="D4109" s="11">
        <f>IFERROR(__xludf.DUMMYFUNCTION("""COMPUTED_VALUE"""),173.0)</f>
        <v>173</v>
      </c>
      <c r="E4109" s="9"/>
    </row>
    <row r="4110">
      <c r="A4110" s="10">
        <f>IFERROR(__xludf.DUMMYFUNCTION("""COMPUTED_VALUE"""),10565.0)</f>
        <v>10565</v>
      </c>
      <c r="B4110" s="11">
        <f>IFERROR(__xludf.DUMMYFUNCTION("""COMPUTED_VALUE"""),0.0)</f>
        <v>0</v>
      </c>
      <c r="C4110" s="11">
        <f>IFERROR(__xludf.DUMMYFUNCTION("""COMPUTED_VALUE"""),531.0)</f>
        <v>531</v>
      </c>
      <c r="D4110" s="11">
        <f>IFERROR(__xludf.DUMMYFUNCTION("""COMPUTED_VALUE"""),500.0)</f>
        <v>500</v>
      </c>
      <c r="E4110" s="9"/>
    </row>
    <row r="4111">
      <c r="A4111" s="10">
        <f>IFERROR(__xludf.DUMMYFUNCTION("""COMPUTED_VALUE"""),107631.0)</f>
        <v>107631</v>
      </c>
      <c r="B4111" s="11">
        <f>IFERROR(__xludf.DUMMYFUNCTION("""COMPUTED_VALUE"""),0.0)</f>
        <v>0</v>
      </c>
      <c r="C4111" s="11">
        <f>IFERROR(__xludf.DUMMYFUNCTION("""COMPUTED_VALUE"""),977.0)</f>
        <v>977</v>
      </c>
      <c r="D4111" s="11">
        <f>IFERROR(__xludf.DUMMYFUNCTION("""COMPUTED_VALUE"""),241.0)</f>
        <v>241</v>
      </c>
      <c r="E4111" s="9"/>
    </row>
    <row r="4112">
      <c r="A4112" s="10">
        <f>IFERROR(__xludf.DUMMYFUNCTION("""COMPUTED_VALUE"""),24061.0)</f>
        <v>24061</v>
      </c>
      <c r="B4112" s="11">
        <f>IFERROR(__xludf.DUMMYFUNCTION("""COMPUTED_VALUE"""),1.0)</f>
        <v>1</v>
      </c>
      <c r="C4112" s="11">
        <f>IFERROR(__xludf.DUMMYFUNCTION("""COMPUTED_VALUE"""),196.0)</f>
        <v>196</v>
      </c>
      <c r="D4112" s="11">
        <f>IFERROR(__xludf.DUMMYFUNCTION("""COMPUTED_VALUE"""),190.0)</f>
        <v>190</v>
      </c>
      <c r="E4112" s="9"/>
    </row>
    <row r="4113">
      <c r="A4113" s="10">
        <f>IFERROR(__xludf.DUMMYFUNCTION("""COMPUTED_VALUE"""),182051.0)</f>
        <v>182051</v>
      </c>
      <c r="B4113" s="11">
        <f>IFERROR(__xludf.DUMMYFUNCTION("""COMPUTED_VALUE"""),1.0)</f>
        <v>1</v>
      </c>
      <c r="C4113" s="11">
        <f>IFERROR(__xludf.DUMMYFUNCTION("""COMPUTED_VALUE"""),943.0)</f>
        <v>943</v>
      </c>
      <c r="D4113" s="11">
        <f>IFERROR(__xludf.DUMMYFUNCTION("""COMPUTED_VALUE"""),505.0)</f>
        <v>505</v>
      </c>
      <c r="E4113" s="9"/>
    </row>
    <row r="4114">
      <c r="A4114" s="10">
        <f>IFERROR(__xludf.DUMMYFUNCTION("""COMPUTED_VALUE"""),86360.0)</f>
        <v>86360</v>
      </c>
      <c r="B4114" s="11">
        <f>IFERROR(__xludf.DUMMYFUNCTION("""COMPUTED_VALUE"""),0.0)</f>
        <v>0</v>
      </c>
      <c r="C4114" s="11">
        <f>IFERROR(__xludf.DUMMYFUNCTION("""COMPUTED_VALUE"""),404.0)</f>
        <v>404</v>
      </c>
      <c r="D4114" s="11">
        <f>IFERROR(__xludf.DUMMYFUNCTION("""COMPUTED_VALUE"""),309.0)</f>
        <v>309</v>
      </c>
      <c r="E4114" s="9"/>
    </row>
    <row r="4115">
      <c r="A4115" s="10">
        <f>IFERROR(__xludf.DUMMYFUNCTION("""COMPUTED_VALUE"""),10566.0)</f>
        <v>10566</v>
      </c>
      <c r="B4115" s="11">
        <f>IFERROR(__xludf.DUMMYFUNCTION("""COMPUTED_VALUE"""),1.0)</f>
        <v>1</v>
      </c>
      <c r="C4115" s="11">
        <f>IFERROR(__xludf.DUMMYFUNCTION("""COMPUTED_VALUE"""),281.0)</f>
        <v>281</v>
      </c>
      <c r="D4115" s="11">
        <f>IFERROR(__xludf.DUMMYFUNCTION("""COMPUTED_VALUE"""),223.0)</f>
        <v>223</v>
      </c>
      <c r="E4115" s="9"/>
    </row>
    <row r="4116">
      <c r="A4116" s="10">
        <f>IFERROR(__xludf.DUMMYFUNCTION("""COMPUTED_VALUE"""),182014.0)</f>
        <v>182014</v>
      </c>
      <c r="B4116" s="11">
        <f>IFERROR(__xludf.DUMMYFUNCTION("""COMPUTED_VALUE"""),1.0)</f>
        <v>1</v>
      </c>
      <c r="C4116" s="11">
        <f>IFERROR(__xludf.DUMMYFUNCTION("""COMPUTED_VALUE"""),325.0)</f>
        <v>325</v>
      </c>
      <c r="D4116" s="11">
        <f>IFERROR(__xludf.DUMMYFUNCTION("""COMPUTED_VALUE"""),141.0)</f>
        <v>141</v>
      </c>
      <c r="E4116" s="9"/>
    </row>
    <row r="4117">
      <c r="A4117" s="10">
        <f>IFERROR(__xludf.DUMMYFUNCTION("""COMPUTED_VALUE"""),182010.0)</f>
        <v>182010</v>
      </c>
      <c r="B4117" s="11">
        <f>IFERROR(__xludf.DUMMYFUNCTION("""COMPUTED_VALUE"""),1.0)</f>
        <v>1</v>
      </c>
      <c r="C4117" s="11">
        <f>IFERROR(__xludf.DUMMYFUNCTION("""COMPUTED_VALUE"""),51.0)</f>
        <v>51</v>
      </c>
      <c r="D4117" s="11">
        <f>IFERROR(__xludf.DUMMYFUNCTION("""COMPUTED_VALUE"""),5.0)</f>
        <v>5</v>
      </c>
      <c r="E4117" s="9"/>
    </row>
    <row r="4118">
      <c r="A4118" s="10">
        <f>IFERROR(__xludf.DUMMYFUNCTION("""COMPUTED_VALUE"""),24076.0)</f>
        <v>24076</v>
      </c>
      <c r="B4118" s="11">
        <f>IFERROR(__xludf.DUMMYFUNCTION("""COMPUTED_VALUE"""),1.0)</f>
        <v>1</v>
      </c>
      <c r="C4118" s="11">
        <f>IFERROR(__xludf.DUMMYFUNCTION("""COMPUTED_VALUE"""),884.0)</f>
        <v>884</v>
      </c>
      <c r="D4118" s="11">
        <f>IFERROR(__xludf.DUMMYFUNCTION("""COMPUTED_VALUE"""),791.0)</f>
        <v>791</v>
      </c>
      <c r="E4118" s="9"/>
    </row>
    <row r="4119">
      <c r="A4119" s="10">
        <f>IFERROR(__xludf.DUMMYFUNCTION("""COMPUTED_VALUE"""),10572.0)</f>
        <v>10572</v>
      </c>
      <c r="B4119" s="11">
        <f>IFERROR(__xludf.DUMMYFUNCTION("""COMPUTED_VALUE"""),1.0)</f>
        <v>1</v>
      </c>
      <c r="C4119" s="11">
        <f>IFERROR(__xludf.DUMMYFUNCTION("""COMPUTED_VALUE"""),498.0)</f>
        <v>498</v>
      </c>
      <c r="D4119" s="11">
        <f>IFERROR(__xludf.DUMMYFUNCTION("""COMPUTED_VALUE"""),109.0)</f>
        <v>109</v>
      </c>
      <c r="E4119" s="9"/>
    </row>
    <row r="4120">
      <c r="A4120" s="10">
        <f>IFERROR(__xludf.DUMMYFUNCTION("""COMPUTED_VALUE"""),47527.0)</f>
        <v>47527</v>
      </c>
      <c r="B4120" s="11">
        <f>IFERROR(__xludf.DUMMYFUNCTION("""COMPUTED_VALUE"""),1.0)</f>
        <v>1</v>
      </c>
      <c r="C4120" s="11">
        <f>IFERROR(__xludf.DUMMYFUNCTION("""COMPUTED_VALUE"""),532.0)</f>
        <v>532</v>
      </c>
      <c r="D4120" s="11">
        <f>IFERROR(__xludf.DUMMYFUNCTION("""COMPUTED_VALUE"""),502.0)</f>
        <v>502</v>
      </c>
      <c r="E4120" s="9"/>
    </row>
    <row r="4121">
      <c r="A4121" s="10">
        <f>IFERROR(__xludf.DUMMYFUNCTION("""COMPUTED_VALUE"""),10577.0)</f>
        <v>10577</v>
      </c>
      <c r="B4121" s="11">
        <f>IFERROR(__xludf.DUMMYFUNCTION("""COMPUTED_VALUE"""),1.0)</f>
        <v>1</v>
      </c>
      <c r="C4121" s="11">
        <f>IFERROR(__xludf.DUMMYFUNCTION("""COMPUTED_VALUE"""),214.0)</f>
        <v>214</v>
      </c>
      <c r="D4121" s="11">
        <f>IFERROR(__xludf.DUMMYFUNCTION("""COMPUTED_VALUE"""),31.0)</f>
        <v>31</v>
      </c>
      <c r="E4121" s="9"/>
    </row>
    <row r="4122">
      <c r="A4122" s="10">
        <f>IFERROR(__xludf.DUMMYFUNCTION("""COMPUTED_VALUE"""),81914.0)</f>
        <v>81914</v>
      </c>
      <c r="B4122" s="11">
        <f>IFERROR(__xludf.DUMMYFUNCTION("""COMPUTED_VALUE"""),0.0)</f>
        <v>0</v>
      </c>
      <c r="C4122" s="11">
        <f>IFERROR(__xludf.DUMMYFUNCTION("""COMPUTED_VALUE"""),543.0)</f>
        <v>543</v>
      </c>
      <c r="D4122" s="11">
        <f>IFERROR(__xludf.DUMMYFUNCTION("""COMPUTED_VALUE"""),151.0)</f>
        <v>151</v>
      </c>
      <c r="E4122" s="9"/>
    </row>
    <row r="4123">
      <c r="A4123" s="10">
        <f>IFERROR(__xludf.DUMMYFUNCTION("""COMPUTED_VALUE"""),120186.0)</f>
        <v>120186</v>
      </c>
      <c r="B4123" s="11">
        <f>IFERROR(__xludf.DUMMYFUNCTION("""COMPUTED_VALUE"""),0.0)</f>
        <v>0</v>
      </c>
      <c r="C4123" s="11">
        <f>IFERROR(__xludf.DUMMYFUNCTION("""COMPUTED_VALUE"""),365.0)</f>
        <v>365</v>
      </c>
      <c r="D4123" s="11">
        <f>IFERROR(__xludf.DUMMYFUNCTION("""COMPUTED_VALUE"""),25.0)</f>
        <v>25</v>
      </c>
      <c r="E4123" s="9"/>
    </row>
    <row r="4124">
      <c r="A4124" s="10">
        <f>IFERROR(__xludf.DUMMYFUNCTION("""COMPUTED_VALUE"""),182015.0)</f>
        <v>182015</v>
      </c>
      <c r="B4124" s="11">
        <f>IFERROR(__xludf.DUMMYFUNCTION("""COMPUTED_VALUE"""),1.0)</f>
        <v>1</v>
      </c>
      <c r="C4124" s="11">
        <f>IFERROR(__xludf.DUMMYFUNCTION("""COMPUTED_VALUE"""),888.0)</f>
        <v>888</v>
      </c>
      <c r="D4124" s="11">
        <f>IFERROR(__xludf.DUMMYFUNCTION("""COMPUTED_VALUE"""),310.0)</f>
        <v>310</v>
      </c>
      <c r="E4124" s="9"/>
    </row>
    <row r="4125">
      <c r="A4125" s="10">
        <f>IFERROR(__xludf.DUMMYFUNCTION("""COMPUTED_VALUE"""),117919.0)</f>
        <v>117919</v>
      </c>
      <c r="B4125" s="11">
        <f>IFERROR(__xludf.DUMMYFUNCTION("""COMPUTED_VALUE"""),0.0)</f>
        <v>0</v>
      </c>
      <c r="C4125" s="11">
        <f>IFERROR(__xludf.DUMMYFUNCTION("""COMPUTED_VALUE"""),32.0)</f>
        <v>32</v>
      </c>
      <c r="D4125" s="11">
        <f>IFERROR(__xludf.DUMMYFUNCTION("""COMPUTED_VALUE"""),15.0)</f>
        <v>15</v>
      </c>
      <c r="E4125" s="9"/>
    </row>
    <row r="4126">
      <c r="A4126" s="10">
        <f>IFERROR(__xludf.DUMMYFUNCTION("""COMPUTED_VALUE"""),71228.0)</f>
        <v>71228</v>
      </c>
      <c r="B4126" s="11">
        <f>IFERROR(__xludf.DUMMYFUNCTION("""COMPUTED_VALUE"""),0.0)</f>
        <v>0</v>
      </c>
      <c r="C4126" s="11">
        <f>IFERROR(__xludf.DUMMYFUNCTION("""COMPUTED_VALUE"""),696.0)</f>
        <v>696</v>
      </c>
      <c r="D4126" s="11">
        <f>IFERROR(__xludf.DUMMYFUNCTION("""COMPUTED_VALUE"""),534.0)</f>
        <v>534</v>
      </c>
      <c r="E4126" s="9"/>
    </row>
    <row r="4127">
      <c r="A4127" s="10">
        <f>IFERROR(__xludf.DUMMYFUNCTION("""COMPUTED_VALUE"""),67264.0)</f>
        <v>67264</v>
      </c>
      <c r="B4127" s="11">
        <f>IFERROR(__xludf.DUMMYFUNCTION("""COMPUTED_VALUE"""),1.0)</f>
        <v>1</v>
      </c>
      <c r="C4127" s="11">
        <f>IFERROR(__xludf.DUMMYFUNCTION("""COMPUTED_VALUE"""),71.0)</f>
        <v>71</v>
      </c>
      <c r="D4127" s="11">
        <f>IFERROR(__xludf.DUMMYFUNCTION("""COMPUTED_VALUE"""),46.0)</f>
        <v>46</v>
      </c>
      <c r="E4127" s="9"/>
    </row>
    <row r="4128">
      <c r="A4128" s="10">
        <f>IFERROR(__xludf.DUMMYFUNCTION("""COMPUTED_VALUE"""),82984.0)</f>
        <v>82984</v>
      </c>
      <c r="B4128" s="11">
        <f>IFERROR(__xludf.DUMMYFUNCTION("""COMPUTED_VALUE"""),1.0)</f>
        <v>1</v>
      </c>
      <c r="C4128" s="11">
        <f>IFERROR(__xludf.DUMMYFUNCTION("""COMPUTED_VALUE"""),502.0)</f>
        <v>502</v>
      </c>
      <c r="D4128" s="11">
        <f>IFERROR(__xludf.DUMMYFUNCTION("""COMPUTED_VALUE"""),291.0)</f>
        <v>291</v>
      </c>
      <c r="E4128" s="9"/>
    </row>
    <row r="4129">
      <c r="A4129" s="10">
        <f>IFERROR(__xludf.DUMMYFUNCTION("""COMPUTED_VALUE"""),86420.0)</f>
        <v>86420</v>
      </c>
      <c r="B4129" s="11">
        <f>IFERROR(__xludf.DUMMYFUNCTION("""COMPUTED_VALUE"""),0.0)</f>
        <v>0</v>
      </c>
      <c r="C4129" s="11">
        <f>IFERROR(__xludf.DUMMYFUNCTION("""COMPUTED_VALUE"""),875.0)</f>
        <v>875</v>
      </c>
      <c r="D4129" s="11">
        <f>IFERROR(__xludf.DUMMYFUNCTION("""COMPUTED_VALUE"""),234.0)</f>
        <v>234</v>
      </c>
      <c r="E4129" s="9"/>
    </row>
    <row r="4130">
      <c r="A4130" s="10">
        <f>IFERROR(__xludf.DUMMYFUNCTION("""COMPUTED_VALUE"""),71227.0)</f>
        <v>71227</v>
      </c>
      <c r="B4130" s="11">
        <f>IFERROR(__xludf.DUMMYFUNCTION("""COMPUTED_VALUE"""),1.0)</f>
        <v>1</v>
      </c>
      <c r="C4130" s="11">
        <f>IFERROR(__xludf.DUMMYFUNCTION("""COMPUTED_VALUE"""),905.0)</f>
        <v>905</v>
      </c>
      <c r="D4130" s="11">
        <f>IFERROR(__xludf.DUMMYFUNCTION("""COMPUTED_VALUE"""),544.0)</f>
        <v>544</v>
      </c>
      <c r="E4130" s="9"/>
    </row>
    <row r="4131">
      <c r="A4131" s="10">
        <f>IFERROR(__xludf.DUMMYFUNCTION("""COMPUTED_VALUE"""),18055.0)</f>
        <v>18055</v>
      </c>
      <c r="B4131" s="11">
        <f>IFERROR(__xludf.DUMMYFUNCTION("""COMPUTED_VALUE"""),1.0)</f>
        <v>1</v>
      </c>
      <c r="C4131" s="11">
        <f>IFERROR(__xludf.DUMMYFUNCTION("""COMPUTED_VALUE"""),743.0)</f>
        <v>743</v>
      </c>
      <c r="D4131" s="11">
        <f>IFERROR(__xludf.DUMMYFUNCTION("""COMPUTED_VALUE"""),274.0)</f>
        <v>274</v>
      </c>
      <c r="E4131" s="9"/>
    </row>
    <row r="4132">
      <c r="A4132" s="10">
        <f>IFERROR(__xludf.DUMMYFUNCTION("""COMPUTED_VALUE"""),82989.0)</f>
        <v>82989</v>
      </c>
      <c r="B4132" s="11">
        <f>IFERROR(__xludf.DUMMYFUNCTION("""COMPUTED_VALUE"""),0.0)</f>
        <v>0</v>
      </c>
      <c r="C4132" s="11">
        <f>IFERROR(__xludf.DUMMYFUNCTION("""COMPUTED_VALUE"""),121.0)</f>
        <v>121</v>
      </c>
      <c r="D4132" s="11">
        <f>IFERROR(__xludf.DUMMYFUNCTION("""COMPUTED_VALUE"""),70.0)</f>
        <v>70</v>
      </c>
      <c r="E4132" s="9"/>
    </row>
    <row r="4133">
      <c r="A4133" s="10">
        <f>IFERROR(__xludf.DUMMYFUNCTION("""COMPUTED_VALUE"""),86438.0)</f>
        <v>86438</v>
      </c>
      <c r="B4133" s="11">
        <f>IFERROR(__xludf.DUMMYFUNCTION("""COMPUTED_VALUE"""),1.0)</f>
        <v>1</v>
      </c>
      <c r="C4133" s="11">
        <f>IFERROR(__xludf.DUMMYFUNCTION("""COMPUTED_VALUE"""),477.0)</f>
        <v>477</v>
      </c>
      <c r="D4133" s="11">
        <f>IFERROR(__xludf.DUMMYFUNCTION("""COMPUTED_VALUE"""),215.0)</f>
        <v>215</v>
      </c>
      <c r="E4133" s="9"/>
    </row>
    <row r="4134">
      <c r="A4134" s="10">
        <f>IFERROR(__xludf.DUMMYFUNCTION("""COMPUTED_VALUE"""),18061.0)</f>
        <v>18061</v>
      </c>
      <c r="B4134" s="11">
        <f>IFERROR(__xludf.DUMMYFUNCTION("""COMPUTED_VALUE"""),1.0)</f>
        <v>1</v>
      </c>
      <c r="C4134" s="11">
        <f>IFERROR(__xludf.DUMMYFUNCTION("""COMPUTED_VALUE"""),252.0)</f>
        <v>252</v>
      </c>
      <c r="D4134" s="11">
        <f>IFERROR(__xludf.DUMMYFUNCTION("""COMPUTED_VALUE"""),211.0)</f>
        <v>211</v>
      </c>
      <c r="E4134" s="9"/>
    </row>
    <row r="4135">
      <c r="A4135" s="10">
        <f>IFERROR(__xludf.DUMMYFUNCTION("""COMPUTED_VALUE"""),67265.0)</f>
        <v>67265</v>
      </c>
      <c r="B4135" s="11">
        <f>IFERROR(__xludf.DUMMYFUNCTION("""COMPUTED_VALUE"""),1.0)</f>
        <v>1</v>
      </c>
      <c r="C4135" s="11">
        <f>IFERROR(__xludf.DUMMYFUNCTION("""COMPUTED_VALUE"""),292.0)</f>
        <v>292</v>
      </c>
      <c r="D4135" s="11">
        <f>IFERROR(__xludf.DUMMYFUNCTION("""COMPUTED_VALUE"""),146.0)</f>
        <v>146</v>
      </c>
      <c r="E4135" s="9"/>
    </row>
    <row r="4136">
      <c r="A4136" s="10">
        <f>IFERROR(__xludf.DUMMYFUNCTION("""COMPUTED_VALUE"""),69552.0)</f>
        <v>69552</v>
      </c>
      <c r="B4136" s="11">
        <f>IFERROR(__xludf.DUMMYFUNCTION("""COMPUTED_VALUE"""),1.0)</f>
        <v>1</v>
      </c>
      <c r="C4136" s="11">
        <f>IFERROR(__xludf.DUMMYFUNCTION("""COMPUTED_VALUE"""),951.0)</f>
        <v>951</v>
      </c>
      <c r="D4136" s="11">
        <f>IFERROR(__xludf.DUMMYFUNCTION("""COMPUTED_VALUE"""),301.0)</f>
        <v>301</v>
      </c>
      <c r="E4136" s="9"/>
    </row>
    <row r="4137">
      <c r="A4137" s="10">
        <f>IFERROR(__xludf.DUMMYFUNCTION("""COMPUTED_VALUE"""),110955.0)</f>
        <v>110955</v>
      </c>
      <c r="B4137" s="11">
        <f>IFERROR(__xludf.DUMMYFUNCTION("""COMPUTED_VALUE"""),1.0)</f>
        <v>1</v>
      </c>
      <c r="C4137" s="11">
        <f>IFERROR(__xludf.DUMMYFUNCTION("""COMPUTED_VALUE"""),952.0)</f>
        <v>952</v>
      </c>
      <c r="D4137" s="11">
        <f>IFERROR(__xludf.DUMMYFUNCTION("""COMPUTED_VALUE"""),848.0)</f>
        <v>848</v>
      </c>
      <c r="E4137" s="9"/>
    </row>
    <row r="4138">
      <c r="A4138" s="10">
        <f>IFERROR(__xludf.DUMMYFUNCTION("""COMPUTED_VALUE"""),79505.0)</f>
        <v>79505</v>
      </c>
      <c r="B4138" s="11">
        <f>IFERROR(__xludf.DUMMYFUNCTION("""COMPUTED_VALUE"""),1.0)</f>
        <v>1</v>
      </c>
      <c r="C4138" s="11">
        <f>IFERROR(__xludf.DUMMYFUNCTION("""COMPUTED_VALUE"""),894.0)</f>
        <v>894</v>
      </c>
      <c r="D4138" s="11">
        <f>IFERROR(__xludf.DUMMYFUNCTION("""COMPUTED_VALUE"""),204.0)</f>
        <v>204</v>
      </c>
      <c r="E4138" s="9"/>
    </row>
    <row r="4139">
      <c r="A4139" s="10">
        <f>IFERROR(__xludf.DUMMYFUNCTION("""COMPUTED_VALUE"""),110943.0)</f>
        <v>110943</v>
      </c>
      <c r="B4139" s="11">
        <f>IFERROR(__xludf.DUMMYFUNCTION("""COMPUTED_VALUE"""),0.0)</f>
        <v>0</v>
      </c>
      <c r="C4139" s="11">
        <f>IFERROR(__xludf.DUMMYFUNCTION("""COMPUTED_VALUE"""),75.0)</f>
        <v>75</v>
      </c>
      <c r="D4139" s="11">
        <f>IFERROR(__xludf.DUMMYFUNCTION("""COMPUTED_VALUE"""),21.0)</f>
        <v>21</v>
      </c>
      <c r="E4139" s="9"/>
    </row>
    <row r="4140">
      <c r="A4140" s="10">
        <f>IFERROR(__xludf.DUMMYFUNCTION("""COMPUTED_VALUE"""),119048.0)</f>
        <v>119048</v>
      </c>
      <c r="B4140" s="11">
        <f>IFERROR(__xludf.DUMMYFUNCTION("""COMPUTED_VALUE"""),0.0)</f>
        <v>0</v>
      </c>
      <c r="C4140" s="11">
        <f>IFERROR(__xludf.DUMMYFUNCTION("""COMPUTED_VALUE"""),211.0)</f>
        <v>211</v>
      </c>
      <c r="D4140" s="11">
        <f>IFERROR(__xludf.DUMMYFUNCTION("""COMPUTED_VALUE"""),162.0)</f>
        <v>162</v>
      </c>
      <c r="E4140" s="9"/>
    </row>
    <row r="4141">
      <c r="A4141" s="10">
        <f>IFERROR(__xludf.DUMMYFUNCTION("""COMPUTED_VALUE"""),42695.0)</f>
        <v>42695</v>
      </c>
      <c r="B4141" s="11">
        <f>IFERROR(__xludf.DUMMYFUNCTION("""COMPUTED_VALUE"""),1.0)</f>
        <v>1</v>
      </c>
      <c r="C4141" s="11">
        <f>IFERROR(__xludf.DUMMYFUNCTION("""COMPUTED_VALUE"""),379.0)</f>
        <v>379</v>
      </c>
      <c r="D4141" s="11">
        <f>IFERROR(__xludf.DUMMYFUNCTION("""COMPUTED_VALUE"""),41.0)</f>
        <v>41</v>
      </c>
      <c r="E4141" s="9"/>
    </row>
    <row r="4142">
      <c r="A4142" s="10">
        <f>IFERROR(__xludf.DUMMYFUNCTION("""COMPUTED_VALUE"""),88980.0)</f>
        <v>88980</v>
      </c>
      <c r="B4142" s="11">
        <f>IFERROR(__xludf.DUMMYFUNCTION("""COMPUTED_VALUE"""),0.0)</f>
        <v>0</v>
      </c>
      <c r="C4142" s="11">
        <f>IFERROR(__xludf.DUMMYFUNCTION("""COMPUTED_VALUE"""),107.0)</f>
        <v>107</v>
      </c>
      <c r="D4142" s="11">
        <f>IFERROR(__xludf.DUMMYFUNCTION("""COMPUTED_VALUE"""),30.0)</f>
        <v>30</v>
      </c>
      <c r="E4142" s="9"/>
    </row>
    <row r="4143">
      <c r="A4143" s="10">
        <f>IFERROR(__xludf.DUMMYFUNCTION("""COMPUTED_VALUE"""),149507.0)</f>
        <v>149507</v>
      </c>
      <c r="B4143" s="11">
        <f>IFERROR(__xludf.DUMMYFUNCTION("""COMPUTED_VALUE"""),0.0)</f>
        <v>0</v>
      </c>
      <c r="C4143" s="11">
        <f>IFERROR(__xludf.DUMMYFUNCTION("""COMPUTED_VALUE"""),484.0)</f>
        <v>484</v>
      </c>
      <c r="D4143" s="11">
        <f>IFERROR(__xludf.DUMMYFUNCTION("""COMPUTED_VALUE"""),381.0)</f>
        <v>381</v>
      </c>
      <c r="E4143" s="9"/>
    </row>
    <row r="4144">
      <c r="A4144" s="10">
        <f>IFERROR(__xludf.DUMMYFUNCTION("""COMPUTED_VALUE"""),86988.0)</f>
        <v>86988</v>
      </c>
      <c r="B4144" s="11">
        <f>IFERROR(__xludf.DUMMYFUNCTION("""COMPUTED_VALUE"""),1.0)</f>
        <v>1</v>
      </c>
      <c r="C4144" s="11">
        <f>IFERROR(__xludf.DUMMYFUNCTION("""COMPUTED_VALUE"""),389.0)</f>
        <v>389</v>
      </c>
      <c r="D4144" s="11">
        <f>IFERROR(__xludf.DUMMYFUNCTION("""COMPUTED_VALUE"""),136.0)</f>
        <v>136</v>
      </c>
      <c r="E4144" s="9"/>
    </row>
    <row r="4145">
      <c r="A4145" s="10">
        <f>IFERROR(__xludf.DUMMYFUNCTION("""COMPUTED_VALUE"""),73836.0)</f>
        <v>73836</v>
      </c>
      <c r="B4145" s="11">
        <f>IFERROR(__xludf.DUMMYFUNCTION("""COMPUTED_VALUE"""),1.0)</f>
        <v>1</v>
      </c>
      <c r="C4145" s="11">
        <f>IFERROR(__xludf.DUMMYFUNCTION("""COMPUTED_VALUE"""),172.0)</f>
        <v>172</v>
      </c>
      <c r="D4145" s="11">
        <f>IFERROR(__xludf.DUMMYFUNCTION("""COMPUTED_VALUE"""),73.0)</f>
        <v>73</v>
      </c>
      <c r="E4145" s="9"/>
    </row>
    <row r="4146">
      <c r="A4146" s="10">
        <f>IFERROR(__xludf.DUMMYFUNCTION("""COMPUTED_VALUE"""),69322.0)</f>
        <v>69322</v>
      </c>
      <c r="B4146" s="11">
        <f>IFERROR(__xludf.DUMMYFUNCTION("""COMPUTED_VALUE"""),1.0)</f>
        <v>1</v>
      </c>
      <c r="C4146" s="11">
        <f>IFERROR(__xludf.DUMMYFUNCTION("""COMPUTED_VALUE"""),408.0)</f>
        <v>408</v>
      </c>
      <c r="D4146" s="11">
        <f>IFERROR(__xludf.DUMMYFUNCTION("""COMPUTED_VALUE"""),189.0)</f>
        <v>189</v>
      </c>
      <c r="E4146" s="9"/>
    </row>
    <row r="4147">
      <c r="A4147" s="10">
        <f>IFERROR(__xludf.DUMMYFUNCTION("""COMPUTED_VALUE"""),8696.0)</f>
        <v>8696</v>
      </c>
      <c r="B4147" s="11">
        <f>IFERROR(__xludf.DUMMYFUNCTION("""COMPUTED_VALUE"""),0.0)</f>
        <v>0</v>
      </c>
      <c r="C4147" s="11">
        <f>IFERROR(__xludf.DUMMYFUNCTION("""COMPUTED_VALUE"""),771.0)</f>
        <v>771</v>
      </c>
      <c r="D4147" s="11">
        <f>IFERROR(__xludf.DUMMYFUNCTION("""COMPUTED_VALUE"""),326.0)</f>
        <v>326</v>
      </c>
      <c r="E4147" s="9"/>
    </row>
    <row r="4148">
      <c r="A4148" s="10">
        <f>IFERROR(__xludf.DUMMYFUNCTION("""COMPUTED_VALUE"""),119062.0)</f>
        <v>119062</v>
      </c>
      <c r="B4148" s="11">
        <f>IFERROR(__xludf.DUMMYFUNCTION("""COMPUTED_VALUE"""),0.0)</f>
        <v>0</v>
      </c>
      <c r="C4148" s="11">
        <f>IFERROR(__xludf.DUMMYFUNCTION("""COMPUTED_VALUE"""),4.0)</f>
        <v>4</v>
      </c>
      <c r="D4148" s="11">
        <f>IFERROR(__xludf.DUMMYFUNCTION("""COMPUTED_VALUE"""),3.0)</f>
        <v>3</v>
      </c>
      <c r="E4148" s="9"/>
    </row>
    <row r="4149">
      <c r="A4149" s="10">
        <f>IFERROR(__xludf.DUMMYFUNCTION("""COMPUTED_VALUE"""),188931.0)</f>
        <v>188931</v>
      </c>
      <c r="B4149" s="11">
        <f>IFERROR(__xludf.DUMMYFUNCTION("""COMPUTED_VALUE"""),1.0)</f>
        <v>1</v>
      </c>
      <c r="C4149" s="11">
        <f>IFERROR(__xludf.DUMMYFUNCTION("""COMPUTED_VALUE"""),323.0)</f>
        <v>323</v>
      </c>
      <c r="D4149" s="11">
        <f>IFERROR(__xludf.DUMMYFUNCTION("""COMPUTED_VALUE"""),305.0)</f>
        <v>305</v>
      </c>
      <c r="E4149" s="9"/>
    </row>
    <row r="4150">
      <c r="A4150" s="10">
        <f>IFERROR(__xludf.DUMMYFUNCTION("""COMPUTED_VALUE"""),100238.0)</f>
        <v>100238</v>
      </c>
      <c r="B4150" s="11">
        <f>IFERROR(__xludf.DUMMYFUNCTION("""COMPUTED_VALUE"""),1.0)</f>
        <v>1</v>
      </c>
      <c r="C4150" s="11">
        <f>IFERROR(__xludf.DUMMYFUNCTION("""COMPUTED_VALUE"""),462.0)</f>
        <v>462</v>
      </c>
      <c r="D4150" s="11">
        <f>IFERROR(__xludf.DUMMYFUNCTION("""COMPUTED_VALUE"""),17.0)</f>
        <v>17</v>
      </c>
      <c r="E4150" s="9"/>
    </row>
    <row r="4151">
      <c r="A4151" s="10">
        <f>IFERROR(__xludf.DUMMYFUNCTION("""COMPUTED_VALUE"""),47010.0)</f>
        <v>47010</v>
      </c>
      <c r="B4151" s="11">
        <f>IFERROR(__xludf.DUMMYFUNCTION("""COMPUTED_VALUE"""),0.0)</f>
        <v>0</v>
      </c>
      <c r="C4151" s="11">
        <f>IFERROR(__xludf.DUMMYFUNCTION("""COMPUTED_VALUE"""),512.0)</f>
        <v>512</v>
      </c>
      <c r="D4151" s="11">
        <f>IFERROR(__xludf.DUMMYFUNCTION("""COMPUTED_VALUE"""),38.0)</f>
        <v>38</v>
      </c>
      <c r="E4151" s="9"/>
    </row>
    <row r="4152">
      <c r="A4152" s="10">
        <f>IFERROR(__xludf.DUMMYFUNCTION("""COMPUTED_VALUE"""),104605.0)</f>
        <v>104605</v>
      </c>
      <c r="B4152" s="11">
        <f>IFERROR(__xludf.DUMMYFUNCTION("""COMPUTED_VALUE"""),0.0)</f>
        <v>0</v>
      </c>
      <c r="C4152" s="11">
        <f>IFERROR(__xludf.DUMMYFUNCTION("""COMPUTED_VALUE"""),391.0)</f>
        <v>391</v>
      </c>
      <c r="D4152" s="11">
        <f>IFERROR(__xludf.DUMMYFUNCTION("""COMPUTED_VALUE"""),25.0)</f>
        <v>25</v>
      </c>
      <c r="E4152" s="9"/>
    </row>
    <row r="4153">
      <c r="A4153" s="10">
        <f>IFERROR(__xludf.DUMMYFUNCTION("""COMPUTED_VALUE"""),42694.0)</f>
        <v>42694</v>
      </c>
      <c r="B4153" s="11">
        <f>IFERROR(__xludf.DUMMYFUNCTION("""COMPUTED_VALUE"""),0.0)</f>
        <v>0</v>
      </c>
      <c r="C4153" s="11">
        <f>IFERROR(__xludf.DUMMYFUNCTION("""COMPUTED_VALUE"""),832.0)</f>
        <v>832</v>
      </c>
      <c r="D4153" s="11">
        <f>IFERROR(__xludf.DUMMYFUNCTION("""COMPUTED_VALUE"""),417.0)</f>
        <v>417</v>
      </c>
      <c r="E4153" s="9"/>
    </row>
    <row r="4154">
      <c r="A4154" s="10">
        <f>IFERROR(__xludf.DUMMYFUNCTION("""COMPUTED_VALUE"""),8697.0)</f>
        <v>8697</v>
      </c>
      <c r="B4154" s="11">
        <f>IFERROR(__xludf.DUMMYFUNCTION("""COMPUTED_VALUE"""),1.0)</f>
        <v>1</v>
      </c>
      <c r="C4154" s="11">
        <f>IFERROR(__xludf.DUMMYFUNCTION("""COMPUTED_VALUE"""),584.0)</f>
        <v>584</v>
      </c>
      <c r="D4154" s="11">
        <f>IFERROR(__xludf.DUMMYFUNCTION("""COMPUTED_VALUE"""),437.0)</f>
        <v>437</v>
      </c>
      <c r="E4154" s="9"/>
    </row>
    <row r="4155">
      <c r="A4155" s="10">
        <f>IFERROR(__xludf.DUMMYFUNCTION("""COMPUTED_VALUE"""),110957.0)</f>
        <v>110957</v>
      </c>
      <c r="B4155" s="11">
        <f>IFERROR(__xludf.DUMMYFUNCTION("""COMPUTED_VALUE"""),0.0)</f>
        <v>0</v>
      </c>
      <c r="C4155" s="11">
        <f>IFERROR(__xludf.DUMMYFUNCTION("""COMPUTED_VALUE"""),804.0)</f>
        <v>804</v>
      </c>
      <c r="D4155" s="11">
        <f>IFERROR(__xludf.DUMMYFUNCTION("""COMPUTED_VALUE"""),268.0)</f>
        <v>268</v>
      </c>
      <c r="E4155" s="9"/>
    </row>
    <row r="4156">
      <c r="A4156" s="10">
        <f>IFERROR(__xludf.DUMMYFUNCTION("""COMPUTED_VALUE"""),86989.0)</f>
        <v>86989</v>
      </c>
      <c r="B4156" s="11">
        <f>IFERROR(__xludf.DUMMYFUNCTION("""COMPUTED_VALUE"""),0.0)</f>
        <v>0</v>
      </c>
      <c r="C4156" s="11">
        <f>IFERROR(__xludf.DUMMYFUNCTION("""COMPUTED_VALUE"""),495.0)</f>
        <v>495</v>
      </c>
      <c r="D4156" s="11">
        <f>IFERROR(__xludf.DUMMYFUNCTION("""COMPUTED_VALUE"""),0.0)</f>
        <v>0</v>
      </c>
      <c r="E4156" s="9"/>
    </row>
    <row r="4157">
      <c r="A4157" s="10">
        <f>IFERROR(__xludf.DUMMYFUNCTION("""COMPUTED_VALUE"""),8695.0)</f>
        <v>8695</v>
      </c>
      <c r="B4157" s="11">
        <f>IFERROR(__xludf.DUMMYFUNCTION("""COMPUTED_VALUE"""),1.0)</f>
        <v>1</v>
      </c>
      <c r="C4157" s="11">
        <f>IFERROR(__xludf.DUMMYFUNCTION("""COMPUTED_VALUE"""),671.0)</f>
        <v>671</v>
      </c>
      <c r="D4157" s="11">
        <f>IFERROR(__xludf.DUMMYFUNCTION("""COMPUTED_VALUE"""),148.0)</f>
        <v>148</v>
      </c>
      <c r="E4157" s="9"/>
    </row>
    <row r="4158">
      <c r="A4158" s="10">
        <f>IFERROR(__xludf.DUMMYFUNCTION("""COMPUTED_VALUE"""),122792.0)</f>
        <v>122792</v>
      </c>
      <c r="B4158" s="11">
        <f>IFERROR(__xludf.DUMMYFUNCTION("""COMPUTED_VALUE"""),0.0)</f>
        <v>0</v>
      </c>
      <c r="C4158" s="11">
        <f>IFERROR(__xludf.DUMMYFUNCTION("""COMPUTED_VALUE"""),922.0)</f>
        <v>922</v>
      </c>
      <c r="D4158" s="11">
        <f>IFERROR(__xludf.DUMMYFUNCTION("""COMPUTED_VALUE"""),158.0)</f>
        <v>158</v>
      </c>
      <c r="E4158" s="9"/>
    </row>
    <row r="4159">
      <c r="A4159" s="10">
        <f>IFERROR(__xludf.DUMMYFUNCTION("""COMPUTED_VALUE"""),8698.0)</f>
        <v>8698</v>
      </c>
      <c r="B4159" s="11">
        <f>IFERROR(__xludf.DUMMYFUNCTION("""COMPUTED_VALUE"""),1.0)</f>
        <v>1</v>
      </c>
      <c r="C4159" s="11">
        <f>IFERROR(__xludf.DUMMYFUNCTION("""COMPUTED_VALUE"""),958.0)</f>
        <v>958</v>
      </c>
      <c r="D4159" s="11">
        <f>IFERROR(__xludf.DUMMYFUNCTION("""COMPUTED_VALUE"""),119.0)</f>
        <v>119</v>
      </c>
      <c r="E4159" s="9"/>
    </row>
    <row r="4160">
      <c r="A4160" s="10">
        <f>IFERROR(__xludf.DUMMYFUNCTION("""COMPUTED_VALUE"""),103866.0)</f>
        <v>103866</v>
      </c>
      <c r="B4160" s="11">
        <f>IFERROR(__xludf.DUMMYFUNCTION("""COMPUTED_VALUE"""),1.0)</f>
        <v>1</v>
      </c>
      <c r="C4160" s="11">
        <f>IFERROR(__xludf.DUMMYFUNCTION("""COMPUTED_VALUE"""),38.0)</f>
        <v>38</v>
      </c>
      <c r="D4160" s="11">
        <f>IFERROR(__xludf.DUMMYFUNCTION("""COMPUTED_VALUE"""),24.0)</f>
        <v>24</v>
      </c>
      <c r="E4160" s="9"/>
    </row>
    <row r="4161">
      <c r="A4161" s="10">
        <f>IFERROR(__xludf.DUMMYFUNCTION("""COMPUTED_VALUE"""),103865.0)</f>
        <v>103865</v>
      </c>
      <c r="B4161" s="11">
        <f>IFERROR(__xludf.DUMMYFUNCTION("""COMPUTED_VALUE"""),0.0)</f>
        <v>0</v>
      </c>
      <c r="C4161" s="11">
        <f>IFERROR(__xludf.DUMMYFUNCTION("""COMPUTED_VALUE"""),279.0)</f>
        <v>279</v>
      </c>
      <c r="D4161" s="11">
        <f>IFERROR(__xludf.DUMMYFUNCTION("""COMPUTED_VALUE"""),208.0)</f>
        <v>208</v>
      </c>
      <c r="E4161" s="9"/>
    </row>
    <row r="4162">
      <c r="A4162" s="10">
        <f>IFERROR(__xludf.DUMMYFUNCTION("""COMPUTED_VALUE"""),110945.0)</f>
        <v>110945</v>
      </c>
      <c r="B4162" s="11">
        <f>IFERROR(__xludf.DUMMYFUNCTION("""COMPUTED_VALUE"""),1.0)</f>
        <v>1</v>
      </c>
      <c r="C4162" s="11">
        <f>IFERROR(__xludf.DUMMYFUNCTION("""COMPUTED_VALUE"""),586.0)</f>
        <v>586</v>
      </c>
      <c r="D4162" s="11">
        <f>IFERROR(__xludf.DUMMYFUNCTION("""COMPUTED_VALUE"""),400.0)</f>
        <v>400</v>
      </c>
      <c r="E4162" s="9"/>
    </row>
    <row r="4163">
      <c r="A4163" s="10">
        <f>IFERROR(__xludf.DUMMYFUNCTION("""COMPUTED_VALUE"""),158671.0)</f>
        <v>158671</v>
      </c>
      <c r="B4163" s="11">
        <f>IFERROR(__xludf.DUMMYFUNCTION("""COMPUTED_VALUE"""),0.0)</f>
        <v>0</v>
      </c>
      <c r="C4163" s="11">
        <f>IFERROR(__xludf.DUMMYFUNCTION("""COMPUTED_VALUE"""),630.0)</f>
        <v>630</v>
      </c>
      <c r="D4163" s="11">
        <f>IFERROR(__xludf.DUMMYFUNCTION("""COMPUTED_VALUE"""),203.0)</f>
        <v>203</v>
      </c>
      <c r="E4163" s="9"/>
    </row>
    <row r="4164">
      <c r="A4164" s="10">
        <f>IFERROR(__xludf.DUMMYFUNCTION("""COMPUTED_VALUE"""),118915.0)</f>
        <v>118915</v>
      </c>
      <c r="B4164" s="11">
        <f>IFERROR(__xludf.DUMMYFUNCTION("""COMPUTED_VALUE"""),1.0)</f>
        <v>1</v>
      </c>
      <c r="C4164" s="11">
        <f>IFERROR(__xludf.DUMMYFUNCTION("""COMPUTED_VALUE"""),541.0)</f>
        <v>541</v>
      </c>
      <c r="D4164" s="11">
        <f>IFERROR(__xludf.DUMMYFUNCTION("""COMPUTED_VALUE"""),154.0)</f>
        <v>154</v>
      </c>
      <c r="E4164" s="9"/>
    </row>
    <row r="4165">
      <c r="A4165" s="10">
        <f>IFERROR(__xludf.DUMMYFUNCTION("""COMPUTED_VALUE"""),88990.0)</f>
        <v>88990</v>
      </c>
      <c r="B4165" s="11">
        <f>IFERROR(__xludf.DUMMYFUNCTION("""COMPUTED_VALUE"""),1.0)</f>
        <v>1</v>
      </c>
      <c r="C4165" s="11">
        <f>IFERROR(__xludf.DUMMYFUNCTION("""COMPUTED_VALUE"""),175.0)</f>
        <v>175</v>
      </c>
      <c r="D4165" s="11">
        <f>IFERROR(__xludf.DUMMYFUNCTION("""COMPUTED_VALUE"""),106.0)</f>
        <v>106</v>
      </c>
      <c r="E4165" s="9"/>
    </row>
    <row r="4166">
      <c r="A4166" s="10">
        <f>IFERROR(__xludf.DUMMYFUNCTION("""COMPUTED_VALUE"""),73835.0)</f>
        <v>73835</v>
      </c>
      <c r="B4166" s="11">
        <f>IFERROR(__xludf.DUMMYFUNCTION("""COMPUTED_VALUE"""),1.0)</f>
        <v>1</v>
      </c>
      <c r="C4166" s="11">
        <f>IFERROR(__xludf.DUMMYFUNCTION("""COMPUTED_VALUE"""),586.0)</f>
        <v>586</v>
      </c>
      <c r="D4166" s="11">
        <f>IFERROR(__xludf.DUMMYFUNCTION("""COMPUTED_VALUE"""),569.0)</f>
        <v>569</v>
      </c>
      <c r="E4166" s="9"/>
    </row>
    <row r="4167">
      <c r="A4167" s="10">
        <f>IFERROR(__xludf.DUMMYFUNCTION("""COMPUTED_VALUE"""),8699.0)</f>
        <v>8699</v>
      </c>
      <c r="B4167" s="11">
        <f>IFERROR(__xludf.DUMMYFUNCTION("""COMPUTED_VALUE"""),0.0)</f>
        <v>0</v>
      </c>
      <c r="C4167" s="11">
        <f>IFERROR(__xludf.DUMMYFUNCTION("""COMPUTED_VALUE"""),140.0)</f>
        <v>140</v>
      </c>
      <c r="D4167" s="11">
        <f>IFERROR(__xludf.DUMMYFUNCTION("""COMPUTED_VALUE"""),85.0)</f>
        <v>85</v>
      </c>
      <c r="E4167" s="9"/>
    </row>
    <row r="4168">
      <c r="A4168" s="10">
        <f>IFERROR(__xludf.DUMMYFUNCTION("""COMPUTED_VALUE"""),81494.0)</f>
        <v>81494</v>
      </c>
      <c r="B4168" s="11">
        <f>IFERROR(__xludf.DUMMYFUNCTION("""COMPUTED_VALUE"""),0.0)</f>
        <v>0</v>
      </c>
      <c r="C4168" s="11">
        <f>IFERROR(__xludf.DUMMYFUNCTION("""COMPUTED_VALUE"""),249.0)</f>
        <v>249</v>
      </c>
      <c r="D4168" s="11">
        <f>IFERROR(__xludf.DUMMYFUNCTION("""COMPUTED_VALUE"""),24.0)</f>
        <v>24</v>
      </c>
      <c r="E4168" s="9"/>
    </row>
    <row r="4169">
      <c r="A4169" s="10">
        <f>IFERROR(__xludf.DUMMYFUNCTION("""COMPUTED_VALUE"""),89821.0)</f>
        <v>89821</v>
      </c>
      <c r="B4169" s="11">
        <f>IFERROR(__xludf.DUMMYFUNCTION("""COMPUTED_VALUE"""),1.0)</f>
        <v>1</v>
      </c>
      <c r="C4169" s="11">
        <f>IFERROR(__xludf.DUMMYFUNCTION("""COMPUTED_VALUE"""),781.0)</f>
        <v>781</v>
      </c>
      <c r="D4169" s="11">
        <f>IFERROR(__xludf.DUMMYFUNCTION("""COMPUTED_VALUE"""),284.0)</f>
        <v>284</v>
      </c>
      <c r="E4169" s="9"/>
    </row>
    <row r="4170">
      <c r="A4170" s="10">
        <f>IFERROR(__xludf.DUMMYFUNCTION("""COMPUTED_VALUE"""),83567.0)</f>
        <v>83567</v>
      </c>
      <c r="B4170" s="11">
        <f>IFERROR(__xludf.DUMMYFUNCTION("""COMPUTED_VALUE"""),0.0)</f>
        <v>0</v>
      </c>
      <c r="C4170" s="11">
        <f>IFERROR(__xludf.DUMMYFUNCTION("""COMPUTED_VALUE"""),806.0)</f>
        <v>806</v>
      </c>
      <c r="D4170" s="11">
        <f>IFERROR(__xludf.DUMMYFUNCTION("""COMPUTED_VALUE"""),322.0)</f>
        <v>322</v>
      </c>
      <c r="E4170" s="9"/>
    </row>
    <row r="4171">
      <c r="A4171" s="10">
        <f>IFERROR(__xludf.DUMMYFUNCTION("""COMPUTED_VALUE"""),69323.0)</f>
        <v>69323</v>
      </c>
      <c r="B4171" s="11">
        <f>IFERROR(__xludf.DUMMYFUNCTION("""COMPUTED_VALUE"""),1.0)</f>
        <v>1</v>
      </c>
      <c r="C4171" s="11">
        <f>IFERROR(__xludf.DUMMYFUNCTION("""COMPUTED_VALUE"""),800.0)</f>
        <v>800</v>
      </c>
      <c r="D4171" s="11">
        <f>IFERROR(__xludf.DUMMYFUNCTION("""COMPUTED_VALUE"""),723.0)</f>
        <v>723</v>
      </c>
      <c r="E4171" s="9"/>
    </row>
    <row r="4172">
      <c r="A4172" s="10">
        <f>IFERROR(__xludf.DUMMYFUNCTION("""COMPUTED_VALUE"""),88976.0)</f>
        <v>88976</v>
      </c>
      <c r="B4172" s="11">
        <f>IFERROR(__xludf.DUMMYFUNCTION("""COMPUTED_VALUE"""),0.0)</f>
        <v>0</v>
      </c>
      <c r="C4172" s="11">
        <f>IFERROR(__xludf.DUMMYFUNCTION("""COMPUTED_VALUE"""),374.0)</f>
        <v>374</v>
      </c>
      <c r="D4172" s="11">
        <f>IFERROR(__xludf.DUMMYFUNCTION("""COMPUTED_VALUE"""),135.0)</f>
        <v>135</v>
      </c>
      <c r="E4172" s="9"/>
    </row>
    <row r="4173">
      <c r="A4173" s="10">
        <f>IFERROR(__xludf.DUMMYFUNCTION("""COMPUTED_VALUE"""),199415.0)</f>
        <v>199415</v>
      </c>
      <c r="B4173" s="11">
        <f>IFERROR(__xludf.DUMMYFUNCTION("""COMPUTED_VALUE"""),0.0)</f>
        <v>0</v>
      </c>
      <c r="C4173" s="11">
        <f>IFERROR(__xludf.DUMMYFUNCTION("""COMPUTED_VALUE"""),822.0)</f>
        <v>822</v>
      </c>
      <c r="D4173" s="11">
        <f>IFERROR(__xludf.DUMMYFUNCTION("""COMPUTED_VALUE"""),390.0)</f>
        <v>390</v>
      </c>
      <c r="E4173" s="9"/>
    </row>
    <row r="4174">
      <c r="A4174" s="10">
        <f>IFERROR(__xludf.DUMMYFUNCTION("""COMPUTED_VALUE"""),112792.0)</f>
        <v>112792</v>
      </c>
      <c r="B4174" s="11">
        <f>IFERROR(__xludf.DUMMYFUNCTION("""COMPUTED_VALUE"""),1.0)</f>
        <v>1</v>
      </c>
      <c r="C4174" s="11">
        <f>IFERROR(__xludf.DUMMYFUNCTION("""COMPUTED_VALUE"""),631.0)</f>
        <v>631</v>
      </c>
      <c r="D4174" s="11">
        <f>IFERROR(__xludf.DUMMYFUNCTION("""COMPUTED_VALUE"""),526.0)</f>
        <v>526</v>
      </c>
      <c r="E4174" s="9"/>
    </row>
    <row r="4175">
      <c r="A4175" s="10">
        <f>IFERROR(__xludf.DUMMYFUNCTION("""COMPUTED_VALUE"""),104322.0)</f>
        <v>104322</v>
      </c>
      <c r="B4175" s="11">
        <f>IFERROR(__xludf.DUMMYFUNCTION("""COMPUTED_VALUE"""),0.0)</f>
        <v>0</v>
      </c>
      <c r="C4175" s="11">
        <f>IFERROR(__xludf.DUMMYFUNCTION("""COMPUTED_VALUE"""),495.0)</f>
        <v>495</v>
      </c>
      <c r="D4175" s="11">
        <f>IFERROR(__xludf.DUMMYFUNCTION("""COMPUTED_VALUE"""),119.0)</f>
        <v>119</v>
      </c>
      <c r="E4175" s="9"/>
    </row>
    <row r="4176">
      <c r="A4176" s="10">
        <f>IFERROR(__xludf.DUMMYFUNCTION("""COMPUTED_VALUE"""),69321.0)</f>
        <v>69321</v>
      </c>
      <c r="B4176" s="11">
        <f>IFERROR(__xludf.DUMMYFUNCTION("""COMPUTED_VALUE"""),1.0)</f>
        <v>1</v>
      </c>
      <c r="C4176" s="11">
        <f>IFERROR(__xludf.DUMMYFUNCTION("""COMPUTED_VALUE"""),864.0)</f>
        <v>864</v>
      </c>
      <c r="D4176" s="11">
        <f>IFERROR(__xludf.DUMMYFUNCTION("""COMPUTED_VALUE"""),510.0)</f>
        <v>510</v>
      </c>
      <c r="E4176" s="9"/>
    </row>
    <row r="4177">
      <c r="A4177" s="10">
        <f>IFERROR(__xludf.DUMMYFUNCTION("""COMPUTED_VALUE"""),110948.0)</f>
        <v>110948</v>
      </c>
      <c r="B4177" s="11">
        <f>IFERROR(__xludf.DUMMYFUNCTION("""COMPUTED_VALUE"""),1.0)</f>
        <v>1</v>
      </c>
      <c r="C4177" s="11">
        <f>IFERROR(__xludf.DUMMYFUNCTION("""COMPUTED_VALUE"""),80.0)</f>
        <v>80</v>
      </c>
      <c r="D4177" s="11">
        <f>IFERROR(__xludf.DUMMYFUNCTION("""COMPUTED_VALUE"""),52.0)</f>
        <v>52</v>
      </c>
      <c r="E4177" s="9"/>
    </row>
    <row r="4178">
      <c r="A4178" s="10">
        <f>IFERROR(__xludf.DUMMYFUNCTION("""COMPUTED_VALUE"""),82008.0)</f>
        <v>82008</v>
      </c>
      <c r="B4178" s="11">
        <f>IFERROR(__xludf.DUMMYFUNCTION("""COMPUTED_VALUE"""),1.0)</f>
        <v>1</v>
      </c>
      <c r="C4178" s="11">
        <f>IFERROR(__xludf.DUMMYFUNCTION("""COMPUTED_VALUE"""),533.0)</f>
        <v>533</v>
      </c>
      <c r="D4178" s="11">
        <f>IFERROR(__xludf.DUMMYFUNCTION("""COMPUTED_VALUE"""),93.0)</f>
        <v>93</v>
      </c>
      <c r="E4178" s="9"/>
    </row>
    <row r="4179">
      <c r="A4179" s="10">
        <f>IFERROR(__xludf.DUMMYFUNCTION("""COMPUTED_VALUE"""),86987.0)</f>
        <v>86987</v>
      </c>
      <c r="B4179" s="11">
        <f>IFERROR(__xludf.DUMMYFUNCTION("""COMPUTED_VALUE"""),1.0)</f>
        <v>1</v>
      </c>
      <c r="C4179" s="11">
        <f>IFERROR(__xludf.DUMMYFUNCTION("""COMPUTED_VALUE"""),429.0)</f>
        <v>429</v>
      </c>
      <c r="D4179" s="11">
        <f>IFERROR(__xludf.DUMMYFUNCTION("""COMPUTED_VALUE"""),327.0)</f>
        <v>327</v>
      </c>
      <c r="E4179" s="9"/>
    </row>
    <row r="4180">
      <c r="A4180" s="10">
        <f>IFERROR(__xludf.DUMMYFUNCTION("""COMPUTED_VALUE"""),118912.0)</f>
        <v>118912</v>
      </c>
      <c r="B4180" s="11">
        <f>IFERROR(__xludf.DUMMYFUNCTION("""COMPUTED_VALUE"""),1.0)</f>
        <v>1</v>
      </c>
      <c r="C4180" s="11">
        <f>IFERROR(__xludf.DUMMYFUNCTION("""COMPUTED_VALUE"""),289.0)</f>
        <v>289</v>
      </c>
      <c r="D4180" s="11">
        <f>IFERROR(__xludf.DUMMYFUNCTION("""COMPUTED_VALUE"""),9.0)</f>
        <v>9</v>
      </c>
      <c r="E4180" s="9"/>
    </row>
    <row r="4181">
      <c r="A4181" s="10">
        <f>IFERROR(__xludf.DUMMYFUNCTION("""COMPUTED_VALUE"""),47048.0)</f>
        <v>47048</v>
      </c>
      <c r="B4181" s="11">
        <f>IFERROR(__xludf.DUMMYFUNCTION("""COMPUTED_VALUE"""),0.0)</f>
        <v>0</v>
      </c>
      <c r="C4181" s="11">
        <f>IFERROR(__xludf.DUMMYFUNCTION("""COMPUTED_VALUE"""),459.0)</f>
        <v>459</v>
      </c>
      <c r="D4181" s="11">
        <f>IFERROR(__xludf.DUMMYFUNCTION("""COMPUTED_VALUE"""),343.0)</f>
        <v>343</v>
      </c>
      <c r="E4181" s="9"/>
    </row>
    <row r="4182">
      <c r="A4182" s="10">
        <f>IFERROR(__xludf.DUMMYFUNCTION("""COMPUTED_VALUE"""),103870.0)</f>
        <v>103870</v>
      </c>
      <c r="B4182" s="11">
        <f>IFERROR(__xludf.DUMMYFUNCTION("""COMPUTED_VALUE"""),0.0)</f>
        <v>0</v>
      </c>
      <c r="C4182" s="11">
        <f>IFERROR(__xludf.DUMMYFUNCTION("""COMPUTED_VALUE"""),39.0)</f>
        <v>39</v>
      </c>
      <c r="D4182" s="11">
        <f>IFERROR(__xludf.DUMMYFUNCTION("""COMPUTED_VALUE"""),24.0)</f>
        <v>24</v>
      </c>
      <c r="E4182" s="9"/>
    </row>
    <row r="4183">
      <c r="A4183" s="10">
        <f>IFERROR(__xludf.DUMMYFUNCTION("""COMPUTED_VALUE"""),86985.0)</f>
        <v>86985</v>
      </c>
      <c r="B4183" s="11">
        <f>IFERROR(__xludf.DUMMYFUNCTION("""COMPUTED_VALUE"""),1.0)</f>
        <v>1</v>
      </c>
      <c r="C4183" s="11">
        <f>IFERROR(__xludf.DUMMYFUNCTION("""COMPUTED_VALUE"""),760.0)</f>
        <v>760</v>
      </c>
      <c r="D4183" s="11">
        <f>IFERROR(__xludf.DUMMYFUNCTION("""COMPUTED_VALUE"""),679.0)</f>
        <v>679</v>
      </c>
      <c r="E4183" s="9"/>
    </row>
    <row r="4184">
      <c r="A4184" s="10">
        <f>IFERROR(__xludf.DUMMYFUNCTION("""COMPUTED_VALUE"""),82005.0)</f>
        <v>82005</v>
      </c>
      <c r="B4184" s="11">
        <f>IFERROR(__xludf.DUMMYFUNCTION("""COMPUTED_VALUE"""),1.0)</f>
        <v>1</v>
      </c>
      <c r="C4184" s="11">
        <f>IFERROR(__xludf.DUMMYFUNCTION("""COMPUTED_VALUE"""),54.0)</f>
        <v>54</v>
      </c>
      <c r="D4184" s="11">
        <f>IFERROR(__xludf.DUMMYFUNCTION("""COMPUTED_VALUE"""),21.0)</f>
        <v>21</v>
      </c>
      <c r="E4184" s="9"/>
    </row>
    <row r="4185">
      <c r="A4185" s="10">
        <f>IFERROR(__xludf.DUMMYFUNCTION("""COMPUTED_VALUE"""),119053.0)</f>
        <v>119053</v>
      </c>
      <c r="B4185" s="11">
        <f>IFERROR(__xludf.DUMMYFUNCTION("""COMPUTED_VALUE"""),0.0)</f>
        <v>0</v>
      </c>
      <c r="C4185" s="11">
        <f>IFERROR(__xludf.DUMMYFUNCTION("""COMPUTED_VALUE"""),655.0)</f>
        <v>655</v>
      </c>
      <c r="D4185" s="11">
        <f>IFERROR(__xludf.DUMMYFUNCTION("""COMPUTED_VALUE"""),543.0)</f>
        <v>543</v>
      </c>
      <c r="E4185" s="9"/>
    </row>
    <row r="4186">
      <c r="A4186" s="10">
        <f>IFERROR(__xludf.DUMMYFUNCTION("""COMPUTED_VALUE"""),102015.0)</f>
        <v>102015</v>
      </c>
      <c r="B4186" s="11">
        <f>IFERROR(__xludf.DUMMYFUNCTION("""COMPUTED_VALUE"""),1.0)</f>
        <v>1</v>
      </c>
      <c r="C4186" s="11">
        <f>IFERROR(__xludf.DUMMYFUNCTION("""COMPUTED_VALUE"""),5.0)</f>
        <v>5</v>
      </c>
      <c r="D4186" s="11">
        <f>IFERROR(__xludf.DUMMYFUNCTION("""COMPUTED_VALUE"""),2.0)</f>
        <v>2</v>
      </c>
      <c r="E4186" s="9"/>
    </row>
    <row r="4187">
      <c r="A4187" s="10">
        <f>IFERROR(__xludf.DUMMYFUNCTION("""COMPUTED_VALUE"""),92823.0)</f>
        <v>92823</v>
      </c>
      <c r="B4187" s="11">
        <f>IFERROR(__xludf.DUMMYFUNCTION("""COMPUTED_VALUE"""),0.0)</f>
        <v>0</v>
      </c>
      <c r="C4187" s="11">
        <f>IFERROR(__xludf.DUMMYFUNCTION("""COMPUTED_VALUE"""),67.0)</f>
        <v>67</v>
      </c>
      <c r="D4187" s="11">
        <f>IFERROR(__xludf.DUMMYFUNCTION("""COMPUTED_VALUE"""),29.0)</f>
        <v>29</v>
      </c>
      <c r="E4187" s="9"/>
    </row>
    <row r="4188">
      <c r="A4188" s="10">
        <f>IFERROR(__xludf.DUMMYFUNCTION("""COMPUTED_VALUE"""),108060.0)</f>
        <v>108060</v>
      </c>
      <c r="B4188" s="11">
        <f>IFERROR(__xludf.DUMMYFUNCTION("""COMPUTED_VALUE"""),0.0)</f>
        <v>0</v>
      </c>
      <c r="C4188" s="11">
        <f>IFERROR(__xludf.DUMMYFUNCTION("""COMPUTED_VALUE"""),787.0)</f>
        <v>787</v>
      </c>
      <c r="D4188" s="11">
        <f>IFERROR(__xludf.DUMMYFUNCTION("""COMPUTED_VALUE"""),413.0)</f>
        <v>413</v>
      </c>
      <c r="E4188" s="9"/>
    </row>
    <row r="4189">
      <c r="A4189" s="10">
        <f>IFERROR(__xludf.DUMMYFUNCTION("""COMPUTED_VALUE"""),4214.0)</f>
        <v>4214</v>
      </c>
      <c r="B4189" s="11">
        <f>IFERROR(__xludf.DUMMYFUNCTION("""COMPUTED_VALUE"""),0.0)</f>
        <v>0</v>
      </c>
      <c r="C4189" s="11">
        <f>IFERROR(__xludf.DUMMYFUNCTION("""COMPUTED_VALUE"""),90.0)</f>
        <v>90</v>
      </c>
      <c r="D4189" s="11">
        <f>IFERROR(__xludf.DUMMYFUNCTION("""COMPUTED_VALUE"""),7.0)</f>
        <v>7</v>
      </c>
      <c r="E4189" s="9"/>
    </row>
    <row r="4190">
      <c r="A4190" s="10">
        <f>IFERROR(__xludf.DUMMYFUNCTION("""COMPUTED_VALUE"""),14715.0)</f>
        <v>14715</v>
      </c>
      <c r="B4190" s="11">
        <f>IFERROR(__xludf.DUMMYFUNCTION("""COMPUTED_VALUE"""),1.0)</f>
        <v>1</v>
      </c>
      <c r="C4190" s="11">
        <f>IFERROR(__xludf.DUMMYFUNCTION("""COMPUTED_VALUE"""),856.0)</f>
        <v>856</v>
      </c>
      <c r="D4190" s="11">
        <f>IFERROR(__xludf.DUMMYFUNCTION("""COMPUTED_VALUE"""),105.0)</f>
        <v>105</v>
      </c>
      <c r="E4190" s="9"/>
    </row>
    <row r="4191">
      <c r="A4191" s="10">
        <f>IFERROR(__xludf.DUMMYFUNCTION("""COMPUTED_VALUE"""),16771.0)</f>
        <v>16771</v>
      </c>
      <c r="B4191" s="11">
        <f>IFERROR(__xludf.DUMMYFUNCTION("""COMPUTED_VALUE"""),0.0)</f>
        <v>0</v>
      </c>
      <c r="C4191" s="11">
        <f>IFERROR(__xludf.DUMMYFUNCTION("""COMPUTED_VALUE"""),669.0)</f>
        <v>669</v>
      </c>
      <c r="D4191" s="11">
        <f>IFERROR(__xludf.DUMMYFUNCTION("""COMPUTED_VALUE"""),294.0)</f>
        <v>294</v>
      </c>
      <c r="E4191" s="9"/>
    </row>
    <row r="4192">
      <c r="A4192" s="10">
        <f>IFERROR(__xludf.DUMMYFUNCTION("""COMPUTED_VALUE"""),97945.0)</f>
        <v>97945</v>
      </c>
      <c r="B4192" s="11">
        <f>IFERROR(__xludf.DUMMYFUNCTION("""COMPUTED_VALUE"""),1.0)</f>
        <v>1</v>
      </c>
      <c r="C4192" s="11">
        <f>IFERROR(__xludf.DUMMYFUNCTION("""COMPUTED_VALUE"""),10.0)</f>
        <v>10</v>
      </c>
      <c r="D4192" s="11">
        <f>IFERROR(__xludf.DUMMYFUNCTION("""COMPUTED_VALUE"""),0.0)</f>
        <v>0</v>
      </c>
      <c r="E4192" s="9"/>
    </row>
    <row r="4193">
      <c r="A4193" s="10">
        <f>IFERROR(__xludf.DUMMYFUNCTION("""COMPUTED_VALUE"""),144740.0)</f>
        <v>144740</v>
      </c>
      <c r="B4193" s="11">
        <f>IFERROR(__xludf.DUMMYFUNCTION("""COMPUTED_VALUE"""),1.0)</f>
        <v>1</v>
      </c>
      <c r="C4193" s="11">
        <f>IFERROR(__xludf.DUMMYFUNCTION("""COMPUTED_VALUE"""),505.0)</f>
        <v>505</v>
      </c>
      <c r="D4193" s="11">
        <f>IFERROR(__xludf.DUMMYFUNCTION("""COMPUTED_VALUE"""),375.0)</f>
        <v>375</v>
      </c>
      <c r="E4193" s="9"/>
    </row>
    <row r="4194">
      <c r="A4194" s="10">
        <f>IFERROR(__xludf.DUMMYFUNCTION("""COMPUTED_VALUE"""),75342.0)</f>
        <v>75342</v>
      </c>
      <c r="B4194" s="11">
        <f>IFERROR(__xludf.DUMMYFUNCTION("""COMPUTED_VALUE"""),0.0)</f>
        <v>0</v>
      </c>
      <c r="C4194" s="11">
        <f>IFERROR(__xludf.DUMMYFUNCTION("""COMPUTED_VALUE"""),269.0)</f>
        <v>269</v>
      </c>
      <c r="D4194" s="11">
        <f>IFERROR(__xludf.DUMMYFUNCTION("""COMPUTED_VALUE"""),110.0)</f>
        <v>110</v>
      </c>
      <c r="E4194" s="9"/>
    </row>
    <row r="4195">
      <c r="A4195" s="10">
        <f>IFERROR(__xludf.DUMMYFUNCTION("""COMPUTED_VALUE"""),88189.0)</f>
        <v>88189</v>
      </c>
      <c r="B4195" s="11">
        <f>IFERROR(__xludf.DUMMYFUNCTION("""COMPUTED_VALUE"""),1.0)</f>
        <v>1</v>
      </c>
      <c r="C4195" s="11">
        <f>IFERROR(__xludf.DUMMYFUNCTION("""COMPUTED_VALUE"""),14.0)</f>
        <v>14</v>
      </c>
      <c r="D4195" s="11">
        <f>IFERROR(__xludf.DUMMYFUNCTION("""COMPUTED_VALUE"""),2.0)</f>
        <v>2</v>
      </c>
      <c r="E4195" s="9"/>
    </row>
    <row r="4196">
      <c r="A4196" s="10">
        <f>IFERROR(__xludf.DUMMYFUNCTION("""COMPUTED_VALUE"""),70677.0)</f>
        <v>70677</v>
      </c>
      <c r="B4196" s="11">
        <f>IFERROR(__xludf.DUMMYFUNCTION("""COMPUTED_VALUE"""),0.0)</f>
        <v>0</v>
      </c>
      <c r="C4196" s="11">
        <f>IFERROR(__xludf.DUMMYFUNCTION("""COMPUTED_VALUE"""),875.0)</f>
        <v>875</v>
      </c>
      <c r="D4196" s="11">
        <f>IFERROR(__xludf.DUMMYFUNCTION("""COMPUTED_VALUE"""),680.0)</f>
        <v>680</v>
      </c>
      <c r="E4196" s="9"/>
    </row>
    <row r="4197">
      <c r="A4197" s="10">
        <f>IFERROR(__xludf.DUMMYFUNCTION("""COMPUTED_VALUE"""),86506.0)</f>
        <v>86506</v>
      </c>
      <c r="B4197" s="11">
        <f>IFERROR(__xludf.DUMMYFUNCTION("""COMPUTED_VALUE"""),1.0)</f>
        <v>1</v>
      </c>
      <c r="C4197" s="11">
        <f>IFERROR(__xludf.DUMMYFUNCTION("""COMPUTED_VALUE"""),28.0)</f>
        <v>28</v>
      </c>
      <c r="D4197" s="11">
        <f>IFERROR(__xludf.DUMMYFUNCTION("""COMPUTED_VALUE"""),24.0)</f>
        <v>24</v>
      </c>
      <c r="E4197" s="9"/>
    </row>
    <row r="4198">
      <c r="A4198" s="10">
        <f>IFERROR(__xludf.DUMMYFUNCTION("""COMPUTED_VALUE"""),17360.0)</f>
        <v>17360</v>
      </c>
      <c r="B4198" s="11">
        <f>IFERROR(__xludf.DUMMYFUNCTION("""COMPUTED_VALUE"""),0.0)</f>
        <v>0</v>
      </c>
      <c r="C4198" s="11">
        <f>IFERROR(__xludf.DUMMYFUNCTION("""COMPUTED_VALUE"""),359.0)</f>
        <v>359</v>
      </c>
      <c r="D4198" s="11">
        <f>IFERROR(__xludf.DUMMYFUNCTION("""COMPUTED_VALUE"""),291.0)</f>
        <v>291</v>
      </c>
      <c r="E4198" s="9"/>
    </row>
    <row r="4199">
      <c r="A4199" s="10">
        <f>IFERROR(__xludf.DUMMYFUNCTION("""COMPUTED_VALUE"""),9819.0)</f>
        <v>9819</v>
      </c>
      <c r="B4199" s="11">
        <f>IFERROR(__xludf.DUMMYFUNCTION("""COMPUTED_VALUE"""),1.0)</f>
        <v>1</v>
      </c>
      <c r="C4199" s="11">
        <f>IFERROR(__xludf.DUMMYFUNCTION("""COMPUTED_VALUE"""),17.0)</f>
        <v>17</v>
      </c>
      <c r="D4199" s="11">
        <f>IFERROR(__xludf.DUMMYFUNCTION("""COMPUTED_VALUE"""),8.0)</f>
        <v>8</v>
      </c>
      <c r="E4199" s="9"/>
    </row>
    <row r="4200">
      <c r="A4200" s="10">
        <f>IFERROR(__xludf.DUMMYFUNCTION("""COMPUTED_VALUE"""),28574.0)</f>
        <v>28574</v>
      </c>
      <c r="B4200" s="11">
        <f>IFERROR(__xludf.DUMMYFUNCTION("""COMPUTED_VALUE"""),1.0)</f>
        <v>1</v>
      </c>
      <c r="C4200" s="11">
        <f>IFERROR(__xludf.DUMMYFUNCTION("""COMPUTED_VALUE"""),533.0)</f>
        <v>533</v>
      </c>
      <c r="D4200" s="11">
        <f>IFERROR(__xludf.DUMMYFUNCTION("""COMPUTED_VALUE"""),499.0)</f>
        <v>499</v>
      </c>
      <c r="E4200" s="9"/>
    </row>
    <row r="4201">
      <c r="A4201" s="10">
        <f>IFERROR(__xludf.DUMMYFUNCTION("""COMPUTED_VALUE"""),102395.0)</f>
        <v>102395</v>
      </c>
      <c r="B4201" s="11">
        <f>IFERROR(__xludf.DUMMYFUNCTION("""COMPUTED_VALUE"""),1.0)</f>
        <v>1</v>
      </c>
      <c r="C4201" s="11">
        <f>IFERROR(__xludf.DUMMYFUNCTION("""COMPUTED_VALUE"""),52.0)</f>
        <v>52</v>
      </c>
      <c r="D4201" s="11">
        <f>IFERROR(__xludf.DUMMYFUNCTION("""COMPUTED_VALUE"""),20.0)</f>
        <v>20</v>
      </c>
      <c r="E4201" s="9"/>
    </row>
    <row r="4202">
      <c r="A4202" s="10">
        <f>IFERROR(__xludf.DUMMYFUNCTION("""COMPUTED_VALUE"""),147302.0)</f>
        <v>147302</v>
      </c>
      <c r="B4202" s="11">
        <f>IFERROR(__xludf.DUMMYFUNCTION("""COMPUTED_VALUE"""),0.0)</f>
        <v>0</v>
      </c>
      <c r="C4202" s="11">
        <f>IFERROR(__xludf.DUMMYFUNCTION("""COMPUTED_VALUE"""),473.0)</f>
        <v>473</v>
      </c>
      <c r="D4202" s="11">
        <f>IFERROR(__xludf.DUMMYFUNCTION("""COMPUTED_VALUE"""),262.0)</f>
        <v>262</v>
      </c>
      <c r="E4202" s="9"/>
    </row>
    <row r="4203">
      <c r="A4203" s="10">
        <f>IFERROR(__xludf.DUMMYFUNCTION("""COMPUTED_VALUE"""),85049.0)</f>
        <v>85049</v>
      </c>
      <c r="B4203" s="11">
        <f>IFERROR(__xludf.DUMMYFUNCTION("""COMPUTED_VALUE"""),1.0)</f>
        <v>1</v>
      </c>
      <c r="C4203" s="11">
        <f>IFERROR(__xludf.DUMMYFUNCTION("""COMPUTED_VALUE"""),60.0)</f>
        <v>60</v>
      </c>
      <c r="D4203" s="11">
        <f>IFERROR(__xludf.DUMMYFUNCTION("""COMPUTED_VALUE"""),22.0)</f>
        <v>22</v>
      </c>
      <c r="E4203" s="9"/>
    </row>
    <row r="4204">
      <c r="A4204" s="10">
        <f>IFERROR(__xludf.DUMMYFUNCTION("""COMPUTED_VALUE"""),1683.0)</f>
        <v>1683</v>
      </c>
      <c r="B4204" s="11">
        <f>IFERROR(__xludf.DUMMYFUNCTION("""COMPUTED_VALUE"""),1.0)</f>
        <v>1</v>
      </c>
      <c r="C4204" s="11">
        <f>IFERROR(__xludf.DUMMYFUNCTION("""COMPUTED_VALUE"""),310.0)</f>
        <v>310</v>
      </c>
      <c r="D4204" s="11">
        <f>IFERROR(__xludf.DUMMYFUNCTION("""COMPUTED_VALUE"""),130.0)</f>
        <v>130</v>
      </c>
      <c r="E4204" s="9"/>
    </row>
    <row r="4205">
      <c r="A4205" s="10">
        <f>IFERROR(__xludf.DUMMYFUNCTION("""COMPUTED_VALUE"""),1685.0)</f>
        <v>1685</v>
      </c>
      <c r="B4205" s="11">
        <f>IFERROR(__xludf.DUMMYFUNCTION("""COMPUTED_VALUE"""),0.0)</f>
        <v>0</v>
      </c>
      <c r="C4205" s="11">
        <f>IFERROR(__xludf.DUMMYFUNCTION("""COMPUTED_VALUE"""),521.0)</f>
        <v>521</v>
      </c>
      <c r="D4205" s="11">
        <f>IFERROR(__xludf.DUMMYFUNCTION("""COMPUTED_VALUE"""),102.0)</f>
        <v>102</v>
      </c>
      <c r="E4205" s="9"/>
    </row>
    <row r="4206">
      <c r="A4206" s="10">
        <f>IFERROR(__xludf.DUMMYFUNCTION("""COMPUTED_VALUE"""),22193.0)</f>
        <v>22193</v>
      </c>
      <c r="B4206" s="11">
        <f>IFERROR(__xludf.DUMMYFUNCTION("""COMPUTED_VALUE"""),1.0)</f>
        <v>1</v>
      </c>
      <c r="C4206" s="11">
        <f>IFERROR(__xludf.DUMMYFUNCTION("""COMPUTED_VALUE"""),771.0)</f>
        <v>771</v>
      </c>
      <c r="D4206" s="11">
        <f>IFERROR(__xludf.DUMMYFUNCTION("""COMPUTED_VALUE"""),723.0)</f>
        <v>723</v>
      </c>
      <c r="E4206" s="9"/>
    </row>
    <row r="4207">
      <c r="A4207" s="10">
        <f>IFERROR(__xludf.DUMMYFUNCTION("""COMPUTED_VALUE"""),9786.0)</f>
        <v>9786</v>
      </c>
      <c r="B4207" s="11">
        <f>IFERROR(__xludf.DUMMYFUNCTION("""COMPUTED_VALUE"""),0.0)</f>
        <v>0</v>
      </c>
      <c r="C4207" s="11">
        <f>IFERROR(__xludf.DUMMYFUNCTION("""COMPUTED_VALUE"""),656.0)</f>
        <v>656</v>
      </c>
      <c r="D4207" s="11">
        <f>IFERROR(__xludf.DUMMYFUNCTION("""COMPUTED_VALUE"""),637.0)</f>
        <v>637</v>
      </c>
      <c r="E4207" s="9"/>
    </row>
    <row r="4208">
      <c r="A4208" s="10">
        <f>IFERROR(__xludf.DUMMYFUNCTION("""COMPUTED_VALUE"""),108770.0)</f>
        <v>108770</v>
      </c>
      <c r="B4208" s="11">
        <f>IFERROR(__xludf.DUMMYFUNCTION("""COMPUTED_VALUE"""),1.0)</f>
        <v>1</v>
      </c>
      <c r="C4208" s="11">
        <f>IFERROR(__xludf.DUMMYFUNCTION("""COMPUTED_VALUE"""),645.0)</f>
        <v>645</v>
      </c>
      <c r="D4208" s="11">
        <f>IFERROR(__xludf.DUMMYFUNCTION("""COMPUTED_VALUE"""),162.0)</f>
        <v>162</v>
      </c>
      <c r="E4208" s="9"/>
    </row>
    <row r="4209">
      <c r="A4209" s="10">
        <f>IFERROR(__xludf.DUMMYFUNCTION("""COMPUTED_VALUE"""),109536.0)</f>
        <v>109536</v>
      </c>
      <c r="B4209" s="11">
        <f>IFERROR(__xludf.DUMMYFUNCTION("""COMPUTED_VALUE"""),1.0)</f>
        <v>1</v>
      </c>
      <c r="C4209" s="11">
        <f>IFERROR(__xludf.DUMMYFUNCTION("""COMPUTED_VALUE"""),209.0)</f>
        <v>209</v>
      </c>
      <c r="D4209" s="11">
        <f>IFERROR(__xludf.DUMMYFUNCTION("""COMPUTED_VALUE"""),52.0)</f>
        <v>52</v>
      </c>
      <c r="E4209" s="9"/>
    </row>
    <row r="4210">
      <c r="A4210" s="10">
        <f>IFERROR(__xludf.DUMMYFUNCTION("""COMPUTED_VALUE"""),111743.0)</f>
        <v>111743</v>
      </c>
      <c r="B4210" s="11">
        <f>IFERROR(__xludf.DUMMYFUNCTION("""COMPUTED_VALUE"""),1.0)</f>
        <v>1</v>
      </c>
      <c r="C4210" s="11">
        <f>IFERROR(__xludf.DUMMYFUNCTION("""COMPUTED_VALUE"""),246.0)</f>
        <v>246</v>
      </c>
      <c r="D4210" s="11">
        <f>IFERROR(__xludf.DUMMYFUNCTION("""COMPUTED_VALUE"""),205.0)</f>
        <v>205</v>
      </c>
      <c r="E4210" s="9"/>
    </row>
    <row r="4211">
      <c r="A4211" s="10">
        <f>IFERROR(__xludf.DUMMYFUNCTION("""COMPUTED_VALUE"""),108769.0)</f>
        <v>108769</v>
      </c>
      <c r="B4211" s="11">
        <f>IFERROR(__xludf.DUMMYFUNCTION("""COMPUTED_VALUE"""),0.0)</f>
        <v>0</v>
      </c>
      <c r="C4211" s="11">
        <f>IFERROR(__xludf.DUMMYFUNCTION("""COMPUTED_VALUE"""),50.0)</f>
        <v>50</v>
      </c>
      <c r="D4211" s="11">
        <f>IFERROR(__xludf.DUMMYFUNCTION("""COMPUTED_VALUE"""),12.0)</f>
        <v>12</v>
      </c>
      <c r="E4211" s="9"/>
    </row>
    <row r="4212">
      <c r="A4212" s="10">
        <f>IFERROR(__xludf.DUMMYFUNCTION("""COMPUTED_VALUE"""),111742.0)</f>
        <v>111742</v>
      </c>
      <c r="B4212" s="11">
        <f>IFERROR(__xludf.DUMMYFUNCTION("""COMPUTED_VALUE"""),0.0)</f>
        <v>0</v>
      </c>
      <c r="C4212" s="11">
        <f>IFERROR(__xludf.DUMMYFUNCTION("""COMPUTED_VALUE"""),43.0)</f>
        <v>43</v>
      </c>
      <c r="D4212" s="11">
        <f>IFERROR(__xludf.DUMMYFUNCTION("""COMPUTED_VALUE"""),29.0)</f>
        <v>29</v>
      </c>
      <c r="E4212" s="9"/>
    </row>
    <row r="4213">
      <c r="A4213" s="10">
        <f>IFERROR(__xludf.DUMMYFUNCTION("""COMPUTED_VALUE"""),88989.0)</f>
        <v>88989</v>
      </c>
      <c r="B4213" s="11">
        <f>IFERROR(__xludf.DUMMYFUNCTION("""COMPUTED_VALUE"""),1.0)</f>
        <v>1</v>
      </c>
      <c r="C4213" s="11">
        <f>IFERROR(__xludf.DUMMYFUNCTION("""COMPUTED_VALUE"""),165.0)</f>
        <v>165</v>
      </c>
      <c r="D4213" s="11">
        <f>IFERROR(__xludf.DUMMYFUNCTION("""COMPUTED_VALUE"""),7.0)</f>
        <v>7</v>
      </c>
      <c r="E4213" s="9"/>
    </row>
    <row r="4214">
      <c r="A4214" s="10">
        <f>IFERROR(__xludf.DUMMYFUNCTION("""COMPUTED_VALUE"""),88987.0)</f>
        <v>88987</v>
      </c>
      <c r="B4214" s="11">
        <f>IFERROR(__xludf.DUMMYFUNCTION("""COMPUTED_VALUE"""),1.0)</f>
        <v>1</v>
      </c>
      <c r="C4214" s="11">
        <f>IFERROR(__xludf.DUMMYFUNCTION("""COMPUTED_VALUE"""),662.0)</f>
        <v>662</v>
      </c>
      <c r="D4214" s="11">
        <f>IFERROR(__xludf.DUMMYFUNCTION("""COMPUTED_VALUE"""),467.0)</f>
        <v>467</v>
      </c>
      <c r="E4214" s="9"/>
    </row>
    <row r="4215">
      <c r="A4215" s="10">
        <f>IFERROR(__xludf.DUMMYFUNCTION("""COMPUTED_VALUE"""),88988.0)</f>
        <v>88988</v>
      </c>
      <c r="B4215" s="11">
        <f>IFERROR(__xludf.DUMMYFUNCTION("""COMPUTED_VALUE"""),1.0)</f>
        <v>1</v>
      </c>
      <c r="C4215" s="11">
        <f>IFERROR(__xludf.DUMMYFUNCTION("""COMPUTED_VALUE"""),612.0)</f>
        <v>612</v>
      </c>
      <c r="D4215" s="11">
        <f>IFERROR(__xludf.DUMMYFUNCTION("""COMPUTED_VALUE"""),1.0)</f>
        <v>1</v>
      </c>
      <c r="E4215" s="9"/>
    </row>
    <row r="4216">
      <c r="A4216" s="10">
        <f>IFERROR(__xludf.DUMMYFUNCTION("""COMPUTED_VALUE"""),102816.0)</f>
        <v>102816</v>
      </c>
      <c r="B4216" s="11">
        <f>IFERROR(__xludf.DUMMYFUNCTION("""COMPUTED_VALUE"""),0.0)</f>
        <v>0</v>
      </c>
      <c r="C4216" s="11">
        <f>IFERROR(__xludf.DUMMYFUNCTION("""COMPUTED_VALUE"""),167.0)</f>
        <v>167</v>
      </c>
      <c r="D4216" s="11">
        <f>IFERROR(__xludf.DUMMYFUNCTION("""COMPUTED_VALUE"""),83.0)</f>
        <v>83</v>
      </c>
      <c r="E4216" s="9"/>
    </row>
    <row r="4217">
      <c r="A4217" s="10">
        <f>IFERROR(__xludf.DUMMYFUNCTION("""COMPUTED_VALUE"""),49803.0)</f>
        <v>49803</v>
      </c>
      <c r="B4217" s="11">
        <f>IFERROR(__xludf.DUMMYFUNCTION("""COMPUTED_VALUE"""),1.0)</f>
        <v>1</v>
      </c>
      <c r="C4217" s="11">
        <f>IFERROR(__xludf.DUMMYFUNCTION("""COMPUTED_VALUE"""),256.0)</f>
        <v>256</v>
      </c>
      <c r="D4217" s="11">
        <f>IFERROR(__xludf.DUMMYFUNCTION("""COMPUTED_VALUE"""),0.0)</f>
        <v>0</v>
      </c>
      <c r="E4217" s="9"/>
    </row>
    <row r="4218">
      <c r="A4218" s="10">
        <f>IFERROR(__xludf.DUMMYFUNCTION("""COMPUTED_VALUE"""),77302.0)</f>
        <v>77302</v>
      </c>
      <c r="B4218" s="11">
        <f>IFERROR(__xludf.DUMMYFUNCTION("""COMPUTED_VALUE"""),0.0)</f>
        <v>0</v>
      </c>
      <c r="C4218" s="11">
        <f>IFERROR(__xludf.DUMMYFUNCTION("""COMPUTED_VALUE"""),398.0)</f>
        <v>398</v>
      </c>
      <c r="D4218" s="11">
        <f>IFERROR(__xludf.DUMMYFUNCTION("""COMPUTED_VALUE"""),310.0)</f>
        <v>310</v>
      </c>
      <c r="E4218" s="9"/>
    </row>
    <row r="4219">
      <c r="A4219" s="10">
        <f>IFERROR(__xludf.DUMMYFUNCTION("""COMPUTED_VALUE"""),94000.0)</f>
        <v>94000</v>
      </c>
      <c r="B4219" s="11">
        <f>IFERROR(__xludf.DUMMYFUNCTION("""COMPUTED_VALUE"""),0.0)</f>
        <v>0</v>
      </c>
      <c r="C4219" s="11">
        <f>IFERROR(__xludf.DUMMYFUNCTION("""COMPUTED_VALUE"""),874.0)</f>
        <v>874</v>
      </c>
      <c r="D4219" s="11">
        <f>IFERROR(__xludf.DUMMYFUNCTION("""COMPUTED_VALUE"""),716.0)</f>
        <v>716</v>
      </c>
      <c r="E4219" s="9"/>
    </row>
    <row r="4220">
      <c r="A4220" s="10">
        <f>IFERROR(__xludf.DUMMYFUNCTION("""COMPUTED_VALUE"""),9616.0)</f>
        <v>9616</v>
      </c>
      <c r="B4220" s="11">
        <f>IFERROR(__xludf.DUMMYFUNCTION("""COMPUTED_VALUE"""),1.0)</f>
        <v>1</v>
      </c>
      <c r="C4220" s="11">
        <f>IFERROR(__xludf.DUMMYFUNCTION("""COMPUTED_VALUE"""),268.0)</f>
        <v>268</v>
      </c>
      <c r="D4220" s="11">
        <f>IFERROR(__xludf.DUMMYFUNCTION("""COMPUTED_VALUE"""),185.0)</f>
        <v>185</v>
      </c>
      <c r="E4220" s="9"/>
    </row>
    <row r="4221">
      <c r="A4221" s="10">
        <f>IFERROR(__xludf.DUMMYFUNCTION("""COMPUTED_VALUE"""),115135.0)</f>
        <v>115135</v>
      </c>
      <c r="B4221" s="11">
        <f>IFERROR(__xludf.DUMMYFUNCTION("""COMPUTED_VALUE"""),1.0)</f>
        <v>1</v>
      </c>
      <c r="C4221" s="11">
        <f>IFERROR(__xludf.DUMMYFUNCTION("""COMPUTED_VALUE"""),355.0)</f>
        <v>355</v>
      </c>
      <c r="D4221" s="11">
        <f>IFERROR(__xludf.DUMMYFUNCTION("""COMPUTED_VALUE"""),17.0)</f>
        <v>17</v>
      </c>
      <c r="E4221" s="9"/>
    </row>
    <row r="4222">
      <c r="A4222" s="10">
        <f>IFERROR(__xludf.DUMMYFUNCTION("""COMPUTED_VALUE"""),90727.0)</f>
        <v>90727</v>
      </c>
      <c r="B4222" s="11">
        <f>IFERROR(__xludf.DUMMYFUNCTION("""COMPUTED_VALUE"""),0.0)</f>
        <v>0</v>
      </c>
      <c r="C4222" s="11">
        <f>IFERROR(__xludf.DUMMYFUNCTION("""COMPUTED_VALUE"""),117.0)</f>
        <v>117</v>
      </c>
      <c r="D4222" s="11">
        <f>IFERROR(__xludf.DUMMYFUNCTION("""COMPUTED_VALUE"""),18.0)</f>
        <v>18</v>
      </c>
      <c r="E4222" s="9"/>
    </row>
    <row r="4223">
      <c r="A4223" s="10">
        <f>IFERROR(__xludf.DUMMYFUNCTION("""COMPUTED_VALUE"""),24060.0)</f>
        <v>24060</v>
      </c>
      <c r="B4223" s="11">
        <f>IFERROR(__xludf.DUMMYFUNCTION("""COMPUTED_VALUE"""),0.0)</f>
        <v>0</v>
      </c>
      <c r="C4223" s="11">
        <f>IFERROR(__xludf.DUMMYFUNCTION("""COMPUTED_VALUE"""),200.0)</f>
        <v>200</v>
      </c>
      <c r="D4223" s="11">
        <f>IFERROR(__xludf.DUMMYFUNCTION("""COMPUTED_VALUE"""),83.0)</f>
        <v>83</v>
      </c>
      <c r="E4223" s="9"/>
    </row>
    <row r="4224">
      <c r="A4224" s="10">
        <f>IFERROR(__xludf.DUMMYFUNCTION("""COMPUTED_VALUE"""),112086.0)</f>
        <v>112086</v>
      </c>
      <c r="B4224" s="11">
        <f>IFERROR(__xludf.DUMMYFUNCTION("""COMPUTED_VALUE"""),0.0)</f>
        <v>0</v>
      </c>
      <c r="C4224" s="11">
        <f>IFERROR(__xludf.DUMMYFUNCTION("""COMPUTED_VALUE"""),288.0)</f>
        <v>288</v>
      </c>
      <c r="D4224" s="11">
        <f>IFERROR(__xludf.DUMMYFUNCTION("""COMPUTED_VALUE"""),52.0)</f>
        <v>52</v>
      </c>
      <c r="E4224" s="9"/>
    </row>
    <row r="4225">
      <c r="A4225" s="10">
        <f>IFERROR(__xludf.DUMMYFUNCTION("""COMPUTED_VALUE"""),90723.0)</f>
        <v>90723</v>
      </c>
      <c r="B4225" s="11">
        <f>IFERROR(__xludf.DUMMYFUNCTION("""COMPUTED_VALUE"""),0.0)</f>
        <v>0</v>
      </c>
      <c r="C4225" s="11">
        <f>IFERROR(__xludf.DUMMYFUNCTION("""COMPUTED_VALUE"""),460.0)</f>
        <v>460</v>
      </c>
      <c r="D4225" s="11">
        <f>IFERROR(__xludf.DUMMYFUNCTION("""COMPUTED_VALUE"""),438.0)</f>
        <v>438</v>
      </c>
      <c r="E4225" s="9"/>
    </row>
    <row r="4226">
      <c r="A4226" s="10">
        <f>IFERROR(__xludf.DUMMYFUNCTION("""COMPUTED_VALUE"""),77601.0)</f>
        <v>77601</v>
      </c>
      <c r="B4226" s="11">
        <f>IFERROR(__xludf.DUMMYFUNCTION("""COMPUTED_VALUE"""),1.0)</f>
        <v>1</v>
      </c>
      <c r="C4226" s="11">
        <f>IFERROR(__xludf.DUMMYFUNCTION("""COMPUTED_VALUE"""),292.0)</f>
        <v>292</v>
      </c>
      <c r="D4226" s="11">
        <f>IFERROR(__xludf.DUMMYFUNCTION("""COMPUTED_VALUE"""),92.0)</f>
        <v>92</v>
      </c>
      <c r="E4226" s="9"/>
    </row>
    <row r="4227">
      <c r="A4227" s="10">
        <f>IFERROR(__xludf.DUMMYFUNCTION("""COMPUTED_VALUE"""),12005.0)</f>
        <v>12005</v>
      </c>
      <c r="B4227" s="11">
        <f>IFERROR(__xludf.DUMMYFUNCTION("""COMPUTED_VALUE"""),0.0)</f>
        <v>0</v>
      </c>
      <c r="C4227" s="11">
        <f>IFERROR(__xludf.DUMMYFUNCTION("""COMPUTED_VALUE"""),849.0)</f>
        <v>849</v>
      </c>
      <c r="D4227" s="11">
        <f>IFERROR(__xludf.DUMMYFUNCTION("""COMPUTED_VALUE"""),542.0)</f>
        <v>542</v>
      </c>
      <c r="E4227" s="9"/>
    </row>
    <row r="4228">
      <c r="A4228" s="10">
        <f>IFERROR(__xludf.DUMMYFUNCTION("""COMPUTED_VALUE"""),41680.0)</f>
        <v>41680</v>
      </c>
      <c r="B4228" s="11">
        <f>IFERROR(__xludf.DUMMYFUNCTION("""COMPUTED_VALUE"""),0.0)</f>
        <v>0</v>
      </c>
      <c r="C4228" s="11">
        <f>IFERROR(__xludf.DUMMYFUNCTION("""COMPUTED_VALUE"""),631.0)</f>
        <v>631</v>
      </c>
      <c r="D4228" s="11">
        <f>IFERROR(__xludf.DUMMYFUNCTION("""COMPUTED_VALUE"""),529.0)</f>
        <v>529</v>
      </c>
      <c r="E4228" s="9"/>
    </row>
    <row r="4229">
      <c r="A4229" s="10">
        <f>IFERROR(__xludf.DUMMYFUNCTION("""COMPUTED_VALUE"""),12000.0)</f>
        <v>12000</v>
      </c>
      <c r="B4229" s="11">
        <f>IFERROR(__xludf.DUMMYFUNCTION("""COMPUTED_VALUE"""),0.0)</f>
        <v>0</v>
      </c>
      <c r="C4229" s="11">
        <f>IFERROR(__xludf.DUMMYFUNCTION("""COMPUTED_VALUE"""),761.0)</f>
        <v>761</v>
      </c>
      <c r="D4229" s="11">
        <f>IFERROR(__xludf.DUMMYFUNCTION("""COMPUTED_VALUE"""),456.0)</f>
        <v>456</v>
      </c>
      <c r="E4229" s="9"/>
    </row>
    <row r="4230">
      <c r="A4230" s="10">
        <f>IFERROR(__xludf.DUMMYFUNCTION("""COMPUTED_VALUE"""),12022.0)</f>
        <v>12022</v>
      </c>
      <c r="B4230" s="11">
        <f>IFERROR(__xludf.DUMMYFUNCTION("""COMPUTED_VALUE"""),0.0)</f>
        <v>0</v>
      </c>
      <c r="C4230" s="11">
        <f>IFERROR(__xludf.DUMMYFUNCTION("""COMPUTED_VALUE"""),21.0)</f>
        <v>21</v>
      </c>
      <c r="D4230" s="11">
        <f>IFERROR(__xludf.DUMMYFUNCTION("""COMPUTED_VALUE"""),18.0)</f>
        <v>18</v>
      </c>
      <c r="E4230" s="9"/>
    </row>
    <row r="4231">
      <c r="A4231" s="10">
        <f>IFERROR(__xludf.DUMMYFUNCTION("""COMPUTED_VALUE"""),113596.0)</f>
        <v>113596</v>
      </c>
      <c r="B4231" s="11">
        <f>IFERROR(__xludf.DUMMYFUNCTION("""COMPUTED_VALUE"""),0.0)</f>
        <v>0</v>
      </c>
      <c r="C4231" s="11">
        <f>IFERROR(__xludf.DUMMYFUNCTION("""COMPUTED_VALUE"""),974.0)</f>
        <v>974</v>
      </c>
      <c r="D4231" s="11">
        <f>IFERROR(__xludf.DUMMYFUNCTION("""COMPUTED_VALUE"""),378.0)</f>
        <v>378</v>
      </c>
      <c r="E4231" s="9"/>
    </row>
    <row r="4232">
      <c r="A4232" s="10">
        <f>IFERROR(__xludf.DUMMYFUNCTION("""COMPUTED_VALUE"""),11998.0)</f>
        <v>11998</v>
      </c>
      <c r="B4232" s="11">
        <f>IFERROR(__xludf.DUMMYFUNCTION("""COMPUTED_VALUE"""),0.0)</f>
        <v>0</v>
      </c>
      <c r="C4232" s="11">
        <f>IFERROR(__xludf.DUMMYFUNCTION("""COMPUTED_VALUE"""),442.0)</f>
        <v>442</v>
      </c>
      <c r="D4232" s="11">
        <f>IFERROR(__xludf.DUMMYFUNCTION("""COMPUTED_VALUE"""),420.0)</f>
        <v>420</v>
      </c>
      <c r="E4232" s="9"/>
    </row>
    <row r="4233">
      <c r="A4233" s="10">
        <f>IFERROR(__xludf.DUMMYFUNCTION("""COMPUTED_VALUE"""),12063.0)</f>
        <v>12063</v>
      </c>
      <c r="B4233" s="11">
        <f>IFERROR(__xludf.DUMMYFUNCTION("""COMPUTED_VALUE"""),0.0)</f>
        <v>0</v>
      </c>
      <c r="C4233" s="11">
        <f>IFERROR(__xludf.DUMMYFUNCTION("""COMPUTED_VALUE"""),921.0)</f>
        <v>921</v>
      </c>
      <c r="D4233" s="11">
        <f>IFERROR(__xludf.DUMMYFUNCTION("""COMPUTED_VALUE"""),245.0)</f>
        <v>245</v>
      </c>
      <c r="E4233" s="9"/>
    </row>
    <row r="4234">
      <c r="A4234" s="10">
        <f>IFERROR(__xludf.DUMMYFUNCTION("""COMPUTED_VALUE"""),96069.0)</f>
        <v>96069</v>
      </c>
      <c r="B4234" s="11">
        <f>IFERROR(__xludf.DUMMYFUNCTION("""COMPUTED_VALUE"""),1.0)</f>
        <v>1</v>
      </c>
      <c r="C4234" s="11">
        <f>IFERROR(__xludf.DUMMYFUNCTION("""COMPUTED_VALUE"""),313.0)</f>
        <v>313</v>
      </c>
      <c r="D4234" s="11">
        <f>IFERROR(__xludf.DUMMYFUNCTION("""COMPUTED_VALUE"""),20.0)</f>
        <v>20</v>
      </c>
      <c r="E4234" s="9"/>
    </row>
    <row r="4235">
      <c r="A4235" s="10">
        <f>IFERROR(__xludf.DUMMYFUNCTION("""COMPUTED_VALUE"""),12007.0)</f>
        <v>12007</v>
      </c>
      <c r="B4235" s="11">
        <f>IFERROR(__xludf.DUMMYFUNCTION("""COMPUTED_VALUE"""),0.0)</f>
        <v>0</v>
      </c>
      <c r="C4235" s="11">
        <f>IFERROR(__xludf.DUMMYFUNCTION("""COMPUTED_VALUE"""),363.0)</f>
        <v>363</v>
      </c>
      <c r="D4235" s="11">
        <f>IFERROR(__xludf.DUMMYFUNCTION("""COMPUTED_VALUE"""),137.0)</f>
        <v>137</v>
      </c>
      <c r="E4235" s="9"/>
    </row>
    <row r="4236">
      <c r="A4236" s="10">
        <f>IFERROR(__xludf.DUMMYFUNCTION("""COMPUTED_VALUE"""),113592.0)</f>
        <v>113592</v>
      </c>
      <c r="B4236" s="11">
        <f>IFERROR(__xludf.DUMMYFUNCTION("""COMPUTED_VALUE"""),0.0)</f>
        <v>0</v>
      </c>
      <c r="C4236" s="11">
        <f>IFERROR(__xludf.DUMMYFUNCTION("""COMPUTED_VALUE"""),534.0)</f>
        <v>534</v>
      </c>
      <c r="D4236" s="11">
        <f>IFERROR(__xludf.DUMMYFUNCTION("""COMPUTED_VALUE"""),109.0)</f>
        <v>109</v>
      </c>
      <c r="E4236" s="9"/>
    </row>
    <row r="4237">
      <c r="A4237" s="10">
        <f>IFERROR(__xludf.DUMMYFUNCTION("""COMPUTED_VALUE"""),147308.0)</f>
        <v>147308</v>
      </c>
      <c r="B4237" s="11">
        <f>IFERROR(__xludf.DUMMYFUNCTION("""COMPUTED_VALUE"""),0.0)</f>
        <v>0</v>
      </c>
      <c r="C4237" s="11">
        <f>IFERROR(__xludf.DUMMYFUNCTION("""COMPUTED_VALUE"""),450.0)</f>
        <v>450</v>
      </c>
      <c r="D4237" s="11">
        <f>IFERROR(__xludf.DUMMYFUNCTION("""COMPUTED_VALUE"""),234.0)</f>
        <v>234</v>
      </c>
      <c r="E4237" s="9"/>
    </row>
    <row r="4238">
      <c r="A4238" s="10">
        <f>IFERROR(__xludf.DUMMYFUNCTION("""COMPUTED_VALUE"""),41679.0)</f>
        <v>41679</v>
      </c>
      <c r="B4238" s="11">
        <f>IFERROR(__xludf.DUMMYFUNCTION("""COMPUTED_VALUE"""),1.0)</f>
        <v>1</v>
      </c>
      <c r="C4238" s="11">
        <f>IFERROR(__xludf.DUMMYFUNCTION("""COMPUTED_VALUE"""),562.0)</f>
        <v>562</v>
      </c>
      <c r="D4238" s="11">
        <f>IFERROR(__xludf.DUMMYFUNCTION("""COMPUTED_VALUE"""),260.0)</f>
        <v>260</v>
      </c>
      <c r="E4238" s="9"/>
    </row>
    <row r="4239">
      <c r="A4239" s="10">
        <f>IFERROR(__xludf.DUMMYFUNCTION("""COMPUTED_VALUE"""),112077.0)</f>
        <v>112077</v>
      </c>
      <c r="B4239" s="11">
        <f>IFERROR(__xludf.DUMMYFUNCTION("""COMPUTED_VALUE"""),0.0)</f>
        <v>0</v>
      </c>
      <c r="C4239" s="11">
        <f>IFERROR(__xludf.DUMMYFUNCTION("""COMPUTED_VALUE"""),205.0)</f>
        <v>205</v>
      </c>
      <c r="D4239" s="11">
        <f>IFERROR(__xludf.DUMMYFUNCTION("""COMPUTED_VALUE"""),142.0)</f>
        <v>142</v>
      </c>
      <c r="E4239" s="9"/>
    </row>
    <row r="4240">
      <c r="A4240" s="10">
        <f>IFERROR(__xludf.DUMMYFUNCTION("""COMPUTED_VALUE"""),115133.0)</f>
        <v>115133</v>
      </c>
      <c r="B4240" s="11">
        <f>IFERROR(__xludf.DUMMYFUNCTION("""COMPUTED_VALUE"""),1.0)</f>
        <v>1</v>
      </c>
      <c r="C4240" s="11">
        <f>IFERROR(__xludf.DUMMYFUNCTION("""COMPUTED_VALUE"""),847.0)</f>
        <v>847</v>
      </c>
      <c r="D4240" s="11">
        <f>IFERROR(__xludf.DUMMYFUNCTION("""COMPUTED_VALUE"""),329.0)</f>
        <v>329</v>
      </c>
      <c r="E4240" s="9"/>
    </row>
    <row r="4241">
      <c r="A4241" s="10">
        <f>IFERROR(__xludf.DUMMYFUNCTION("""COMPUTED_VALUE"""),30465.0)</f>
        <v>30465</v>
      </c>
      <c r="B4241" s="11">
        <f>IFERROR(__xludf.DUMMYFUNCTION("""COMPUTED_VALUE"""),1.0)</f>
        <v>1</v>
      </c>
      <c r="C4241" s="11">
        <f>IFERROR(__xludf.DUMMYFUNCTION("""COMPUTED_VALUE"""),121.0)</f>
        <v>121</v>
      </c>
      <c r="D4241" s="11">
        <f>IFERROR(__xludf.DUMMYFUNCTION("""COMPUTED_VALUE"""),6.0)</f>
        <v>6</v>
      </c>
      <c r="E4241" s="9"/>
    </row>
    <row r="4242">
      <c r="A4242" s="10">
        <f>IFERROR(__xludf.DUMMYFUNCTION("""COMPUTED_VALUE"""),87405.0)</f>
        <v>87405</v>
      </c>
      <c r="B4242" s="11">
        <f>IFERROR(__xludf.DUMMYFUNCTION("""COMPUTED_VALUE"""),1.0)</f>
        <v>1</v>
      </c>
      <c r="C4242" s="11">
        <f>IFERROR(__xludf.DUMMYFUNCTION("""COMPUTED_VALUE"""),442.0)</f>
        <v>442</v>
      </c>
      <c r="D4242" s="11">
        <f>IFERROR(__xludf.DUMMYFUNCTION("""COMPUTED_VALUE"""),30.0)</f>
        <v>30</v>
      </c>
      <c r="E4242" s="9"/>
    </row>
    <row r="4243">
      <c r="A4243" s="10">
        <f>IFERROR(__xludf.DUMMYFUNCTION("""COMPUTED_VALUE"""),77602.0)</f>
        <v>77602</v>
      </c>
      <c r="B4243" s="11">
        <f>IFERROR(__xludf.DUMMYFUNCTION("""COMPUTED_VALUE"""),0.0)</f>
        <v>0</v>
      </c>
      <c r="C4243" s="11">
        <f>IFERROR(__xludf.DUMMYFUNCTION("""COMPUTED_VALUE"""),416.0)</f>
        <v>416</v>
      </c>
      <c r="D4243" s="11">
        <f>IFERROR(__xludf.DUMMYFUNCTION("""COMPUTED_VALUE"""),162.0)</f>
        <v>162</v>
      </c>
      <c r="E4243" s="9"/>
    </row>
    <row r="4244">
      <c r="A4244" s="10">
        <f>IFERROR(__xludf.DUMMYFUNCTION("""COMPUTED_VALUE"""),107058.0)</f>
        <v>107058</v>
      </c>
      <c r="B4244" s="11">
        <f>IFERROR(__xludf.DUMMYFUNCTION("""COMPUTED_VALUE"""),1.0)</f>
        <v>1</v>
      </c>
      <c r="C4244" s="11">
        <f>IFERROR(__xludf.DUMMYFUNCTION("""COMPUTED_VALUE"""),657.0)</f>
        <v>657</v>
      </c>
      <c r="D4244" s="11">
        <f>IFERROR(__xludf.DUMMYFUNCTION("""COMPUTED_VALUE"""),154.0)</f>
        <v>154</v>
      </c>
      <c r="E4244" s="9"/>
    </row>
    <row r="4245">
      <c r="A4245" s="10">
        <f>IFERROR(__xludf.DUMMYFUNCTION("""COMPUTED_VALUE"""),5807.0)</f>
        <v>5807</v>
      </c>
      <c r="B4245" s="11">
        <f>IFERROR(__xludf.DUMMYFUNCTION("""COMPUTED_VALUE"""),0.0)</f>
        <v>0</v>
      </c>
      <c r="C4245" s="11">
        <f>IFERROR(__xludf.DUMMYFUNCTION("""COMPUTED_VALUE"""),923.0)</f>
        <v>923</v>
      </c>
      <c r="D4245" s="11">
        <f>IFERROR(__xludf.DUMMYFUNCTION("""COMPUTED_VALUE"""),91.0)</f>
        <v>91</v>
      </c>
      <c r="E4245" s="9"/>
    </row>
    <row r="4246">
      <c r="A4246" s="10">
        <f>IFERROR(__xludf.DUMMYFUNCTION("""COMPUTED_VALUE"""),87061.0)</f>
        <v>87061</v>
      </c>
      <c r="B4246" s="11">
        <f>IFERROR(__xludf.DUMMYFUNCTION("""COMPUTED_VALUE"""),0.0)</f>
        <v>0</v>
      </c>
      <c r="C4246" s="11">
        <f>IFERROR(__xludf.DUMMYFUNCTION("""COMPUTED_VALUE"""),379.0)</f>
        <v>379</v>
      </c>
      <c r="D4246" s="11">
        <f>IFERROR(__xludf.DUMMYFUNCTION("""COMPUTED_VALUE"""),102.0)</f>
        <v>102</v>
      </c>
      <c r="E4246" s="9"/>
    </row>
    <row r="4247">
      <c r="A4247" s="10">
        <f>IFERROR(__xludf.DUMMYFUNCTION("""COMPUTED_VALUE"""),108039.0)</f>
        <v>108039</v>
      </c>
      <c r="B4247" s="11">
        <f>IFERROR(__xludf.DUMMYFUNCTION("""COMPUTED_VALUE"""),1.0)</f>
        <v>1</v>
      </c>
      <c r="C4247" s="11">
        <f>IFERROR(__xludf.DUMMYFUNCTION("""COMPUTED_VALUE"""),499.0)</f>
        <v>499</v>
      </c>
      <c r="D4247" s="11">
        <f>IFERROR(__xludf.DUMMYFUNCTION("""COMPUTED_VALUE"""),155.0)</f>
        <v>155</v>
      </c>
      <c r="E4247" s="9"/>
    </row>
    <row r="4248">
      <c r="A4248" s="10">
        <f>IFERROR(__xludf.DUMMYFUNCTION("""COMPUTED_VALUE"""),90837.0)</f>
        <v>90837</v>
      </c>
      <c r="B4248" s="11">
        <f>IFERROR(__xludf.DUMMYFUNCTION("""COMPUTED_VALUE"""),1.0)</f>
        <v>1</v>
      </c>
      <c r="C4248" s="11">
        <f>IFERROR(__xludf.DUMMYFUNCTION("""COMPUTED_VALUE"""),662.0)</f>
        <v>662</v>
      </c>
      <c r="D4248" s="11">
        <f>IFERROR(__xludf.DUMMYFUNCTION("""COMPUTED_VALUE"""),280.0)</f>
        <v>280</v>
      </c>
      <c r="E4248" s="9"/>
    </row>
    <row r="4249">
      <c r="A4249" s="10">
        <f>IFERROR(__xludf.DUMMYFUNCTION("""COMPUTED_VALUE"""),88461.0)</f>
        <v>88461</v>
      </c>
      <c r="B4249" s="11">
        <f>IFERROR(__xludf.DUMMYFUNCTION("""COMPUTED_VALUE"""),1.0)</f>
        <v>1</v>
      </c>
      <c r="C4249" s="11">
        <f>IFERROR(__xludf.DUMMYFUNCTION("""COMPUTED_VALUE"""),823.0)</f>
        <v>823</v>
      </c>
      <c r="D4249" s="11">
        <f>IFERROR(__xludf.DUMMYFUNCTION("""COMPUTED_VALUE"""),499.0)</f>
        <v>499</v>
      </c>
      <c r="E4249" s="9"/>
    </row>
    <row r="4250">
      <c r="A4250" s="10">
        <f>IFERROR(__xludf.DUMMYFUNCTION("""COMPUTED_VALUE"""),81504.0)</f>
        <v>81504</v>
      </c>
      <c r="B4250" s="11">
        <f>IFERROR(__xludf.DUMMYFUNCTION("""COMPUTED_VALUE"""),1.0)</f>
        <v>1</v>
      </c>
      <c r="C4250" s="11">
        <f>IFERROR(__xludf.DUMMYFUNCTION("""COMPUTED_VALUE"""),890.0)</f>
        <v>890</v>
      </c>
      <c r="D4250" s="11">
        <f>IFERROR(__xludf.DUMMYFUNCTION("""COMPUTED_VALUE"""),33.0)</f>
        <v>33</v>
      </c>
      <c r="E4250" s="9"/>
    </row>
    <row r="4251">
      <c r="A4251" s="10">
        <f>IFERROR(__xludf.DUMMYFUNCTION("""COMPUTED_VALUE"""),12027.0)</f>
        <v>12027</v>
      </c>
      <c r="B4251" s="11">
        <f>IFERROR(__xludf.DUMMYFUNCTION("""COMPUTED_VALUE"""),0.0)</f>
        <v>0</v>
      </c>
      <c r="C4251" s="11">
        <f>IFERROR(__xludf.DUMMYFUNCTION("""COMPUTED_VALUE"""),565.0)</f>
        <v>565</v>
      </c>
      <c r="D4251" s="11">
        <f>IFERROR(__xludf.DUMMYFUNCTION("""COMPUTED_VALUE"""),205.0)</f>
        <v>205</v>
      </c>
      <c r="E4251" s="9"/>
    </row>
    <row r="4252">
      <c r="A4252" s="10">
        <f>IFERROR(__xludf.DUMMYFUNCTION("""COMPUTED_VALUE"""),8883.0)</f>
        <v>8883</v>
      </c>
      <c r="B4252" s="11">
        <f>IFERROR(__xludf.DUMMYFUNCTION("""COMPUTED_VALUE"""),0.0)</f>
        <v>0</v>
      </c>
      <c r="C4252" s="11">
        <f>IFERROR(__xludf.DUMMYFUNCTION("""COMPUTED_VALUE"""),205.0)</f>
        <v>205</v>
      </c>
      <c r="D4252" s="11">
        <f>IFERROR(__xludf.DUMMYFUNCTION("""COMPUTED_VALUE"""),22.0)</f>
        <v>22</v>
      </c>
      <c r="E4252" s="9"/>
    </row>
    <row r="4253">
      <c r="A4253" s="10">
        <f>IFERROR(__xludf.DUMMYFUNCTION("""COMPUTED_VALUE"""),112082.0)</f>
        <v>112082</v>
      </c>
      <c r="B4253" s="11">
        <f>IFERROR(__xludf.DUMMYFUNCTION("""COMPUTED_VALUE"""),0.0)</f>
        <v>0</v>
      </c>
      <c r="C4253" s="11">
        <f>IFERROR(__xludf.DUMMYFUNCTION("""COMPUTED_VALUE"""),672.0)</f>
        <v>672</v>
      </c>
      <c r="D4253" s="11">
        <f>IFERROR(__xludf.DUMMYFUNCTION("""COMPUTED_VALUE"""),320.0)</f>
        <v>320</v>
      </c>
      <c r="E4253" s="9"/>
    </row>
    <row r="4254">
      <c r="A4254" s="10">
        <f>IFERROR(__xludf.DUMMYFUNCTION("""COMPUTED_VALUE"""),114961.0)</f>
        <v>114961</v>
      </c>
      <c r="B4254" s="11">
        <f>IFERROR(__xludf.DUMMYFUNCTION("""COMPUTED_VALUE"""),1.0)</f>
        <v>1</v>
      </c>
      <c r="C4254" s="11">
        <f>IFERROR(__xludf.DUMMYFUNCTION("""COMPUTED_VALUE"""),978.0)</f>
        <v>978</v>
      </c>
      <c r="D4254" s="11">
        <f>IFERROR(__xludf.DUMMYFUNCTION("""COMPUTED_VALUE"""),506.0)</f>
        <v>506</v>
      </c>
      <c r="E4254" s="9"/>
    </row>
    <row r="4255">
      <c r="A4255" s="10">
        <f>IFERROR(__xludf.DUMMYFUNCTION("""COMPUTED_VALUE"""),112078.0)</f>
        <v>112078</v>
      </c>
      <c r="B4255" s="11">
        <f>IFERROR(__xludf.DUMMYFUNCTION("""COMPUTED_VALUE"""),0.0)</f>
        <v>0</v>
      </c>
      <c r="C4255" s="11">
        <f>IFERROR(__xludf.DUMMYFUNCTION("""COMPUTED_VALUE"""),457.0)</f>
        <v>457</v>
      </c>
      <c r="D4255" s="11">
        <f>IFERROR(__xludf.DUMMYFUNCTION("""COMPUTED_VALUE"""),111.0)</f>
        <v>111</v>
      </c>
      <c r="E4255" s="9"/>
    </row>
    <row r="4256">
      <c r="A4256" s="10">
        <f>IFERROR(__xludf.DUMMYFUNCTION("""COMPUTED_VALUE"""),12025.0)</f>
        <v>12025</v>
      </c>
      <c r="B4256" s="11">
        <f>IFERROR(__xludf.DUMMYFUNCTION("""COMPUTED_VALUE"""),0.0)</f>
        <v>0</v>
      </c>
      <c r="C4256" s="11">
        <f>IFERROR(__xludf.DUMMYFUNCTION("""COMPUTED_VALUE"""),601.0)</f>
        <v>601</v>
      </c>
      <c r="D4256" s="11">
        <f>IFERROR(__xludf.DUMMYFUNCTION("""COMPUTED_VALUE"""),216.0)</f>
        <v>216</v>
      </c>
      <c r="E4256" s="9"/>
    </row>
    <row r="4257">
      <c r="A4257" s="10">
        <f>IFERROR(__xludf.DUMMYFUNCTION("""COMPUTED_VALUE"""),11992.0)</f>
        <v>11992</v>
      </c>
      <c r="B4257" s="11">
        <f>IFERROR(__xludf.DUMMYFUNCTION("""COMPUTED_VALUE"""),1.0)</f>
        <v>1</v>
      </c>
      <c r="C4257" s="11">
        <f>IFERROR(__xludf.DUMMYFUNCTION("""COMPUTED_VALUE"""),825.0)</f>
        <v>825</v>
      </c>
      <c r="D4257" s="11">
        <f>IFERROR(__xludf.DUMMYFUNCTION("""COMPUTED_VALUE"""),411.0)</f>
        <v>411</v>
      </c>
      <c r="E4257" s="9"/>
    </row>
    <row r="4258">
      <c r="A4258" s="10">
        <f>IFERROR(__xludf.DUMMYFUNCTION("""COMPUTED_VALUE"""),188850.0)</f>
        <v>188850</v>
      </c>
      <c r="B4258" s="11">
        <f>IFERROR(__xludf.DUMMYFUNCTION("""COMPUTED_VALUE"""),0.0)</f>
        <v>0</v>
      </c>
      <c r="C4258" s="11">
        <f>IFERROR(__xludf.DUMMYFUNCTION("""COMPUTED_VALUE"""),230.0)</f>
        <v>230</v>
      </c>
      <c r="D4258" s="11">
        <f>IFERROR(__xludf.DUMMYFUNCTION("""COMPUTED_VALUE"""),125.0)</f>
        <v>125</v>
      </c>
      <c r="E4258" s="9"/>
    </row>
    <row r="4259">
      <c r="A4259" s="10">
        <f>IFERROR(__xludf.DUMMYFUNCTION("""COMPUTED_VALUE"""),69296.0)</f>
        <v>69296</v>
      </c>
      <c r="B4259" s="11">
        <f>IFERROR(__xludf.DUMMYFUNCTION("""COMPUTED_VALUE"""),0.0)</f>
        <v>0</v>
      </c>
      <c r="C4259" s="11">
        <f>IFERROR(__xludf.DUMMYFUNCTION("""COMPUTED_VALUE"""),67.0)</f>
        <v>67</v>
      </c>
      <c r="D4259" s="11">
        <f>IFERROR(__xludf.DUMMYFUNCTION("""COMPUTED_VALUE"""),36.0)</f>
        <v>36</v>
      </c>
      <c r="E4259" s="9"/>
    </row>
    <row r="4260">
      <c r="A4260" s="10">
        <f>IFERROR(__xludf.DUMMYFUNCTION("""COMPUTED_VALUE"""),115141.0)</f>
        <v>115141</v>
      </c>
      <c r="B4260" s="11">
        <f>IFERROR(__xludf.DUMMYFUNCTION("""COMPUTED_VALUE"""),0.0)</f>
        <v>0</v>
      </c>
      <c r="C4260" s="11">
        <f>IFERROR(__xludf.DUMMYFUNCTION("""COMPUTED_VALUE"""),308.0)</f>
        <v>308</v>
      </c>
      <c r="D4260" s="11">
        <f>IFERROR(__xludf.DUMMYFUNCTION("""COMPUTED_VALUE"""),165.0)</f>
        <v>165</v>
      </c>
      <c r="E4260" s="9"/>
    </row>
    <row r="4261">
      <c r="A4261" s="10">
        <f>IFERROR(__xludf.DUMMYFUNCTION("""COMPUTED_VALUE"""),112081.0)</f>
        <v>112081</v>
      </c>
      <c r="B4261" s="11">
        <f>IFERROR(__xludf.DUMMYFUNCTION("""COMPUTED_VALUE"""),1.0)</f>
        <v>1</v>
      </c>
      <c r="C4261" s="11">
        <f>IFERROR(__xludf.DUMMYFUNCTION("""COMPUTED_VALUE"""),582.0)</f>
        <v>582</v>
      </c>
      <c r="D4261" s="11">
        <f>IFERROR(__xludf.DUMMYFUNCTION("""COMPUTED_VALUE"""),368.0)</f>
        <v>368</v>
      </c>
      <c r="E4261" s="9"/>
    </row>
    <row r="4262">
      <c r="A4262" s="10">
        <f>IFERROR(__xludf.DUMMYFUNCTION("""COMPUTED_VALUE"""),77611.0)</f>
        <v>77611</v>
      </c>
      <c r="B4262" s="11">
        <f>IFERROR(__xludf.DUMMYFUNCTION("""COMPUTED_VALUE"""),1.0)</f>
        <v>1</v>
      </c>
      <c r="C4262" s="11">
        <f>IFERROR(__xludf.DUMMYFUNCTION("""COMPUTED_VALUE"""),680.0)</f>
        <v>680</v>
      </c>
      <c r="D4262" s="11">
        <f>IFERROR(__xludf.DUMMYFUNCTION("""COMPUTED_VALUE"""),325.0)</f>
        <v>325</v>
      </c>
      <c r="E4262" s="9"/>
    </row>
    <row r="4263">
      <c r="A4263" s="10">
        <f>IFERROR(__xludf.DUMMYFUNCTION("""COMPUTED_VALUE"""),111722.0)</f>
        <v>111722</v>
      </c>
      <c r="B4263" s="11">
        <f>IFERROR(__xludf.DUMMYFUNCTION("""COMPUTED_VALUE"""),1.0)</f>
        <v>1</v>
      </c>
      <c r="C4263" s="11">
        <f>IFERROR(__xludf.DUMMYFUNCTION("""COMPUTED_VALUE"""),192.0)</f>
        <v>192</v>
      </c>
      <c r="D4263" s="11">
        <f>IFERROR(__xludf.DUMMYFUNCTION("""COMPUTED_VALUE"""),103.0)</f>
        <v>103</v>
      </c>
      <c r="E4263" s="9"/>
    </row>
    <row r="4264">
      <c r="A4264" s="10">
        <f>IFERROR(__xludf.DUMMYFUNCTION("""COMPUTED_VALUE"""),81503.0)</f>
        <v>81503</v>
      </c>
      <c r="B4264" s="11">
        <f>IFERROR(__xludf.DUMMYFUNCTION("""COMPUTED_VALUE"""),0.0)</f>
        <v>0</v>
      </c>
      <c r="C4264" s="11">
        <f>IFERROR(__xludf.DUMMYFUNCTION("""COMPUTED_VALUE"""),481.0)</f>
        <v>481</v>
      </c>
      <c r="D4264" s="11">
        <f>IFERROR(__xludf.DUMMYFUNCTION("""COMPUTED_VALUE"""),442.0)</f>
        <v>442</v>
      </c>
      <c r="E4264" s="9"/>
    </row>
    <row r="4265">
      <c r="A4265" s="10">
        <f>IFERROR(__xludf.DUMMYFUNCTION("""COMPUTED_VALUE"""),117559.0)</f>
        <v>117559</v>
      </c>
      <c r="B4265" s="11">
        <f>IFERROR(__xludf.DUMMYFUNCTION("""COMPUTED_VALUE"""),1.0)</f>
        <v>1</v>
      </c>
      <c r="C4265" s="11">
        <f>IFERROR(__xludf.DUMMYFUNCTION("""COMPUTED_VALUE"""),226.0)</f>
        <v>226</v>
      </c>
      <c r="D4265" s="11">
        <f>IFERROR(__xludf.DUMMYFUNCTION("""COMPUTED_VALUE"""),73.0)</f>
        <v>73</v>
      </c>
      <c r="E4265" s="9"/>
    </row>
    <row r="4266">
      <c r="A4266" s="10">
        <f>IFERROR(__xludf.DUMMYFUNCTION("""COMPUTED_VALUE"""),110230.0)</f>
        <v>110230</v>
      </c>
      <c r="B4266" s="11">
        <f>IFERROR(__xludf.DUMMYFUNCTION("""COMPUTED_VALUE"""),1.0)</f>
        <v>1</v>
      </c>
      <c r="C4266" s="11">
        <f>IFERROR(__xludf.DUMMYFUNCTION("""COMPUTED_VALUE"""),412.0)</f>
        <v>412</v>
      </c>
      <c r="D4266" s="11">
        <f>IFERROR(__xludf.DUMMYFUNCTION("""COMPUTED_VALUE"""),326.0)</f>
        <v>326</v>
      </c>
      <c r="E4266" s="9"/>
    </row>
    <row r="4267">
      <c r="A4267" s="10">
        <f>IFERROR(__xludf.DUMMYFUNCTION("""COMPUTED_VALUE"""),122854.0)</f>
        <v>122854</v>
      </c>
      <c r="B4267" s="11">
        <f>IFERROR(__xludf.DUMMYFUNCTION("""COMPUTED_VALUE"""),0.0)</f>
        <v>0</v>
      </c>
      <c r="C4267" s="11">
        <f>IFERROR(__xludf.DUMMYFUNCTION("""COMPUTED_VALUE"""),361.0)</f>
        <v>361</v>
      </c>
      <c r="D4267" s="11">
        <f>IFERROR(__xludf.DUMMYFUNCTION("""COMPUTED_VALUE"""),35.0)</f>
        <v>35</v>
      </c>
      <c r="E4267" s="9"/>
    </row>
    <row r="4268">
      <c r="A4268" s="10">
        <f>IFERROR(__xludf.DUMMYFUNCTION("""COMPUTED_VALUE"""),95371.0)</f>
        <v>95371</v>
      </c>
      <c r="B4268" s="11">
        <f>IFERROR(__xludf.DUMMYFUNCTION("""COMPUTED_VALUE"""),0.0)</f>
        <v>0</v>
      </c>
      <c r="C4268" s="11">
        <f>IFERROR(__xludf.DUMMYFUNCTION("""COMPUTED_VALUE"""),733.0)</f>
        <v>733</v>
      </c>
      <c r="D4268" s="11">
        <f>IFERROR(__xludf.DUMMYFUNCTION("""COMPUTED_VALUE"""),681.0)</f>
        <v>681</v>
      </c>
      <c r="E4268" s="9"/>
    </row>
    <row r="4269">
      <c r="A4269" s="10">
        <f>IFERROR(__xludf.DUMMYFUNCTION("""COMPUTED_VALUE"""),101190.0)</f>
        <v>101190</v>
      </c>
      <c r="B4269" s="11">
        <f>IFERROR(__xludf.DUMMYFUNCTION("""COMPUTED_VALUE"""),1.0)</f>
        <v>1</v>
      </c>
      <c r="C4269" s="11">
        <f>IFERROR(__xludf.DUMMYFUNCTION("""COMPUTED_VALUE"""),468.0)</f>
        <v>468</v>
      </c>
      <c r="D4269" s="11">
        <f>IFERROR(__xludf.DUMMYFUNCTION("""COMPUTED_VALUE"""),210.0)</f>
        <v>210</v>
      </c>
      <c r="E4269" s="9"/>
    </row>
    <row r="4270">
      <c r="A4270" s="10">
        <f>IFERROR(__xludf.DUMMYFUNCTION("""COMPUTED_VALUE"""),121532.0)</f>
        <v>121532</v>
      </c>
      <c r="B4270" s="11">
        <f>IFERROR(__xludf.DUMMYFUNCTION("""COMPUTED_VALUE"""),1.0)</f>
        <v>1</v>
      </c>
      <c r="C4270" s="11">
        <f>IFERROR(__xludf.DUMMYFUNCTION("""COMPUTED_VALUE"""),855.0)</f>
        <v>855</v>
      </c>
      <c r="D4270" s="11">
        <f>IFERROR(__xludf.DUMMYFUNCTION("""COMPUTED_VALUE"""),850.0)</f>
        <v>850</v>
      </c>
      <c r="E4270" s="9"/>
    </row>
    <row r="4271">
      <c r="A4271" s="10">
        <f>IFERROR(__xludf.DUMMYFUNCTION("""COMPUTED_VALUE"""),6614.0)</f>
        <v>6614</v>
      </c>
      <c r="B4271" s="11">
        <f>IFERROR(__xludf.DUMMYFUNCTION("""COMPUTED_VALUE"""),0.0)</f>
        <v>0</v>
      </c>
      <c r="C4271" s="11">
        <f>IFERROR(__xludf.DUMMYFUNCTION("""COMPUTED_VALUE"""),872.0)</f>
        <v>872</v>
      </c>
      <c r="D4271" s="11">
        <f>IFERROR(__xludf.DUMMYFUNCTION("""COMPUTED_VALUE"""),717.0)</f>
        <v>717</v>
      </c>
      <c r="E4271" s="9"/>
    </row>
    <row r="4272">
      <c r="A4272" s="10">
        <f>IFERROR(__xludf.DUMMYFUNCTION("""COMPUTED_VALUE"""),6618.0)</f>
        <v>6618</v>
      </c>
      <c r="B4272" s="11">
        <f>IFERROR(__xludf.DUMMYFUNCTION("""COMPUTED_VALUE"""),1.0)</f>
        <v>1</v>
      </c>
      <c r="C4272" s="11">
        <f>IFERROR(__xludf.DUMMYFUNCTION("""COMPUTED_VALUE"""),35.0)</f>
        <v>35</v>
      </c>
      <c r="D4272" s="11">
        <f>IFERROR(__xludf.DUMMYFUNCTION("""COMPUTED_VALUE"""),29.0)</f>
        <v>29</v>
      </c>
      <c r="E4272" s="9"/>
    </row>
    <row r="4273">
      <c r="A4273" s="10">
        <f>IFERROR(__xludf.DUMMYFUNCTION("""COMPUTED_VALUE"""),96096.0)</f>
        <v>96096</v>
      </c>
      <c r="B4273" s="11">
        <f>IFERROR(__xludf.DUMMYFUNCTION("""COMPUTED_VALUE"""),0.0)</f>
        <v>0</v>
      </c>
      <c r="C4273" s="11">
        <f>IFERROR(__xludf.DUMMYFUNCTION("""COMPUTED_VALUE"""),276.0)</f>
        <v>276</v>
      </c>
      <c r="D4273" s="11">
        <f>IFERROR(__xludf.DUMMYFUNCTION("""COMPUTED_VALUE"""),74.0)</f>
        <v>74</v>
      </c>
      <c r="E4273" s="9"/>
    </row>
    <row r="4274">
      <c r="A4274" s="10">
        <f>IFERROR(__xludf.DUMMYFUNCTION("""COMPUTED_VALUE"""),105977.0)</f>
        <v>105977</v>
      </c>
      <c r="B4274" s="11">
        <f>IFERROR(__xludf.DUMMYFUNCTION("""COMPUTED_VALUE"""),0.0)</f>
        <v>0</v>
      </c>
      <c r="C4274" s="11">
        <f>IFERROR(__xludf.DUMMYFUNCTION("""COMPUTED_VALUE"""),844.0)</f>
        <v>844</v>
      </c>
      <c r="D4274" s="11">
        <f>IFERROR(__xludf.DUMMYFUNCTION("""COMPUTED_VALUE"""),709.0)</f>
        <v>709</v>
      </c>
      <c r="E4274" s="9"/>
    </row>
    <row r="4275">
      <c r="A4275" s="10">
        <f>IFERROR(__xludf.DUMMYFUNCTION("""COMPUTED_VALUE"""),105901.0)</f>
        <v>105901</v>
      </c>
      <c r="B4275" s="11">
        <f>IFERROR(__xludf.DUMMYFUNCTION("""COMPUTED_VALUE"""),0.0)</f>
        <v>0</v>
      </c>
      <c r="C4275" s="11">
        <f>IFERROR(__xludf.DUMMYFUNCTION("""COMPUTED_VALUE"""),430.0)</f>
        <v>430</v>
      </c>
      <c r="D4275" s="11">
        <f>IFERROR(__xludf.DUMMYFUNCTION("""COMPUTED_VALUE"""),340.0)</f>
        <v>340</v>
      </c>
      <c r="E4275" s="9"/>
    </row>
    <row r="4276">
      <c r="A4276" s="10">
        <f>IFERROR(__xludf.DUMMYFUNCTION("""COMPUTED_VALUE"""),180823.0)</f>
        <v>180823</v>
      </c>
      <c r="B4276" s="11">
        <f>IFERROR(__xludf.DUMMYFUNCTION("""COMPUTED_VALUE"""),1.0)</f>
        <v>1</v>
      </c>
      <c r="C4276" s="11">
        <f>IFERROR(__xludf.DUMMYFUNCTION("""COMPUTED_VALUE"""),832.0)</f>
        <v>832</v>
      </c>
      <c r="D4276" s="11">
        <f>IFERROR(__xludf.DUMMYFUNCTION("""COMPUTED_VALUE"""),113.0)</f>
        <v>113</v>
      </c>
      <c r="E4276" s="9"/>
    </row>
    <row r="4277">
      <c r="A4277" s="10">
        <f>IFERROR(__xludf.DUMMYFUNCTION("""COMPUTED_VALUE"""),118979.0)</f>
        <v>118979</v>
      </c>
      <c r="B4277" s="11">
        <f>IFERROR(__xludf.DUMMYFUNCTION("""COMPUTED_VALUE"""),0.0)</f>
        <v>0</v>
      </c>
      <c r="C4277" s="11">
        <f>IFERROR(__xludf.DUMMYFUNCTION("""COMPUTED_VALUE"""),654.0)</f>
        <v>654</v>
      </c>
      <c r="D4277" s="11">
        <f>IFERROR(__xludf.DUMMYFUNCTION("""COMPUTED_VALUE"""),381.0)</f>
        <v>381</v>
      </c>
      <c r="E4277" s="9"/>
    </row>
    <row r="4278">
      <c r="A4278" s="10">
        <f>IFERROR(__xludf.DUMMYFUNCTION("""COMPUTED_VALUE"""),111502.0)</f>
        <v>111502</v>
      </c>
      <c r="B4278" s="11">
        <f>IFERROR(__xludf.DUMMYFUNCTION("""COMPUTED_VALUE"""),1.0)</f>
        <v>1</v>
      </c>
      <c r="C4278" s="11">
        <f>IFERROR(__xludf.DUMMYFUNCTION("""COMPUTED_VALUE"""),380.0)</f>
        <v>380</v>
      </c>
      <c r="D4278" s="11">
        <f>IFERROR(__xludf.DUMMYFUNCTION("""COMPUTED_VALUE"""),64.0)</f>
        <v>64</v>
      </c>
      <c r="E4278" s="9"/>
    </row>
    <row r="4279">
      <c r="A4279" s="10">
        <f>IFERROR(__xludf.DUMMYFUNCTION("""COMPUTED_VALUE"""),180822.0)</f>
        <v>180822</v>
      </c>
      <c r="B4279" s="11">
        <f>IFERROR(__xludf.DUMMYFUNCTION("""COMPUTED_VALUE"""),0.0)</f>
        <v>0</v>
      </c>
      <c r="C4279" s="11">
        <f>IFERROR(__xludf.DUMMYFUNCTION("""COMPUTED_VALUE"""),212.0)</f>
        <v>212</v>
      </c>
      <c r="D4279" s="11">
        <f>IFERROR(__xludf.DUMMYFUNCTION("""COMPUTED_VALUE"""),201.0)</f>
        <v>201</v>
      </c>
      <c r="E4279" s="9"/>
    </row>
    <row r="4280">
      <c r="A4280" s="10">
        <f>IFERROR(__xludf.DUMMYFUNCTION("""COMPUTED_VALUE"""),101196.0)</f>
        <v>101196</v>
      </c>
      <c r="B4280" s="11">
        <f>IFERROR(__xludf.DUMMYFUNCTION("""COMPUTED_VALUE"""),1.0)</f>
        <v>1</v>
      </c>
      <c r="C4280" s="11">
        <f>IFERROR(__xludf.DUMMYFUNCTION("""COMPUTED_VALUE"""),827.0)</f>
        <v>827</v>
      </c>
      <c r="D4280" s="11">
        <f>IFERROR(__xludf.DUMMYFUNCTION("""COMPUTED_VALUE"""),699.0)</f>
        <v>699</v>
      </c>
      <c r="E4280" s="9"/>
    </row>
    <row r="4281">
      <c r="A4281" s="10">
        <f>IFERROR(__xludf.DUMMYFUNCTION("""COMPUTED_VALUE"""),180824.0)</f>
        <v>180824</v>
      </c>
      <c r="B4281" s="11">
        <f>IFERROR(__xludf.DUMMYFUNCTION("""COMPUTED_VALUE"""),0.0)</f>
        <v>0</v>
      </c>
      <c r="C4281" s="11">
        <f>IFERROR(__xludf.DUMMYFUNCTION("""COMPUTED_VALUE"""),445.0)</f>
        <v>445</v>
      </c>
      <c r="D4281" s="11">
        <f>IFERROR(__xludf.DUMMYFUNCTION("""COMPUTED_VALUE"""),351.0)</f>
        <v>351</v>
      </c>
      <c r="E4281" s="9"/>
    </row>
    <row r="4282">
      <c r="A4282" s="10">
        <f>IFERROR(__xludf.DUMMYFUNCTION("""COMPUTED_VALUE"""),105905.0)</f>
        <v>105905</v>
      </c>
      <c r="B4282" s="11">
        <f>IFERROR(__xludf.DUMMYFUNCTION("""COMPUTED_VALUE"""),1.0)</f>
        <v>1</v>
      </c>
      <c r="C4282" s="11">
        <f>IFERROR(__xludf.DUMMYFUNCTION("""COMPUTED_VALUE"""),266.0)</f>
        <v>266</v>
      </c>
      <c r="D4282" s="11">
        <f>IFERROR(__xludf.DUMMYFUNCTION("""COMPUTED_VALUE"""),127.0)</f>
        <v>127</v>
      </c>
      <c r="E4282" s="9"/>
    </row>
    <row r="4283">
      <c r="A4283" s="10">
        <f>IFERROR(__xludf.DUMMYFUNCTION("""COMPUTED_VALUE"""),101194.0)</f>
        <v>101194</v>
      </c>
      <c r="B4283" s="11">
        <f>IFERROR(__xludf.DUMMYFUNCTION("""COMPUTED_VALUE"""),0.0)</f>
        <v>0</v>
      </c>
      <c r="C4283" s="11">
        <f>IFERROR(__xludf.DUMMYFUNCTION("""COMPUTED_VALUE"""),342.0)</f>
        <v>342</v>
      </c>
      <c r="D4283" s="11">
        <f>IFERROR(__xludf.DUMMYFUNCTION("""COMPUTED_VALUE"""),252.0)</f>
        <v>252</v>
      </c>
      <c r="E4283" s="9"/>
    </row>
    <row r="4284">
      <c r="A4284" s="10">
        <f>IFERROR(__xludf.DUMMYFUNCTION("""COMPUTED_VALUE"""),113719.0)</f>
        <v>113719</v>
      </c>
      <c r="B4284" s="11">
        <f>IFERROR(__xludf.DUMMYFUNCTION("""COMPUTED_VALUE"""),0.0)</f>
        <v>0</v>
      </c>
      <c r="C4284" s="11">
        <f>IFERROR(__xludf.DUMMYFUNCTION("""COMPUTED_VALUE"""),206.0)</f>
        <v>206</v>
      </c>
      <c r="D4284" s="11">
        <f>IFERROR(__xludf.DUMMYFUNCTION("""COMPUTED_VALUE"""),48.0)</f>
        <v>48</v>
      </c>
      <c r="E4284" s="9"/>
    </row>
    <row r="4285">
      <c r="A4285" s="10">
        <f>IFERROR(__xludf.DUMMYFUNCTION("""COMPUTED_VALUE"""),111330.0)</f>
        <v>111330</v>
      </c>
      <c r="B4285" s="11">
        <f>IFERROR(__xludf.DUMMYFUNCTION("""COMPUTED_VALUE"""),0.0)</f>
        <v>0</v>
      </c>
      <c r="C4285" s="11">
        <f>IFERROR(__xludf.DUMMYFUNCTION("""COMPUTED_VALUE"""),201.0)</f>
        <v>201</v>
      </c>
      <c r="D4285" s="11">
        <f>IFERROR(__xludf.DUMMYFUNCTION("""COMPUTED_VALUE"""),32.0)</f>
        <v>32</v>
      </c>
      <c r="E4285" s="9"/>
    </row>
    <row r="4286">
      <c r="A4286" s="10">
        <f>IFERROR(__xludf.DUMMYFUNCTION("""COMPUTED_VALUE"""),102089.0)</f>
        <v>102089</v>
      </c>
      <c r="B4286" s="11">
        <f>IFERROR(__xludf.DUMMYFUNCTION("""COMPUTED_VALUE"""),0.0)</f>
        <v>0</v>
      </c>
      <c r="C4286" s="11">
        <f>IFERROR(__xludf.DUMMYFUNCTION("""COMPUTED_VALUE"""),586.0)</f>
        <v>586</v>
      </c>
      <c r="D4286" s="11">
        <f>IFERROR(__xludf.DUMMYFUNCTION("""COMPUTED_VALUE"""),580.0)</f>
        <v>580</v>
      </c>
      <c r="E4286" s="9"/>
    </row>
    <row r="4287">
      <c r="A4287" s="10">
        <f>IFERROR(__xludf.DUMMYFUNCTION("""COMPUTED_VALUE"""),116867.0)</f>
        <v>116867</v>
      </c>
      <c r="B4287" s="11">
        <f>IFERROR(__xludf.DUMMYFUNCTION("""COMPUTED_VALUE"""),1.0)</f>
        <v>1</v>
      </c>
      <c r="C4287" s="11">
        <f>IFERROR(__xludf.DUMMYFUNCTION("""COMPUTED_VALUE"""),853.0)</f>
        <v>853</v>
      </c>
      <c r="D4287" s="11">
        <f>IFERROR(__xludf.DUMMYFUNCTION("""COMPUTED_VALUE"""),391.0)</f>
        <v>391</v>
      </c>
      <c r="E4287" s="9"/>
    </row>
    <row r="4288">
      <c r="A4288" s="10">
        <f>IFERROR(__xludf.DUMMYFUNCTION("""COMPUTED_VALUE"""),150297.0)</f>
        <v>150297</v>
      </c>
      <c r="B4288" s="11">
        <f>IFERROR(__xludf.DUMMYFUNCTION("""COMPUTED_VALUE"""),0.0)</f>
        <v>0</v>
      </c>
      <c r="C4288" s="11">
        <f>IFERROR(__xludf.DUMMYFUNCTION("""COMPUTED_VALUE"""),435.0)</f>
        <v>435</v>
      </c>
      <c r="D4288" s="11">
        <f>IFERROR(__xludf.DUMMYFUNCTION("""COMPUTED_VALUE"""),93.0)</f>
        <v>93</v>
      </c>
      <c r="E4288" s="9"/>
    </row>
    <row r="4289">
      <c r="A4289" s="10">
        <f>IFERROR(__xludf.DUMMYFUNCTION("""COMPUTED_VALUE"""),23628.0)</f>
        <v>23628</v>
      </c>
      <c r="B4289" s="11">
        <f>IFERROR(__xludf.DUMMYFUNCTION("""COMPUTED_VALUE"""),0.0)</f>
        <v>0</v>
      </c>
      <c r="C4289" s="11">
        <f>IFERROR(__xludf.DUMMYFUNCTION("""COMPUTED_VALUE"""),653.0)</f>
        <v>653</v>
      </c>
      <c r="D4289" s="11">
        <f>IFERROR(__xludf.DUMMYFUNCTION("""COMPUTED_VALUE"""),73.0)</f>
        <v>73</v>
      </c>
      <c r="E4289" s="9"/>
    </row>
    <row r="4290">
      <c r="A4290" s="10">
        <f>IFERROR(__xludf.DUMMYFUNCTION("""COMPUTED_VALUE"""),120369.0)</f>
        <v>120369</v>
      </c>
      <c r="B4290" s="11">
        <f>IFERROR(__xludf.DUMMYFUNCTION("""COMPUTED_VALUE"""),0.0)</f>
        <v>0</v>
      </c>
      <c r="C4290" s="11">
        <f>IFERROR(__xludf.DUMMYFUNCTION("""COMPUTED_VALUE"""),837.0)</f>
        <v>837</v>
      </c>
      <c r="D4290" s="11">
        <f>IFERROR(__xludf.DUMMYFUNCTION("""COMPUTED_VALUE"""),62.0)</f>
        <v>62</v>
      </c>
      <c r="E4290" s="9"/>
    </row>
    <row r="4291">
      <c r="A4291" s="10">
        <f>IFERROR(__xludf.DUMMYFUNCTION("""COMPUTED_VALUE"""),114175.0)</f>
        <v>114175</v>
      </c>
      <c r="B4291" s="11">
        <f>IFERROR(__xludf.DUMMYFUNCTION("""COMPUTED_VALUE"""),1.0)</f>
        <v>1</v>
      </c>
      <c r="C4291" s="11">
        <f>IFERROR(__xludf.DUMMYFUNCTION("""COMPUTED_VALUE"""),104.0)</f>
        <v>104</v>
      </c>
      <c r="D4291" s="11">
        <f>IFERROR(__xludf.DUMMYFUNCTION("""COMPUTED_VALUE"""),10.0)</f>
        <v>10</v>
      </c>
      <c r="E4291" s="9"/>
    </row>
    <row r="4292">
      <c r="A4292" s="10">
        <f>IFERROR(__xludf.DUMMYFUNCTION("""COMPUTED_VALUE"""),23649.0)</f>
        <v>23649</v>
      </c>
      <c r="B4292" s="11">
        <f>IFERROR(__xludf.DUMMYFUNCTION("""COMPUTED_VALUE"""),0.0)</f>
        <v>0</v>
      </c>
      <c r="C4292" s="11">
        <f>IFERROR(__xludf.DUMMYFUNCTION("""COMPUTED_VALUE"""),713.0)</f>
        <v>713</v>
      </c>
      <c r="D4292" s="11">
        <f>IFERROR(__xludf.DUMMYFUNCTION("""COMPUTED_VALUE"""),34.0)</f>
        <v>34</v>
      </c>
      <c r="E4292" s="9"/>
    </row>
    <row r="4293">
      <c r="A4293" s="10">
        <f>IFERROR(__xludf.DUMMYFUNCTION("""COMPUTED_VALUE"""),80419.0)</f>
        <v>80419</v>
      </c>
      <c r="B4293" s="11">
        <f>IFERROR(__xludf.DUMMYFUNCTION("""COMPUTED_VALUE"""),0.0)</f>
        <v>0</v>
      </c>
      <c r="C4293" s="11">
        <f>IFERROR(__xludf.DUMMYFUNCTION("""COMPUTED_VALUE"""),269.0)</f>
        <v>269</v>
      </c>
      <c r="D4293" s="11">
        <f>IFERROR(__xludf.DUMMYFUNCTION("""COMPUTED_VALUE"""),135.0)</f>
        <v>135</v>
      </c>
      <c r="E4293" s="9"/>
    </row>
    <row r="4294">
      <c r="A4294" s="10">
        <f>IFERROR(__xludf.DUMMYFUNCTION("""COMPUTED_VALUE"""),114173.0)</f>
        <v>114173</v>
      </c>
      <c r="B4294" s="11">
        <f>IFERROR(__xludf.DUMMYFUNCTION("""COMPUTED_VALUE"""),1.0)</f>
        <v>1</v>
      </c>
      <c r="C4294" s="11">
        <f>IFERROR(__xludf.DUMMYFUNCTION("""COMPUTED_VALUE"""),55.0)</f>
        <v>55</v>
      </c>
      <c r="D4294" s="11">
        <f>IFERROR(__xludf.DUMMYFUNCTION("""COMPUTED_VALUE"""),47.0)</f>
        <v>47</v>
      </c>
      <c r="E4294" s="9"/>
    </row>
    <row r="4295">
      <c r="A4295" s="10">
        <f>IFERROR(__xludf.DUMMYFUNCTION("""COMPUTED_VALUE"""),91562.0)</f>
        <v>91562</v>
      </c>
      <c r="B4295" s="11">
        <f>IFERROR(__xludf.DUMMYFUNCTION("""COMPUTED_VALUE"""),1.0)</f>
        <v>1</v>
      </c>
      <c r="C4295" s="11">
        <f>IFERROR(__xludf.DUMMYFUNCTION("""COMPUTED_VALUE"""),685.0)</f>
        <v>685</v>
      </c>
      <c r="D4295" s="11">
        <f>IFERROR(__xludf.DUMMYFUNCTION("""COMPUTED_VALUE"""),14.0)</f>
        <v>14</v>
      </c>
      <c r="E4295" s="9"/>
    </row>
    <row r="4296">
      <c r="A4296" s="10">
        <f>IFERROR(__xludf.DUMMYFUNCTION("""COMPUTED_VALUE"""),23662.0)</f>
        <v>23662</v>
      </c>
      <c r="B4296" s="11">
        <f>IFERROR(__xludf.DUMMYFUNCTION("""COMPUTED_VALUE"""),1.0)</f>
        <v>1</v>
      </c>
      <c r="C4296" s="11">
        <f>IFERROR(__xludf.DUMMYFUNCTION("""COMPUTED_VALUE"""),769.0)</f>
        <v>769</v>
      </c>
      <c r="D4296" s="11">
        <f>IFERROR(__xludf.DUMMYFUNCTION("""COMPUTED_VALUE"""),759.0)</f>
        <v>759</v>
      </c>
      <c r="E4296" s="9"/>
    </row>
    <row r="4297">
      <c r="A4297" s="10">
        <f>IFERROR(__xludf.DUMMYFUNCTION("""COMPUTED_VALUE"""),76466.0)</f>
        <v>76466</v>
      </c>
      <c r="B4297" s="11">
        <f>IFERROR(__xludf.DUMMYFUNCTION("""COMPUTED_VALUE"""),0.0)</f>
        <v>0</v>
      </c>
      <c r="C4297" s="11">
        <f>IFERROR(__xludf.DUMMYFUNCTION("""COMPUTED_VALUE"""),118.0)</f>
        <v>118</v>
      </c>
      <c r="D4297" s="11">
        <f>IFERROR(__xludf.DUMMYFUNCTION("""COMPUTED_VALUE"""),39.0)</f>
        <v>39</v>
      </c>
      <c r="E4297" s="9"/>
    </row>
    <row r="4298">
      <c r="A4298" s="10">
        <f>IFERROR(__xludf.DUMMYFUNCTION("""COMPUTED_VALUE"""),76465.0)</f>
        <v>76465</v>
      </c>
      <c r="B4298" s="11">
        <f>IFERROR(__xludf.DUMMYFUNCTION("""COMPUTED_VALUE"""),0.0)</f>
        <v>0</v>
      </c>
      <c r="C4298" s="11">
        <f>IFERROR(__xludf.DUMMYFUNCTION("""COMPUTED_VALUE"""),314.0)</f>
        <v>314</v>
      </c>
      <c r="D4298" s="11">
        <f>IFERROR(__xludf.DUMMYFUNCTION("""COMPUTED_VALUE"""),37.0)</f>
        <v>37</v>
      </c>
      <c r="E4298" s="9"/>
    </row>
    <row r="4299">
      <c r="A4299" s="10">
        <f>IFERROR(__xludf.DUMMYFUNCTION("""COMPUTED_VALUE"""),68329.0)</f>
        <v>68329</v>
      </c>
      <c r="B4299" s="11">
        <f>IFERROR(__xludf.DUMMYFUNCTION("""COMPUTED_VALUE"""),0.0)</f>
        <v>0</v>
      </c>
      <c r="C4299" s="11">
        <f>IFERROR(__xludf.DUMMYFUNCTION("""COMPUTED_VALUE"""),780.0)</f>
        <v>780</v>
      </c>
      <c r="D4299" s="11">
        <f>IFERROR(__xludf.DUMMYFUNCTION("""COMPUTED_VALUE"""),65.0)</f>
        <v>65</v>
      </c>
      <c r="E4299" s="9"/>
    </row>
    <row r="4300">
      <c r="A4300" s="10">
        <f>IFERROR(__xludf.DUMMYFUNCTION("""COMPUTED_VALUE"""),114470.0)</f>
        <v>114470</v>
      </c>
      <c r="B4300" s="11">
        <f>IFERROR(__xludf.DUMMYFUNCTION("""COMPUTED_VALUE"""),1.0)</f>
        <v>1</v>
      </c>
      <c r="C4300" s="11">
        <f>IFERROR(__xludf.DUMMYFUNCTION("""COMPUTED_VALUE"""),863.0)</f>
        <v>863</v>
      </c>
      <c r="D4300" s="11">
        <f>IFERROR(__xludf.DUMMYFUNCTION("""COMPUTED_VALUE"""),310.0)</f>
        <v>310</v>
      </c>
      <c r="E4300" s="9"/>
    </row>
    <row r="4301">
      <c r="A4301" s="10">
        <f>IFERROR(__xludf.DUMMYFUNCTION("""COMPUTED_VALUE"""),110568.0)</f>
        <v>110568</v>
      </c>
      <c r="B4301" s="11">
        <f>IFERROR(__xludf.DUMMYFUNCTION("""COMPUTED_VALUE"""),1.0)</f>
        <v>1</v>
      </c>
      <c r="C4301" s="11">
        <f>IFERROR(__xludf.DUMMYFUNCTION("""COMPUTED_VALUE"""),785.0)</f>
        <v>785</v>
      </c>
      <c r="D4301" s="11">
        <f>IFERROR(__xludf.DUMMYFUNCTION("""COMPUTED_VALUE"""),295.0)</f>
        <v>295</v>
      </c>
      <c r="E4301" s="9"/>
    </row>
    <row r="4302">
      <c r="A4302" s="10">
        <f>IFERROR(__xludf.DUMMYFUNCTION("""COMPUTED_VALUE"""),76470.0)</f>
        <v>76470</v>
      </c>
      <c r="B4302" s="11">
        <f>IFERROR(__xludf.DUMMYFUNCTION("""COMPUTED_VALUE"""),0.0)</f>
        <v>0</v>
      </c>
      <c r="C4302" s="11">
        <f>IFERROR(__xludf.DUMMYFUNCTION("""COMPUTED_VALUE"""),76.0)</f>
        <v>76</v>
      </c>
      <c r="D4302" s="11">
        <f>IFERROR(__xludf.DUMMYFUNCTION("""COMPUTED_VALUE"""),21.0)</f>
        <v>21</v>
      </c>
      <c r="E4302" s="9"/>
    </row>
    <row r="4303">
      <c r="A4303" s="10">
        <f>IFERROR(__xludf.DUMMYFUNCTION("""COMPUTED_VALUE"""),5604.0)</f>
        <v>5604</v>
      </c>
      <c r="B4303" s="11">
        <f>IFERROR(__xludf.DUMMYFUNCTION("""COMPUTED_VALUE"""),1.0)</f>
        <v>1</v>
      </c>
      <c r="C4303" s="11">
        <f>IFERROR(__xludf.DUMMYFUNCTION("""COMPUTED_VALUE"""),205.0)</f>
        <v>205</v>
      </c>
      <c r="D4303" s="11">
        <f>IFERROR(__xludf.DUMMYFUNCTION("""COMPUTED_VALUE"""),12.0)</f>
        <v>12</v>
      </c>
      <c r="E4303" s="9"/>
    </row>
    <row r="4304">
      <c r="A4304" s="10">
        <f>IFERROR(__xludf.DUMMYFUNCTION("""COMPUTED_VALUE"""),28613.0)</f>
        <v>28613</v>
      </c>
      <c r="B4304" s="11">
        <f>IFERROR(__xludf.DUMMYFUNCTION("""COMPUTED_VALUE"""),1.0)</f>
        <v>1</v>
      </c>
      <c r="C4304" s="11">
        <f>IFERROR(__xludf.DUMMYFUNCTION("""COMPUTED_VALUE"""),617.0)</f>
        <v>617</v>
      </c>
      <c r="D4304" s="11">
        <f>IFERROR(__xludf.DUMMYFUNCTION("""COMPUTED_VALUE"""),443.0)</f>
        <v>443</v>
      </c>
      <c r="E4304" s="9"/>
    </row>
    <row r="4305">
      <c r="A4305" s="10">
        <f>IFERROR(__xludf.DUMMYFUNCTION("""COMPUTED_VALUE"""),159402.0)</f>
        <v>159402</v>
      </c>
      <c r="B4305" s="11">
        <f>IFERROR(__xludf.DUMMYFUNCTION("""COMPUTED_VALUE"""),0.0)</f>
        <v>0</v>
      </c>
      <c r="C4305" s="11">
        <f>IFERROR(__xludf.DUMMYFUNCTION("""COMPUTED_VALUE"""),228.0)</f>
        <v>228</v>
      </c>
      <c r="D4305" s="11">
        <f>IFERROR(__xludf.DUMMYFUNCTION("""COMPUTED_VALUE"""),58.0)</f>
        <v>58</v>
      </c>
      <c r="E4305" s="9"/>
    </row>
    <row r="4306">
      <c r="A4306" s="10">
        <f>IFERROR(__xludf.DUMMYFUNCTION("""COMPUTED_VALUE"""),68379.0)</f>
        <v>68379</v>
      </c>
      <c r="B4306" s="11">
        <f>IFERROR(__xludf.DUMMYFUNCTION("""COMPUTED_VALUE"""),0.0)</f>
        <v>0</v>
      </c>
      <c r="C4306" s="11">
        <f>IFERROR(__xludf.DUMMYFUNCTION("""COMPUTED_VALUE"""),592.0)</f>
        <v>592</v>
      </c>
      <c r="D4306" s="11">
        <f>IFERROR(__xludf.DUMMYFUNCTION("""COMPUTED_VALUE"""),162.0)</f>
        <v>162</v>
      </c>
      <c r="E4306" s="9"/>
    </row>
    <row r="4307">
      <c r="A4307" s="10">
        <f>IFERROR(__xludf.DUMMYFUNCTION("""COMPUTED_VALUE"""),91069.0)</f>
        <v>91069</v>
      </c>
      <c r="B4307" s="11">
        <f>IFERROR(__xludf.DUMMYFUNCTION("""COMPUTED_VALUE"""),0.0)</f>
        <v>0</v>
      </c>
      <c r="C4307" s="11">
        <f>IFERROR(__xludf.DUMMYFUNCTION("""COMPUTED_VALUE"""),413.0)</f>
        <v>413</v>
      </c>
      <c r="D4307" s="11">
        <f>IFERROR(__xludf.DUMMYFUNCTION("""COMPUTED_VALUE"""),149.0)</f>
        <v>149</v>
      </c>
      <c r="E4307" s="9"/>
    </row>
    <row r="4308">
      <c r="A4308" s="10">
        <f>IFERROR(__xludf.DUMMYFUNCTION("""COMPUTED_VALUE"""),91060.0)</f>
        <v>91060</v>
      </c>
      <c r="B4308" s="11">
        <f>IFERROR(__xludf.DUMMYFUNCTION("""COMPUTED_VALUE"""),0.0)</f>
        <v>0</v>
      </c>
      <c r="C4308" s="11">
        <f>IFERROR(__xludf.DUMMYFUNCTION("""COMPUTED_VALUE"""),426.0)</f>
        <v>426</v>
      </c>
      <c r="D4308" s="11">
        <f>IFERROR(__xludf.DUMMYFUNCTION("""COMPUTED_VALUE"""),25.0)</f>
        <v>25</v>
      </c>
      <c r="E4308" s="9"/>
    </row>
    <row r="4309">
      <c r="A4309" s="10">
        <f>IFERROR(__xludf.DUMMYFUNCTION("""COMPUTED_VALUE"""),182274.0)</f>
        <v>182274</v>
      </c>
      <c r="B4309" s="11">
        <f>IFERROR(__xludf.DUMMYFUNCTION("""COMPUTED_VALUE"""),0.0)</f>
        <v>0</v>
      </c>
      <c r="C4309" s="11">
        <f>IFERROR(__xludf.DUMMYFUNCTION("""COMPUTED_VALUE"""),402.0)</f>
        <v>402</v>
      </c>
      <c r="D4309" s="11">
        <f>IFERROR(__xludf.DUMMYFUNCTION("""COMPUTED_VALUE"""),222.0)</f>
        <v>222</v>
      </c>
      <c r="E4309" s="9"/>
    </row>
    <row r="4310">
      <c r="A4310" s="10">
        <f>IFERROR(__xludf.DUMMYFUNCTION("""COMPUTED_VALUE"""),110566.0)</f>
        <v>110566</v>
      </c>
      <c r="B4310" s="11">
        <f>IFERROR(__xludf.DUMMYFUNCTION("""COMPUTED_VALUE"""),1.0)</f>
        <v>1</v>
      </c>
      <c r="C4310" s="11">
        <f>IFERROR(__xludf.DUMMYFUNCTION("""COMPUTED_VALUE"""),590.0)</f>
        <v>590</v>
      </c>
      <c r="D4310" s="11">
        <f>IFERROR(__xludf.DUMMYFUNCTION("""COMPUTED_VALUE"""),259.0)</f>
        <v>259</v>
      </c>
      <c r="E4310" s="9"/>
    </row>
    <row r="4311">
      <c r="A4311" s="10">
        <f>IFERROR(__xludf.DUMMYFUNCTION("""COMPUTED_VALUE"""),78877.0)</f>
        <v>78877</v>
      </c>
      <c r="B4311" s="11">
        <f>IFERROR(__xludf.DUMMYFUNCTION("""COMPUTED_VALUE"""),0.0)</f>
        <v>0</v>
      </c>
      <c r="C4311" s="11">
        <f>IFERROR(__xludf.DUMMYFUNCTION("""COMPUTED_VALUE"""),384.0)</f>
        <v>384</v>
      </c>
      <c r="D4311" s="11">
        <f>IFERROR(__xludf.DUMMYFUNCTION("""COMPUTED_VALUE"""),67.0)</f>
        <v>67</v>
      </c>
      <c r="E4311" s="9"/>
    </row>
    <row r="4312">
      <c r="A4312" s="10">
        <f>IFERROR(__xludf.DUMMYFUNCTION("""COMPUTED_VALUE"""),5490.0)</f>
        <v>5490</v>
      </c>
      <c r="B4312" s="11">
        <f>IFERROR(__xludf.DUMMYFUNCTION("""COMPUTED_VALUE"""),1.0)</f>
        <v>1</v>
      </c>
      <c r="C4312" s="11">
        <f>IFERROR(__xludf.DUMMYFUNCTION("""COMPUTED_VALUE"""),624.0)</f>
        <v>624</v>
      </c>
      <c r="D4312" s="11">
        <f>IFERROR(__xludf.DUMMYFUNCTION("""COMPUTED_VALUE"""),239.0)</f>
        <v>239</v>
      </c>
      <c r="E4312" s="9"/>
    </row>
    <row r="4313">
      <c r="A4313" s="10">
        <f>IFERROR(__xludf.DUMMYFUNCTION("""COMPUTED_VALUE"""),68382.0)</f>
        <v>68382</v>
      </c>
      <c r="B4313" s="11">
        <f>IFERROR(__xludf.DUMMYFUNCTION("""COMPUTED_VALUE"""),0.0)</f>
        <v>0</v>
      </c>
      <c r="C4313" s="11">
        <f>IFERROR(__xludf.DUMMYFUNCTION("""COMPUTED_VALUE"""),452.0)</f>
        <v>452</v>
      </c>
      <c r="D4313" s="11">
        <f>IFERROR(__xludf.DUMMYFUNCTION("""COMPUTED_VALUE"""),169.0)</f>
        <v>169</v>
      </c>
      <c r="E4313" s="9"/>
    </row>
    <row r="4314">
      <c r="A4314" s="10">
        <f>IFERROR(__xludf.DUMMYFUNCTION("""COMPUTED_VALUE"""),114663.0)</f>
        <v>114663</v>
      </c>
      <c r="B4314" s="11">
        <f>IFERROR(__xludf.DUMMYFUNCTION("""COMPUTED_VALUE"""),0.0)</f>
        <v>0</v>
      </c>
      <c r="C4314" s="11">
        <f>IFERROR(__xludf.DUMMYFUNCTION("""COMPUTED_VALUE"""),314.0)</f>
        <v>314</v>
      </c>
      <c r="D4314" s="11">
        <f>IFERROR(__xludf.DUMMYFUNCTION("""COMPUTED_VALUE"""),51.0)</f>
        <v>51</v>
      </c>
      <c r="E4314" s="9"/>
    </row>
    <row r="4315">
      <c r="A4315" s="10">
        <f>IFERROR(__xludf.DUMMYFUNCTION("""COMPUTED_VALUE"""),76474.0)</f>
        <v>76474</v>
      </c>
      <c r="B4315" s="11">
        <f>IFERROR(__xludf.DUMMYFUNCTION("""COMPUTED_VALUE"""),1.0)</f>
        <v>1</v>
      </c>
      <c r="C4315" s="11">
        <f>IFERROR(__xludf.DUMMYFUNCTION("""COMPUTED_VALUE"""),37.0)</f>
        <v>37</v>
      </c>
      <c r="D4315" s="11">
        <f>IFERROR(__xludf.DUMMYFUNCTION("""COMPUTED_VALUE"""),35.0)</f>
        <v>35</v>
      </c>
      <c r="E4315" s="9"/>
    </row>
    <row r="4316">
      <c r="A4316" s="10">
        <f>IFERROR(__xludf.DUMMYFUNCTION("""COMPUTED_VALUE"""),76455.0)</f>
        <v>76455</v>
      </c>
      <c r="B4316" s="11">
        <f>IFERROR(__xludf.DUMMYFUNCTION("""COMPUTED_VALUE"""),1.0)</f>
        <v>1</v>
      </c>
      <c r="C4316" s="11">
        <f>IFERROR(__xludf.DUMMYFUNCTION("""COMPUTED_VALUE"""),905.0)</f>
        <v>905</v>
      </c>
      <c r="D4316" s="11">
        <f>IFERROR(__xludf.DUMMYFUNCTION("""COMPUTED_VALUE"""),573.0)</f>
        <v>573</v>
      </c>
      <c r="E4316" s="9"/>
    </row>
    <row r="4317">
      <c r="A4317" s="10">
        <f>IFERROR(__xludf.DUMMYFUNCTION("""COMPUTED_VALUE"""),46337.0)</f>
        <v>46337</v>
      </c>
      <c r="B4317" s="11">
        <f>IFERROR(__xludf.DUMMYFUNCTION("""COMPUTED_VALUE"""),0.0)</f>
        <v>0</v>
      </c>
      <c r="C4317" s="11">
        <f>IFERROR(__xludf.DUMMYFUNCTION("""COMPUTED_VALUE"""),145.0)</f>
        <v>145</v>
      </c>
      <c r="D4317" s="11">
        <f>IFERROR(__xludf.DUMMYFUNCTION("""COMPUTED_VALUE"""),84.0)</f>
        <v>84</v>
      </c>
      <c r="E4317" s="9"/>
    </row>
    <row r="4318">
      <c r="A4318" s="10">
        <f>IFERROR(__xludf.DUMMYFUNCTION("""COMPUTED_VALUE"""),78430.0)</f>
        <v>78430</v>
      </c>
      <c r="B4318" s="11">
        <f>IFERROR(__xludf.DUMMYFUNCTION("""COMPUTED_VALUE"""),1.0)</f>
        <v>1</v>
      </c>
      <c r="C4318" s="11">
        <f>IFERROR(__xludf.DUMMYFUNCTION("""COMPUTED_VALUE"""),102.0)</f>
        <v>102</v>
      </c>
      <c r="D4318" s="11">
        <f>IFERROR(__xludf.DUMMYFUNCTION("""COMPUTED_VALUE"""),100.0)</f>
        <v>100</v>
      </c>
      <c r="E4318" s="9"/>
    </row>
    <row r="4319">
      <c r="A4319" s="10">
        <f>IFERROR(__xludf.DUMMYFUNCTION("""COMPUTED_VALUE"""),5605.0)</f>
        <v>5605</v>
      </c>
      <c r="B4319" s="11">
        <f>IFERROR(__xludf.DUMMYFUNCTION("""COMPUTED_VALUE"""),1.0)</f>
        <v>1</v>
      </c>
      <c r="C4319" s="11">
        <f>IFERROR(__xludf.DUMMYFUNCTION("""COMPUTED_VALUE"""),124.0)</f>
        <v>124</v>
      </c>
      <c r="D4319" s="11">
        <f>IFERROR(__xludf.DUMMYFUNCTION("""COMPUTED_VALUE"""),18.0)</f>
        <v>18</v>
      </c>
      <c r="E4319" s="9"/>
    </row>
    <row r="4320">
      <c r="A4320" s="10">
        <f>IFERROR(__xludf.DUMMYFUNCTION("""COMPUTED_VALUE"""),77419.0)</f>
        <v>77419</v>
      </c>
      <c r="B4320" s="11">
        <f>IFERROR(__xludf.DUMMYFUNCTION("""COMPUTED_VALUE"""),0.0)</f>
        <v>0</v>
      </c>
      <c r="C4320" s="11">
        <f>IFERROR(__xludf.DUMMYFUNCTION("""COMPUTED_VALUE"""),159.0)</f>
        <v>159</v>
      </c>
      <c r="D4320" s="11">
        <f>IFERROR(__xludf.DUMMYFUNCTION("""COMPUTED_VALUE"""),100.0)</f>
        <v>100</v>
      </c>
      <c r="E4320" s="9"/>
    </row>
    <row r="4321">
      <c r="A4321" s="10">
        <f>IFERROR(__xludf.DUMMYFUNCTION("""COMPUTED_VALUE"""),121701.0)</f>
        <v>121701</v>
      </c>
      <c r="B4321" s="11">
        <f>IFERROR(__xludf.DUMMYFUNCTION("""COMPUTED_VALUE"""),1.0)</f>
        <v>1</v>
      </c>
      <c r="C4321" s="11">
        <f>IFERROR(__xludf.DUMMYFUNCTION("""COMPUTED_VALUE"""),96.0)</f>
        <v>96</v>
      </c>
      <c r="D4321" s="11">
        <f>IFERROR(__xludf.DUMMYFUNCTION("""COMPUTED_VALUE"""),52.0)</f>
        <v>52</v>
      </c>
      <c r="E4321" s="9"/>
    </row>
    <row r="4322">
      <c r="A4322" s="10">
        <f>IFERROR(__xludf.DUMMYFUNCTION("""COMPUTED_VALUE"""),91072.0)</f>
        <v>91072</v>
      </c>
      <c r="B4322" s="11">
        <f>IFERROR(__xludf.DUMMYFUNCTION("""COMPUTED_VALUE"""),1.0)</f>
        <v>1</v>
      </c>
      <c r="C4322" s="11">
        <f>IFERROR(__xludf.DUMMYFUNCTION("""COMPUTED_VALUE"""),337.0)</f>
        <v>337</v>
      </c>
      <c r="D4322" s="11">
        <f>IFERROR(__xludf.DUMMYFUNCTION("""COMPUTED_VALUE"""),73.0)</f>
        <v>73</v>
      </c>
      <c r="E4322" s="9"/>
    </row>
    <row r="4323">
      <c r="A4323" s="10">
        <f>IFERROR(__xludf.DUMMYFUNCTION("""COMPUTED_VALUE"""),68486.0)</f>
        <v>68486</v>
      </c>
      <c r="B4323" s="11">
        <f>IFERROR(__xludf.DUMMYFUNCTION("""COMPUTED_VALUE"""),0.0)</f>
        <v>0</v>
      </c>
      <c r="C4323" s="11">
        <f>IFERROR(__xludf.DUMMYFUNCTION("""COMPUTED_VALUE"""),52.0)</f>
        <v>52</v>
      </c>
      <c r="D4323" s="11">
        <f>IFERROR(__xludf.DUMMYFUNCTION("""COMPUTED_VALUE"""),1.0)</f>
        <v>1</v>
      </c>
      <c r="E4323" s="9"/>
    </row>
    <row r="4324">
      <c r="A4324" s="10">
        <f>IFERROR(__xludf.DUMMYFUNCTION("""COMPUTED_VALUE"""),110576.0)</f>
        <v>110576</v>
      </c>
      <c r="B4324" s="11">
        <f>IFERROR(__xludf.DUMMYFUNCTION("""COMPUTED_VALUE"""),0.0)</f>
        <v>0</v>
      </c>
      <c r="C4324" s="11">
        <f>IFERROR(__xludf.DUMMYFUNCTION("""COMPUTED_VALUE"""),555.0)</f>
        <v>555</v>
      </c>
      <c r="D4324" s="11">
        <f>IFERROR(__xludf.DUMMYFUNCTION("""COMPUTED_VALUE"""),400.0)</f>
        <v>400</v>
      </c>
      <c r="E4324" s="9"/>
    </row>
    <row r="4325">
      <c r="A4325" s="10">
        <f>IFERROR(__xludf.DUMMYFUNCTION("""COMPUTED_VALUE"""),78503.0)</f>
        <v>78503</v>
      </c>
      <c r="B4325" s="11">
        <f>IFERROR(__xludf.DUMMYFUNCTION("""COMPUTED_VALUE"""),1.0)</f>
        <v>1</v>
      </c>
      <c r="C4325" s="11">
        <f>IFERROR(__xludf.DUMMYFUNCTION("""COMPUTED_VALUE"""),652.0)</f>
        <v>652</v>
      </c>
      <c r="D4325" s="11">
        <f>IFERROR(__xludf.DUMMYFUNCTION("""COMPUTED_VALUE"""),42.0)</f>
        <v>42</v>
      </c>
      <c r="E4325" s="9"/>
    </row>
    <row r="4326">
      <c r="A4326" s="10">
        <f>IFERROR(__xludf.DUMMYFUNCTION("""COMPUTED_VALUE"""),77439.0)</f>
        <v>77439</v>
      </c>
      <c r="B4326" s="11">
        <f>IFERROR(__xludf.DUMMYFUNCTION("""COMPUTED_VALUE"""),1.0)</f>
        <v>1</v>
      </c>
      <c r="C4326" s="11">
        <f>IFERROR(__xludf.DUMMYFUNCTION("""COMPUTED_VALUE"""),458.0)</f>
        <v>458</v>
      </c>
      <c r="D4326" s="11">
        <f>IFERROR(__xludf.DUMMYFUNCTION("""COMPUTED_VALUE"""),251.0)</f>
        <v>251</v>
      </c>
      <c r="E4326" s="9"/>
    </row>
    <row r="4327">
      <c r="A4327" s="10">
        <f>IFERROR(__xludf.DUMMYFUNCTION("""COMPUTED_VALUE"""),5615.0)</f>
        <v>5615</v>
      </c>
      <c r="B4327" s="11">
        <f>IFERROR(__xludf.DUMMYFUNCTION("""COMPUTED_VALUE"""),1.0)</f>
        <v>1</v>
      </c>
      <c r="C4327" s="11">
        <f>IFERROR(__xludf.DUMMYFUNCTION("""COMPUTED_VALUE"""),645.0)</f>
        <v>645</v>
      </c>
      <c r="D4327" s="11">
        <f>IFERROR(__xludf.DUMMYFUNCTION("""COMPUTED_VALUE"""),342.0)</f>
        <v>342</v>
      </c>
      <c r="E4327" s="9"/>
    </row>
    <row r="4328">
      <c r="A4328" s="10">
        <f>IFERROR(__xludf.DUMMYFUNCTION("""COMPUTED_VALUE"""),5602.0)</f>
        <v>5602</v>
      </c>
      <c r="B4328" s="11">
        <f>IFERROR(__xludf.DUMMYFUNCTION("""COMPUTED_VALUE"""),0.0)</f>
        <v>0</v>
      </c>
      <c r="C4328" s="11">
        <f>IFERROR(__xludf.DUMMYFUNCTION("""COMPUTED_VALUE"""),25.0)</f>
        <v>25</v>
      </c>
      <c r="D4328" s="11">
        <f>IFERROR(__xludf.DUMMYFUNCTION("""COMPUTED_VALUE"""),16.0)</f>
        <v>16</v>
      </c>
      <c r="E4328" s="9"/>
    </row>
    <row r="4329">
      <c r="A4329" s="10">
        <f>IFERROR(__xludf.DUMMYFUNCTION("""COMPUTED_VALUE"""),28612.0)</f>
        <v>28612</v>
      </c>
      <c r="B4329" s="11">
        <f>IFERROR(__xludf.DUMMYFUNCTION("""COMPUTED_VALUE"""),1.0)</f>
        <v>1</v>
      </c>
      <c r="C4329" s="11">
        <f>IFERROR(__xludf.DUMMYFUNCTION("""COMPUTED_VALUE"""),305.0)</f>
        <v>305</v>
      </c>
      <c r="D4329" s="11">
        <f>IFERROR(__xludf.DUMMYFUNCTION("""COMPUTED_VALUE"""),76.0)</f>
        <v>76</v>
      </c>
      <c r="E4329" s="9"/>
    </row>
    <row r="4330">
      <c r="A4330" s="10">
        <f>IFERROR(__xludf.DUMMYFUNCTION("""COMPUTED_VALUE"""),72247.0)</f>
        <v>72247</v>
      </c>
      <c r="B4330" s="11">
        <f>IFERROR(__xludf.DUMMYFUNCTION("""COMPUTED_VALUE"""),0.0)</f>
        <v>0</v>
      </c>
      <c r="C4330" s="11">
        <f>IFERROR(__xludf.DUMMYFUNCTION("""COMPUTED_VALUE"""),44.0)</f>
        <v>44</v>
      </c>
      <c r="D4330" s="11">
        <f>IFERROR(__xludf.DUMMYFUNCTION("""COMPUTED_VALUE"""),12.0)</f>
        <v>12</v>
      </c>
      <c r="E4330" s="9"/>
    </row>
    <row r="4331">
      <c r="A4331" s="10">
        <f>IFERROR(__xludf.DUMMYFUNCTION("""COMPUTED_VALUE"""),76469.0)</f>
        <v>76469</v>
      </c>
      <c r="B4331" s="11">
        <f>IFERROR(__xludf.DUMMYFUNCTION("""COMPUTED_VALUE"""),1.0)</f>
        <v>1</v>
      </c>
      <c r="C4331" s="11">
        <f>IFERROR(__xludf.DUMMYFUNCTION("""COMPUTED_VALUE"""),784.0)</f>
        <v>784</v>
      </c>
      <c r="D4331" s="11">
        <f>IFERROR(__xludf.DUMMYFUNCTION("""COMPUTED_VALUE"""),372.0)</f>
        <v>372</v>
      </c>
      <c r="E4331" s="9"/>
    </row>
    <row r="4332">
      <c r="A4332" s="10">
        <f>IFERROR(__xludf.DUMMYFUNCTION("""COMPUTED_VALUE"""),78876.0)</f>
        <v>78876</v>
      </c>
      <c r="B4332" s="11">
        <f>IFERROR(__xludf.DUMMYFUNCTION("""COMPUTED_VALUE"""),0.0)</f>
        <v>0</v>
      </c>
      <c r="C4332" s="11">
        <f>IFERROR(__xludf.DUMMYFUNCTION("""COMPUTED_VALUE"""),517.0)</f>
        <v>517</v>
      </c>
      <c r="D4332" s="11">
        <f>IFERROR(__xludf.DUMMYFUNCTION("""COMPUTED_VALUE"""),372.0)</f>
        <v>372</v>
      </c>
      <c r="E4332" s="9"/>
    </row>
    <row r="4333">
      <c r="A4333" s="10">
        <f>IFERROR(__xludf.DUMMYFUNCTION("""COMPUTED_VALUE"""),91064.0)</f>
        <v>91064</v>
      </c>
      <c r="B4333" s="11">
        <f>IFERROR(__xludf.DUMMYFUNCTION("""COMPUTED_VALUE"""),0.0)</f>
        <v>0</v>
      </c>
      <c r="C4333" s="11">
        <f>IFERROR(__xludf.DUMMYFUNCTION("""COMPUTED_VALUE"""),741.0)</f>
        <v>741</v>
      </c>
      <c r="D4333" s="11">
        <f>IFERROR(__xludf.DUMMYFUNCTION("""COMPUTED_VALUE"""),727.0)</f>
        <v>727</v>
      </c>
      <c r="E4333" s="9"/>
    </row>
    <row r="4334">
      <c r="A4334" s="10">
        <f>IFERROR(__xludf.DUMMYFUNCTION("""COMPUTED_VALUE"""),5603.0)</f>
        <v>5603</v>
      </c>
      <c r="B4334" s="11">
        <f>IFERROR(__xludf.DUMMYFUNCTION("""COMPUTED_VALUE"""),1.0)</f>
        <v>1</v>
      </c>
      <c r="C4334" s="11">
        <f>IFERROR(__xludf.DUMMYFUNCTION("""COMPUTED_VALUE"""),51.0)</f>
        <v>51</v>
      </c>
      <c r="D4334" s="11">
        <f>IFERROR(__xludf.DUMMYFUNCTION("""COMPUTED_VALUE"""),50.0)</f>
        <v>50</v>
      </c>
      <c r="E4334" s="9"/>
    </row>
    <row r="4335">
      <c r="A4335" s="10">
        <f>IFERROR(__xludf.DUMMYFUNCTION("""COMPUTED_VALUE"""),5612.0)</f>
        <v>5612</v>
      </c>
      <c r="B4335" s="11">
        <f>IFERROR(__xludf.DUMMYFUNCTION("""COMPUTED_VALUE"""),0.0)</f>
        <v>0</v>
      </c>
      <c r="C4335" s="11">
        <f>IFERROR(__xludf.DUMMYFUNCTION("""COMPUTED_VALUE"""),842.0)</f>
        <v>842</v>
      </c>
      <c r="D4335" s="11">
        <f>IFERROR(__xludf.DUMMYFUNCTION("""COMPUTED_VALUE"""),201.0)</f>
        <v>201</v>
      </c>
      <c r="E4335" s="9"/>
    </row>
    <row r="4336">
      <c r="A4336" s="10">
        <f>IFERROR(__xludf.DUMMYFUNCTION("""COMPUTED_VALUE"""),43897.0)</f>
        <v>43897</v>
      </c>
      <c r="B4336" s="11">
        <f>IFERROR(__xludf.DUMMYFUNCTION("""COMPUTED_VALUE"""),1.0)</f>
        <v>1</v>
      </c>
      <c r="C4336" s="11">
        <f>IFERROR(__xludf.DUMMYFUNCTION("""COMPUTED_VALUE"""),772.0)</f>
        <v>772</v>
      </c>
      <c r="D4336" s="11">
        <f>IFERROR(__xludf.DUMMYFUNCTION("""COMPUTED_VALUE"""),223.0)</f>
        <v>223</v>
      </c>
      <c r="E4336" s="9"/>
    </row>
    <row r="4337">
      <c r="A4337" s="10">
        <f>IFERROR(__xludf.DUMMYFUNCTION("""COMPUTED_VALUE"""),91058.0)</f>
        <v>91058</v>
      </c>
      <c r="B4337" s="11">
        <f>IFERROR(__xludf.DUMMYFUNCTION("""COMPUTED_VALUE"""),1.0)</f>
        <v>1</v>
      </c>
      <c r="C4337" s="11">
        <f>IFERROR(__xludf.DUMMYFUNCTION("""COMPUTED_VALUE"""),979.0)</f>
        <v>979</v>
      </c>
      <c r="D4337" s="11">
        <f>IFERROR(__xludf.DUMMYFUNCTION("""COMPUTED_VALUE"""),560.0)</f>
        <v>560</v>
      </c>
      <c r="E4337" s="9"/>
    </row>
    <row r="4338">
      <c r="A4338" s="10">
        <f>IFERROR(__xludf.DUMMYFUNCTION("""COMPUTED_VALUE"""),107998.0)</f>
        <v>107998</v>
      </c>
      <c r="B4338" s="11">
        <f>IFERROR(__xludf.DUMMYFUNCTION("""COMPUTED_VALUE"""),0.0)</f>
        <v>0</v>
      </c>
      <c r="C4338" s="11">
        <f>IFERROR(__xludf.DUMMYFUNCTION("""COMPUTED_VALUE"""),52.0)</f>
        <v>52</v>
      </c>
      <c r="D4338" s="11">
        <f>IFERROR(__xludf.DUMMYFUNCTION("""COMPUTED_VALUE"""),42.0)</f>
        <v>42</v>
      </c>
      <c r="E4338" s="9"/>
    </row>
    <row r="4339">
      <c r="A4339" s="10">
        <f>IFERROR(__xludf.DUMMYFUNCTION("""COMPUTED_VALUE"""),112194.0)</f>
        <v>112194</v>
      </c>
      <c r="B4339" s="11">
        <f>IFERROR(__xludf.DUMMYFUNCTION("""COMPUTED_VALUE"""),0.0)</f>
        <v>0</v>
      </c>
      <c r="C4339" s="11">
        <f>IFERROR(__xludf.DUMMYFUNCTION("""COMPUTED_VALUE"""),737.0)</f>
        <v>737</v>
      </c>
      <c r="D4339" s="11">
        <f>IFERROR(__xludf.DUMMYFUNCTION("""COMPUTED_VALUE"""),624.0)</f>
        <v>624</v>
      </c>
      <c r="E4339" s="9"/>
    </row>
    <row r="4340">
      <c r="A4340" s="10">
        <f>IFERROR(__xludf.DUMMYFUNCTION("""COMPUTED_VALUE"""),68232.0)</f>
        <v>68232</v>
      </c>
      <c r="B4340" s="11">
        <f>IFERROR(__xludf.DUMMYFUNCTION("""COMPUTED_VALUE"""),1.0)</f>
        <v>1</v>
      </c>
      <c r="C4340" s="11">
        <f>IFERROR(__xludf.DUMMYFUNCTION("""COMPUTED_VALUE"""),632.0)</f>
        <v>632</v>
      </c>
      <c r="D4340" s="11">
        <f>IFERROR(__xludf.DUMMYFUNCTION("""COMPUTED_VALUE"""),382.0)</f>
        <v>382</v>
      </c>
      <c r="E4340" s="9"/>
    </row>
    <row r="4341">
      <c r="A4341" s="10">
        <f>IFERROR(__xludf.DUMMYFUNCTION("""COMPUTED_VALUE"""),159386.0)</f>
        <v>159386</v>
      </c>
      <c r="B4341" s="11">
        <f>IFERROR(__xludf.DUMMYFUNCTION("""COMPUTED_VALUE"""),0.0)</f>
        <v>0</v>
      </c>
      <c r="C4341" s="11">
        <f>IFERROR(__xludf.DUMMYFUNCTION("""COMPUTED_VALUE"""),461.0)</f>
        <v>461</v>
      </c>
      <c r="D4341" s="11">
        <f>IFERROR(__xludf.DUMMYFUNCTION("""COMPUTED_VALUE"""),293.0)</f>
        <v>293</v>
      </c>
      <c r="E4341" s="9"/>
    </row>
    <row r="4342">
      <c r="A4342" s="10">
        <f>IFERROR(__xludf.DUMMYFUNCTION("""COMPUTED_VALUE"""),76471.0)</f>
        <v>76471</v>
      </c>
      <c r="B4342" s="11">
        <f>IFERROR(__xludf.DUMMYFUNCTION("""COMPUTED_VALUE"""),1.0)</f>
        <v>1</v>
      </c>
      <c r="C4342" s="11">
        <f>IFERROR(__xludf.DUMMYFUNCTION("""COMPUTED_VALUE"""),404.0)</f>
        <v>404</v>
      </c>
      <c r="D4342" s="11">
        <f>IFERROR(__xludf.DUMMYFUNCTION("""COMPUTED_VALUE"""),326.0)</f>
        <v>326</v>
      </c>
      <c r="E4342" s="9"/>
    </row>
    <row r="4343">
      <c r="A4343" s="10">
        <f>IFERROR(__xludf.DUMMYFUNCTION("""COMPUTED_VALUE"""),68357.0)</f>
        <v>68357</v>
      </c>
      <c r="B4343" s="11">
        <f>IFERROR(__xludf.DUMMYFUNCTION("""COMPUTED_VALUE"""),1.0)</f>
        <v>1</v>
      </c>
      <c r="C4343" s="11">
        <f>IFERROR(__xludf.DUMMYFUNCTION("""COMPUTED_VALUE"""),292.0)</f>
        <v>292</v>
      </c>
      <c r="D4343" s="11">
        <f>IFERROR(__xludf.DUMMYFUNCTION("""COMPUTED_VALUE"""),159.0)</f>
        <v>159</v>
      </c>
      <c r="E4343" s="9"/>
    </row>
    <row r="4344">
      <c r="A4344" s="10">
        <f>IFERROR(__xludf.DUMMYFUNCTION("""COMPUTED_VALUE"""),68303.0)</f>
        <v>68303</v>
      </c>
      <c r="B4344" s="11">
        <f>IFERROR(__xludf.DUMMYFUNCTION("""COMPUTED_VALUE"""),0.0)</f>
        <v>0</v>
      </c>
      <c r="C4344" s="11">
        <f>IFERROR(__xludf.DUMMYFUNCTION("""COMPUTED_VALUE"""),274.0)</f>
        <v>274</v>
      </c>
      <c r="D4344" s="11">
        <f>IFERROR(__xludf.DUMMYFUNCTION("""COMPUTED_VALUE"""),58.0)</f>
        <v>58</v>
      </c>
      <c r="E4344" s="9"/>
    </row>
    <row r="4345">
      <c r="A4345" s="10">
        <f>IFERROR(__xludf.DUMMYFUNCTION("""COMPUTED_VALUE"""),68325.0)</f>
        <v>68325</v>
      </c>
      <c r="B4345" s="11">
        <f>IFERROR(__xludf.DUMMYFUNCTION("""COMPUTED_VALUE"""),0.0)</f>
        <v>0</v>
      </c>
      <c r="C4345" s="11">
        <f>IFERROR(__xludf.DUMMYFUNCTION("""COMPUTED_VALUE"""),239.0)</f>
        <v>239</v>
      </c>
      <c r="D4345" s="11">
        <f>IFERROR(__xludf.DUMMYFUNCTION("""COMPUTED_VALUE"""),53.0)</f>
        <v>53</v>
      </c>
      <c r="E4345" s="9"/>
    </row>
    <row r="4346">
      <c r="A4346" s="10">
        <f>IFERROR(__xludf.DUMMYFUNCTION("""COMPUTED_VALUE"""),68515.0)</f>
        <v>68515</v>
      </c>
      <c r="B4346" s="11">
        <f>IFERROR(__xludf.DUMMYFUNCTION("""COMPUTED_VALUE"""),0.0)</f>
        <v>0</v>
      </c>
      <c r="C4346" s="11">
        <f>IFERROR(__xludf.DUMMYFUNCTION("""COMPUTED_VALUE"""),587.0)</f>
        <v>587</v>
      </c>
      <c r="D4346" s="11">
        <f>IFERROR(__xludf.DUMMYFUNCTION("""COMPUTED_VALUE"""),511.0)</f>
        <v>511</v>
      </c>
      <c r="E4346" s="9"/>
    </row>
    <row r="4347">
      <c r="A4347" s="10">
        <f>IFERROR(__xludf.DUMMYFUNCTION("""COMPUTED_VALUE"""),107989.0)</f>
        <v>107989</v>
      </c>
      <c r="B4347" s="11">
        <f>IFERROR(__xludf.DUMMYFUNCTION("""COMPUTED_VALUE"""),1.0)</f>
        <v>1</v>
      </c>
      <c r="C4347" s="11">
        <f>IFERROR(__xludf.DUMMYFUNCTION("""COMPUTED_VALUE"""),975.0)</f>
        <v>975</v>
      </c>
      <c r="D4347" s="11">
        <f>IFERROR(__xludf.DUMMYFUNCTION("""COMPUTED_VALUE"""),105.0)</f>
        <v>105</v>
      </c>
      <c r="E4347" s="9"/>
    </row>
    <row r="4348">
      <c r="A4348" s="10">
        <f>IFERROR(__xludf.DUMMYFUNCTION("""COMPUTED_VALUE"""),76732.0)</f>
        <v>76732</v>
      </c>
      <c r="B4348" s="11">
        <f>IFERROR(__xludf.DUMMYFUNCTION("""COMPUTED_VALUE"""),0.0)</f>
        <v>0</v>
      </c>
      <c r="C4348" s="11">
        <f>IFERROR(__xludf.DUMMYFUNCTION("""COMPUTED_VALUE"""),29.0)</f>
        <v>29</v>
      </c>
      <c r="D4348" s="11">
        <f>IFERROR(__xludf.DUMMYFUNCTION("""COMPUTED_VALUE"""),13.0)</f>
        <v>13</v>
      </c>
      <c r="E4348" s="9"/>
    </row>
    <row r="4349">
      <c r="A4349" s="10">
        <f>IFERROR(__xludf.DUMMYFUNCTION("""COMPUTED_VALUE"""),14711.0)</f>
        <v>14711</v>
      </c>
      <c r="B4349" s="11">
        <f>IFERROR(__xludf.DUMMYFUNCTION("""COMPUTED_VALUE"""),0.0)</f>
        <v>0</v>
      </c>
      <c r="C4349" s="11">
        <f>IFERROR(__xludf.DUMMYFUNCTION("""COMPUTED_VALUE"""),184.0)</f>
        <v>184</v>
      </c>
      <c r="D4349" s="11">
        <f>IFERROR(__xludf.DUMMYFUNCTION("""COMPUTED_VALUE"""),72.0)</f>
        <v>72</v>
      </c>
      <c r="E4349" s="9"/>
    </row>
    <row r="4350">
      <c r="A4350" s="10">
        <f>IFERROR(__xludf.DUMMYFUNCTION("""COMPUTED_VALUE"""),14706.0)</f>
        <v>14706</v>
      </c>
      <c r="B4350" s="11">
        <f>IFERROR(__xludf.DUMMYFUNCTION("""COMPUTED_VALUE"""),1.0)</f>
        <v>1</v>
      </c>
      <c r="C4350" s="11">
        <f>IFERROR(__xludf.DUMMYFUNCTION("""COMPUTED_VALUE"""),352.0)</f>
        <v>352</v>
      </c>
      <c r="D4350" s="11">
        <f>IFERROR(__xludf.DUMMYFUNCTION("""COMPUTED_VALUE"""),300.0)</f>
        <v>300</v>
      </c>
      <c r="E4350" s="9"/>
    </row>
    <row r="4351">
      <c r="A4351" s="10">
        <f>IFERROR(__xludf.DUMMYFUNCTION("""COMPUTED_VALUE"""),23975.0)</f>
        <v>23975</v>
      </c>
      <c r="B4351" s="11">
        <f>IFERROR(__xludf.DUMMYFUNCTION("""COMPUTED_VALUE"""),0.0)</f>
        <v>0</v>
      </c>
      <c r="C4351" s="11">
        <f>IFERROR(__xludf.DUMMYFUNCTION("""COMPUTED_VALUE"""),323.0)</f>
        <v>323</v>
      </c>
      <c r="D4351" s="11">
        <f>IFERROR(__xludf.DUMMYFUNCTION("""COMPUTED_VALUE"""),130.0)</f>
        <v>130</v>
      </c>
      <c r="E4351" s="9"/>
    </row>
    <row r="4352">
      <c r="A4352" s="10">
        <f>IFERROR(__xludf.DUMMYFUNCTION("""COMPUTED_VALUE"""),90665.0)</f>
        <v>90665</v>
      </c>
      <c r="B4352" s="11">
        <f>IFERROR(__xludf.DUMMYFUNCTION("""COMPUTED_VALUE"""),0.0)</f>
        <v>0</v>
      </c>
      <c r="C4352" s="11">
        <f>IFERROR(__xludf.DUMMYFUNCTION("""COMPUTED_VALUE"""),430.0)</f>
        <v>430</v>
      </c>
      <c r="D4352" s="11">
        <f>IFERROR(__xludf.DUMMYFUNCTION("""COMPUTED_VALUE"""),91.0)</f>
        <v>91</v>
      </c>
      <c r="E4352" s="9"/>
    </row>
    <row r="4353">
      <c r="A4353" s="10">
        <f>IFERROR(__xludf.DUMMYFUNCTION("""COMPUTED_VALUE"""),69551.0)</f>
        <v>69551</v>
      </c>
      <c r="B4353" s="11">
        <f>IFERROR(__xludf.DUMMYFUNCTION("""COMPUTED_VALUE"""),1.0)</f>
        <v>1</v>
      </c>
      <c r="C4353" s="11">
        <f>IFERROR(__xludf.DUMMYFUNCTION("""COMPUTED_VALUE"""),430.0)</f>
        <v>430</v>
      </c>
      <c r="D4353" s="11">
        <f>IFERROR(__xludf.DUMMYFUNCTION("""COMPUTED_VALUE"""),101.0)</f>
        <v>101</v>
      </c>
      <c r="E4353" s="9"/>
    </row>
    <row r="4354">
      <c r="A4354" s="10">
        <f>IFERROR(__xludf.DUMMYFUNCTION("""COMPUTED_VALUE"""),69503.0)</f>
        <v>69503</v>
      </c>
      <c r="B4354" s="11">
        <f>IFERROR(__xludf.DUMMYFUNCTION("""COMPUTED_VALUE"""),0.0)</f>
        <v>0</v>
      </c>
      <c r="C4354" s="11">
        <f>IFERROR(__xludf.DUMMYFUNCTION("""COMPUTED_VALUE"""),774.0)</f>
        <v>774</v>
      </c>
      <c r="D4354" s="11">
        <f>IFERROR(__xludf.DUMMYFUNCTION("""COMPUTED_VALUE"""),275.0)</f>
        <v>275</v>
      </c>
      <c r="E4354" s="9"/>
    </row>
    <row r="4355">
      <c r="A4355" s="10">
        <f>IFERROR(__xludf.DUMMYFUNCTION("""COMPUTED_VALUE"""),23473.0)</f>
        <v>23473</v>
      </c>
      <c r="B4355" s="11">
        <f>IFERROR(__xludf.DUMMYFUNCTION("""COMPUTED_VALUE"""),1.0)</f>
        <v>1</v>
      </c>
      <c r="C4355" s="11">
        <f>IFERROR(__xludf.DUMMYFUNCTION("""COMPUTED_VALUE"""),790.0)</f>
        <v>790</v>
      </c>
      <c r="D4355" s="11">
        <f>IFERROR(__xludf.DUMMYFUNCTION("""COMPUTED_VALUE"""),422.0)</f>
        <v>422</v>
      </c>
      <c r="E4355" s="9"/>
    </row>
    <row r="4356">
      <c r="A4356" s="10">
        <f>IFERROR(__xludf.DUMMYFUNCTION("""COMPUTED_VALUE"""),69500.0)</f>
        <v>69500</v>
      </c>
      <c r="B4356" s="11">
        <f>IFERROR(__xludf.DUMMYFUNCTION("""COMPUTED_VALUE"""),0.0)</f>
        <v>0</v>
      </c>
      <c r="C4356" s="11">
        <f>IFERROR(__xludf.DUMMYFUNCTION("""COMPUTED_VALUE"""),180.0)</f>
        <v>180</v>
      </c>
      <c r="D4356" s="11">
        <f>IFERROR(__xludf.DUMMYFUNCTION("""COMPUTED_VALUE"""),70.0)</f>
        <v>70</v>
      </c>
      <c r="E4356" s="9"/>
    </row>
    <row r="4357">
      <c r="A4357" s="10">
        <f>IFERROR(__xludf.DUMMYFUNCTION("""COMPUTED_VALUE"""),14689.0)</f>
        <v>14689</v>
      </c>
      <c r="B4357" s="11">
        <f>IFERROR(__xludf.DUMMYFUNCTION("""COMPUTED_VALUE"""),1.0)</f>
        <v>1</v>
      </c>
      <c r="C4357" s="11">
        <f>IFERROR(__xludf.DUMMYFUNCTION("""COMPUTED_VALUE"""),343.0)</f>
        <v>343</v>
      </c>
      <c r="D4357" s="11">
        <f>IFERROR(__xludf.DUMMYFUNCTION("""COMPUTED_VALUE"""),113.0)</f>
        <v>113</v>
      </c>
      <c r="E4357" s="9"/>
    </row>
    <row r="4358">
      <c r="A4358" s="10">
        <f>IFERROR(__xludf.DUMMYFUNCTION("""COMPUTED_VALUE"""),19409.0)</f>
        <v>19409</v>
      </c>
      <c r="B4358" s="11">
        <f>IFERROR(__xludf.DUMMYFUNCTION("""COMPUTED_VALUE"""),1.0)</f>
        <v>1</v>
      </c>
      <c r="C4358" s="11">
        <f>IFERROR(__xludf.DUMMYFUNCTION("""COMPUTED_VALUE"""),332.0)</f>
        <v>332</v>
      </c>
      <c r="D4358" s="11">
        <f>IFERROR(__xludf.DUMMYFUNCTION("""COMPUTED_VALUE"""),287.0)</f>
        <v>287</v>
      </c>
      <c r="E4358" s="9"/>
    </row>
    <row r="4359">
      <c r="A4359" s="10">
        <f>IFERROR(__xludf.DUMMYFUNCTION("""COMPUTED_VALUE"""),69526.0)</f>
        <v>69526</v>
      </c>
      <c r="B4359" s="11">
        <f>IFERROR(__xludf.DUMMYFUNCTION("""COMPUTED_VALUE"""),1.0)</f>
        <v>1</v>
      </c>
      <c r="C4359" s="11">
        <f>IFERROR(__xludf.DUMMYFUNCTION("""COMPUTED_VALUE"""),688.0)</f>
        <v>688</v>
      </c>
      <c r="D4359" s="11">
        <f>IFERROR(__xludf.DUMMYFUNCTION("""COMPUTED_VALUE"""),50.0)</f>
        <v>50</v>
      </c>
      <c r="E4359" s="9"/>
    </row>
    <row r="4360">
      <c r="A4360" s="10">
        <f>IFERROR(__xludf.DUMMYFUNCTION("""COMPUTED_VALUE"""),19412.0)</f>
        <v>19412</v>
      </c>
      <c r="B4360" s="11">
        <f>IFERROR(__xludf.DUMMYFUNCTION("""COMPUTED_VALUE"""),1.0)</f>
        <v>1</v>
      </c>
      <c r="C4360" s="11">
        <f>IFERROR(__xludf.DUMMYFUNCTION("""COMPUTED_VALUE"""),669.0)</f>
        <v>669</v>
      </c>
      <c r="D4360" s="11">
        <f>IFERROR(__xludf.DUMMYFUNCTION("""COMPUTED_VALUE"""),653.0)</f>
        <v>653</v>
      </c>
      <c r="E4360" s="9"/>
    </row>
    <row r="4361">
      <c r="A4361" s="10">
        <f>IFERROR(__xludf.DUMMYFUNCTION("""COMPUTED_VALUE"""),23471.0)</f>
        <v>23471</v>
      </c>
      <c r="B4361" s="11">
        <f>IFERROR(__xludf.DUMMYFUNCTION("""COMPUTED_VALUE"""),1.0)</f>
        <v>1</v>
      </c>
      <c r="C4361" s="11">
        <f>IFERROR(__xludf.DUMMYFUNCTION("""COMPUTED_VALUE"""),346.0)</f>
        <v>346</v>
      </c>
      <c r="D4361" s="11">
        <f>IFERROR(__xludf.DUMMYFUNCTION("""COMPUTED_VALUE"""),78.0)</f>
        <v>78</v>
      </c>
      <c r="E4361" s="9"/>
    </row>
    <row r="4362">
      <c r="A4362" s="10">
        <f>IFERROR(__xludf.DUMMYFUNCTION("""COMPUTED_VALUE"""),14670.0)</f>
        <v>14670</v>
      </c>
      <c r="B4362" s="11">
        <f>IFERROR(__xludf.DUMMYFUNCTION("""COMPUTED_VALUE"""),0.0)</f>
        <v>0</v>
      </c>
      <c r="C4362" s="11">
        <f>IFERROR(__xludf.DUMMYFUNCTION("""COMPUTED_VALUE"""),381.0)</f>
        <v>381</v>
      </c>
      <c r="D4362" s="11">
        <f>IFERROR(__xludf.DUMMYFUNCTION("""COMPUTED_VALUE"""),334.0)</f>
        <v>334</v>
      </c>
      <c r="E4362" s="9"/>
    </row>
    <row r="4363">
      <c r="A4363" s="10">
        <f>IFERROR(__xludf.DUMMYFUNCTION("""COMPUTED_VALUE"""),69499.0)</f>
        <v>69499</v>
      </c>
      <c r="B4363" s="11">
        <f>IFERROR(__xludf.DUMMYFUNCTION("""COMPUTED_VALUE"""),1.0)</f>
        <v>1</v>
      </c>
      <c r="C4363" s="11">
        <f>IFERROR(__xludf.DUMMYFUNCTION("""COMPUTED_VALUE"""),468.0)</f>
        <v>468</v>
      </c>
      <c r="D4363" s="11">
        <f>IFERROR(__xludf.DUMMYFUNCTION("""COMPUTED_VALUE"""),198.0)</f>
        <v>198</v>
      </c>
      <c r="E4363" s="9"/>
    </row>
    <row r="4364">
      <c r="A4364" s="10">
        <f>IFERROR(__xludf.DUMMYFUNCTION("""COMPUTED_VALUE"""),90686.0)</f>
        <v>90686</v>
      </c>
      <c r="B4364" s="11">
        <f>IFERROR(__xludf.DUMMYFUNCTION("""COMPUTED_VALUE"""),1.0)</f>
        <v>1</v>
      </c>
      <c r="C4364" s="11">
        <f>IFERROR(__xludf.DUMMYFUNCTION("""COMPUTED_VALUE"""),517.0)</f>
        <v>517</v>
      </c>
      <c r="D4364" s="11">
        <f>IFERROR(__xludf.DUMMYFUNCTION("""COMPUTED_VALUE"""),415.0)</f>
        <v>415</v>
      </c>
      <c r="E4364" s="9"/>
    </row>
    <row r="4365">
      <c r="A4365" s="10">
        <f>IFERROR(__xludf.DUMMYFUNCTION("""COMPUTED_VALUE"""),111872.0)</f>
        <v>111872</v>
      </c>
      <c r="B4365" s="11">
        <f>IFERROR(__xludf.DUMMYFUNCTION("""COMPUTED_VALUE"""),1.0)</f>
        <v>1</v>
      </c>
      <c r="C4365" s="11">
        <f>IFERROR(__xludf.DUMMYFUNCTION("""COMPUTED_VALUE"""),756.0)</f>
        <v>756</v>
      </c>
      <c r="D4365" s="11">
        <f>IFERROR(__xludf.DUMMYFUNCTION("""COMPUTED_VALUE"""),273.0)</f>
        <v>273</v>
      </c>
      <c r="E4365" s="9"/>
    </row>
    <row r="4366">
      <c r="A4366" s="10">
        <f>IFERROR(__xludf.DUMMYFUNCTION("""COMPUTED_VALUE"""),23964.0)</f>
        <v>23964</v>
      </c>
      <c r="B4366" s="11">
        <f>IFERROR(__xludf.DUMMYFUNCTION("""COMPUTED_VALUE"""),0.0)</f>
        <v>0</v>
      </c>
      <c r="C4366" s="11">
        <f>IFERROR(__xludf.DUMMYFUNCTION("""COMPUTED_VALUE"""),315.0)</f>
        <v>315</v>
      </c>
      <c r="D4366" s="11">
        <f>IFERROR(__xludf.DUMMYFUNCTION("""COMPUTED_VALUE"""),175.0)</f>
        <v>175</v>
      </c>
      <c r="E4366" s="9"/>
    </row>
    <row r="4367">
      <c r="A4367" s="10">
        <f>IFERROR(__xludf.DUMMYFUNCTION("""COMPUTED_VALUE"""),111837.0)</f>
        <v>111837</v>
      </c>
      <c r="B4367" s="11">
        <f>IFERROR(__xludf.DUMMYFUNCTION("""COMPUTED_VALUE"""),0.0)</f>
        <v>0</v>
      </c>
      <c r="C4367" s="11">
        <f>IFERROR(__xludf.DUMMYFUNCTION("""COMPUTED_VALUE"""),407.0)</f>
        <v>407</v>
      </c>
      <c r="D4367" s="11">
        <f>IFERROR(__xludf.DUMMYFUNCTION("""COMPUTED_VALUE"""),166.0)</f>
        <v>166</v>
      </c>
      <c r="E4367" s="9"/>
    </row>
    <row r="4368">
      <c r="A4368" s="10">
        <f>IFERROR(__xludf.DUMMYFUNCTION("""COMPUTED_VALUE"""),19377.0)</f>
        <v>19377</v>
      </c>
      <c r="B4368" s="11">
        <f>IFERROR(__xludf.DUMMYFUNCTION("""COMPUTED_VALUE"""),1.0)</f>
        <v>1</v>
      </c>
      <c r="C4368" s="11">
        <f>IFERROR(__xludf.DUMMYFUNCTION("""COMPUTED_VALUE"""),361.0)</f>
        <v>361</v>
      </c>
      <c r="D4368" s="11">
        <f>IFERROR(__xludf.DUMMYFUNCTION("""COMPUTED_VALUE"""),332.0)</f>
        <v>332</v>
      </c>
      <c r="E4368" s="9"/>
    </row>
    <row r="4369">
      <c r="A4369" s="10">
        <f>IFERROR(__xludf.DUMMYFUNCTION("""COMPUTED_VALUE"""),111836.0)</f>
        <v>111836</v>
      </c>
      <c r="B4369" s="11">
        <f>IFERROR(__xludf.DUMMYFUNCTION("""COMPUTED_VALUE"""),1.0)</f>
        <v>1</v>
      </c>
      <c r="C4369" s="11">
        <f>IFERROR(__xludf.DUMMYFUNCTION("""COMPUTED_VALUE"""),714.0)</f>
        <v>714</v>
      </c>
      <c r="D4369" s="11">
        <f>IFERROR(__xludf.DUMMYFUNCTION("""COMPUTED_VALUE"""),194.0)</f>
        <v>194</v>
      </c>
      <c r="E4369" s="9"/>
    </row>
    <row r="4370">
      <c r="A4370" s="10">
        <f>IFERROR(__xludf.DUMMYFUNCTION("""COMPUTED_VALUE"""),190103.0)</f>
        <v>190103</v>
      </c>
      <c r="B4370" s="11">
        <f>IFERROR(__xludf.DUMMYFUNCTION("""COMPUTED_VALUE"""),0.0)</f>
        <v>0</v>
      </c>
      <c r="C4370" s="11">
        <f>IFERROR(__xludf.DUMMYFUNCTION("""COMPUTED_VALUE"""),919.0)</f>
        <v>919</v>
      </c>
      <c r="D4370" s="11">
        <f>IFERROR(__xludf.DUMMYFUNCTION("""COMPUTED_VALUE"""),457.0)</f>
        <v>457</v>
      </c>
      <c r="E4370" s="9"/>
    </row>
    <row r="4371">
      <c r="A4371" s="10">
        <f>IFERROR(__xludf.DUMMYFUNCTION("""COMPUTED_VALUE"""),19408.0)</f>
        <v>19408</v>
      </c>
      <c r="B4371" s="11">
        <f>IFERROR(__xludf.DUMMYFUNCTION("""COMPUTED_VALUE"""),0.0)</f>
        <v>0</v>
      </c>
      <c r="C4371" s="11">
        <f>IFERROR(__xludf.DUMMYFUNCTION("""COMPUTED_VALUE"""),702.0)</f>
        <v>702</v>
      </c>
      <c r="D4371" s="11">
        <f>IFERROR(__xludf.DUMMYFUNCTION("""COMPUTED_VALUE"""),389.0)</f>
        <v>389</v>
      </c>
      <c r="E4371" s="9"/>
    </row>
    <row r="4372">
      <c r="A4372" s="10">
        <f>IFERROR(__xludf.DUMMYFUNCTION("""COMPUTED_VALUE"""),14694.0)</f>
        <v>14694</v>
      </c>
      <c r="B4372" s="11">
        <f>IFERROR(__xludf.DUMMYFUNCTION("""COMPUTED_VALUE"""),0.0)</f>
        <v>0</v>
      </c>
      <c r="C4372" s="11">
        <f>IFERROR(__xludf.DUMMYFUNCTION("""COMPUTED_VALUE"""),470.0)</f>
        <v>470</v>
      </c>
      <c r="D4372" s="11">
        <f>IFERROR(__xludf.DUMMYFUNCTION("""COMPUTED_VALUE"""),111.0)</f>
        <v>111</v>
      </c>
      <c r="E4372" s="9"/>
    </row>
    <row r="4373">
      <c r="A4373" s="10">
        <f>IFERROR(__xludf.DUMMYFUNCTION("""COMPUTED_VALUE"""),5686.0)</f>
        <v>5686</v>
      </c>
      <c r="B4373" s="11">
        <f>IFERROR(__xludf.DUMMYFUNCTION("""COMPUTED_VALUE"""),0.0)</f>
        <v>0</v>
      </c>
      <c r="C4373" s="11">
        <f>IFERROR(__xludf.DUMMYFUNCTION("""COMPUTED_VALUE"""),687.0)</f>
        <v>687</v>
      </c>
      <c r="D4373" s="11">
        <f>IFERROR(__xludf.DUMMYFUNCTION("""COMPUTED_VALUE"""),330.0)</f>
        <v>330</v>
      </c>
      <c r="E4373" s="9"/>
    </row>
    <row r="4374">
      <c r="A4374" s="10">
        <f>IFERROR(__xludf.DUMMYFUNCTION("""COMPUTED_VALUE"""),111842.0)</f>
        <v>111842</v>
      </c>
      <c r="B4374" s="11">
        <f>IFERROR(__xludf.DUMMYFUNCTION("""COMPUTED_VALUE"""),1.0)</f>
        <v>1</v>
      </c>
      <c r="C4374" s="11">
        <f>IFERROR(__xludf.DUMMYFUNCTION("""COMPUTED_VALUE"""),656.0)</f>
        <v>656</v>
      </c>
      <c r="D4374" s="11">
        <f>IFERROR(__xludf.DUMMYFUNCTION("""COMPUTED_VALUE"""),305.0)</f>
        <v>305</v>
      </c>
      <c r="E4374" s="9"/>
    </row>
    <row r="4375">
      <c r="A4375" s="10">
        <f>IFERROR(__xludf.DUMMYFUNCTION("""COMPUTED_VALUE"""),23978.0)</f>
        <v>23978</v>
      </c>
      <c r="B4375" s="11">
        <f>IFERROR(__xludf.DUMMYFUNCTION("""COMPUTED_VALUE"""),1.0)</f>
        <v>1</v>
      </c>
      <c r="C4375" s="11">
        <f>IFERROR(__xludf.DUMMYFUNCTION("""COMPUTED_VALUE"""),820.0)</f>
        <v>820</v>
      </c>
      <c r="D4375" s="11">
        <f>IFERROR(__xludf.DUMMYFUNCTION("""COMPUTED_VALUE"""),237.0)</f>
        <v>237</v>
      </c>
      <c r="E4375" s="9"/>
    </row>
    <row r="4376">
      <c r="A4376" s="10">
        <f>IFERROR(__xludf.DUMMYFUNCTION("""COMPUTED_VALUE"""),14682.0)</f>
        <v>14682</v>
      </c>
      <c r="B4376" s="11">
        <f>IFERROR(__xludf.DUMMYFUNCTION("""COMPUTED_VALUE"""),1.0)</f>
        <v>1</v>
      </c>
      <c r="C4376" s="11">
        <f>IFERROR(__xludf.DUMMYFUNCTION("""COMPUTED_VALUE"""),95.0)</f>
        <v>95</v>
      </c>
      <c r="D4376" s="11">
        <f>IFERROR(__xludf.DUMMYFUNCTION("""COMPUTED_VALUE"""),87.0)</f>
        <v>87</v>
      </c>
      <c r="E4376" s="9"/>
    </row>
    <row r="4377">
      <c r="A4377" s="10">
        <f>IFERROR(__xludf.DUMMYFUNCTION("""COMPUTED_VALUE"""),111873.0)</f>
        <v>111873</v>
      </c>
      <c r="B4377" s="11">
        <f>IFERROR(__xludf.DUMMYFUNCTION("""COMPUTED_VALUE"""),1.0)</f>
        <v>1</v>
      </c>
      <c r="C4377" s="11">
        <f>IFERROR(__xludf.DUMMYFUNCTION("""COMPUTED_VALUE"""),167.0)</f>
        <v>167</v>
      </c>
      <c r="D4377" s="11">
        <f>IFERROR(__xludf.DUMMYFUNCTION("""COMPUTED_VALUE"""),137.0)</f>
        <v>137</v>
      </c>
      <c r="E4377" s="9"/>
    </row>
    <row r="4378">
      <c r="A4378" s="10">
        <f>IFERROR(__xludf.DUMMYFUNCTION("""COMPUTED_VALUE"""),23454.0)</f>
        <v>23454</v>
      </c>
      <c r="B4378" s="11">
        <f>IFERROR(__xludf.DUMMYFUNCTION("""COMPUTED_VALUE"""),0.0)</f>
        <v>0</v>
      </c>
      <c r="C4378" s="11">
        <f>IFERROR(__xludf.DUMMYFUNCTION("""COMPUTED_VALUE"""),280.0)</f>
        <v>280</v>
      </c>
      <c r="D4378" s="11">
        <f>IFERROR(__xludf.DUMMYFUNCTION("""COMPUTED_VALUE"""),70.0)</f>
        <v>70</v>
      </c>
      <c r="E4378" s="9"/>
    </row>
    <row r="4379">
      <c r="A4379" s="10">
        <f>IFERROR(__xludf.DUMMYFUNCTION("""COMPUTED_VALUE"""),16760.0)</f>
        <v>16760</v>
      </c>
      <c r="B4379" s="11">
        <f>IFERROR(__xludf.DUMMYFUNCTION("""COMPUTED_VALUE"""),0.0)</f>
        <v>0</v>
      </c>
      <c r="C4379" s="11">
        <f>IFERROR(__xludf.DUMMYFUNCTION("""COMPUTED_VALUE"""),255.0)</f>
        <v>255</v>
      </c>
      <c r="D4379" s="11">
        <f>IFERROR(__xludf.DUMMYFUNCTION("""COMPUTED_VALUE"""),149.0)</f>
        <v>149</v>
      </c>
      <c r="E4379" s="9"/>
    </row>
    <row r="4380">
      <c r="A4380" s="10">
        <f>IFERROR(__xludf.DUMMYFUNCTION("""COMPUTED_VALUE"""),14709.0)</f>
        <v>14709</v>
      </c>
      <c r="B4380" s="11">
        <f>IFERROR(__xludf.DUMMYFUNCTION("""COMPUTED_VALUE"""),1.0)</f>
        <v>1</v>
      </c>
      <c r="C4380" s="11">
        <f>IFERROR(__xludf.DUMMYFUNCTION("""COMPUTED_VALUE"""),478.0)</f>
        <v>478</v>
      </c>
      <c r="D4380" s="11">
        <f>IFERROR(__xludf.DUMMYFUNCTION("""COMPUTED_VALUE"""),116.0)</f>
        <v>116</v>
      </c>
      <c r="E4380" s="9"/>
    </row>
    <row r="4381">
      <c r="A4381" s="10">
        <f>IFERROR(__xludf.DUMMYFUNCTION("""COMPUTED_VALUE"""),14665.0)</f>
        <v>14665</v>
      </c>
      <c r="B4381" s="11">
        <f>IFERROR(__xludf.DUMMYFUNCTION("""COMPUTED_VALUE"""),1.0)</f>
        <v>1</v>
      </c>
      <c r="C4381" s="11">
        <f>IFERROR(__xludf.DUMMYFUNCTION("""COMPUTED_VALUE"""),68.0)</f>
        <v>68</v>
      </c>
      <c r="D4381" s="11">
        <f>IFERROR(__xludf.DUMMYFUNCTION("""COMPUTED_VALUE"""),15.0)</f>
        <v>15</v>
      </c>
      <c r="E4381" s="9"/>
    </row>
    <row r="4382">
      <c r="A4382" s="10">
        <f>IFERROR(__xludf.DUMMYFUNCTION("""COMPUTED_VALUE"""),8869.0)</f>
        <v>8869</v>
      </c>
      <c r="B4382" s="11">
        <f>IFERROR(__xludf.DUMMYFUNCTION("""COMPUTED_VALUE"""),1.0)</f>
        <v>1</v>
      </c>
      <c r="C4382" s="11">
        <f>IFERROR(__xludf.DUMMYFUNCTION("""COMPUTED_VALUE"""),666.0)</f>
        <v>666</v>
      </c>
      <c r="D4382" s="11">
        <f>IFERROR(__xludf.DUMMYFUNCTION("""COMPUTED_VALUE"""),338.0)</f>
        <v>338</v>
      </c>
      <c r="E4382" s="9"/>
    </row>
    <row r="4383">
      <c r="A4383" s="10">
        <f>IFERROR(__xludf.DUMMYFUNCTION("""COMPUTED_VALUE"""),68520.0)</f>
        <v>68520</v>
      </c>
      <c r="B4383" s="11">
        <f>IFERROR(__xludf.DUMMYFUNCTION("""COMPUTED_VALUE"""),0.0)</f>
        <v>0</v>
      </c>
      <c r="C4383" s="11">
        <f>IFERROR(__xludf.DUMMYFUNCTION("""COMPUTED_VALUE"""),273.0)</f>
        <v>273</v>
      </c>
      <c r="D4383" s="11">
        <f>IFERROR(__xludf.DUMMYFUNCTION("""COMPUTED_VALUE"""),18.0)</f>
        <v>18</v>
      </c>
      <c r="E4383" s="9"/>
    </row>
    <row r="4384">
      <c r="A4384" s="10">
        <f>IFERROR(__xludf.DUMMYFUNCTION("""COMPUTED_VALUE"""),107331.0)</f>
        <v>107331</v>
      </c>
      <c r="B4384" s="11">
        <f>IFERROR(__xludf.DUMMYFUNCTION("""COMPUTED_VALUE"""),1.0)</f>
        <v>1</v>
      </c>
      <c r="C4384" s="11">
        <f>IFERROR(__xludf.DUMMYFUNCTION("""COMPUTED_VALUE"""),867.0)</f>
        <v>867</v>
      </c>
      <c r="D4384" s="11">
        <f>IFERROR(__xludf.DUMMYFUNCTION("""COMPUTED_VALUE"""),803.0)</f>
        <v>803</v>
      </c>
      <c r="E4384" s="9"/>
    </row>
    <row r="4385">
      <c r="A4385" s="10">
        <f>IFERROR(__xludf.DUMMYFUNCTION("""COMPUTED_VALUE"""),107325.0)</f>
        <v>107325</v>
      </c>
      <c r="B4385" s="11">
        <f>IFERROR(__xludf.DUMMYFUNCTION("""COMPUTED_VALUE"""),0.0)</f>
        <v>0</v>
      </c>
      <c r="C4385" s="11">
        <f>IFERROR(__xludf.DUMMYFUNCTION("""COMPUTED_VALUE"""),406.0)</f>
        <v>406</v>
      </c>
      <c r="D4385" s="11">
        <f>IFERROR(__xludf.DUMMYFUNCTION("""COMPUTED_VALUE"""),95.0)</f>
        <v>95</v>
      </c>
      <c r="E4385" s="9"/>
    </row>
    <row r="4386">
      <c r="A4386" s="10">
        <f>IFERROR(__xludf.DUMMYFUNCTION("""COMPUTED_VALUE"""),8871.0)</f>
        <v>8871</v>
      </c>
      <c r="B4386" s="11">
        <f>IFERROR(__xludf.DUMMYFUNCTION("""COMPUTED_VALUE"""),1.0)</f>
        <v>1</v>
      </c>
      <c r="C4386" s="11">
        <f>IFERROR(__xludf.DUMMYFUNCTION("""COMPUTED_VALUE"""),877.0)</f>
        <v>877</v>
      </c>
      <c r="D4386" s="11">
        <f>IFERROR(__xludf.DUMMYFUNCTION("""COMPUTED_VALUE"""),812.0)</f>
        <v>812</v>
      </c>
      <c r="E4386" s="9"/>
    </row>
    <row r="4387">
      <c r="A4387" s="10">
        <f>IFERROR(__xludf.DUMMYFUNCTION("""COMPUTED_VALUE"""),107334.0)</f>
        <v>107334</v>
      </c>
      <c r="B4387" s="11">
        <f>IFERROR(__xludf.DUMMYFUNCTION("""COMPUTED_VALUE"""),0.0)</f>
        <v>0</v>
      </c>
      <c r="C4387" s="11">
        <f>IFERROR(__xludf.DUMMYFUNCTION("""COMPUTED_VALUE"""),556.0)</f>
        <v>556</v>
      </c>
      <c r="D4387" s="11">
        <f>IFERROR(__xludf.DUMMYFUNCTION("""COMPUTED_VALUE"""),431.0)</f>
        <v>431</v>
      </c>
      <c r="E4387" s="9"/>
    </row>
    <row r="4388">
      <c r="A4388" s="10">
        <f>IFERROR(__xludf.DUMMYFUNCTION("""COMPUTED_VALUE"""),120302.0)</f>
        <v>120302</v>
      </c>
      <c r="B4388" s="11">
        <f>IFERROR(__xludf.DUMMYFUNCTION("""COMPUTED_VALUE"""),0.0)</f>
        <v>0</v>
      </c>
      <c r="C4388" s="11">
        <f>IFERROR(__xludf.DUMMYFUNCTION("""COMPUTED_VALUE"""),637.0)</f>
        <v>637</v>
      </c>
      <c r="D4388" s="11">
        <f>IFERROR(__xludf.DUMMYFUNCTION("""COMPUTED_VALUE"""),608.0)</f>
        <v>608</v>
      </c>
      <c r="E4388" s="9"/>
    </row>
    <row r="4389">
      <c r="A4389" s="10">
        <f>IFERROR(__xludf.DUMMYFUNCTION("""COMPUTED_VALUE"""),117661.0)</f>
        <v>117661</v>
      </c>
      <c r="B4389" s="11">
        <f>IFERROR(__xludf.DUMMYFUNCTION("""COMPUTED_VALUE"""),1.0)</f>
        <v>1</v>
      </c>
      <c r="C4389" s="11">
        <f>IFERROR(__xludf.DUMMYFUNCTION("""COMPUTED_VALUE"""),577.0)</f>
        <v>577</v>
      </c>
      <c r="D4389" s="11">
        <f>IFERROR(__xludf.DUMMYFUNCTION("""COMPUTED_VALUE"""),302.0)</f>
        <v>302</v>
      </c>
      <c r="E4389" s="9"/>
    </row>
    <row r="4390">
      <c r="A4390" s="10">
        <f>IFERROR(__xludf.DUMMYFUNCTION("""COMPUTED_VALUE"""),79006.0)</f>
        <v>79006</v>
      </c>
      <c r="B4390" s="11">
        <f>IFERROR(__xludf.DUMMYFUNCTION("""COMPUTED_VALUE"""),0.0)</f>
        <v>0</v>
      </c>
      <c r="C4390" s="11">
        <f>IFERROR(__xludf.DUMMYFUNCTION("""COMPUTED_VALUE"""),757.0)</f>
        <v>757</v>
      </c>
      <c r="D4390" s="11">
        <f>IFERROR(__xludf.DUMMYFUNCTION("""COMPUTED_VALUE"""),115.0)</f>
        <v>115</v>
      </c>
      <c r="E4390" s="9"/>
    </row>
    <row r="4391">
      <c r="A4391" s="10">
        <f>IFERROR(__xludf.DUMMYFUNCTION("""COMPUTED_VALUE"""),17133.0)</f>
        <v>17133</v>
      </c>
      <c r="B4391" s="11">
        <f>IFERROR(__xludf.DUMMYFUNCTION("""COMPUTED_VALUE"""),0.0)</f>
        <v>0</v>
      </c>
      <c r="C4391" s="11">
        <f>IFERROR(__xludf.DUMMYFUNCTION("""COMPUTED_VALUE"""),555.0)</f>
        <v>555</v>
      </c>
      <c r="D4391" s="11">
        <f>IFERROR(__xludf.DUMMYFUNCTION("""COMPUTED_VALUE"""),12.0)</f>
        <v>12</v>
      </c>
      <c r="E4391" s="9"/>
    </row>
    <row r="4392">
      <c r="A4392" s="10">
        <f>IFERROR(__xludf.DUMMYFUNCTION("""COMPUTED_VALUE"""),76818.0)</f>
        <v>76818</v>
      </c>
      <c r="B4392" s="11">
        <f>IFERROR(__xludf.DUMMYFUNCTION("""COMPUTED_VALUE"""),1.0)</f>
        <v>1</v>
      </c>
      <c r="C4392" s="11">
        <f>IFERROR(__xludf.DUMMYFUNCTION("""COMPUTED_VALUE"""),445.0)</f>
        <v>445</v>
      </c>
      <c r="D4392" s="11">
        <f>IFERROR(__xludf.DUMMYFUNCTION("""COMPUTED_VALUE"""),30.0)</f>
        <v>30</v>
      </c>
      <c r="E4392" s="9"/>
    </row>
    <row r="4393">
      <c r="A4393" s="10">
        <f>IFERROR(__xludf.DUMMYFUNCTION("""COMPUTED_VALUE"""),70236.0)</f>
        <v>70236</v>
      </c>
      <c r="B4393" s="11">
        <f>IFERROR(__xludf.DUMMYFUNCTION("""COMPUTED_VALUE"""),0.0)</f>
        <v>0</v>
      </c>
      <c r="C4393" s="11">
        <f>IFERROR(__xludf.DUMMYFUNCTION("""COMPUTED_VALUE"""),234.0)</f>
        <v>234</v>
      </c>
      <c r="D4393" s="11">
        <f>IFERROR(__xludf.DUMMYFUNCTION("""COMPUTED_VALUE"""),192.0)</f>
        <v>192</v>
      </c>
      <c r="E4393" s="9"/>
    </row>
    <row r="4394">
      <c r="A4394" s="10">
        <f>IFERROR(__xludf.DUMMYFUNCTION("""COMPUTED_VALUE"""),91342.0)</f>
        <v>91342</v>
      </c>
      <c r="B4394" s="11">
        <f>IFERROR(__xludf.DUMMYFUNCTION("""COMPUTED_VALUE"""),0.0)</f>
        <v>0</v>
      </c>
      <c r="C4394" s="11">
        <f>IFERROR(__xludf.DUMMYFUNCTION("""COMPUTED_VALUE"""),444.0)</f>
        <v>444</v>
      </c>
      <c r="D4394" s="11">
        <f>IFERROR(__xludf.DUMMYFUNCTION("""COMPUTED_VALUE"""),322.0)</f>
        <v>322</v>
      </c>
      <c r="E4394" s="9"/>
    </row>
    <row r="4395">
      <c r="A4395" s="10">
        <f>IFERROR(__xludf.DUMMYFUNCTION("""COMPUTED_VALUE"""),121782.0)</f>
        <v>121782</v>
      </c>
      <c r="B4395" s="11">
        <f>IFERROR(__xludf.DUMMYFUNCTION("""COMPUTED_VALUE"""),0.0)</f>
        <v>0</v>
      </c>
      <c r="C4395" s="11">
        <f>IFERROR(__xludf.DUMMYFUNCTION("""COMPUTED_VALUE"""),661.0)</f>
        <v>661</v>
      </c>
      <c r="D4395" s="11">
        <f>IFERROR(__xludf.DUMMYFUNCTION("""COMPUTED_VALUE"""),517.0)</f>
        <v>517</v>
      </c>
      <c r="E4395" s="9"/>
    </row>
    <row r="4396">
      <c r="A4396" s="10">
        <f>IFERROR(__xludf.DUMMYFUNCTION("""COMPUTED_VALUE"""),76822.0)</f>
        <v>76822</v>
      </c>
      <c r="B4396" s="11">
        <f>IFERROR(__xludf.DUMMYFUNCTION("""COMPUTED_VALUE"""),0.0)</f>
        <v>0</v>
      </c>
      <c r="C4396" s="11">
        <f>IFERROR(__xludf.DUMMYFUNCTION("""COMPUTED_VALUE"""),815.0)</f>
        <v>815</v>
      </c>
      <c r="D4396" s="11">
        <f>IFERROR(__xludf.DUMMYFUNCTION("""COMPUTED_VALUE"""),295.0)</f>
        <v>295</v>
      </c>
      <c r="E4396" s="9"/>
    </row>
    <row r="4397">
      <c r="A4397" s="10">
        <f>IFERROR(__xludf.DUMMYFUNCTION("""COMPUTED_VALUE"""),100278.0)</f>
        <v>100278</v>
      </c>
      <c r="B4397" s="11">
        <f>IFERROR(__xludf.DUMMYFUNCTION("""COMPUTED_VALUE"""),1.0)</f>
        <v>1</v>
      </c>
      <c r="C4397" s="11">
        <f>IFERROR(__xludf.DUMMYFUNCTION("""COMPUTED_VALUE"""),616.0)</f>
        <v>616</v>
      </c>
      <c r="D4397" s="11">
        <f>IFERROR(__xludf.DUMMYFUNCTION("""COMPUTED_VALUE"""),260.0)</f>
        <v>260</v>
      </c>
      <c r="E4397" s="9"/>
    </row>
    <row r="4398">
      <c r="A4398" s="10">
        <f>IFERROR(__xludf.DUMMYFUNCTION("""COMPUTED_VALUE"""),122795.0)</f>
        <v>122795</v>
      </c>
      <c r="B4398" s="11">
        <f>IFERROR(__xludf.DUMMYFUNCTION("""COMPUTED_VALUE"""),0.0)</f>
        <v>0</v>
      </c>
      <c r="C4398" s="11">
        <f>IFERROR(__xludf.DUMMYFUNCTION("""COMPUTED_VALUE"""),502.0)</f>
        <v>502</v>
      </c>
      <c r="D4398" s="11">
        <f>IFERROR(__xludf.DUMMYFUNCTION("""COMPUTED_VALUE"""),274.0)</f>
        <v>274</v>
      </c>
      <c r="E4398" s="9"/>
    </row>
    <row r="4399">
      <c r="A4399" s="10">
        <f>IFERROR(__xludf.DUMMYFUNCTION("""COMPUTED_VALUE"""),100282.0)</f>
        <v>100282</v>
      </c>
      <c r="B4399" s="11">
        <f>IFERROR(__xludf.DUMMYFUNCTION("""COMPUTED_VALUE"""),0.0)</f>
        <v>0</v>
      </c>
      <c r="C4399" s="11">
        <f>IFERROR(__xludf.DUMMYFUNCTION("""COMPUTED_VALUE"""),289.0)</f>
        <v>289</v>
      </c>
      <c r="D4399" s="11">
        <f>IFERROR(__xludf.DUMMYFUNCTION("""COMPUTED_VALUE"""),52.0)</f>
        <v>52</v>
      </c>
      <c r="E4399" s="9"/>
    </row>
    <row r="4400">
      <c r="A4400" s="10">
        <f>IFERROR(__xludf.DUMMYFUNCTION("""COMPUTED_VALUE"""),68867.0)</f>
        <v>68867</v>
      </c>
      <c r="B4400" s="11">
        <f>IFERROR(__xludf.DUMMYFUNCTION("""COMPUTED_VALUE"""),0.0)</f>
        <v>0</v>
      </c>
      <c r="C4400" s="11">
        <f>IFERROR(__xludf.DUMMYFUNCTION("""COMPUTED_VALUE"""),204.0)</f>
        <v>204</v>
      </c>
      <c r="D4400" s="11">
        <f>IFERROR(__xludf.DUMMYFUNCTION("""COMPUTED_VALUE"""),82.0)</f>
        <v>82</v>
      </c>
      <c r="E4400" s="9"/>
    </row>
    <row r="4401">
      <c r="A4401" s="10">
        <f>IFERROR(__xludf.DUMMYFUNCTION("""COMPUTED_VALUE"""),8862.0)</f>
        <v>8862</v>
      </c>
      <c r="B4401" s="11">
        <f>IFERROR(__xludf.DUMMYFUNCTION("""COMPUTED_VALUE"""),0.0)</f>
        <v>0</v>
      </c>
      <c r="C4401" s="11">
        <f>IFERROR(__xludf.DUMMYFUNCTION("""COMPUTED_VALUE"""),596.0)</f>
        <v>596</v>
      </c>
      <c r="D4401" s="11">
        <f>IFERROR(__xludf.DUMMYFUNCTION("""COMPUTED_VALUE"""),263.0)</f>
        <v>263</v>
      </c>
      <c r="E4401" s="9"/>
    </row>
    <row r="4402">
      <c r="A4402" s="10">
        <f>IFERROR(__xludf.DUMMYFUNCTION("""COMPUTED_VALUE"""),72131.0)</f>
        <v>72131</v>
      </c>
      <c r="B4402" s="11">
        <f>IFERROR(__xludf.DUMMYFUNCTION("""COMPUTED_VALUE"""),1.0)</f>
        <v>1</v>
      </c>
      <c r="C4402" s="11">
        <f>IFERROR(__xludf.DUMMYFUNCTION("""COMPUTED_VALUE"""),665.0)</f>
        <v>665</v>
      </c>
      <c r="D4402" s="11">
        <f>IFERROR(__xludf.DUMMYFUNCTION("""COMPUTED_VALUE"""),484.0)</f>
        <v>484</v>
      </c>
      <c r="E4402" s="9"/>
    </row>
    <row r="4403">
      <c r="A4403" s="10">
        <f>IFERROR(__xludf.DUMMYFUNCTION("""COMPUTED_VALUE"""),12047.0)</f>
        <v>12047</v>
      </c>
      <c r="B4403" s="11">
        <f>IFERROR(__xludf.DUMMYFUNCTION("""COMPUTED_VALUE"""),0.0)</f>
        <v>0</v>
      </c>
      <c r="C4403" s="11">
        <f>IFERROR(__xludf.DUMMYFUNCTION("""COMPUTED_VALUE"""),603.0)</f>
        <v>603</v>
      </c>
      <c r="D4403" s="11">
        <f>IFERROR(__xludf.DUMMYFUNCTION("""COMPUTED_VALUE"""),216.0)</f>
        <v>216</v>
      </c>
      <c r="E4403" s="9"/>
    </row>
    <row r="4404">
      <c r="A4404" s="10">
        <f>IFERROR(__xludf.DUMMYFUNCTION("""COMPUTED_VALUE"""),121790.0)</f>
        <v>121790</v>
      </c>
      <c r="B4404" s="11">
        <f>IFERROR(__xludf.DUMMYFUNCTION("""COMPUTED_VALUE"""),1.0)</f>
        <v>1</v>
      </c>
      <c r="C4404" s="11">
        <f>IFERROR(__xludf.DUMMYFUNCTION("""COMPUTED_VALUE"""),395.0)</f>
        <v>395</v>
      </c>
      <c r="D4404" s="11">
        <f>IFERROR(__xludf.DUMMYFUNCTION("""COMPUTED_VALUE"""),191.0)</f>
        <v>191</v>
      </c>
      <c r="E4404" s="9"/>
    </row>
    <row r="4405">
      <c r="A4405" s="10">
        <f>IFERROR(__xludf.DUMMYFUNCTION("""COMPUTED_VALUE"""),121787.0)</f>
        <v>121787</v>
      </c>
      <c r="B4405" s="11">
        <f>IFERROR(__xludf.DUMMYFUNCTION("""COMPUTED_VALUE"""),1.0)</f>
        <v>1</v>
      </c>
      <c r="C4405" s="11">
        <f>IFERROR(__xludf.DUMMYFUNCTION("""COMPUTED_VALUE"""),61.0)</f>
        <v>61</v>
      </c>
      <c r="D4405" s="11">
        <f>IFERROR(__xludf.DUMMYFUNCTION("""COMPUTED_VALUE"""),28.0)</f>
        <v>28</v>
      </c>
      <c r="E4405" s="9"/>
    </row>
    <row r="4406">
      <c r="A4406" s="10">
        <f>IFERROR(__xludf.DUMMYFUNCTION("""COMPUTED_VALUE"""),70239.0)</f>
        <v>70239</v>
      </c>
      <c r="B4406" s="11">
        <f>IFERROR(__xludf.DUMMYFUNCTION("""COMPUTED_VALUE"""),1.0)</f>
        <v>1</v>
      </c>
      <c r="C4406" s="11">
        <f>IFERROR(__xludf.DUMMYFUNCTION("""COMPUTED_VALUE"""),926.0)</f>
        <v>926</v>
      </c>
      <c r="D4406" s="11">
        <f>IFERROR(__xludf.DUMMYFUNCTION("""COMPUTED_VALUE"""),81.0)</f>
        <v>81</v>
      </c>
      <c r="E4406" s="9"/>
    </row>
    <row r="4407">
      <c r="A4407" s="10">
        <f>IFERROR(__xludf.DUMMYFUNCTION("""COMPUTED_VALUE"""),113942.0)</f>
        <v>113942</v>
      </c>
      <c r="B4407" s="11">
        <f>IFERROR(__xludf.DUMMYFUNCTION("""COMPUTED_VALUE"""),1.0)</f>
        <v>1</v>
      </c>
      <c r="C4407" s="11">
        <f>IFERROR(__xludf.DUMMYFUNCTION("""COMPUTED_VALUE"""),786.0)</f>
        <v>786</v>
      </c>
      <c r="D4407" s="11">
        <f>IFERROR(__xludf.DUMMYFUNCTION("""COMPUTED_VALUE"""),774.0)</f>
        <v>774</v>
      </c>
      <c r="E4407" s="9"/>
    </row>
    <row r="4408">
      <c r="A4408" s="10">
        <f>IFERROR(__xludf.DUMMYFUNCTION("""COMPUTED_VALUE"""),119134.0)</f>
        <v>119134</v>
      </c>
      <c r="B4408" s="11">
        <f>IFERROR(__xludf.DUMMYFUNCTION("""COMPUTED_VALUE"""),0.0)</f>
        <v>0</v>
      </c>
      <c r="C4408" s="11">
        <f>IFERROR(__xludf.DUMMYFUNCTION("""COMPUTED_VALUE"""),583.0)</f>
        <v>583</v>
      </c>
      <c r="D4408" s="11">
        <f>IFERROR(__xludf.DUMMYFUNCTION("""COMPUTED_VALUE"""),316.0)</f>
        <v>316</v>
      </c>
      <c r="E4408" s="9"/>
    </row>
    <row r="4409">
      <c r="A4409" s="10">
        <f>IFERROR(__xludf.DUMMYFUNCTION("""COMPUTED_VALUE"""),76813.0)</f>
        <v>76813</v>
      </c>
      <c r="B4409" s="11">
        <f>IFERROR(__xludf.DUMMYFUNCTION("""COMPUTED_VALUE"""),0.0)</f>
        <v>0</v>
      </c>
      <c r="C4409" s="11">
        <f>IFERROR(__xludf.DUMMYFUNCTION("""COMPUTED_VALUE"""),801.0)</f>
        <v>801</v>
      </c>
      <c r="D4409" s="11">
        <f>IFERROR(__xludf.DUMMYFUNCTION("""COMPUTED_VALUE"""),126.0)</f>
        <v>126</v>
      </c>
      <c r="E4409" s="9"/>
    </row>
    <row r="4410">
      <c r="A4410" s="10">
        <f>IFERROR(__xludf.DUMMYFUNCTION("""COMPUTED_VALUE"""),121793.0)</f>
        <v>121793</v>
      </c>
      <c r="B4410" s="11">
        <f>IFERROR(__xludf.DUMMYFUNCTION("""COMPUTED_VALUE"""),0.0)</f>
        <v>0</v>
      </c>
      <c r="C4410" s="11">
        <f>IFERROR(__xludf.DUMMYFUNCTION("""COMPUTED_VALUE"""),347.0)</f>
        <v>347</v>
      </c>
      <c r="D4410" s="11">
        <f>IFERROR(__xludf.DUMMYFUNCTION("""COMPUTED_VALUE"""),95.0)</f>
        <v>95</v>
      </c>
      <c r="E4410" s="9"/>
    </row>
    <row r="4411">
      <c r="A4411" s="10">
        <f>IFERROR(__xludf.DUMMYFUNCTION("""COMPUTED_VALUE"""),100283.0)</f>
        <v>100283</v>
      </c>
      <c r="B4411" s="11">
        <f>IFERROR(__xludf.DUMMYFUNCTION("""COMPUTED_VALUE"""),1.0)</f>
        <v>1</v>
      </c>
      <c r="C4411" s="11">
        <f>IFERROR(__xludf.DUMMYFUNCTION("""COMPUTED_VALUE"""),974.0)</f>
        <v>974</v>
      </c>
      <c r="D4411" s="11">
        <f>IFERROR(__xludf.DUMMYFUNCTION("""COMPUTED_VALUE"""),206.0)</f>
        <v>206</v>
      </c>
      <c r="E4411" s="9"/>
    </row>
    <row r="4412">
      <c r="A4412" s="10">
        <f>IFERROR(__xludf.DUMMYFUNCTION("""COMPUTED_VALUE"""),75028.0)</f>
        <v>75028</v>
      </c>
      <c r="B4412" s="11">
        <f>IFERROR(__xludf.DUMMYFUNCTION("""COMPUTED_VALUE"""),1.0)</f>
        <v>1</v>
      </c>
      <c r="C4412" s="11">
        <f>IFERROR(__xludf.DUMMYFUNCTION("""COMPUTED_VALUE"""),17.0)</f>
        <v>17</v>
      </c>
      <c r="D4412" s="11">
        <f>IFERROR(__xludf.DUMMYFUNCTION("""COMPUTED_VALUE"""),15.0)</f>
        <v>15</v>
      </c>
      <c r="E4412" s="9"/>
    </row>
    <row r="4413">
      <c r="A4413" s="10">
        <f>IFERROR(__xludf.DUMMYFUNCTION("""COMPUTED_VALUE"""),113946.0)</f>
        <v>113946</v>
      </c>
      <c r="B4413" s="11">
        <f>IFERROR(__xludf.DUMMYFUNCTION("""COMPUTED_VALUE"""),1.0)</f>
        <v>1</v>
      </c>
      <c r="C4413" s="11">
        <f>IFERROR(__xludf.DUMMYFUNCTION("""COMPUTED_VALUE"""),476.0)</f>
        <v>476</v>
      </c>
      <c r="D4413" s="11">
        <f>IFERROR(__xludf.DUMMYFUNCTION("""COMPUTED_VALUE"""),323.0)</f>
        <v>323</v>
      </c>
      <c r="E4413" s="9"/>
    </row>
    <row r="4414">
      <c r="A4414" s="10">
        <f>IFERROR(__xludf.DUMMYFUNCTION("""COMPUTED_VALUE"""),12050.0)</f>
        <v>12050</v>
      </c>
      <c r="B4414" s="11">
        <f>IFERROR(__xludf.DUMMYFUNCTION("""COMPUTED_VALUE"""),0.0)</f>
        <v>0</v>
      </c>
      <c r="C4414" s="11">
        <f>IFERROR(__xludf.DUMMYFUNCTION("""COMPUTED_VALUE"""),909.0)</f>
        <v>909</v>
      </c>
      <c r="D4414" s="11">
        <f>IFERROR(__xludf.DUMMYFUNCTION("""COMPUTED_VALUE"""),203.0)</f>
        <v>203</v>
      </c>
      <c r="E4414" s="9"/>
    </row>
    <row r="4415">
      <c r="A4415" s="10">
        <f>IFERROR(__xludf.DUMMYFUNCTION("""COMPUTED_VALUE"""),104312.0)</f>
        <v>104312</v>
      </c>
      <c r="B4415" s="11">
        <f>IFERROR(__xludf.DUMMYFUNCTION("""COMPUTED_VALUE"""),1.0)</f>
        <v>1</v>
      </c>
      <c r="C4415" s="11">
        <f>IFERROR(__xludf.DUMMYFUNCTION("""COMPUTED_VALUE"""),54.0)</f>
        <v>54</v>
      </c>
      <c r="D4415" s="11">
        <f>IFERROR(__xludf.DUMMYFUNCTION("""COMPUTED_VALUE"""),36.0)</f>
        <v>36</v>
      </c>
      <c r="E4415" s="9"/>
    </row>
    <row r="4416">
      <c r="A4416" s="10">
        <f>IFERROR(__xludf.DUMMYFUNCTION("""COMPUTED_VALUE"""),121780.0)</f>
        <v>121780</v>
      </c>
      <c r="B4416" s="11">
        <f>IFERROR(__xludf.DUMMYFUNCTION("""COMPUTED_VALUE"""),1.0)</f>
        <v>1</v>
      </c>
      <c r="C4416" s="11">
        <f>IFERROR(__xludf.DUMMYFUNCTION("""COMPUTED_VALUE"""),923.0)</f>
        <v>923</v>
      </c>
      <c r="D4416" s="11">
        <f>IFERROR(__xludf.DUMMYFUNCTION("""COMPUTED_VALUE"""),22.0)</f>
        <v>22</v>
      </c>
      <c r="E4416" s="9"/>
    </row>
    <row r="4417">
      <c r="A4417" s="10">
        <f>IFERROR(__xludf.DUMMYFUNCTION("""COMPUTED_VALUE"""),88638.0)</f>
        <v>88638</v>
      </c>
      <c r="B4417" s="11">
        <f>IFERROR(__xludf.DUMMYFUNCTION("""COMPUTED_VALUE"""),1.0)</f>
        <v>1</v>
      </c>
      <c r="C4417" s="11">
        <f>IFERROR(__xludf.DUMMYFUNCTION("""COMPUTED_VALUE"""),692.0)</f>
        <v>692</v>
      </c>
      <c r="D4417" s="11">
        <f>IFERROR(__xludf.DUMMYFUNCTION("""COMPUTED_VALUE"""),255.0)</f>
        <v>255</v>
      </c>
      <c r="E4417" s="9"/>
    </row>
    <row r="4418">
      <c r="A4418" s="10">
        <f>IFERROR(__xludf.DUMMYFUNCTION("""COMPUTED_VALUE"""),70238.0)</f>
        <v>70238</v>
      </c>
      <c r="B4418" s="11">
        <f>IFERROR(__xludf.DUMMYFUNCTION("""COMPUTED_VALUE"""),0.0)</f>
        <v>0</v>
      </c>
      <c r="C4418" s="11">
        <f>IFERROR(__xludf.DUMMYFUNCTION("""COMPUTED_VALUE"""),938.0)</f>
        <v>938</v>
      </c>
      <c r="D4418" s="11">
        <f>IFERROR(__xludf.DUMMYFUNCTION("""COMPUTED_VALUE"""),629.0)</f>
        <v>629</v>
      </c>
      <c r="E4418" s="9"/>
    </row>
    <row r="4419">
      <c r="A4419" s="10">
        <f>IFERROR(__xludf.DUMMYFUNCTION("""COMPUTED_VALUE"""),121839.0)</f>
        <v>121839</v>
      </c>
      <c r="B4419" s="11">
        <f>IFERROR(__xludf.DUMMYFUNCTION("""COMPUTED_VALUE"""),1.0)</f>
        <v>1</v>
      </c>
      <c r="C4419" s="11">
        <f>IFERROR(__xludf.DUMMYFUNCTION("""COMPUTED_VALUE"""),564.0)</f>
        <v>564</v>
      </c>
      <c r="D4419" s="11">
        <f>IFERROR(__xludf.DUMMYFUNCTION("""COMPUTED_VALUE"""),234.0)</f>
        <v>234</v>
      </c>
      <c r="E4419" s="9"/>
    </row>
    <row r="4420">
      <c r="A4420" s="10">
        <f>IFERROR(__xludf.DUMMYFUNCTION("""COMPUTED_VALUE"""),77621.0)</f>
        <v>77621</v>
      </c>
      <c r="B4420" s="11">
        <f>IFERROR(__xludf.DUMMYFUNCTION("""COMPUTED_VALUE"""),1.0)</f>
        <v>1</v>
      </c>
      <c r="C4420" s="11">
        <f>IFERROR(__xludf.DUMMYFUNCTION("""COMPUTED_VALUE"""),51.0)</f>
        <v>51</v>
      </c>
      <c r="D4420" s="11">
        <f>IFERROR(__xludf.DUMMYFUNCTION("""COMPUTED_VALUE"""),9.0)</f>
        <v>9</v>
      </c>
      <c r="E4420" s="9"/>
    </row>
    <row r="4421">
      <c r="A4421" s="10">
        <f>IFERROR(__xludf.DUMMYFUNCTION("""COMPUTED_VALUE"""),121783.0)</f>
        <v>121783</v>
      </c>
      <c r="B4421" s="11">
        <f>IFERROR(__xludf.DUMMYFUNCTION("""COMPUTED_VALUE"""),0.0)</f>
        <v>0</v>
      </c>
      <c r="C4421" s="11">
        <f>IFERROR(__xludf.DUMMYFUNCTION("""COMPUTED_VALUE"""),485.0)</f>
        <v>485</v>
      </c>
      <c r="D4421" s="11">
        <f>IFERROR(__xludf.DUMMYFUNCTION("""COMPUTED_VALUE"""),197.0)</f>
        <v>197</v>
      </c>
      <c r="E4421" s="9"/>
    </row>
    <row r="4422">
      <c r="A4422" s="10">
        <f>IFERROR(__xludf.DUMMYFUNCTION("""COMPUTED_VALUE"""),75033.0)</f>
        <v>75033</v>
      </c>
      <c r="B4422" s="11">
        <f>IFERROR(__xludf.DUMMYFUNCTION("""COMPUTED_VALUE"""),1.0)</f>
        <v>1</v>
      </c>
      <c r="C4422" s="11">
        <f>IFERROR(__xludf.DUMMYFUNCTION("""COMPUTED_VALUE"""),428.0)</f>
        <v>428</v>
      </c>
      <c r="D4422" s="11">
        <f>IFERROR(__xludf.DUMMYFUNCTION("""COMPUTED_VALUE"""),204.0)</f>
        <v>204</v>
      </c>
      <c r="E4422" s="9"/>
    </row>
    <row r="4423">
      <c r="A4423" s="10">
        <f>IFERROR(__xludf.DUMMYFUNCTION("""COMPUTED_VALUE"""),12053.0)</f>
        <v>12053</v>
      </c>
      <c r="B4423" s="11">
        <f>IFERROR(__xludf.DUMMYFUNCTION("""COMPUTED_VALUE"""),1.0)</f>
        <v>1</v>
      </c>
      <c r="C4423" s="11">
        <f>IFERROR(__xludf.DUMMYFUNCTION("""COMPUTED_VALUE"""),965.0)</f>
        <v>965</v>
      </c>
      <c r="D4423" s="11">
        <f>IFERROR(__xludf.DUMMYFUNCTION("""COMPUTED_VALUE"""),371.0)</f>
        <v>371</v>
      </c>
      <c r="E4423" s="9"/>
    </row>
    <row r="4424">
      <c r="A4424" s="10">
        <f>IFERROR(__xludf.DUMMYFUNCTION("""COMPUTED_VALUE"""),113954.0)</f>
        <v>113954</v>
      </c>
      <c r="B4424" s="11">
        <f>IFERROR(__xludf.DUMMYFUNCTION("""COMPUTED_VALUE"""),0.0)</f>
        <v>0</v>
      </c>
      <c r="C4424" s="11">
        <f>IFERROR(__xludf.DUMMYFUNCTION("""COMPUTED_VALUE"""),967.0)</f>
        <v>967</v>
      </c>
      <c r="D4424" s="11">
        <f>IFERROR(__xludf.DUMMYFUNCTION("""COMPUTED_VALUE"""),782.0)</f>
        <v>782</v>
      </c>
      <c r="E4424" s="9"/>
    </row>
    <row r="4425">
      <c r="A4425" s="10">
        <f>IFERROR(__xludf.DUMMYFUNCTION("""COMPUTED_VALUE"""),5782.0)</f>
        <v>5782</v>
      </c>
      <c r="B4425" s="11">
        <f>IFERROR(__xludf.DUMMYFUNCTION("""COMPUTED_VALUE"""),1.0)</f>
        <v>1</v>
      </c>
      <c r="C4425" s="11">
        <f>IFERROR(__xludf.DUMMYFUNCTION("""COMPUTED_VALUE"""),236.0)</f>
        <v>236</v>
      </c>
      <c r="D4425" s="11">
        <f>IFERROR(__xludf.DUMMYFUNCTION("""COMPUTED_VALUE"""),110.0)</f>
        <v>110</v>
      </c>
      <c r="E4425" s="9"/>
    </row>
    <row r="4426">
      <c r="A4426" s="10">
        <f>IFERROR(__xludf.DUMMYFUNCTION("""COMPUTED_VALUE"""),107915.0)</f>
        <v>107915</v>
      </c>
      <c r="B4426" s="11">
        <f>IFERROR(__xludf.DUMMYFUNCTION("""COMPUTED_VALUE"""),0.0)</f>
        <v>0</v>
      </c>
      <c r="C4426" s="11">
        <f>IFERROR(__xludf.DUMMYFUNCTION("""COMPUTED_VALUE"""),427.0)</f>
        <v>427</v>
      </c>
      <c r="D4426" s="11">
        <f>IFERROR(__xludf.DUMMYFUNCTION("""COMPUTED_VALUE"""),369.0)</f>
        <v>369</v>
      </c>
      <c r="E4426" s="9"/>
    </row>
    <row r="4427">
      <c r="A4427" s="10">
        <f>IFERROR(__xludf.DUMMYFUNCTION("""COMPUTED_VALUE"""),68866.0)</f>
        <v>68866</v>
      </c>
      <c r="B4427" s="11">
        <f>IFERROR(__xludf.DUMMYFUNCTION("""COMPUTED_VALUE"""),0.0)</f>
        <v>0</v>
      </c>
      <c r="C4427" s="11">
        <f>IFERROR(__xludf.DUMMYFUNCTION("""COMPUTED_VALUE"""),21.0)</f>
        <v>21</v>
      </c>
      <c r="D4427" s="11">
        <f>IFERROR(__xludf.DUMMYFUNCTION("""COMPUTED_VALUE"""),0.0)</f>
        <v>0</v>
      </c>
      <c r="E4427" s="9"/>
    </row>
    <row r="4428">
      <c r="A4428" s="10">
        <f>IFERROR(__xludf.DUMMYFUNCTION("""COMPUTED_VALUE"""),121837.0)</f>
        <v>121837</v>
      </c>
      <c r="B4428" s="11">
        <f>IFERROR(__xludf.DUMMYFUNCTION("""COMPUTED_VALUE"""),1.0)</f>
        <v>1</v>
      </c>
      <c r="C4428" s="11">
        <f>IFERROR(__xludf.DUMMYFUNCTION("""COMPUTED_VALUE"""),602.0)</f>
        <v>602</v>
      </c>
      <c r="D4428" s="11">
        <f>IFERROR(__xludf.DUMMYFUNCTION("""COMPUTED_VALUE"""),445.0)</f>
        <v>445</v>
      </c>
      <c r="E4428" s="9"/>
    </row>
    <row r="4429">
      <c r="A4429" s="10">
        <f>IFERROR(__xludf.DUMMYFUNCTION("""COMPUTED_VALUE"""),121840.0)</f>
        <v>121840</v>
      </c>
      <c r="B4429" s="11">
        <f>IFERROR(__xludf.DUMMYFUNCTION("""COMPUTED_VALUE"""),1.0)</f>
        <v>1</v>
      </c>
      <c r="C4429" s="11">
        <f>IFERROR(__xludf.DUMMYFUNCTION("""COMPUTED_VALUE"""),939.0)</f>
        <v>939</v>
      </c>
      <c r="D4429" s="11">
        <f>IFERROR(__xludf.DUMMYFUNCTION("""COMPUTED_VALUE"""),481.0)</f>
        <v>481</v>
      </c>
      <c r="E4429" s="9"/>
    </row>
    <row r="4430">
      <c r="A4430" s="10">
        <f>IFERROR(__xludf.DUMMYFUNCTION("""COMPUTED_VALUE"""),90979.0)</f>
        <v>90979</v>
      </c>
      <c r="B4430" s="11">
        <f>IFERROR(__xludf.DUMMYFUNCTION("""COMPUTED_VALUE"""),1.0)</f>
        <v>1</v>
      </c>
      <c r="C4430" s="11">
        <f>IFERROR(__xludf.DUMMYFUNCTION("""COMPUTED_VALUE"""),48.0)</f>
        <v>48</v>
      </c>
      <c r="D4430" s="11">
        <f>IFERROR(__xludf.DUMMYFUNCTION("""COMPUTED_VALUE"""),48.0)</f>
        <v>48</v>
      </c>
      <c r="E4430" s="9"/>
    </row>
    <row r="4431">
      <c r="A4431" s="10">
        <f>IFERROR(__xludf.DUMMYFUNCTION("""COMPUTED_VALUE"""),114350.0)</f>
        <v>114350</v>
      </c>
      <c r="B4431" s="11">
        <f>IFERROR(__xludf.DUMMYFUNCTION("""COMPUTED_VALUE"""),0.0)</f>
        <v>0</v>
      </c>
      <c r="C4431" s="11">
        <f>IFERROR(__xludf.DUMMYFUNCTION("""COMPUTED_VALUE"""),935.0)</f>
        <v>935</v>
      </c>
      <c r="D4431" s="11">
        <f>IFERROR(__xludf.DUMMYFUNCTION("""COMPUTED_VALUE"""),297.0)</f>
        <v>297</v>
      </c>
      <c r="E4431" s="9"/>
    </row>
    <row r="4432">
      <c r="A4432" s="10">
        <f>IFERROR(__xludf.DUMMYFUNCTION("""COMPUTED_VALUE"""),47539.0)</f>
        <v>47539</v>
      </c>
      <c r="B4432" s="11">
        <f>IFERROR(__xludf.DUMMYFUNCTION("""COMPUTED_VALUE"""),0.0)</f>
        <v>0</v>
      </c>
      <c r="C4432" s="11">
        <f>IFERROR(__xludf.DUMMYFUNCTION("""COMPUTED_VALUE"""),634.0)</f>
        <v>634</v>
      </c>
      <c r="D4432" s="11">
        <f>IFERROR(__xludf.DUMMYFUNCTION("""COMPUTED_VALUE"""),309.0)</f>
        <v>309</v>
      </c>
      <c r="E4432" s="9"/>
    </row>
    <row r="4433">
      <c r="A4433" s="10">
        <f>IFERROR(__xludf.DUMMYFUNCTION("""COMPUTED_VALUE"""),83948.0)</f>
        <v>83948</v>
      </c>
      <c r="B4433" s="11">
        <f>IFERROR(__xludf.DUMMYFUNCTION("""COMPUTED_VALUE"""),1.0)</f>
        <v>1</v>
      </c>
      <c r="C4433" s="11">
        <f>IFERROR(__xludf.DUMMYFUNCTION("""COMPUTED_VALUE"""),7.0)</f>
        <v>7</v>
      </c>
      <c r="D4433" s="11">
        <f>IFERROR(__xludf.DUMMYFUNCTION("""COMPUTED_VALUE"""),0.0)</f>
        <v>0</v>
      </c>
      <c r="E4433" s="9"/>
    </row>
    <row r="4434">
      <c r="A4434" s="10">
        <f>IFERROR(__xludf.DUMMYFUNCTION("""COMPUTED_VALUE"""),17139.0)</f>
        <v>17139</v>
      </c>
      <c r="B4434" s="11">
        <f>IFERROR(__xludf.DUMMYFUNCTION("""COMPUTED_VALUE"""),0.0)</f>
        <v>0</v>
      </c>
      <c r="C4434" s="11">
        <f>IFERROR(__xludf.DUMMYFUNCTION("""COMPUTED_VALUE"""),3.0)</f>
        <v>3</v>
      </c>
      <c r="D4434" s="11">
        <f>IFERROR(__xludf.DUMMYFUNCTION("""COMPUTED_VALUE"""),3.0)</f>
        <v>3</v>
      </c>
      <c r="E4434" s="9"/>
    </row>
    <row r="4435">
      <c r="A4435" s="10">
        <f>IFERROR(__xludf.DUMMYFUNCTION("""COMPUTED_VALUE"""),12051.0)</f>
        <v>12051</v>
      </c>
      <c r="B4435" s="11">
        <f>IFERROR(__xludf.DUMMYFUNCTION("""COMPUTED_VALUE"""),1.0)</f>
        <v>1</v>
      </c>
      <c r="C4435" s="11">
        <f>IFERROR(__xludf.DUMMYFUNCTION("""COMPUTED_VALUE"""),117.0)</f>
        <v>117</v>
      </c>
      <c r="D4435" s="11">
        <f>IFERROR(__xludf.DUMMYFUNCTION("""COMPUTED_VALUE"""),111.0)</f>
        <v>111</v>
      </c>
      <c r="E4435" s="9"/>
    </row>
    <row r="4436">
      <c r="A4436" s="10">
        <f>IFERROR(__xludf.DUMMYFUNCTION("""COMPUTED_VALUE"""),12052.0)</f>
        <v>12052</v>
      </c>
      <c r="B4436" s="11">
        <f>IFERROR(__xludf.DUMMYFUNCTION("""COMPUTED_VALUE"""),1.0)</f>
        <v>1</v>
      </c>
      <c r="C4436" s="11">
        <f>IFERROR(__xludf.DUMMYFUNCTION("""COMPUTED_VALUE"""),260.0)</f>
        <v>260</v>
      </c>
      <c r="D4436" s="11">
        <f>IFERROR(__xludf.DUMMYFUNCTION("""COMPUTED_VALUE"""),97.0)</f>
        <v>97</v>
      </c>
      <c r="E4436" s="9"/>
    </row>
    <row r="4437">
      <c r="A4437" s="10">
        <f>IFERROR(__xludf.DUMMYFUNCTION("""COMPUTED_VALUE"""),121838.0)</f>
        <v>121838</v>
      </c>
      <c r="B4437" s="11">
        <f>IFERROR(__xludf.DUMMYFUNCTION("""COMPUTED_VALUE"""),1.0)</f>
        <v>1</v>
      </c>
      <c r="C4437" s="11">
        <f>IFERROR(__xludf.DUMMYFUNCTION("""COMPUTED_VALUE"""),425.0)</f>
        <v>425</v>
      </c>
      <c r="D4437" s="11">
        <f>IFERROR(__xludf.DUMMYFUNCTION("""COMPUTED_VALUE"""),273.0)</f>
        <v>273</v>
      </c>
      <c r="E4437" s="9"/>
    </row>
    <row r="4438">
      <c r="A4438" s="10">
        <f>IFERROR(__xludf.DUMMYFUNCTION("""COMPUTED_VALUE"""),107917.0)</f>
        <v>107917</v>
      </c>
      <c r="B4438" s="11">
        <f>IFERROR(__xludf.DUMMYFUNCTION("""COMPUTED_VALUE"""),1.0)</f>
        <v>1</v>
      </c>
      <c r="C4438" s="11">
        <f>IFERROR(__xludf.DUMMYFUNCTION("""COMPUTED_VALUE"""),37.0)</f>
        <v>37</v>
      </c>
      <c r="D4438" s="11">
        <f>IFERROR(__xludf.DUMMYFUNCTION("""COMPUTED_VALUE"""),4.0)</f>
        <v>4</v>
      </c>
      <c r="E4438" s="9"/>
    </row>
    <row r="4439">
      <c r="A4439" s="10">
        <f>IFERROR(__xludf.DUMMYFUNCTION("""COMPUTED_VALUE"""),5779.0)</f>
        <v>5779</v>
      </c>
      <c r="B4439" s="11">
        <f>IFERROR(__xludf.DUMMYFUNCTION("""COMPUTED_VALUE"""),1.0)</f>
        <v>1</v>
      </c>
      <c r="C4439" s="11">
        <f>IFERROR(__xludf.DUMMYFUNCTION("""COMPUTED_VALUE"""),391.0)</f>
        <v>391</v>
      </c>
      <c r="D4439" s="11">
        <f>IFERROR(__xludf.DUMMYFUNCTION("""COMPUTED_VALUE"""),176.0)</f>
        <v>176</v>
      </c>
      <c r="E4439" s="9"/>
    </row>
    <row r="4440">
      <c r="A4440" s="10">
        <f>IFERROR(__xludf.DUMMYFUNCTION("""COMPUTED_VALUE"""),120303.0)</f>
        <v>120303</v>
      </c>
      <c r="B4440" s="11">
        <f>IFERROR(__xludf.DUMMYFUNCTION("""COMPUTED_VALUE"""),0.0)</f>
        <v>0</v>
      </c>
      <c r="C4440" s="11">
        <f>IFERROR(__xludf.DUMMYFUNCTION("""COMPUTED_VALUE"""),778.0)</f>
        <v>778</v>
      </c>
      <c r="D4440" s="11">
        <f>IFERROR(__xludf.DUMMYFUNCTION("""COMPUTED_VALUE"""),29.0)</f>
        <v>29</v>
      </c>
      <c r="E4440" s="9"/>
    </row>
    <row r="4441">
      <c r="A4441" s="10">
        <f>IFERROR(__xludf.DUMMYFUNCTION("""COMPUTED_VALUE"""),121784.0)</f>
        <v>121784</v>
      </c>
      <c r="B4441" s="11">
        <f>IFERROR(__xludf.DUMMYFUNCTION("""COMPUTED_VALUE"""),1.0)</f>
        <v>1</v>
      </c>
      <c r="C4441" s="11">
        <f>IFERROR(__xludf.DUMMYFUNCTION("""COMPUTED_VALUE"""),416.0)</f>
        <v>416</v>
      </c>
      <c r="D4441" s="11">
        <f>IFERROR(__xludf.DUMMYFUNCTION("""COMPUTED_VALUE"""),341.0)</f>
        <v>341</v>
      </c>
      <c r="E4441" s="9"/>
    </row>
    <row r="4442">
      <c r="A4442" s="10">
        <f>IFERROR(__xludf.DUMMYFUNCTION("""COMPUTED_VALUE"""),107913.0)</f>
        <v>107913</v>
      </c>
      <c r="B4442" s="11">
        <f>IFERROR(__xludf.DUMMYFUNCTION("""COMPUTED_VALUE"""),1.0)</f>
        <v>1</v>
      </c>
      <c r="C4442" s="11">
        <f>IFERROR(__xludf.DUMMYFUNCTION("""COMPUTED_VALUE"""),965.0)</f>
        <v>965</v>
      </c>
      <c r="D4442" s="11">
        <f>IFERROR(__xludf.DUMMYFUNCTION("""COMPUTED_VALUE"""),855.0)</f>
        <v>855</v>
      </c>
      <c r="E4442" s="9"/>
    </row>
    <row r="4443">
      <c r="A4443" s="10">
        <f>IFERROR(__xludf.DUMMYFUNCTION("""COMPUTED_VALUE"""),58759.0)</f>
        <v>58759</v>
      </c>
      <c r="B4443" s="11">
        <f>IFERROR(__xludf.DUMMYFUNCTION("""COMPUTED_VALUE"""),1.0)</f>
        <v>1</v>
      </c>
      <c r="C4443" s="11">
        <f>IFERROR(__xludf.DUMMYFUNCTION("""COMPUTED_VALUE"""),123.0)</f>
        <v>123</v>
      </c>
      <c r="D4443" s="11">
        <f>IFERROR(__xludf.DUMMYFUNCTION("""COMPUTED_VALUE"""),113.0)</f>
        <v>113</v>
      </c>
      <c r="E4443" s="9"/>
    </row>
    <row r="4444">
      <c r="A4444" s="10">
        <f>IFERROR(__xludf.DUMMYFUNCTION("""COMPUTED_VALUE"""),158697.0)</f>
        <v>158697</v>
      </c>
      <c r="B4444" s="11">
        <f>IFERROR(__xludf.DUMMYFUNCTION("""COMPUTED_VALUE"""),0.0)</f>
        <v>0</v>
      </c>
      <c r="C4444" s="11">
        <f>IFERROR(__xludf.DUMMYFUNCTION("""COMPUTED_VALUE"""),830.0)</f>
        <v>830</v>
      </c>
      <c r="D4444" s="11">
        <f>IFERROR(__xludf.DUMMYFUNCTION("""COMPUTED_VALUE"""),709.0)</f>
        <v>709</v>
      </c>
      <c r="E4444" s="9"/>
    </row>
    <row r="4445">
      <c r="A4445" s="10">
        <f>IFERROR(__xludf.DUMMYFUNCTION("""COMPUTED_VALUE"""),87160.0)</f>
        <v>87160</v>
      </c>
      <c r="B4445" s="11">
        <f>IFERROR(__xludf.DUMMYFUNCTION("""COMPUTED_VALUE"""),0.0)</f>
        <v>0</v>
      </c>
      <c r="C4445" s="11">
        <f>IFERROR(__xludf.DUMMYFUNCTION("""COMPUTED_VALUE"""),187.0)</f>
        <v>187</v>
      </c>
      <c r="D4445" s="11">
        <f>IFERROR(__xludf.DUMMYFUNCTION("""COMPUTED_VALUE"""),107.0)</f>
        <v>107</v>
      </c>
      <c r="E4445" s="9"/>
    </row>
    <row r="4446">
      <c r="A4446" s="10">
        <f>IFERROR(__xludf.DUMMYFUNCTION("""COMPUTED_VALUE"""),88694.0)</f>
        <v>88694</v>
      </c>
      <c r="B4446" s="11">
        <f>IFERROR(__xludf.DUMMYFUNCTION("""COMPUTED_VALUE"""),0.0)</f>
        <v>0</v>
      </c>
      <c r="C4446" s="11">
        <f>IFERROR(__xludf.DUMMYFUNCTION("""COMPUTED_VALUE"""),806.0)</f>
        <v>806</v>
      </c>
      <c r="D4446" s="11">
        <f>IFERROR(__xludf.DUMMYFUNCTION("""COMPUTED_VALUE"""),588.0)</f>
        <v>588</v>
      </c>
      <c r="E4446" s="9"/>
    </row>
    <row r="4447">
      <c r="A4447" s="10">
        <f>IFERROR(__xludf.DUMMYFUNCTION("""COMPUTED_VALUE"""),120393.0)</f>
        <v>120393</v>
      </c>
      <c r="B4447" s="11">
        <f>IFERROR(__xludf.DUMMYFUNCTION("""COMPUTED_VALUE"""),0.0)</f>
        <v>0</v>
      </c>
      <c r="C4447" s="11">
        <f>IFERROR(__xludf.DUMMYFUNCTION("""COMPUTED_VALUE"""),834.0)</f>
        <v>834</v>
      </c>
      <c r="D4447" s="11">
        <f>IFERROR(__xludf.DUMMYFUNCTION("""COMPUTED_VALUE"""),557.0)</f>
        <v>557</v>
      </c>
      <c r="E4447" s="9"/>
    </row>
    <row r="4448">
      <c r="A4448" s="10">
        <f>IFERROR(__xludf.DUMMYFUNCTION("""COMPUTED_VALUE"""),89581.0)</f>
        <v>89581</v>
      </c>
      <c r="B4448" s="11">
        <f>IFERROR(__xludf.DUMMYFUNCTION("""COMPUTED_VALUE"""),1.0)</f>
        <v>1</v>
      </c>
      <c r="C4448" s="11">
        <f>IFERROR(__xludf.DUMMYFUNCTION("""COMPUTED_VALUE"""),38.0)</f>
        <v>38</v>
      </c>
      <c r="D4448" s="11">
        <f>IFERROR(__xludf.DUMMYFUNCTION("""COMPUTED_VALUE"""),7.0)</f>
        <v>7</v>
      </c>
      <c r="E4448" s="9"/>
    </row>
    <row r="4449">
      <c r="A4449" s="10">
        <f>IFERROR(__xludf.DUMMYFUNCTION("""COMPUTED_VALUE"""),6514.0)</f>
        <v>6514</v>
      </c>
      <c r="B4449" s="11">
        <f>IFERROR(__xludf.DUMMYFUNCTION("""COMPUTED_VALUE"""),1.0)</f>
        <v>1</v>
      </c>
      <c r="C4449" s="11">
        <f>IFERROR(__xludf.DUMMYFUNCTION("""COMPUTED_VALUE"""),711.0)</f>
        <v>711</v>
      </c>
      <c r="D4449" s="11">
        <f>IFERROR(__xludf.DUMMYFUNCTION("""COMPUTED_VALUE"""),471.0)</f>
        <v>471</v>
      </c>
      <c r="E4449" s="9"/>
    </row>
    <row r="4450">
      <c r="A4450" s="10">
        <f>IFERROR(__xludf.DUMMYFUNCTION("""COMPUTED_VALUE"""),105340.0)</f>
        <v>105340</v>
      </c>
      <c r="B4450" s="11">
        <f>IFERROR(__xludf.DUMMYFUNCTION("""COMPUTED_VALUE"""),0.0)</f>
        <v>0</v>
      </c>
      <c r="C4450" s="11">
        <f>IFERROR(__xludf.DUMMYFUNCTION("""COMPUTED_VALUE"""),86.0)</f>
        <v>86</v>
      </c>
      <c r="D4450" s="11">
        <f>IFERROR(__xludf.DUMMYFUNCTION("""COMPUTED_VALUE"""),9.0)</f>
        <v>9</v>
      </c>
      <c r="E4450" s="9"/>
    </row>
    <row r="4451">
      <c r="A4451" s="10">
        <f>IFERROR(__xludf.DUMMYFUNCTION("""COMPUTED_VALUE"""),120865.0)</f>
        <v>120865</v>
      </c>
      <c r="B4451" s="11">
        <f>IFERROR(__xludf.DUMMYFUNCTION("""COMPUTED_VALUE"""),1.0)</f>
        <v>1</v>
      </c>
      <c r="C4451" s="11">
        <f>IFERROR(__xludf.DUMMYFUNCTION("""COMPUTED_VALUE"""),82.0)</f>
        <v>82</v>
      </c>
      <c r="D4451" s="11">
        <f>IFERROR(__xludf.DUMMYFUNCTION("""COMPUTED_VALUE"""),44.0)</f>
        <v>44</v>
      </c>
      <c r="E4451" s="9"/>
    </row>
    <row r="4452">
      <c r="A4452" s="10">
        <f>IFERROR(__xludf.DUMMYFUNCTION("""COMPUTED_VALUE"""),110078.0)</f>
        <v>110078</v>
      </c>
      <c r="B4452" s="11">
        <f>IFERROR(__xludf.DUMMYFUNCTION("""COMPUTED_VALUE"""),0.0)</f>
        <v>0</v>
      </c>
      <c r="C4452" s="11">
        <f>IFERROR(__xludf.DUMMYFUNCTION("""COMPUTED_VALUE"""),50.0)</f>
        <v>50</v>
      </c>
      <c r="D4452" s="11">
        <f>IFERROR(__xludf.DUMMYFUNCTION("""COMPUTED_VALUE"""),39.0)</f>
        <v>39</v>
      </c>
      <c r="E4452" s="9"/>
    </row>
    <row r="4453">
      <c r="A4453" s="10">
        <f>IFERROR(__xludf.DUMMYFUNCTION("""COMPUTED_VALUE"""),122343.0)</f>
        <v>122343</v>
      </c>
      <c r="B4453" s="11">
        <f>IFERROR(__xludf.DUMMYFUNCTION("""COMPUTED_VALUE"""),0.0)</f>
        <v>0</v>
      </c>
      <c r="C4453" s="11">
        <f>IFERROR(__xludf.DUMMYFUNCTION("""COMPUTED_VALUE"""),469.0)</f>
        <v>469</v>
      </c>
      <c r="D4453" s="11">
        <f>IFERROR(__xludf.DUMMYFUNCTION("""COMPUTED_VALUE"""),407.0)</f>
        <v>407</v>
      </c>
      <c r="E4453" s="9"/>
    </row>
    <row r="4454">
      <c r="A4454" s="10">
        <f>IFERROR(__xludf.DUMMYFUNCTION("""COMPUTED_VALUE"""),12296.0)</f>
        <v>12296</v>
      </c>
      <c r="B4454" s="11">
        <f>IFERROR(__xludf.DUMMYFUNCTION("""COMPUTED_VALUE"""),0.0)</f>
        <v>0</v>
      </c>
      <c r="C4454" s="11">
        <f>IFERROR(__xludf.DUMMYFUNCTION("""COMPUTED_VALUE"""),688.0)</f>
        <v>688</v>
      </c>
      <c r="D4454" s="11">
        <f>IFERROR(__xludf.DUMMYFUNCTION("""COMPUTED_VALUE"""),353.0)</f>
        <v>353</v>
      </c>
      <c r="E4454" s="9"/>
    </row>
    <row r="4455">
      <c r="A4455" s="10">
        <f>IFERROR(__xludf.DUMMYFUNCTION("""COMPUTED_VALUE"""),96952.0)</f>
        <v>96952</v>
      </c>
      <c r="B4455" s="11">
        <f>IFERROR(__xludf.DUMMYFUNCTION("""COMPUTED_VALUE"""),0.0)</f>
        <v>0</v>
      </c>
      <c r="C4455" s="11">
        <f>IFERROR(__xludf.DUMMYFUNCTION("""COMPUTED_VALUE"""),808.0)</f>
        <v>808</v>
      </c>
      <c r="D4455" s="11">
        <f>IFERROR(__xludf.DUMMYFUNCTION("""COMPUTED_VALUE"""),267.0)</f>
        <v>267</v>
      </c>
      <c r="E4455" s="9"/>
    </row>
    <row r="4456">
      <c r="A4456" s="10">
        <f>IFERROR(__xludf.DUMMYFUNCTION("""COMPUTED_VALUE"""),82193.0)</f>
        <v>82193</v>
      </c>
      <c r="B4456" s="11">
        <f>IFERROR(__xludf.DUMMYFUNCTION("""COMPUTED_VALUE"""),1.0)</f>
        <v>1</v>
      </c>
      <c r="C4456" s="11">
        <f>IFERROR(__xludf.DUMMYFUNCTION("""COMPUTED_VALUE"""),805.0)</f>
        <v>805</v>
      </c>
      <c r="D4456" s="11">
        <f>IFERROR(__xludf.DUMMYFUNCTION("""COMPUTED_VALUE"""),654.0)</f>
        <v>654</v>
      </c>
      <c r="E4456" s="9"/>
    </row>
    <row r="4457">
      <c r="A4457" s="10">
        <f>IFERROR(__xludf.DUMMYFUNCTION("""COMPUTED_VALUE"""),89802.0)</f>
        <v>89802</v>
      </c>
      <c r="B4457" s="11">
        <f>IFERROR(__xludf.DUMMYFUNCTION("""COMPUTED_VALUE"""),0.0)</f>
        <v>0</v>
      </c>
      <c r="C4457" s="11">
        <f>IFERROR(__xludf.DUMMYFUNCTION("""COMPUTED_VALUE"""),4.0)</f>
        <v>4</v>
      </c>
      <c r="D4457" s="11">
        <f>IFERROR(__xludf.DUMMYFUNCTION("""COMPUTED_VALUE"""),1.0)</f>
        <v>1</v>
      </c>
      <c r="E4457" s="9"/>
    </row>
    <row r="4458">
      <c r="A4458" s="10">
        <f>IFERROR(__xludf.DUMMYFUNCTION("""COMPUTED_VALUE"""),87044.0)</f>
        <v>87044</v>
      </c>
      <c r="B4458" s="11">
        <f>IFERROR(__xludf.DUMMYFUNCTION("""COMPUTED_VALUE"""),0.0)</f>
        <v>0</v>
      </c>
      <c r="C4458" s="11">
        <f>IFERROR(__xludf.DUMMYFUNCTION("""COMPUTED_VALUE"""),651.0)</f>
        <v>651</v>
      </c>
      <c r="D4458" s="11">
        <f>IFERROR(__xludf.DUMMYFUNCTION("""COMPUTED_VALUE"""),572.0)</f>
        <v>572</v>
      </c>
      <c r="E4458" s="9"/>
    </row>
    <row r="4459">
      <c r="A4459" s="10">
        <f>IFERROR(__xludf.DUMMYFUNCTION("""COMPUTED_VALUE"""),87042.0)</f>
        <v>87042</v>
      </c>
      <c r="B4459" s="11">
        <f>IFERROR(__xludf.DUMMYFUNCTION("""COMPUTED_VALUE"""),1.0)</f>
        <v>1</v>
      </c>
      <c r="C4459" s="11">
        <f>IFERROR(__xludf.DUMMYFUNCTION("""COMPUTED_VALUE"""),231.0)</f>
        <v>231</v>
      </c>
      <c r="D4459" s="11">
        <f>IFERROR(__xludf.DUMMYFUNCTION("""COMPUTED_VALUE"""),116.0)</f>
        <v>116</v>
      </c>
      <c r="E4459" s="9"/>
    </row>
    <row r="4460">
      <c r="A4460" s="10">
        <f>IFERROR(__xludf.DUMMYFUNCTION("""COMPUTED_VALUE"""),116274.0)</f>
        <v>116274</v>
      </c>
      <c r="B4460" s="11">
        <f>IFERROR(__xludf.DUMMYFUNCTION("""COMPUTED_VALUE"""),0.0)</f>
        <v>0</v>
      </c>
      <c r="C4460" s="11">
        <f>IFERROR(__xludf.DUMMYFUNCTION("""COMPUTED_VALUE"""),636.0)</f>
        <v>636</v>
      </c>
      <c r="D4460" s="11">
        <f>IFERROR(__xludf.DUMMYFUNCTION("""COMPUTED_VALUE"""),471.0)</f>
        <v>471</v>
      </c>
      <c r="E4460" s="9"/>
    </row>
    <row r="4461">
      <c r="A4461" s="10">
        <f>IFERROR(__xludf.DUMMYFUNCTION("""COMPUTED_VALUE"""),122344.0)</f>
        <v>122344</v>
      </c>
      <c r="B4461" s="11">
        <f>IFERROR(__xludf.DUMMYFUNCTION("""COMPUTED_VALUE"""),1.0)</f>
        <v>1</v>
      </c>
      <c r="C4461" s="11">
        <f>IFERROR(__xludf.DUMMYFUNCTION("""COMPUTED_VALUE"""),967.0)</f>
        <v>967</v>
      </c>
      <c r="D4461" s="11">
        <f>IFERROR(__xludf.DUMMYFUNCTION("""COMPUTED_VALUE"""),304.0)</f>
        <v>304</v>
      </c>
      <c r="E4461" s="9"/>
    </row>
    <row r="4462">
      <c r="A4462" s="10">
        <f>IFERROR(__xludf.DUMMYFUNCTION("""COMPUTED_VALUE"""),122345.0)</f>
        <v>122345</v>
      </c>
      <c r="B4462" s="11">
        <f>IFERROR(__xludf.DUMMYFUNCTION("""COMPUTED_VALUE"""),0.0)</f>
        <v>0</v>
      </c>
      <c r="C4462" s="11">
        <f>IFERROR(__xludf.DUMMYFUNCTION("""COMPUTED_VALUE"""),92.0)</f>
        <v>92</v>
      </c>
      <c r="D4462" s="11">
        <f>IFERROR(__xludf.DUMMYFUNCTION("""COMPUTED_VALUE"""),13.0)</f>
        <v>13</v>
      </c>
      <c r="E4462" s="9"/>
    </row>
    <row r="4463">
      <c r="A4463" s="10">
        <f>IFERROR(__xludf.DUMMYFUNCTION("""COMPUTED_VALUE"""),120867.0)</f>
        <v>120867</v>
      </c>
      <c r="B4463" s="11">
        <f>IFERROR(__xludf.DUMMYFUNCTION("""COMPUTED_VALUE"""),0.0)</f>
        <v>0</v>
      </c>
      <c r="C4463" s="11">
        <f>IFERROR(__xludf.DUMMYFUNCTION("""COMPUTED_VALUE"""),326.0)</f>
        <v>326</v>
      </c>
      <c r="D4463" s="11">
        <f>IFERROR(__xludf.DUMMYFUNCTION("""COMPUTED_VALUE"""),187.0)</f>
        <v>187</v>
      </c>
      <c r="E4463" s="9"/>
    </row>
    <row r="4464">
      <c r="A4464" s="10">
        <f>IFERROR(__xludf.DUMMYFUNCTION("""COMPUTED_VALUE"""),28494.0)</f>
        <v>28494</v>
      </c>
      <c r="B4464" s="11">
        <f>IFERROR(__xludf.DUMMYFUNCTION("""COMPUTED_VALUE"""),0.0)</f>
        <v>0</v>
      </c>
      <c r="C4464" s="11">
        <f>IFERROR(__xludf.DUMMYFUNCTION("""COMPUTED_VALUE"""),289.0)</f>
        <v>289</v>
      </c>
      <c r="D4464" s="11">
        <f>IFERROR(__xludf.DUMMYFUNCTION("""COMPUTED_VALUE"""),193.0)</f>
        <v>193</v>
      </c>
      <c r="E4464" s="9"/>
    </row>
    <row r="4465">
      <c r="A4465" s="10">
        <f>IFERROR(__xludf.DUMMYFUNCTION("""COMPUTED_VALUE"""),8882.0)</f>
        <v>8882</v>
      </c>
      <c r="B4465" s="11">
        <f>IFERROR(__xludf.DUMMYFUNCTION("""COMPUTED_VALUE"""),1.0)</f>
        <v>1</v>
      </c>
      <c r="C4465" s="11">
        <f>IFERROR(__xludf.DUMMYFUNCTION("""COMPUTED_VALUE"""),871.0)</f>
        <v>871</v>
      </c>
      <c r="D4465" s="11">
        <f>IFERROR(__xludf.DUMMYFUNCTION("""COMPUTED_VALUE"""),656.0)</f>
        <v>656</v>
      </c>
      <c r="E4465" s="9"/>
    </row>
    <row r="4466">
      <c r="A4466" s="10">
        <f>IFERROR(__xludf.DUMMYFUNCTION("""COMPUTED_VALUE"""),116275.0)</f>
        <v>116275</v>
      </c>
      <c r="B4466" s="11">
        <f>IFERROR(__xludf.DUMMYFUNCTION("""COMPUTED_VALUE"""),0.0)</f>
        <v>0</v>
      </c>
      <c r="C4466" s="11">
        <f>IFERROR(__xludf.DUMMYFUNCTION("""COMPUTED_VALUE"""),767.0)</f>
        <v>767</v>
      </c>
      <c r="D4466" s="11">
        <f>IFERROR(__xludf.DUMMYFUNCTION("""COMPUTED_VALUE"""),2.0)</f>
        <v>2</v>
      </c>
      <c r="E4466" s="9"/>
    </row>
    <row r="4467">
      <c r="A4467" s="10">
        <f>IFERROR(__xludf.DUMMYFUNCTION("""COMPUTED_VALUE"""),121424.0)</f>
        <v>121424</v>
      </c>
      <c r="B4467" s="11">
        <f>IFERROR(__xludf.DUMMYFUNCTION("""COMPUTED_VALUE"""),0.0)</f>
        <v>0</v>
      </c>
      <c r="C4467" s="11">
        <f>IFERROR(__xludf.DUMMYFUNCTION("""COMPUTED_VALUE"""),861.0)</f>
        <v>861</v>
      </c>
      <c r="D4467" s="11">
        <f>IFERROR(__xludf.DUMMYFUNCTION("""COMPUTED_VALUE"""),273.0)</f>
        <v>273</v>
      </c>
      <c r="E4467" s="9"/>
    </row>
    <row r="4468">
      <c r="A4468" s="10">
        <f>IFERROR(__xludf.DUMMYFUNCTION("""COMPUTED_VALUE"""),75058.0)</f>
        <v>75058</v>
      </c>
      <c r="B4468" s="11">
        <f>IFERROR(__xludf.DUMMYFUNCTION("""COMPUTED_VALUE"""),0.0)</f>
        <v>0</v>
      </c>
      <c r="C4468" s="11">
        <f>IFERROR(__xludf.DUMMYFUNCTION("""COMPUTED_VALUE"""),477.0)</f>
        <v>477</v>
      </c>
      <c r="D4468" s="11">
        <f>IFERROR(__xludf.DUMMYFUNCTION("""COMPUTED_VALUE"""),60.0)</f>
        <v>60</v>
      </c>
      <c r="E4468" s="9"/>
    </row>
    <row r="4469">
      <c r="A4469" s="10">
        <f>IFERROR(__xludf.DUMMYFUNCTION("""COMPUTED_VALUE"""),75056.0)</f>
        <v>75056</v>
      </c>
      <c r="B4469" s="11">
        <f>IFERROR(__xludf.DUMMYFUNCTION("""COMPUTED_VALUE"""),1.0)</f>
        <v>1</v>
      </c>
      <c r="C4469" s="11">
        <f>IFERROR(__xludf.DUMMYFUNCTION("""COMPUTED_VALUE"""),660.0)</f>
        <v>660</v>
      </c>
      <c r="D4469" s="11">
        <f>IFERROR(__xludf.DUMMYFUNCTION("""COMPUTED_VALUE"""),618.0)</f>
        <v>618</v>
      </c>
      <c r="E4469" s="9"/>
    </row>
    <row r="4470">
      <c r="A4470" s="10">
        <f>IFERROR(__xludf.DUMMYFUNCTION("""COMPUTED_VALUE"""),42239.0)</f>
        <v>42239</v>
      </c>
      <c r="B4470" s="11">
        <f>IFERROR(__xludf.DUMMYFUNCTION("""COMPUTED_VALUE"""),1.0)</f>
        <v>1</v>
      </c>
      <c r="C4470" s="11">
        <f>IFERROR(__xludf.DUMMYFUNCTION("""COMPUTED_VALUE"""),717.0)</f>
        <v>717</v>
      </c>
      <c r="D4470" s="11">
        <f>IFERROR(__xludf.DUMMYFUNCTION("""COMPUTED_VALUE"""),164.0)</f>
        <v>164</v>
      </c>
      <c r="E4470" s="9"/>
    </row>
    <row r="4471">
      <c r="A4471" s="10">
        <f>IFERROR(__xludf.DUMMYFUNCTION("""COMPUTED_VALUE"""),42237.0)</f>
        <v>42237</v>
      </c>
      <c r="B4471" s="11">
        <f>IFERROR(__xludf.DUMMYFUNCTION("""COMPUTED_VALUE"""),1.0)</f>
        <v>1</v>
      </c>
      <c r="C4471" s="11">
        <f>IFERROR(__xludf.DUMMYFUNCTION("""COMPUTED_VALUE"""),5.0)</f>
        <v>5</v>
      </c>
      <c r="D4471" s="11">
        <f>IFERROR(__xludf.DUMMYFUNCTION("""COMPUTED_VALUE"""),5.0)</f>
        <v>5</v>
      </c>
      <c r="E4471" s="9"/>
    </row>
    <row r="4472">
      <c r="A4472" s="10">
        <f>IFERROR(__xludf.DUMMYFUNCTION("""COMPUTED_VALUE"""),69457.0)</f>
        <v>69457</v>
      </c>
      <c r="B4472" s="11">
        <f>IFERROR(__xludf.DUMMYFUNCTION("""COMPUTED_VALUE"""),0.0)</f>
        <v>0</v>
      </c>
      <c r="C4472" s="11">
        <f>IFERROR(__xludf.DUMMYFUNCTION("""COMPUTED_VALUE"""),795.0)</f>
        <v>795</v>
      </c>
      <c r="D4472" s="11">
        <f>IFERROR(__xludf.DUMMYFUNCTION("""COMPUTED_VALUE"""),609.0)</f>
        <v>609</v>
      </c>
      <c r="E4472" s="9"/>
    </row>
    <row r="4473">
      <c r="A4473" s="10">
        <f>IFERROR(__xludf.DUMMYFUNCTION("""COMPUTED_VALUE"""),69328.0)</f>
        <v>69328</v>
      </c>
      <c r="B4473" s="11">
        <f>IFERROR(__xludf.DUMMYFUNCTION("""COMPUTED_VALUE"""),1.0)</f>
        <v>1</v>
      </c>
      <c r="C4473" s="11">
        <f>IFERROR(__xludf.DUMMYFUNCTION("""COMPUTED_VALUE"""),614.0)</f>
        <v>614</v>
      </c>
      <c r="D4473" s="11">
        <f>IFERROR(__xludf.DUMMYFUNCTION("""COMPUTED_VALUE"""),214.0)</f>
        <v>214</v>
      </c>
      <c r="E4473" s="9"/>
    </row>
    <row r="4474">
      <c r="A4474" s="10">
        <f>IFERROR(__xludf.DUMMYFUNCTION("""COMPUTED_VALUE"""),69454.0)</f>
        <v>69454</v>
      </c>
      <c r="B4474" s="11">
        <f>IFERROR(__xludf.DUMMYFUNCTION("""COMPUTED_VALUE"""),1.0)</f>
        <v>1</v>
      </c>
      <c r="C4474" s="11">
        <f>IFERROR(__xludf.DUMMYFUNCTION("""COMPUTED_VALUE"""),217.0)</f>
        <v>217</v>
      </c>
      <c r="D4474" s="11">
        <f>IFERROR(__xludf.DUMMYFUNCTION("""COMPUTED_VALUE"""),206.0)</f>
        <v>206</v>
      </c>
      <c r="E4474" s="9"/>
    </row>
    <row r="4475">
      <c r="A4475" s="10">
        <f>IFERROR(__xludf.DUMMYFUNCTION("""COMPUTED_VALUE"""),69469.0)</f>
        <v>69469</v>
      </c>
      <c r="B4475" s="11">
        <f>IFERROR(__xludf.DUMMYFUNCTION("""COMPUTED_VALUE"""),1.0)</f>
        <v>1</v>
      </c>
      <c r="C4475" s="11">
        <f>IFERROR(__xludf.DUMMYFUNCTION("""COMPUTED_VALUE"""),286.0)</f>
        <v>286</v>
      </c>
      <c r="D4475" s="11">
        <f>IFERROR(__xludf.DUMMYFUNCTION("""COMPUTED_VALUE"""),142.0)</f>
        <v>142</v>
      </c>
      <c r="E4475" s="9"/>
    </row>
    <row r="4476">
      <c r="A4476" s="10">
        <f>IFERROR(__xludf.DUMMYFUNCTION("""COMPUTED_VALUE"""),193264.0)</f>
        <v>193264</v>
      </c>
      <c r="B4476" s="11">
        <f>IFERROR(__xludf.DUMMYFUNCTION("""COMPUTED_VALUE"""),1.0)</f>
        <v>1</v>
      </c>
      <c r="C4476" s="11">
        <f>IFERROR(__xludf.DUMMYFUNCTION("""COMPUTED_VALUE"""),678.0)</f>
        <v>678</v>
      </c>
      <c r="D4476" s="11">
        <f>IFERROR(__xludf.DUMMYFUNCTION("""COMPUTED_VALUE"""),560.0)</f>
        <v>560</v>
      </c>
      <c r="E4476" s="9"/>
    </row>
    <row r="4477">
      <c r="A4477" s="10">
        <f>IFERROR(__xludf.DUMMYFUNCTION("""COMPUTED_VALUE"""),115763.0)</f>
        <v>115763</v>
      </c>
      <c r="B4477" s="11">
        <f>IFERROR(__xludf.DUMMYFUNCTION("""COMPUTED_VALUE"""),0.0)</f>
        <v>0</v>
      </c>
      <c r="C4477" s="11">
        <f>IFERROR(__xludf.DUMMYFUNCTION("""COMPUTED_VALUE"""),376.0)</f>
        <v>376</v>
      </c>
      <c r="D4477" s="11">
        <f>IFERROR(__xludf.DUMMYFUNCTION("""COMPUTED_VALUE"""),183.0)</f>
        <v>183</v>
      </c>
      <c r="E4477" s="9"/>
    </row>
    <row r="4478">
      <c r="A4478" s="10">
        <f>IFERROR(__xludf.DUMMYFUNCTION("""COMPUTED_VALUE"""),69463.0)</f>
        <v>69463</v>
      </c>
      <c r="B4478" s="11">
        <f>IFERROR(__xludf.DUMMYFUNCTION("""COMPUTED_VALUE"""),1.0)</f>
        <v>1</v>
      </c>
      <c r="C4478" s="11">
        <f>IFERROR(__xludf.DUMMYFUNCTION("""COMPUTED_VALUE"""),507.0)</f>
        <v>507</v>
      </c>
      <c r="D4478" s="11">
        <f>IFERROR(__xludf.DUMMYFUNCTION("""COMPUTED_VALUE"""),274.0)</f>
        <v>274</v>
      </c>
      <c r="E4478" s="9"/>
    </row>
    <row r="4479">
      <c r="A4479" s="10">
        <f>IFERROR(__xludf.DUMMYFUNCTION("""COMPUTED_VALUE"""),84168.0)</f>
        <v>84168</v>
      </c>
      <c r="B4479" s="11">
        <f>IFERROR(__xludf.DUMMYFUNCTION("""COMPUTED_VALUE"""),1.0)</f>
        <v>1</v>
      </c>
      <c r="C4479" s="11">
        <f>IFERROR(__xludf.DUMMYFUNCTION("""COMPUTED_VALUE"""),36.0)</f>
        <v>36</v>
      </c>
      <c r="D4479" s="11">
        <f>IFERROR(__xludf.DUMMYFUNCTION("""COMPUTED_VALUE"""),32.0)</f>
        <v>32</v>
      </c>
      <c r="E4479" s="9"/>
    </row>
    <row r="4480">
      <c r="A4480" s="10">
        <f>IFERROR(__xludf.DUMMYFUNCTION("""COMPUTED_VALUE"""),75077.0)</f>
        <v>75077</v>
      </c>
      <c r="B4480" s="11">
        <f>IFERROR(__xludf.DUMMYFUNCTION("""COMPUTED_VALUE"""),0.0)</f>
        <v>0</v>
      </c>
      <c r="C4480" s="11">
        <f>IFERROR(__xludf.DUMMYFUNCTION("""COMPUTED_VALUE"""),958.0)</f>
        <v>958</v>
      </c>
      <c r="D4480" s="11">
        <f>IFERROR(__xludf.DUMMYFUNCTION("""COMPUTED_VALUE"""),8.0)</f>
        <v>8</v>
      </c>
      <c r="E4480" s="9"/>
    </row>
    <row r="4481">
      <c r="A4481" s="10">
        <f>IFERROR(__xludf.DUMMYFUNCTION("""COMPUTED_VALUE"""),42229.0)</f>
        <v>42229</v>
      </c>
      <c r="B4481" s="11">
        <f>IFERROR(__xludf.DUMMYFUNCTION("""COMPUTED_VALUE"""),0.0)</f>
        <v>0</v>
      </c>
      <c r="C4481" s="11">
        <f>IFERROR(__xludf.DUMMYFUNCTION("""COMPUTED_VALUE"""),633.0)</f>
        <v>633</v>
      </c>
      <c r="D4481" s="11">
        <f>IFERROR(__xludf.DUMMYFUNCTION("""COMPUTED_VALUE"""),3.0)</f>
        <v>3</v>
      </c>
      <c r="E4481" s="9"/>
    </row>
    <row r="4482">
      <c r="A4482" s="10">
        <f>IFERROR(__xludf.DUMMYFUNCTION("""COMPUTED_VALUE"""),89588.0)</f>
        <v>89588</v>
      </c>
      <c r="B4482" s="11">
        <f>IFERROR(__xludf.DUMMYFUNCTION("""COMPUTED_VALUE"""),1.0)</f>
        <v>1</v>
      </c>
      <c r="C4482" s="11">
        <f>IFERROR(__xludf.DUMMYFUNCTION("""COMPUTED_VALUE"""),680.0)</f>
        <v>680</v>
      </c>
      <c r="D4482" s="11">
        <f>IFERROR(__xludf.DUMMYFUNCTION("""COMPUTED_VALUE"""),212.0)</f>
        <v>212</v>
      </c>
      <c r="E4482" s="9"/>
    </row>
    <row r="4483">
      <c r="A4483" s="10">
        <f>IFERROR(__xludf.DUMMYFUNCTION("""COMPUTED_VALUE"""),99973.0)</f>
        <v>99973</v>
      </c>
      <c r="B4483" s="11">
        <f>IFERROR(__xludf.DUMMYFUNCTION("""COMPUTED_VALUE"""),0.0)</f>
        <v>0</v>
      </c>
      <c r="C4483" s="11">
        <f>IFERROR(__xludf.DUMMYFUNCTION("""COMPUTED_VALUE"""),588.0)</f>
        <v>588</v>
      </c>
      <c r="D4483" s="11">
        <f>IFERROR(__xludf.DUMMYFUNCTION("""COMPUTED_VALUE"""),431.0)</f>
        <v>431</v>
      </c>
      <c r="E4483" s="9"/>
    </row>
    <row r="4484">
      <c r="A4484" s="10">
        <f>IFERROR(__xludf.DUMMYFUNCTION("""COMPUTED_VALUE"""),70241.0)</f>
        <v>70241</v>
      </c>
      <c r="B4484" s="11">
        <f>IFERROR(__xludf.DUMMYFUNCTION("""COMPUTED_VALUE"""),0.0)</f>
        <v>0</v>
      </c>
      <c r="C4484" s="11">
        <f>IFERROR(__xludf.DUMMYFUNCTION("""COMPUTED_VALUE"""),667.0)</f>
        <v>667</v>
      </c>
      <c r="D4484" s="11">
        <f>IFERROR(__xludf.DUMMYFUNCTION("""COMPUTED_VALUE"""),474.0)</f>
        <v>474</v>
      </c>
      <c r="E4484" s="9"/>
    </row>
    <row r="4485">
      <c r="A4485" s="10">
        <f>IFERROR(__xludf.DUMMYFUNCTION("""COMPUTED_VALUE"""),129479.0)</f>
        <v>129479</v>
      </c>
      <c r="B4485" s="11">
        <f>IFERROR(__xludf.DUMMYFUNCTION("""COMPUTED_VALUE"""),1.0)</f>
        <v>1</v>
      </c>
      <c r="C4485" s="11">
        <f>IFERROR(__xludf.DUMMYFUNCTION("""COMPUTED_VALUE"""),905.0)</f>
        <v>905</v>
      </c>
      <c r="D4485" s="11">
        <f>IFERROR(__xludf.DUMMYFUNCTION("""COMPUTED_VALUE"""),662.0)</f>
        <v>662</v>
      </c>
      <c r="E4485" s="9"/>
    </row>
    <row r="4486">
      <c r="A4486" s="10">
        <f>IFERROR(__xludf.DUMMYFUNCTION("""COMPUTED_VALUE"""),107926.0)</f>
        <v>107926</v>
      </c>
      <c r="B4486" s="11">
        <f>IFERROR(__xludf.DUMMYFUNCTION("""COMPUTED_VALUE"""),0.0)</f>
        <v>0</v>
      </c>
      <c r="C4486" s="11">
        <f>IFERROR(__xludf.DUMMYFUNCTION("""COMPUTED_VALUE"""),11.0)</f>
        <v>11</v>
      </c>
      <c r="D4486" s="11">
        <f>IFERROR(__xludf.DUMMYFUNCTION("""COMPUTED_VALUE"""),8.0)</f>
        <v>8</v>
      </c>
      <c r="E4486" s="9"/>
    </row>
    <row r="4487">
      <c r="A4487" s="10">
        <f>IFERROR(__xludf.DUMMYFUNCTION("""COMPUTED_VALUE"""),42232.0)</f>
        <v>42232</v>
      </c>
      <c r="B4487" s="11">
        <f>IFERROR(__xludf.DUMMYFUNCTION("""COMPUTED_VALUE"""),0.0)</f>
        <v>0</v>
      </c>
      <c r="C4487" s="11">
        <f>IFERROR(__xludf.DUMMYFUNCTION("""COMPUTED_VALUE"""),465.0)</f>
        <v>465</v>
      </c>
      <c r="D4487" s="11">
        <f>IFERROR(__xludf.DUMMYFUNCTION("""COMPUTED_VALUE"""),454.0)</f>
        <v>454</v>
      </c>
      <c r="E4487" s="9"/>
    </row>
    <row r="4488">
      <c r="A4488" s="10">
        <f>IFERROR(__xludf.DUMMYFUNCTION("""COMPUTED_VALUE"""),122106.0)</f>
        <v>122106</v>
      </c>
      <c r="B4488" s="11">
        <f>IFERROR(__xludf.DUMMYFUNCTION("""COMPUTED_VALUE"""),1.0)</f>
        <v>1</v>
      </c>
      <c r="C4488" s="11">
        <f>IFERROR(__xludf.DUMMYFUNCTION("""COMPUTED_VALUE"""),598.0)</f>
        <v>598</v>
      </c>
      <c r="D4488" s="11">
        <f>IFERROR(__xludf.DUMMYFUNCTION("""COMPUTED_VALUE"""),397.0)</f>
        <v>397</v>
      </c>
      <c r="E4488" s="9"/>
    </row>
    <row r="4489">
      <c r="A4489" s="10">
        <f>IFERROR(__xludf.DUMMYFUNCTION("""COMPUTED_VALUE"""),69456.0)</f>
        <v>69456</v>
      </c>
      <c r="B4489" s="11">
        <f>IFERROR(__xludf.DUMMYFUNCTION("""COMPUTED_VALUE"""),0.0)</f>
        <v>0</v>
      </c>
      <c r="C4489" s="11">
        <f>IFERROR(__xludf.DUMMYFUNCTION("""COMPUTED_VALUE"""),869.0)</f>
        <v>869</v>
      </c>
      <c r="D4489" s="11">
        <f>IFERROR(__xludf.DUMMYFUNCTION("""COMPUTED_VALUE"""),698.0)</f>
        <v>698</v>
      </c>
      <c r="E4489" s="9"/>
    </row>
    <row r="4490">
      <c r="A4490" s="10">
        <f>IFERROR(__xludf.DUMMYFUNCTION("""COMPUTED_VALUE"""),118888.0)</f>
        <v>118888</v>
      </c>
      <c r="B4490" s="11">
        <f>IFERROR(__xludf.DUMMYFUNCTION("""COMPUTED_VALUE"""),1.0)</f>
        <v>1</v>
      </c>
      <c r="C4490" s="11">
        <f>IFERROR(__xludf.DUMMYFUNCTION("""COMPUTED_VALUE"""),863.0)</f>
        <v>863</v>
      </c>
      <c r="D4490" s="11">
        <f>IFERROR(__xludf.DUMMYFUNCTION("""COMPUTED_VALUE"""),392.0)</f>
        <v>392</v>
      </c>
      <c r="E4490" s="9"/>
    </row>
    <row r="4491">
      <c r="A4491" s="10">
        <f>IFERROR(__xludf.DUMMYFUNCTION("""COMPUTED_VALUE"""),69468.0)</f>
        <v>69468</v>
      </c>
      <c r="B4491" s="11">
        <f>IFERROR(__xludf.DUMMYFUNCTION("""COMPUTED_VALUE"""),1.0)</f>
        <v>1</v>
      </c>
      <c r="C4491" s="11">
        <f>IFERROR(__xludf.DUMMYFUNCTION("""COMPUTED_VALUE"""),647.0)</f>
        <v>647</v>
      </c>
      <c r="D4491" s="11">
        <f>IFERROR(__xludf.DUMMYFUNCTION("""COMPUTED_VALUE"""),467.0)</f>
        <v>467</v>
      </c>
      <c r="E4491" s="9"/>
    </row>
    <row r="4492">
      <c r="A4492" s="10">
        <f>IFERROR(__xludf.DUMMYFUNCTION("""COMPUTED_VALUE"""),117629.0)</f>
        <v>117629</v>
      </c>
      <c r="B4492" s="11">
        <f>IFERROR(__xludf.DUMMYFUNCTION("""COMPUTED_VALUE"""),0.0)</f>
        <v>0</v>
      </c>
      <c r="C4492" s="11">
        <f>IFERROR(__xludf.DUMMYFUNCTION("""COMPUTED_VALUE"""),891.0)</f>
        <v>891</v>
      </c>
      <c r="D4492" s="11">
        <f>IFERROR(__xludf.DUMMYFUNCTION("""COMPUTED_VALUE"""),683.0)</f>
        <v>683</v>
      </c>
      <c r="E4492" s="9"/>
    </row>
    <row r="4493">
      <c r="A4493" s="10">
        <f>IFERROR(__xludf.DUMMYFUNCTION("""COMPUTED_VALUE"""),121475.0)</f>
        <v>121475</v>
      </c>
      <c r="B4493" s="11">
        <f>IFERROR(__xludf.DUMMYFUNCTION("""COMPUTED_VALUE"""),0.0)</f>
        <v>0</v>
      </c>
      <c r="C4493" s="11">
        <f>IFERROR(__xludf.DUMMYFUNCTION("""COMPUTED_VALUE"""),522.0)</f>
        <v>522</v>
      </c>
      <c r="D4493" s="11">
        <f>IFERROR(__xludf.DUMMYFUNCTION("""COMPUTED_VALUE"""),512.0)</f>
        <v>512</v>
      </c>
      <c r="E4493" s="9"/>
    </row>
    <row r="4494">
      <c r="A4494" s="10">
        <f>IFERROR(__xludf.DUMMYFUNCTION("""COMPUTED_VALUE"""),80412.0)</f>
        <v>80412</v>
      </c>
      <c r="B4494" s="11">
        <f>IFERROR(__xludf.DUMMYFUNCTION("""COMPUTED_VALUE"""),1.0)</f>
        <v>1</v>
      </c>
      <c r="C4494" s="11">
        <f>IFERROR(__xludf.DUMMYFUNCTION("""COMPUTED_VALUE"""),726.0)</f>
        <v>726</v>
      </c>
      <c r="D4494" s="11">
        <f>IFERROR(__xludf.DUMMYFUNCTION("""COMPUTED_VALUE"""),315.0)</f>
        <v>315</v>
      </c>
      <c r="E4494" s="9"/>
    </row>
    <row r="4495">
      <c r="A4495" s="10">
        <f>IFERROR(__xludf.DUMMYFUNCTION("""COMPUTED_VALUE"""),122857.0)</f>
        <v>122857</v>
      </c>
      <c r="B4495" s="11">
        <f>IFERROR(__xludf.DUMMYFUNCTION("""COMPUTED_VALUE"""),0.0)</f>
        <v>0</v>
      </c>
      <c r="C4495" s="11">
        <f>IFERROR(__xludf.DUMMYFUNCTION("""COMPUTED_VALUE"""),558.0)</f>
        <v>558</v>
      </c>
      <c r="D4495" s="11">
        <f>IFERROR(__xludf.DUMMYFUNCTION("""COMPUTED_VALUE"""),439.0)</f>
        <v>439</v>
      </c>
      <c r="E4495" s="9"/>
    </row>
    <row r="4496">
      <c r="A4496" s="10">
        <f>IFERROR(__xludf.DUMMYFUNCTION("""COMPUTED_VALUE"""),115769.0)</f>
        <v>115769</v>
      </c>
      <c r="B4496" s="11">
        <f>IFERROR(__xludf.DUMMYFUNCTION("""COMPUTED_VALUE"""),0.0)</f>
        <v>0</v>
      </c>
      <c r="C4496" s="11">
        <f>IFERROR(__xludf.DUMMYFUNCTION("""COMPUTED_VALUE"""),57.0)</f>
        <v>57</v>
      </c>
      <c r="D4496" s="11">
        <f>IFERROR(__xludf.DUMMYFUNCTION("""COMPUTED_VALUE"""),12.0)</f>
        <v>12</v>
      </c>
      <c r="E4496" s="9"/>
    </row>
    <row r="4497">
      <c r="A4497" s="10">
        <f>IFERROR(__xludf.DUMMYFUNCTION("""COMPUTED_VALUE"""),115774.0)</f>
        <v>115774</v>
      </c>
      <c r="B4497" s="11">
        <f>IFERROR(__xludf.DUMMYFUNCTION("""COMPUTED_VALUE"""),0.0)</f>
        <v>0</v>
      </c>
      <c r="C4497" s="11">
        <f>IFERROR(__xludf.DUMMYFUNCTION("""COMPUTED_VALUE"""),446.0)</f>
        <v>446</v>
      </c>
      <c r="D4497" s="11">
        <f>IFERROR(__xludf.DUMMYFUNCTION("""COMPUTED_VALUE"""),292.0)</f>
        <v>292</v>
      </c>
      <c r="E4497" s="9"/>
    </row>
    <row r="4498">
      <c r="A4498" s="10">
        <f>IFERROR(__xludf.DUMMYFUNCTION("""COMPUTED_VALUE"""),118889.0)</f>
        <v>118889</v>
      </c>
      <c r="B4498" s="11">
        <f>IFERROR(__xludf.DUMMYFUNCTION("""COMPUTED_VALUE"""),0.0)</f>
        <v>0</v>
      </c>
      <c r="C4498" s="11">
        <f>IFERROR(__xludf.DUMMYFUNCTION("""COMPUTED_VALUE"""),129.0)</f>
        <v>129</v>
      </c>
      <c r="D4498" s="11">
        <f>IFERROR(__xludf.DUMMYFUNCTION("""COMPUTED_VALUE"""),20.0)</f>
        <v>20</v>
      </c>
      <c r="E4498" s="9"/>
    </row>
    <row r="4499">
      <c r="A4499" s="10">
        <f>IFERROR(__xludf.DUMMYFUNCTION("""COMPUTED_VALUE"""),115758.0)</f>
        <v>115758</v>
      </c>
      <c r="B4499" s="11">
        <f>IFERROR(__xludf.DUMMYFUNCTION("""COMPUTED_VALUE"""),1.0)</f>
        <v>1</v>
      </c>
      <c r="C4499" s="11">
        <f>IFERROR(__xludf.DUMMYFUNCTION("""COMPUTED_VALUE"""),363.0)</f>
        <v>363</v>
      </c>
      <c r="D4499" s="11">
        <f>IFERROR(__xludf.DUMMYFUNCTION("""COMPUTED_VALUE"""),191.0)</f>
        <v>191</v>
      </c>
      <c r="E4499" s="9"/>
    </row>
    <row r="4500">
      <c r="A4500" s="10">
        <f>IFERROR(__xludf.DUMMYFUNCTION("""COMPUTED_VALUE"""),115755.0)</f>
        <v>115755</v>
      </c>
      <c r="B4500" s="11">
        <f>IFERROR(__xludf.DUMMYFUNCTION("""COMPUTED_VALUE"""),0.0)</f>
        <v>0</v>
      </c>
      <c r="C4500" s="11">
        <f>IFERROR(__xludf.DUMMYFUNCTION("""COMPUTED_VALUE"""),468.0)</f>
        <v>468</v>
      </c>
      <c r="D4500" s="11">
        <f>IFERROR(__xludf.DUMMYFUNCTION("""COMPUTED_VALUE"""),49.0)</f>
        <v>49</v>
      </c>
      <c r="E4500" s="9"/>
    </row>
    <row r="4501">
      <c r="A4501" s="10">
        <f>IFERROR(__xludf.DUMMYFUNCTION("""COMPUTED_VALUE"""),114964.0)</f>
        <v>114964</v>
      </c>
      <c r="B4501" s="11">
        <f>IFERROR(__xludf.DUMMYFUNCTION("""COMPUTED_VALUE"""),0.0)</f>
        <v>0</v>
      </c>
      <c r="C4501" s="11">
        <f>IFERROR(__xludf.DUMMYFUNCTION("""COMPUTED_VALUE"""),907.0)</f>
        <v>907</v>
      </c>
      <c r="D4501" s="11">
        <f>IFERROR(__xludf.DUMMYFUNCTION("""COMPUTED_VALUE"""),540.0)</f>
        <v>540</v>
      </c>
      <c r="E4501" s="9"/>
    </row>
    <row r="4502">
      <c r="A4502" s="10">
        <f>IFERROR(__xludf.DUMMYFUNCTION("""COMPUTED_VALUE"""),87617.0)</f>
        <v>87617</v>
      </c>
      <c r="B4502" s="11">
        <f>IFERROR(__xludf.DUMMYFUNCTION("""COMPUTED_VALUE"""),1.0)</f>
        <v>1</v>
      </c>
      <c r="C4502" s="11">
        <f>IFERROR(__xludf.DUMMYFUNCTION("""COMPUTED_VALUE"""),776.0)</f>
        <v>776</v>
      </c>
      <c r="D4502" s="11">
        <f>IFERROR(__xludf.DUMMYFUNCTION("""COMPUTED_VALUE"""),158.0)</f>
        <v>158</v>
      </c>
      <c r="E4502" s="9"/>
    </row>
    <row r="4503">
      <c r="A4503" s="10">
        <f>IFERROR(__xludf.DUMMYFUNCTION("""COMPUTED_VALUE"""),118542.0)</f>
        <v>118542</v>
      </c>
      <c r="B4503" s="11">
        <f>IFERROR(__xludf.DUMMYFUNCTION("""COMPUTED_VALUE"""),1.0)</f>
        <v>1</v>
      </c>
      <c r="C4503" s="11">
        <f>IFERROR(__xludf.DUMMYFUNCTION("""COMPUTED_VALUE"""),180.0)</f>
        <v>180</v>
      </c>
      <c r="D4503" s="11">
        <f>IFERROR(__xludf.DUMMYFUNCTION("""COMPUTED_VALUE"""),66.0)</f>
        <v>66</v>
      </c>
      <c r="E4503" s="9"/>
    </row>
    <row r="4504">
      <c r="A4504" s="10">
        <f>IFERROR(__xludf.DUMMYFUNCTION("""COMPUTED_VALUE"""),122845.0)</f>
        <v>122845</v>
      </c>
      <c r="B4504" s="11">
        <f>IFERROR(__xludf.DUMMYFUNCTION("""COMPUTED_VALUE"""),0.0)</f>
        <v>0</v>
      </c>
      <c r="C4504" s="11">
        <f>IFERROR(__xludf.DUMMYFUNCTION("""COMPUTED_VALUE"""),682.0)</f>
        <v>682</v>
      </c>
      <c r="D4504" s="11">
        <f>IFERROR(__xludf.DUMMYFUNCTION("""COMPUTED_VALUE"""),266.0)</f>
        <v>266</v>
      </c>
      <c r="E4504" s="9"/>
    </row>
    <row r="4505">
      <c r="A4505" s="10">
        <f>IFERROR(__xludf.DUMMYFUNCTION("""COMPUTED_VALUE"""),114967.0)</f>
        <v>114967</v>
      </c>
      <c r="B4505" s="11">
        <f>IFERROR(__xludf.DUMMYFUNCTION("""COMPUTED_VALUE"""),0.0)</f>
        <v>0</v>
      </c>
      <c r="C4505" s="11">
        <f>IFERROR(__xludf.DUMMYFUNCTION("""COMPUTED_VALUE"""),395.0)</f>
        <v>395</v>
      </c>
      <c r="D4505" s="11">
        <f>IFERROR(__xludf.DUMMYFUNCTION("""COMPUTED_VALUE"""),337.0)</f>
        <v>337</v>
      </c>
      <c r="E4505" s="9"/>
    </row>
    <row r="4506">
      <c r="A4506" s="10">
        <f>IFERROR(__xludf.DUMMYFUNCTION("""COMPUTED_VALUE"""),121476.0)</f>
        <v>121476</v>
      </c>
      <c r="B4506" s="11">
        <f>IFERROR(__xludf.DUMMYFUNCTION("""COMPUTED_VALUE"""),1.0)</f>
        <v>1</v>
      </c>
      <c r="C4506" s="11">
        <f>IFERROR(__xludf.DUMMYFUNCTION("""COMPUTED_VALUE"""),874.0)</f>
        <v>874</v>
      </c>
      <c r="D4506" s="11">
        <f>IFERROR(__xludf.DUMMYFUNCTION("""COMPUTED_VALUE"""),363.0)</f>
        <v>363</v>
      </c>
      <c r="E4506" s="9"/>
    </row>
    <row r="4507">
      <c r="A4507" s="10">
        <f>IFERROR(__xludf.DUMMYFUNCTION("""COMPUTED_VALUE"""),120529.0)</f>
        <v>120529</v>
      </c>
      <c r="B4507" s="11">
        <f>IFERROR(__xludf.DUMMYFUNCTION("""COMPUTED_VALUE"""),1.0)</f>
        <v>1</v>
      </c>
      <c r="C4507" s="11">
        <f>IFERROR(__xludf.DUMMYFUNCTION("""COMPUTED_VALUE"""),974.0)</f>
        <v>974</v>
      </c>
      <c r="D4507" s="11">
        <f>IFERROR(__xludf.DUMMYFUNCTION("""COMPUTED_VALUE"""),671.0)</f>
        <v>671</v>
      </c>
      <c r="E4507" s="9"/>
    </row>
    <row r="4508">
      <c r="A4508" s="10">
        <f>IFERROR(__xludf.DUMMYFUNCTION("""COMPUTED_VALUE"""),120530.0)</f>
        <v>120530</v>
      </c>
      <c r="B4508" s="11">
        <f>IFERROR(__xludf.DUMMYFUNCTION("""COMPUTED_VALUE"""),0.0)</f>
        <v>0</v>
      </c>
      <c r="C4508" s="11">
        <f>IFERROR(__xludf.DUMMYFUNCTION("""COMPUTED_VALUE"""),2.0)</f>
        <v>2</v>
      </c>
      <c r="D4508" s="11">
        <f>IFERROR(__xludf.DUMMYFUNCTION("""COMPUTED_VALUE"""),0.0)</f>
        <v>0</v>
      </c>
      <c r="E4508" s="9"/>
    </row>
    <row r="4509">
      <c r="A4509" s="10">
        <f>IFERROR(__xludf.DUMMYFUNCTION("""COMPUTED_VALUE"""),117638.0)</f>
        <v>117638</v>
      </c>
      <c r="B4509" s="11">
        <f>IFERROR(__xludf.DUMMYFUNCTION("""COMPUTED_VALUE"""),0.0)</f>
        <v>0</v>
      </c>
      <c r="C4509" s="11">
        <f>IFERROR(__xludf.DUMMYFUNCTION("""COMPUTED_VALUE"""),311.0)</f>
        <v>311</v>
      </c>
      <c r="D4509" s="11">
        <f>IFERROR(__xludf.DUMMYFUNCTION("""COMPUTED_VALUE"""),153.0)</f>
        <v>153</v>
      </c>
      <c r="E4509" s="9"/>
    </row>
    <row r="4510">
      <c r="A4510" s="10">
        <f>IFERROR(__xludf.DUMMYFUNCTION("""COMPUTED_VALUE"""),108240.0)</f>
        <v>108240</v>
      </c>
      <c r="B4510" s="11">
        <f>IFERROR(__xludf.DUMMYFUNCTION("""COMPUTED_VALUE"""),0.0)</f>
        <v>0</v>
      </c>
      <c r="C4510" s="11">
        <f>IFERROR(__xludf.DUMMYFUNCTION("""COMPUTED_VALUE"""),399.0)</f>
        <v>399</v>
      </c>
      <c r="D4510" s="11">
        <f>IFERROR(__xludf.DUMMYFUNCTION("""COMPUTED_VALUE"""),219.0)</f>
        <v>219</v>
      </c>
      <c r="E4510" s="9"/>
    </row>
    <row r="4511">
      <c r="A4511" s="10">
        <f>IFERROR(__xludf.DUMMYFUNCTION("""COMPUTED_VALUE"""),88635.0)</f>
        <v>88635</v>
      </c>
      <c r="B4511" s="11">
        <f>IFERROR(__xludf.DUMMYFUNCTION("""COMPUTED_VALUE"""),0.0)</f>
        <v>0</v>
      </c>
      <c r="C4511" s="11">
        <f>IFERROR(__xludf.DUMMYFUNCTION("""COMPUTED_VALUE"""),487.0)</f>
        <v>487</v>
      </c>
      <c r="D4511" s="11">
        <f>IFERROR(__xludf.DUMMYFUNCTION("""COMPUTED_VALUE"""),125.0)</f>
        <v>125</v>
      </c>
      <c r="E4511" s="9"/>
    </row>
    <row r="4512">
      <c r="A4512" s="10">
        <f>IFERROR(__xludf.DUMMYFUNCTION("""COMPUTED_VALUE"""),69340.0)</f>
        <v>69340</v>
      </c>
      <c r="B4512" s="11">
        <f>IFERROR(__xludf.DUMMYFUNCTION("""COMPUTED_VALUE"""),0.0)</f>
        <v>0</v>
      </c>
      <c r="C4512" s="11">
        <f>IFERROR(__xludf.DUMMYFUNCTION("""COMPUTED_VALUE"""),569.0)</f>
        <v>569</v>
      </c>
      <c r="D4512" s="11">
        <f>IFERROR(__xludf.DUMMYFUNCTION("""COMPUTED_VALUE"""),290.0)</f>
        <v>290</v>
      </c>
      <c r="E4512" s="9"/>
    </row>
    <row r="4513">
      <c r="A4513" s="10">
        <f>IFERROR(__xludf.DUMMYFUNCTION("""COMPUTED_VALUE"""),199472.0)</f>
        <v>199472</v>
      </c>
      <c r="B4513" s="11">
        <f>IFERROR(__xludf.DUMMYFUNCTION("""COMPUTED_VALUE"""),0.0)</f>
        <v>0</v>
      </c>
      <c r="C4513" s="11">
        <f>IFERROR(__xludf.DUMMYFUNCTION("""COMPUTED_VALUE"""),664.0)</f>
        <v>664</v>
      </c>
      <c r="D4513" s="11">
        <f>IFERROR(__xludf.DUMMYFUNCTION("""COMPUTED_VALUE"""),48.0)</f>
        <v>48</v>
      </c>
      <c r="E4513" s="9"/>
    </row>
    <row r="4514">
      <c r="A4514" s="10">
        <f>IFERROR(__xludf.DUMMYFUNCTION("""COMPUTED_VALUE"""),117646.0)</f>
        <v>117646</v>
      </c>
      <c r="B4514" s="11">
        <f>IFERROR(__xludf.DUMMYFUNCTION("""COMPUTED_VALUE"""),0.0)</f>
        <v>0</v>
      </c>
      <c r="C4514" s="11">
        <f>IFERROR(__xludf.DUMMYFUNCTION("""COMPUTED_VALUE"""),186.0)</f>
        <v>186</v>
      </c>
      <c r="D4514" s="11">
        <f>IFERROR(__xludf.DUMMYFUNCTION("""COMPUTED_VALUE"""),155.0)</f>
        <v>155</v>
      </c>
      <c r="E4514" s="9"/>
    </row>
    <row r="4515">
      <c r="A4515" s="10">
        <f>IFERROR(__xludf.DUMMYFUNCTION("""COMPUTED_VALUE"""),84167.0)</f>
        <v>84167</v>
      </c>
      <c r="B4515" s="11">
        <f>IFERROR(__xludf.DUMMYFUNCTION("""COMPUTED_VALUE"""),1.0)</f>
        <v>1</v>
      </c>
      <c r="C4515" s="11">
        <f>IFERROR(__xludf.DUMMYFUNCTION("""COMPUTED_VALUE"""),350.0)</f>
        <v>350</v>
      </c>
      <c r="D4515" s="11">
        <f>IFERROR(__xludf.DUMMYFUNCTION("""COMPUTED_VALUE"""),182.0)</f>
        <v>182</v>
      </c>
      <c r="E4515" s="9"/>
    </row>
    <row r="4516">
      <c r="A4516" s="10">
        <f>IFERROR(__xludf.DUMMYFUNCTION("""COMPUTED_VALUE"""),81742.0)</f>
        <v>81742</v>
      </c>
      <c r="B4516" s="11">
        <f>IFERROR(__xludf.DUMMYFUNCTION("""COMPUTED_VALUE"""),0.0)</f>
        <v>0</v>
      </c>
      <c r="C4516" s="11">
        <f>IFERROR(__xludf.DUMMYFUNCTION("""COMPUTED_VALUE"""),389.0)</f>
        <v>389</v>
      </c>
      <c r="D4516" s="11">
        <f>IFERROR(__xludf.DUMMYFUNCTION("""COMPUTED_VALUE"""),306.0)</f>
        <v>306</v>
      </c>
      <c r="E4516" s="9"/>
    </row>
    <row r="4517">
      <c r="A4517" s="10">
        <f>IFERROR(__xludf.DUMMYFUNCTION("""COMPUTED_VALUE"""),115754.0)</f>
        <v>115754</v>
      </c>
      <c r="B4517" s="11">
        <f>IFERROR(__xludf.DUMMYFUNCTION("""COMPUTED_VALUE"""),0.0)</f>
        <v>0</v>
      </c>
      <c r="C4517" s="11">
        <f>IFERROR(__xludf.DUMMYFUNCTION("""COMPUTED_VALUE"""),122.0)</f>
        <v>122</v>
      </c>
      <c r="D4517" s="11">
        <f>IFERROR(__xludf.DUMMYFUNCTION("""COMPUTED_VALUE"""),104.0)</f>
        <v>104</v>
      </c>
      <c r="E4517" s="9"/>
    </row>
    <row r="4518">
      <c r="A4518" s="10">
        <f>IFERROR(__xludf.DUMMYFUNCTION("""COMPUTED_VALUE"""),69334.0)</f>
        <v>69334</v>
      </c>
      <c r="B4518" s="11">
        <f>IFERROR(__xludf.DUMMYFUNCTION("""COMPUTED_VALUE"""),0.0)</f>
        <v>0</v>
      </c>
      <c r="C4518" s="11">
        <f>IFERROR(__xludf.DUMMYFUNCTION("""COMPUTED_VALUE"""),509.0)</f>
        <v>509</v>
      </c>
      <c r="D4518" s="11">
        <f>IFERROR(__xludf.DUMMYFUNCTION("""COMPUTED_VALUE"""),298.0)</f>
        <v>298</v>
      </c>
      <c r="E4518" s="9"/>
    </row>
    <row r="4519">
      <c r="A4519" s="10">
        <f>IFERROR(__xludf.DUMMYFUNCTION("""COMPUTED_VALUE"""),117753.0)</f>
        <v>117753</v>
      </c>
      <c r="B4519" s="11">
        <f>IFERROR(__xludf.DUMMYFUNCTION("""COMPUTED_VALUE"""),0.0)</f>
        <v>0</v>
      </c>
      <c r="C4519" s="11">
        <f>IFERROR(__xludf.DUMMYFUNCTION("""COMPUTED_VALUE"""),476.0)</f>
        <v>476</v>
      </c>
      <c r="D4519" s="11">
        <f>IFERROR(__xludf.DUMMYFUNCTION("""COMPUTED_VALUE"""),193.0)</f>
        <v>193</v>
      </c>
      <c r="E4519" s="9"/>
    </row>
    <row r="4520">
      <c r="A4520" s="10">
        <f>IFERROR(__xludf.DUMMYFUNCTION("""COMPUTED_VALUE"""),129482.0)</f>
        <v>129482</v>
      </c>
      <c r="B4520" s="11">
        <f>IFERROR(__xludf.DUMMYFUNCTION("""COMPUTED_VALUE"""),0.0)</f>
        <v>0</v>
      </c>
      <c r="C4520" s="11">
        <f>IFERROR(__xludf.DUMMYFUNCTION("""COMPUTED_VALUE"""),559.0)</f>
        <v>559</v>
      </c>
      <c r="D4520" s="11">
        <f>IFERROR(__xludf.DUMMYFUNCTION("""COMPUTED_VALUE"""),214.0)</f>
        <v>214</v>
      </c>
      <c r="E4520" s="9"/>
    </row>
    <row r="4521">
      <c r="A4521" s="10">
        <f>IFERROR(__xludf.DUMMYFUNCTION("""COMPUTED_VALUE"""),117634.0)</f>
        <v>117634</v>
      </c>
      <c r="B4521" s="11">
        <f>IFERROR(__xludf.DUMMYFUNCTION("""COMPUTED_VALUE"""),1.0)</f>
        <v>1</v>
      </c>
      <c r="C4521" s="11">
        <f>IFERROR(__xludf.DUMMYFUNCTION("""COMPUTED_VALUE"""),536.0)</f>
        <v>536</v>
      </c>
      <c r="D4521" s="11">
        <f>IFERROR(__xludf.DUMMYFUNCTION("""COMPUTED_VALUE"""),358.0)</f>
        <v>358</v>
      </c>
      <c r="E4521" s="9"/>
    </row>
    <row r="4522">
      <c r="A4522" s="10">
        <f>IFERROR(__xludf.DUMMYFUNCTION("""COMPUTED_VALUE"""),111027.0)</f>
        <v>111027</v>
      </c>
      <c r="B4522" s="11">
        <f>IFERROR(__xludf.DUMMYFUNCTION("""COMPUTED_VALUE"""),0.0)</f>
        <v>0</v>
      </c>
      <c r="C4522" s="11">
        <f>IFERROR(__xludf.DUMMYFUNCTION("""COMPUTED_VALUE"""),766.0)</f>
        <v>766</v>
      </c>
      <c r="D4522" s="11">
        <f>IFERROR(__xludf.DUMMYFUNCTION("""COMPUTED_VALUE"""),129.0)</f>
        <v>129</v>
      </c>
      <c r="E4522" s="9"/>
    </row>
    <row r="4523">
      <c r="A4523" s="10">
        <f>IFERROR(__xludf.DUMMYFUNCTION("""COMPUTED_VALUE"""),115772.0)</f>
        <v>115772</v>
      </c>
      <c r="B4523" s="11">
        <f>IFERROR(__xludf.DUMMYFUNCTION("""COMPUTED_VALUE"""),0.0)</f>
        <v>0</v>
      </c>
      <c r="C4523" s="11">
        <f>IFERROR(__xludf.DUMMYFUNCTION("""COMPUTED_VALUE"""),57.0)</f>
        <v>57</v>
      </c>
      <c r="D4523" s="11">
        <f>IFERROR(__xludf.DUMMYFUNCTION("""COMPUTED_VALUE"""),11.0)</f>
        <v>11</v>
      </c>
      <c r="E4523" s="9"/>
    </row>
    <row r="4524">
      <c r="A4524" s="10">
        <f>IFERROR(__xludf.DUMMYFUNCTION("""COMPUTED_VALUE"""),115768.0)</f>
        <v>115768</v>
      </c>
      <c r="B4524" s="11">
        <f>IFERROR(__xludf.DUMMYFUNCTION("""COMPUTED_VALUE"""),0.0)</f>
        <v>0</v>
      </c>
      <c r="C4524" s="11">
        <f>IFERROR(__xludf.DUMMYFUNCTION("""COMPUTED_VALUE"""),434.0)</f>
        <v>434</v>
      </c>
      <c r="D4524" s="11">
        <f>IFERROR(__xludf.DUMMYFUNCTION("""COMPUTED_VALUE"""),85.0)</f>
        <v>85</v>
      </c>
      <c r="E4524" s="9"/>
    </row>
    <row r="4525">
      <c r="A4525" s="10">
        <f>IFERROR(__xludf.DUMMYFUNCTION("""COMPUTED_VALUE"""),69476.0)</f>
        <v>69476</v>
      </c>
      <c r="B4525" s="11">
        <f>IFERROR(__xludf.DUMMYFUNCTION("""COMPUTED_VALUE"""),1.0)</f>
        <v>1</v>
      </c>
      <c r="C4525" s="11">
        <f>IFERROR(__xludf.DUMMYFUNCTION("""COMPUTED_VALUE"""),253.0)</f>
        <v>253</v>
      </c>
      <c r="D4525" s="11">
        <f>IFERROR(__xludf.DUMMYFUNCTION("""COMPUTED_VALUE"""),131.0)</f>
        <v>131</v>
      </c>
      <c r="E4525" s="9"/>
    </row>
    <row r="4526">
      <c r="A4526" s="10">
        <f>IFERROR(__xludf.DUMMYFUNCTION("""COMPUTED_VALUE"""),122118.0)</f>
        <v>122118</v>
      </c>
      <c r="B4526" s="11">
        <f>IFERROR(__xludf.DUMMYFUNCTION("""COMPUTED_VALUE"""),0.0)</f>
        <v>0</v>
      </c>
      <c r="C4526" s="11">
        <f>IFERROR(__xludf.DUMMYFUNCTION("""COMPUTED_VALUE"""),443.0)</f>
        <v>443</v>
      </c>
      <c r="D4526" s="11">
        <f>IFERROR(__xludf.DUMMYFUNCTION("""COMPUTED_VALUE"""),296.0)</f>
        <v>296</v>
      </c>
      <c r="E4526" s="9"/>
    </row>
    <row r="4527">
      <c r="A4527" s="10">
        <f>IFERROR(__xludf.DUMMYFUNCTION("""COMPUTED_VALUE"""),87447.0)</f>
        <v>87447</v>
      </c>
      <c r="B4527" s="11">
        <f>IFERROR(__xludf.DUMMYFUNCTION("""COMPUTED_VALUE"""),1.0)</f>
        <v>1</v>
      </c>
      <c r="C4527" s="11">
        <f>IFERROR(__xludf.DUMMYFUNCTION("""COMPUTED_VALUE"""),915.0)</f>
        <v>915</v>
      </c>
      <c r="D4527" s="11">
        <f>IFERROR(__xludf.DUMMYFUNCTION("""COMPUTED_VALUE"""),197.0)</f>
        <v>197</v>
      </c>
      <c r="E4527" s="9"/>
    </row>
    <row r="4528">
      <c r="A4528" s="10">
        <f>IFERROR(__xludf.DUMMYFUNCTION("""COMPUTED_VALUE"""),129480.0)</f>
        <v>129480</v>
      </c>
      <c r="B4528" s="11">
        <f>IFERROR(__xludf.DUMMYFUNCTION("""COMPUTED_VALUE"""),1.0)</f>
        <v>1</v>
      </c>
      <c r="C4528" s="11">
        <f>IFERROR(__xludf.DUMMYFUNCTION("""COMPUTED_VALUE"""),396.0)</f>
        <v>396</v>
      </c>
      <c r="D4528" s="11">
        <f>IFERROR(__xludf.DUMMYFUNCTION("""COMPUTED_VALUE"""),182.0)</f>
        <v>182</v>
      </c>
      <c r="E4528" s="9"/>
    </row>
    <row r="4529">
      <c r="A4529" s="10">
        <f>IFERROR(__xludf.DUMMYFUNCTION("""COMPUTED_VALUE"""),84164.0)</f>
        <v>84164</v>
      </c>
      <c r="B4529" s="11">
        <f>IFERROR(__xludf.DUMMYFUNCTION("""COMPUTED_VALUE"""),1.0)</f>
        <v>1</v>
      </c>
      <c r="C4529" s="11">
        <f>IFERROR(__xludf.DUMMYFUNCTION("""COMPUTED_VALUE"""),55.0)</f>
        <v>55</v>
      </c>
      <c r="D4529" s="11">
        <f>IFERROR(__xludf.DUMMYFUNCTION("""COMPUTED_VALUE"""),21.0)</f>
        <v>21</v>
      </c>
      <c r="E4529" s="9"/>
    </row>
    <row r="4530">
      <c r="A4530" s="10">
        <f>IFERROR(__xludf.DUMMYFUNCTION("""COMPUTED_VALUE"""),69338.0)</f>
        <v>69338</v>
      </c>
      <c r="B4530" s="11">
        <f>IFERROR(__xludf.DUMMYFUNCTION("""COMPUTED_VALUE"""),0.0)</f>
        <v>0</v>
      </c>
      <c r="C4530" s="11">
        <f>IFERROR(__xludf.DUMMYFUNCTION("""COMPUTED_VALUE"""),748.0)</f>
        <v>748</v>
      </c>
      <c r="D4530" s="11">
        <f>IFERROR(__xludf.DUMMYFUNCTION("""COMPUTED_VALUE"""),19.0)</f>
        <v>19</v>
      </c>
      <c r="E4530" s="9"/>
    </row>
    <row r="4531">
      <c r="A4531" s="10">
        <f>IFERROR(__xludf.DUMMYFUNCTION("""COMPUTED_VALUE"""),120531.0)</f>
        <v>120531</v>
      </c>
      <c r="B4531" s="11">
        <f>IFERROR(__xludf.DUMMYFUNCTION("""COMPUTED_VALUE"""),1.0)</f>
        <v>1</v>
      </c>
      <c r="C4531" s="11">
        <f>IFERROR(__xludf.DUMMYFUNCTION("""COMPUTED_VALUE"""),18.0)</f>
        <v>18</v>
      </c>
      <c r="D4531" s="11">
        <f>IFERROR(__xludf.DUMMYFUNCTION("""COMPUTED_VALUE"""),12.0)</f>
        <v>12</v>
      </c>
      <c r="E4531" s="9"/>
    </row>
    <row r="4532">
      <c r="A4532" s="10">
        <f>IFERROR(__xludf.DUMMYFUNCTION("""COMPUTED_VALUE"""),120524.0)</f>
        <v>120524</v>
      </c>
      <c r="B4532" s="11">
        <f>IFERROR(__xludf.DUMMYFUNCTION("""COMPUTED_VALUE"""),1.0)</f>
        <v>1</v>
      </c>
      <c r="C4532" s="11">
        <f>IFERROR(__xludf.DUMMYFUNCTION("""COMPUTED_VALUE"""),310.0)</f>
        <v>310</v>
      </c>
      <c r="D4532" s="11">
        <f>IFERROR(__xludf.DUMMYFUNCTION("""COMPUTED_VALUE"""),309.0)</f>
        <v>309</v>
      </c>
      <c r="E4532" s="9"/>
    </row>
    <row r="4533">
      <c r="A4533" s="10">
        <f>IFERROR(__xludf.DUMMYFUNCTION("""COMPUTED_VALUE"""),117631.0)</f>
        <v>117631</v>
      </c>
      <c r="B4533" s="11">
        <f>IFERROR(__xludf.DUMMYFUNCTION("""COMPUTED_VALUE"""),1.0)</f>
        <v>1</v>
      </c>
      <c r="C4533" s="11">
        <f>IFERROR(__xludf.DUMMYFUNCTION("""COMPUTED_VALUE"""),180.0)</f>
        <v>180</v>
      </c>
      <c r="D4533" s="11">
        <f>IFERROR(__xludf.DUMMYFUNCTION("""COMPUTED_VALUE"""),162.0)</f>
        <v>162</v>
      </c>
      <c r="E4533" s="9"/>
    </row>
    <row r="4534">
      <c r="A4534" s="10">
        <f>IFERROR(__xludf.DUMMYFUNCTION("""COMPUTED_VALUE"""),115757.0)</f>
        <v>115757</v>
      </c>
      <c r="B4534" s="11">
        <f>IFERROR(__xludf.DUMMYFUNCTION("""COMPUTED_VALUE"""),0.0)</f>
        <v>0</v>
      </c>
      <c r="C4534" s="11">
        <f>IFERROR(__xludf.DUMMYFUNCTION("""COMPUTED_VALUE"""),223.0)</f>
        <v>223</v>
      </c>
      <c r="D4534" s="11">
        <f>IFERROR(__xludf.DUMMYFUNCTION("""COMPUTED_VALUE"""),190.0)</f>
        <v>190</v>
      </c>
      <c r="E4534" s="9"/>
    </row>
    <row r="4535">
      <c r="A4535" s="10">
        <f>IFERROR(__xludf.DUMMYFUNCTION("""COMPUTED_VALUE"""),42243.0)</f>
        <v>42243</v>
      </c>
      <c r="B4535" s="11">
        <f>IFERROR(__xludf.DUMMYFUNCTION("""COMPUTED_VALUE"""),0.0)</f>
        <v>0</v>
      </c>
      <c r="C4535" s="11">
        <f>IFERROR(__xludf.DUMMYFUNCTION("""COMPUTED_VALUE"""),922.0)</f>
        <v>922</v>
      </c>
      <c r="D4535" s="11">
        <f>IFERROR(__xludf.DUMMYFUNCTION("""COMPUTED_VALUE"""),284.0)</f>
        <v>284</v>
      </c>
      <c r="E4535" s="9"/>
    </row>
    <row r="4536">
      <c r="A4536" s="10">
        <f>IFERROR(__xludf.DUMMYFUNCTION("""COMPUTED_VALUE"""),115761.0)</f>
        <v>115761</v>
      </c>
      <c r="B4536" s="11">
        <f>IFERROR(__xludf.DUMMYFUNCTION("""COMPUTED_VALUE"""),0.0)</f>
        <v>0</v>
      </c>
      <c r="C4536" s="11">
        <f>IFERROR(__xludf.DUMMYFUNCTION("""COMPUTED_VALUE"""),501.0)</f>
        <v>501</v>
      </c>
      <c r="D4536" s="11">
        <f>IFERROR(__xludf.DUMMYFUNCTION("""COMPUTED_VALUE"""),487.0)</f>
        <v>487</v>
      </c>
      <c r="E4536" s="9"/>
    </row>
    <row r="4537">
      <c r="A4537" s="10">
        <f>IFERROR(__xludf.DUMMYFUNCTION("""COMPUTED_VALUE"""),113960.0)</f>
        <v>113960</v>
      </c>
      <c r="B4537" s="11">
        <f>IFERROR(__xludf.DUMMYFUNCTION("""COMPUTED_VALUE"""),0.0)</f>
        <v>0</v>
      </c>
      <c r="C4537" s="11">
        <f>IFERROR(__xludf.DUMMYFUNCTION("""COMPUTED_VALUE"""),299.0)</f>
        <v>299</v>
      </c>
      <c r="D4537" s="11">
        <f>IFERROR(__xludf.DUMMYFUNCTION("""COMPUTED_VALUE"""),255.0)</f>
        <v>255</v>
      </c>
      <c r="E4537" s="9"/>
    </row>
    <row r="4538">
      <c r="A4538" s="10">
        <f>IFERROR(__xludf.DUMMYFUNCTION("""COMPUTED_VALUE"""),42241.0)</f>
        <v>42241</v>
      </c>
      <c r="B4538" s="11">
        <f>IFERROR(__xludf.DUMMYFUNCTION("""COMPUTED_VALUE"""),1.0)</f>
        <v>1</v>
      </c>
      <c r="C4538" s="11">
        <f>IFERROR(__xludf.DUMMYFUNCTION("""COMPUTED_VALUE"""),743.0)</f>
        <v>743</v>
      </c>
      <c r="D4538" s="11">
        <f>IFERROR(__xludf.DUMMYFUNCTION("""COMPUTED_VALUE"""),560.0)</f>
        <v>560</v>
      </c>
      <c r="E4538" s="9"/>
    </row>
    <row r="4539">
      <c r="A4539" s="10">
        <f>IFERROR(__xludf.DUMMYFUNCTION("""COMPUTED_VALUE"""),115770.0)</f>
        <v>115770</v>
      </c>
      <c r="B4539" s="11">
        <f>IFERROR(__xludf.DUMMYFUNCTION("""COMPUTED_VALUE"""),0.0)</f>
        <v>0</v>
      </c>
      <c r="C4539" s="11">
        <f>IFERROR(__xludf.DUMMYFUNCTION("""COMPUTED_VALUE"""),16.0)</f>
        <v>16</v>
      </c>
      <c r="D4539" s="11">
        <f>IFERROR(__xludf.DUMMYFUNCTION("""COMPUTED_VALUE"""),8.0)</f>
        <v>8</v>
      </c>
      <c r="E4539" s="9"/>
    </row>
    <row r="4540">
      <c r="A4540" s="10">
        <f>IFERROR(__xludf.DUMMYFUNCTION("""COMPUTED_VALUE"""),118541.0)</f>
        <v>118541</v>
      </c>
      <c r="B4540" s="11">
        <f>IFERROR(__xludf.DUMMYFUNCTION("""COMPUTED_VALUE"""),0.0)</f>
        <v>0</v>
      </c>
      <c r="C4540" s="11">
        <f>IFERROR(__xludf.DUMMYFUNCTION("""COMPUTED_VALUE"""),443.0)</f>
        <v>443</v>
      </c>
      <c r="D4540" s="11">
        <f>IFERROR(__xludf.DUMMYFUNCTION("""COMPUTED_VALUE"""),304.0)</f>
        <v>304</v>
      </c>
      <c r="E4540" s="9"/>
    </row>
    <row r="4541">
      <c r="A4541" s="10">
        <f>IFERROR(__xludf.DUMMYFUNCTION("""COMPUTED_VALUE"""),115750.0)</f>
        <v>115750</v>
      </c>
      <c r="B4541" s="11">
        <f>IFERROR(__xludf.DUMMYFUNCTION("""COMPUTED_VALUE"""),1.0)</f>
        <v>1</v>
      </c>
      <c r="C4541" s="11">
        <f>IFERROR(__xludf.DUMMYFUNCTION("""COMPUTED_VALUE"""),178.0)</f>
        <v>178</v>
      </c>
      <c r="D4541" s="11">
        <f>IFERROR(__xludf.DUMMYFUNCTION("""COMPUTED_VALUE"""),34.0)</f>
        <v>34</v>
      </c>
      <c r="E4541" s="9"/>
    </row>
    <row r="4542">
      <c r="A4542" s="10">
        <f>IFERROR(__xludf.DUMMYFUNCTION("""COMPUTED_VALUE"""),99969.0)</f>
        <v>99969</v>
      </c>
      <c r="B4542" s="11">
        <f>IFERROR(__xludf.DUMMYFUNCTION("""COMPUTED_VALUE"""),1.0)</f>
        <v>1</v>
      </c>
      <c r="C4542" s="11">
        <f>IFERROR(__xludf.DUMMYFUNCTION("""COMPUTED_VALUE"""),196.0)</f>
        <v>196</v>
      </c>
      <c r="D4542" s="11">
        <f>IFERROR(__xludf.DUMMYFUNCTION("""COMPUTED_VALUE"""),166.0)</f>
        <v>166</v>
      </c>
      <c r="E4542" s="9"/>
    </row>
    <row r="4543">
      <c r="A4543" s="10">
        <f>IFERROR(__xludf.DUMMYFUNCTION("""COMPUTED_VALUE"""),129483.0)</f>
        <v>129483</v>
      </c>
      <c r="B4543" s="11">
        <f>IFERROR(__xludf.DUMMYFUNCTION("""COMPUTED_VALUE"""),1.0)</f>
        <v>1</v>
      </c>
      <c r="C4543" s="11">
        <f>IFERROR(__xludf.DUMMYFUNCTION("""COMPUTED_VALUE"""),188.0)</f>
        <v>188</v>
      </c>
      <c r="D4543" s="11">
        <f>IFERROR(__xludf.DUMMYFUNCTION("""COMPUTED_VALUE"""),145.0)</f>
        <v>145</v>
      </c>
      <c r="E4543" s="9"/>
    </row>
    <row r="4544">
      <c r="A4544" s="10">
        <f>IFERROR(__xludf.DUMMYFUNCTION("""COMPUTED_VALUE"""),42255.0)</f>
        <v>42255</v>
      </c>
      <c r="B4544" s="11">
        <f>IFERROR(__xludf.DUMMYFUNCTION("""COMPUTED_VALUE"""),0.0)</f>
        <v>0</v>
      </c>
      <c r="C4544" s="11">
        <f>IFERROR(__xludf.DUMMYFUNCTION("""COMPUTED_VALUE"""),578.0)</f>
        <v>578</v>
      </c>
      <c r="D4544" s="11">
        <f>IFERROR(__xludf.DUMMYFUNCTION("""COMPUTED_VALUE"""),112.0)</f>
        <v>112</v>
      </c>
      <c r="E4544" s="9"/>
    </row>
    <row r="4545">
      <c r="A4545" s="10">
        <f>IFERROR(__xludf.DUMMYFUNCTION("""COMPUTED_VALUE"""),100235.0)</f>
        <v>100235</v>
      </c>
      <c r="B4545" s="11">
        <f>IFERROR(__xludf.DUMMYFUNCTION("""COMPUTED_VALUE"""),0.0)</f>
        <v>0</v>
      </c>
      <c r="C4545" s="11">
        <f>IFERROR(__xludf.DUMMYFUNCTION("""COMPUTED_VALUE"""),588.0)</f>
        <v>588</v>
      </c>
      <c r="D4545" s="11">
        <f>IFERROR(__xludf.DUMMYFUNCTION("""COMPUTED_VALUE"""),291.0)</f>
        <v>291</v>
      </c>
      <c r="E4545" s="9"/>
    </row>
    <row r="4546">
      <c r="A4546" s="10">
        <f>IFERROR(__xludf.DUMMYFUNCTION("""COMPUTED_VALUE"""),129481.0)</f>
        <v>129481</v>
      </c>
      <c r="B4546" s="11">
        <f>IFERROR(__xludf.DUMMYFUNCTION("""COMPUTED_VALUE"""),0.0)</f>
        <v>0</v>
      </c>
      <c r="C4546" s="11">
        <f>IFERROR(__xludf.DUMMYFUNCTION("""COMPUTED_VALUE"""),963.0)</f>
        <v>963</v>
      </c>
      <c r="D4546" s="11">
        <f>IFERROR(__xludf.DUMMYFUNCTION("""COMPUTED_VALUE"""),2.0)</f>
        <v>2</v>
      </c>
      <c r="E4546" s="9"/>
    </row>
    <row r="4547">
      <c r="A4547" s="10">
        <f>IFERROR(__xludf.DUMMYFUNCTION("""COMPUTED_VALUE"""),87455.0)</f>
        <v>87455</v>
      </c>
      <c r="B4547" s="11">
        <f>IFERROR(__xludf.DUMMYFUNCTION("""COMPUTED_VALUE"""),0.0)</f>
        <v>0</v>
      </c>
      <c r="C4547" s="11">
        <f>IFERROR(__xludf.DUMMYFUNCTION("""COMPUTED_VALUE"""),50.0)</f>
        <v>50</v>
      </c>
      <c r="D4547" s="11">
        <f>IFERROR(__xludf.DUMMYFUNCTION("""COMPUTED_VALUE"""),46.0)</f>
        <v>46</v>
      </c>
      <c r="E4547" s="9"/>
    </row>
    <row r="4548">
      <c r="A4548" s="10">
        <f>IFERROR(__xludf.DUMMYFUNCTION("""COMPUTED_VALUE"""),120257.0)</f>
        <v>120257</v>
      </c>
      <c r="B4548" s="11">
        <f>IFERROR(__xludf.DUMMYFUNCTION("""COMPUTED_VALUE"""),1.0)</f>
        <v>1</v>
      </c>
      <c r="C4548" s="11">
        <f>IFERROR(__xludf.DUMMYFUNCTION("""COMPUTED_VALUE"""),378.0)</f>
        <v>378</v>
      </c>
      <c r="D4548" s="11">
        <f>IFERROR(__xludf.DUMMYFUNCTION("""COMPUTED_VALUE"""),166.0)</f>
        <v>166</v>
      </c>
      <c r="E4548" s="9"/>
    </row>
    <row r="4549">
      <c r="A4549" s="10">
        <f>IFERROR(__xludf.DUMMYFUNCTION("""COMPUTED_VALUE"""),122221.0)</f>
        <v>122221</v>
      </c>
      <c r="B4549" s="11">
        <f>IFERROR(__xludf.DUMMYFUNCTION("""COMPUTED_VALUE"""),0.0)</f>
        <v>0</v>
      </c>
      <c r="C4549" s="11">
        <f>IFERROR(__xludf.DUMMYFUNCTION("""COMPUTED_VALUE"""),466.0)</f>
        <v>466</v>
      </c>
      <c r="D4549" s="11">
        <f>IFERROR(__xludf.DUMMYFUNCTION("""COMPUTED_VALUE"""),190.0)</f>
        <v>190</v>
      </c>
      <c r="E4549" s="9"/>
    </row>
    <row r="4550">
      <c r="A4550" s="10">
        <f>IFERROR(__xludf.DUMMYFUNCTION("""COMPUTED_VALUE"""),122216.0)</f>
        <v>122216</v>
      </c>
      <c r="B4550" s="11">
        <f>IFERROR(__xludf.DUMMYFUNCTION("""COMPUTED_VALUE"""),0.0)</f>
        <v>0</v>
      </c>
      <c r="C4550" s="11">
        <f>IFERROR(__xludf.DUMMYFUNCTION("""COMPUTED_VALUE"""),948.0)</f>
        <v>948</v>
      </c>
      <c r="D4550" s="11">
        <f>IFERROR(__xludf.DUMMYFUNCTION("""COMPUTED_VALUE"""),544.0)</f>
        <v>544</v>
      </c>
      <c r="E4550" s="9"/>
    </row>
    <row r="4551">
      <c r="A4551" s="10">
        <f>IFERROR(__xludf.DUMMYFUNCTION("""COMPUTED_VALUE"""),140598.0)</f>
        <v>140598</v>
      </c>
      <c r="B4551" s="11">
        <f>IFERROR(__xludf.DUMMYFUNCTION("""COMPUTED_VALUE"""),0.0)</f>
        <v>0</v>
      </c>
      <c r="C4551" s="11">
        <f>IFERROR(__xludf.DUMMYFUNCTION("""COMPUTED_VALUE"""),444.0)</f>
        <v>444</v>
      </c>
      <c r="D4551" s="11">
        <f>IFERROR(__xludf.DUMMYFUNCTION("""COMPUTED_VALUE"""),425.0)</f>
        <v>425</v>
      </c>
      <c r="E4551" s="9"/>
    </row>
    <row r="4552">
      <c r="A4552" s="10">
        <f>IFERROR(__xludf.DUMMYFUNCTION("""COMPUTED_VALUE"""),112123.0)</f>
        <v>112123</v>
      </c>
      <c r="B4552" s="11">
        <f>IFERROR(__xludf.DUMMYFUNCTION("""COMPUTED_VALUE"""),0.0)</f>
        <v>0</v>
      </c>
      <c r="C4552" s="11">
        <f>IFERROR(__xludf.DUMMYFUNCTION("""COMPUTED_VALUE"""),190.0)</f>
        <v>190</v>
      </c>
      <c r="D4552" s="11">
        <f>IFERROR(__xludf.DUMMYFUNCTION("""COMPUTED_VALUE"""),29.0)</f>
        <v>29</v>
      </c>
      <c r="E4552" s="9"/>
    </row>
    <row r="4553">
      <c r="A4553" s="10">
        <f>IFERROR(__xludf.DUMMYFUNCTION("""COMPUTED_VALUE"""),70402.0)</f>
        <v>70402</v>
      </c>
      <c r="B4553" s="11">
        <f>IFERROR(__xludf.DUMMYFUNCTION("""COMPUTED_VALUE"""),1.0)</f>
        <v>1</v>
      </c>
      <c r="C4553" s="11">
        <f>IFERROR(__xludf.DUMMYFUNCTION("""COMPUTED_VALUE"""),778.0)</f>
        <v>778</v>
      </c>
      <c r="D4553" s="11">
        <f>IFERROR(__xludf.DUMMYFUNCTION("""COMPUTED_VALUE"""),510.0)</f>
        <v>510</v>
      </c>
      <c r="E4553" s="9"/>
    </row>
    <row r="4554">
      <c r="A4554" s="10">
        <f>IFERROR(__xludf.DUMMYFUNCTION("""COMPUTED_VALUE"""),119110.0)</f>
        <v>119110</v>
      </c>
      <c r="B4554" s="11">
        <f>IFERROR(__xludf.DUMMYFUNCTION("""COMPUTED_VALUE"""),1.0)</f>
        <v>1</v>
      </c>
      <c r="C4554" s="11">
        <f>IFERROR(__xludf.DUMMYFUNCTION("""COMPUTED_VALUE"""),786.0)</f>
        <v>786</v>
      </c>
      <c r="D4554" s="11">
        <f>IFERROR(__xludf.DUMMYFUNCTION("""COMPUTED_VALUE"""),430.0)</f>
        <v>430</v>
      </c>
      <c r="E4554" s="9"/>
    </row>
    <row r="4555">
      <c r="A4555" s="10">
        <f>IFERROR(__xludf.DUMMYFUNCTION("""COMPUTED_VALUE"""),139295.0)</f>
        <v>139295</v>
      </c>
      <c r="B4555" s="11">
        <f>IFERROR(__xludf.DUMMYFUNCTION("""COMPUTED_VALUE"""),1.0)</f>
        <v>1</v>
      </c>
      <c r="C4555" s="11">
        <f>IFERROR(__xludf.DUMMYFUNCTION("""COMPUTED_VALUE"""),647.0)</f>
        <v>647</v>
      </c>
      <c r="D4555" s="11">
        <f>IFERROR(__xludf.DUMMYFUNCTION("""COMPUTED_VALUE"""),198.0)</f>
        <v>198</v>
      </c>
      <c r="E4555" s="9"/>
    </row>
    <row r="4556">
      <c r="A4556" s="10">
        <f>IFERROR(__xludf.DUMMYFUNCTION("""COMPUTED_VALUE"""),71056.0)</f>
        <v>71056</v>
      </c>
      <c r="B4556" s="11">
        <f>IFERROR(__xludf.DUMMYFUNCTION("""COMPUTED_VALUE"""),0.0)</f>
        <v>0</v>
      </c>
      <c r="C4556" s="11">
        <f>IFERROR(__xludf.DUMMYFUNCTION("""COMPUTED_VALUE"""),472.0)</f>
        <v>472</v>
      </c>
      <c r="D4556" s="11">
        <f>IFERROR(__xludf.DUMMYFUNCTION("""COMPUTED_VALUE"""),8.0)</f>
        <v>8</v>
      </c>
      <c r="E4556" s="9"/>
    </row>
    <row r="4557">
      <c r="A4557" s="10">
        <f>IFERROR(__xludf.DUMMYFUNCTION("""COMPUTED_VALUE"""),122218.0)</f>
        <v>122218</v>
      </c>
      <c r="B4557" s="11">
        <f>IFERROR(__xludf.DUMMYFUNCTION("""COMPUTED_VALUE"""),0.0)</f>
        <v>0</v>
      </c>
      <c r="C4557" s="11">
        <f>IFERROR(__xludf.DUMMYFUNCTION("""COMPUTED_VALUE"""),156.0)</f>
        <v>156</v>
      </c>
      <c r="D4557" s="11">
        <f>IFERROR(__xludf.DUMMYFUNCTION("""COMPUTED_VALUE"""),68.0)</f>
        <v>68</v>
      </c>
      <c r="E4557" s="9"/>
    </row>
    <row r="4558">
      <c r="A4558" s="10">
        <f>IFERROR(__xludf.DUMMYFUNCTION("""COMPUTED_VALUE"""),122217.0)</f>
        <v>122217</v>
      </c>
      <c r="B4558" s="11">
        <f>IFERROR(__xludf.DUMMYFUNCTION("""COMPUTED_VALUE"""),0.0)</f>
        <v>0</v>
      </c>
      <c r="C4558" s="11">
        <f>IFERROR(__xludf.DUMMYFUNCTION("""COMPUTED_VALUE"""),748.0)</f>
        <v>748</v>
      </c>
      <c r="D4558" s="11">
        <f>IFERROR(__xludf.DUMMYFUNCTION("""COMPUTED_VALUE"""),370.0)</f>
        <v>370</v>
      </c>
      <c r="E4558" s="9"/>
    </row>
    <row r="4559">
      <c r="A4559" s="10">
        <f>IFERROR(__xludf.DUMMYFUNCTION("""COMPUTED_VALUE"""),119119.0)</f>
        <v>119119</v>
      </c>
      <c r="B4559" s="11">
        <f>IFERROR(__xludf.DUMMYFUNCTION("""COMPUTED_VALUE"""),0.0)</f>
        <v>0</v>
      </c>
      <c r="C4559" s="11">
        <f>IFERROR(__xludf.DUMMYFUNCTION("""COMPUTED_VALUE"""),36.0)</f>
        <v>36</v>
      </c>
      <c r="D4559" s="11">
        <f>IFERROR(__xludf.DUMMYFUNCTION("""COMPUTED_VALUE"""),5.0)</f>
        <v>5</v>
      </c>
      <c r="E4559" s="9"/>
    </row>
    <row r="4560">
      <c r="A4560" s="10">
        <f>IFERROR(__xludf.DUMMYFUNCTION("""COMPUTED_VALUE"""),46933.0)</f>
        <v>46933</v>
      </c>
      <c r="B4560" s="11">
        <f>IFERROR(__xludf.DUMMYFUNCTION("""COMPUTED_VALUE"""),0.0)</f>
        <v>0</v>
      </c>
      <c r="C4560" s="11">
        <f>IFERROR(__xludf.DUMMYFUNCTION("""COMPUTED_VALUE"""),865.0)</f>
        <v>865</v>
      </c>
      <c r="D4560" s="11">
        <f>IFERROR(__xludf.DUMMYFUNCTION("""COMPUTED_VALUE"""),300.0)</f>
        <v>300</v>
      </c>
      <c r="E4560" s="9"/>
    </row>
    <row r="4561">
      <c r="A4561" s="10">
        <f>IFERROR(__xludf.DUMMYFUNCTION("""COMPUTED_VALUE"""),119118.0)</f>
        <v>119118</v>
      </c>
      <c r="B4561" s="11">
        <f>IFERROR(__xludf.DUMMYFUNCTION("""COMPUTED_VALUE"""),1.0)</f>
        <v>1</v>
      </c>
      <c r="C4561" s="11">
        <f>IFERROR(__xludf.DUMMYFUNCTION("""COMPUTED_VALUE"""),338.0)</f>
        <v>338</v>
      </c>
      <c r="D4561" s="11">
        <f>IFERROR(__xludf.DUMMYFUNCTION("""COMPUTED_VALUE"""),42.0)</f>
        <v>42</v>
      </c>
      <c r="E4561" s="9"/>
    </row>
    <row r="4562">
      <c r="A4562" s="10">
        <f>IFERROR(__xludf.DUMMYFUNCTION("""COMPUTED_VALUE"""),41035.0)</f>
        <v>41035</v>
      </c>
      <c r="B4562" s="11">
        <f>IFERROR(__xludf.DUMMYFUNCTION("""COMPUTED_VALUE"""),1.0)</f>
        <v>1</v>
      </c>
      <c r="C4562" s="11">
        <f>IFERROR(__xludf.DUMMYFUNCTION("""COMPUTED_VALUE"""),570.0)</f>
        <v>570</v>
      </c>
      <c r="D4562" s="11">
        <f>IFERROR(__xludf.DUMMYFUNCTION("""COMPUTED_VALUE"""),170.0)</f>
        <v>170</v>
      </c>
      <c r="E4562" s="9"/>
    </row>
    <row r="4563">
      <c r="A4563" s="10">
        <f>IFERROR(__xludf.DUMMYFUNCTION("""COMPUTED_VALUE"""),139303.0)</f>
        <v>139303</v>
      </c>
      <c r="B4563" s="11">
        <f>IFERROR(__xludf.DUMMYFUNCTION("""COMPUTED_VALUE"""),1.0)</f>
        <v>1</v>
      </c>
      <c r="C4563" s="11">
        <f>IFERROR(__xludf.DUMMYFUNCTION("""COMPUTED_VALUE"""),530.0)</f>
        <v>530</v>
      </c>
      <c r="D4563" s="11">
        <f>IFERROR(__xludf.DUMMYFUNCTION("""COMPUTED_VALUE"""),100.0)</f>
        <v>100</v>
      </c>
      <c r="E4563" s="9"/>
    </row>
    <row r="4564">
      <c r="A4564" s="10">
        <f>IFERROR(__xludf.DUMMYFUNCTION("""COMPUTED_VALUE"""),101784.0)</f>
        <v>101784</v>
      </c>
      <c r="B4564" s="11">
        <f>IFERROR(__xludf.DUMMYFUNCTION("""COMPUTED_VALUE"""),0.0)</f>
        <v>0</v>
      </c>
      <c r="C4564" s="11">
        <f>IFERROR(__xludf.DUMMYFUNCTION("""COMPUTED_VALUE"""),669.0)</f>
        <v>669</v>
      </c>
      <c r="D4564" s="11">
        <f>IFERROR(__xludf.DUMMYFUNCTION("""COMPUTED_VALUE"""),172.0)</f>
        <v>172</v>
      </c>
      <c r="E4564" s="9"/>
    </row>
    <row r="4565">
      <c r="A4565" s="10">
        <f>IFERROR(__xludf.DUMMYFUNCTION("""COMPUTED_VALUE"""),122219.0)</f>
        <v>122219</v>
      </c>
      <c r="B4565" s="11">
        <f>IFERROR(__xludf.DUMMYFUNCTION("""COMPUTED_VALUE"""),0.0)</f>
        <v>0</v>
      </c>
      <c r="C4565" s="11">
        <f>IFERROR(__xludf.DUMMYFUNCTION("""COMPUTED_VALUE"""),95.0)</f>
        <v>95</v>
      </c>
      <c r="D4565" s="11">
        <f>IFERROR(__xludf.DUMMYFUNCTION("""COMPUTED_VALUE"""),8.0)</f>
        <v>8</v>
      </c>
      <c r="E4565" s="9"/>
    </row>
    <row r="4566">
      <c r="A4566" s="10">
        <f>IFERROR(__xludf.DUMMYFUNCTION("""COMPUTED_VALUE"""),122215.0)</f>
        <v>122215</v>
      </c>
      <c r="B4566" s="11">
        <f>IFERROR(__xludf.DUMMYFUNCTION("""COMPUTED_VALUE"""),1.0)</f>
        <v>1</v>
      </c>
      <c r="C4566" s="11">
        <f>IFERROR(__xludf.DUMMYFUNCTION("""COMPUTED_VALUE"""),780.0)</f>
        <v>780</v>
      </c>
      <c r="D4566" s="11">
        <f>IFERROR(__xludf.DUMMYFUNCTION("""COMPUTED_VALUE"""),251.0)</f>
        <v>251</v>
      </c>
      <c r="E4566" s="9"/>
    </row>
    <row r="4567">
      <c r="A4567" s="10">
        <f>IFERROR(__xludf.DUMMYFUNCTION("""COMPUTED_VALUE"""),111154.0)</f>
        <v>111154</v>
      </c>
      <c r="B4567" s="11">
        <f>IFERROR(__xludf.DUMMYFUNCTION("""COMPUTED_VALUE"""),1.0)</f>
        <v>1</v>
      </c>
      <c r="C4567" s="11">
        <f>IFERROR(__xludf.DUMMYFUNCTION("""COMPUTED_VALUE"""),240.0)</f>
        <v>240</v>
      </c>
      <c r="D4567" s="11">
        <f>IFERROR(__xludf.DUMMYFUNCTION("""COMPUTED_VALUE"""),135.0)</f>
        <v>135</v>
      </c>
      <c r="E4567" s="9"/>
    </row>
    <row r="4568">
      <c r="A4568" s="10">
        <f>IFERROR(__xludf.DUMMYFUNCTION("""COMPUTED_VALUE"""),119117.0)</f>
        <v>119117</v>
      </c>
      <c r="B4568" s="11">
        <f>IFERROR(__xludf.DUMMYFUNCTION("""COMPUTED_VALUE"""),0.0)</f>
        <v>0</v>
      </c>
      <c r="C4568" s="11">
        <f>IFERROR(__xludf.DUMMYFUNCTION("""COMPUTED_VALUE"""),654.0)</f>
        <v>654</v>
      </c>
      <c r="D4568" s="11">
        <f>IFERROR(__xludf.DUMMYFUNCTION("""COMPUTED_VALUE"""),202.0)</f>
        <v>202</v>
      </c>
      <c r="E4568" s="9"/>
    </row>
    <row r="4569">
      <c r="A4569" s="10">
        <f>IFERROR(__xludf.DUMMYFUNCTION("""COMPUTED_VALUE"""),20419.0)</f>
        <v>20419</v>
      </c>
      <c r="B4569" s="11">
        <f>IFERROR(__xludf.DUMMYFUNCTION("""COMPUTED_VALUE"""),1.0)</f>
        <v>1</v>
      </c>
      <c r="C4569" s="11">
        <f>IFERROR(__xludf.DUMMYFUNCTION("""COMPUTED_VALUE"""),898.0)</f>
        <v>898</v>
      </c>
      <c r="D4569" s="11">
        <f>IFERROR(__xludf.DUMMYFUNCTION("""COMPUTED_VALUE"""),361.0)</f>
        <v>361</v>
      </c>
      <c r="E4569" s="9"/>
    </row>
    <row r="4570">
      <c r="A4570" s="10">
        <f>IFERROR(__xludf.DUMMYFUNCTION("""COMPUTED_VALUE"""),122220.0)</f>
        <v>122220</v>
      </c>
      <c r="B4570" s="11">
        <f>IFERROR(__xludf.DUMMYFUNCTION("""COMPUTED_VALUE"""),1.0)</f>
        <v>1</v>
      </c>
      <c r="C4570" s="11">
        <f>IFERROR(__xludf.DUMMYFUNCTION("""COMPUTED_VALUE"""),915.0)</f>
        <v>915</v>
      </c>
      <c r="D4570" s="11">
        <f>IFERROR(__xludf.DUMMYFUNCTION("""COMPUTED_VALUE"""),571.0)</f>
        <v>571</v>
      </c>
      <c r="E4570" s="9"/>
    </row>
    <row r="4571">
      <c r="A4571" s="10">
        <f>IFERROR(__xludf.DUMMYFUNCTION("""COMPUTED_VALUE"""),122214.0)</f>
        <v>122214</v>
      </c>
      <c r="B4571" s="11">
        <f>IFERROR(__xludf.DUMMYFUNCTION("""COMPUTED_VALUE"""),1.0)</f>
        <v>1</v>
      </c>
      <c r="C4571" s="11">
        <f>IFERROR(__xludf.DUMMYFUNCTION("""COMPUTED_VALUE"""),104.0)</f>
        <v>104</v>
      </c>
      <c r="D4571" s="11">
        <f>IFERROR(__xludf.DUMMYFUNCTION("""COMPUTED_VALUE"""),70.0)</f>
        <v>70</v>
      </c>
      <c r="E4571" s="9"/>
    </row>
    <row r="4572">
      <c r="A4572" s="10">
        <f>IFERROR(__xludf.DUMMYFUNCTION("""COMPUTED_VALUE"""),46936.0)</f>
        <v>46936</v>
      </c>
      <c r="B4572" s="11">
        <f>IFERROR(__xludf.DUMMYFUNCTION("""COMPUTED_VALUE"""),1.0)</f>
        <v>1</v>
      </c>
      <c r="C4572" s="11">
        <f>IFERROR(__xludf.DUMMYFUNCTION("""COMPUTED_VALUE"""),659.0)</f>
        <v>659</v>
      </c>
      <c r="D4572" s="11">
        <f>IFERROR(__xludf.DUMMYFUNCTION("""COMPUTED_VALUE"""),339.0)</f>
        <v>339</v>
      </c>
      <c r="E4572" s="9"/>
    </row>
    <row r="4573">
      <c r="A4573" s="10">
        <f>IFERROR(__xludf.DUMMYFUNCTION("""COMPUTED_VALUE"""),112122.0)</f>
        <v>112122</v>
      </c>
      <c r="B4573" s="11">
        <f>IFERROR(__xludf.DUMMYFUNCTION("""COMPUTED_VALUE"""),1.0)</f>
        <v>1</v>
      </c>
      <c r="C4573" s="11">
        <f>IFERROR(__xludf.DUMMYFUNCTION("""COMPUTED_VALUE"""),215.0)</f>
        <v>215</v>
      </c>
      <c r="D4573" s="11">
        <f>IFERROR(__xludf.DUMMYFUNCTION("""COMPUTED_VALUE"""),209.0)</f>
        <v>209</v>
      </c>
      <c r="E4573" s="9"/>
    </row>
    <row r="4574">
      <c r="A4574" s="10">
        <f>IFERROR(__xludf.DUMMYFUNCTION("""COMPUTED_VALUE"""),71055.0)</f>
        <v>71055</v>
      </c>
      <c r="B4574" s="11">
        <f>IFERROR(__xludf.DUMMYFUNCTION("""COMPUTED_VALUE"""),1.0)</f>
        <v>1</v>
      </c>
      <c r="C4574" s="11">
        <f>IFERROR(__xludf.DUMMYFUNCTION("""COMPUTED_VALUE"""),232.0)</f>
        <v>232</v>
      </c>
      <c r="D4574" s="11">
        <f>IFERROR(__xludf.DUMMYFUNCTION("""COMPUTED_VALUE"""),189.0)</f>
        <v>189</v>
      </c>
      <c r="E4574" s="9"/>
    </row>
    <row r="4575">
      <c r="A4575" s="10">
        <f>IFERROR(__xludf.DUMMYFUNCTION("""COMPUTED_VALUE"""),41034.0)</f>
        <v>41034</v>
      </c>
      <c r="B4575" s="11">
        <f>IFERROR(__xludf.DUMMYFUNCTION("""COMPUTED_VALUE"""),0.0)</f>
        <v>0</v>
      </c>
      <c r="C4575" s="11">
        <f>IFERROR(__xludf.DUMMYFUNCTION("""COMPUTED_VALUE"""),979.0)</f>
        <v>979</v>
      </c>
      <c r="D4575" s="11">
        <f>IFERROR(__xludf.DUMMYFUNCTION("""COMPUTED_VALUE"""),680.0)</f>
        <v>680</v>
      </c>
      <c r="E4575" s="9"/>
    </row>
    <row r="4576">
      <c r="A4576" s="10">
        <f>IFERROR(__xludf.DUMMYFUNCTION("""COMPUTED_VALUE"""),111153.0)</f>
        <v>111153</v>
      </c>
      <c r="B4576" s="11">
        <f>IFERROR(__xludf.DUMMYFUNCTION("""COMPUTED_VALUE"""),1.0)</f>
        <v>1</v>
      </c>
      <c r="C4576" s="11">
        <f>IFERROR(__xludf.DUMMYFUNCTION("""COMPUTED_VALUE"""),793.0)</f>
        <v>793</v>
      </c>
      <c r="D4576" s="11">
        <f>IFERROR(__xludf.DUMMYFUNCTION("""COMPUTED_VALUE"""),115.0)</f>
        <v>115</v>
      </c>
      <c r="E4576" s="9"/>
    </row>
    <row r="4577">
      <c r="A4577" s="10">
        <f>IFERROR(__xludf.DUMMYFUNCTION("""COMPUTED_VALUE"""),119120.0)</f>
        <v>119120</v>
      </c>
      <c r="B4577" s="11">
        <f>IFERROR(__xludf.DUMMYFUNCTION("""COMPUTED_VALUE"""),0.0)</f>
        <v>0</v>
      </c>
      <c r="C4577" s="11">
        <f>IFERROR(__xludf.DUMMYFUNCTION("""COMPUTED_VALUE"""),525.0)</f>
        <v>525</v>
      </c>
      <c r="D4577" s="11">
        <f>IFERROR(__xludf.DUMMYFUNCTION("""COMPUTED_VALUE"""),142.0)</f>
        <v>142</v>
      </c>
      <c r="E4577" s="9"/>
    </row>
    <row r="4578">
      <c r="A4578" s="10">
        <f>IFERROR(__xludf.DUMMYFUNCTION("""COMPUTED_VALUE"""),139297.0)</f>
        <v>139297</v>
      </c>
      <c r="B4578" s="11">
        <f>IFERROR(__xludf.DUMMYFUNCTION("""COMPUTED_VALUE"""),1.0)</f>
        <v>1</v>
      </c>
      <c r="C4578" s="11">
        <f>IFERROR(__xludf.DUMMYFUNCTION("""COMPUTED_VALUE"""),673.0)</f>
        <v>673</v>
      </c>
      <c r="D4578" s="11">
        <f>IFERROR(__xludf.DUMMYFUNCTION("""COMPUTED_VALUE"""),263.0)</f>
        <v>263</v>
      </c>
      <c r="E4578" s="9"/>
    </row>
    <row r="4579">
      <c r="A4579" s="10">
        <f>IFERROR(__xludf.DUMMYFUNCTION("""COMPUTED_VALUE"""),48476.0)</f>
        <v>48476</v>
      </c>
      <c r="B4579" s="11">
        <f>IFERROR(__xludf.DUMMYFUNCTION("""COMPUTED_VALUE"""),0.0)</f>
        <v>0</v>
      </c>
      <c r="C4579" s="11">
        <f>IFERROR(__xludf.DUMMYFUNCTION("""COMPUTED_VALUE"""),807.0)</f>
        <v>807</v>
      </c>
      <c r="D4579" s="11">
        <f>IFERROR(__xludf.DUMMYFUNCTION("""COMPUTED_VALUE"""),279.0)</f>
        <v>279</v>
      </c>
      <c r="E4579" s="9"/>
    </row>
    <row r="4580">
      <c r="A4580" s="10">
        <f>IFERROR(__xludf.DUMMYFUNCTION("""COMPUTED_VALUE"""),103454.0)</f>
        <v>103454</v>
      </c>
      <c r="B4580" s="11">
        <f>IFERROR(__xludf.DUMMYFUNCTION("""COMPUTED_VALUE"""),1.0)</f>
        <v>1</v>
      </c>
      <c r="C4580" s="11">
        <f>IFERROR(__xludf.DUMMYFUNCTION("""COMPUTED_VALUE"""),106.0)</f>
        <v>106</v>
      </c>
      <c r="D4580" s="11">
        <f>IFERROR(__xludf.DUMMYFUNCTION("""COMPUTED_VALUE"""),88.0)</f>
        <v>88</v>
      </c>
      <c r="E4580" s="9"/>
    </row>
    <row r="4581">
      <c r="A4581" s="10">
        <f>IFERROR(__xludf.DUMMYFUNCTION("""COMPUTED_VALUE"""),103456.0)</f>
        <v>103456</v>
      </c>
      <c r="B4581" s="11">
        <f>IFERROR(__xludf.DUMMYFUNCTION("""COMPUTED_VALUE"""),1.0)</f>
        <v>1</v>
      </c>
      <c r="C4581" s="11">
        <f>IFERROR(__xludf.DUMMYFUNCTION("""COMPUTED_VALUE"""),881.0)</f>
        <v>881</v>
      </c>
      <c r="D4581" s="11">
        <f>IFERROR(__xludf.DUMMYFUNCTION("""COMPUTED_VALUE"""),460.0)</f>
        <v>460</v>
      </c>
      <c r="E4581" s="9"/>
    </row>
    <row r="4582">
      <c r="A4582" s="10">
        <f>IFERROR(__xludf.DUMMYFUNCTION("""COMPUTED_VALUE"""),139304.0)</f>
        <v>139304</v>
      </c>
      <c r="B4582" s="11">
        <f>IFERROR(__xludf.DUMMYFUNCTION("""COMPUTED_VALUE"""),1.0)</f>
        <v>1</v>
      </c>
      <c r="C4582" s="11">
        <f>IFERROR(__xludf.DUMMYFUNCTION("""COMPUTED_VALUE"""),797.0)</f>
        <v>797</v>
      </c>
      <c r="D4582" s="11">
        <f>IFERROR(__xludf.DUMMYFUNCTION("""COMPUTED_VALUE"""),575.0)</f>
        <v>575</v>
      </c>
      <c r="E4582" s="9"/>
    </row>
    <row r="4583">
      <c r="A4583" s="10">
        <f>IFERROR(__xludf.DUMMYFUNCTION("""COMPUTED_VALUE"""),158661.0)</f>
        <v>158661</v>
      </c>
      <c r="B4583" s="11">
        <f>IFERROR(__xludf.DUMMYFUNCTION("""COMPUTED_VALUE"""),1.0)</f>
        <v>1</v>
      </c>
      <c r="C4583" s="11">
        <f>IFERROR(__xludf.DUMMYFUNCTION("""COMPUTED_VALUE"""),155.0)</f>
        <v>155</v>
      </c>
      <c r="D4583" s="11">
        <f>IFERROR(__xludf.DUMMYFUNCTION("""COMPUTED_VALUE"""),115.0)</f>
        <v>115</v>
      </c>
      <c r="E4583" s="9"/>
    </row>
    <row r="4584">
      <c r="A4584" s="10">
        <f>IFERROR(__xludf.DUMMYFUNCTION("""COMPUTED_VALUE"""),162441.0)</f>
        <v>162441</v>
      </c>
      <c r="B4584" s="11">
        <f>IFERROR(__xludf.DUMMYFUNCTION("""COMPUTED_VALUE"""),0.0)</f>
        <v>0</v>
      </c>
      <c r="C4584" s="11">
        <f>IFERROR(__xludf.DUMMYFUNCTION("""COMPUTED_VALUE"""),199.0)</f>
        <v>199</v>
      </c>
      <c r="D4584" s="11">
        <f>IFERROR(__xludf.DUMMYFUNCTION("""COMPUTED_VALUE"""),60.0)</f>
        <v>60</v>
      </c>
      <c r="E4584" s="9"/>
    </row>
    <row r="4585">
      <c r="A4585" s="10">
        <f>IFERROR(__xludf.DUMMYFUNCTION("""COMPUTED_VALUE"""),102695.0)</f>
        <v>102695</v>
      </c>
      <c r="B4585" s="11">
        <f>IFERROR(__xludf.DUMMYFUNCTION("""COMPUTED_VALUE"""),1.0)</f>
        <v>1</v>
      </c>
      <c r="C4585" s="11">
        <f>IFERROR(__xludf.DUMMYFUNCTION("""COMPUTED_VALUE"""),651.0)</f>
        <v>651</v>
      </c>
      <c r="D4585" s="11">
        <f>IFERROR(__xludf.DUMMYFUNCTION("""COMPUTED_VALUE"""),411.0)</f>
        <v>411</v>
      </c>
      <c r="E4585" s="9"/>
    </row>
    <row r="4586">
      <c r="A4586" s="10">
        <f>IFERROR(__xludf.DUMMYFUNCTION("""COMPUTED_VALUE"""),78913.0)</f>
        <v>78913</v>
      </c>
      <c r="B4586" s="11">
        <f>IFERROR(__xludf.DUMMYFUNCTION("""COMPUTED_VALUE"""),1.0)</f>
        <v>1</v>
      </c>
      <c r="C4586" s="11">
        <f>IFERROR(__xludf.DUMMYFUNCTION("""COMPUTED_VALUE"""),147.0)</f>
        <v>147</v>
      </c>
      <c r="D4586" s="11">
        <f>IFERROR(__xludf.DUMMYFUNCTION("""COMPUTED_VALUE"""),54.0)</f>
        <v>54</v>
      </c>
      <c r="E4586" s="9"/>
    </row>
    <row r="4587">
      <c r="A4587" s="10">
        <f>IFERROR(__xludf.DUMMYFUNCTION("""COMPUTED_VALUE"""),71397.0)</f>
        <v>71397</v>
      </c>
      <c r="B4587" s="11">
        <f>IFERROR(__xludf.DUMMYFUNCTION("""COMPUTED_VALUE"""),0.0)</f>
        <v>0</v>
      </c>
      <c r="C4587" s="11">
        <f>IFERROR(__xludf.DUMMYFUNCTION("""COMPUTED_VALUE"""),444.0)</f>
        <v>444</v>
      </c>
      <c r="D4587" s="11">
        <f>IFERROR(__xludf.DUMMYFUNCTION("""COMPUTED_VALUE"""),205.0)</f>
        <v>205</v>
      </c>
      <c r="E4587" s="9"/>
    </row>
    <row r="4588">
      <c r="A4588" s="10">
        <f>IFERROR(__xludf.DUMMYFUNCTION("""COMPUTED_VALUE"""),17596.0)</f>
        <v>17596</v>
      </c>
      <c r="B4588" s="11">
        <f>IFERROR(__xludf.DUMMYFUNCTION("""COMPUTED_VALUE"""),0.0)</f>
        <v>0</v>
      </c>
      <c r="C4588" s="11">
        <f>IFERROR(__xludf.DUMMYFUNCTION("""COMPUTED_VALUE"""),789.0)</f>
        <v>789</v>
      </c>
      <c r="D4588" s="11">
        <f>IFERROR(__xludf.DUMMYFUNCTION("""COMPUTED_VALUE"""),553.0)</f>
        <v>553</v>
      </c>
      <c r="E4588" s="9"/>
    </row>
    <row r="4589">
      <c r="A4589" s="10">
        <f>IFERROR(__xludf.DUMMYFUNCTION("""COMPUTED_VALUE"""),71398.0)</f>
        <v>71398</v>
      </c>
      <c r="B4589" s="11">
        <f>IFERROR(__xludf.DUMMYFUNCTION("""COMPUTED_VALUE"""),0.0)</f>
        <v>0</v>
      </c>
      <c r="C4589" s="11">
        <f>IFERROR(__xludf.DUMMYFUNCTION("""COMPUTED_VALUE"""),313.0)</f>
        <v>313</v>
      </c>
      <c r="D4589" s="11">
        <f>IFERROR(__xludf.DUMMYFUNCTION("""COMPUTED_VALUE"""),196.0)</f>
        <v>196</v>
      </c>
      <c r="E4589" s="9"/>
    </row>
    <row r="4590">
      <c r="A4590" s="10">
        <f>IFERROR(__xludf.DUMMYFUNCTION("""COMPUTED_VALUE"""),17627.0)</f>
        <v>17627</v>
      </c>
      <c r="B4590" s="11">
        <f>IFERROR(__xludf.DUMMYFUNCTION("""COMPUTED_VALUE"""),1.0)</f>
        <v>1</v>
      </c>
      <c r="C4590" s="11">
        <f>IFERROR(__xludf.DUMMYFUNCTION("""COMPUTED_VALUE"""),205.0)</f>
        <v>205</v>
      </c>
      <c r="D4590" s="11">
        <f>IFERROR(__xludf.DUMMYFUNCTION("""COMPUTED_VALUE"""),22.0)</f>
        <v>22</v>
      </c>
      <c r="E4590" s="9"/>
    </row>
    <row r="4591">
      <c r="A4591" s="10">
        <f>IFERROR(__xludf.DUMMYFUNCTION("""COMPUTED_VALUE"""),86166.0)</f>
        <v>86166</v>
      </c>
      <c r="B4591" s="11">
        <f>IFERROR(__xludf.DUMMYFUNCTION("""COMPUTED_VALUE"""),0.0)</f>
        <v>0</v>
      </c>
      <c r="C4591" s="11">
        <f>IFERROR(__xludf.DUMMYFUNCTION("""COMPUTED_VALUE"""),278.0)</f>
        <v>278</v>
      </c>
      <c r="D4591" s="11">
        <f>IFERROR(__xludf.DUMMYFUNCTION("""COMPUTED_VALUE"""),190.0)</f>
        <v>190</v>
      </c>
      <c r="E4591" s="9"/>
    </row>
    <row r="4592">
      <c r="A4592" s="10">
        <f>IFERROR(__xludf.DUMMYFUNCTION("""COMPUTED_VALUE"""),71409.0)</f>
        <v>71409</v>
      </c>
      <c r="B4592" s="11">
        <f>IFERROR(__xludf.DUMMYFUNCTION("""COMPUTED_VALUE"""),1.0)</f>
        <v>1</v>
      </c>
      <c r="C4592" s="11">
        <f>IFERROR(__xludf.DUMMYFUNCTION("""COMPUTED_VALUE"""),881.0)</f>
        <v>881</v>
      </c>
      <c r="D4592" s="11">
        <f>IFERROR(__xludf.DUMMYFUNCTION("""COMPUTED_VALUE"""),173.0)</f>
        <v>173</v>
      </c>
      <c r="E4592" s="9"/>
    </row>
    <row r="4593">
      <c r="A4593" s="10">
        <f>IFERROR(__xludf.DUMMYFUNCTION("""COMPUTED_VALUE"""),12877.0)</f>
        <v>12877</v>
      </c>
      <c r="B4593" s="11">
        <f>IFERROR(__xludf.DUMMYFUNCTION("""COMPUTED_VALUE"""),1.0)</f>
        <v>1</v>
      </c>
      <c r="C4593" s="11">
        <f>IFERROR(__xludf.DUMMYFUNCTION("""COMPUTED_VALUE"""),661.0)</f>
        <v>661</v>
      </c>
      <c r="D4593" s="11">
        <f>IFERROR(__xludf.DUMMYFUNCTION("""COMPUTED_VALUE"""),410.0)</f>
        <v>410</v>
      </c>
      <c r="E4593" s="9"/>
    </row>
    <row r="4594">
      <c r="A4594" s="10">
        <f>IFERROR(__xludf.DUMMYFUNCTION("""COMPUTED_VALUE"""),121868.0)</f>
        <v>121868</v>
      </c>
      <c r="B4594" s="11">
        <f>IFERROR(__xludf.DUMMYFUNCTION("""COMPUTED_VALUE"""),0.0)</f>
        <v>0</v>
      </c>
      <c r="C4594" s="11">
        <f>IFERROR(__xludf.DUMMYFUNCTION("""COMPUTED_VALUE"""),521.0)</f>
        <v>521</v>
      </c>
      <c r="D4594" s="11">
        <f>IFERROR(__xludf.DUMMYFUNCTION("""COMPUTED_VALUE"""),451.0)</f>
        <v>451</v>
      </c>
      <c r="E4594" s="9"/>
    </row>
    <row r="4595">
      <c r="A4595" s="10">
        <f>IFERROR(__xludf.DUMMYFUNCTION("""COMPUTED_VALUE"""),17626.0)</f>
        <v>17626</v>
      </c>
      <c r="B4595" s="11">
        <f>IFERROR(__xludf.DUMMYFUNCTION("""COMPUTED_VALUE"""),0.0)</f>
        <v>0</v>
      </c>
      <c r="C4595" s="11">
        <f>IFERROR(__xludf.DUMMYFUNCTION("""COMPUTED_VALUE"""),545.0)</f>
        <v>545</v>
      </c>
      <c r="D4595" s="11">
        <f>IFERROR(__xludf.DUMMYFUNCTION("""COMPUTED_VALUE"""),143.0)</f>
        <v>143</v>
      </c>
      <c r="E4595" s="9"/>
    </row>
    <row r="4596">
      <c r="A4596" s="10">
        <f>IFERROR(__xludf.DUMMYFUNCTION("""COMPUTED_VALUE"""),71394.0)</f>
        <v>71394</v>
      </c>
      <c r="B4596" s="11">
        <f>IFERROR(__xludf.DUMMYFUNCTION("""COMPUTED_VALUE"""),1.0)</f>
        <v>1</v>
      </c>
      <c r="C4596" s="11">
        <f>IFERROR(__xludf.DUMMYFUNCTION("""COMPUTED_VALUE"""),21.0)</f>
        <v>21</v>
      </c>
      <c r="D4596" s="11">
        <f>IFERROR(__xludf.DUMMYFUNCTION("""COMPUTED_VALUE"""),17.0)</f>
        <v>17</v>
      </c>
      <c r="E4596" s="9"/>
    </row>
    <row r="4597">
      <c r="A4597" s="10">
        <f>IFERROR(__xludf.DUMMYFUNCTION("""COMPUTED_VALUE"""),17620.0)</f>
        <v>17620</v>
      </c>
      <c r="B4597" s="11">
        <f>IFERROR(__xludf.DUMMYFUNCTION("""COMPUTED_VALUE"""),1.0)</f>
        <v>1</v>
      </c>
      <c r="C4597" s="11">
        <f>IFERROR(__xludf.DUMMYFUNCTION("""COMPUTED_VALUE"""),32.0)</f>
        <v>32</v>
      </c>
      <c r="D4597" s="11">
        <f>IFERROR(__xludf.DUMMYFUNCTION("""COMPUTED_VALUE"""),19.0)</f>
        <v>19</v>
      </c>
      <c r="E4597" s="9"/>
    </row>
    <row r="4598">
      <c r="A4598" s="10">
        <f>IFERROR(__xludf.DUMMYFUNCTION("""COMPUTED_VALUE"""),86186.0)</f>
        <v>86186</v>
      </c>
      <c r="B4598" s="11">
        <f>IFERROR(__xludf.DUMMYFUNCTION("""COMPUTED_VALUE"""),0.0)</f>
        <v>0</v>
      </c>
      <c r="C4598" s="11">
        <f>IFERROR(__xludf.DUMMYFUNCTION("""COMPUTED_VALUE"""),736.0)</f>
        <v>736</v>
      </c>
      <c r="D4598" s="11">
        <f>IFERROR(__xludf.DUMMYFUNCTION("""COMPUTED_VALUE"""),464.0)</f>
        <v>464</v>
      </c>
      <c r="E4598" s="9"/>
    </row>
    <row r="4599">
      <c r="A4599" s="10">
        <f>IFERROR(__xludf.DUMMYFUNCTION("""COMPUTED_VALUE"""),71410.0)</f>
        <v>71410</v>
      </c>
      <c r="B4599" s="11">
        <f>IFERROR(__xludf.DUMMYFUNCTION("""COMPUTED_VALUE"""),1.0)</f>
        <v>1</v>
      </c>
      <c r="C4599" s="11">
        <f>IFERROR(__xludf.DUMMYFUNCTION("""COMPUTED_VALUE"""),774.0)</f>
        <v>774</v>
      </c>
      <c r="D4599" s="11">
        <f>IFERROR(__xludf.DUMMYFUNCTION("""COMPUTED_VALUE"""),359.0)</f>
        <v>359</v>
      </c>
      <c r="E4599" s="9"/>
    </row>
    <row r="4600">
      <c r="A4600" s="10">
        <f>IFERROR(__xludf.DUMMYFUNCTION("""COMPUTED_VALUE"""),121869.0)</f>
        <v>121869</v>
      </c>
      <c r="B4600" s="11">
        <f>IFERROR(__xludf.DUMMYFUNCTION("""COMPUTED_VALUE"""),0.0)</f>
        <v>0</v>
      </c>
      <c r="C4600" s="11">
        <f>IFERROR(__xludf.DUMMYFUNCTION("""COMPUTED_VALUE"""),492.0)</f>
        <v>492</v>
      </c>
      <c r="D4600" s="11">
        <f>IFERROR(__xludf.DUMMYFUNCTION("""COMPUTED_VALUE"""),270.0)</f>
        <v>270</v>
      </c>
      <c r="E4600" s="9"/>
    </row>
    <row r="4601">
      <c r="A4601" s="10">
        <f>IFERROR(__xludf.DUMMYFUNCTION("""COMPUTED_VALUE"""),17624.0)</f>
        <v>17624</v>
      </c>
      <c r="B4601" s="11">
        <f>IFERROR(__xludf.DUMMYFUNCTION("""COMPUTED_VALUE"""),1.0)</f>
        <v>1</v>
      </c>
      <c r="C4601" s="11">
        <f>IFERROR(__xludf.DUMMYFUNCTION("""COMPUTED_VALUE"""),556.0)</f>
        <v>556</v>
      </c>
      <c r="D4601" s="11">
        <f>IFERROR(__xludf.DUMMYFUNCTION("""COMPUTED_VALUE"""),240.0)</f>
        <v>240</v>
      </c>
      <c r="E4601" s="9"/>
    </row>
    <row r="4602">
      <c r="A4602" s="10">
        <f>IFERROR(__xludf.DUMMYFUNCTION("""COMPUTED_VALUE"""),119737.0)</f>
        <v>119737</v>
      </c>
      <c r="B4602" s="11">
        <f>IFERROR(__xludf.DUMMYFUNCTION("""COMPUTED_VALUE"""),0.0)</f>
        <v>0</v>
      </c>
      <c r="C4602" s="11">
        <f>IFERROR(__xludf.DUMMYFUNCTION("""COMPUTED_VALUE"""),535.0)</f>
        <v>535</v>
      </c>
      <c r="D4602" s="11">
        <f>IFERROR(__xludf.DUMMYFUNCTION("""COMPUTED_VALUE"""),431.0)</f>
        <v>431</v>
      </c>
      <c r="E4602" s="9"/>
    </row>
    <row r="4603">
      <c r="A4603" s="10">
        <f>IFERROR(__xludf.DUMMYFUNCTION("""COMPUTED_VALUE"""),17618.0)</f>
        <v>17618</v>
      </c>
      <c r="B4603" s="11">
        <f>IFERROR(__xludf.DUMMYFUNCTION("""COMPUTED_VALUE"""),0.0)</f>
        <v>0</v>
      </c>
      <c r="C4603" s="11">
        <f>IFERROR(__xludf.DUMMYFUNCTION("""COMPUTED_VALUE"""),864.0)</f>
        <v>864</v>
      </c>
      <c r="D4603" s="11">
        <f>IFERROR(__xludf.DUMMYFUNCTION("""COMPUTED_VALUE"""),578.0)</f>
        <v>578</v>
      </c>
      <c r="E4603" s="9"/>
    </row>
    <row r="4604">
      <c r="A4604" s="10">
        <f>IFERROR(__xludf.DUMMYFUNCTION("""COMPUTED_VALUE"""),78741.0)</f>
        <v>78741</v>
      </c>
      <c r="B4604" s="11">
        <f>IFERROR(__xludf.DUMMYFUNCTION("""COMPUTED_VALUE"""),0.0)</f>
        <v>0</v>
      </c>
      <c r="C4604" s="11">
        <f>IFERROR(__xludf.DUMMYFUNCTION("""COMPUTED_VALUE"""),238.0)</f>
        <v>238</v>
      </c>
      <c r="D4604" s="11">
        <f>IFERROR(__xludf.DUMMYFUNCTION("""COMPUTED_VALUE"""),232.0)</f>
        <v>232</v>
      </c>
      <c r="E4604" s="9"/>
    </row>
    <row r="4605">
      <c r="A4605" s="10">
        <f>IFERROR(__xludf.DUMMYFUNCTION("""COMPUTED_VALUE"""),86864.0)</f>
        <v>86864</v>
      </c>
      <c r="B4605" s="11">
        <f>IFERROR(__xludf.DUMMYFUNCTION("""COMPUTED_VALUE"""),1.0)</f>
        <v>1</v>
      </c>
      <c r="C4605" s="11">
        <f>IFERROR(__xludf.DUMMYFUNCTION("""COMPUTED_VALUE"""),99.0)</f>
        <v>99</v>
      </c>
      <c r="D4605" s="11">
        <f>IFERROR(__xludf.DUMMYFUNCTION("""COMPUTED_VALUE"""),50.0)</f>
        <v>50</v>
      </c>
      <c r="E4605" s="9"/>
    </row>
    <row r="4606">
      <c r="A4606" s="10">
        <f>IFERROR(__xludf.DUMMYFUNCTION("""COMPUTED_VALUE"""),71421.0)</f>
        <v>71421</v>
      </c>
      <c r="B4606" s="11">
        <f>IFERROR(__xludf.DUMMYFUNCTION("""COMPUTED_VALUE"""),0.0)</f>
        <v>0</v>
      </c>
      <c r="C4606" s="11">
        <f>IFERROR(__xludf.DUMMYFUNCTION("""COMPUTED_VALUE"""),52.0)</f>
        <v>52</v>
      </c>
      <c r="D4606" s="11">
        <f>IFERROR(__xludf.DUMMYFUNCTION("""COMPUTED_VALUE"""),23.0)</f>
        <v>23</v>
      </c>
      <c r="E4606" s="9"/>
    </row>
    <row r="4607">
      <c r="A4607" s="10">
        <f>IFERROR(__xludf.DUMMYFUNCTION("""COMPUTED_VALUE"""),115776.0)</f>
        <v>115776</v>
      </c>
      <c r="B4607" s="11">
        <f>IFERROR(__xludf.DUMMYFUNCTION("""COMPUTED_VALUE"""),0.0)</f>
        <v>0</v>
      </c>
      <c r="C4607" s="11">
        <f>IFERROR(__xludf.DUMMYFUNCTION("""COMPUTED_VALUE"""),755.0)</f>
        <v>755</v>
      </c>
      <c r="D4607" s="11">
        <f>IFERROR(__xludf.DUMMYFUNCTION("""COMPUTED_VALUE"""),34.0)</f>
        <v>34</v>
      </c>
      <c r="E4607" s="9"/>
    </row>
    <row r="4608">
      <c r="A4608" s="10">
        <f>IFERROR(__xludf.DUMMYFUNCTION("""COMPUTED_VALUE"""),71393.0)</f>
        <v>71393</v>
      </c>
      <c r="B4608" s="11">
        <f>IFERROR(__xludf.DUMMYFUNCTION("""COMPUTED_VALUE"""),0.0)</f>
        <v>0</v>
      </c>
      <c r="C4608" s="11">
        <f>IFERROR(__xludf.DUMMYFUNCTION("""COMPUTED_VALUE"""),491.0)</f>
        <v>491</v>
      </c>
      <c r="D4608" s="11">
        <f>IFERROR(__xludf.DUMMYFUNCTION("""COMPUTED_VALUE"""),215.0)</f>
        <v>215</v>
      </c>
      <c r="E4608" s="9"/>
    </row>
    <row r="4609">
      <c r="A4609" s="10">
        <f>IFERROR(__xludf.DUMMYFUNCTION("""COMPUTED_VALUE"""),78739.0)</f>
        <v>78739</v>
      </c>
      <c r="B4609" s="11">
        <f>IFERROR(__xludf.DUMMYFUNCTION("""COMPUTED_VALUE"""),1.0)</f>
        <v>1</v>
      </c>
      <c r="C4609" s="11">
        <f>IFERROR(__xludf.DUMMYFUNCTION("""COMPUTED_VALUE"""),963.0)</f>
        <v>963</v>
      </c>
      <c r="D4609" s="11">
        <f>IFERROR(__xludf.DUMMYFUNCTION("""COMPUTED_VALUE"""),429.0)</f>
        <v>429</v>
      </c>
      <c r="E4609" s="9"/>
    </row>
    <row r="4610">
      <c r="A4610" s="10">
        <f>IFERROR(__xludf.DUMMYFUNCTION("""COMPUTED_VALUE"""),71408.0)</f>
        <v>71408</v>
      </c>
      <c r="B4610" s="11">
        <f>IFERROR(__xludf.DUMMYFUNCTION("""COMPUTED_VALUE"""),1.0)</f>
        <v>1</v>
      </c>
      <c r="C4610" s="11">
        <f>IFERROR(__xludf.DUMMYFUNCTION("""COMPUTED_VALUE"""),590.0)</f>
        <v>590</v>
      </c>
      <c r="D4610" s="11">
        <f>IFERROR(__xludf.DUMMYFUNCTION("""COMPUTED_VALUE"""),327.0)</f>
        <v>327</v>
      </c>
      <c r="E4610" s="9"/>
    </row>
    <row r="4611">
      <c r="A4611" s="10">
        <f>IFERROR(__xludf.DUMMYFUNCTION("""COMPUTED_VALUE"""),109194.0)</f>
        <v>109194</v>
      </c>
      <c r="B4611" s="11">
        <f>IFERROR(__xludf.DUMMYFUNCTION("""COMPUTED_VALUE"""),1.0)</f>
        <v>1</v>
      </c>
      <c r="C4611" s="11">
        <f>IFERROR(__xludf.DUMMYFUNCTION("""COMPUTED_VALUE"""),478.0)</f>
        <v>478</v>
      </c>
      <c r="D4611" s="11">
        <f>IFERROR(__xludf.DUMMYFUNCTION("""COMPUTED_VALUE"""),354.0)</f>
        <v>354</v>
      </c>
      <c r="E4611" s="9"/>
    </row>
    <row r="4612">
      <c r="A4612" s="10">
        <f>IFERROR(__xludf.DUMMYFUNCTION("""COMPUTED_VALUE"""),84448.0)</f>
        <v>84448</v>
      </c>
      <c r="B4612" s="11">
        <f>IFERROR(__xludf.DUMMYFUNCTION("""COMPUTED_VALUE"""),1.0)</f>
        <v>1</v>
      </c>
      <c r="C4612" s="11">
        <f>IFERROR(__xludf.DUMMYFUNCTION("""COMPUTED_VALUE"""),105.0)</f>
        <v>105</v>
      </c>
      <c r="D4612" s="11">
        <f>IFERROR(__xludf.DUMMYFUNCTION("""COMPUTED_VALUE"""),12.0)</f>
        <v>12</v>
      </c>
      <c r="E4612" s="9"/>
    </row>
    <row r="4613">
      <c r="A4613" s="10">
        <f>IFERROR(__xludf.DUMMYFUNCTION("""COMPUTED_VALUE"""),140575.0)</f>
        <v>140575</v>
      </c>
      <c r="B4613" s="11">
        <f>IFERROR(__xludf.DUMMYFUNCTION("""COMPUTED_VALUE"""),0.0)</f>
        <v>0</v>
      </c>
      <c r="C4613" s="11">
        <f>IFERROR(__xludf.DUMMYFUNCTION("""COMPUTED_VALUE"""),519.0)</f>
        <v>519</v>
      </c>
      <c r="D4613" s="11">
        <f>IFERROR(__xludf.DUMMYFUNCTION("""COMPUTED_VALUE"""),22.0)</f>
        <v>22</v>
      </c>
      <c r="E4613" s="9"/>
    </row>
    <row r="4614">
      <c r="A4614" s="10">
        <f>IFERROR(__xludf.DUMMYFUNCTION("""COMPUTED_VALUE"""),71420.0)</f>
        <v>71420</v>
      </c>
      <c r="B4614" s="11">
        <f>IFERROR(__xludf.DUMMYFUNCTION("""COMPUTED_VALUE"""),0.0)</f>
        <v>0</v>
      </c>
      <c r="C4614" s="11">
        <f>IFERROR(__xludf.DUMMYFUNCTION("""COMPUTED_VALUE"""),600.0)</f>
        <v>600</v>
      </c>
      <c r="D4614" s="11">
        <f>IFERROR(__xludf.DUMMYFUNCTION("""COMPUTED_VALUE"""),557.0)</f>
        <v>557</v>
      </c>
      <c r="E4614" s="9"/>
    </row>
    <row r="4615">
      <c r="A4615" s="10">
        <f>IFERROR(__xludf.DUMMYFUNCTION("""COMPUTED_VALUE"""),71375.0)</f>
        <v>71375</v>
      </c>
      <c r="B4615" s="11">
        <f>IFERROR(__xludf.DUMMYFUNCTION("""COMPUTED_VALUE"""),1.0)</f>
        <v>1</v>
      </c>
      <c r="C4615" s="11">
        <f>IFERROR(__xludf.DUMMYFUNCTION("""COMPUTED_VALUE"""),939.0)</f>
        <v>939</v>
      </c>
      <c r="D4615" s="11">
        <f>IFERROR(__xludf.DUMMYFUNCTION("""COMPUTED_VALUE"""),399.0)</f>
        <v>399</v>
      </c>
      <c r="E4615" s="9"/>
    </row>
    <row r="4616">
      <c r="A4616" s="10">
        <f>IFERROR(__xludf.DUMMYFUNCTION("""COMPUTED_VALUE"""),71376.0)</f>
        <v>71376</v>
      </c>
      <c r="B4616" s="11">
        <f>IFERROR(__xludf.DUMMYFUNCTION("""COMPUTED_VALUE"""),0.0)</f>
        <v>0</v>
      </c>
      <c r="C4616" s="11">
        <f>IFERROR(__xludf.DUMMYFUNCTION("""COMPUTED_VALUE"""),748.0)</f>
        <v>748</v>
      </c>
      <c r="D4616" s="11">
        <f>IFERROR(__xludf.DUMMYFUNCTION("""COMPUTED_VALUE"""),371.0)</f>
        <v>371</v>
      </c>
      <c r="E4616" s="9"/>
    </row>
    <row r="4617">
      <c r="A4617" s="10">
        <f>IFERROR(__xludf.DUMMYFUNCTION("""COMPUTED_VALUE"""),110975.0)</f>
        <v>110975</v>
      </c>
      <c r="B4617" s="11">
        <f>IFERROR(__xludf.DUMMYFUNCTION("""COMPUTED_VALUE"""),0.0)</f>
        <v>0</v>
      </c>
      <c r="C4617" s="11">
        <f>IFERROR(__xludf.DUMMYFUNCTION("""COMPUTED_VALUE"""),762.0)</f>
        <v>762</v>
      </c>
      <c r="D4617" s="11">
        <f>IFERROR(__xludf.DUMMYFUNCTION("""COMPUTED_VALUE"""),378.0)</f>
        <v>378</v>
      </c>
      <c r="E4617" s="9"/>
    </row>
    <row r="4618">
      <c r="A4618" s="10">
        <f>IFERROR(__xludf.DUMMYFUNCTION("""COMPUTED_VALUE"""),86170.0)</f>
        <v>86170</v>
      </c>
      <c r="B4618" s="11">
        <f>IFERROR(__xludf.DUMMYFUNCTION("""COMPUTED_VALUE"""),1.0)</f>
        <v>1</v>
      </c>
      <c r="C4618" s="11">
        <f>IFERROR(__xludf.DUMMYFUNCTION("""COMPUTED_VALUE"""),97.0)</f>
        <v>97</v>
      </c>
      <c r="D4618" s="11">
        <f>IFERROR(__xludf.DUMMYFUNCTION("""COMPUTED_VALUE"""),20.0)</f>
        <v>20</v>
      </c>
      <c r="E4618" s="9"/>
    </row>
    <row r="4619">
      <c r="A4619" s="10">
        <f>IFERROR(__xludf.DUMMYFUNCTION("""COMPUTED_VALUE"""),142787.0)</f>
        <v>142787</v>
      </c>
      <c r="B4619" s="11">
        <f>IFERROR(__xludf.DUMMYFUNCTION("""COMPUTED_VALUE"""),1.0)</f>
        <v>1</v>
      </c>
      <c r="C4619" s="11">
        <f>IFERROR(__xludf.DUMMYFUNCTION("""COMPUTED_VALUE"""),713.0)</f>
        <v>713</v>
      </c>
      <c r="D4619" s="11">
        <f>IFERROR(__xludf.DUMMYFUNCTION("""COMPUTED_VALUE"""),419.0)</f>
        <v>419</v>
      </c>
      <c r="E4619" s="9"/>
    </row>
    <row r="4620">
      <c r="A4620" s="10">
        <f>IFERROR(__xludf.DUMMYFUNCTION("""COMPUTED_VALUE"""),109185.0)</f>
        <v>109185</v>
      </c>
      <c r="B4620" s="11">
        <f>IFERROR(__xludf.DUMMYFUNCTION("""COMPUTED_VALUE"""),1.0)</f>
        <v>1</v>
      </c>
      <c r="C4620" s="11">
        <f>IFERROR(__xludf.DUMMYFUNCTION("""COMPUTED_VALUE"""),350.0)</f>
        <v>350</v>
      </c>
      <c r="D4620" s="11">
        <f>IFERROR(__xludf.DUMMYFUNCTION("""COMPUTED_VALUE"""),116.0)</f>
        <v>116</v>
      </c>
      <c r="E4620" s="9"/>
    </row>
    <row r="4621">
      <c r="A4621" s="10">
        <f>IFERROR(__xludf.DUMMYFUNCTION("""COMPUTED_VALUE"""),109184.0)</f>
        <v>109184</v>
      </c>
      <c r="B4621" s="11">
        <f>IFERROR(__xludf.DUMMYFUNCTION("""COMPUTED_VALUE"""),1.0)</f>
        <v>1</v>
      </c>
      <c r="C4621" s="11">
        <f>IFERROR(__xludf.DUMMYFUNCTION("""COMPUTED_VALUE"""),884.0)</f>
        <v>884</v>
      </c>
      <c r="D4621" s="11">
        <f>IFERROR(__xludf.DUMMYFUNCTION("""COMPUTED_VALUE"""),435.0)</f>
        <v>435</v>
      </c>
      <c r="E4621" s="9"/>
    </row>
    <row r="4622">
      <c r="A4622" s="10">
        <f>IFERROR(__xludf.DUMMYFUNCTION("""COMPUTED_VALUE"""),72575.0)</f>
        <v>72575</v>
      </c>
      <c r="B4622" s="11">
        <f>IFERROR(__xludf.DUMMYFUNCTION("""COMPUTED_VALUE"""),0.0)</f>
        <v>0</v>
      </c>
      <c r="C4622" s="11">
        <f>IFERROR(__xludf.DUMMYFUNCTION("""COMPUTED_VALUE"""),521.0)</f>
        <v>521</v>
      </c>
      <c r="D4622" s="11">
        <f>IFERROR(__xludf.DUMMYFUNCTION("""COMPUTED_VALUE"""),112.0)</f>
        <v>112</v>
      </c>
      <c r="E4622" s="9"/>
    </row>
    <row r="4623">
      <c r="A4623" s="10">
        <f>IFERROR(__xludf.DUMMYFUNCTION("""COMPUTED_VALUE"""),78909.0)</f>
        <v>78909</v>
      </c>
      <c r="B4623" s="11">
        <f>IFERROR(__xludf.DUMMYFUNCTION("""COMPUTED_VALUE"""),1.0)</f>
        <v>1</v>
      </c>
      <c r="C4623" s="11">
        <f>IFERROR(__xludf.DUMMYFUNCTION("""COMPUTED_VALUE"""),555.0)</f>
        <v>555</v>
      </c>
      <c r="D4623" s="11">
        <f>IFERROR(__xludf.DUMMYFUNCTION("""COMPUTED_VALUE"""),514.0)</f>
        <v>514</v>
      </c>
      <c r="E4623" s="9"/>
    </row>
    <row r="4624">
      <c r="A4624" s="10">
        <f>IFERROR(__xludf.DUMMYFUNCTION("""COMPUTED_VALUE"""),17630.0)</f>
        <v>17630</v>
      </c>
      <c r="B4624" s="11">
        <f>IFERROR(__xludf.DUMMYFUNCTION("""COMPUTED_VALUE"""),1.0)</f>
        <v>1</v>
      </c>
      <c r="C4624" s="11">
        <f>IFERROR(__xludf.DUMMYFUNCTION("""COMPUTED_VALUE"""),720.0)</f>
        <v>720</v>
      </c>
      <c r="D4624" s="11">
        <f>IFERROR(__xludf.DUMMYFUNCTION("""COMPUTED_VALUE"""),546.0)</f>
        <v>546</v>
      </c>
      <c r="E4624" s="9"/>
    </row>
    <row r="4625">
      <c r="A4625" s="10">
        <f>IFERROR(__xludf.DUMMYFUNCTION("""COMPUTED_VALUE"""),78924.0)</f>
        <v>78924</v>
      </c>
      <c r="B4625" s="11">
        <f>IFERROR(__xludf.DUMMYFUNCTION("""COMPUTED_VALUE"""),0.0)</f>
        <v>0</v>
      </c>
      <c r="C4625" s="11">
        <f>IFERROR(__xludf.DUMMYFUNCTION("""COMPUTED_VALUE"""),738.0)</f>
        <v>738</v>
      </c>
      <c r="D4625" s="11">
        <f>IFERROR(__xludf.DUMMYFUNCTION("""COMPUTED_VALUE"""),326.0)</f>
        <v>326</v>
      </c>
      <c r="E4625" s="9"/>
    </row>
    <row r="4626">
      <c r="A4626" s="10">
        <f>IFERROR(__xludf.DUMMYFUNCTION("""COMPUTED_VALUE"""),82196.0)</f>
        <v>82196</v>
      </c>
      <c r="B4626" s="11">
        <f>IFERROR(__xludf.DUMMYFUNCTION("""COMPUTED_VALUE"""),0.0)</f>
        <v>0</v>
      </c>
      <c r="C4626" s="11">
        <f>IFERROR(__xludf.DUMMYFUNCTION("""COMPUTED_VALUE"""),686.0)</f>
        <v>686</v>
      </c>
      <c r="D4626" s="11">
        <f>IFERROR(__xludf.DUMMYFUNCTION("""COMPUTED_VALUE"""),130.0)</f>
        <v>130</v>
      </c>
      <c r="E4626" s="9"/>
    </row>
    <row r="4627">
      <c r="A4627" s="10">
        <f>IFERROR(__xludf.DUMMYFUNCTION("""COMPUTED_VALUE"""),86184.0)</f>
        <v>86184</v>
      </c>
      <c r="B4627" s="11">
        <f>IFERROR(__xludf.DUMMYFUNCTION("""COMPUTED_VALUE"""),1.0)</f>
        <v>1</v>
      </c>
      <c r="C4627" s="11">
        <f>IFERROR(__xludf.DUMMYFUNCTION("""COMPUTED_VALUE"""),435.0)</f>
        <v>435</v>
      </c>
      <c r="D4627" s="11">
        <f>IFERROR(__xludf.DUMMYFUNCTION("""COMPUTED_VALUE"""),286.0)</f>
        <v>286</v>
      </c>
      <c r="E4627" s="9"/>
    </row>
    <row r="4628">
      <c r="A4628" s="10">
        <f>IFERROR(__xludf.DUMMYFUNCTION("""COMPUTED_VALUE"""),6219.0)</f>
        <v>6219</v>
      </c>
      <c r="B4628" s="11">
        <f>IFERROR(__xludf.DUMMYFUNCTION("""COMPUTED_VALUE"""),1.0)</f>
        <v>1</v>
      </c>
      <c r="C4628" s="11">
        <f>IFERROR(__xludf.DUMMYFUNCTION("""COMPUTED_VALUE"""),965.0)</f>
        <v>965</v>
      </c>
      <c r="D4628" s="11">
        <f>IFERROR(__xludf.DUMMYFUNCTION("""COMPUTED_VALUE"""),0.0)</f>
        <v>0</v>
      </c>
      <c r="E4628" s="9"/>
    </row>
    <row r="4629">
      <c r="A4629" s="10">
        <f>IFERROR(__xludf.DUMMYFUNCTION("""COMPUTED_VALUE"""),116185.0)</f>
        <v>116185</v>
      </c>
      <c r="B4629" s="11">
        <f>IFERROR(__xludf.DUMMYFUNCTION("""COMPUTED_VALUE"""),1.0)</f>
        <v>1</v>
      </c>
      <c r="C4629" s="11">
        <f>IFERROR(__xludf.DUMMYFUNCTION("""COMPUTED_VALUE"""),375.0)</f>
        <v>375</v>
      </c>
      <c r="D4629" s="11">
        <f>IFERROR(__xludf.DUMMYFUNCTION("""COMPUTED_VALUE"""),182.0)</f>
        <v>182</v>
      </c>
      <c r="E4629" s="9"/>
    </row>
    <row r="4630">
      <c r="A4630" s="10">
        <f>IFERROR(__xludf.DUMMYFUNCTION("""COMPUTED_VALUE"""),12873.0)</f>
        <v>12873</v>
      </c>
      <c r="B4630" s="11">
        <f>IFERROR(__xludf.DUMMYFUNCTION("""COMPUTED_VALUE"""),1.0)</f>
        <v>1</v>
      </c>
      <c r="C4630" s="11">
        <f>IFERROR(__xludf.DUMMYFUNCTION("""COMPUTED_VALUE"""),840.0)</f>
        <v>840</v>
      </c>
      <c r="D4630" s="11">
        <f>IFERROR(__xludf.DUMMYFUNCTION("""COMPUTED_VALUE"""),348.0)</f>
        <v>348</v>
      </c>
      <c r="E4630" s="9"/>
    </row>
    <row r="4631">
      <c r="A4631" s="10">
        <f>IFERROR(__xludf.DUMMYFUNCTION("""COMPUTED_VALUE"""),71413.0)</f>
        <v>71413</v>
      </c>
      <c r="B4631" s="11">
        <f>IFERROR(__xludf.DUMMYFUNCTION("""COMPUTED_VALUE"""),0.0)</f>
        <v>0</v>
      </c>
      <c r="C4631" s="11">
        <f>IFERROR(__xludf.DUMMYFUNCTION("""COMPUTED_VALUE"""),0.0)</f>
        <v>0</v>
      </c>
      <c r="D4631" s="11">
        <f>IFERROR(__xludf.DUMMYFUNCTION("""COMPUTED_VALUE"""),0.0)</f>
        <v>0</v>
      </c>
      <c r="E4631" s="9"/>
    </row>
    <row r="4632">
      <c r="A4632" s="10">
        <f>IFERROR(__xludf.DUMMYFUNCTION("""COMPUTED_VALUE"""),128352.0)</f>
        <v>128352</v>
      </c>
      <c r="B4632" s="11">
        <f>IFERROR(__xludf.DUMMYFUNCTION("""COMPUTED_VALUE"""),1.0)</f>
        <v>1</v>
      </c>
      <c r="C4632" s="11">
        <f>IFERROR(__xludf.DUMMYFUNCTION("""COMPUTED_VALUE"""),116.0)</f>
        <v>116</v>
      </c>
      <c r="D4632" s="11">
        <f>IFERROR(__xludf.DUMMYFUNCTION("""COMPUTED_VALUE"""),32.0)</f>
        <v>32</v>
      </c>
      <c r="E4632" s="9"/>
    </row>
    <row r="4633">
      <c r="A4633" s="10">
        <f>IFERROR(__xludf.DUMMYFUNCTION("""COMPUTED_VALUE"""),17594.0)</f>
        <v>17594</v>
      </c>
      <c r="B4633" s="11">
        <f>IFERROR(__xludf.DUMMYFUNCTION("""COMPUTED_VALUE"""),0.0)</f>
        <v>0</v>
      </c>
      <c r="C4633" s="11">
        <f>IFERROR(__xludf.DUMMYFUNCTION("""COMPUTED_VALUE"""),302.0)</f>
        <v>302</v>
      </c>
      <c r="D4633" s="11">
        <f>IFERROR(__xludf.DUMMYFUNCTION("""COMPUTED_VALUE"""),6.0)</f>
        <v>6</v>
      </c>
      <c r="E4633" s="9"/>
    </row>
    <row r="4634">
      <c r="A4634" s="10">
        <f>IFERROR(__xludf.DUMMYFUNCTION("""COMPUTED_VALUE"""),71404.0)</f>
        <v>71404</v>
      </c>
      <c r="B4634" s="11">
        <f>IFERROR(__xludf.DUMMYFUNCTION("""COMPUTED_VALUE"""),0.0)</f>
        <v>0</v>
      </c>
      <c r="C4634" s="11">
        <f>IFERROR(__xludf.DUMMYFUNCTION("""COMPUTED_VALUE"""),631.0)</f>
        <v>631</v>
      </c>
      <c r="D4634" s="11">
        <f>IFERROR(__xludf.DUMMYFUNCTION("""COMPUTED_VALUE"""),231.0)</f>
        <v>231</v>
      </c>
      <c r="E4634" s="9"/>
    </row>
    <row r="4635">
      <c r="A4635" s="10">
        <f>IFERROR(__xludf.DUMMYFUNCTION("""COMPUTED_VALUE"""),129473.0)</f>
        <v>129473</v>
      </c>
      <c r="B4635" s="11">
        <f>IFERROR(__xludf.DUMMYFUNCTION("""COMPUTED_VALUE"""),1.0)</f>
        <v>1</v>
      </c>
      <c r="C4635" s="11">
        <f>IFERROR(__xludf.DUMMYFUNCTION("""COMPUTED_VALUE"""),2.0)</f>
        <v>2</v>
      </c>
      <c r="D4635" s="11">
        <f>IFERROR(__xludf.DUMMYFUNCTION("""COMPUTED_VALUE"""),1.0)</f>
        <v>1</v>
      </c>
      <c r="E4635" s="9"/>
    </row>
    <row r="4636">
      <c r="A4636" s="10">
        <f>IFERROR(__xludf.DUMMYFUNCTION("""COMPUTED_VALUE"""),78904.0)</f>
        <v>78904</v>
      </c>
      <c r="B4636" s="11">
        <f>IFERROR(__xludf.DUMMYFUNCTION("""COMPUTED_VALUE"""),0.0)</f>
        <v>0</v>
      </c>
      <c r="C4636" s="11">
        <f>IFERROR(__xludf.DUMMYFUNCTION("""COMPUTED_VALUE"""),920.0)</f>
        <v>920</v>
      </c>
      <c r="D4636" s="11">
        <f>IFERROR(__xludf.DUMMYFUNCTION("""COMPUTED_VALUE"""),523.0)</f>
        <v>523</v>
      </c>
      <c r="E4636" s="9"/>
    </row>
    <row r="4637">
      <c r="A4637" s="10">
        <f>IFERROR(__xludf.DUMMYFUNCTION("""COMPUTED_VALUE"""),122311.0)</f>
        <v>122311</v>
      </c>
      <c r="B4637" s="11">
        <f>IFERROR(__xludf.DUMMYFUNCTION("""COMPUTED_VALUE"""),1.0)</f>
        <v>1</v>
      </c>
      <c r="C4637" s="11">
        <f>IFERROR(__xludf.DUMMYFUNCTION("""COMPUTED_VALUE"""),534.0)</f>
        <v>534</v>
      </c>
      <c r="D4637" s="11">
        <f>IFERROR(__xludf.DUMMYFUNCTION("""COMPUTED_VALUE"""),346.0)</f>
        <v>346</v>
      </c>
      <c r="E4637" s="9"/>
    </row>
    <row r="4638">
      <c r="A4638" s="10">
        <f>IFERROR(__xludf.DUMMYFUNCTION("""COMPUTED_VALUE"""),86172.0)</f>
        <v>86172</v>
      </c>
      <c r="B4638" s="11">
        <f>IFERROR(__xludf.DUMMYFUNCTION("""COMPUTED_VALUE"""),1.0)</f>
        <v>1</v>
      </c>
      <c r="C4638" s="11">
        <f>IFERROR(__xludf.DUMMYFUNCTION("""COMPUTED_VALUE"""),197.0)</f>
        <v>197</v>
      </c>
      <c r="D4638" s="11">
        <f>IFERROR(__xludf.DUMMYFUNCTION("""COMPUTED_VALUE"""),106.0)</f>
        <v>106</v>
      </c>
      <c r="E4638" s="9"/>
    </row>
    <row r="4639">
      <c r="A4639" s="10">
        <f>IFERROR(__xludf.DUMMYFUNCTION("""COMPUTED_VALUE"""),17592.0)</f>
        <v>17592</v>
      </c>
      <c r="B4639" s="11">
        <f>IFERROR(__xludf.DUMMYFUNCTION("""COMPUTED_VALUE"""),1.0)</f>
        <v>1</v>
      </c>
      <c r="C4639" s="11">
        <f>IFERROR(__xludf.DUMMYFUNCTION("""COMPUTED_VALUE"""),660.0)</f>
        <v>660</v>
      </c>
      <c r="D4639" s="11">
        <f>IFERROR(__xludf.DUMMYFUNCTION("""COMPUTED_VALUE"""),637.0)</f>
        <v>637</v>
      </c>
      <c r="E4639" s="9"/>
    </row>
    <row r="4640">
      <c r="A4640" s="10">
        <f>IFERROR(__xludf.DUMMYFUNCTION("""COMPUTED_VALUE"""),89981.0)</f>
        <v>89981</v>
      </c>
      <c r="B4640" s="11">
        <f>IFERROR(__xludf.DUMMYFUNCTION("""COMPUTED_VALUE"""),0.0)</f>
        <v>0</v>
      </c>
      <c r="C4640" s="11">
        <f>IFERROR(__xludf.DUMMYFUNCTION("""COMPUTED_VALUE"""),31.0)</f>
        <v>31</v>
      </c>
      <c r="D4640" s="11">
        <f>IFERROR(__xludf.DUMMYFUNCTION("""COMPUTED_VALUE"""),9.0)</f>
        <v>9</v>
      </c>
      <c r="E4640" s="9"/>
    </row>
    <row r="4641">
      <c r="A4641" s="10">
        <f>IFERROR(__xludf.DUMMYFUNCTION("""COMPUTED_VALUE"""),71399.0)</f>
        <v>71399</v>
      </c>
      <c r="B4641" s="11">
        <f>IFERROR(__xludf.DUMMYFUNCTION("""COMPUTED_VALUE"""),1.0)</f>
        <v>1</v>
      </c>
      <c r="C4641" s="11">
        <f>IFERROR(__xludf.DUMMYFUNCTION("""COMPUTED_VALUE"""),88.0)</f>
        <v>88</v>
      </c>
      <c r="D4641" s="11">
        <f>IFERROR(__xludf.DUMMYFUNCTION("""COMPUTED_VALUE"""),72.0)</f>
        <v>72</v>
      </c>
      <c r="E4641" s="9"/>
    </row>
    <row r="4642">
      <c r="A4642" s="10">
        <f>IFERROR(__xludf.DUMMYFUNCTION("""COMPUTED_VALUE"""),17587.0)</f>
        <v>17587</v>
      </c>
      <c r="B4642" s="11">
        <f>IFERROR(__xludf.DUMMYFUNCTION("""COMPUTED_VALUE"""),1.0)</f>
        <v>1</v>
      </c>
      <c r="C4642" s="11">
        <f>IFERROR(__xludf.DUMMYFUNCTION("""COMPUTED_VALUE"""),430.0)</f>
        <v>430</v>
      </c>
      <c r="D4642" s="11">
        <f>IFERROR(__xludf.DUMMYFUNCTION("""COMPUTED_VALUE"""),9.0)</f>
        <v>9</v>
      </c>
      <c r="E4642" s="9"/>
    </row>
    <row r="4643">
      <c r="A4643" s="10">
        <f>IFERROR(__xludf.DUMMYFUNCTION("""COMPUTED_VALUE"""),17647.0)</f>
        <v>17647</v>
      </c>
      <c r="B4643" s="11">
        <f>IFERROR(__xludf.DUMMYFUNCTION("""COMPUTED_VALUE"""),1.0)</f>
        <v>1</v>
      </c>
      <c r="C4643" s="11">
        <f>IFERROR(__xludf.DUMMYFUNCTION("""COMPUTED_VALUE"""),14.0)</f>
        <v>14</v>
      </c>
      <c r="D4643" s="11">
        <f>IFERROR(__xludf.DUMMYFUNCTION("""COMPUTED_VALUE"""),0.0)</f>
        <v>0</v>
      </c>
      <c r="E4643" s="9"/>
    </row>
    <row r="4644">
      <c r="A4644" s="10">
        <f>IFERROR(__xludf.DUMMYFUNCTION("""COMPUTED_VALUE"""),107364.0)</f>
        <v>107364</v>
      </c>
      <c r="B4644" s="11">
        <f>IFERROR(__xludf.DUMMYFUNCTION("""COMPUTED_VALUE"""),0.0)</f>
        <v>0</v>
      </c>
      <c r="C4644" s="11">
        <f>IFERROR(__xludf.DUMMYFUNCTION("""COMPUTED_VALUE"""),55.0)</f>
        <v>55</v>
      </c>
      <c r="D4644" s="11">
        <f>IFERROR(__xludf.DUMMYFUNCTION("""COMPUTED_VALUE"""),51.0)</f>
        <v>51</v>
      </c>
      <c r="E4644" s="9"/>
    </row>
    <row r="4645">
      <c r="A4645" s="10">
        <f>IFERROR(__xludf.DUMMYFUNCTION("""COMPUTED_VALUE"""),24118.0)</f>
        <v>24118</v>
      </c>
      <c r="B4645" s="11">
        <f>IFERROR(__xludf.DUMMYFUNCTION("""COMPUTED_VALUE"""),0.0)</f>
        <v>0</v>
      </c>
      <c r="C4645" s="11">
        <f>IFERROR(__xludf.DUMMYFUNCTION("""COMPUTED_VALUE"""),645.0)</f>
        <v>645</v>
      </c>
      <c r="D4645" s="11">
        <f>IFERROR(__xludf.DUMMYFUNCTION("""COMPUTED_VALUE"""),67.0)</f>
        <v>67</v>
      </c>
      <c r="E4645" s="9"/>
    </row>
    <row r="4646">
      <c r="A4646" s="10">
        <f>IFERROR(__xludf.DUMMYFUNCTION("""COMPUTED_VALUE"""),86181.0)</f>
        <v>86181</v>
      </c>
      <c r="B4646" s="11">
        <f>IFERROR(__xludf.DUMMYFUNCTION("""COMPUTED_VALUE"""),1.0)</f>
        <v>1</v>
      </c>
      <c r="C4646" s="11">
        <f>IFERROR(__xludf.DUMMYFUNCTION("""COMPUTED_VALUE"""),635.0)</f>
        <v>635</v>
      </c>
      <c r="D4646" s="11">
        <f>IFERROR(__xludf.DUMMYFUNCTION("""COMPUTED_VALUE"""),412.0)</f>
        <v>412</v>
      </c>
      <c r="E4646" s="9"/>
    </row>
    <row r="4647">
      <c r="A4647" s="10">
        <f>IFERROR(__xludf.DUMMYFUNCTION("""COMPUTED_VALUE"""),129474.0)</f>
        <v>129474</v>
      </c>
      <c r="B4647" s="11">
        <f>IFERROR(__xludf.DUMMYFUNCTION("""COMPUTED_VALUE"""),1.0)</f>
        <v>1</v>
      </c>
      <c r="C4647" s="11">
        <f>IFERROR(__xludf.DUMMYFUNCTION("""COMPUTED_VALUE"""),405.0)</f>
        <v>405</v>
      </c>
      <c r="D4647" s="11">
        <f>IFERROR(__xludf.DUMMYFUNCTION("""COMPUTED_VALUE"""),132.0)</f>
        <v>132</v>
      </c>
      <c r="E4647" s="9"/>
    </row>
    <row r="4648">
      <c r="A4648" s="10">
        <f>IFERROR(__xludf.DUMMYFUNCTION("""COMPUTED_VALUE"""),17601.0)</f>
        <v>17601</v>
      </c>
      <c r="B4648" s="11">
        <f>IFERROR(__xludf.DUMMYFUNCTION("""COMPUTED_VALUE"""),1.0)</f>
        <v>1</v>
      </c>
      <c r="C4648" s="11">
        <f>IFERROR(__xludf.DUMMYFUNCTION("""COMPUTED_VALUE"""),915.0)</f>
        <v>915</v>
      </c>
      <c r="D4648" s="11">
        <f>IFERROR(__xludf.DUMMYFUNCTION("""COMPUTED_VALUE"""),246.0)</f>
        <v>246</v>
      </c>
      <c r="E4648" s="9"/>
    </row>
    <row r="4649">
      <c r="A4649" s="10">
        <f>IFERROR(__xludf.DUMMYFUNCTION("""COMPUTED_VALUE"""),78938.0)</f>
        <v>78938</v>
      </c>
      <c r="B4649" s="11">
        <f>IFERROR(__xludf.DUMMYFUNCTION("""COMPUTED_VALUE"""),1.0)</f>
        <v>1</v>
      </c>
      <c r="C4649" s="11">
        <f>IFERROR(__xludf.DUMMYFUNCTION("""COMPUTED_VALUE"""),898.0)</f>
        <v>898</v>
      </c>
      <c r="D4649" s="11">
        <f>IFERROR(__xludf.DUMMYFUNCTION("""COMPUTED_VALUE"""),229.0)</f>
        <v>229</v>
      </c>
      <c r="E4649" s="9"/>
    </row>
    <row r="4650">
      <c r="A4650" s="10">
        <f>IFERROR(__xludf.DUMMYFUNCTION("""COMPUTED_VALUE"""),17609.0)</f>
        <v>17609</v>
      </c>
      <c r="B4650" s="11">
        <f>IFERROR(__xludf.DUMMYFUNCTION("""COMPUTED_VALUE"""),0.0)</f>
        <v>0</v>
      </c>
      <c r="C4650" s="11">
        <f>IFERROR(__xludf.DUMMYFUNCTION("""COMPUTED_VALUE"""),503.0)</f>
        <v>503</v>
      </c>
      <c r="D4650" s="11">
        <f>IFERROR(__xludf.DUMMYFUNCTION("""COMPUTED_VALUE"""),205.0)</f>
        <v>205</v>
      </c>
      <c r="E4650" s="9"/>
    </row>
    <row r="4651">
      <c r="A4651" s="10">
        <f>IFERROR(__xludf.DUMMYFUNCTION("""COMPUTED_VALUE"""),129452.0)</f>
        <v>129452</v>
      </c>
      <c r="B4651" s="11">
        <f>IFERROR(__xludf.DUMMYFUNCTION("""COMPUTED_VALUE"""),1.0)</f>
        <v>1</v>
      </c>
      <c r="C4651" s="11">
        <f>IFERROR(__xludf.DUMMYFUNCTION("""COMPUTED_VALUE"""),855.0)</f>
        <v>855</v>
      </c>
      <c r="D4651" s="11">
        <f>IFERROR(__xludf.DUMMYFUNCTION("""COMPUTED_VALUE"""),207.0)</f>
        <v>207</v>
      </c>
      <c r="E4651" s="9"/>
    </row>
    <row r="4652">
      <c r="A4652" s="10">
        <f>IFERROR(__xludf.DUMMYFUNCTION("""COMPUTED_VALUE"""),88587.0)</f>
        <v>88587</v>
      </c>
      <c r="B4652" s="11">
        <f>IFERROR(__xludf.DUMMYFUNCTION("""COMPUTED_VALUE"""),0.0)</f>
        <v>0</v>
      </c>
      <c r="C4652" s="11">
        <f>IFERROR(__xludf.DUMMYFUNCTION("""COMPUTED_VALUE"""),106.0)</f>
        <v>106</v>
      </c>
      <c r="D4652" s="11">
        <f>IFERROR(__xludf.DUMMYFUNCTION("""COMPUTED_VALUE"""),82.0)</f>
        <v>82</v>
      </c>
      <c r="E4652" s="9"/>
    </row>
    <row r="4653">
      <c r="A4653" s="10">
        <f>IFERROR(__xludf.DUMMYFUNCTION("""COMPUTED_VALUE"""),17645.0)</f>
        <v>17645</v>
      </c>
      <c r="B4653" s="11">
        <f>IFERROR(__xludf.DUMMYFUNCTION("""COMPUTED_VALUE"""),1.0)</f>
        <v>1</v>
      </c>
      <c r="C4653" s="11">
        <f>IFERROR(__xludf.DUMMYFUNCTION("""COMPUTED_VALUE"""),389.0)</f>
        <v>389</v>
      </c>
      <c r="D4653" s="11">
        <f>IFERROR(__xludf.DUMMYFUNCTION("""COMPUTED_VALUE"""),387.0)</f>
        <v>387</v>
      </c>
      <c r="E4653" s="9"/>
    </row>
    <row r="4654">
      <c r="A4654" s="10">
        <f>IFERROR(__xludf.DUMMYFUNCTION("""COMPUTED_VALUE"""),78899.0)</f>
        <v>78899</v>
      </c>
      <c r="B4654" s="11">
        <f>IFERROR(__xludf.DUMMYFUNCTION("""COMPUTED_VALUE"""),1.0)</f>
        <v>1</v>
      </c>
      <c r="C4654" s="11">
        <f>IFERROR(__xludf.DUMMYFUNCTION("""COMPUTED_VALUE"""),109.0)</f>
        <v>109</v>
      </c>
      <c r="D4654" s="11">
        <f>IFERROR(__xludf.DUMMYFUNCTION("""COMPUTED_VALUE"""),39.0)</f>
        <v>39</v>
      </c>
      <c r="E4654" s="9"/>
    </row>
    <row r="4655">
      <c r="A4655" s="10">
        <f>IFERROR(__xludf.DUMMYFUNCTION("""COMPUTED_VALUE"""),71402.0)</f>
        <v>71402</v>
      </c>
      <c r="B4655" s="11">
        <f>IFERROR(__xludf.DUMMYFUNCTION("""COMPUTED_VALUE"""),0.0)</f>
        <v>0</v>
      </c>
      <c r="C4655" s="11">
        <f>IFERROR(__xludf.DUMMYFUNCTION("""COMPUTED_VALUE"""),210.0)</f>
        <v>210</v>
      </c>
      <c r="D4655" s="11">
        <f>IFERROR(__xludf.DUMMYFUNCTION("""COMPUTED_VALUE"""),47.0)</f>
        <v>47</v>
      </c>
      <c r="E4655" s="9"/>
    </row>
    <row r="4656">
      <c r="A4656" s="10">
        <f>IFERROR(__xludf.DUMMYFUNCTION("""COMPUTED_VALUE"""),12875.0)</f>
        <v>12875</v>
      </c>
      <c r="B4656" s="11">
        <f>IFERROR(__xludf.DUMMYFUNCTION("""COMPUTED_VALUE"""),0.0)</f>
        <v>0</v>
      </c>
      <c r="C4656" s="11">
        <f>IFERROR(__xludf.DUMMYFUNCTION("""COMPUTED_VALUE"""),799.0)</f>
        <v>799</v>
      </c>
      <c r="D4656" s="11">
        <f>IFERROR(__xludf.DUMMYFUNCTION("""COMPUTED_VALUE"""),186.0)</f>
        <v>186</v>
      </c>
      <c r="E4656" s="9"/>
    </row>
    <row r="4657">
      <c r="A4657" s="10">
        <f>IFERROR(__xludf.DUMMYFUNCTION("""COMPUTED_VALUE"""),17615.0)</f>
        <v>17615</v>
      </c>
      <c r="B4657" s="11">
        <f>IFERROR(__xludf.DUMMYFUNCTION("""COMPUTED_VALUE"""),0.0)</f>
        <v>0</v>
      </c>
      <c r="C4657" s="11">
        <f>IFERROR(__xludf.DUMMYFUNCTION("""COMPUTED_VALUE"""),541.0)</f>
        <v>541</v>
      </c>
      <c r="D4657" s="11">
        <f>IFERROR(__xludf.DUMMYFUNCTION("""COMPUTED_VALUE"""),263.0)</f>
        <v>263</v>
      </c>
      <c r="E4657" s="9"/>
    </row>
    <row r="4658">
      <c r="A4658" s="10">
        <f>IFERROR(__xludf.DUMMYFUNCTION("""COMPUTED_VALUE"""),193116.0)</f>
        <v>193116</v>
      </c>
      <c r="B4658" s="11">
        <f>IFERROR(__xludf.DUMMYFUNCTION("""COMPUTED_VALUE"""),1.0)</f>
        <v>1</v>
      </c>
      <c r="C4658" s="11">
        <f>IFERROR(__xludf.DUMMYFUNCTION("""COMPUTED_VALUE"""),648.0)</f>
        <v>648</v>
      </c>
      <c r="D4658" s="11">
        <f>IFERROR(__xludf.DUMMYFUNCTION("""COMPUTED_VALUE"""),366.0)</f>
        <v>366</v>
      </c>
      <c r="E4658" s="9"/>
    </row>
    <row r="4659">
      <c r="A4659" s="10">
        <f>IFERROR(__xludf.DUMMYFUNCTION("""COMPUTED_VALUE"""),72577.0)</f>
        <v>72577</v>
      </c>
      <c r="B4659" s="11">
        <f>IFERROR(__xludf.DUMMYFUNCTION("""COMPUTED_VALUE"""),0.0)</f>
        <v>0</v>
      </c>
      <c r="C4659" s="11">
        <f>IFERROR(__xludf.DUMMYFUNCTION("""COMPUTED_VALUE"""),441.0)</f>
        <v>441</v>
      </c>
      <c r="D4659" s="11">
        <f>IFERROR(__xludf.DUMMYFUNCTION("""COMPUTED_VALUE"""),408.0)</f>
        <v>408</v>
      </c>
      <c r="E4659" s="9"/>
    </row>
    <row r="4660">
      <c r="A4660" s="10">
        <f>IFERROR(__xludf.DUMMYFUNCTION("""COMPUTED_VALUE"""),78916.0)</f>
        <v>78916</v>
      </c>
      <c r="B4660" s="11">
        <f>IFERROR(__xludf.DUMMYFUNCTION("""COMPUTED_VALUE"""),0.0)</f>
        <v>0</v>
      </c>
      <c r="C4660" s="11">
        <f>IFERROR(__xludf.DUMMYFUNCTION("""COMPUTED_VALUE"""),94.0)</f>
        <v>94</v>
      </c>
      <c r="D4660" s="11">
        <f>IFERROR(__xludf.DUMMYFUNCTION("""COMPUTED_VALUE"""),63.0)</f>
        <v>63</v>
      </c>
      <c r="E4660" s="9"/>
    </row>
    <row r="4661">
      <c r="A4661" s="10">
        <f>IFERROR(__xludf.DUMMYFUNCTION("""COMPUTED_VALUE"""),71419.0)</f>
        <v>71419</v>
      </c>
      <c r="B4661" s="11">
        <f>IFERROR(__xludf.DUMMYFUNCTION("""COMPUTED_VALUE"""),0.0)</f>
        <v>0</v>
      </c>
      <c r="C4661" s="11">
        <f>IFERROR(__xludf.DUMMYFUNCTION("""COMPUTED_VALUE"""),122.0)</f>
        <v>122</v>
      </c>
      <c r="D4661" s="11">
        <f>IFERROR(__xludf.DUMMYFUNCTION("""COMPUTED_VALUE"""),90.0)</f>
        <v>90</v>
      </c>
      <c r="E4661" s="9"/>
    </row>
    <row r="4662">
      <c r="A4662" s="10">
        <f>IFERROR(__xludf.DUMMYFUNCTION("""COMPUTED_VALUE"""),188223.0)</f>
        <v>188223</v>
      </c>
      <c r="B4662" s="11">
        <f>IFERROR(__xludf.DUMMYFUNCTION("""COMPUTED_VALUE"""),0.0)</f>
        <v>0</v>
      </c>
      <c r="C4662" s="11">
        <f>IFERROR(__xludf.DUMMYFUNCTION("""COMPUTED_VALUE"""),624.0)</f>
        <v>624</v>
      </c>
      <c r="D4662" s="11">
        <f>IFERROR(__xludf.DUMMYFUNCTION("""COMPUTED_VALUE"""),72.0)</f>
        <v>72</v>
      </c>
      <c r="E4662" s="9"/>
    </row>
    <row r="4663">
      <c r="A4663" s="10">
        <f>IFERROR(__xludf.DUMMYFUNCTION("""COMPUTED_VALUE"""),71417.0)</f>
        <v>71417</v>
      </c>
      <c r="B4663" s="11">
        <f>IFERROR(__xludf.DUMMYFUNCTION("""COMPUTED_VALUE"""),1.0)</f>
        <v>1</v>
      </c>
      <c r="C4663" s="11">
        <f>IFERROR(__xludf.DUMMYFUNCTION("""COMPUTED_VALUE"""),297.0)</f>
        <v>297</v>
      </c>
      <c r="D4663" s="11">
        <f>IFERROR(__xludf.DUMMYFUNCTION("""COMPUTED_VALUE"""),286.0)</f>
        <v>286</v>
      </c>
      <c r="E4663" s="9"/>
    </row>
    <row r="4664">
      <c r="A4664" s="10">
        <f>IFERROR(__xludf.DUMMYFUNCTION("""COMPUTED_VALUE"""),46895.0)</f>
        <v>46895</v>
      </c>
      <c r="B4664" s="11">
        <f>IFERROR(__xludf.DUMMYFUNCTION("""COMPUTED_VALUE"""),0.0)</f>
        <v>0</v>
      </c>
      <c r="C4664" s="11">
        <f>IFERROR(__xludf.DUMMYFUNCTION("""COMPUTED_VALUE"""),454.0)</f>
        <v>454</v>
      </c>
      <c r="D4664" s="11">
        <f>IFERROR(__xludf.DUMMYFUNCTION("""COMPUTED_VALUE"""),370.0)</f>
        <v>370</v>
      </c>
      <c r="E4664" s="9"/>
    </row>
    <row r="4665">
      <c r="A4665" s="10">
        <f>IFERROR(__xludf.DUMMYFUNCTION("""COMPUTED_VALUE"""),86157.0)</f>
        <v>86157</v>
      </c>
      <c r="B4665" s="11">
        <f>IFERROR(__xludf.DUMMYFUNCTION("""COMPUTED_VALUE"""),1.0)</f>
        <v>1</v>
      </c>
      <c r="C4665" s="11">
        <f>IFERROR(__xludf.DUMMYFUNCTION("""COMPUTED_VALUE"""),116.0)</f>
        <v>116</v>
      </c>
      <c r="D4665" s="11">
        <f>IFERROR(__xludf.DUMMYFUNCTION("""COMPUTED_VALUE"""),40.0)</f>
        <v>40</v>
      </c>
      <c r="E4665" s="9"/>
    </row>
    <row r="4666">
      <c r="A4666" s="10">
        <f>IFERROR(__xludf.DUMMYFUNCTION("""COMPUTED_VALUE"""),159110.0)</f>
        <v>159110</v>
      </c>
      <c r="B4666" s="11">
        <f>IFERROR(__xludf.DUMMYFUNCTION("""COMPUTED_VALUE"""),1.0)</f>
        <v>1</v>
      </c>
      <c r="C4666" s="11">
        <f>IFERROR(__xludf.DUMMYFUNCTION("""COMPUTED_VALUE"""),351.0)</f>
        <v>351</v>
      </c>
      <c r="D4666" s="11">
        <f>IFERROR(__xludf.DUMMYFUNCTION("""COMPUTED_VALUE"""),341.0)</f>
        <v>341</v>
      </c>
      <c r="E4666" s="9"/>
    </row>
    <row r="4667">
      <c r="A4667" s="10">
        <f>IFERROR(__xludf.DUMMYFUNCTION("""COMPUTED_VALUE"""),46913.0)</f>
        <v>46913</v>
      </c>
      <c r="B4667" s="11">
        <f>IFERROR(__xludf.DUMMYFUNCTION("""COMPUTED_VALUE"""),0.0)</f>
        <v>0</v>
      </c>
      <c r="C4667" s="11">
        <f>IFERROR(__xludf.DUMMYFUNCTION("""COMPUTED_VALUE"""),583.0)</f>
        <v>583</v>
      </c>
      <c r="D4667" s="11">
        <f>IFERROR(__xludf.DUMMYFUNCTION("""COMPUTED_VALUE"""),78.0)</f>
        <v>78</v>
      </c>
      <c r="E4667" s="9"/>
    </row>
    <row r="4668">
      <c r="A4668" s="10">
        <f>IFERROR(__xludf.DUMMYFUNCTION("""COMPUTED_VALUE"""),71400.0)</f>
        <v>71400</v>
      </c>
      <c r="B4668" s="11">
        <f>IFERROR(__xludf.DUMMYFUNCTION("""COMPUTED_VALUE"""),1.0)</f>
        <v>1</v>
      </c>
      <c r="C4668" s="11">
        <f>IFERROR(__xludf.DUMMYFUNCTION("""COMPUTED_VALUE"""),203.0)</f>
        <v>203</v>
      </c>
      <c r="D4668" s="11">
        <f>IFERROR(__xludf.DUMMYFUNCTION("""COMPUTED_VALUE"""),90.0)</f>
        <v>90</v>
      </c>
      <c r="E4668" s="9"/>
    </row>
    <row r="4669">
      <c r="A4669" s="10">
        <f>IFERROR(__xludf.DUMMYFUNCTION("""COMPUTED_VALUE"""),46914.0)</f>
        <v>46914</v>
      </c>
      <c r="B4669" s="11">
        <f>IFERROR(__xludf.DUMMYFUNCTION("""COMPUTED_VALUE"""),0.0)</f>
        <v>0</v>
      </c>
      <c r="C4669" s="11">
        <f>IFERROR(__xludf.DUMMYFUNCTION("""COMPUTED_VALUE"""),186.0)</f>
        <v>186</v>
      </c>
      <c r="D4669" s="11">
        <f>IFERROR(__xludf.DUMMYFUNCTION("""COMPUTED_VALUE"""),98.0)</f>
        <v>98</v>
      </c>
      <c r="E4669" s="9"/>
    </row>
    <row r="4670">
      <c r="A4670" s="10">
        <f>IFERROR(__xludf.DUMMYFUNCTION("""COMPUTED_VALUE"""),120300.0)</f>
        <v>120300</v>
      </c>
      <c r="B4670" s="11">
        <f>IFERROR(__xludf.DUMMYFUNCTION("""COMPUTED_VALUE"""),0.0)</f>
        <v>0</v>
      </c>
      <c r="C4670" s="11">
        <f>IFERROR(__xludf.DUMMYFUNCTION("""COMPUTED_VALUE"""),309.0)</f>
        <v>309</v>
      </c>
      <c r="D4670" s="11">
        <f>IFERROR(__xludf.DUMMYFUNCTION("""COMPUTED_VALUE"""),271.0)</f>
        <v>271</v>
      </c>
      <c r="E4670" s="9"/>
    </row>
    <row r="4671">
      <c r="A4671" s="10">
        <f>IFERROR(__xludf.DUMMYFUNCTION("""COMPUTED_VALUE"""),71412.0)</f>
        <v>71412</v>
      </c>
      <c r="B4671" s="11">
        <f>IFERROR(__xludf.DUMMYFUNCTION("""COMPUTED_VALUE"""),1.0)</f>
        <v>1</v>
      </c>
      <c r="C4671" s="11">
        <f>IFERROR(__xludf.DUMMYFUNCTION("""COMPUTED_VALUE"""),742.0)</f>
        <v>742</v>
      </c>
      <c r="D4671" s="11">
        <f>IFERROR(__xludf.DUMMYFUNCTION("""COMPUTED_VALUE"""),439.0)</f>
        <v>439</v>
      </c>
      <c r="E4671" s="9"/>
    </row>
    <row r="4672">
      <c r="A4672" s="10">
        <f>IFERROR(__xludf.DUMMYFUNCTION("""COMPUTED_VALUE"""),71415.0)</f>
        <v>71415</v>
      </c>
      <c r="B4672" s="11">
        <f>IFERROR(__xludf.DUMMYFUNCTION("""COMPUTED_VALUE"""),0.0)</f>
        <v>0</v>
      </c>
      <c r="C4672" s="11">
        <f>IFERROR(__xludf.DUMMYFUNCTION("""COMPUTED_VALUE"""),752.0)</f>
        <v>752</v>
      </c>
      <c r="D4672" s="11">
        <f>IFERROR(__xludf.DUMMYFUNCTION("""COMPUTED_VALUE"""),262.0)</f>
        <v>262</v>
      </c>
      <c r="E4672" s="9"/>
    </row>
    <row r="4673">
      <c r="A4673" s="10">
        <f>IFERROR(__xludf.DUMMYFUNCTION("""COMPUTED_VALUE"""),71414.0)</f>
        <v>71414</v>
      </c>
      <c r="B4673" s="11">
        <f>IFERROR(__xludf.DUMMYFUNCTION("""COMPUTED_VALUE"""),0.0)</f>
        <v>0</v>
      </c>
      <c r="C4673" s="11">
        <f>IFERROR(__xludf.DUMMYFUNCTION("""COMPUTED_VALUE"""),183.0)</f>
        <v>183</v>
      </c>
      <c r="D4673" s="11">
        <f>IFERROR(__xludf.DUMMYFUNCTION("""COMPUTED_VALUE"""),105.0)</f>
        <v>105</v>
      </c>
      <c r="E4673" s="9"/>
    </row>
    <row r="4674">
      <c r="A4674" s="10">
        <f>IFERROR(__xludf.DUMMYFUNCTION("""COMPUTED_VALUE"""),10336.0)</f>
        <v>10336</v>
      </c>
      <c r="B4674" s="11">
        <f>IFERROR(__xludf.DUMMYFUNCTION("""COMPUTED_VALUE"""),0.0)</f>
        <v>0</v>
      </c>
      <c r="C4674" s="11">
        <f>IFERROR(__xludf.DUMMYFUNCTION("""COMPUTED_VALUE"""),281.0)</f>
        <v>281</v>
      </c>
      <c r="D4674" s="11">
        <f>IFERROR(__xludf.DUMMYFUNCTION("""COMPUTED_VALUE"""),37.0)</f>
        <v>37</v>
      </c>
      <c r="E4674" s="9"/>
    </row>
    <row r="4675">
      <c r="A4675" s="10">
        <f>IFERROR(__xludf.DUMMYFUNCTION("""COMPUTED_VALUE"""),125173.0)</f>
        <v>125173</v>
      </c>
      <c r="B4675" s="11">
        <f>IFERROR(__xludf.DUMMYFUNCTION("""COMPUTED_VALUE"""),0.0)</f>
        <v>0</v>
      </c>
      <c r="C4675" s="11">
        <f>IFERROR(__xludf.DUMMYFUNCTION("""COMPUTED_VALUE"""),258.0)</f>
        <v>258</v>
      </c>
      <c r="D4675" s="11">
        <f>IFERROR(__xludf.DUMMYFUNCTION("""COMPUTED_VALUE"""),135.0)</f>
        <v>135</v>
      </c>
      <c r="E4675" s="9"/>
    </row>
    <row r="4676">
      <c r="A4676" s="10">
        <f>IFERROR(__xludf.DUMMYFUNCTION("""COMPUTED_VALUE"""),112994.0)</f>
        <v>112994</v>
      </c>
      <c r="B4676" s="11">
        <f>IFERROR(__xludf.DUMMYFUNCTION("""COMPUTED_VALUE"""),0.0)</f>
        <v>0</v>
      </c>
      <c r="C4676" s="11">
        <f>IFERROR(__xludf.DUMMYFUNCTION("""COMPUTED_VALUE"""),64.0)</f>
        <v>64</v>
      </c>
      <c r="D4676" s="11">
        <f>IFERROR(__xludf.DUMMYFUNCTION("""COMPUTED_VALUE"""),14.0)</f>
        <v>14</v>
      </c>
      <c r="E4676" s="9"/>
    </row>
    <row r="4677">
      <c r="A4677" s="10">
        <f>IFERROR(__xludf.DUMMYFUNCTION("""COMPUTED_VALUE"""),125182.0)</f>
        <v>125182</v>
      </c>
      <c r="B4677" s="11">
        <f>IFERROR(__xludf.DUMMYFUNCTION("""COMPUTED_VALUE"""),1.0)</f>
        <v>1</v>
      </c>
      <c r="C4677" s="11">
        <f>IFERROR(__xludf.DUMMYFUNCTION("""COMPUTED_VALUE"""),886.0)</f>
        <v>886</v>
      </c>
      <c r="D4677" s="11">
        <f>IFERROR(__xludf.DUMMYFUNCTION("""COMPUTED_VALUE"""),858.0)</f>
        <v>858</v>
      </c>
      <c r="E4677" s="9"/>
    </row>
    <row r="4678">
      <c r="A4678" s="10">
        <f>IFERROR(__xludf.DUMMYFUNCTION("""COMPUTED_VALUE"""),121112.0)</f>
        <v>121112</v>
      </c>
      <c r="B4678" s="11">
        <f>IFERROR(__xludf.DUMMYFUNCTION("""COMPUTED_VALUE"""),1.0)</f>
        <v>1</v>
      </c>
      <c r="C4678" s="11">
        <f>IFERROR(__xludf.DUMMYFUNCTION("""COMPUTED_VALUE"""),795.0)</f>
        <v>795</v>
      </c>
      <c r="D4678" s="11">
        <f>IFERROR(__xludf.DUMMYFUNCTION("""COMPUTED_VALUE"""),124.0)</f>
        <v>124</v>
      </c>
      <c r="E4678" s="9"/>
    </row>
    <row r="4679">
      <c r="A4679" s="10">
        <f>IFERROR(__xludf.DUMMYFUNCTION("""COMPUTED_VALUE"""),125172.0)</f>
        <v>125172</v>
      </c>
      <c r="B4679" s="11">
        <f>IFERROR(__xludf.DUMMYFUNCTION("""COMPUTED_VALUE"""),0.0)</f>
        <v>0</v>
      </c>
      <c r="C4679" s="11">
        <f>IFERROR(__xludf.DUMMYFUNCTION("""COMPUTED_VALUE"""),185.0)</f>
        <v>185</v>
      </c>
      <c r="D4679" s="11">
        <f>IFERROR(__xludf.DUMMYFUNCTION("""COMPUTED_VALUE"""),172.0)</f>
        <v>172</v>
      </c>
      <c r="E4679" s="9"/>
    </row>
    <row r="4680">
      <c r="A4680" s="10">
        <f>IFERROR(__xludf.DUMMYFUNCTION("""COMPUTED_VALUE"""),125196.0)</f>
        <v>125196</v>
      </c>
      <c r="B4680" s="11">
        <f>IFERROR(__xludf.DUMMYFUNCTION("""COMPUTED_VALUE"""),0.0)</f>
        <v>0</v>
      </c>
      <c r="C4680" s="11">
        <f>IFERROR(__xludf.DUMMYFUNCTION("""COMPUTED_VALUE"""),373.0)</f>
        <v>373</v>
      </c>
      <c r="D4680" s="11">
        <f>IFERROR(__xludf.DUMMYFUNCTION("""COMPUTED_VALUE"""),144.0)</f>
        <v>144</v>
      </c>
      <c r="E4680" s="9"/>
    </row>
    <row r="4681">
      <c r="A4681" s="10">
        <f>IFERROR(__xludf.DUMMYFUNCTION("""COMPUTED_VALUE"""),125192.0)</f>
        <v>125192</v>
      </c>
      <c r="B4681" s="11">
        <f>IFERROR(__xludf.DUMMYFUNCTION("""COMPUTED_VALUE"""),1.0)</f>
        <v>1</v>
      </c>
      <c r="C4681" s="11">
        <f>IFERROR(__xludf.DUMMYFUNCTION("""COMPUTED_VALUE"""),853.0)</f>
        <v>853</v>
      </c>
      <c r="D4681" s="11">
        <f>IFERROR(__xludf.DUMMYFUNCTION("""COMPUTED_VALUE"""),553.0)</f>
        <v>553</v>
      </c>
      <c r="E4681" s="9"/>
    </row>
    <row r="4682">
      <c r="A4682" s="10">
        <f>IFERROR(__xludf.DUMMYFUNCTION("""COMPUTED_VALUE"""),125194.0)</f>
        <v>125194</v>
      </c>
      <c r="B4682" s="11">
        <f>IFERROR(__xludf.DUMMYFUNCTION("""COMPUTED_VALUE"""),0.0)</f>
        <v>0</v>
      </c>
      <c r="C4682" s="11">
        <f>IFERROR(__xludf.DUMMYFUNCTION("""COMPUTED_VALUE"""),632.0)</f>
        <v>632</v>
      </c>
      <c r="D4682" s="11">
        <f>IFERROR(__xludf.DUMMYFUNCTION("""COMPUTED_VALUE"""),168.0)</f>
        <v>168</v>
      </c>
      <c r="E4682" s="9"/>
    </row>
    <row r="4683">
      <c r="A4683" s="10">
        <f>IFERROR(__xludf.DUMMYFUNCTION("""COMPUTED_VALUE"""),125198.0)</f>
        <v>125198</v>
      </c>
      <c r="B4683" s="11">
        <f>IFERROR(__xludf.DUMMYFUNCTION("""COMPUTED_VALUE"""),1.0)</f>
        <v>1</v>
      </c>
      <c r="C4683" s="11">
        <f>IFERROR(__xludf.DUMMYFUNCTION("""COMPUTED_VALUE"""),407.0)</f>
        <v>407</v>
      </c>
      <c r="D4683" s="11">
        <f>IFERROR(__xludf.DUMMYFUNCTION("""COMPUTED_VALUE"""),129.0)</f>
        <v>129</v>
      </c>
      <c r="E4683" s="9"/>
    </row>
    <row r="4684">
      <c r="A4684" s="10">
        <f>IFERROR(__xludf.DUMMYFUNCTION("""COMPUTED_VALUE"""),111220.0)</f>
        <v>111220</v>
      </c>
      <c r="B4684" s="11">
        <f>IFERROR(__xludf.DUMMYFUNCTION("""COMPUTED_VALUE"""),0.0)</f>
        <v>0</v>
      </c>
      <c r="C4684" s="11">
        <f>IFERROR(__xludf.DUMMYFUNCTION("""COMPUTED_VALUE"""),169.0)</f>
        <v>169</v>
      </c>
      <c r="D4684" s="11">
        <f>IFERROR(__xludf.DUMMYFUNCTION("""COMPUTED_VALUE"""),37.0)</f>
        <v>37</v>
      </c>
      <c r="E4684" s="9"/>
    </row>
    <row r="4685">
      <c r="A4685" s="10">
        <f>IFERROR(__xludf.DUMMYFUNCTION("""COMPUTED_VALUE"""),105969.0)</f>
        <v>105969</v>
      </c>
      <c r="B4685" s="11">
        <f>IFERROR(__xludf.DUMMYFUNCTION("""COMPUTED_VALUE"""),1.0)</f>
        <v>1</v>
      </c>
      <c r="C4685" s="11">
        <f>IFERROR(__xludf.DUMMYFUNCTION("""COMPUTED_VALUE"""),120.0)</f>
        <v>120</v>
      </c>
      <c r="D4685" s="11">
        <f>IFERROR(__xludf.DUMMYFUNCTION("""COMPUTED_VALUE"""),48.0)</f>
        <v>48</v>
      </c>
      <c r="E4685" s="9"/>
    </row>
    <row r="4686">
      <c r="A4686" s="10">
        <f>IFERROR(__xludf.DUMMYFUNCTION("""COMPUTED_VALUE"""),105981.0)</f>
        <v>105981</v>
      </c>
      <c r="B4686" s="11">
        <f>IFERROR(__xludf.DUMMYFUNCTION("""COMPUTED_VALUE"""),0.0)</f>
        <v>0</v>
      </c>
      <c r="C4686" s="11">
        <f>IFERROR(__xludf.DUMMYFUNCTION("""COMPUTED_VALUE"""),653.0)</f>
        <v>653</v>
      </c>
      <c r="D4686" s="11">
        <f>IFERROR(__xludf.DUMMYFUNCTION("""COMPUTED_VALUE"""),55.0)</f>
        <v>55</v>
      </c>
      <c r="E4686" s="9"/>
    </row>
    <row r="4687">
      <c r="A4687" s="10">
        <f>IFERROR(__xludf.DUMMYFUNCTION("""COMPUTED_VALUE"""),125185.0)</f>
        <v>125185</v>
      </c>
      <c r="B4687" s="11">
        <f>IFERROR(__xludf.DUMMYFUNCTION("""COMPUTED_VALUE"""),1.0)</f>
        <v>1</v>
      </c>
      <c r="C4687" s="11">
        <f>IFERROR(__xludf.DUMMYFUNCTION("""COMPUTED_VALUE"""),200.0)</f>
        <v>200</v>
      </c>
      <c r="D4687" s="11">
        <f>IFERROR(__xludf.DUMMYFUNCTION("""COMPUTED_VALUE"""),145.0)</f>
        <v>145</v>
      </c>
      <c r="E4687" s="9"/>
    </row>
    <row r="4688">
      <c r="A4688" s="10">
        <f>IFERROR(__xludf.DUMMYFUNCTION("""COMPUTED_VALUE"""),111605.0)</f>
        <v>111605</v>
      </c>
      <c r="B4688" s="11">
        <f>IFERROR(__xludf.DUMMYFUNCTION("""COMPUTED_VALUE"""),0.0)</f>
        <v>0</v>
      </c>
      <c r="C4688" s="11">
        <f>IFERROR(__xludf.DUMMYFUNCTION("""COMPUTED_VALUE"""),227.0)</f>
        <v>227</v>
      </c>
      <c r="D4688" s="11">
        <f>IFERROR(__xludf.DUMMYFUNCTION("""COMPUTED_VALUE"""),192.0)</f>
        <v>192</v>
      </c>
      <c r="E4688" s="9"/>
    </row>
    <row r="4689">
      <c r="A4689" s="10">
        <f>IFERROR(__xludf.DUMMYFUNCTION("""COMPUTED_VALUE"""),111608.0)</f>
        <v>111608</v>
      </c>
      <c r="B4689" s="11">
        <f>IFERROR(__xludf.DUMMYFUNCTION("""COMPUTED_VALUE"""),1.0)</f>
        <v>1</v>
      </c>
      <c r="C4689" s="11">
        <f>IFERROR(__xludf.DUMMYFUNCTION("""COMPUTED_VALUE"""),447.0)</f>
        <v>447</v>
      </c>
      <c r="D4689" s="11">
        <f>IFERROR(__xludf.DUMMYFUNCTION("""COMPUTED_VALUE"""),37.0)</f>
        <v>37</v>
      </c>
      <c r="E4689" s="9"/>
    </row>
    <row r="4690">
      <c r="A4690" s="10">
        <f>IFERROR(__xludf.DUMMYFUNCTION("""COMPUTED_VALUE"""),97023.0)</f>
        <v>97023</v>
      </c>
      <c r="B4690" s="11">
        <f>IFERROR(__xludf.DUMMYFUNCTION("""COMPUTED_VALUE"""),1.0)</f>
        <v>1</v>
      </c>
      <c r="C4690" s="11">
        <f>IFERROR(__xludf.DUMMYFUNCTION("""COMPUTED_VALUE"""),77.0)</f>
        <v>77</v>
      </c>
      <c r="D4690" s="11">
        <f>IFERROR(__xludf.DUMMYFUNCTION("""COMPUTED_VALUE"""),10.0)</f>
        <v>10</v>
      </c>
      <c r="E4690" s="9"/>
    </row>
    <row r="4691">
      <c r="A4691" s="10">
        <f>IFERROR(__xludf.DUMMYFUNCTION("""COMPUTED_VALUE"""),111607.0)</f>
        <v>111607</v>
      </c>
      <c r="B4691" s="11">
        <f>IFERROR(__xludf.DUMMYFUNCTION("""COMPUTED_VALUE"""),1.0)</f>
        <v>1</v>
      </c>
      <c r="C4691" s="11">
        <f>IFERROR(__xludf.DUMMYFUNCTION("""COMPUTED_VALUE"""),39.0)</f>
        <v>39</v>
      </c>
      <c r="D4691" s="11">
        <f>IFERROR(__xludf.DUMMYFUNCTION("""COMPUTED_VALUE"""),30.0)</f>
        <v>30</v>
      </c>
      <c r="E4691" s="9"/>
    </row>
    <row r="4692">
      <c r="A4692" s="10">
        <f>IFERROR(__xludf.DUMMYFUNCTION("""COMPUTED_VALUE"""),71083.0)</f>
        <v>71083</v>
      </c>
      <c r="B4692" s="11">
        <f>IFERROR(__xludf.DUMMYFUNCTION("""COMPUTED_VALUE"""),1.0)</f>
        <v>1</v>
      </c>
      <c r="C4692" s="11">
        <f>IFERROR(__xludf.DUMMYFUNCTION("""COMPUTED_VALUE"""),671.0)</f>
        <v>671</v>
      </c>
      <c r="D4692" s="11">
        <f>IFERROR(__xludf.DUMMYFUNCTION("""COMPUTED_VALUE"""),252.0)</f>
        <v>252</v>
      </c>
      <c r="E4692" s="9"/>
    </row>
    <row r="4693">
      <c r="A4693" s="10">
        <f>IFERROR(__xludf.DUMMYFUNCTION("""COMPUTED_VALUE"""),118178.0)</f>
        <v>118178</v>
      </c>
      <c r="B4693" s="11">
        <f>IFERROR(__xludf.DUMMYFUNCTION("""COMPUTED_VALUE"""),0.0)</f>
        <v>0</v>
      </c>
      <c r="C4693" s="11">
        <f>IFERROR(__xludf.DUMMYFUNCTION("""COMPUTED_VALUE"""),620.0)</f>
        <v>620</v>
      </c>
      <c r="D4693" s="11">
        <f>IFERROR(__xludf.DUMMYFUNCTION("""COMPUTED_VALUE"""),0.0)</f>
        <v>0</v>
      </c>
      <c r="E4693" s="9"/>
    </row>
    <row r="4694">
      <c r="A4694" s="10">
        <f>IFERROR(__xludf.DUMMYFUNCTION("""COMPUTED_VALUE"""),81767.0)</f>
        <v>81767</v>
      </c>
      <c r="B4694" s="11">
        <f>IFERROR(__xludf.DUMMYFUNCTION("""COMPUTED_VALUE"""),0.0)</f>
        <v>0</v>
      </c>
      <c r="C4694" s="11">
        <f>IFERROR(__xludf.DUMMYFUNCTION("""COMPUTED_VALUE"""),863.0)</f>
        <v>863</v>
      </c>
      <c r="D4694" s="11">
        <f>IFERROR(__xludf.DUMMYFUNCTION("""COMPUTED_VALUE"""),131.0)</f>
        <v>131</v>
      </c>
      <c r="E4694" s="9"/>
    </row>
    <row r="4695">
      <c r="A4695" s="10">
        <f>IFERROR(__xludf.DUMMYFUNCTION("""COMPUTED_VALUE"""),118186.0)</f>
        <v>118186</v>
      </c>
      <c r="B4695" s="11">
        <f>IFERROR(__xludf.DUMMYFUNCTION("""COMPUTED_VALUE"""),0.0)</f>
        <v>0</v>
      </c>
      <c r="C4695" s="11">
        <f>IFERROR(__xludf.DUMMYFUNCTION("""COMPUTED_VALUE"""),619.0)</f>
        <v>619</v>
      </c>
      <c r="D4695" s="11">
        <f>IFERROR(__xludf.DUMMYFUNCTION("""COMPUTED_VALUE"""),298.0)</f>
        <v>298</v>
      </c>
      <c r="E4695" s="9"/>
    </row>
    <row r="4696">
      <c r="A4696" s="10">
        <f>IFERROR(__xludf.DUMMYFUNCTION("""COMPUTED_VALUE"""),43228.0)</f>
        <v>43228</v>
      </c>
      <c r="B4696" s="11">
        <f>IFERROR(__xludf.DUMMYFUNCTION("""COMPUTED_VALUE"""),1.0)</f>
        <v>1</v>
      </c>
      <c r="C4696" s="11">
        <f>IFERROR(__xludf.DUMMYFUNCTION("""COMPUTED_VALUE"""),650.0)</f>
        <v>650</v>
      </c>
      <c r="D4696" s="11">
        <f>IFERROR(__xludf.DUMMYFUNCTION("""COMPUTED_VALUE"""),244.0)</f>
        <v>244</v>
      </c>
      <c r="E4696" s="9"/>
    </row>
    <row r="4697">
      <c r="A4697" s="10">
        <f>IFERROR(__xludf.DUMMYFUNCTION("""COMPUTED_VALUE"""),199268.0)</f>
        <v>199268</v>
      </c>
      <c r="B4697" s="11">
        <f>IFERROR(__xludf.DUMMYFUNCTION("""COMPUTED_VALUE"""),1.0)</f>
        <v>1</v>
      </c>
      <c r="C4697" s="11">
        <f>IFERROR(__xludf.DUMMYFUNCTION("""COMPUTED_VALUE"""),365.0)</f>
        <v>365</v>
      </c>
      <c r="D4697" s="11">
        <f>IFERROR(__xludf.DUMMYFUNCTION("""COMPUTED_VALUE"""),291.0)</f>
        <v>291</v>
      </c>
      <c r="E4697" s="9"/>
    </row>
    <row r="4698">
      <c r="A4698" s="10">
        <f>IFERROR(__xludf.DUMMYFUNCTION("""COMPUTED_VALUE"""),118196.0)</f>
        <v>118196</v>
      </c>
      <c r="B4698" s="11">
        <f>IFERROR(__xludf.DUMMYFUNCTION("""COMPUTED_VALUE"""),0.0)</f>
        <v>0</v>
      </c>
      <c r="C4698" s="11">
        <f>IFERROR(__xludf.DUMMYFUNCTION("""COMPUTED_VALUE"""),312.0)</f>
        <v>312</v>
      </c>
      <c r="D4698" s="11">
        <f>IFERROR(__xludf.DUMMYFUNCTION("""COMPUTED_VALUE"""),143.0)</f>
        <v>143</v>
      </c>
      <c r="E4698" s="9"/>
    </row>
    <row r="4699">
      <c r="A4699" s="10">
        <f>IFERROR(__xludf.DUMMYFUNCTION("""COMPUTED_VALUE"""),71084.0)</f>
        <v>71084</v>
      </c>
      <c r="B4699" s="11">
        <f>IFERROR(__xludf.DUMMYFUNCTION("""COMPUTED_VALUE"""),1.0)</f>
        <v>1</v>
      </c>
      <c r="C4699" s="11">
        <f>IFERROR(__xludf.DUMMYFUNCTION("""COMPUTED_VALUE"""),897.0)</f>
        <v>897</v>
      </c>
      <c r="D4699" s="11">
        <f>IFERROR(__xludf.DUMMYFUNCTION("""COMPUTED_VALUE"""),250.0)</f>
        <v>250</v>
      </c>
      <c r="E4699" s="9"/>
    </row>
    <row r="4700">
      <c r="A4700" s="10">
        <f>IFERROR(__xludf.DUMMYFUNCTION("""COMPUTED_VALUE"""),120587.0)</f>
        <v>120587</v>
      </c>
      <c r="B4700" s="11">
        <f>IFERROR(__xludf.DUMMYFUNCTION("""COMPUTED_VALUE"""),1.0)</f>
        <v>1</v>
      </c>
      <c r="C4700" s="11">
        <f>IFERROR(__xludf.DUMMYFUNCTION("""COMPUTED_VALUE"""),898.0)</f>
        <v>898</v>
      </c>
      <c r="D4700" s="11">
        <f>IFERROR(__xludf.DUMMYFUNCTION("""COMPUTED_VALUE"""),832.0)</f>
        <v>832</v>
      </c>
      <c r="E4700" s="9"/>
    </row>
    <row r="4701">
      <c r="A4701" s="10">
        <f>IFERROR(__xludf.DUMMYFUNCTION("""COMPUTED_VALUE"""),80952.0)</f>
        <v>80952</v>
      </c>
      <c r="B4701" s="11">
        <f>IFERROR(__xludf.DUMMYFUNCTION("""COMPUTED_VALUE"""),0.0)</f>
        <v>0</v>
      </c>
      <c r="C4701" s="11">
        <f>IFERROR(__xludf.DUMMYFUNCTION("""COMPUTED_VALUE"""),706.0)</f>
        <v>706</v>
      </c>
      <c r="D4701" s="11">
        <f>IFERROR(__xludf.DUMMYFUNCTION("""COMPUTED_VALUE"""),180.0)</f>
        <v>180</v>
      </c>
      <c r="E4701" s="9"/>
    </row>
    <row r="4702">
      <c r="A4702" s="10">
        <f>IFERROR(__xludf.DUMMYFUNCTION("""COMPUTED_VALUE"""),120575.0)</f>
        <v>120575</v>
      </c>
      <c r="B4702" s="11">
        <f>IFERROR(__xludf.DUMMYFUNCTION("""COMPUTED_VALUE"""),0.0)</f>
        <v>0</v>
      </c>
      <c r="C4702" s="11">
        <f>IFERROR(__xludf.DUMMYFUNCTION("""COMPUTED_VALUE"""),422.0)</f>
        <v>422</v>
      </c>
      <c r="D4702" s="11">
        <f>IFERROR(__xludf.DUMMYFUNCTION("""COMPUTED_VALUE"""),279.0)</f>
        <v>279</v>
      </c>
      <c r="E4702" s="9"/>
    </row>
    <row r="4703">
      <c r="A4703" s="10">
        <f>IFERROR(__xludf.DUMMYFUNCTION("""COMPUTED_VALUE"""),43244.0)</f>
        <v>43244</v>
      </c>
      <c r="B4703" s="11">
        <f>IFERROR(__xludf.DUMMYFUNCTION("""COMPUTED_VALUE"""),1.0)</f>
        <v>1</v>
      </c>
      <c r="C4703" s="11">
        <f>IFERROR(__xludf.DUMMYFUNCTION("""COMPUTED_VALUE"""),765.0)</f>
        <v>765</v>
      </c>
      <c r="D4703" s="11">
        <f>IFERROR(__xludf.DUMMYFUNCTION("""COMPUTED_VALUE"""),528.0)</f>
        <v>528</v>
      </c>
      <c r="E4703" s="9"/>
    </row>
    <row r="4704">
      <c r="A4704" s="10">
        <f>IFERROR(__xludf.DUMMYFUNCTION("""COMPUTED_VALUE"""),116477.0)</f>
        <v>116477</v>
      </c>
      <c r="B4704" s="11">
        <f>IFERROR(__xludf.DUMMYFUNCTION("""COMPUTED_VALUE"""),1.0)</f>
        <v>1</v>
      </c>
      <c r="C4704" s="11">
        <f>IFERROR(__xludf.DUMMYFUNCTION("""COMPUTED_VALUE"""),212.0)</f>
        <v>212</v>
      </c>
      <c r="D4704" s="11">
        <f>IFERROR(__xludf.DUMMYFUNCTION("""COMPUTED_VALUE"""),158.0)</f>
        <v>158</v>
      </c>
      <c r="E4704" s="9"/>
    </row>
    <row r="4705">
      <c r="A4705" s="10">
        <f>IFERROR(__xludf.DUMMYFUNCTION("""COMPUTED_VALUE"""),110480.0)</f>
        <v>110480</v>
      </c>
      <c r="B4705" s="11">
        <f>IFERROR(__xludf.DUMMYFUNCTION("""COMPUTED_VALUE"""),0.0)</f>
        <v>0</v>
      </c>
      <c r="C4705" s="11">
        <f>IFERROR(__xludf.DUMMYFUNCTION("""COMPUTED_VALUE"""),550.0)</f>
        <v>550</v>
      </c>
      <c r="D4705" s="11">
        <f>IFERROR(__xludf.DUMMYFUNCTION("""COMPUTED_VALUE"""),422.0)</f>
        <v>422</v>
      </c>
      <c r="E4705" s="9"/>
    </row>
    <row r="4706">
      <c r="A4706" s="10">
        <f>IFERROR(__xludf.DUMMYFUNCTION("""COMPUTED_VALUE"""),87548.0)</f>
        <v>87548</v>
      </c>
      <c r="B4706" s="11">
        <f>IFERROR(__xludf.DUMMYFUNCTION("""COMPUTED_VALUE"""),1.0)</f>
        <v>1</v>
      </c>
      <c r="C4706" s="11">
        <f>IFERROR(__xludf.DUMMYFUNCTION("""COMPUTED_VALUE"""),827.0)</f>
        <v>827</v>
      </c>
      <c r="D4706" s="11">
        <f>IFERROR(__xludf.DUMMYFUNCTION("""COMPUTED_VALUE"""),380.0)</f>
        <v>380</v>
      </c>
      <c r="E4706" s="9"/>
    </row>
    <row r="4707">
      <c r="A4707" s="10">
        <f>IFERROR(__xludf.DUMMYFUNCTION("""COMPUTED_VALUE"""),77223.0)</f>
        <v>77223</v>
      </c>
      <c r="B4707" s="11">
        <f>IFERROR(__xludf.DUMMYFUNCTION("""COMPUTED_VALUE"""),1.0)</f>
        <v>1</v>
      </c>
      <c r="C4707" s="11">
        <f>IFERROR(__xludf.DUMMYFUNCTION("""COMPUTED_VALUE"""),941.0)</f>
        <v>941</v>
      </c>
      <c r="D4707" s="11">
        <f>IFERROR(__xludf.DUMMYFUNCTION("""COMPUTED_VALUE"""),485.0)</f>
        <v>485</v>
      </c>
      <c r="E4707" s="9"/>
    </row>
    <row r="4708">
      <c r="A4708" s="10">
        <f>IFERROR(__xludf.DUMMYFUNCTION("""COMPUTED_VALUE"""),43241.0)</f>
        <v>43241</v>
      </c>
      <c r="B4708" s="11">
        <f>IFERROR(__xludf.DUMMYFUNCTION("""COMPUTED_VALUE"""),1.0)</f>
        <v>1</v>
      </c>
      <c r="C4708" s="11">
        <f>IFERROR(__xludf.DUMMYFUNCTION("""COMPUTED_VALUE"""),221.0)</f>
        <v>221</v>
      </c>
      <c r="D4708" s="11">
        <f>IFERROR(__xludf.DUMMYFUNCTION("""COMPUTED_VALUE"""),79.0)</f>
        <v>79</v>
      </c>
      <c r="E4708" s="9"/>
    </row>
    <row r="4709">
      <c r="A4709" s="10">
        <f>IFERROR(__xludf.DUMMYFUNCTION("""COMPUTED_VALUE"""),71161.0)</f>
        <v>71161</v>
      </c>
      <c r="B4709" s="11">
        <f>IFERROR(__xludf.DUMMYFUNCTION("""COMPUTED_VALUE"""),1.0)</f>
        <v>1</v>
      </c>
      <c r="C4709" s="11">
        <f>IFERROR(__xludf.DUMMYFUNCTION("""COMPUTED_VALUE"""),643.0)</f>
        <v>643</v>
      </c>
      <c r="D4709" s="11">
        <f>IFERROR(__xludf.DUMMYFUNCTION("""COMPUTED_VALUE"""),246.0)</f>
        <v>246</v>
      </c>
      <c r="E4709" s="9"/>
    </row>
    <row r="4710">
      <c r="A4710" s="10">
        <f>IFERROR(__xludf.DUMMYFUNCTION("""COMPUTED_VALUE"""),77224.0)</f>
        <v>77224</v>
      </c>
      <c r="B4710" s="11">
        <f>IFERROR(__xludf.DUMMYFUNCTION("""COMPUTED_VALUE"""),0.0)</f>
        <v>0</v>
      </c>
      <c r="C4710" s="11">
        <f>IFERROR(__xludf.DUMMYFUNCTION("""COMPUTED_VALUE"""),714.0)</f>
        <v>714</v>
      </c>
      <c r="D4710" s="11">
        <f>IFERROR(__xludf.DUMMYFUNCTION("""COMPUTED_VALUE"""),75.0)</f>
        <v>75</v>
      </c>
      <c r="E4710" s="9"/>
    </row>
    <row r="4711">
      <c r="A4711" s="10">
        <f>IFERROR(__xludf.DUMMYFUNCTION("""COMPUTED_VALUE"""),113992.0)</f>
        <v>113992</v>
      </c>
      <c r="B4711" s="11">
        <f>IFERROR(__xludf.DUMMYFUNCTION("""COMPUTED_VALUE"""),0.0)</f>
        <v>0</v>
      </c>
      <c r="C4711" s="11">
        <f>IFERROR(__xludf.DUMMYFUNCTION("""COMPUTED_VALUE"""),181.0)</f>
        <v>181</v>
      </c>
      <c r="D4711" s="11">
        <f>IFERROR(__xludf.DUMMYFUNCTION("""COMPUTED_VALUE"""),93.0)</f>
        <v>93</v>
      </c>
      <c r="E4711" s="9"/>
    </row>
    <row r="4712">
      <c r="A4712" s="10">
        <f>IFERROR(__xludf.DUMMYFUNCTION("""COMPUTED_VALUE"""),112611.0)</f>
        <v>112611</v>
      </c>
      <c r="B4712" s="11">
        <f>IFERROR(__xludf.DUMMYFUNCTION("""COMPUTED_VALUE"""),1.0)</f>
        <v>1</v>
      </c>
      <c r="C4712" s="11">
        <f>IFERROR(__xludf.DUMMYFUNCTION("""COMPUTED_VALUE"""),332.0)</f>
        <v>332</v>
      </c>
      <c r="D4712" s="11">
        <f>IFERROR(__xludf.DUMMYFUNCTION("""COMPUTED_VALUE"""),95.0)</f>
        <v>95</v>
      </c>
      <c r="E4712" s="9"/>
    </row>
    <row r="4713">
      <c r="A4713" s="10">
        <f>IFERROR(__xludf.DUMMYFUNCTION("""COMPUTED_VALUE"""),116482.0)</f>
        <v>116482</v>
      </c>
      <c r="B4713" s="11">
        <f>IFERROR(__xludf.DUMMYFUNCTION("""COMPUTED_VALUE"""),0.0)</f>
        <v>0</v>
      </c>
      <c r="C4713" s="11">
        <f>IFERROR(__xludf.DUMMYFUNCTION("""COMPUTED_VALUE"""),520.0)</f>
        <v>520</v>
      </c>
      <c r="D4713" s="11">
        <f>IFERROR(__xludf.DUMMYFUNCTION("""COMPUTED_VALUE"""),141.0)</f>
        <v>141</v>
      </c>
      <c r="E4713" s="9"/>
    </row>
    <row r="4714">
      <c r="A4714" s="10">
        <f>IFERROR(__xludf.DUMMYFUNCTION("""COMPUTED_VALUE"""),77246.0)</f>
        <v>77246</v>
      </c>
      <c r="B4714" s="11">
        <f>IFERROR(__xludf.DUMMYFUNCTION("""COMPUTED_VALUE"""),1.0)</f>
        <v>1</v>
      </c>
      <c r="C4714" s="11">
        <f>IFERROR(__xludf.DUMMYFUNCTION("""COMPUTED_VALUE"""),159.0)</f>
        <v>159</v>
      </c>
      <c r="D4714" s="11">
        <f>IFERROR(__xludf.DUMMYFUNCTION("""COMPUTED_VALUE"""),71.0)</f>
        <v>71</v>
      </c>
      <c r="E4714" s="9"/>
    </row>
    <row r="4715">
      <c r="A4715" s="10">
        <f>IFERROR(__xludf.DUMMYFUNCTION("""COMPUTED_VALUE"""),122798.0)</f>
        <v>122798</v>
      </c>
      <c r="B4715" s="11">
        <f>IFERROR(__xludf.DUMMYFUNCTION("""COMPUTED_VALUE"""),1.0)</f>
        <v>1</v>
      </c>
      <c r="C4715" s="11">
        <f>IFERROR(__xludf.DUMMYFUNCTION("""COMPUTED_VALUE"""),313.0)</f>
        <v>313</v>
      </c>
      <c r="D4715" s="11">
        <f>IFERROR(__xludf.DUMMYFUNCTION("""COMPUTED_VALUE"""),70.0)</f>
        <v>70</v>
      </c>
      <c r="E4715" s="9"/>
    </row>
    <row r="4716">
      <c r="A4716" s="10">
        <f>IFERROR(__xludf.DUMMYFUNCTION("""COMPUTED_VALUE"""),120590.0)</f>
        <v>120590</v>
      </c>
      <c r="B4716" s="11">
        <f>IFERROR(__xludf.DUMMYFUNCTION("""COMPUTED_VALUE"""),0.0)</f>
        <v>0</v>
      </c>
      <c r="C4716" s="11">
        <f>IFERROR(__xludf.DUMMYFUNCTION("""COMPUTED_VALUE"""),165.0)</f>
        <v>165</v>
      </c>
      <c r="D4716" s="11">
        <f>IFERROR(__xludf.DUMMYFUNCTION("""COMPUTED_VALUE"""),71.0)</f>
        <v>71</v>
      </c>
      <c r="E4716" s="9"/>
    </row>
    <row r="4717">
      <c r="A4717" s="10">
        <f>IFERROR(__xludf.DUMMYFUNCTION("""COMPUTED_VALUE"""),71914.0)</f>
        <v>71914</v>
      </c>
      <c r="B4717" s="11">
        <f>IFERROR(__xludf.DUMMYFUNCTION("""COMPUTED_VALUE"""),0.0)</f>
        <v>0</v>
      </c>
      <c r="C4717" s="11">
        <f>IFERROR(__xludf.DUMMYFUNCTION("""COMPUTED_VALUE"""),952.0)</f>
        <v>952</v>
      </c>
      <c r="D4717" s="11">
        <f>IFERROR(__xludf.DUMMYFUNCTION("""COMPUTED_VALUE"""),720.0)</f>
        <v>720</v>
      </c>
      <c r="E4717" s="9"/>
    </row>
    <row r="4718">
      <c r="A4718" s="10">
        <f>IFERROR(__xludf.DUMMYFUNCTION("""COMPUTED_VALUE"""),118206.0)</f>
        <v>118206</v>
      </c>
      <c r="B4718" s="11">
        <f>IFERROR(__xludf.DUMMYFUNCTION("""COMPUTED_VALUE"""),1.0)</f>
        <v>1</v>
      </c>
      <c r="C4718" s="11">
        <f>IFERROR(__xludf.DUMMYFUNCTION("""COMPUTED_VALUE"""),185.0)</f>
        <v>185</v>
      </c>
      <c r="D4718" s="11">
        <f>IFERROR(__xludf.DUMMYFUNCTION("""COMPUTED_VALUE"""),181.0)</f>
        <v>181</v>
      </c>
      <c r="E4718" s="9"/>
    </row>
    <row r="4719">
      <c r="A4719" s="10">
        <f>IFERROR(__xludf.DUMMYFUNCTION("""COMPUTED_VALUE"""),118179.0)</f>
        <v>118179</v>
      </c>
      <c r="B4719" s="11">
        <f>IFERROR(__xludf.DUMMYFUNCTION("""COMPUTED_VALUE"""),0.0)</f>
        <v>0</v>
      </c>
      <c r="C4719" s="11">
        <f>IFERROR(__xludf.DUMMYFUNCTION("""COMPUTED_VALUE"""),584.0)</f>
        <v>584</v>
      </c>
      <c r="D4719" s="11">
        <f>IFERROR(__xludf.DUMMYFUNCTION("""COMPUTED_VALUE"""),104.0)</f>
        <v>104</v>
      </c>
      <c r="E4719" s="9"/>
    </row>
    <row r="4720">
      <c r="A4720" s="10">
        <f>IFERROR(__xludf.DUMMYFUNCTION("""COMPUTED_VALUE"""),43247.0)</f>
        <v>43247</v>
      </c>
      <c r="B4720" s="11">
        <f>IFERROR(__xludf.DUMMYFUNCTION("""COMPUTED_VALUE"""),1.0)</f>
        <v>1</v>
      </c>
      <c r="C4720" s="11">
        <f>IFERROR(__xludf.DUMMYFUNCTION("""COMPUTED_VALUE"""),503.0)</f>
        <v>503</v>
      </c>
      <c r="D4720" s="11">
        <f>IFERROR(__xludf.DUMMYFUNCTION("""COMPUTED_VALUE"""),364.0)</f>
        <v>364</v>
      </c>
      <c r="E4720" s="9"/>
    </row>
    <row r="4721">
      <c r="A4721" s="10">
        <f>IFERROR(__xludf.DUMMYFUNCTION("""COMPUTED_VALUE"""),71166.0)</f>
        <v>71166</v>
      </c>
      <c r="B4721" s="11">
        <f>IFERROR(__xludf.DUMMYFUNCTION("""COMPUTED_VALUE"""),1.0)</f>
        <v>1</v>
      </c>
      <c r="C4721" s="11">
        <f>IFERROR(__xludf.DUMMYFUNCTION("""COMPUTED_VALUE"""),650.0)</f>
        <v>650</v>
      </c>
      <c r="D4721" s="11">
        <f>IFERROR(__xludf.DUMMYFUNCTION("""COMPUTED_VALUE"""),184.0)</f>
        <v>184</v>
      </c>
      <c r="E4721" s="9"/>
    </row>
    <row r="4722">
      <c r="A4722" s="10">
        <f>IFERROR(__xludf.DUMMYFUNCTION("""COMPUTED_VALUE"""),43238.0)</f>
        <v>43238</v>
      </c>
      <c r="B4722" s="11">
        <f>IFERROR(__xludf.DUMMYFUNCTION("""COMPUTED_VALUE"""),1.0)</f>
        <v>1</v>
      </c>
      <c r="C4722" s="11">
        <f>IFERROR(__xludf.DUMMYFUNCTION("""COMPUTED_VALUE"""),540.0)</f>
        <v>540</v>
      </c>
      <c r="D4722" s="11">
        <f>IFERROR(__xludf.DUMMYFUNCTION("""COMPUTED_VALUE"""),291.0)</f>
        <v>291</v>
      </c>
      <c r="E4722" s="9"/>
    </row>
    <row r="4723">
      <c r="A4723" s="10">
        <f>IFERROR(__xludf.DUMMYFUNCTION("""COMPUTED_VALUE"""),114003.0)</f>
        <v>114003</v>
      </c>
      <c r="B4723" s="11">
        <f>IFERROR(__xludf.DUMMYFUNCTION("""COMPUTED_VALUE"""),0.0)</f>
        <v>0</v>
      </c>
      <c r="C4723" s="11">
        <f>IFERROR(__xludf.DUMMYFUNCTION("""COMPUTED_VALUE"""),501.0)</f>
        <v>501</v>
      </c>
      <c r="D4723" s="11">
        <f>IFERROR(__xludf.DUMMYFUNCTION("""COMPUTED_VALUE"""),298.0)</f>
        <v>298</v>
      </c>
      <c r="E4723" s="9"/>
    </row>
    <row r="4724">
      <c r="A4724" s="10">
        <f>IFERROR(__xludf.DUMMYFUNCTION("""COMPUTED_VALUE"""),87540.0)</f>
        <v>87540</v>
      </c>
      <c r="B4724" s="11">
        <f>IFERROR(__xludf.DUMMYFUNCTION("""COMPUTED_VALUE"""),1.0)</f>
        <v>1</v>
      </c>
      <c r="C4724" s="11">
        <f>IFERROR(__xludf.DUMMYFUNCTION("""COMPUTED_VALUE"""),56.0)</f>
        <v>56</v>
      </c>
      <c r="D4724" s="11">
        <f>IFERROR(__xludf.DUMMYFUNCTION("""COMPUTED_VALUE"""),9.0)</f>
        <v>9</v>
      </c>
      <c r="E4724" s="9"/>
    </row>
    <row r="4725">
      <c r="A4725" s="10">
        <f>IFERROR(__xludf.DUMMYFUNCTION("""COMPUTED_VALUE"""),77229.0)</f>
        <v>77229</v>
      </c>
      <c r="B4725" s="11">
        <f>IFERROR(__xludf.DUMMYFUNCTION("""COMPUTED_VALUE"""),1.0)</f>
        <v>1</v>
      </c>
      <c r="C4725" s="11">
        <f>IFERROR(__xludf.DUMMYFUNCTION("""COMPUTED_VALUE"""),718.0)</f>
        <v>718</v>
      </c>
      <c r="D4725" s="11">
        <f>IFERROR(__xludf.DUMMYFUNCTION("""COMPUTED_VALUE"""),351.0)</f>
        <v>351</v>
      </c>
      <c r="E4725" s="9"/>
    </row>
    <row r="4726">
      <c r="A4726" s="10">
        <f>IFERROR(__xludf.DUMMYFUNCTION("""COMPUTED_VALUE"""),113994.0)</f>
        <v>113994</v>
      </c>
      <c r="B4726" s="11">
        <f>IFERROR(__xludf.DUMMYFUNCTION("""COMPUTED_VALUE"""),1.0)</f>
        <v>1</v>
      </c>
      <c r="C4726" s="11">
        <f>IFERROR(__xludf.DUMMYFUNCTION("""COMPUTED_VALUE"""),390.0)</f>
        <v>390</v>
      </c>
      <c r="D4726" s="11">
        <f>IFERROR(__xludf.DUMMYFUNCTION("""COMPUTED_VALUE"""),282.0)</f>
        <v>282</v>
      </c>
      <c r="E4726" s="9"/>
    </row>
    <row r="4727">
      <c r="A4727" s="10">
        <f>IFERROR(__xludf.DUMMYFUNCTION("""COMPUTED_VALUE"""),106725.0)</f>
        <v>106725</v>
      </c>
      <c r="B4727" s="11">
        <f>IFERROR(__xludf.DUMMYFUNCTION("""COMPUTED_VALUE"""),1.0)</f>
        <v>1</v>
      </c>
      <c r="C4727" s="11">
        <f>IFERROR(__xludf.DUMMYFUNCTION("""COMPUTED_VALUE"""),192.0)</f>
        <v>192</v>
      </c>
      <c r="D4727" s="11">
        <f>IFERROR(__xludf.DUMMYFUNCTION("""COMPUTED_VALUE"""),118.0)</f>
        <v>118</v>
      </c>
      <c r="E4727" s="9"/>
    </row>
    <row r="4728">
      <c r="A4728" s="10">
        <f>IFERROR(__xludf.DUMMYFUNCTION("""COMPUTED_VALUE"""),43235.0)</f>
        <v>43235</v>
      </c>
      <c r="B4728" s="11">
        <f>IFERROR(__xludf.DUMMYFUNCTION("""COMPUTED_VALUE"""),0.0)</f>
        <v>0</v>
      </c>
      <c r="C4728" s="11">
        <f>IFERROR(__xludf.DUMMYFUNCTION("""COMPUTED_VALUE"""),594.0)</f>
        <v>594</v>
      </c>
      <c r="D4728" s="11">
        <f>IFERROR(__xludf.DUMMYFUNCTION("""COMPUTED_VALUE"""),521.0)</f>
        <v>521</v>
      </c>
      <c r="E4728" s="9"/>
    </row>
    <row r="4729">
      <c r="A4729" s="10">
        <f>IFERROR(__xludf.DUMMYFUNCTION("""COMPUTED_VALUE"""),118176.0)</f>
        <v>118176</v>
      </c>
      <c r="B4729" s="11">
        <f>IFERROR(__xludf.DUMMYFUNCTION("""COMPUTED_VALUE"""),0.0)</f>
        <v>0</v>
      </c>
      <c r="C4729" s="11">
        <f>IFERROR(__xludf.DUMMYFUNCTION("""COMPUTED_VALUE"""),548.0)</f>
        <v>548</v>
      </c>
      <c r="D4729" s="11">
        <f>IFERROR(__xludf.DUMMYFUNCTION("""COMPUTED_VALUE"""),467.0)</f>
        <v>467</v>
      </c>
      <c r="E4729" s="9"/>
    </row>
    <row r="4730">
      <c r="A4730" s="10">
        <f>IFERROR(__xludf.DUMMYFUNCTION("""COMPUTED_VALUE"""),114018.0)</f>
        <v>114018</v>
      </c>
      <c r="B4730" s="11">
        <f>IFERROR(__xludf.DUMMYFUNCTION("""COMPUTED_VALUE"""),0.0)</f>
        <v>0</v>
      </c>
      <c r="C4730" s="11">
        <f>IFERROR(__xludf.DUMMYFUNCTION("""COMPUTED_VALUE"""),302.0)</f>
        <v>302</v>
      </c>
      <c r="D4730" s="11">
        <f>IFERROR(__xludf.DUMMYFUNCTION("""COMPUTED_VALUE"""),261.0)</f>
        <v>261</v>
      </c>
      <c r="E4730" s="9"/>
    </row>
    <row r="4731">
      <c r="A4731" s="10">
        <f>IFERROR(__xludf.DUMMYFUNCTION("""COMPUTED_VALUE"""),116480.0)</f>
        <v>116480</v>
      </c>
      <c r="B4731" s="11">
        <f>IFERROR(__xludf.DUMMYFUNCTION("""COMPUTED_VALUE"""),0.0)</f>
        <v>0</v>
      </c>
      <c r="C4731" s="11">
        <f>IFERROR(__xludf.DUMMYFUNCTION("""COMPUTED_VALUE"""),262.0)</f>
        <v>262</v>
      </c>
      <c r="D4731" s="11">
        <f>IFERROR(__xludf.DUMMYFUNCTION("""COMPUTED_VALUE"""),88.0)</f>
        <v>88</v>
      </c>
      <c r="E4731" s="9"/>
    </row>
    <row r="4732">
      <c r="A4732" s="10">
        <f>IFERROR(__xludf.DUMMYFUNCTION("""COMPUTED_VALUE"""),120577.0)</f>
        <v>120577</v>
      </c>
      <c r="B4732" s="11">
        <f>IFERROR(__xludf.DUMMYFUNCTION("""COMPUTED_VALUE"""),0.0)</f>
        <v>0</v>
      </c>
      <c r="C4732" s="11">
        <f>IFERROR(__xludf.DUMMYFUNCTION("""COMPUTED_VALUE"""),331.0)</f>
        <v>331</v>
      </c>
      <c r="D4732" s="11">
        <f>IFERROR(__xludf.DUMMYFUNCTION("""COMPUTED_VALUE"""),328.0)</f>
        <v>328</v>
      </c>
      <c r="E4732" s="9"/>
    </row>
    <row r="4733">
      <c r="A4733" s="10">
        <f>IFERROR(__xludf.DUMMYFUNCTION("""COMPUTED_VALUE"""),118201.0)</f>
        <v>118201</v>
      </c>
      <c r="B4733" s="11">
        <f>IFERROR(__xludf.DUMMYFUNCTION("""COMPUTED_VALUE"""),1.0)</f>
        <v>1</v>
      </c>
      <c r="C4733" s="11">
        <f>IFERROR(__xludf.DUMMYFUNCTION("""COMPUTED_VALUE"""),227.0)</f>
        <v>227</v>
      </c>
      <c r="D4733" s="11">
        <f>IFERROR(__xludf.DUMMYFUNCTION("""COMPUTED_VALUE"""),148.0)</f>
        <v>148</v>
      </c>
      <c r="E4733" s="9"/>
    </row>
    <row r="4734">
      <c r="A4734" s="10">
        <f>IFERROR(__xludf.DUMMYFUNCTION("""COMPUTED_VALUE"""),77245.0)</f>
        <v>77245</v>
      </c>
      <c r="B4734" s="11">
        <f>IFERROR(__xludf.DUMMYFUNCTION("""COMPUTED_VALUE"""),1.0)</f>
        <v>1</v>
      </c>
      <c r="C4734" s="11">
        <f>IFERROR(__xludf.DUMMYFUNCTION("""COMPUTED_VALUE"""),538.0)</f>
        <v>538</v>
      </c>
      <c r="D4734" s="11">
        <f>IFERROR(__xludf.DUMMYFUNCTION("""COMPUTED_VALUE"""),476.0)</f>
        <v>476</v>
      </c>
      <c r="E4734" s="9"/>
    </row>
    <row r="4735">
      <c r="A4735" s="10">
        <f>IFERROR(__xludf.DUMMYFUNCTION("""COMPUTED_VALUE"""),118195.0)</f>
        <v>118195</v>
      </c>
      <c r="B4735" s="11">
        <f>IFERROR(__xludf.DUMMYFUNCTION("""COMPUTED_VALUE"""),1.0)</f>
        <v>1</v>
      </c>
      <c r="C4735" s="11">
        <f>IFERROR(__xludf.DUMMYFUNCTION("""COMPUTED_VALUE"""),281.0)</f>
        <v>281</v>
      </c>
      <c r="D4735" s="11">
        <f>IFERROR(__xludf.DUMMYFUNCTION("""COMPUTED_VALUE"""),20.0)</f>
        <v>20</v>
      </c>
      <c r="E4735" s="9"/>
    </row>
    <row r="4736">
      <c r="A4736" s="10">
        <f>IFERROR(__xludf.DUMMYFUNCTION("""COMPUTED_VALUE"""),118197.0)</f>
        <v>118197</v>
      </c>
      <c r="B4736" s="11">
        <f>IFERROR(__xludf.DUMMYFUNCTION("""COMPUTED_VALUE"""),1.0)</f>
        <v>1</v>
      </c>
      <c r="C4736" s="11">
        <f>IFERROR(__xludf.DUMMYFUNCTION("""COMPUTED_VALUE"""),422.0)</f>
        <v>422</v>
      </c>
      <c r="D4736" s="11">
        <f>IFERROR(__xludf.DUMMYFUNCTION("""COMPUTED_VALUE"""),56.0)</f>
        <v>56</v>
      </c>
      <c r="E4736" s="9"/>
    </row>
    <row r="4737">
      <c r="A4737" s="10">
        <f>IFERROR(__xludf.DUMMYFUNCTION("""COMPUTED_VALUE"""),187317.0)</f>
        <v>187317</v>
      </c>
      <c r="B4737" s="11">
        <f>IFERROR(__xludf.DUMMYFUNCTION("""COMPUTED_VALUE"""),0.0)</f>
        <v>0</v>
      </c>
      <c r="C4737" s="11">
        <f>IFERROR(__xludf.DUMMYFUNCTION("""COMPUTED_VALUE"""),478.0)</f>
        <v>478</v>
      </c>
      <c r="D4737" s="11">
        <f>IFERROR(__xludf.DUMMYFUNCTION("""COMPUTED_VALUE"""),275.0)</f>
        <v>275</v>
      </c>
      <c r="E4737" s="9"/>
    </row>
    <row r="4738">
      <c r="A4738" s="10">
        <f>IFERROR(__xludf.DUMMYFUNCTION("""COMPUTED_VALUE"""),199484.0)</f>
        <v>199484</v>
      </c>
      <c r="B4738" s="11">
        <f>IFERROR(__xludf.DUMMYFUNCTION("""COMPUTED_VALUE"""),1.0)</f>
        <v>1</v>
      </c>
      <c r="C4738" s="11">
        <f>IFERROR(__xludf.DUMMYFUNCTION("""COMPUTED_VALUE"""),866.0)</f>
        <v>866</v>
      </c>
      <c r="D4738" s="11">
        <f>IFERROR(__xludf.DUMMYFUNCTION("""COMPUTED_VALUE"""),783.0)</f>
        <v>783</v>
      </c>
      <c r="E4738" s="9"/>
    </row>
    <row r="4739">
      <c r="A4739" s="10">
        <f>IFERROR(__xludf.DUMMYFUNCTION("""COMPUTED_VALUE"""),113995.0)</f>
        <v>113995</v>
      </c>
      <c r="B4739" s="11">
        <f>IFERROR(__xludf.DUMMYFUNCTION("""COMPUTED_VALUE"""),0.0)</f>
        <v>0</v>
      </c>
      <c r="C4739" s="11">
        <f>IFERROR(__xludf.DUMMYFUNCTION("""COMPUTED_VALUE"""),915.0)</f>
        <v>915</v>
      </c>
      <c r="D4739" s="11">
        <f>IFERROR(__xludf.DUMMYFUNCTION("""COMPUTED_VALUE"""),798.0)</f>
        <v>798</v>
      </c>
      <c r="E4739" s="9"/>
    </row>
    <row r="4740">
      <c r="A4740" s="10">
        <f>IFERROR(__xludf.DUMMYFUNCTION("""COMPUTED_VALUE"""),113669.0)</f>
        <v>113669</v>
      </c>
      <c r="B4740" s="11">
        <f>IFERROR(__xludf.DUMMYFUNCTION("""COMPUTED_VALUE"""),0.0)</f>
        <v>0</v>
      </c>
      <c r="C4740" s="11">
        <f>IFERROR(__xludf.DUMMYFUNCTION("""COMPUTED_VALUE"""),409.0)</f>
        <v>409</v>
      </c>
      <c r="D4740" s="11">
        <f>IFERROR(__xludf.DUMMYFUNCTION("""COMPUTED_VALUE"""),224.0)</f>
        <v>224</v>
      </c>
      <c r="E4740" s="9"/>
    </row>
    <row r="4741">
      <c r="A4741" s="10">
        <f>IFERROR(__xludf.DUMMYFUNCTION("""COMPUTED_VALUE"""),111584.0)</f>
        <v>111584</v>
      </c>
      <c r="B4741" s="11">
        <f>IFERROR(__xludf.DUMMYFUNCTION("""COMPUTED_VALUE"""),0.0)</f>
        <v>0</v>
      </c>
      <c r="C4741" s="11">
        <f>IFERROR(__xludf.DUMMYFUNCTION("""COMPUTED_VALUE"""),745.0)</f>
        <v>745</v>
      </c>
      <c r="D4741" s="11">
        <f>IFERROR(__xludf.DUMMYFUNCTION("""COMPUTED_VALUE"""),609.0)</f>
        <v>609</v>
      </c>
      <c r="E4741" s="9"/>
    </row>
    <row r="4742">
      <c r="A4742" s="10">
        <f>IFERROR(__xludf.DUMMYFUNCTION("""COMPUTED_VALUE"""),26123.0)</f>
        <v>26123</v>
      </c>
      <c r="B4742" s="11">
        <f>IFERROR(__xludf.DUMMYFUNCTION("""COMPUTED_VALUE"""),0.0)</f>
        <v>0</v>
      </c>
      <c r="C4742" s="11">
        <f>IFERROR(__xludf.DUMMYFUNCTION("""COMPUTED_VALUE"""),141.0)</f>
        <v>141</v>
      </c>
      <c r="D4742" s="11">
        <f>IFERROR(__xludf.DUMMYFUNCTION("""COMPUTED_VALUE"""),82.0)</f>
        <v>82</v>
      </c>
      <c r="E4742" s="9"/>
    </row>
    <row r="4743">
      <c r="A4743" s="10">
        <f>IFERROR(__xludf.DUMMYFUNCTION("""COMPUTED_VALUE"""),113665.0)</f>
        <v>113665</v>
      </c>
      <c r="B4743" s="11">
        <f>IFERROR(__xludf.DUMMYFUNCTION("""COMPUTED_VALUE"""),0.0)</f>
        <v>0</v>
      </c>
      <c r="C4743" s="11">
        <f>IFERROR(__xludf.DUMMYFUNCTION("""COMPUTED_VALUE"""),905.0)</f>
        <v>905</v>
      </c>
      <c r="D4743" s="11">
        <f>IFERROR(__xludf.DUMMYFUNCTION("""COMPUTED_VALUE"""),710.0)</f>
        <v>710</v>
      </c>
      <c r="E4743" s="9"/>
    </row>
    <row r="4744">
      <c r="A4744" s="10">
        <f>IFERROR(__xludf.DUMMYFUNCTION("""COMPUTED_VALUE"""),181241.0)</f>
        <v>181241</v>
      </c>
      <c r="B4744" s="11">
        <f>IFERROR(__xludf.DUMMYFUNCTION("""COMPUTED_VALUE"""),1.0)</f>
        <v>1</v>
      </c>
      <c r="C4744" s="11">
        <f>IFERROR(__xludf.DUMMYFUNCTION("""COMPUTED_VALUE"""),793.0)</f>
        <v>793</v>
      </c>
      <c r="D4744" s="11">
        <f>IFERROR(__xludf.DUMMYFUNCTION("""COMPUTED_VALUE"""),514.0)</f>
        <v>514</v>
      </c>
      <c r="E4744" s="9"/>
    </row>
    <row r="4745">
      <c r="A4745" s="10">
        <f>IFERROR(__xludf.DUMMYFUNCTION("""COMPUTED_VALUE"""),113664.0)</f>
        <v>113664</v>
      </c>
      <c r="B4745" s="11">
        <f>IFERROR(__xludf.DUMMYFUNCTION("""COMPUTED_VALUE"""),1.0)</f>
        <v>1</v>
      </c>
      <c r="C4745" s="11">
        <f>IFERROR(__xludf.DUMMYFUNCTION("""COMPUTED_VALUE"""),221.0)</f>
        <v>221</v>
      </c>
      <c r="D4745" s="11">
        <f>IFERROR(__xludf.DUMMYFUNCTION("""COMPUTED_VALUE"""),107.0)</f>
        <v>107</v>
      </c>
      <c r="E4745" s="9"/>
    </row>
    <row r="4746">
      <c r="A4746" s="10">
        <f>IFERROR(__xludf.DUMMYFUNCTION("""COMPUTED_VALUE"""),113677.0)</f>
        <v>113677</v>
      </c>
      <c r="B4746" s="11">
        <f>IFERROR(__xludf.DUMMYFUNCTION("""COMPUTED_VALUE"""),0.0)</f>
        <v>0</v>
      </c>
      <c r="C4746" s="11">
        <f>IFERROR(__xludf.DUMMYFUNCTION("""COMPUTED_VALUE"""),433.0)</f>
        <v>433</v>
      </c>
      <c r="D4746" s="11">
        <f>IFERROR(__xludf.DUMMYFUNCTION("""COMPUTED_VALUE"""),339.0)</f>
        <v>339</v>
      </c>
      <c r="E4746" s="9"/>
    </row>
    <row r="4747">
      <c r="A4747" s="10">
        <f>IFERROR(__xludf.DUMMYFUNCTION("""COMPUTED_VALUE"""),120343.0)</f>
        <v>120343</v>
      </c>
      <c r="B4747" s="11">
        <f>IFERROR(__xludf.DUMMYFUNCTION("""COMPUTED_VALUE"""),1.0)</f>
        <v>1</v>
      </c>
      <c r="C4747" s="11">
        <f>IFERROR(__xludf.DUMMYFUNCTION("""COMPUTED_VALUE"""),517.0)</f>
        <v>517</v>
      </c>
      <c r="D4747" s="11">
        <f>IFERROR(__xludf.DUMMYFUNCTION("""COMPUTED_VALUE"""),136.0)</f>
        <v>136</v>
      </c>
      <c r="E4747" s="9"/>
    </row>
    <row r="4748">
      <c r="A4748" s="10">
        <f>IFERROR(__xludf.DUMMYFUNCTION("""COMPUTED_VALUE"""),113666.0)</f>
        <v>113666</v>
      </c>
      <c r="B4748" s="11">
        <f>IFERROR(__xludf.DUMMYFUNCTION("""COMPUTED_VALUE"""),1.0)</f>
        <v>1</v>
      </c>
      <c r="C4748" s="11">
        <f>IFERROR(__xludf.DUMMYFUNCTION("""COMPUTED_VALUE"""),819.0)</f>
        <v>819</v>
      </c>
      <c r="D4748" s="11">
        <f>IFERROR(__xludf.DUMMYFUNCTION("""COMPUTED_VALUE"""),516.0)</f>
        <v>516</v>
      </c>
      <c r="E4748" s="9"/>
    </row>
    <row r="4749">
      <c r="A4749" s="10">
        <f>IFERROR(__xludf.DUMMYFUNCTION("""COMPUTED_VALUE"""),113663.0)</f>
        <v>113663</v>
      </c>
      <c r="B4749" s="11">
        <f>IFERROR(__xludf.DUMMYFUNCTION("""COMPUTED_VALUE"""),1.0)</f>
        <v>1</v>
      </c>
      <c r="C4749" s="11">
        <f>IFERROR(__xludf.DUMMYFUNCTION("""COMPUTED_VALUE"""),393.0)</f>
        <v>393</v>
      </c>
      <c r="D4749" s="11">
        <f>IFERROR(__xludf.DUMMYFUNCTION("""COMPUTED_VALUE"""),361.0)</f>
        <v>361</v>
      </c>
      <c r="E4749" s="9"/>
    </row>
    <row r="4750">
      <c r="A4750" s="10">
        <f>IFERROR(__xludf.DUMMYFUNCTION("""COMPUTED_VALUE"""),116983.0)</f>
        <v>116983</v>
      </c>
      <c r="B4750" s="11">
        <f>IFERROR(__xludf.DUMMYFUNCTION("""COMPUTED_VALUE"""),1.0)</f>
        <v>1</v>
      </c>
      <c r="C4750" s="11">
        <f>IFERROR(__xludf.DUMMYFUNCTION("""COMPUTED_VALUE"""),141.0)</f>
        <v>141</v>
      </c>
      <c r="D4750" s="11">
        <f>IFERROR(__xludf.DUMMYFUNCTION("""COMPUTED_VALUE"""),127.0)</f>
        <v>127</v>
      </c>
      <c r="E4750" s="9"/>
    </row>
    <row r="4751">
      <c r="A4751" s="10">
        <f>IFERROR(__xludf.DUMMYFUNCTION("""COMPUTED_VALUE"""),94043.0)</f>
        <v>94043</v>
      </c>
      <c r="B4751" s="11">
        <f>IFERROR(__xludf.DUMMYFUNCTION("""COMPUTED_VALUE"""),0.0)</f>
        <v>0</v>
      </c>
      <c r="C4751" s="11">
        <f>IFERROR(__xludf.DUMMYFUNCTION("""COMPUTED_VALUE"""),240.0)</f>
        <v>240</v>
      </c>
      <c r="D4751" s="11">
        <f>IFERROR(__xludf.DUMMYFUNCTION("""COMPUTED_VALUE"""),215.0)</f>
        <v>215</v>
      </c>
      <c r="E4751" s="9"/>
    </row>
    <row r="4752">
      <c r="A4752" s="10">
        <f>IFERROR(__xludf.DUMMYFUNCTION("""COMPUTED_VALUE"""),68216.0)</f>
        <v>68216</v>
      </c>
      <c r="B4752" s="11">
        <f>IFERROR(__xludf.DUMMYFUNCTION("""COMPUTED_VALUE"""),0.0)</f>
        <v>0</v>
      </c>
      <c r="C4752" s="11">
        <f>IFERROR(__xludf.DUMMYFUNCTION("""COMPUTED_VALUE"""),631.0)</f>
        <v>631</v>
      </c>
      <c r="D4752" s="11">
        <f>IFERROR(__xludf.DUMMYFUNCTION("""COMPUTED_VALUE"""),401.0)</f>
        <v>401</v>
      </c>
      <c r="E4752" s="9"/>
    </row>
    <row r="4753">
      <c r="A4753" s="10">
        <f>IFERROR(__xludf.DUMMYFUNCTION("""COMPUTED_VALUE"""),80131.0)</f>
        <v>80131</v>
      </c>
      <c r="B4753" s="11">
        <f>IFERROR(__xludf.DUMMYFUNCTION("""COMPUTED_VALUE"""),0.0)</f>
        <v>0</v>
      </c>
      <c r="C4753" s="11">
        <f>IFERROR(__xludf.DUMMYFUNCTION("""COMPUTED_VALUE"""),826.0)</f>
        <v>826</v>
      </c>
      <c r="D4753" s="11">
        <f>IFERROR(__xludf.DUMMYFUNCTION("""COMPUTED_VALUE"""),735.0)</f>
        <v>735</v>
      </c>
      <c r="E4753" s="9"/>
    </row>
    <row r="4754">
      <c r="A4754" s="10">
        <f>IFERROR(__xludf.DUMMYFUNCTION("""COMPUTED_VALUE"""),80998.0)</f>
        <v>80998</v>
      </c>
      <c r="B4754" s="11">
        <f>IFERROR(__xludf.DUMMYFUNCTION("""COMPUTED_VALUE"""),0.0)</f>
        <v>0</v>
      </c>
      <c r="C4754" s="11">
        <f>IFERROR(__xludf.DUMMYFUNCTION("""COMPUTED_VALUE"""),696.0)</f>
        <v>696</v>
      </c>
      <c r="D4754" s="11">
        <f>IFERROR(__xludf.DUMMYFUNCTION("""COMPUTED_VALUE"""),467.0)</f>
        <v>467</v>
      </c>
      <c r="E4754" s="9"/>
    </row>
    <row r="4755">
      <c r="A4755" s="10">
        <f>IFERROR(__xludf.DUMMYFUNCTION("""COMPUTED_VALUE"""),87014.0)</f>
        <v>87014</v>
      </c>
      <c r="B4755" s="11">
        <f>IFERROR(__xludf.DUMMYFUNCTION("""COMPUTED_VALUE"""),0.0)</f>
        <v>0</v>
      </c>
      <c r="C4755" s="11">
        <f>IFERROR(__xludf.DUMMYFUNCTION("""COMPUTED_VALUE"""),827.0)</f>
        <v>827</v>
      </c>
      <c r="D4755" s="11">
        <f>IFERROR(__xludf.DUMMYFUNCTION("""COMPUTED_VALUE"""),656.0)</f>
        <v>656</v>
      </c>
      <c r="E4755" s="9"/>
    </row>
    <row r="4756">
      <c r="A4756" s="10">
        <f>IFERROR(__xludf.DUMMYFUNCTION("""COMPUTED_VALUE"""),102900.0)</f>
        <v>102900</v>
      </c>
      <c r="B4756" s="11">
        <f>IFERROR(__xludf.DUMMYFUNCTION("""COMPUTED_VALUE"""),0.0)</f>
        <v>0</v>
      </c>
      <c r="C4756" s="11">
        <f>IFERROR(__xludf.DUMMYFUNCTION("""COMPUTED_VALUE"""),912.0)</f>
        <v>912</v>
      </c>
      <c r="D4756" s="11">
        <f>IFERROR(__xludf.DUMMYFUNCTION("""COMPUTED_VALUE"""),383.0)</f>
        <v>383</v>
      </c>
      <c r="E4756" s="9"/>
    </row>
    <row r="4757">
      <c r="A4757" s="10">
        <f>IFERROR(__xludf.DUMMYFUNCTION("""COMPUTED_VALUE"""),80997.0)</f>
        <v>80997</v>
      </c>
      <c r="B4757" s="11">
        <f>IFERROR(__xludf.DUMMYFUNCTION("""COMPUTED_VALUE"""),1.0)</f>
        <v>1</v>
      </c>
      <c r="C4757" s="11">
        <f>IFERROR(__xludf.DUMMYFUNCTION("""COMPUTED_VALUE"""),18.0)</f>
        <v>18</v>
      </c>
      <c r="D4757" s="11">
        <f>IFERROR(__xludf.DUMMYFUNCTION("""COMPUTED_VALUE"""),11.0)</f>
        <v>11</v>
      </c>
      <c r="E4757" s="9"/>
    </row>
    <row r="4758">
      <c r="A4758" s="10">
        <f>IFERROR(__xludf.DUMMYFUNCTION("""COMPUTED_VALUE"""),116989.0)</f>
        <v>116989</v>
      </c>
      <c r="B4758" s="11">
        <f>IFERROR(__xludf.DUMMYFUNCTION("""COMPUTED_VALUE"""),1.0)</f>
        <v>1</v>
      </c>
      <c r="C4758" s="11">
        <f>IFERROR(__xludf.DUMMYFUNCTION("""COMPUTED_VALUE"""),24.0)</f>
        <v>24</v>
      </c>
      <c r="D4758" s="11">
        <f>IFERROR(__xludf.DUMMYFUNCTION("""COMPUTED_VALUE"""),22.0)</f>
        <v>22</v>
      </c>
      <c r="E4758" s="9"/>
    </row>
    <row r="4759">
      <c r="A4759" s="10">
        <f>IFERROR(__xludf.DUMMYFUNCTION("""COMPUTED_VALUE"""),43826.0)</f>
        <v>43826</v>
      </c>
      <c r="B4759" s="11">
        <f>IFERROR(__xludf.DUMMYFUNCTION("""COMPUTED_VALUE"""),0.0)</f>
        <v>0</v>
      </c>
      <c r="C4759" s="11">
        <f>IFERROR(__xludf.DUMMYFUNCTION("""COMPUTED_VALUE"""),482.0)</f>
        <v>482</v>
      </c>
      <c r="D4759" s="11">
        <f>IFERROR(__xludf.DUMMYFUNCTION("""COMPUTED_VALUE"""),106.0)</f>
        <v>106</v>
      </c>
      <c r="E4759" s="9"/>
    </row>
    <row r="4760">
      <c r="A4760" s="10">
        <f>IFERROR(__xludf.DUMMYFUNCTION("""COMPUTED_VALUE"""),8769.0)</f>
        <v>8769</v>
      </c>
      <c r="B4760" s="11">
        <f>IFERROR(__xludf.DUMMYFUNCTION("""COMPUTED_VALUE"""),1.0)</f>
        <v>1</v>
      </c>
      <c r="C4760" s="11">
        <f>IFERROR(__xludf.DUMMYFUNCTION("""COMPUTED_VALUE"""),761.0)</f>
        <v>761</v>
      </c>
      <c r="D4760" s="11">
        <f>IFERROR(__xludf.DUMMYFUNCTION("""COMPUTED_VALUE"""),201.0)</f>
        <v>201</v>
      </c>
      <c r="E4760" s="9"/>
    </row>
    <row r="4761">
      <c r="A4761" s="10">
        <f>IFERROR(__xludf.DUMMYFUNCTION("""COMPUTED_VALUE"""),104427.0)</f>
        <v>104427</v>
      </c>
      <c r="B4761" s="11">
        <f>IFERROR(__xludf.DUMMYFUNCTION("""COMPUTED_VALUE"""),0.0)</f>
        <v>0</v>
      </c>
      <c r="C4761" s="11">
        <f>IFERROR(__xludf.DUMMYFUNCTION("""COMPUTED_VALUE"""),240.0)</f>
        <v>240</v>
      </c>
      <c r="D4761" s="11">
        <f>IFERROR(__xludf.DUMMYFUNCTION("""COMPUTED_VALUE"""),23.0)</f>
        <v>23</v>
      </c>
      <c r="E4761" s="9"/>
    </row>
    <row r="4762">
      <c r="A4762" s="10">
        <f>IFERROR(__xludf.DUMMYFUNCTION("""COMPUTED_VALUE"""),8770.0)</f>
        <v>8770</v>
      </c>
      <c r="B4762" s="11">
        <f>IFERROR(__xludf.DUMMYFUNCTION("""COMPUTED_VALUE"""),0.0)</f>
        <v>0</v>
      </c>
      <c r="C4762" s="11">
        <f>IFERROR(__xludf.DUMMYFUNCTION("""COMPUTED_VALUE"""),172.0)</f>
        <v>172</v>
      </c>
      <c r="D4762" s="11">
        <f>IFERROR(__xludf.DUMMYFUNCTION("""COMPUTED_VALUE"""),107.0)</f>
        <v>107</v>
      </c>
      <c r="E4762" s="9"/>
    </row>
    <row r="4763">
      <c r="A4763" s="10">
        <f>IFERROR(__xludf.DUMMYFUNCTION("""COMPUTED_VALUE"""),94930.0)</f>
        <v>94930</v>
      </c>
      <c r="B4763" s="11">
        <f>IFERROR(__xludf.DUMMYFUNCTION("""COMPUTED_VALUE"""),0.0)</f>
        <v>0</v>
      </c>
      <c r="C4763" s="11">
        <f>IFERROR(__xludf.DUMMYFUNCTION("""COMPUTED_VALUE"""),176.0)</f>
        <v>176</v>
      </c>
      <c r="D4763" s="11">
        <f>IFERROR(__xludf.DUMMYFUNCTION("""COMPUTED_VALUE"""),59.0)</f>
        <v>59</v>
      </c>
      <c r="E4763" s="9"/>
    </row>
    <row r="4764">
      <c r="A4764" s="10">
        <f>IFERROR(__xludf.DUMMYFUNCTION("""COMPUTED_VALUE"""),111576.0)</f>
        <v>111576</v>
      </c>
      <c r="B4764" s="11">
        <f>IFERROR(__xludf.DUMMYFUNCTION("""COMPUTED_VALUE"""),1.0)</f>
        <v>1</v>
      </c>
      <c r="C4764" s="11">
        <f>IFERROR(__xludf.DUMMYFUNCTION("""COMPUTED_VALUE"""),388.0)</f>
        <v>388</v>
      </c>
      <c r="D4764" s="11">
        <f>IFERROR(__xludf.DUMMYFUNCTION("""COMPUTED_VALUE"""),13.0)</f>
        <v>13</v>
      </c>
      <c r="E4764" s="9"/>
    </row>
    <row r="4765">
      <c r="A4765" s="10">
        <f>IFERROR(__xludf.DUMMYFUNCTION("""COMPUTED_VALUE"""),71715.0)</f>
        <v>71715</v>
      </c>
      <c r="B4765" s="11">
        <f>IFERROR(__xludf.DUMMYFUNCTION("""COMPUTED_VALUE"""),0.0)</f>
        <v>0</v>
      </c>
      <c r="C4765" s="11">
        <f>IFERROR(__xludf.DUMMYFUNCTION("""COMPUTED_VALUE"""),843.0)</f>
        <v>843</v>
      </c>
      <c r="D4765" s="11">
        <f>IFERROR(__xludf.DUMMYFUNCTION("""COMPUTED_VALUE"""),373.0)</f>
        <v>373</v>
      </c>
      <c r="E4765" s="9"/>
    </row>
    <row r="4766">
      <c r="A4766" s="10">
        <f>IFERROR(__xludf.DUMMYFUNCTION("""COMPUTED_VALUE"""),71710.0)</f>
        <v>71710</v>
      </c>
      <c r="B4766" s="11">
        <f>IFERROR(__xludf.DUMMYFUNCTION("""COMPUTED_VALUE"""),1.0)</f>
        <v>1</v>
      </c>
      <c r="C4766" s="11">
        <f>IFERROR(__xludf.DUMMYFUNCTION("""COMPUTED_VALUE"""),446.0)</f>
        <v>446</v>
      </c>
      <c r="D4766" s="11">
        <f>IFERROR(__xludf.DUMMYFUNCTION("""COMPUTED_VALUE"""),64.0)</f>
        <v>64</v>
      </c>
      <c r="E4766" s="9"/>
    </row>
    <row r="4767">
      <c r="A4767" s="10">
        <f>IFERROR(__xludf.DUMMYFUNCTION("""COMPUTED_VALUE"""),102790.0)</f>
        <v>102790</v>
      </c>
      <c r="B4767" s="11">
        <f>IFERROR(__xludf.DUMMYFUNCTION("""COMPUTED_VALUE"""),1.0)</f>
        <v>1</v>
      </c>
      <c r="C4767" s="11">
        <f>IFERROR(__xludf.DUMMYFUNCTION("""COMPUTED_VALUE"""),910.0)</f>
        <v>910</v>
      </c>
      <c r="D4767" s="11">
        <f>IFERROR(__xludf.DUMMYFUNCTION("""COMPUTED_VALUE"""),536.0)</f>
        <v>536</v>
      </c>
      <c r="E4767" s="9"/>
    </row>
    <row r="4768">
      <c r="A4768" s="10">
        <f>IFERROR(__xludf.DUMMYFUNCTION("""COMPUTED_VALUE"""),3518.0)</f>
        <v>3518</v>
      </c>
      <c r="B4768" s="11">
        <f>IFERROR(__xludf.DUMMYFUNCTION("""COMPUTED_VALUE"""),1.0)</f>
        <v>1</v>
      </c>
      <c r="C4768" s="11">
        <f>IFERROR(__xludf.DUMMYFUNCTION("""COMPUTED_VALUE"""),634.0)</f>
        <v>634</v>
      </c>
      <c r="D4768" s="11">
        <f>IFERROR(__xludf.DUMMYFUNCTION("""COMPUTED_VALUE"""),629.0)</f>
        <v>629</v>
      </c>
      <c r="E4768" s="9"/>
    </row>
    <row r="4769">
      <c r="A4769" s="10">
        <f>IFERROR(__xludf.DUMMYFUNCTION("""COMPUTED_VALUE"""),18318.0)</f>
        <v>18318</v>
      </c>
      <c r="B4769" s="11">
        <f>IFERROR(__xludf.DUMMYFUNCTION("""COMPUTED_VALUE"""),1.0)</f>
        <v>1</v>
      </c>
      <c r="C4769" s="11">
        <f>IFERROR(__xludf.DUMMYFUNCTION("""COMPUTED_VALUE"""),498.0)</f>
        <v>498</v>
      </c>
      <c r="D4769" s="11">
        <f>IFERROR(__xludf.DUMMYFUNCTION("""COMPUTED_VALUE"""),494.0)</f>
        <v>494</v>
      </c>
      <c r="E4769" s="9"/>
    </row>
    <row r="4770">
      <c r="A4770" s="10">
        <f>IFERROR(__xludf.DUMMYFUNCTION("""COMPUTED_VALUE"""),104220.0)</f>
        <v>104220</v>
      </c>
      <c r="B4770" s="11">
        <f>IFERROR(__xludf.DUMMYFUNCTION("""COMPUTED_VALUE"""),0.0)</f>
        <v>0</v>
      </c>
      <c r="C4770" s="11">
        <f>IFERROR(__xludf.DUMMYFUNCTION("""COMPUTED_VALUE"""),966.0)</f>
        <v>966</v>
      </c>
      <c r="D4770" s="11">
        <f>IFERROR(__xludf.DUMMYFUNCTION("""COMPUTED_VALUE"""),481.0)</f>
        <v>481</v>
      </c>
      <c r="E4770" s="9"/>
    </row>
    <row r="4771">
      <c r="A4771" s="10">
        <f>IFERROR(__xludf.DUMMYFUNCTION("""COMPUTED_VALUE"""),106109.0)</f>
        <v>106109</v>
      </c>
      <c r="B4771" s="11">
        <f>IFERROR(__xludf.DUMMYFUNCTION("""COMPUTED_VALUE"""),1.0)</f>
        <v>1</v>
      </c>
      <c r="C4771" s="11">
        <f>IFERROR(__xludf.DUMMYFUNCTION("""COMPUTED_VALUE"""),580.0)</f>
        <v>580</v>
      </c>
      <c r="D4771" s="11">
        <f>IFERROR(__xludf.DUMMYFUNCTION("""COMPUTED_VALUE"""),528.0)</f>
        <v>528</v>
      </c>
      <c r="E4771" s="9"/>
    </row>
    <row r="4772">
      <c r="A4772" s="10">
        <f>IFERROR(__xludf.DUMMYFUNCTION("""COMPUTED_VALUE"""),72162.0)</f>
        <v>72162</v>
      </c>
      <c r="B4772" s="11">
        <f>IFERROR(__xludf.DUMMYFUNCTION("""COMPUTED_VALUE"""),1.0)</f>
        <v>1</v>
      </c>
      <c r="C4772" s="11">
        <f>IFERROR(__xludf.DUMMYFUNCTION("""COMPUTED_VALUE"""),353.0)</f>
        <v>353</v>
      </c>
      <c r="D4772" s="11">
        <f>IFERROR(__xludf.DUMMYFUNCTION("""COMPUTED_VALUE"""),311.0)</f>
        <v>311</v>
      </c>
      <c r="E4772" s="9"/>
    </row>
    <row r="4773">
      <c r="A4773" s="10">
        <f>IFERROR(__xludf.DUMMYFUNCTION("""COMPUTED_VALUE"""),104410.0)</f>
        <v>104410</v>
      </c>
      <c r="B4773" s="11">
        <f>IFERROR(__xludf.DUMMYFUNCTION("""COMPUTED_VALUE"""),0.0)</f>
        <v>0</v>
      </c>
      <c r="C4773" s="11">
        <f>IFERROR(__xludf.DUMMYFUNCTION("""COMPUTED_VALUE"""),436.0)</f>
        <v>436</v>
      </c>
      <c r="D4773" s="11">
        <f>IFERROR(__xludf.DUMMYFUNCTION("""COMPUTED_VALUE"""),47.0)</f>
        <v>47</v>
      </c>
      <c r="E4773" s="9"/>
    </row>
    <row r="4774">
      <c r="A4774" s="10">
        <f>IFERROR(__xludf.DUMMYFUNCTION("""COMPUTED_VALUE"""),88825.0)</f>
        <v>88825</v>
      </c>
      <c r="B4774" s="11">
        <f>IFERROR(__xludf.DUMMYFUNCTION("""COMPUTED_VALUE"""),1.0)</f>
        <v>1</v>
      </c>
      <c r="C4774" s="11">
        <f>IFERROR(__xludf.DUMMYFUNCTION("""COMPUTED_VALUE"""),540.0)</f>
        <v>540</v>
      </c>
      <c r="D4774" s="11">
        <f>IFERROR(__xludf.DUMMYFUNCTION("""COMPUTED_VALUE"""),154.0)</f>
        <v>154</v>
      </c>
      <c r="E4774" s="9"/>
    </row>
    <row r="4775">
      <c r="A4775" s="10">
        <f>IFERROR(__xludf.DUMMYFUNCTION("""COMPUTED_VALUE"""),13928.0)</f>
        <v>13928</v>
      </c>
      <c r="B4775" s="11">
        <f>IFERROR(__xludf.DUMMYFUNCTION("""COMPUTED_VALUE"""),0.0)</f>
        <v>0</v>
      </c>
      <c r="C4775" s="11">
        <f>IFERROR(__xludf.DUMMYFUNCTION("""COMPUTED_VALUE"""),182.0)</f>
        <v>182</v>
      </c>
      <c r="D4775" s="11">
        <f>IFERROR(__xludf.DUMMYFUNCTION("""COMPUTED_VALUE"""),138.0)</f>
        <v>138</v>
      </c>
      <c r="E4775" s="9"/>
    </row>
    <row r="4776">
      <c r="A4776" s="10">
        <f>IFERROR(__xludf.DUMMYFUNCTION("""COMPUTED_VALUE"""),45368.0)</f>
        <v>45368</v>
      </c>
      <c r="B4776" s="11">
        <f>IFERROR(__xludf.DUMMYFUNCTION("""COMPUTED_VALUE"""),1.0)</f>
        <v>1</v>
      </c>
      <c r="C4776" s="11">
        <f>IFERROR(__xludf.DUMMYFUNCTION("""COMPUTED_VALUE"""),24.0)</f>
        <v>24</v>
      </c>
      <c r="D4776" s="11">
        <f>IFERROR(__xludf.DUMMYFUNCTION("""COMPUTED_VALUE"""),8.0)</f>
        <v>8</v>
      </c>
      <c r="E4776" s="9"/>
    </row>
    <row r="4777">
      <c r="A4777" s="10">
        <f>IFERROR(__xludf.DUMMYFUNCTION("""COMPUTED_VALUE"""),119732.0)</f>
        <v>119732</v>
      </c>
      <c r="B4777" s="11">
        <f>IFERROR(__xludf.DUMMYFUNCTION("""COMPUTED_VALUE"""),1.0)</f>
        <v>1</v>
      </c>
      <c r="C4777" s="11">
        <f>IFERROR(__xludf.DUMMYFUNCTION("""COMPUTED_VALUE"""),307.0)</f>
        <v>307</v>
      </c>
      <c r="D4777" s="11">
        <f>IFERROR(__xludf.DUMMYFUNCTION("""COMPUTED_VALUE"""),264.0)</f>
        <v>264</v>
      </c>
      <c r="E4777" s="9"/>
    </row>
    <row r="4778">
      <c r="A4778" s="10">
        <f>IFERROR(__xludf.DUMMYFUNCTION("""COMPUTED_VALUE"""),90467.0)</f>
        <v>90467</v>
      </c>
      <c r="B4778" s="11">
        <f>IFERROR(__xludf.DUMMYFUNCTION("""COMPUTED_VALUE"""),0.0)</f>
        <v>0</v>
      </c>
      <c r="C4778" s="11">
        <f>IFERROR(__xludf.DUMMYFUNCTION("""COMPUTED_VALUE"""),98.0)</f>
        <v>98</v>
      </c>
      <c r="D4778" s="11">
        <f>IFERROR(__xludf.DUMMYFUNCTION("""COMPUTED_VALUE"""),77.0)</f>
        <v>77</v>
      </c>
      <c r="E4778" s="9"/>
    </row>
    <row r="4779">
      <c r="A4779" s="10">
        <f>IFERROR(__xludf.DUMMYFUNCTION("""COMPUTED_VALUE"""),119874.0)</f>
        <v>119874</v>
      </c>
      <c r="B4779" s="11">
        <f>IFERROR(__xludf.DUMMYFUNCTION("""COMPUTED_VALUE"""),0.0)</f>
        <v>0</v>
      </c>
      <c r="C4779" s="11">
        <f>IFERROR(__xludf.DUMMYFUNCTION("""COMPUTED_VALUE"""),738.0)</f>
        <v>738</v>
      </c>
      <c r="D4779" s="11">
        <f>IFERROR(__xludf.DUMMYFUNCTION("""COMPUTED_VALUE"""),35.0)</f>
        <v>35</v>
      </c>
      <c r="E4779" s="9"/>
    </row>
    <row r="4780">
      <c r="A4780" s="10">
        <f>IFERROR(__xludf.DUMMYFUNCTION("""COMPUTED_VALUE"""),121316.0)</f>
        <v>121316</v>
      </c>
      <c r="B4780" s="11">
        <f>IFERROR(__xludf.DUMMYFUNCTION("""COMPUTED_VALUE"""),1.0)</f>
        <v>1</v>
      </c>
      <c r="C4780" s="11">
        <f>IFERROR(__xludf.DUMMYFUNCTION("""COMPUTED_VALUE"""),878.0)</f>
        <v>878</v>
      </c>
      <c r="D4780" s="11">
        <f>IFERROR(__xludf.DUMMYFUNCTION("""COMPUTED_VALUE"""),406.0)</f>
        <v>406</v>
      </c>
      <c r="E4780" s="9"/>
    </row>
    <row r="4781">
      <c r="A4781" s="10">
        <f>IFERROR(__xludf.DUMMYFUNCTION("""COMPUTED_VALUE"""),77390.0)</f>
        <v>77390</v>
      </c>
      <c r="B4781" s="11">
        <f>IFERROR(__xludf.DUMMYFUNCTION("""COMPUTED_VALUE"""),0.0)</f>
        <v>0</v>
      </c>
      <c r="C4781" s="11">
        <f>IFERROR(__xludf.DUMMYFUNCTION("""COMPUTED_VALUE"""),676.0)</f>
        <v>676</v>
      </c>
      <c r="D4781" s="11">
        <f>IFERROR(__xludf.DUMMYFUNCTION("""COMPUTED_VALUE"""),507.0)</f>
        <v>507</v>
      </c>
      <c r="E4781" s="9"/>
    </row>
    <row r="4782">
      <c r="A4782" s="10">
        <f>IFERROR(__xludf.DUMMYFUNCTION("""COMPUTED_VALUE"""),11444.0)</f>
        <v>11444</v>
      </c>
      <c r="B4782" s="11">
        <f>IFERROR(__xludf.DUMMYFUNCTION("""COMPUTED_VALUE"""),0.0)</f>
        <v>0</v>
      </c>
      <c r="C4782" s="11">
        <f>IFERROR(__xludf.DUMMYFUNCTION("""COMPUTED_VALUE"""),890.0)</f>
        <v>890</v>
      </c>
      <c r="D4782" s="11">
        <f>IFERROR(__xludf.DUMMYFUNCTION("""COMPUTED_VALUE"""),610.0)</f>
        <v>610</v>
      </c>
      <c r="E4782" s="9"/>
    </row>
    <row r="4783">
      <c r="A4783" s="10">
        <f>IFERROR(__xludf.DUMMYFUNCTION("""COMPUTED_VALUE"""),74416.0)</f>
        <v>74416</v>
      </c>
      <c r="B4783" s="11">
        <f>IFERROR(__xludf.DUMMYFUNCTION("""COMPUTED_VALUE"""),0.0)</f>
        <v>0</v>
      </c>
      <c r="C4783" s="11">
        <f>IFERROR(__xludf.DUMMYFUNCTION("""COMPUTED_VALUE"""),733.0)</f>
        <v>733</v>
      </c>
      <c r="D4783" s="11">
        <f>IFERROR(__xludf.DUMMYFUNCTION("""COMPUTED_VALUE"""),157.0)</f>
        <v>157</v>
      </c>
      <c r="E4783" s="9"/>
    </row>
    <row r="4784">
      <c r="A4784" s="10">
        <f>IFERROR(__xludf.DUMMYFUNCTION("""COMPUTED_VALUE"""),75323.0)</f>
        <v>75323</v>
      </c>
      <c r="B4784" s="11">
        <f>IFERROR(__xludf.DUMMYFUNCTION("""COMPUTED_VALUE"""),1.0)</f>
        <v>1</v>
      </c>
      <c r="C4784" s="11">
        <f>IFERROR(__xludf.DUMMYFUNCTION("""COMPUTED_VALUE"""),327.0)</f>
        <v>327</v>
      </c>
      <c r="D4784" s="11">
        <f>IFERROR(__xludf.DUMMYFUNCTION("""COMPUTED_VALUE"""),164.0)</f>
        <v>164</v>
      </c>
      <c r="E4784" s="9"/>
    </row>
    <row r="4785">
      <c r="A4785" s="10">
        <f>IFERROR(__xludf.DUMMYFUNCTION("""COMPUTED_VALUE"""),86619.0)</f>
        <v>86619</v>
      </c>
      <c r="B4785" s="11">
        <f>IFERROR(__xludf.DUMMYFUNCTION("""COMPUTED_VALUE"""),0.0)</f>
        <v>0</v>
      </c>
      <c r="C4785" s="11">
        <f>IFERROR(__xludf.DUMMYFUNCTION("""COMPUTED_VALUE"""),37.0)</f>
        <v>37</v>
      </c>
      <c r="D4785" s="11">
        <f>IFERROR(__xludf.DUMMYFUNCTION("""COMPUTED_VALUE"""),2.0)</f>
        <v>2</v>
      </c>
      <c r="E4785" s="9"/>
    </row>
    <row r="4786">
      <c r="A4786" s="10">
        <f>IFERROR(__xludf.DUMMYFUNCTION("""COMPUTED_VALUE"""),119801.0)</f>
        <v>119801</v>
      </c>
      <c r="B4786" s="11">
        <f>IFERROR(__xludf.DUMMYFUNCTION("""COMPUTED_VALUE"""),1.0)</f>
        <v>1</v>
      </c>
      <c r="C4786" s="11">
        <f>IFERROR(__xludf.DUMMYFUNCTION("""COMPUTED_VALUE"""),562.0)</f>
        <v>562</v>
      </c>
      <c r="D4786" s="11">
        <f>IFERROR(__xludf.DUMMYFUNCTION("""COMPUTED_VALUE"""),278.0)</f>
        <v>278</v>
      </c>
      <c r="E4786" s="9"/>
    </row>
    <row r="4787">
      <c r="A4787" s="10">
        <f>IFERROR(__xludf.DUMMYFUNCTION("""COMPUTED_VALUE"""),126576.0)</f>
        <v>126576</v>
      </c>
      <c r="B4787" s="11">
        <f>IFERROR(__xludf.DUMMYFUNCTION("""COMPUTED_VALUE"""),0.0)</f>
        <v>0</v>
      </c>
      <c r="C4787" s="11">
        <f>IFERROR(__xludf.DUMMYFUNCTION("""COMPUTED_VALUE"""),792.0)</f>
        <v>792</v>
      </c>
      <c r="D4787" s="11">
        <f>IFERROR(__xludf.DUMMYFUNCTION("""COMPUTED_VALUE"""),719.0)</f>
        <v>719</v>
      </c>
      <c r="E4787" s="9"/>
    </row>
    <row r="4788">
      <c r="A4788" s="10">
        <f>IFERROR(__xludf.DUMMYFUNCTION("""COMPUTED_VALUE"""),108841.0)</f>
        <v>108841</v>
      </c>
      <c r="B4788" s="11">
        <f>IFERROR(__xludf.DUMMYFUNCTION("""COMPUTED_VALUE"""),1.0)</f>
        <v>1</v>
      </c>
      <c r="C4788" s="11">
        <f>IFERROR(__xludf.DUMMYFUNCTION("""COMPUTED_VALUE"""),99.0)</f>
        <v>99</v>
      </c>
      <c r="D4788" s="11">
        <f>IFERROR(__xludf.DUMMYFUNCTION("""COMPUTED_VALUE"""),59.0)</f>
        <v>59</v>
      </c>
      <c r="E4788" s="9"/>
    </row>
    <row r="4789">
      <c r="A4789" s="10">
        <f>IFERROR(__xludf.DUMMYFUNCTION("""COMPUTED_VALUE"""),82820.0)</f>
        <v>82820</v>
      </c>
      <c r="B4789" s="11">
        <f>IFERROR(__xludf.DUMMYFUNCTION("""COMPUTED_VALUE"""),1.0)</f>
        <v>1</v>
      </c>
      <c r="C4789" s="11">
        <f>IFERROR(__xludf.DUMMYFUNCTION("""COMPUTED_VALUE"""),399.0)</f>
        <v>399</v>
      </c>
      <c r="D4789" s="11">
        <f>IFERROR(__xludf.DUMMYFUNCTION("""COMPUTED_VALUE"""),210.0)</f>
        <v>210</v>
      </c>
      <c r="E4789" s="9"/>
    </row>
    <row r="4790">
      <c r="A4790" s="10">
        <f>IFERROR(__xludf.DUMMYFUNCTION("""COMPUTED_VALUE"""),116826.0)</f>
        <v>116826</v>
      </c>
      <c r="B4790" s="11">
        <f>IFERROR(__xludf.DUMMYFUNCTION("""COMPUTED_VALUE"""),1.0)</f>
        <v>1</v>
      </c>
      <c r="C4790" s="11">
        <f>IFERROR(__xludf.DUMMYFUNCTION("""COMPUTED_VALUE"""),861.0)</f>
        <v>861</v>
      </c>
      <c r="D4790" s="11">
        <f>IFERROR(__xludf.DUMMYFUNCTION("""COMPUTED_VALUE"""),274.0)</f>
        <v>274</v>
      </c>
      <c r="E4790" s="9"/>
    </row>
    <row r="4791">
      <c r="A4791" s="10">
        <f>IFERROR(__xludf.DUMMYFUNCTION("""COMPUTED_VALUE"""),126965.0)</f>
        <v>126965</v>
      </c>
      <c r="B4791" s="11">
        <f>IFERROR(__xludf.DUMMYFUNCTION("""COMPUTED_VALUE"""),1.0)</f>
        <v>1</v>
      </c>
      <c r="C4791" s="11">
        <f>IFERROR(__xludf.DUMMYFUNCTION("""COMPUTED_VALUE"""),552.0)</f>
        <v>552</v>
      </c>
      <c r="D4791" s="11">
        <f>IFERROR(__xludf.DUMMYFUNCTION("""COMPUTED_VALUE"""),211.0)</f>
        <v>211</v>
      </c>
      <c r="E4791" s="9"/>
    </row>
    <row r="4792">
      <c r="A4792" s="10">
        <f>IFERROR(__xludf.DUMMYFUNCTION("""COMPUTED_VALUE"""),103795.0)</f>
        <v>103795</v>
      </c>
      <c r="B4792" s="11">
        <f>IFERROR(__xludf.DUMMYFUNCTION("""COMPUTED_VALUE"""),0.0)</f>
        <v>0</v>
      </c>
      <c r="C4792" s="11">
        <f>IFERROR(__xludf.DUMMYFUNCTION("""COMPUTED_VALUE"""),326.0)</f>
        <v>326</v>
      </c>
      <c r="D4792" s="11">
        <f>IFERROR(__xludf.DUMMYFUNCTION("""COMPUTED_VALUE"""),53.0)</f>
        <v>53</v>
      </c>
      <c r="E4792" s="9"/>
    </row>
    <row r="4793">
      <c r="A4793" s="10">
        <f>IFERROR(__xludf.DUMMYFUNCTION("""COMPUTED_VALUE"""),116821.0)</f>
        <v>116821</v>
      </c>
      <c r="B4793" s="11">
        <f>IFERROR(__xludf.DUMMYFUNCTION("""COMPUTED_VALUE"""),0.0)</f>
        <v>0</v>
      </c>
      <c r="C4793" s="11">
        <f>IFERROR(__xludf.DUMMYFUNCTION("""COMPUTED_VALUE"""),285.0)</f>
        <v>285</v>
      </c>
      <c r="D4793" s="11">
        <f>IFERROR(__xludf.DUMMYFUNCTION("""COMPUTED_VALUE"""),85.0)</f>
        <v>85</v>
      </c>
      <c r="E4793" s="9"/>
    </row>
    <row r="4794">
      <c r="A4794" s="10">
        <f>IFERROR(__xludf.DUMMYFUNCTION("""COMPUTED_VALUE"""),126577.0)</f>
        <v>126577</v>
      </c>
      <c r="B4794" s="11">
        <f>IFERROR(__xludf.DUMMYFUNCTION("""COMPUTED_VALUE"""),0.0)</f>
        <v>0</v>
      </c>
      <c r="C4794" s="11">
        <f>IFERROR(__xludf.DUMMYFUNCTION("""COMPUTED_VALUE"""),3.0)</f>
        <v>3</v>
      </c>
      <c r="D4794" s="11">
        <f>IFERROR(__xludf.DUMMYFUNCTION("""COMPUTED_VALUE"""),1.0)</f>
        <v>1</v>
      </c>
      <c r="E4794" s="9"/>
    </row>
    <row r="4795">
      <c r="A4795" s="10">
        <f>IFERROR(__xludf.DUMMYFUNCTION("""COMPUTED_VALUE"""),82806.0)</f>
        <v>82806</v>
      </c>
      <c r="B4795" s="11">
        <f>IFERROR(__xludf.DUMMYFUNCTION("""COMPUTED_VALUE"""),0.0)</f>
        <v>0</v>
      </c>
      <c r="C4795" s="11">
        <f>IFERROR(__xludf.DUMMYFUNCTION("""COMPUTED_VALUE"""),800.0)</f>
        <v>800</v>
      </c>
      <c r="D4795" s="11">
        <f>IFERROR(__xludf.DUMMYFUNCTION("""COMPUTED_VALUE"""),191.0)</f>
        <v>191</v>
      </c>
      <c r="E4795" s="9"/>
    </row>
    <row r="4796">
      <c r="A4796" s="10">
        <f>IFERROR(__xludf.DUMMYFUNCTION("""COMPUTED_VALUE"""),68099.0)</f>
        <v>68099</v>
      </c>
      <c r="B4796" s="11">
        <f>IFERROR(__xludf.DUMMYFUNCTION("""COMPUTED_VALUE"""),1.0)</f>
        <v>1</v>
      </c>
      <c r="C4796" s="11">
        <f>IFERROR(__xludf.DUMMYFUNCTION("""COMPUTED_VALUE"""),141.0)</f>
        <v>141</v>
      </c>
      <c r="D4796" s="11">
        <f>IFERROR(__xludf.DUMMYFUNCTION("""COMPUTED_VALUE"""),25.0)</f>
        <v>25</v>
      </c>
      <c r="E4796" s="9"/>
    </row>
    <row r="4797">
      <c r="A4797" s="10">
        <f>IFERROR(__xludf.DUMMYFUNCTION("""COMPUTED_VALUE"""),82827.0)</f>
        <v>82827</v>
      </c>
      <c r="B4797" s="11">
        <f>IFERROR(__xludf.DUMMYFUNCTION("""COMPUTED_VALUE"""),0.0)</f>
        <v>0</v>
      </c>
      <c r="C4797" s="11">
        <f>IFERROR(__xludf.DUMMYFUNCTION("""COMPUTED_VALUE"""),635.0)</f>
        <v>635</v>
      </c>
      <c r="D4797" s="11">
        <f>IFERROR(__xludf.DUMMYFUNCTION("""COMPUTED_VALUE"""),183.0)</f>
        <v>183</v>
      </c>
      <c r="E4797" s="9"/>
    </row>
    <row r="4798">
      <c r="A4798" s="10">
        <f>IFERROR(__xludf.DUMMYFUNCTION("""COMPUTED_VALUE"""),77127.0)</f>
        <v>77127</v>
      </c>
      <c r="B4798" s="11">
        <f>IFERROR(__xludf.DUMMYFUNCTION("""COMPUTED_VALUE"""),1.0)</f>
        <v>1</v>
      </c>
      <c r="C4798" s="11">
        <f>IFERROR(__xludf.DUMMYFUNCTION("""COMPUTED_VALUE"""),774.0)</f>
        <v>774</v>
      </c>
      <c r="D4798" s="11">
        <f>IFERROR(__xludf.DUMMYFUNCTION("""COMPUTED_VALUE"""),512.0)</f>
        <v>512</v>
      </c>
      <c r="E4798" s="9"/>
    </row>
    <row r="4799">
      <c r="A4799" s="10">
        <f>IFERROR(__xludf.DUMMYFUNCTION("""COMPUTED_VALUE"""),69002.0)</f>
        <v>69002</v>
      </c>
      <c r="B4799" s="11">
        <f>IFERROR(__xludf.DUMMYFUNCTION("""COMPUTED_VALUE"""),1.0)</f>
        <v>1</v>
      </c>
      <c r="C4799" s="11">
        <f>IFERROR(__xludf.DUMMYFUNCTION("""COMPUTED_VALUE"""),42.0)</f>
        <v>42</v>
      </c>
      <c r="D4799" s="11">
        <f>IFERROR(__xludf.DUMMYFUNCTION("""COMPUTED_VALUE"""),40.0)</f>
        <v>40</v>
      </c>
      <c r="E4799" s="9"/>
    </row>
    <row r="4800">
      <c r="A4800" s="10">
        <f>IFERROR(__xludf.DUMMYFUNCTION("""COMPUTED_VALUE"""),119847.0)</f>
        <v>119847</v>
      </c>
      <c r="B4800" s="11">
        <f>IFERROR(__xludf.DUMMYFUNCTION("""COMPUTED_VALUE"""),0.0)</f>
        <v>0</v>
      </c>
      <c r="C4800" s="11">
        <f>IFERROR(__xludf.DUMMYFUNCTION("""COMPUTED_VALUE"""),177.0)</f>
        <v>177</v>
      </c>
      <c r="D4800" s="11">
        <f>IFERROR(__xludf.DUMMYFUNCTION("""COMPUTED_VALUE"""),103.0)</f>
        <v>103</v>
      </c>
      <c r="E4800" s="9"/>
    </row>
    <row r="4801">
      <c r="A4801" s="10">
        <f>IFERROR(__xludf.DUMMYFUNCTION("""COMPUTED_VALUE"""),11446.0)</f>
        <v>11446</v>
      </c>
      <c r="B4801" s="11">
        <f>IFERROR(__xludf.DUMMYFUNCTION("""COMPUTED_VALUE"""),1.0)</f>
        <v>1</v>
      </c>
      <c r="C4801" s="11">
        <f>IFERROR(__xludf.DUMMYFUNCTION("""COMPUTED_VALUE"""),935.0)</f>
        <v>935</v>
      </c>
      <c r="D4801" s="11">
        <f>IFERROR(__xludf.DUMMYFUNCTION("""COMPUTED_VALUE"""),672.0)</f>
        <v>672</v>
      </c>
      <c r="E4801" s="9"/>
    </row>
    <row r="4802">
      <c r="A4802" s="10">
        <f>IFERROR(__xludf.DUMMYFUNCTION("""COMPUTED_VALUE"""),30628.0)</f>
        <v>30628</v>
      </c>
      <c r="B4802" s="11">
        <f>IFERROR(__xludf.DUMMYFUNCTION("""COMPUTED_VALUE"""),0.0)</f>
        <v>0</v>
      </c>
      <c r="C4802" s="11">
        <f>IFERROR(__xludf.DUMMYFUNCTION("""COMPUTED_VALUE"""),494.0)</f>
        <v>494</v>
      </c>
      <c r="D4802" s="11">
        <f>IFERROR(__xludf.DUMMYFUNCTION("""COMPUTED_VALUE"""),289.0)</f>
        <v>289</v>
      </c>
      <c r="E4802" s="9"/>
    </row>
    <row r="4803">
      <c r="A4803" s="10">
        <f>IFERROR(__xludf.DUMMYFUNCTION("""COMPUTED_VALUE"""),113003.0)</f>
        <v>113003</v>
      </c>
      <c r="B4803" s="11">
        <f>IFERROR(__xludf.DUMMYFUNCTION("""COMPUTED_VALUE"""),0.0)</f>
        <v>0</v>
      </c>
      <c r="C4803" s="11">
        <f>IFERROR(__xludf.DUMMYFUNCTION("""COMPUTED_VALUE"""),647.0)</f>
        <v>647</v>
      </c>
      <c r="D4803" s="11">
        <f>IFERROR(__xludf.DUMMYFUNCTION("""COMPUTED_VALUE"""),396.0)</f>
        <v>396</v>
      </c>
      <c r="E4803" s="9"/>
    </row>
    <row r="4804">
      <c r="A4804" s="10">
        <f>IFERROR(__xludf.DUMMYFUNCTION("""COMPUTED_VALUE"""),30631.0)</f>
        <v>30631</v>
      </c>
      <c r="B4804" s="11">
        <f>IFERROR(__xludf.DUMMYFUNCTION("""COMPUTED_VALUE"""),1.0)</f>
        <v>1</v>
      </c>
      <c r="C4804" s="11">
        <f>IFERROR(__xludf.DUMMYFUNCTION("""COMPUTED_VALUE"""),894.0)</f>
        <v>894</v>
      </c>
      <c r="D4804" s="11">
        <f>IFERROR(__xludf.DUMMYFUNCTION("""COMPUTED_VALUE"""),849.0)</f>
        <v>849</v>
      </c>
      <c r="E4804" s="9"/>
    </row>
    <row r="4805">
      <c r="A4805" s="10">
        <f>IFERROR(__xludf.DUMMYFUNCTION("""COMPUTED_VALUE"""),188351.0)</f>
        <v>188351</v>
      </c>
      <c r="B4805" s="11">
        <f>IFERROR(__xludf.DUMMYFUNCTION("""COMPUTED_VALUE"""),0.0)</f>
        <v>0</v>
      </c>
      <c r="C4805" s="11">
        <f>IFERROR(__xludf.DUMMYFUNCTION("""COMPUTED_VALUE"""),506.0)</f>
        <v>506</v>
      </c>
      <c r="D4805" s="11">
        <f>IFERROR(__xludf.DUMMYFUNCTION("""COMPUTED_VALUE"""),138.0)</f>
        <v>138</v>
      </c>
      <c r="E4805" s="9"/>
    </row>
    <row r="4806">
      <c r="A4806" s="10">
        <f>IFERROR(__xludf.DUMMYFUNCTION("""COMPUTED_VALUE"""),67025.0)</f>
        <v>67025</v>
      </c>
      <c r="B4806" s="11">
        <f>IFERROR(__xludf.DUMMYFUNCTION("""COMPUTED_VALUE"""),0.0)</f>
        <v>0</v>
      </c>
      <c r="C4806" s="11">
        <f>IFERROR(__xludf.DUMMYFUNCTION("""COMPUTED_VALUE"""),63.0)</f>
        <v>63</v>
      </c>
      <c r="D4806" s="11">
        <f>IFERROR(__xludf.DUMMYFUNCTION("""COMPUTED_VALUE"""),55.0)</f>
        <v>55</v>
      </c>
      <c r="E4806" s="9"/>
    </row>
    <row r="4807">
      <c r="A4807" s="10">
        <f>IFERROR(__xludf.DUMMYFUNCTION("""COMPUTED_VALUE"""),119797.0)</f>
        <v>119797</v>
      </c>
      <c r="B4807" s="11">
        <f>IFERROR(__xludf.DUMMYFUNCTION("""COMPUTED_VALUE"""),1.0)</f>
        <v>1</v>
      </c>
      <c r="C4807" s="11">
        <f>IFERROR(__xludf.DUMMYFUNCTION("""COMPUTED_VALUE"""),890.0)</f>
        <v>890</v>
      </c>
      <c r="D4807" s="11">
        <f>IFERROR(__xludf.DUMMYFUNCTION("""COMPUTED_VALUE"""),358.0)</f>
        <v>358</v>
      </c>
      <c r="E4807" s="9"/>
    </row>
    <row r="4808">
      <c r="A4808" s="10">
        <f>IFERROR(__xludf.DUMMYFUNCTION("""COMPUTED_VALUE"""),3592.0)</f>
        <v>3592</v>
      </c>
      <c r="B4808" s="11">
        <f>IFERROR(__xludf.DUMMYFUNCTION("""COMPUTED_VALUE"""),1.0)</f>
        <v>1</v>
      </c>
      <c r="C4808" s="11">
        <f>IFERROR(__xludf.DUMMYFUNCTION("""COMPUTED_VALUE"""),156.0)</f>
        <v>156</v>
      </c>
      <c r="D4808" s="11">
        <f>IFERROR(__xludf.DUMMYFUNCTION("""COMPUTED_VALUE"""),114.0)</f>
        <v>114</v>
      </c>
      <c r="E4808" s="9"/>
    </row>
    <row r="4809">
      <c r="A4809" s="10">
        <f>IFERROR(__xludf.DUMMYFUNCTION("""COMPUTED_VALUE"""),3586.0)</f>
        <v>3586</v>
      </c>
      <c r="B4809" s="11">
        <f>IFERROR(__xludf.DUMMYFUNCTION("""COMPUTED_VALUE"""),0.0)</f>
        <v>0</v>
      </c>
      <c r="C4809" s="11">
        <f>IFERROR(__xludf.DUMMYFUNCTION("""COMPUTED_VALUE"""),24.0)</f>
        <v>24</v>
      </c>
      <c r="D4809" s="11">
        <f>IFERROR(__xludf.DUMMYFUNCTION("""COMPUTED_VALUE"""),23.0)</f>
        <v>23</v>
      </c>
      <c r="E4809" s="9"/>
    </row>
    <row r="4810">
      <c r="A4810" s="10">
        <f>IFERROR(__xludf.DUMMYFUNCTION("""COMPUTED_VALUE"""),3591.0)</f>
        <v>3591</v>
      </c>
      <c r="B4810" s="11">
        <f>IFERROR(__xludf.DUMMYFUNCTION("""COMPUTED_VALUE"""),0.0)</f>
        <v>0</v>
      </c>
      <c r="C4810" s="11">
        <f>IFERROR(__xludf.DUMMYFUNCTION("""COMPUTED_VALUE"""),766.0)</f>
        <v>766</v>
      </c>
      <c r="D4810" s="11">
        <f>IFERROR(__xludf.DUMMYFUNCTION("""COMPUTED_VALUE"""),104.0)</f>
        <v>104</v>
      </c>
      <c r="E4810" s="9"/>
    </row>
    <row r="4811">
      <c r="A4811" s="10">
        <f>IFERROR(__xludf.DUMMYFUNCTION("""COMPUTED_VALUE"""),73847.0)</f>
        <v>73847</v>
      </c>
      <c r="B4811" s="11">
        <f>IFERROR(__xludf.DUMMYFUNCTION("""COMPUTED_VALUE"""),1.0)</f>
        <v>1</v>
      </c>
      <c r="C4811" s="11">
        <f>IFERROR(__xludf.DUMMYFUNCTION("""COMPUTED_VALUE"""),517.0)</f>
        <v>517</v>
      </c>
      <c r="D4811" s="11">
        <f>IFERROR(__xludf.DUMMYFUNCTION("""COMPUTED_VALUE"""),286.0)</f>
        <v>286</v>
      </c>
      <c r="E4811" s="9"/>
    </row>
    <row r="4812">
      <c r="A4812" s="10">
        <f>IFERROR(__xludf.DUMMYFUNCTION("""COMPUTED_VALUE"""),3590.0)</f>
        <v>3590</v>
      </c>
      <c r="B4812" s="11">
        <f>IFERROR(__xludf.DUMMYFUNCTION("""COMPUTED_VALUE"""),0.0)</f>
        <v>0</v>
      </c>
      <c r="C4812" s="11">
        <f>IFERROR(__xludf.DUMMYFUNCTION("""COMPUTED_VALUE"""),170.0)</f>
        <v>170</v>
      </c>
      <c r="D4812" s="11">
        <f>IFERROR(__xludf.DUMMYFUNCTION("""COMPUTED_VALUE"""),157.0)</f>
        <v>157</v>
      </c>
      <c r="E4812" s="9"/>
    </row>
    <row r="4813">
      <c r="A4813" s="10">
        <f>IFERROR(__xludf.DUMMYFUNCTION("""COMPUTED_VALUE"""),116903.0)</f>
        <v>116903</v>
      </c>
      <c r="B4813" s="11">
        <f>IFERROR(__xludf.DUMMYFUNCTION("""COMPUTED_VALUE"""),0.0)</f>
        <v>0</v>
      </c>
      <c r="C4813" s="11">
        <f>IFERROR(__xludf.DUMMYFUNCTION("""COMPUTED_VALUE"""),419.0)</f>
        <v>419</v>
      </c>
      <c r="D4813" s="11">
        <f>IFERROR(__xludf.DUMMYFUNCTION("""COMPUTED_VALUE"""),320.0)</f>
        <v>320</v>
      </c>
      <c r="E4813" s="9"/>
    </row>
    <row r="4814">
      <c r="A4814" s="10">
        <f>IFERROR(__xludf.DUMMYFUNCTION("""COMPUTED_VALUE"""),116780.0)</f>
        <v>116780</v>
      </c>
      <c r="B4814" s="11">
        <f>IFERROR(__xludf.DUMMYFUNCTION("""COMPUTED_VALUE"""),0.0)</f>
        <v>0</v>
      </c>
      <c r="C4814" s="11">
        <f>IFERROR(__xludf.DUMMYFUNCTION("""COMPUTED_VALUE"""),450.0)</f>
        <v>450</v>
      </c>
      <c r="D4814" s="11">
        <f>IFERROR(__xludf.DUMMYFUNCTION("""COMPUTED_VALUE"""),344.0)</f>
        <v>344</v>
      </c>
      <c r="E4814" s="9"/>
    </row>
    <row r="4815">
      <c r="A4815" s="10">
        <f>IFERROR(__xludf.DUMMYFUNCTION("""COMPUTED_VALUE"""),114912.0)</f>
        <v>114912</v>
      </c>
      <c r="B4815" s="11">
        <f>IFERROR(__xludf.DUMMYFUNCTION("""COMPUTED_VALUE"""),1.0)</f>
        <v>1</v>
      </c>
      <c r="C4815" s="11">
        <f>IFERROR(__xludf.DUMMYFUNCTION("""COMPUTED_VALUE"""),626.0)</f>
        <v>626</v>
      </c>
      <c r="D4815" s="11">
        <f>IFERROR(__xludf.DUMMYFUNCTION("""COMPUTED_VALUE"""),623.0)</f>
        <v>623</v>
      </c>
      <c r="E4815" s="9"/>
    </row>
    <row r="4816">
      <c r="A4816" s="10">
        <f>IFERROR(__xludf.DUMMYFUNCTION("""COMPUTED_VALUE"""),111970.0)</f>
        <v>111970</v>
      </c>
      <c r="B4816" s="11">
        <f>IFERROR(__xludf.DUMMYFUNCTION("""COMPUTED_VALUE"""),1.0)</f>
        <v>1</v>
      </c>
      <c r="C4816" s="11">
        <f>IFERROR(__xludf.DUMMYFUNCTION("""COMPUTED_VALUE"""),535.0)</f>
        <v>535</v>
      </c>
      <c r="D4816" s="11">
        <f>IFERROR(__xludf.DUMMYFUNCTION("""COMPUTED_VALUE"""),525.0)</f>
        <v>525</v>
      </c>
      <c r="E4816" s="9"/>
    </row>
    <row r="4817">
      <c r="A4817" s="10">
        <f>IFERROR(__xludf.DUMMYFUNCTION("""COMPUTED_VALUE"""),126973.0)</f>
        <v>126973</v>
      </c>
      <c r="B4817" s="11">
        <f>IFERROR(__xludf.DUMMYFUNCTION("""COMPUTED_VALUE"""),1.0)</f>
        <v>1</v>
      </c>
      <c r="C4817" s="11">
        <f>IFERROR(__xludf.DUMMYFUNCTION("""COMPUTED_VALUE"""),803.0)</f>
        <v>803</v>
      </c>
      <c r="D4817" s="11">
        <f>IFERROR(__xludf.DUMMYFUNCTION("""COMPUTED_VALUE"""),663.0)</f>
        <v>663</v>
      </c>
      <c r="E4817" s="9"/>
    </row>
    <row r="4818">
      <c r="A4818" s="10">
        <f>IFERROR(__xludf.DUMMYFUNCTION("""COMPUTED_VALUE"""),116964.0)</f>
        <v>116964</v>
      </c>
      <c r="B4818" s="11">
        <f>IFERROR(__xludf.DUMMYFUNCTION("""COMPUTED_VALUE"""),0.0)</f>
        <v>0</v>
      </c>
      <c r="C4818" s="11">
        <f>IFERROR(__xludf.DUMMYFUNCTION("""COMPUTED_VALUE"""),138.0)</f>
        <v>138</v>
      </c>
      <c r="D4818" s="11">
        <f>IFERROR(__xludf.DUMMYFUNCTION("""COMPUTED_VALUE"""),115.0)</f>
        <v>115</v>
      </c>
      <c r="E4818" s="9"/>
    </row>
    <row r="4819">
      <c r="A4819" s="10">
        <f>IFERROR(__xludf.DUMMYFUNCTION("""COMPUTED_VALUE"""),122340.0)</f>
        <v>122340</v>
      </c>
      <c r="B4819" s="11">
        <f>IFERROR(__xludf.DUMMYFUNCTION("""COMPUTED_VALUE"""),0.0)</f>
        <v>0</v>
      </c>
      <c r="C4819" s="11">
        <f>IFERROR(__xludf.DUMMYFUNCTION("""COMPUTED_VALUE"""),318.0)</f>
        <v>318</v>
      </c>
      <c r="D4819" s="11">
        <f>IFERROR(__xludf.DUMMYFUNCTION("""COMPUTED_VALUE"""),154.0)</f>
        <v>154</v>
      </c>
      <c r="E4819" s="9"/>
    </row>
    <row r="4820">
      <c r="A4820" s="10">
        <f>IFERROR(__xludf.DUMMYFUNCTION("""COMPUTED_VALUE"""),116963.0)</f>
        <v>116963</v>
      </c>
      <c r="B4820" s="11">
        <f>IFERROR(__xludf.DUMMYFUNCTION("""COMPUTED_VALUE"""),0.0)</f>
        <v>0</v>
      </c>
      <c r="C4820" s="11">
        <f>IFERROR(__xludf.DUMMYFUNCTION("""COMPUTED_VALUE"""),372.0)</f>
        <v>372</v>
      </c>
      <c r="D4820" s="11">
        <f>IFERROR(__xludf.DUMMYFUNCTION("""COMPUTED_VALUE"""),151.0)</f>
        <v>151</v>
      </c>
      <c r="E4820" s="9"/>
    </row>
    <row r="4821">
      <c r="A4821" s="10">
        <f>IFERROR(__xludf.DUMMYFUNCTION("""COMPUTED_VALUE"""),120241.0)</f>
        <v>120241</v>
      </c>
      <c r="B4821" s="11">
        <f>IFERROR(__xludf.DUMMYFUNCTION("""COMPUTED_VALUE"""),1.0)</f>
        <v>1</v>
      </c>
      <c r="C4821" s="11">
        <f>IFERROR(__xludf.DUMMYFUNCTION("""COMPUTED_VALUE"""),929.0)</f>
        <v>929</v>
      </c>
      <c r="D4821" s="11">
        <f>IFERROR(__xludf.DUMMYFUNCTION("""COMPUTED_VALUE"""),820.0)</f>
        <v>820</v>
      </c>
      <c r="E4821" s="9"/>
    </row>
    <row r="4822">
      <c r="A4822" s="10">
        <f>IFERROR(__xludf.DUMMYFUNCTION("""COMPUTED_VALUE"""),120205.0)</f>
        <v>120205</v>
      </c>
      <c r="B4822" s="11">
        <f>IFERROR(__xludf.DUMMYFUNCTION("""COMPUTED_VALUE"""),0.0)</f>
        <v>0</v>
      </c>
      <c r="C4822" s="11">
        <f>IFERROR(__xludf.DUMMYFUNCTION("""COMPUTED_VALUE"""),843.0)</f>
        <v>843</v>
      </c>
      <c r="D4822" s="11">
        <f>IFERROR(__xludf.DUMMYFUNCTION("""COMPUTED_VALUE"""),243.0)</f>
        <v>243</v>
      </c>
      <c r="E4822" s="9"/>
    </row>
    <row r="4823">
      <c r="A4823" s="10">
        <f>IFERROR(__xludf.DUMMYFUNCTION("""COMPUTED_VALUE"""),104162.0)</f>
        <v>104162</v>
      </c>
      <c r="B4823" s="11">
        <f>IFERROR(__xludf.DUMMYFUNCTION("""COMPUTED_VALUE"""),1.0)</f>
        <v>1</v>
      </c>
      <c r="C4823" s="11">
        <f>IFERROR(__xludf.DUMMYFUNCTION("""COMPUTED_VALUE"""),505.0)</f>
        <v>505</v>
      </c>
      <c r="D4823" s="11">
        <f>IFERROR(__xludf.DUMMYFUNCTION("""COMPUTED_VALUE"""),348.0)</f>
        <v>348</v>
      </c>
      <c r="E4823" s="9"/>
    </row>
    <row r="4824">
      <c r="A4824" s="10">
        <f>IFERROR(__xludf.DUMMYFUNCTION("""COMPUTED_VALUE"""),110792.0)</f>
        <v>110792</v>
      </c>
      <c r="B4824" s="11">
        <f>IFERROR(__xludf.DUMMYFUNCTION("""COMPUTED_VALUE"""),0.0)</f>
        <v>0</v>
      </c>
      <c r="C4824" s="11">
        <f>IFERROR(__xludf.DUMMYFUNCTION("""COMPUTED_VALUE"""),439.0)</f>
        <v>439</v>
      </c>
      <c r="D4824" s="11">
        <f>IFERROR(__xludf.DUMMYFUNCTION("""COMPUTED_VALUE"""),343.0)</f>
        <v>343</v>
      </c>
      <c r="E4824" s="9"/>
    </row>
    <row r="4825">
      <c r="A4825" s="10">
        <f>IFERROR(__xludf.DUMMYFUNCTION("""COMPUTED_VALUE"""),104169.0)</f>
        <v>104169</v>
      </c>
      <c r="B4825" s="11">
        <f>IFERROR(__xludf.DUMMYFUNCTION("""COMPUTED_VALUE"""),0.0)</f>
        <v>0</v>
      </c>
      <c r="C4825" s="11">
        <f>IFERROR(__xludf.DUMMYFUNCTION("""COMPUTED_VALUE"""),313.0)</f>
        <v>313</v>
      </c>
      <c r="D4825" s="11">
        <f>IFERROR(__xludf.DUMMYFUNCTION("""COMPUTED_VALUE"""),235.0)</f>
        <v>235</v>
      </c>
      <c r="E4825" s="9"/>
    </row>
    <row r="4826">
      <c r="A4826" s="10">
        <f>IFERROR(__xludf.DUMMYFUNCTION("""COMPUTED_VALUE"""),111957.0)</f>
        <v>111957</v>
      </c>
      <c r="B4826" s="11">
        <f>IFERROR(__xludf.DUMMYFUNCTION("""COMPUTED_VALUE"""),0.0)</f>
        <v>0</v>
      </c>
      <c r="C4826" s="11">
        <f>IFERROR(__xludf.DUMMYFUNCTION("""COMPUTED_VALUE"""),498.0)</f>
        <v>498</v>
      </c>
      <c r="D4826" s="11">
        <f>IFERROR(__xludf.DUMMYFUNCTION("""COMPUTED_VALUE"""),214.0)</f>
        <v>214</v>
      </c>
      <c r="E4826" s="9"/>
    </row>
    <row r="4827">
      <c r="A4827" s="10">
        <f>IFERROR(__xludf.DUMMYFUNCTION("""COMPUTED_VALUE"""),89201.0)</f>
        <v>89201</v>
      </c>
      <c r="B4827" s="11">
        <f>IFERROR(__xludf.DUMMYFUNCTION("""COMPUTED_VALUE"""),0.0)</f>
        <v>0</v>
      </c>
      <c r="C4827" s="11">
        <f>IFERROR(__xludf.DUMMYFUNCTION("""COMPUTED_VALUE"""),634.0)</f>
        <v>634</v>
      </c>
      <c r="D4827" s="11">
        <f>IFERROR(__xludf.DUMMYFUNCTION("""COMPUTED_VALUE"""),386.0)</f>
        <v>386</v>
      </c>
      <c r="E4827" s="9"/>
    </row>
    <row r="4828">
      <c r="A4828" s="10">
        <f>IFERROR(__xludf.DUMMYFUNCTION("""COMPUTED_VALUE"""),87305.0)</f>
        <v>87305</v>
      </c>
      <c r="B4828" s="11">
        <f>IFERROR(__xludf.DUMMYFUNCTION("""COMPUTED_VALUE"""),1.0)</f>
        <v>1</v>
      </c>
      <c r="C4828" s="11">
        <f>IFERROR(__xludf.DUMMYFUNCTION("""COMPUTED_VALUE"""),503.0)</f>
        <v>503</v>
      </c>
      <c r="D4828" s="11">
        <f>IFERROR(__xludf.DUMMYFUNCTION("""COMPUTED_VALUE"""),421.0)</f>
        <v>421</v>
      </c>
      <c r="E4828" s="9"/>
    </row>
    <row r="4829">
      <c r="A4829" s="10">
        <f>IFERROR(__xludf.DUMMYFUNCTION("""COMPUTED_VALUE"""),3480.0)</f>
        <v>3480</v>
      </c>
      <c r="B4829" s="11">
        <f>IFERROR(__xludf.DUMMYFUNCTION("""COMPUTED_VALUE"""),1.0)</f>
        <v>1</v>
      </c>
      <c r="C4829" s="11">
        <f>IFERROR(__xludf.DUMMYFUNCTION("""COMPUTED_VALUE"""),658.0)</f>
        <v>658</v>
      </c>
      <c r="D4829" s="11">
        <f>IFERROR(__xludf.DUMMYFUNCTION("""COMPUTED_VALUE"""),14.0)</f>
        <v>14</v>
      </c>
      <c r="E4829" s="9"/>
    </row>
    <row r="4830">
      <c r="A4830" s="10">
        <f>IFERROR(__xludf.DUMMYFUNCTION("""COMPUTED_VALUE"""),116817.0)</f>
        <v>116817</v>
      </c>
      <c r="B4830" s="11">
        <f>IFERROR(__xludf.DUMMYFUNCTION("""COMPUTED_VALUE"""),0.0)</f>
        <v>0</v>
      </c>
      <c r="C4830" s="11">
        <f>IFERROR(__xludf.DUMMYFUNCTION("""COMPUTED_VALUE"""),351.0)</f>
        <v>351</v>
      </c>
      <c r="D4830" s="11">
        <f>IFERROR(__xludf.DUMMYFUNCTION("""COMPUTED_VALUE"""),191.0)</f>
        <v>191</v>
      </c>
      <c r="E4830" s="9"/>
    </row>
    <row r="4831">
      <c r="A4831" s="10">
        <f>IFERROR(__xludf.DUMMYFUNCTION("""COMPUTED_VALUE"""),47209.0)</f>
        <v>47209</v>
      </c>
      <c r="B4831" s="11">
        <f>IFERROR(__xludf.DUMMYFUNCTION("""COMPUTED_VALUE"""),0.0)</f>
        <v>0</v>
      </c>
      <c r="C4831" s="11">
        <f>IFERROR(__xludf.DUMMYFUNCTION("""COMPUTED_VALUE"""),468.0)</f>
        <v>468</v>
      </c>
      <c r="D4831" s="11">
        <f>IFERROR(__xludf.DUMMYFUNCTION("""COMPUTED_VALUE"""),385.0)</f>
        <v>385</v>
      </c>
      <c r="E4831" s="9"/>
    </row>
    <row r="4832">
      <c r="A4832" s="10">
        <f>IFERROR(__xludf.DUMMYFUNCTION("""COMPUTED_VALUE"""),68213.0)</f>
        <v>68213</v>
      </c>
      <c r="B4832" s="11">
        <f>IFERROR(__xludf.DUMMYFUNCTION("""COMPUTED_VALUE"""),1.0)</f>
        <v>1</v>
      </c>
      <c r="C4832" s="11">
        <f>IFERROR(__xludf.DUMMYFUNCTION("""COMPUTED_VALUE"""),568.0)</f>
        <v>568</v>
      </c>
      <c r="D4832" s="11">
        <f>IFERROR(__xludf.DUMMYFUNCTION("""COMPUTED_VALUE"""),94.0)</f>
        <v>94</v>
      </c>
      <c r="E4832" s="9"/>
    </row>
    <row r="4833">
      <c r="A4833" s="10">
        <f>IFERROR(__xludf.DUMMYFUNCTION("""COMPUTED_VALUE"""),100999.0)</f>
        <v>100999</v>
      </c>
      <c r="B4833" s="11">
        <f>IFERROR(__xludf.DUMMYFUNCTION("""COMPUTED_VALUE"""),0.0)</f>
        <v>0</v>
      </c>
      <c r="C4833" s="11">
        <f>IFERROR(__xludf.DUMMYFUNCTION("""COMPUTED_VALUE"""),717.0)</f>
        <v>717</v>
      </c>
      <c r="D4833" s="11">
        <f>IFERROR(__xludf.DUMMYFUNCTION("""COMPUTED_VALUE"""),242.0)</f>
        <v>242</v>
      </c>
      <c r="E4833" s="9"/>
    </row>
    <row r="4834">
      <c r="A4834" s="10">
        <f>IFERROR(__xludf.DUMMYFUNCTION("""COMPUTED_VALUE"""),119241.0)</f>
        <v>119241</v>
      </c>
      <c r="B4834" s="11">
        <f>IFERROR(__xludf.DUMMYFUNCTION("""COMPUTED_VALUE"""),1.0)</f>
        <v>1</v>
      </c>
      <c r="C4834" s="11">
        <f>IFERROR(__xludf.DUMMYFUNCTION("""COMPUTED_VALUE"""),779.0)</f>
        <v>779</v>
      </c>
      <c r="D4834" s="11">
        <f>IFERROR(__xludf.DUMMYFUNCTION("""COMPUTED_VALUE"""),177.0)</f>
        <v>177</v>
      </c>
      <c r="E4834" s="9"/>
    </row>
    <row r="4835">
      <c r="A4835" s="10">
        <f>IFERROR(__xludf.DUMMYFUNCTION("""COMPUTED_VALUE"""),133917.0)</f>
        <v>133917</v>
      </c>
      <c r="B4835" s="11">
        <f>IFERROR(__xludf.DUMMYFUNCTION("""COMPUTED_VALUE"""),1.0)</f>
        <v>1</v>
      </c>
      <c r="C4835" s="11">
        <f>IFERROR(__xludf.DUMMYFUNCTION("""COMPUTED_VALUE"""),152.0)</f>
        <v>152</v>
      </c>
      <c r="D4835" s="11">
        <f>IFERROR(__xludf.DUMMYFUNCTION("""COMPUTED_VALUE"""),18.0)</f>
        <v>18</v>
      </c>
      <c r="E4835" s="9"/>
    </row>
    <row r="4836">
      <c r="A4836" s="10">
        <f>IFERROR(__xludf.DUMMYFUNCTION("""COMPUTED_VALUE"""),128334.0)</f>
        <v>128334</v>
      </c>
      <c r="B4836" s="11">
        <f>IFERROR(__xludf.DUMMYFUNCTION("""COMPUTED_VALUE"""),1.0)</f>
        <v>1</v>
      </c>
      <c r="C4836" s="11">
        <f>IFERROR(__xludf.DUMMYFUNCTION("""COMPUTED_VALUE"""),614.0)</f>
        <v>614</v>
      </c>
      <c r="D4836" s="11">
        <f>IFERROR(__xludf.DUMMYFUNCTION("""COMPUTED_VALUE"""),441.0)</f>
        <v>441</v>
      </c>
      <c r="E4836" s="9"/>
    </row>
    <row r="4837">
      <c r="A4837" s="10">
        <f>IFERROR(__xludf.DUMMYFUNCTION("""COMPUTED_VALUE"""),113235.0)</f>
        <v>113235</v>
      </c>
      <c r="B4837" s="11">
        <f>IFERROR(__xludf.DUMMYFUNCTION("""COMPUTED_VALUE"""),1.0)</f>
        <v>1</v>
      </c>
      <c r="C4837" s="11">
        <f>IFERROR(__xludf.DUMMYFUNCTION("""COMPUTED_VALUE"""),769.0)</f>
        <v>769</v>
      </c>
      <c r="D4837" s="11">
        <f>IFERROR(__xludf.DUMMYFUNCTION("""COMPUTED_VALUE"""),449.0)</f>
        <v>449</v>
      </c>
      <c r="E4837" s="9"/>
    </row>
    <row r="4838">
      <c r="A4838" s="10">
        <f>IFERROR(__xludf.DUMMYFUNCTION("""COMPUTED_VALUE"""),113249.0)</f>
        <v>113249</v>
      </c>
      <c r="B4838" s="11">
        <f>IFERROR(__xludf.DUMMYFUNCTION("""COMPUTED_VALUE"""),0.0)</f>
        <v>0</v>
      </c>
      <c r="C4838" s="11">
        <f>IFERROR(__xludf.DUMMYFUNCTION("""COMPUTED_VALUE"""),549.0)</f>
        <v>549</v>
      </c>
      <c r="D4838" s="11">
        <f>IFERROR(__xludf.DUMMYFUNCTION("""COMPUTED_VALUE"""),281.0)</f>
        <v>281</v>
      </c>
      <c r="E4838" s="9"/>
    </row>
    <row r="4839">
      <c r="A4839" s="10">
        <f>IFERROR(__xludf.DUMMYFUNCTION("""COMPUTED_VALUE"""),89210.0)</f>
        <v>89210</v>
      </c>
      <c r="B4839" s="11">
        <f>IFERROR(__xludf.DUMMYFUNCTION("""COMPUTED_VALUE"""),1.0)</f>
        <v>1</v>
      </c>
      <c r="C4839" s="11">
        <f>IFERROR(__xludf.DUMMYFUNCTION("""COMPUTED_VALUE"""),300.0)</f>
        <v>300</v>
      </c>
      <c r="D4839" s="11">
        <f>IFERROR(__xludf.DUMMYFUNCTION("""COMPUTED_VALUE"""),166.0)</f>
        <v>166</v>
      </c>
      <c r="E4839" s="9"/>
    </row>
    <row r="4840">
      <c r="A4840" s="10">
        <f>IFERROR(__xludf.DUMMYFUNCTION("""COMPUTED_VALUE"""),104170.0)</f>
        <v>104170</v>
      </c>
      <c r="B4840" s="11">
        <f>IFERROR(__xludf.DUMMYFUNCTION("""COMPUTED_VALUE"""),1.0)</f>
        <v>1</v>
      </c>
      <c r="C4840" s="11">
        <f>IFERROR(__xludf.DUMMYFUNCTION("""COMPUTED_VALUE"""),272.0)</f>
        <v>272</v>
      </c>
      <c r="D4840" s="11">
        <f>IFERROR(__xludf.DUMMYFUNCTION("""COMPUTED_VALUE"""),42.0)</f>
        <v>42</v>
      </c>
      <c r="E4840" s="9"/>
    </row>
    <row r="4841">
      <c r="A4841" s="10">
        <f>IFERROR(__xludf.DUMMYFUNCTION("""COMPUTED_VALUE"""),18671.0)</f>
        <v>18671</v>
      </c>
      <c r="B4841" s="11">
        <f>IFERROR(__xludf.DUMMYFUNCTION("""COMPUTED_VALUE"""),1.0)</f>
        <v>1</v>
      </c>
      <c r="C4841" s="11">
        <f>IFERROR(__xludf.DUMMYFUNCTION("""COMPUTED_VALUE"""),540.0)</f>
        <v>540</v>
      </c>
      <c r="D4841" s="11">
        <f>IFERROR(__xludf.DUMMYFUNCTION("""COMPUTED_VALUE"""),89.0)</f>
        <v>89</v>
      </c>
      <c r="E4841" s="9"/>
    </row>
    <row r="4842">
      <c r="A4842" s="10">
        <f>IFERROR(__xludf.DUMMYFUNCTION("""COMPUTED_VALUE"""),83804.0)</f>
        <v>83804</v>
      </c>
      <c r="B4842" s="11">
        <f>IFERROR(__xludf.DUMMYFUNCTION("""COMPUTED_VALUE"""),0.0)</f>
        <v>0</v>
      </c>
      <c r="C4842" s="11">
        <f>IFERROR(__xludf.DUMMYFUNCTION("""COMPUTED_VALUE"""),190.0)</f>
        <v>190</v>
      </c>
      <c r="D4842" s="11">
        <f>IFERROR(__xludf.DUMMYFUNCTION("""COMPUTED_VALUE"""),81.0)</f>
        <v>81</v>
      </c>
      <c r="E4842" s="9"/>
    </row>
    <row r="4843">
      <c r="A4843" s="10">
        <f>IFERROR(__xludf.DUMMYFUNCTION("""COMPUTED_VALUE"""),104415.0)</f>
        <v>104415</v>
      </c>
      <c r="B4843" s="11">
        <f>IFERROR(__xludf.DUMMYFUNCTION("""COMPUTED_VALUE"""),0.0)</f>
        <v>0</v>
      </c>
      <c r="C4843" s="11">
        <f>IFERROR(__xludf.DUMMYFUNCTION("""COMPUTED_VALUE"""),482.0)</f>
        <v>482</v>
      </c>
      <c r="D4843" s="11">
        <f>IFERROR(__xludf.DUMMYFUNCTION("""COMPUTED_VALUE"""),202.0)</f>
        <v>202</v>
      </c>
      <c r="E4843" s="9"/>
    </row>
    <row r="4844">
      <c r="A4844" s="10">
        <f>IFERROR(__xludf.DUMMYFUNCTION("""COMPUTED_VALUE"""),78351.0)</f>
        <v>78351</v>
      </c>
      <c r="B4844" s="11">
        <f>IFERROR(__xludf.DUMMYFUNCTION("""COMPUTED_VALUE"""),1.0)</f>
        <v>1</v>
      </c>
      <c r="C4844" s="11">
        <f>IFERROR(__xludf.DUMMYFUNCTION("""COMPUTED_VALUE"""),935.0)</f>
        <v>935</v>
      </c>
      <c r="D4844" s="11">
        <f>IFERROR(__xludf.DUMMYFUNCTION("""COMPUTED_VALUE"""),488.0)</f>
        <v>488</v>
      </c>
      <c r="E4844" s="9"/>
    </row>
    <row r="4845">
      <c r="A4845" s="10">
        <f>IFERROR(__xludf.DUMMYFUNCTION("""COMPUTED_VALUE"""),112174.0)</f>
        <v>112174</v>
      </c>
      <c r="B4845" s="11">
        <f>IFERROR(__xludf.DUMMYFUNCTION("""COMPUTED_VALUE"""),1.0)</f>
        <v>1</v>
      </c>
      <c r="C4845" s="11">
        <f>IFERROR(__xludf.DUMMYFUNCTION("""COMPUTED_VALUE"""),261.0)</f>
        <v>261</v>
      </c>
      <c r="D4845" s="11">
        <f>IFERROR(__xludf.DUMMYFUNCTION("""COMPUTED_VALUE"""),259.0)</f>
        <v>259</v>
      </c>
      <c r="E4845" s="9"/>
    </row>
    <row r="4846">
      <c r="A4846" s="10">
        <f>IFERROR(__xludf.DUMMYFUNCTION("""COMPUTED_VALUE"""),120248.0)</f>
        <v>120248</v>
      </c>
      <c r="B4846" s="11">
        <f>IFERROR(__xludf.DUMMYFUNCTION("""COMPUTED_VALUE"""),0.0)</f>
        <v>0</v>
      </c>
      <c r="C4846" s="11">
        <f>IFERROR(__xludf.DUMMYFUNCTION("""COMPUTED_VALUE"""),319.0)</f>
        <v>319</v>
      </c>
      <c r="D4846" s="11">
        <f>IFERROR(__xludf.DUMMYFUNCTION("""COMPUTED_VALUE"""),15.0)</f>
        <v>15</v>
      </c>
      <c r="E4846" s="9"/>
    </row>
    <row r="4847">
      <c r="A4847" s="10">
        <f>IFERROR(__xludf.DUMMYFUNCTION("""COMPUTED_VALUE"""),18672.0)</f>
        <v>18672</v>
      </c>
      <c r="B4847" s="11">
        <f>IFERROR(__xludf.DUMMYFUNCTION("""COMPUTED_VALUE"""),0.0)</f>
        <v>0</v>
      </c>
      <c r="C4847" s="11">
        <f>IFERROR(__xludf.DUMMYFUNCTION("""COMPUTED_VALUE"""),829.0)</f>
        <v>829</v>
      </c>
      <c r="D4847" s="11">
        <f>IFERROR(__xludf.DUMMYFUNCTION("""COMPUTED_VALUE"""),247.0)</f>
        <v>247</v>
      </c>
      <c r="E4847" s="9"/>
    </row>
    <row r="4848">
      <c r="A4848" s="10">
        <f>IFERROR(__xludf.DUMMYFUNCTION("""COMPUTED_VALUE"""),13517.0)</f>
        <v>13517</v>
      </c>
      <c r="B4848" s="11">
        <f>IFERROR(__xludf.DUMMYFUNCTION("""COMPUTED_VALUE"""),1.0)</f>
        <v>1</v>
      </c>
      <c r="C4848" s="11">
        <f>IFERROR(__xludf.DUMMYFUNCTION("""COMPUTED_VALUE"""),251.0)</f>
        <v>251</v>
      </c>
      <c r="D4848" s="11">
        <f>IFERROR(__xludf.DUMMYFUNCTION("""COMPUTED_VALUE"""),80.0)</f>
        <v>80</v>
      </c>
      <c r="E4848" s="9"/>
    </row>
    <row r="4849">
      <c r="A4849" s="10">
        <f>IFERROR(__xludf.DUMMYFUNCTION("""COMPUTED_VALUE"""),119896.0)</f>
        <v>119896</v>
      </c>
      <c r="B4849" s="11">
        <f>IFERROR(__xludf.DUMMYFUNCTION("""COMPUTED_VALUE"""),1.0)</f>
        <v>1</v>
      </c>
      <c r="C4849" s="11">
        <f>IFERROR(__xludf.DUMMYFUNCTION("""COMPUTED_VALUE"""),671.0)</f>
        <v>671</v>
      </c>
      <c r="D4849" s="11">
        <f>IFERROR(__xludf.DUMMYFUNCTION("""COMPUTED_VALUE"""),620.0)</f>
        <v>620</v>
      </c>
      <c r="E4849" s="9"/>
    </row>
    <row r="4850">
      <c r="A4850" s="10">
        <f>IFERROR(__xludf.DUMMYFUNCTION("""COMPUTED_VALUE"""),120249.0)</f>
        <v>120249</v>
      </c>
      <c r="B4850" s="11">
        <f>IFERROR(__xludf.DUMMYFUNCTION("""COMPUTED_VALUE"""),1.0)</f>
        <v>1</v>
      </c>
      <c r="C4850" s="11">
        <f>IFERROR(__xludf.DUMMYFUNCTION("""COMPUTED_VALUE"""),236.0)</f>
        <v>236</v>
      </c>
      <c r="D4850" s="11">
        <f>IFERROR(__xludf.DUMMYFUNCTION("""COMPUTED_VALUE"""),97.0)</f>
        <v>97</v>
      </c>
      <c r="E4850" s="9"/>
    </row>
    <row r="4851">
      <c r="A4851" s="10">
        <f>IFERROR(__xludf.DUMMYFUNCTION("""COMPUTED_VALUE"""),78352.0)</f>
        <v>78352</v>
      </c>
      <c r="B4851" s="11">
        <f>IFERROR(__xludf.DUMMYFUNCTION("""COMPUTED_VALUE"""),1.0)</f>
        <v>1</v>
      </c>
      <c r="C4851" s="11">
        <f>IFERROR(__xludf.DUMMYFUNCTION("""COMPUTED_VALUE"""),66.0)</f>
        <v>66</v>
      </c>
      <c r="D4851" s="11">
        <f>IFERROR(__xludf.DUMMYFUNCTION("""COMPUTED_VALUE"""),13.0)</f>
        <v>13</v>
      </c>
      <c r="E4851" s="9"/>
    </row>
    <row r="4852">
      <c r="A4852" s="10">
        <f>IFERROR(__xludf.DUMMYFUNCTION("""COMPUTED_VALUE"""),45630.0)</f>
        <v>45630</v>
      </c>
      <c r="B4852" s="11">
        <f>IFERROR(__xludf.DUMMYFUNCTION("""COMPUTED_VALUE"""),1.0)</f>
        <v>1</v>
      </c>
      <c r="C4852" s="11">
        <f>IFERROR(__xludf.DUMMYFUNCTION("""COMPUTED_VALUE"""),744.0)</f>
        <v>744</v>
      </c>
      <c r="D4852" s="11">
        <f>IFERROR(__xludf.DUMMYFUNCTION("""COMPUTED_VALUE"""),250.0)</f>
        <v>250</v>
      </c>
      <c r="E4852" s="9"/>
    </row>
    <row r="4853">
      <c r="A4853" s="10">
        <f>IFERROR(__xludf.DUMMYFUNCTION("""COMPUTED_VALUE"""),99726.0)</f>
        <v>99726</v>
      </c>
      <c r="B4853" s="11">
        <f>IFERROR(__xludf.DUMMYFUNCTION("""COMPUTED_VALUE"""),1.0)</f>
        <v>1</v>
      </c>
      <c r="C4853" s="11">
        <f>IFERROR(__xludf.DUMMYFUNCTION("""COMPUTED_VALUE"""),865.0)</f>
        <v>865</v>
      </c>
      <c r="D4853" s="11">
        <f>IFERROR(__xludf.DUMMYFUNCTION("""COMPUTED_VALUE"""),178.0)</f>
        <v>178</v>
      </c>
      <c r="E4853" s="9"/>
    </row>
    <row r="4854">
      <c r="A4854" s="10">
        <f>IFERROR(__xludf.DUMMYFUNCTION("""COMPUTED_VALUE"""),88619.0)</f>
        <v>88619</v>
      </c>
      <c r="B4854" s="11">
        <f>IFERROR(__xludf.DUMMYFUNCTION("""COMPUTED_VALUE"""),1.0)</f>
        <v>1</v>
      </c>
      <c r="C4854" s="11">
        <f>IFERROR(__xludf.DUMMYFUNCTION("""COMPUTED_VALUE"""),402.0)</f>
        <v>402</v>
      </c>
      <c r="D4854" s="11">
        <f>IFERROR(__xludf.DUMMYFUNCTION("""COMPUTED_VALUE"""),335.0)</f>
        <v>335</v>
      </c>
      <c r="E4854" s="9"/>
    </row>
    <row r="4855">
      <c r="A4855" s="10">
        <f>IFERROR(__xludf.DUMMYFUNCTION("""COMPUTED_VALUE"""),73430.0)</f>
        <v>73430</v>
      </c>
      <c r="B4855" s="11">
        <f>IFERROR(__xludf.DUMMYFUNCTION("""COMPUTED_VALUE"""),1.0)</f>
        <v>1</v>
      </c>
      <c r="C4855" s="11">
        <f>IFERROR(__xludf.DUMMYFUNCTION("""COMPUTED_VALUE"""),271.0)</f>
        <v>271</v>
      </c>
      <c r="D4855" s="11">
        <f>IFERROR(__xludf.DUMMYFUNCTION("""COMPUTED_VALUE"""),202.0)</f>
        <v>202</v>
      </c>
      <c r="E4855" s="9"/>
    </row>
    <row r="4856">
      <c r="A4856" s="10">
        <f>IFERROR(__xludf.DUMMYFUNCTION("""COMPUTED_VALUE"""),98939.0)</f>
        <v>98939</v>
      </c>
      <c r="B4856" s="11">
        <f>IFERROR(__xludf.DUMMYFUNCTION("""COMPUTED_VALUE"""),1.0)</f>
        <v>1</v>
      </c>
      <c r="C4856" s="11">
        <f>IFERROR(__xludf.DUMMYFUNCTION("""COMPUTED_VALUE"""),870.0)</f>
        <v>870</v>
      </c>
      <c r="D4856" s="11">
        <f>IFERROR(__xludf.DUMMYFUNCTION("""COMPUTED_VALUE"""),58.0)</f>
        <v>58</v>
      </c>
      <c r="E4856" s="9"/>
    </row>
    <row r="4857">
      <c r="A4857" s="10">
        <f>IFERROR(__xludf.DUMMYFUNCTION("""COMPUTED_VALUE"""),45826.0)</f>
        <v>45826</v>
      </c>
      <c r="B4857" s="11">
        <f>IFERROR(__xludf.DUMMYFUNCTION("""COMPUTED_VALUE"""),0.0)</f>
        <v>0</v>
      </c>
      <c r="C4857" s="11">
        <f>IFERROR(__xludf.DUMMYFUNCTION("""COMPUTED_VALUE"""),418.0)</f>
        <v>418</v>
      </c>
      <c r="D4857" s="11">
        <f>IFERROR(__xludf.DUMMYFUNCTION("""COMPUTED_VALUE"""),366.0)</f>
        <v>366</v>
      </c>
      <c r="E4857" s="9"/>
    </row>
    <row r="4858">
      <c r="A4858" s="10">
        <f>IFERROR(__xludf.DUMMYFUNCTION("""COMPUTED_VALUE"""),100797.0)</f>
        <v>100797</v>
      </c>
      <c r="B4858" s="11">
        <f>IFERROR(__xludf.DUMMYFUNCTION("""COMPUTED_VALUE"""),1.0)</f>
        <v>1</v>
      </c>
      <c r="C4858" s="11">
        <f>IFERROR(__xludf.DUMMYFUNCTION("""COMPUTED_VALUE"""),696.0)</f>
        <v>696</v>
      </c>
      <c r="D4858" s="11">
        <f>IFERROR(__xludf.DUMMYFUNCTION("""COMPUTED_VALUE"""),270.0)</f>
        <v>270</v>
      </c>
      <c r="E4858" s="9"/>
    </row>
    <row r="4859">
      <c r="A4859" s="10">
        <f>IFERROR(__xludf.DUMMYFUNCTION("""COMPUTED_VALUE"""),104429.0)</f>
        <v>104429</v>
      </c>
      <c r="B4859" s="11">
        <f>IFERROR(__xludf.DUMMYFUNCTION("""COMPUTED_VALUE"""),0.0)</f>
        <v>0</v>
      </c>
      <c r="C4859" s="11">
        <f>IFERROR(__xludf.DUMMYFUNCTION("""COMPUTED_VALUE"""),362.0)</f>
        <v>362</v>
      </c>
      <c r="D4859" s="11">
        <f>IFERROR(__xludf.DUMMYFUNCTION("""COMPUTED_VALUE"""),198.0)</f>
        <v>198</v>
      </c>
      <c r="E4859" s="9"/>
    </row>
    <row r="4860">
      <c r="A4860" s="10">
        <f>IFERROR(__xludf.DUMMYFUNCTION("""COMPUTED_VALUE"""),119806.0)</f>
        <v>119806</v>
      </c>
      <c r="B4860" s="11">
        <f>IFERROR(__xludf.DUMMYFUNCTION("""COMPUTED_VALUE"""),0.0)</f>
        <v>0</v>
      </c>
      <c r="C4860" s="11">
        <f>IFERROR(__xludf.DUMMYFUNCTION("""COMPUTED_VALUE"""),292.0)</f>
        <v>292</v>
      </c>
      <c r="D4860" s="11">
        <f>IFERROR(__xludf.DUMMYFUNCTION("""COMPUTED_VALUE"""),146.0)</f>
        <v>146</v>
      </c>
      <c r="E4860" s="9"/>
    </row>
    <row r="4861">
      <c r="A4861" s="10">
        <f>IFERROR(__xludf.DUMMYFUNCTION("""COMPUTED_VALUE"""),120734.0)</f>
        <v>120734</v>
      </c>
      <c r="B4861" s="11">
        <f>IFERROR(__xludf.DUMMYFUNCTION("""COMPUTED_VALUE"""),0.0)</f>
        <v>0</v>
      </c>
      <c r="C4861" s="11">
        <f>IFERROR(__xludf.DUMMYFUNCTION("""COMPUTED_VALUE"""),399.0)</f>
        <v>399</v>
      </c>
      <c r="D4861" s="11">
        <f>IFERROR(__xludf.DUMMYFUNCTION("""COMPUTED_VALUE"""),65.0)</f>
        <v>65</v>
      </c>
      <c r="E4861" s="9"/>
    </row>
    <row r="4862">
      <c r="A4862" s="10">
        <f>IFERROR(__xludf.DUMMYFUNCTION("""COMPUTED_VALUE"""),104423.0)</f>
        <v>104423</v>
      </c>
      <c r="B4862" s="11">
        <f>IFERROR(__xludf.DUMMYFUNCTION("""COMPUTED_VALUE"""),0.0)</f>
        <v>0</v>
      </c>
      <c r="C4862" s="11">
        <f>IFERROR(__xludf.DUMMYFUNCTION("""COMPUTED_VALUE"""),694.0)</f>
        <v>694</v>
      </c>
      <c r="D4862" s="11">
        <f>IFERROR(__xludf.DUMMYFUNCTION("""COMPUTED_VALUE"""),204.0)</f>
        <v>204</v>
      </c>
      <c r="E4862" s="9"/>
    </row>
    <row r="4863">
      <c r="A4863" s="10">
        <f>IFERROR(__xludf.DUMMYFUNCTION("""COMPUTED_VALUE"""),120286.0)</f>
        <v>120286</v>
      </c>
      <c r="B4863" s="11">
        <f>IFERROR(__xludf.DUMMYFUNCTION("""COMPUTED_VALUE"""),0.0)</f>
        <v>0</v>
      </c>
      <c r="C4863" s="11">
        <f>IFERROR(__xludf.DUMMYFUNCTION("""COMPUTED_VALUE"""),653.0)</f>
        <v>653</v>
      </c>
      <c r="D4863" s="11">
        <f>IFERROR(__xludf.DUMMYFUNCTION("""COMPUTED_VALUE"""),102.0)</f>
        <v>102</v>
      </c>
      <c r="E4863" s="9"/>
    </row>
    <row r="4864">
      <c r="A4864" s="10">
        <f>IFERROR(__xludf.DUMMYFUNCTION("""COMPUTED_VALUE"""),81838.0)</f>
        <v>81838</v>
      </c>
      <c r="B4864" s="11">
        <f>IFERROR(__xludf.DUMMYFUNCTION("""COMPUTED_VALUE"""),1.0)</f>
        <v>1</v>
      </c>
      <c r="C4864" s="11">
        <f>IFERROR(__xludf.DUMMYFUNCTION("""COMPUTED_VALUE"""),8.0)</f>
        <v>8</v>
      </c>
      <c r="D4864" s="11">
        <f>IFERROR(__xludf.DUMMYFUNCTION("""COMPUTED_VALUE"""),4.0)</f>
        <v>4</v>
      </c>
      <c r="E4864" s="9"/>
    </row>
    <row r="4865">
      <c r="A4865" s="10">
        <f>IFERROR(__xludf.DUMMYFUNCTION("""COMPUTED_VALUE"""),117718.0)</f>
        <v>117718</v>
      </c>
      <c r="B4865" s="11">
        <f>IFERROR(__xludf.DUMMYFUNCTION("""COMPUTED_VALUE"""),1.0)</f>
        <v>1</v>
      </c>
      <c r="C4865" s="11">
        <f>IFERROR(__xludf.DUMMYFUNCTION("""COMPUTED_VALUE"""),339.0)</f>
        <v>339</v>
      </c>
      <c r="D4865" s="11">
        <f>IFERROR(__xludf.DUMMYFUNCTION("""COMPUTED_VALUE"""),244.0)</f>
        <v>244</v>
      </c>
      <c r="E4865" s="9"/>
    </row>
    <row r="4866">
      <c r="A4866" s="10">
        <f>IFERROR(__xludf.DUMMYFUNCTION("""COMPUTED_VALUE"""),70611.0)</f>
        <v>70611</v>
      </c>
      <c r="B4866" s="11">
        <f>IFERROR(__xludf.DUMMYFUNCTION("""COMPUTED_VALUE"""),1.0)</f>
        <v>1</v>
      </c>
      <c r="C4866" s="11">
        <f>IFERROR(__xludf.DUMMYFUNCTION("""COMPUTED_VALUE"""),672.0)</f>
        <v>672</v>
      </c>
      <c r="D4866" s="11">
        <f>IFERROR(__xludf.DUMMYFUNCTION("""COMPUTED_VALUE"""),596.0)</f>
        <v>596</v>
      </c>
      <c r="E4866" s="9"/>
    </row>
    <row r="4867">
      <c r="A4867" s="10">
        <f>IFERROR(__xludf.DUMMYFUNCTION("""COMPUTED_VALUE"""),110848.0)</f>
        <v>110848</v>
      </c>
      <c r="B4867" s="11">
        <f>IFERROR(__xludf.DUMMYFUNCTION("""COMPUTED_VALUE"""),0.0)</f>
        <v>0</v>
      </c>
      <c r="C4867" s="11">
        <f>IFERROR(__xludf.DUMMYFUNCTION("""COMPUTED_VALUE"""),610.0)</f>
        <v>610</v>
      </c>
      <c r="D4867" s="11">
        <f>IFERROR(__xludf.DUMMYFUNCTION("""COMPUTED_VALUE"""),288.0)</f>
        <v>288</v>
      </c>
      <c r="E4867" s="9"/>
    </row>
    <row r="4868">
      <c r="A4868" s="10">
        <f>IFERROR(__xludf.DUMMYFUNCTION("""COMPUTED_VALUE"""),107925.0)</f>
        <v>107925</v>
      </c>
      <c r="B4868" s="11">
        <f>IFERROR(__xludf.DUMMYFUNCTION("""COMPUTED_VALUE"""),1.0)</f>
        <v>1</v>
      </c>
      <c r="C4868" s="11">
        <f>IFERROR(__xludf.DUMMYFUNCTION("""COMPUTED_VALUE"""),537.0)</f>
        <v>537</v>
      </c>
      <c r="D4868" s="11">
        <f>IFERROR(__xludf.DUMMYFUNCTION("""COMPUTED_VALUE"""),343.0)</f>
        <v>343</v>
      </c>
      <c r="E4868" s="9"/>
    </row>
    <row r="4869">
      <c r="A4869" s="10">
        <f>IFERROR(__xludf.DUMMYFUNCTION("""COMPUTED_VALUE"""),156038.0)</f>
        <v>156038</v>
      </c>
      <c r="B4869" s="11">
        <f>IFERROR(__xludf.DUMMYFUNCTION("""COMPUTED_VALUE"""),0.0)</f>
        <v>0</v>
      </c>
      <c r="C4869" s="11">
        <f>IFERROR(__xludf.DUMMYFUNCTION("""COMPUTED_VALUE"""),737.0)</f>
        <v>737</v>
      </c>
      <c r="D4869" s="11">
        <f>IFERROR(__xludf.DUMMYFUNCTION("""COMPUTED_VALUE"""),644.0)</f>
        <v>644</v>
      </c>
      <c r="E4869" s="9"/>
    </row>
    <row r="4870">
      <c r="A4870" s="10">
        <f>IFERROR(__xludf.DUMMYFUNCTION("""COMPUTED_VALUE"""),117392.0)</f>
        <v>117392</v>
      </c>
      <c r="B4870" s="11">
        <f>IFERROR(__xludf.DUMMYFUNCTION("""COMPUTED_VALUE"""),0.0)</f>
        <v>0</v>
      </c>
      <c r="C4870" s="11">
        <f>IFERROR(__xludf.DUMMYFUNCTION("""COMPUTED_VALUE"""),48.0)</f>
        <v>48</v>
      </c>
      <c r="D4870" s="11">
        <f>IFERROR(__xludf.DUMMYFUNCTION("""COMPUTED_VALUE"""),35.0)</f>
        <v>35</v>
      </c>
      <c r="E4870" s="9"/>
    </row>
    <row r="4871">
      <c r="A4871" s="10">
        <f>IFERROR(__xludf.DUMMYFUNCTION("""COMPUTED_VALUE"""),86620.0)</f>
        <v>86620</v>
      </c>
      <c r="B4871" s="11">
        <f>IFERROR(__xludf.DUMMYFUNCTION("""COMPUTED_VALUE"""),1.0)</f>
        <v>1</v>
      </c>
      <c r="C4871" s="11">
        <f>IFERROR(__xludf.DUMMYFUNCTION("""COMPUTED_VALUE"""),270.0)</f>
        <v>270</v>
      </c>
      <c r="D4871" s="11">
        <f>IFERROR(__xludf.DUMMYFUNCTION("""COMPUTED_VALUE"""),9.0)</f>
        <v>9</v>
      </c>
      <c r="E4871" s="9"/>
    </row>
    <row r="4872">
      <c r="A4872" s="10">
        <f>IFERROR(__xludf.DUMMYFUNCTION("""COMPUTED_VALUE"""),27871.0)</f>
        <v>27871</v>
      </c>
      <c r="B4872" s="11">
        <f>IFERROR(__xludf.DUMMYFUNCTION("""COMPUTED_VALUE"""),0.0)</f>
        <v>0</v>
      </c>
      <c r="C4872" s="11">
        <f>IFERROR(__xludf.DUMMYFUNCTION("""COMPUTED_VALUE"""),542.0)</f>
        <v>542</v>
      </c>
      <c r="D4872" s="11">
        <f>IFERROR(__xludf.DUMMYFUNCTION("""COMPUTED_VALUE"""),416.0)</f>
        <v>416</v>
      </c>
      <c r="E4872" s="9"/>
    </row>
    <row r="4873">
      <c r="A4873" s="10">
        <f>IFERROR(__xludf.DUMMYFUNCTION("""COMPUTED_VALUE"""),82874.0)</f>
        <v>82874</v>
      </c>
      <c r="B4873" s="11">
        <f>IFERROR(__xludf.DUMMYFUNCTION("""COMPUTED_VALUE"""),0.0)</f>
        <v>0</v>
      </c>
      <c r="C4873" s="11">
        <f>IFERROR(__xludf.DUMMYFUNCTION("""COMPUTED_VALUE"""),378.0)</f>
        <v>378</v>
      </c>
      <c r="D4873" s="11">
        <f>IFERROR(__xludf.DUMMYFUNCTION("""COMPUTED_VALUE"""),59.0)</f>
        <v>59</v>
      </c>
      <c r="E4873" s="9"/>
    </row>
    <row r="4874">
      <c r="A4874" s="10">
        <f>IFERROR(__xludf.DUMMYFUNCTION("""COMPUTED_VALUE"""),120292.0)</f>
        <v>120292</v>
      </c>
      <c r="B4874" s="11">
        <f>IFERROR(__xludf.DUMMYFUNCTION("""COMPUTED_VALUE"""),0.0)</f>
        <v>0</v>
      </c>
      <c r="C4874" s="11">
        <f>IFERROR(__xludf.DUMMYFUNCTION("""COMPUTED_VALUE"""),388.0)</f>
        <v>388</v>
      </c>
      <c r="D4874" s="11">
        <f>IFERROR(__xludf.DUMMYFUNCTION("""COMPUTED_VALUE"""),43.0)</f>
        <v>43</v>
      </c>
      <c r="E4874" s="9"/>
    </row>
    <row r="4875">
      <c r="A4875" s="10">
        <f>IFERROR(__xludf.DUMMYFUNCTION("""COMPUTED_VALUE"""),120293.0)</f>
        <v>120293</v>
      </c>
      <c r="B4875" s="11">
        <f>IFERROR(__xludf.DUMMYFUNCTION("""COMPUTED_VALUE"""),0.0)</f>
        <v>0</v>
      </c>
      <c r="C4875" s="11">
        <f>IFERROR(__xludf.DUMMYFUNCTION("""COMPUTED_VALUE"""),925.0)</f>
        <v>925</v>
      </c>
      <c r="D4875" s="11">
        <f>IFERROR(__xludf.DUMMYFUNCTION("""COMPUTED_VALUE"""),461.0)</f>
        <v>461</v>
      </c>
      <c r="E4875" s="9"/>
    </row>
    <row r="4876">
      <c r="A4876" s="10">
        <f>IFERROR(__xludf.DUMMYFUNCTION("""COMPUTED_VALUE"""),44522.0)</f>
        <v>44522</v>
      </c>
      <c r="B4876" s="11">
        <f>IFERROR(__xludf.DUMMYFUNCTION("""COMPUTED_VALUE"""),0.0)</f>
        <v>0</v>
      </c>
      <c r="C4876" s="11">
        <f>IFERROR(__xludf.DUMMYFUNCTION("""COMPUTED_VALUE"""),588.0)</f>
        <v>588</v>
      </c>
      <c r="D4876" s="11">
        <f>IFERROR(__xludf.DUMMYFUNCTION("""COMPUTED_VALUE"""),450.0)</f>
        <v>450</v>
      </c>
      <c r="E4876" s="9"/>
    </row>
    <row r="4877">
      <c r="A4877" s="10">
        <f>IFERROR(__xludf.DUMMYFUNCTION("""COMPUTED_VALUE"""),143999.0)</f>
        <v>143999</v>
      </c>
      <c r="B4877" s="11">
        <f>IFERROR(__xludf.DUMMYFUNCTION("""COMPUTED_VALUE"""),1.0)</f>
        <v>1</v>
      </c>
      <c r="C4877" s="11">
        <f>IFERROR(__xludf.DUMMYFUNCTION("""COMPUTED_VALUE"""),900.0)</f>
        <v>900</v>
      </c>
      <c r="D4877" s="11">
        <f>IFERROR(__xludf.DUMMYFUNCTION("""COMPUTED_VALUE"""),114.0)</f>
        <v>114</v>
      </c>
      <c r="E4877" s="9"/>
    </row>
    <row r="4878">
      <c r="A4878" s="10">
        <f>IFERROR(__xludf.DUMMYFUNCTION("""COMPUTED_VALUE"""),144000.0)</f>
        <v>144000</v>
      </c>
      <c r="B4878" s="11">
        <f>IFERROR(__xludf.DUMMYFUNCTION("""COMPUTED_VALUE"""),0.0)</f>
        <v>0</v>
      </c>
      <c r="C4878" s="11">
        <f>IFERROR(__xludf.DUMMYFUNCTION("""COMPUTED_VALUE"""),759.0)</f>
        <v>759</v>
      </c>
      <c r="D4878" s="11">
        <f>IFERROR(__xludf.DUMMYFUNCTION("""COMPUTED_VALUE"""),54.0)</f>
        <v>54</v>
      </c>
      <c r="E4878" s="9"/>
    </row>
    <row r="4879">
      <c r="A4879" s="10">
        <f>IFERROR(__xludf.DUMMYFUNCTION("""COMPUTED_VALUE"""),91236.0)</f>
        <v>91236</v>
      </c>
      <c r="B4879" s="11">
        <f>IFERROR(__xludf.DUMMYFUNCTION("""COMPUTED_VALUE"""),1.0)</f>
        <v>1</v>
      </c>
      <c r="C4879" s="11">
        <f>IFERROR(__xludf.DUMMYFUNCTION("""COMPUTED_VALUE"""),381.0)</f>
        <v>381</v>
      </c>
      <c r="D4879" s="11">
        <f>IFERROR(__xludf.DUMMYFUNCTION("""COMPUTED_VALUE"""),135.0)</f>
        <v>135</v>
      </c>
      <c r="E4879" s="9"/>
    </row>
    <row r="4880">
      <c r="A4880" s="10">
        <f>IFERROR(__xludf.DUMMYFUNCTION("""COMPUTED_VALUE"""),78213.0)</f>
        <v>78213</v>
      </c>
      <c r="B4880" s="11">
        <f>IFERROR(__xludf.DUMMYFUNCTION("""COMPUTED_VALUE"""),0.0)</f>
        <v>0</v>
      </c>
      <c r="C4880" s="11">
        <f>IFERROR(__xludf.DUMMYFUNCTION("""COMPUTED_VALUE"""),474.0)</f>
        <v>474</v>
      </c>
      <c r="D4880" s="11">
        <f>IFERROR(__xludf.DUMMYFUNCTION("""COMPUTED_VALUE"""),203.0)</f>
        <v>203</v>
      </c>
      <c r="E4880" s="9"/>
    </row>
    <row r="4881">
      <c r="A4881" s="10">
        <f>IFERROR(__xludf.DUMMYFUNCTION("""COMPUTED_VALUE"""),119254.0)</f>
        <v>119254</v>
      </c>
      <c r="B4881" s="11">
        <f>IFERROR(__xludf.DUMMYFUNCTION("""COMPUTED_VALUE"""),1.0)</f>
        <v>1</v>
      </c>
      <c r="C4881" s="11">
        <f>IFERROR(__xludf.DUMMYFUNCTION("""COMPUTED_VALUE"""),701.0)</f>
        <v>701</v>
      </c>
      <c r="D4881" s="11">
        <f>IFERROR(__xludf.DUMMYFUNCTION("""COMPUTED_VALUE"""),548.0)</f>
        <v>548</v>
      </c>
      <c r="E4881" s="9"/>
    </row>
    <row r="4882">
      <c r="A4882" s="10">
        <f>IFERROR(__xludf.DUMMYFUNCTION("""COMPUTED_VALUE"""),82149.0)</f>
        <v>82149</v>
      </c>
      <c r="B4882" s="11">
        <f>IFERROR(__xludf.DUMMYFUNCTION("""COMPUTED_VALUE"""),1.0)</f>
        <v>1</v>
      </c>
      <c r="C4882" s="11">
        <f>IFERROR(__xludf.DUMMYFUNCTION("""COMPUTED_VALUE"""),621.0)</f>
        <v>621</v>
      </c>
      <c r="D4882" s="11">
        <f>IFERROR(__xludf.DUMMYFUNCTION("""COMPUTED_VALUE"""),95.0)</f>
        <v>95</v>
      </c>
      <c r="E4882" s="9"/>
    </row>
    <row r="4883">
      <c r="A4883" s="10">
        <f>IFERROR(__xludf.DUMMYFUNCTION("""COMPUTED_VALUE"""),30864.0)</f>
        <v>30864</v>
      </c>
      <c r="B4883" s="11">
        <f>IFERROR(__xludf.DUMMYFUNCTION("""COMPUTED_VALUE"""),0.0)</f>
        <v>0</v>
      </c>
      <c r="C4883" s="11">
        <f>IFERROR(__xludf.DUMMYFUNCTION("""COMPUTED_VALUE"""),316.0)</f>
        <v>316</v>
      </c>
      <c r="D4883" s="11">
        <f>IFERROR(__xludf.DUMMYFUNCTION("""COMPUTED_VALUE"""),63.0)</f>
        <v>63</v>
      </c>
      <c r="E4883" s="9"/>
    </row>
    <row r="4884">
      <c r="A4884" s="10">
        <f>IFERROR(__xludf.DUMMYFUNCTION("""COMPUTED_VALUE"""),82148.0)</f>
        <v>82148</v>
      </c>
      <c r="B4884" s="11">
        <f>IFERROR(__xludf.DUMMYFUNCTION("""COMPUTED_VALUE"""),0.0)</f>
        <v>0</v>
      </c>
      <c r="C4884" s="11">
        <f>IFERROR(__xludf.DUMMYFUNCTION("""COMPUTED_VALUE"""),833.0)</f>
        <v>833</v>
      </c>
      <c r="D4884" s="11">
        <f>IFERROR(__xludf.DUMMYFUNCTION("""COMPUTED_VALUE"""),331.0)</f>
        <v>331</v>
      </c>
      <c r="E4884" s="9"/>
    </row>
    <row r="4885">
      <c r="A4885" s="10">
        <f>IFERROR(__xludf.DUMMYFUNCTION("""COMPUTED_VALUE"""),78069.0)</f>
        <v>78069</v>
      </c>
      <c r="B4885" s="11">
        <f>IFERROR(__xludf.DUMMYFUNCTION("""COMPUTED_VALUE"""),1.0)</f>
        <v>1</v>
      </c>
      <c r="C4885" s="11">
        <f>IFERROR(__xludf.DUMMYFUNCTION("""COMPUTED_VALUE"""),939.0)</f>
        <v>939</v>
      </c>
      <c r="D4885" s="11">
        <f>IFERROR(__xludf.DUMMYFUNCTION("""COMPUTED_VALUE"""),4.0)</f>
        <v>4</v>
      </c>
      <c r="E4885" s="9"/>
    </row>
    <row r="4886">
      <c r="A4886" s="10">
        <f>IFERROR(__xludf.DUMMYFUNCTION("""COMPUTED_VALUE"""),68623.0)</f>
        <v>68623</v>
      </c>
      <c r="B4886" s="11">
        <f>IFERROR(__xludf.DUMMYFUNCTION("""COMPUTED_VALUE"""),0.0)</f>
        <v>0</v>
      </c>
      <c r="C4886" s="11">
        <f>IFERROR(__xludf.DUMMYFUNCTION("""COMPUTED_VALUE"""),508.0)</f>
        <v>508</v>
      </c>
      <c r="D4886" s="11">
        <f>IFERROR(__xludf.DUMMYFUNCTION("""COMPUTED_VALUE"""),110.0)</f>
        <v>110</v>
      </c>
      <c r="E4886" s="9"/>
    </row>
    <row r="4887">
      <c r="A4887" s="10">
        <f>IFERROR(__xludf.DUMMYFUNCTION("""COMPUTED_VALUE"""),108904.0)</f>
        <v>108904</v>
      </c>
      <c r="B4887" s="11">
        <f>IFERROR(__xludf.DUMMYFUNCTION("""COMPUTED_VALUE"""),1.0)</f>
        <v>1</v>
      </c>
      <c r="C4887" s="11">
        <f>IFERROR(__xludf.DUMMYFUNCTION("""COMPUTED_VALUE"""),605.0)</f>
        <v>605</v>
      </c>
      <c r="D4887" s="11">
        <f>IFERROR(__xludf.DUMMYFUNCTION("""COMPUTED_VALUE"""),575.0)</f>
        <v>575</v>
      </c>
      <c r="E4887" s="9"/>
    </row>
    <row r="4888">
      <c r="A4888" s="10">
        <f>IFERROR(__xludf.DUMMYFUNCTION("""COMPUTED_VALUE"""),113967.0)</f>
        <v>113967</v>
      </c>
      <c r="B4888" s="11">
        <f>IFERROR(__xludf.DUMMYFUNCTION("""COMPUTED_VALUE"""),1.0)</f>
        <v>1</v>
      </c>
      <c r="C4888" s="11">
        <f>IFERROR(__xludf.DUMMYFUNCTION("""COMPUTED_VALUE"""),826.0)</f>
        <v>826</v>
      </c>
      <c r="D4888" s="11">
        <f>IFERROR(__xludf.DUMMYFUNCTION("""COMPUTED_VALUE"""),90.0)</f>
        <v>90</v>
      </c>
      <c r="E4888" s="9"/>
    </row>
    <row r="4889">
      <c r="A4889" s="10">
        <f>IFERROR(__xludf.DUMMYFUNCTION("""COMPUTED_VALUE"""),10145.0)</f>
        <v>10145</v>
      </c>
      <c r="B4889" s="11">
        <f>IFERROR(__xludf.DUMMYFUNCTION("""COMPUTED_VALUE"""),1.0)</f>
        <v>1</v>
      </c>
      <c r="C4889" s="11">
        <f>IFERROR(__xludf.DUMMYFUNCTION("""COMPUTED_VALUE"""),147.0)</f>
        <v>147</v>
      </c>
      <c r="D4889" s="11">
        <f>IFERROR(__xludf.DUMMYFUNCTION("""COMPUTED_VALUE"""),11.0)</f>
        <v>11</v>
      </c>
      <c r="E4889" s="9"/>
    </row>
    <row r="4890">
      <c r="A4890" s="10">
        <f>IFERROR(__xludf.DUMMYFUNCTION("""COMPUTED_VALUE"""),116960.0)</f>
        <v>116960</v>
      </c>
      <c r="B4890" s="11">
        <f>IFERROR(__xludf.DUMMYFUNCTION("""COMPUTED_VALUE"""),1.0)</f>
        <v>1</v>
      </c>
      <c r="C4890" s="11">
        <f>IFERROR(__xludf.DUMMYFUNCTION("""COMPUTED_VALUE"""),823.0)</f>
        <v>823</v>
      </c>
      <c r="D4890" s="11">
        <f>IFERROR(__xludf.DUMMYFUNCTION("""COMPUTED_VALUE"""),400.0)</f>
        <v>400</v>
      </c>
      <c r="E4890" s="9"/>
    </row>
    <row r="4891">
      <c r="A4891" s="10">
        <f>IFERROR(__xludf.DUMMYFUNCTION("""COMPUTED_VALUE"""),103663.0)</f>
        <v>103663</v>
      </c>
      <c r="B4891" s="11">
        <f>IFERROR(__xludf.DUMMYFUNCTION("""COMPUTED_VALUE"""),0.0)</f>
        <v>0</v>
      </c>
      <c r="C4891" s="11">
        <f>IFERROR(__xludf.DUMMYFUNCTION("""COMPUTED_VALUE"""),75.0)</f>
        <v>75</v>
      </c>
      <c r="D4891" s="11">
        <f>IFERROR(__xludf.DUMMYFUNCTION("""COMPUTED_VALUE"""),65.0)</f>
        <v>65</v>
      </c>
      <c r="E4891" s="9"/>
    </row>
    <row r="4892">
      <c r="A4892" s="10">
        <f>IFERROR(__xludf.DUMMYFUNCTION("""COMPUTED_VALUE"""),45983.0)</f>
        <v>45983</v>
      </c>
      <c r="B4892" s="11">
        <f>IFERROR(__xludf.DUMMYFUNCTION("""COMPUTED_VALUE"""),0.0)</f>
        <v>0</v>
      </c>
      <c r="C4892" s="11">
        <f>IFERROR(__xludf.DUMMYFUNCTION("""COMPUTED_VALUE"""),387.0)</f>
        <v>387</v>
      </c>
      <c r="D4892" s="11">
        <f>IFERROR(__xludf.DUMMYFUNCTION("""COMPUTED_VALUE"""),321.0)</f>
        <v>321</v>
      </c>
      <c r="E4892" s="9"/>
    </row>
    <row r="4893">
      <c r="A4893" s="10">
        <f>IFERROR(__xludf.DUMMYFUNCTION("""COMPUTED_VALUE"""),103662.0)</f>
        <v>103662</v>
      </c>
      <c r="B4893" s="11">
        <f>IFERROR(__xludf.DUMMYFUNCTION("""COMPUTED_VALUE"""),0.0)</f>
        <v>0</v>
      </c>
      <c r="C4893" s="11">
        <f>IFERROR(__xludf.DUMMYFUNCTION("""COMPUTED_VALUE"""),352.0)</f>
        <v>352</v>
      </c>
      <c r="D4893" s="11">
        <f>IFERROR(__xludf.DUMMYFUNCTION("""COMPUTED_VALUE"""),235.0)</f>
        <v>235</v>
      </c>
      <c r="E4893" s="9"/>
    </row>
    <row r="4894">
      <c r="A4894" s="10">
        <f>IFERROR(__xludf.DUMMYFUNCTION("""COMPUTED_VALUE"""),78318.0)</f>
        <v>78318</v>
      </c>
      <c r="B4894" s="11">
        <f>IFERROR(__xludf.DUMMYFUNCTION("""COMPUTED_VALUE"""),0.0)</f>
        <v>0</v>
      </c>
      <c r="C4894" s="11">
        <f>IFERROR(__xludf.DUMMYFUNCTION("""COMPUTED_VALUE"""),917.0)</f>
        <v>917</v>
      </c>
      <c r="D4894" s="11">
        <f>IFERROR(__xludf.DUMMYFUNCTION("""COMPUTED_VALUE"""),529.0)</f>
        <v>529</v>
      </c>
      <c r="E4894" s="9"/>
    </row>
    <row r="4895">
      <c r="A4895" s="10">
        <f>IFERROR(__xludf.DUMMYFUNCTION("""COMPUTED_VALUE"""),120179.0)</f>
        <v>120179</v>
      </c>
      <c r="B4895" s="11">
        <f>IFERROR(__xludf.DUMMYFUNCTION("""COMPUTED_VALUE"""),1.0)</f>
        <v>1</v>
      </c>
      <c r="C4895" s="11">
        <f>IFERROR(__xludf.DUMMYFUNCTION("""COMPUTED_VALUE"""),932.0)</f>
        <v>932</v>
      </c>
      <c r="D4895" s="11">
        <f>IFERROR(__xludf.DUMMYFUNCTION("""COMPUTED_VALUE"""),719.0)</f>
        <v>719</v>
      </c>
      <c r="E4895" s="9"/>
    </row>
    <row r="4896">
      <c r="A4896" s="10">
        <f>IFERROR(__xludf.DUMMYFUNCTION("""COMPUTED_VALUE"""),10144.0)</f>
        <v>10144</v>
      </c>
      <c r="B4896" s="11">
        <f>IFERROR(__xludf.DUMMYFUNCTION("""COMPUTED_VALUE"""),1.0)</f>
        <v>1</v>
      </c>
      <c r="C4896" s="11">
        <f>IFERROR(__xludf.DUMMYFUNCTION("""COMPUTED_VALUE"""),886.0)</f>
        <v>886</v>
      </c>
      <c r="D4896" s="11">
        <f>IFERROR(__xludf.DUMMYFUNCTION("""COMPUTED_VALUE"""),429.0)</f>
        <v>429</v>
      </c>
      <c r="E4896" s="9"/>
    </row>
    <row r="4897">
      <c r="A4897" s="10">
        <f>IFERROR(__xludf.DUMMYFUNCTION("""COMPUTED_VALUE"""),78304.0)</f>
        <v>78304</v>
      </c>
      <c r="B4897" s="11">
        <f>IFERROR(__xludf.DUMMYFUNCTION("""COMPUTED_VALUE"""),1.0)</f>
        <v>1</v>
      </c>
      <c r="C4897" s="11">
        <f>IFERROR(__xludf.DUMMYFUNCTION("""COMPUTED_VALUE"""),178.0)</f>
        <v>178</v>
      </c>
      <c r="D4897" s="11">
        <f>IFERROR(__xludf.DUMMYFUNCTION("""COMPUTED_VALUE"""),122.0)</f>
        <v>122</v>
      </c>
      <c r="E4897" s="9"/>
    </row>
    <row r="4898">
      <c r="A4898" s="10">
        <f>IFERROR(__xludf.DUMMYFUNCTION("""COMPUTED_VALUE"""),86598.0)</f>
        <v>86598</v>
      </c>
      <c r="B4898" s="11">
        <f>IFERROR(__xludf.DUMMYFUNCTION("""COMPUTED_VALUE"""),0.0)</f>
        <v>0</v>
      </c>
      <c r="C4898" s="11">
        <f>IFERROR(__xludf.DUMMYFUNCTION("""COMPUTED_VALUE"""),199.0)</f>
        <v>199</v>
      </c>
      <c r="D4898" s="11">
        <f>IFERROR(__xludf.DUMMYFUNCTION("""COMPUTED_VALUE"""),66.0)</f>
        <v>66</v>
      </c>
      <c r="E4898" s="9"/>
    </row>
    <row r="4899">
      <c r="A4899" s="10">
        <f>IFERROR(__xludf.DUMMYFUNCTION("""COMPUTED_VALUE"""),103665.0)</f>
        <v>103665</v>
      </c>
      <c r="B4899" s="11">
        <f>IFERROR(__xludf.DUMMYFUNCTION("""COMPUTED_VALUE"""),1.0)</f>
        <v>1</v>
      </c>
      <c r="C4899" s="11">
        <f>IFERROR(__xludf.DUMMYFUNCTION("""COMPUTED_VALUE"""),601.0)</f>
        <v>601</v>
      </c>
      <c r="D4899" s="11">
        <f>IFERROR(__xludf.DUMMYFUNCTION("""COMPUTED_VALUE"""),360.0)</f>
        <v>360</v>
      </c>
      <c r="E4899" s="9"/>
    </row>
    <row r="4900">
      <c r="A4900" s="10">
        <f>IFERROR(__xludf.DUMMYFUNCTION("""COMPUTED_VALUE"""),77771.0)</f>
        <v>77771</v>
      </c>
      <c r="B4900" s="11">
        <f>IFERROR(__xludf.DUMMYFUNCTION("""COMPUTED_VALUE"""),0.0)</f>
        <v>0</v>
      </c>
      <c r="C4900" s="11">
        <f>IFERROR(__xludf.DUMMYFUNCTION("""COMPUTED_VALUE"""),263.0)</f>
        <v>263</v>
      </c>
      <c r="D4900" s="11">
        <f>IFERROR(__xludf.DUMMYFUNCTION("""COMPUTED_VALUE"""),7.0)</f>
        <v>7</v>
      </c>
      <c r="E4900" s="9"/>
    </row>
    <row r="4901">
      <c r="A4901" s="10">
        <f>IFERROR(__xludf.DUMMYFUNCTION("""COMPUTED_VALUE"""),116798.0)</f>
        <v>116798</v>
      </c>
      <c r="B4901" s="11">
        <f>IFERROR(__xludf.DUMMYFUNCTION("""COMPUTED_VALUE"""),1.0)</f>
        <v>1</v>
      </c>
      <c r="C4901" s="11">
        <f>IFERROR(__xludf.DUMMYFUNCTION("""COMPUTED_VALUE"""),535.0)</f>
        <v>535</v>
      </c>
      <c r="D4901" s="11">
        <f>IFERROR(__xludf.DUMMYFUNCTION("""COMPUTED_VALUE"""),62.0)</f>
        <v>62</v>
      </c>
      <c r="E4901" s="9"/>
    </row>
    <row r="4902">
      <c r="A4902" s="10">
        <f>IFERROR(__xludf.DUMMYFUNCTION("""COMPUTED_VALUE"""),100610.0)</f>
        <v>100610</v>
      </c>
      <c r="B4902" s="11">
        <f>IFERROR(__xludf.DUMMYFUNCTION("""COMPUTED_VALUE"""),0.0)</f>
        <v>0</v>
      </c>
      <c r="C4902" s="11">
        <f>IFERROR(__xludf.DUMMYFUNCTION("""COMPUTED_VALUE"""),303.0)</f>
        <v>303</v>
      </c>
      <c r="D4902" s="11">
        <f>IFERROR(__xludf.DUMMYFUNCTION("""COMPUTED_VALUE"""),132.0)</f>
        <v>132</v>
      </c>
      <c r="E4902" s="9"/>
    </row>
    <row r="4903">
      <c r="A4903" s="10">
        <f>IFERROR(__xludf.DUMMYFUNCTION("""COMPUTED_VALUE"""),77772.0)</f>
        <v>77772</v>
      </c>
      <c r="B4903" s="11">
        <f>IFERROR(__xludf.DUMMYFUNCTION("""COMPUTED_VALUE"""),1.0)</f>
        <v>1</v>
      </c>
      <c r="C4903" s="11">
        <f>IFERROR(__xludf.DUMMYFUNCTION("""COMPUTED_VALUE"""),21.0)</f>
        <v>21</v>
      </c>
      <c r="D4903" s="11">
        <f>IFERROR(__xludf.DUMMYFUNCTION("""COMPUTED_VALUE"""),1.0)</f>
        <v>1</v>
      </c>
      <c r="E4903" s="9"/>
    </row>
    <row r="4904">
      <c r="A4904" s="10">
        <f>IFERROR(__xludf.DUMMYFUNCTION("""COMPUTED_VALUE"""),119914.0)</f>
        <v>119914</v>
      </c>
      <c r="B4904" s="11">
        <f>IFERROR(__xludf.DUMMYFUNCTION("""COMPUTED_VALUE"""),0.0)</f>
        <v>0</v>
      </c>
      <c r="C4904" s="11">
        <f>IFERROR(__xludf.DUMMYFUNCTION("""COMPUTED_VALUE"""),704.0)</f>
        <v>704</v>
      </c>
      <c r="D4904" s="11">
        <f>IFERROR(__xludf.DUMMYFUNCTION("""COMPUTED_VALUE"""),359.0)</f>
        <v>359</v>
      </c>
      <c r="E4904" s="9"/>
    </row>
    <row r="4905">
      <c r="A4905" s="10">
        <f>IFERROR(__xludf.DUMMYFUNCTION("""COMPUTED_VALUE"""),88495.0)</f>
        <v>88495</v>
      </c>
      <c r="B4905" s="11">
        <f>IFERROR(__xludf.DUMMYFUNCTION("""COMPUTED_VALUE"""),0.0)</f>
        <v>0</v>
      </c>
      <c r="C4905" s="11">
        <f>IFERROR(__xludf.DUMMYFUNCTION("""COMPUTED_VALUE"""),899.0)</f>
        <v>899</v>
      </c>
      <c r="D4905" s="11">
        <f>IFERROR(__xludf.DUMMYFUNCTION("""COMPUTED_VALUE"""),127.0)</f>
        <v>127</v>
      </c>
      <c r="E4905" s="9"/>
    </row>
    <row r="4906">
      <c r="A4906" s="10">
        <f>IFERROR(__xludf.DUMMYFUNCTION("""COMPUTED_VALUE"""),88487.0)</f>
        <v>88487</v>
      </c>
      <c r="B4906" s="11">
        <f>IFERROR(__xludf.DUMMYFUNCTION("""COMPUTED_VALUE"""),1.0)</f>
        <v>1</v>
      </c>
      <c r="C4906" s="11">
        <f>IFERROR(__xludf.DUMMYFUNCTION("""COMPUTED_VALUE"""),326.0)</f>
        <v>326</v>
      </c>
      <c r="D4906" s="11">
        <f>IFERROR(__xludf.DUMMYFUNCTION("""COMPUTED_VALUE"""),252.0)</f>
        <v>252</v>
      </c>
      <c r="E4906" s="9"/>
    </row>
    <row r="4907">
      <c r="A4907" s="10">
        <f>IFERROR(__xludf.DUMMYFUNCTION("""COMPUTED_VALUE"""),109488.0)</f>
        <v>109488</v>
      </c>
      <c r="B4907" s="11">
        <f>IFERROR(__xludf.DUMMYFUNCTION("""COMPUTED_VALUE"""),0.0)</f>
        <v>0</v>
      </c>
      <c r="C4907" s="11">
        <f>IFERROR(__xludf.DUMMYFUNCTION("""COMPUTED_VALUE"""),612.0)</f>
        <v>612</v>
      </c>
      <c r="D4907" s="11">
        <f>IFERROR(__xludf.DUMMYFUNCTION("""COMPUTED_VALUE"""),407.0)</f>
        <v>407</v>
      </c>
      <c r="E4907" s="9"/>
    </row>
    <row r="4908">
      <c r="A4908" s="10">
        <f>IFERROR(__xludf.DUMMYFUNCTION("""COMPUTED_VALUE"""),11401.0)</f>
        <v>11401</v>
      </c>
      <c r="B4908" s="11">
        <f>IFERROR(__xludf.DUMMYFUNCTION("""COMPUTED_VALUE"""),1.0)</f>
        <v>1</v>
      </c>
      <c r="C4908" s="11">
        <f>IFERROR(__xludf.DUMMYFUNCTION("""COMPUTED_VALUE"""),407.0)</f>
        <v>407</v>
      </c>
      <c r="D4908" s="11">
        <f>IFERROR(__xludf.DUMMYFUNCTION("""COMPUTED_VALUE"""),324.0)</f>
        <v>324</v>
      </c>
      <c r="E4908" s="9"/>
    </row>
    <row r="4909">
      <c r="A4909" s="10">
        <f>IFERROR(__xludf.DUMMYFUNCTION("""COMPUTED_VALUE"""),45530.0)</f>
        <v>45530</v>
      </c>
      <c r="B4909" s="11">
        <f>IFERROR(__xludf.DUMMYFUNCTION("""COMPUTED_VALUE"""),1.0)</f>
        <v>1</v>
      </c>
      <c r="C4909" s="11">
        <f>IFERROR(__xludf.DUMMYFUNCTION("""COMPUTED_VALUE"""),388.0)</f>
        <v>388</v>
      </c>
      <c r="D4909" s="11">
        <f>IFERROR(__xludf.DUMMYFUNCTION("""COMPUTED_VALUE"""),347.0)</f>
        <v>347</v>
      </c>
      <c r="E4909" s="9"/>
    </row>
    <row r="4910">
      <c r="A4910" s="10">
        <f>IFERROR(__xludf.DUMMYFUNCTION("""COMPUTED_VALUE"""),104426.0)</f>
        <v>104426</v>
      </c>
      <c r="B4910" s="11">
        <f>IFERROR(__xludf.DUMMYFUNCTION("""COMPUTED_VALUE"""),0.0)</f>
        <v>0</v>
      </c>
      <c r="C4910" s="11">
        <f>IFERROR(__xludf.DUMMYFUNCTION("""COMPUTED_VALUE"""),248.0)</f>
        <v>248</v>
      </c>
      <c r="D4910" s="11">
        <f>IFERROR(__xludf.DUMMYFUNCTION("""COMPUTED_VALUE"""),94.0)</f>
        <v>94</v>
      </c>
      <c r="E4910" s="9"/>
    </row>
    <row r="4911">
      <c r="A4911" s="10">
        <f>IFERROR(__xludf.DUMMYFUNCTION("""COMPUTED_VALUE"""),119827.0)</f>
        <v>119827</v>
      </c>
      <c r="B4911" s="11">
        <f>IFERROR(__xludf.DUMMYFUNCTION("""COMPUTED_VALUE"""),0.0)</f>
        <v>0</v>
      </c>
      <c r="C4911" s="11">
        <f>IFERROR(__xludf.DUMMYFUNCTION("""COMPUTED_VALUE"""),321.0)</f>
        <v>321</v>
      </c>
      <c r="D4911" s="11">
        <f>IFERROR(__xludf.DUMMYFUNCTION("""COMPUTED_VALUE"""),250.0)</f>
        <v>250</v>
      </c>
      <c r="E4911" s="9"/>
    </row>
    <row r="4912">
      <c r="A4912" s="10">
        <f>IFERROR(__xludf.DUMMYFUNCTION("""COMPUTED_VALUE"""),104384.0)</f>
        <v>104384</v>
      </c>
      <c r="B4912" s="11">
        <f>IFERROR(__xludf.DUMMYFUNCTION("""COMPUTED_VALUE"""),1.0)</f>
        <v>1</v>
      </c>
      <c r="C4912" s="11">
        <f>IFERROR(__xludf.DUMMYFUNCTION("""COMPUTED_VALUE"""),542.0)</f>
        <v>542</v>
      </c>
      <c r="D4912" s="11">
        <f>IFERROR(__xludf.DUMMYFUNCTION("""COMPUTED_VALUE"""),130.0)</f>
        <v>130</v>
      </c>
      <c r="E4912" s="9"/>
    </row>
    <row r="4913">
      <c r="A4913" s="10">
        <f>IFERROR(__xludf.DUMMYFUNCTION("""COMPUTED_VALUE"""),121966.0)</f>
        <v>121966</v>
      </c>
      <c r="B4913" s="11">
        <f>IFERROR(__xludf.DUMMYFUNCTION("""COMPUTED_VALUE"""),1.0)</f>
        <v>1</v>
      </c>
      <c r="C4913" s="11">
        <f>IFERROR(__xludf.DUMMYFUNCTION("""COMPUTED_VALUE"""),471.0)</f>
        <v>471</v>
      </c>
      <c r="D4913" s="11">
        <f>IFERROR(__xludf.DUMMYFUNCTION("""COMPUTED_VALUE"""),392.0)</f>
        <v>392</v>
      </c>
      <c r="E4913" s="9"/>
    </row>
    <row r="4914">
      <c r="A4914" s="10">
        <f>IFERROR(__xludf.DUMMYFUNCTION("""COMPUTED_VALUE"""),120183.0)</f>
        <v>120183</v>
      </c>
      <c r="B4914" s="11">
        <f>IFERROR(__xludf.DUMMYFUNCTION("""COMPUTED_VALUE"""),1.0)</f>
        <v>1</v>
      </c>
      <c r="C4914" s="11">
        <f>IFERROR(__xludf.DUMMYFUNCTION("""COMPUTED_VALUE"""),347.0)</f>
        <v>347</v>
      </c>
      <c r="D4914" s="11">
        <f>IFERROR(__xludf.DUMMYFUNCTION("""COMPUTED_VALUE"""),249.0)</f>
        <v>249</v>
      </c>
      <c r="E4914" s="9"/>
    </row>
    <row r="4915">
      <c r="A4915" s="10">
        <f>IFERROR(__xludf.DUMMYFUNCTION("""COMPUTED_VALUE"""),82832.0)</f>
        <v>82832</v>
      </c>
      <c r="B4915" s="11">
        <f>IFERROR(__xludf.DUMMYFUNCTION("""COMPUTED_VALUE"""),0.0)</f>
        <v>0</v>
      </c>
      <c r="C4915" s="11">
        <f>IFERROR(__xludf.DUMMYFUNCTION("""COMPUTED_VALUE"""),88.0)</f>
        <v>88</v>
      </c>
      <c r="D4915" s="11">
        <f>IFERROR(__xludf.DUMMYFUNCTION("""COMPUTED_VALUE"""),67.0)</f>
        <v>67</v>
      </c>
      <c r="E4915" s="9"/>
    </row>
    <row r="4916">
      <c r="A4916" s="10">
        <f>IFERROR(__xludf.DUMMYFUNCTION("""COMPUTED_VALUE"""),117607.0)</f>
        <v>117607</v>
      </c>
      <c r="B4916" s="11">
        <f>IFERROR(__xludf.DUMMYFUNCTION("""COMPUTED_VALUE"""),1.0)</f>
        <v>1</v>
      </c>
      <c r="C4916" s="11">
        <f>IFERROR(__xludf.DUMMYFUNCTION("""COMPUTED_VALUE"""),540.0)</f>
        <v>540</v>
      </c>
      <c r="D4916" s="11">
        <f>IFERROR(__xludf.DUMMYFUNCTION("""COMPUTED_VALUE"""),64.0)</f>
        <v>64</v>
      </c>
      <c r="E4916" s="9"/>
    </row>
    <row r="4917">
      <c r="A4917" s="10">
        <f>IFERROR(__xludf.DUMMYFUNCTION("""COMPUTED_VALUE"""),116244.0)</f>
        <v>116244</v>
      </c>
      <c r="B4917" s="11">
        <f>IFERROR(__xludf.DUMMYFUNCTION("""COMPUTED_VALUE"""),1.0)</f>
        <v>1</v>
      </c>
      <c r="C4917" s="11">
        <f>IFERROR(__xludf.DUMMYFUNCTION("""COMPUTED_VALUE"""),961.0)</f>
        <v>961</v>
      </c>
      <c r="D4917" s="11">
        <f>IFERROR(__xludf.DUMMYFUNCTION("""COMPUTED_VALUE"""),887.0)</f>
        <v>887</v>
      </c>
      <c r="E4917" s="9"/>
    </row>
    <row r="4918">
      <c r="A4918" s="10">
        <f>IFERROR(__xludf.DUMMYFUNCTION("""COMPUTED_VALUE"""),81045.0)</f>
        <v>81045</v>
      </c>
      <c r="B4918" s="11">
        <f>IFERROR(__xludf.DUMMYFUNCTION("""COMPUTED_VALUE"""),1.0)</f>
        <v>1</v>
      </c>
      <c r="C4918" s="11">
        <f>IFERROR(__xludf.DUMMYFUNCTION("""COMPUTED_VALUE"""),951.0)</f>
        <v>951</v>
      </c>
      <c r="D4918" s="11">
        <f>IFERROR(__xludf.DUMMYFUNCTION("""COMPUTED_VALUE"""),600.0)</f>
        <v>600</v>
      </c>
      <c r="E4918" s="9"/>
    </row>
    <row r="4919">
      <c r="A4919" s="10">
        <f>IFERROR(__xludf.DUMMYFUNCTION("""COMPUTED_VALUE"""),106021.0)</f>
        <v>106021</v>
      </c>
      <c r="B4919" s="11">
        <f>IFERROR(__xludf.DUMMYFUNCTION("""COMPUTED_VALUE"""),1.0)</f>
        <v>1</v>
      </c>
      <c r="C4919" s="11">
        <f>IFERROR(__xludf.DUMMYFUNCTION("""COMPUTED_VALUE"""),392.0)</f>
        <v>392</v>
      </c>
      <c r="D4919" s="11">
        <f>IFERROR(__xludf.DUMMYFUNCTION("""COMPUTED_VALUE"""),203.0)</f>
        <v>203</v>
      </c>
      <c r="E4919" s="9"/>
    </row>
    <row r="4920">
      <c r="A4920" s="10">
        <f>IFERROR(__xludf.DUMMYFUNCTION("""COMPUTED_VALUE"""),86622.0)</f>
        <v>86622</v>
      </c>
      <c r="B4920" s="11">
        <f>IFERROR(__xludf.DUMMYFUNCTION("""COMPUTED_VALUE"""),0.0)</f>
        <v>0</v>
      </c>
      <c r="C4920" s="11">
        <f>IFERROR(__xludf.DUMMYFUNCTION("""COMPUTED_VALUE"""),15.0)</f>
        <v>15</v>
      </c>
      <c r="D4920" s="11">
        <f>IFERROR(__xludf.DUMMYFUNCTION("""COMPUTED_VALUE"""),12.0)</f>
        <v>12</v>
      </c>
      <c r="E4920" s="9"/>
    </row>
    <row r="4921">
      <c r="A4921" s="10">
        <f>IFERROR(__xludf.DUMMYFUNCTION("""COMPUTED_VALUE"""),82834.0)</f>
        <v>82834</v>
      </c>
      <c r="B4921" s="11">
        <f>IFERROR(__xludf.DUMMYFUNCTION("""COMPUTED_VALUE"""),1.0)</f>
        <v>1</v>
      </c>
      <c r="C4921" s="11">
        <f>IFERROR(__xludf.DUMMYFUNCTION("""COMPUTED_VALUE"""),676.0)</f>
        <v>676</v>
      </c>
      <c r="D4921" s="11">
        <f>IFERROR(__xludf.DUMMYFUNCTION("""COMPUTED_VALUE"""),572.0)</f>
        <v>572</v>
      </c>
      <c r="E4921" s="9"/>
    </row>
    <row r="4922">
      <c r="A4922" s="10">
        <f>IFERROR(__xludf.DUMMYFUNCTION("""COMPUTED_VALUE"""),81008.0)</f>
        <v>81008</v>
      </c>
      <c r="B4922" s="11">
        <f>IFERROR(__xludf.DUMMYFUNCTION("""COMPUTED_VALUE"""),0.0)</f>
        <v>0</v>
      </c>
      <c r="C4922" s="11">
        <f>IFERROR(__xludf.DUMMYFUNCTION("""COMPUTED_VALUE"""),492.0)</f>
        <v>492</v>
      </c>
      <c r="D4922" s="11">
        <f>IFERROR(__xludf.DUMMYFUNCTION("""COMPUTED_VALUE"""),41.0)</f>
        <v>41</v>
      </c>
      <c r="E4922" s="9"/>
    </row>
    <row r="4923">
      <c r="A4923" s="10">
        <f>IFERROR(__xludf.DUMMYFUNCTION("""COMPUTED_VALUE"""),83167.0)</f>
        <v>83167</v>
      </c>
      <c r="B4923" s="11">
        <f>IFERROR(__xludf.DUMMYFUNCTION("""COMPUTED_VALUE"""),1.0)</f>
        <v>1</v>
      </c>
      <c r="C4923" s="11">
        <f>IFERROR(__xludf.DUMMYFUNCTION("""COMPUTED_VALUE"""),664.0)</f>
        <v>664</v>
      </c>
      <c r="D4923" s="11">
        <f>IFERROR(__xludf.DUMMYFUNCTION("""COMPUTED_VALUE"""),333.0)</f>
        <v>333</v>
      </c>
      <c r="E4923" s="9"/>
    </row>
    <row r="4924">
      <c r="A4924" s="10">
        <f>IFERROR(__xludf.DUMMYFUNCTION("""COMPUTED_VALUE"""),86584.0)</f>
        <v>86584</v>
      </c>
      <c r="B4924" s="11">
        <f>IFERROR(__xludf.DUMMYFUNCTION("""COMPUTED_VALUE"""),0.0)</f>
        <v>0</v>
      </c>
      <c r="C4924" s="11">
        <f>IFERROR(__xludf.DUMMYFUNCTION("""COMPUTED_VALUE"""),289.0)</f>
        <v>289</v>
      </c>
      <c r="D4924" s="11">
        <f>IFERROR(__xludf.DUMMYFUNCTION("""COMPUTED_VALUE"""),273.0)</f>
        <v>273</v>
      </c>
      <c r="E4924" s="9"/>
    </row>
    <row r="4925">
      <c r="A4925" s="10">
        <f>IFERROR(__xludf.DUMMYFUNCTION("""COMPUTED_VALUE"""),79902.0)</f>
        <v>79902</v>
      </c>
      <c r="B4925" s="11">
        <f>IFERROR(__xludf.DUMMYFUNCTION("""COMPUTED_VALUE"""),1.0)</f>
        <v>1</v>
      </c>
      <c r="C4925" s="11">
        <f>IFERROR(__xludf.DUMMYFUNCTION("""COMPUTED_VALUE"""),912.0)</f>
        <v>912</v>
      </c>
      <c r="D4925" s="11">
        <f>IFERROR(__xludf.DUMMYFUNCTION("""COMPUTED_VALUE"""),856.0)</f>
        <v>856</v>
      </c>
      <c r="E4925" s="9"/>
    </row>
    <row r="4926">
      <c r="A4926" s="10">
        <f>IFERROR(__xludf.DUMMYFUNCTION("""COMPUTED_VALUE"""),41328.0)</f>
        <v>41328</v>
      </c>
      <c r="B4926" s="11">
        <f>IFERROR(__xludf.DUMMYFUNCTION("""COMPUTED_VALUE"""),0.0)</f>
        <v>0</v>
      </c>
      <c r="C4926" s="11">
        <f>IFERROR(__xludf.DUMMYFUNCTION("""COMPUTED_VALUE"""),747.0)</f>
        <v>747</v>
      </c>
      <c r="D4926" s="11">
        <f>IFERROR(__xludf.DUMMYFUNCTION("""COMPUTED_VALUE"""),170.0)</f>
        <v>170</v>
      </c>
      <c r="E4926" s="9"/>
    </row>
    <row r="4927">
      <c r="A4927" s="10">
        <f>IFERROR(__xludf.DUMMYFUNCTION("""COMPUTED_VALUE"""),79907.0)</f>
        <v>79907</v>
      </c>
      <c r="B4927" s="11">
        <f>IFERROR(__xludf.DUMMYFUNCTION("""COMPUTED_VALUE"""),0.0)</f>
        <v>0</v>
      </c>
      <c r="C4927" s="11">
        <f>IFERROR(__xludf.DUMMYFUNCTION("""COMPUTED_VALUE"""),158.0)</f>
        <v>158</v>
      </c>
      <c r="D4927" s="11">
        <f>IFERROR(__xludf.DUMMYFUNCTION("""COMPUTED_VALUE"""),29.0)</f>
        <v>29</v>
      </c>
      <c r="E4927" s="9"/>
    </row>
    <row r="4928">
      <c r="A4928" s="10">
        <f>IFERROR(__xludf.DUMMYFUNCTION("""COMPUTED_VALUE"""),70588.0)</f>
        <v>70588</v>
      </c>
      <c r="B4928" s="11">
        <f>IFERROR(__xludf.DUMMYFUNCTION("""COMPUTED_VALUE"""),0.0)</f>
        <v>0</v>
      </c>
      <c r="C4928" s="11">
        <f>IFERROR(__xludf.DUMMYFUNCTION("""COMPUTED_VALUE"""),846.0)</f>
        <v>846</v>
      </c>
      <c r="D4928" s="11">
        <f>IFERROR(__xludf.DUMMYFUNCTION("""COMPUTED_VALUE"""),186.0)</f>
        <v>186</v>
      </c>
      <c r="E4928" s="9"/>
    </row>
    <row r="4929">
      <c r="A4929" s="10">
        <f>IFERROR(__xludf.DUMMYFUNCTION("""COMPUTED_VALUE"""),70587.0)</f>
        <v>70587</v>
      </c>
      <c r="B4929" s="11">
        <f>IFERROR(__xludf.DUMMYFUNCTION("""COMPUTED_VALUE"""),0.0)</f>
        <v>0</v>
      </c>
      <c r="C4929" s="11">
        <f>IFERROR(__xludf.DUMMYFUNCTION("""COMPUTED_VALUE"""),30.0)</f>
        <v>30</v>
      </c>
      <c r="D4929" s="11">
        <f>IFERROR(__xludf.DUMMYFUNCTION("""COMPUTED_VALUE"""),28.0)</f>
        <v>28</v>
      </c>
      <c r="E4929" s="9"/>
    </row>
    <row r="4930">
      <c r="A4930" s="10">
        <f>IFERROR(__xludf.DUMMYFUNCTION("""COMPUTED_VALUE"""),109356.0)</f>
        <v>109356</v>
      </c>
      <c r="B4930" s="11">
        <f>IFERROR(__xludf.DUMMYFUNCTION("""COMPUTED_VALUE"""),1.0)</f>
        <v>1</v>
      </c>
      <c r="C4930" s="11">
        <f>IFERROR(__xludf.DUMMYFUNCTION("""COMPUTED_VALUE"""),534.0)</f>
        <v>534</v>
      </c>
      <c r="D4930" s="11">
        <f>IFERROR(__xludf.DUMMYFUNCTION("""COMPUTED_VALUE"""),435.0)</f>
        <v>435</v>
      </c>
      <c r="E4930" s="9"/>
    </row>
    <row r="4931">
      <c r="A4931" s="10">
        <f>IFERROR(__xludf.DUMMYFUNCTION("""COMPUTED_VALUE"""),47892.0)</f>
        <v>47892</v>
      </c>
      <c r="B4931" s="11">
        <f>IFERROR(__xludf.DUMMYFUNCTION("""COMPUTED_VALUE"""),1.0)</f>
        <v>1</v>
      </c>
      <c r="C4931" s="11">
        <f>IFERROR(__xludf.DUMMYFUNCTION("""COMPUTED_VALUE"""),409.0)</f>
        <v>409</v>
      </c>
      <c r="D4931" s="11">
        <f>IFERROR(__xludf.DUMMYFUNCTION("""COMPUTED_VALUE"""),226.0)</f>
        <v>226</v>
      </c>
      <c r="E4931" s="9"/>
    </row>
    <row r="4932">
      <c r="A4932" s="10">
        <f>IFERROR(__xludf.DUMMYFUNCTION("""COMPUTED_VALUE"""),79901.0)</f>
        <v>79901</v>
      </c>
      <c r="B4932" s="11">
        <f>IFERROR(__xludf.DUMMYFUNCTION("""COMPUTED_VALUE"""),1.0)</f>
        <v>1</v>
      </c>
      <c r="C4932" s="11">
        <f>IFERROR(__xludf.DUMMYFUNCTION("""COMPUTED_VALUE"""),223.0)</f>
        <v>223</v>
      </c>
      <c r="D4932" s="11">
        <f>IFERROR(__xludf.DUMMYFUNCTION("""COMPUTED_VALUE"""),156.0)</f>
        <v>156</v>
      </c>
      <c r="E4932" s="9"/>
    </row>
    <row r="4933">
      <c r="A4933" s="10">
        <f>IFERROR(__xludf.DUMMYFUNCTION("""COMPUTED_VALUE"""),70585.0)</f>
        <v>70585</v>
      </c>
      <c r="B4933" s="11">
        <f>IFERROR(__xludf.DUMMYFUNCTION("""COMPUTED_VALUE"""),0.0)</f>
        <v>0</v>
      </c>
      <c r="C4933" s="11">
        <f>IFERROR(__xludf.DUMMYFUNCTION("""COMPUTED_VALUE"""),104.0)</f>
        <v>104</v>
      </c>
      <c r="D4933" s="11">
        <f>IFERROR(__xludf.DUMMYFUNCTION("""COMPUTED_VALUE"""),24.0)</f>
        <v>24</v>
      </c>
      <c r="E4933" s="9"/>
    </row>
    <row r="4934">
      <c r="A4934" s="10">
        <f>IFERROR(__xludf.DUMMYFUNCTION("""COMPUTED_VALUE"""),4375.0)</f>
        <v>4375</v>
      </c>
      <c r="B4934" s="11">
        <f>IFERROR(__xludf.DUMMYFUNCTION("""COMPUTED_VALUE"""),0.0)</f>
        <v>0</v>
      </c>
      <c r="C4934" s="11">
        <f>IFERROR(__xludf.DUMMYFUNCTION("""COMPUTED_VALUE"""),747.0)</f>
        <v>747</v>
      </c>
      <c r="D4934" s="11">
        <f>IFERROR(__xludf.DUMMYFUNCTION("""COMPUTED_VALUE"""),257.0)</f>
        <v>257</v>
      </c>
      <c r="E4934" s="9"/>
    </row>
    <row r="4935">
      <c r="A4935" s="10">
        <f>IFERROR(__xludf.DUMMYFUNCTION("""COMPUTED_VALUE"""),4380.0)</f>
        <v>4380</v>
      </c>
      <c r="B4935" s="11">
        <f>IFERROR(__xludf.DUMMYFUNCTION("""COMPUTED_VALUE"""),1.0)</f>
        <v>1</v>
      </c>
      <c r="C4935" s="11">
        <f>IFERROR(__xludf.DUMMYFUNCTION("""COMPUTED_VALUE"""),932.0)</f>
        <v>932</v>
      </c>
      <c r="D4935" s="11">
        <f>IFERROR(__xludf.DUMMYFUNCTION("""COMPUTED_VALUE"""),877.0)</f>
        <v>877</v>
      </c>
      <c r="E4935" s="9"/>
    </row>
    <row r="4936">
      <c r="A4936" s="10">
        <f>IFERROR(__xludf.DUMMYFUNCTION("""COMPUTED_VALUE"""),84967.0)</f>
        <v>84967</v>
      </c>
      <c r="B4936" s="11">
        <f>IFERROR(__xludf.DUMMYFUNCTION("""COMPUTED_VALUE"""),1.0)</f>
        <v>1</v>
      </c>
      <c r="C4936" s="11">
        <f>IFERROR(__xludf.DUMMYFUNCTION("""COMPUTED_VALUE"""),761.0)</f>
        <v>761</v>
      </c>
      <c r="D4936" s="11">
        <f>IFERROR(__xludf.DUMMYFUNCTION("""COMPUTED_VALUE"""),323.0)</f>
        <v>323</v>
      </c>
      <c r="E4936" s="9"/>
    </row>
    <row r="4937">
      <c r="A4937" s="10">
        <f>IFERROR(__xludf.DUMMYFUNCTION("""COMPUTED_VALUE"""),4381.0)</f>
        <v>4381</v>
      </c>
      <c r="B4937" s="11">
        <f>IFERROR(__xludf.DUMMYFUNCTION("""COMPUTED_VALUE"""),1.0)</f>
        <v>1</v>
      </c>
      <c r="C4937" s="11">
        <f>IFERROR(__xludf.DUMMYFUNCTION("""COMPUTED_VALUE"""),260.0)</f>
        <v>260</v>
      </c>
      <c r="D4937" s="11">
        <f>IFERROR(__xludf.DUMMYFUNCTION("""COMPUTED_VALUE"""),179.0)</f>
        <v>179</v>
      </c>
      <c r="E4937" s="9"/>
    </row>
    <row r="4938">
      <c r="A4938" s="10">
        <f>IFERROR(__xludf.DUMMYFUNCTION("""COMPUTED_VALUE"""),4379.0)</f>
        <v>4379</v>
      </c>
      <c r="B4938" s="11">
        <f>IFERROR(__xludf.DUMMYFUNCTION("""COMPUTED_VALUE"""),0.0)</f>
        <v>0</v>
      </c>
      <c r="C4938" s="11">
        <f>IFERROR(__xludf.DUMMYFUNCTION("""COMPUTED_VALUE"""),607.0)</f>
        <v>607</v>
      </c>
      <c r="D4938" s="11">
        <f>IFERROR(__xludf.DUMMYFUNCTION("""COMPUTED_VALUE"""),351.0)</f>
        <v>351</v>
      </c>
      <c r="E4938" s="9"/>
    </row>
    <row r="4939">
      <c r="A4939" s="10">
        <f>IFERROR(__xludf.DUMMYFUNCTION("""COMPUTED_VALUE"""),4383.0)</f>
        <v>4383</v>
      </c>
      <c r="B4939" s="11">
        <f>IFERROR(__xludf.DUMMYFUNCTION("""COMPUTED_VALUE"""),1.0)</f>
        <v>1</v>
      </c>
      <c r="C4939" s="11">
        <f>IFERROR(__xludf.DUMMYFUNCTION("""COMPUTED_VALUE"""),758.0)</f>
        <v>758</v>
      </c>
      <c r="D4939" s="11">
        <f>IFERROR(__xludf.DUMMYFUNCTION("""COMPUTED_VALUE"""),653.0)</f>
        <v>653</v>
      </c>
      <c r="E4939" s="9"/>
    </row>
    <row r="4940">
      <c r="A4940" s="10">
        <f>IFERROR(__xludf.DUMMYFUNCTION("""COMPUTED_VALUE"""),110770.0)</f>
        <v>110770</v>
      </c>
      <c r="B4940" s="11">
        <f>IFERROR(__xludf.DUMMYFUNCTION("""COMPUTED_VALUE"""),1.0)</f>
        <v>1</v>
      </c>
      <c r="C4940" s="11">
        <f>IFERROR(__xludf.DUMMYFUNCTION("""COMPUTED_VALUE"""),747.0)</f>
        <v>747</v>
      </c>
      <c r="D4940" s="11">
        <f>IFERROR(__xludf.DUMMYFUNCTION("""COMPUTED_VALUE"""),255.0)</f>
        <v>255</v>
      </c>
      <c r="E4940" s="9"/>
    </row>
    <row r="4941">
      <c r="A4941" s="10">
        <f>IFERROR(__xludf.DUMMYFUNCTION("""COMPUTED_VALUE"""),110764.0)</f>
        <v>110764</v>
      </c>
      <c r="B4941" s="11">
        <f>IFERROR(__xludf.DUMMYFUNCTION("""COMPUTED_VALUE"""),0.0)</f>
        <v>0</v>
      </c>
      <c r="C4941" s="11">
        <f>IFERROR(__xludf.DUMMYFUNCTION("""COMPUTED_VALUE"""),507.0)</f>
        <v>507</v>
      </c>
      <c r="D4941" s="11">
        <f>IFERROR(__xludf.DUMMYFUNCTION("""COMPUTED_VALUE"""),347.0)</f>
        <v>347</v>
      </c>
      <c r="E4941" s="9"/>
    </row>
    <row r="4942">
      <c r="A4942" s="10">
        <f>IFERROR(__xludf.DUMMYFUNCTION("""COMPUTED_VALUE"""),109355.0)</f>
        <v>109355</v>
      </c>
      <c r="B4942" s="11">
        <f>IFERROR(__xludf.DUMMYFUNCTION("""COMPUTED_VALUE"""),0.0)</f>
        <v>0</v>
      </c>
      <c r="C4942" s="11">
        <f>IFERROR(__xludf.DUMMYFUNCTION("""COMPUTED_VALUE"""),82.0)</f>
        <v>82</v>
      </c>
      <c r="D4942" s="11">
        <f>IFERROR(__xludf.DUMMYFUNCTION("""COMPUTED_VALUE"""),14.0)</f>
        <v>14</v>
      </c>
      <c r="E4942" s="9"/>
    </row>
    <row r="4943">
      <c r="A4943" s="10">
        <f>IFERROR(__xludf.DUMMYFUNCTION("""COMPUTED_VALUE"""),110765.0)</f>
        <v>110765</v>
      </c>
      <c r="B4943" s="11">
        <f>IFERROR(__xludf.DUMMYFUNCTION("""COMPUTED_VALUE"""),1.0)</f>
        <v>1</v>
      </c>
      <c r="C4943" s="11">
        <f>IFERROR(__xludf.DUMMYFUNCTION("""COMPUTED_VALUE"""),949.0)</f>
        <v>949</v>
      </c>
      <c r="D4943" s="11">
        <f>IFERROR(__xludf.DUMMYFUNCTION("""COMPUTED_VALUE"""),12.0)</f>
        <v>12</v>
      </c>
      <c r="E4943" s="9"/>
    </row>
    <row r="4944">
      <c r="A4944" s="10">
        <f>IFERROR(__xludf.DUMMYFUNCTION("""COMPUTED_VALUE"""),103510.0)</f>
        <v>103510</v>
      </c>
      <c r="B4944" s="11">
        <f>IFERROR(__xludf.DUMMYFUNCTION("""COMPUTED_VALUE"""),1.0)</f>
        <v>1</v>
      </c>
      <c r="C4944" s="11">
        <f>IFERROR(__xludf.DUMMYFUNCTION("""COMPUTED_VALUE"""),609.0)</f>
        <v>609</v>
      </c>
      <c r="D4944" s="11">
        <f>IFERROR(__xludf.DUMMYFUNCTION("""COMPUTED_VALUE"""),174.0)</f>
        <v>174</v>
      </c>
      <c r="E4944" s="9"/>
    </row>
    <row r="4945">
      <c r="A4945" s="10">
        <f>IFERROR(__xludf.DUMMYFUNCTION("""COMPUTED_VALUE"""),114936.0)</f>
        <v>114936</v>
      </c>
      <c r="B4945" s="11">
        <f>IFERROR(__xludf.DUMMYFUNCTION("""COMPUTED_VALUE"""),1.0)</f>
        <v>1</v>
      </c>
      <c r="C4945" s="11">
        <f>IFERROR(__xludf.DUMMYFUNCTION("""COMPUTED_VALUE"""),184.0)</f>
        <v>184</v>
      </c>
      <c r="D4945" s="11">
        <f>IFERROR(__xludf.DUMMYFUNCTION("""COMPUTED_VALUE"""),7.0)</f>
        <v>7</v>
      </c>
      <c r="E4945" s="9"/>
    </row>
    <row r="4946">
      <c r="A4946" s="10">
        <f>IFERROR(__xludf.DUMMYFUNCTION("""COMPUTED_VALUE"""),114935.0)</f>
        <v>114935</v>
      </c>
      <c r="B4946" s="11">
        <f>IFERROR(__xludf.DUMMYFUNCTION("""COMPUTED_VALUE"""),1.0)</f>
        <v>1</v>
      </c>
      <c r="C4946" s="11">
        <f>IFERROR(__xludf.DUMMYFUNCTION("""COMPUTED_VALUE"""),310.0)</f>
        <v>310</v>
      </c>
      <c r="D4946" s="11">
        <f>IFERROR(__xludf.DUMMYFUNCTION("""COMPUTED_VALUE"""),93.0)</f>
        <v>93</v>
      </c>
      <c r="E4946" s="9"/>
    </row>
    <row r="4947">
      <c r="A4947" s="10">
        <f>IFERROR(__xludf.DUMMYFUNCTION("""COMPUTED_VALUE"""),110768.0)</f>
        <v>110768</v>
      </c>
      <c r="B4947" s="11">
        <f>IFERROR(__xludf.DUMMYFUNCTION("""COMPUTED_VALUE"""),1.0)</f>
        <v>1</v>
      </c>
      <c r="C4947" s="11">
        <f>IFERROR(__xludf.DUMMYFUNCTION("""COMPUTED_VALUE"""),437.0)</f>
        <v>437</v>
      </c>
      <c r="D4947" s="11">
        <f>IFERROR(__xludf.DUMMYFUNCTION("""COMPUTED_VALUE"""),34.0)</f>
        <v>34</v>
      </c>
      <c r="E4947" s="9"/>
    </row>
    <row r="4948">
      <c r="A4948" s="10">
        <f>IFERROR(__xludf.DUMMYFUNCTION("""COMPUTED_VALUE"""),120256.0)</f>
        <v>120256</v>
      </c>
      <c r="B4948" s="11">
        <f>IFERROR(__xludf.DUMMYFUNCTION("""COMPUTED_VALUE"""),0.0)</f>
        <v>0</v>
      </c>
      <c r="C4948" s="11">
        <f>IFERROR(__xludf.DUMMYFUNCTION("""COMPUTED_VALUE"""),961.0)</f>
        <v>961</v>
      </c>
      <c r="D4948" s="11">
        <f>IFERROR(__xludf.DUMMYFUNCTION("""COMPUTED_VALUE"""),769.0)</f>
        <v>769</v>
      </c>
      <c r="E4948" s="9"/>
    </row>
    <row r="4949">
      <c r="A4949" s="10">
        <f>IFERROR(__xludf.DUMMYFUNCTION("""COMPUTED_VALUE"""),101783.0)</f>
        <v>101783</v>
      </c>
      <c r="B4949" s="11">
        <f>IFERROR(__xludf.DUMMYFUNCTION("""COMPUTED_VALUE"""),1.0)</f>
        <v>1</v>
      </c>
      <c r="C4949" s="11">
        <f>IFERROR(__xludf.DUMMYFUNCTION("""COMPUTED_VALUE"""),618.0)</f>
        <v>618</v>
      </c>
      <c r="D4949" s="11">
        <f>IFERROR(__xludf.DUMMYFUNCTION("""COMPUTED_VALUE"""),112.0)</f>
        <v>112</v>
      </c>
      <c r="E4949" s="9"/>
    </row>
    <row r="4950">
      <c r="A4950" s="10">
        <f>IFERROR(__xludf.DUMMYFUNCTION("""COMPUTED_VALUE"""),75766.0)</f>
        <v>75766</v>
      </c>
      <c r="B4950" s="11">
        <f>IFERROR(__xludf.DUMMYFUNCTION("""COMPUTED_VALUE"""),0.0)</f>
        <v>0</v>
      </c>
      <c r="C4950" s="11">
        <f>IFERROR(__xludf.DUMMYFUNCTION("""COMPUTED_VALUE"""),842.0)</f>
        <v>842</v>
      </c>
      <c r="D4950" s="11">
        <f>IFERROR(__xludf.DUMMYFUNCTION("""COMPUTED_VALUE"""),123.0)</f>
        <v>123</v>
      </c>
      <c r="E4950" s="9"/>
    </row>
    <row r="4951">
      <c r="A4951" s="10">
        <f>IFERROR(__xludf.DUMMYFUNCTION("""COMPUTED_VALUE"""),69756.0)</f>
        <v>69756</v>
      </c>
      <c r="B4951" s="11">
        <f>IFERROR(__xludf.DUMMYFUNCTION("""COMPUTED_VALUE"""),0.0)</f>
        <v>0</v>
      </c>
      <c r="C4951" s="11">
        <f>IFERROR(__xludf.DUMMYFUNCTION("""COMPUTED_VALUE"""),104.0)</f>
        <v>104</v>
      </c>
      <c r="D4951" s="11">
        <f>IFERROR(__xludf.DUMMYFUNCTION("""COMPUTED_VALUE"""),77.0)</f>
        <v>77</v>
      </c>
      <c r="E4951" s="9"/>
    </row>
    <row r="4952">
      <c r="A4952" s="10">
        <f>IFERROR(__xludf.DUMMYFUNCTION("""COMPUTED_VALUE"""),112471.0)</f>
        <v>112471</v>
      </c>
      <c r="B4952" s="11">
        <f>IFERROR(__xludf.DUMMYFUNCTION("""COMPUTED_VALUE"""),1.0)</f>
        <v>1</v>
      </c>
      <c r="C4952" s="11">
        <f>IFERROR(__xludf.DUMMYFUNCTION("""COMPUTED_VALUE"""),933.0)</f>
        <v>933</v>
      </c>
      <c r="D4952" s="11">
        <f>IFERROR(__xludf.DUMMYFUNCTION("""COMPUTED_VALUE"""),640.0)</f>
        <v>640</v>
      </c>
      <c r="E4952" s="9"/>
    </row>
    <row r="4953">
      <c r="A4953" s="10">
        <f>IFERROR(__xludf.DUMMYFUNCTION("""COMPUTED_VALUE"""),99040.0)</f>
        <v>99040</v>
      </c>
      <c r="B4953" s="11">
        <f>IFERROR(__xludf.DUMMYFUNCTION("""COMPUTED_VALUE"""),0.0)</f>
        <v>0</v>
      </c>
      <c r="C4953" s="11">
        <f>IFERROR(__xludf.DUMMYFUNCTION("""COMPUTED_VALUE"""),354.0)</f>
        <v>354</v>
      </c>
      <c r="D4953" s="11">
        <f>IFERROR(__xludf.DUMMYFUNCTION("""COMPUTED_VALUE"""),28.0)</f>
        <v>28</v>
      </c>
      <c r="E4953" s="9"/>
    </row>
    <row r="4954">
      <c r="A4954" s="10">
        <f>IFERROR(__xludf.DUMMYFUNCTION("""COMPUTED_VALUE"""),112321.0)</f>
        <v>112321</v>
      </c>
      <c r="B4954" s="11">
        <f>IFERROR(__xludf.DUMMYFUNCTION("""COMPUTED_VALUE"""),0.0)</f>
        <v>0</v>
      </c>
      <c r="C4954" s="11">
        <f>IFERROR(__xludf.DUMMYFUNCTION("""COMPUTED_VALUE"""),83.0)</f>
        <v>83</v>
      </c>
      <c r="D4954" s="11">
        <f>IFERROR(__xludf.DUMMYFUNCTION("""COMPUTED_VALUE"""),71.0)</f>
        <v>71</v>
      </c>
      <c r="E4954" s="9"/>
    </row>
    <row r="4955">
      <c r="A4955" s="10">
        <f>IFERROR(__xludf.DUMMYFUNCTION("""COMPUTED_VALUE"""),139296.0)</f>
        <v>139296</v>
      </c>
      <c r="B4955" s="11">
        <f>IFERROR(__xludf.DUMMYFUNCTION("""COMPUTED_VALUE"""),1.0)</f>
        <v>1</v>
      </c>
      <c r="C4955" s="11">
        <f>IFERROR(__xludf.DUMMYFUNCTION("""COMPUTED_VALUE"""),548.0)</f>
        <v>548</v>
      </c>
      <c r="D4955" s="11">
        <f>IFERROR(__xludf.DUMMYFUNCTION("""COMPUTED_VALUE"""),125.0)</f>
        <v>125</v>
      </c>
      <c r="E4955" s="9"/>
    </row>
    <row r="4956">
      <c r="A4956" s="10">
        <f>IFERROR(__xludf.DUMMYFUNCTION("""COMPUTED_VALUE"""),112318.0)</f>
        <v>112318</v>
      </c>
      <c r="B4956" s="11">
        <f>IFERROR(__xludf.DUMMYFUNCTION("""COMPUTED_VALUE"""),0.0)</f>
        <v>0</v>
      </c>
      <c r="C4956" s="11">
        <f>IFERROR(__xludf.DUMMYFUNCTION("""COMPUTED_VALUE"""),804.0)</f>
        <v>804</v>
      </c>
      <c r="D4956" s="11">
        <f>IFERROR(__xludf.DUMMYFUNCTION("""COMPUTED_VALUE"""),788.0)</f>
        <v>788</v>
      </c>
      <c r="E4956" s="9"/>
    </row>
    <row r="4957">
      <c r="A4957" s="10">
        <f>IFERROR(__xludf.DUMMYFUNCTION("""COMPUTED_VALUE"""),86119.0)</f>
        <v>86119</v>
      </c>
      <c r="B4957" s="11">
        <f>IFERROR(__xludf.DUMMYFUNCTION("""COMPUTED_VALUE"""),0.0)</f>
        <v>0</v>
      </c>
      <c r="C4957" s="11">
        <f>IFERROR(__xludf.DUMMYFUNCTION("""COMPUTED_VALUE"""),527.0)</f>
        <v>527</v>
      </c>
      <c r="D4957" s="11">
        <f>IFERROR(__xludf.DUMMYFUNCTION("""COMPUTED_VALUE"""),38.0)</f>
        <v>38</v>
      </c>
      <c r="E4957" s="9"/>
    </row>
    <row r="4958">
      <c r="A4958" s="10">
        <f>IFERROR(__xludf.DUMMYFUNCTION("""COMPUTED_VALUE"""),79895.0)</f>
        <v>79895</v>
      </c>
      <c r="B4958" s="11">
        <f>IFERROR(__xludf.DUMMYFUNCTION("""COMPUTED_VALUE"""),1.0)</f>
        <v>1</v>
      </c>
      <c r="C4958" s="11">
        <f>IFERROR(__xludf.DUMMYFUNCTION("""COMPUTED_VALUE"""),831.0)</f>
        <v>831</v>
      </c>
      <c r="D4958" s="11">
        <f>IFERROR(__xludf.DUMMYFUNCTION("""COMPUTED_VALUE"""),433.0)</f>
        <v>433</v>
      </c>
      <c r="E4958" s="9"/>
    </row>
    <row r="4959">
      <c r="A4959" s="10">
        <f>IFERROR(__xludf.DUMMYFUNCTION("""COMPUTED_VALUE"""),133909.0)</f>
        <v>133909</v>
      </c>
      <c r="B4959" s="11">
        <f>IFERROR(__xludf.DUMMYFUNCTION("""COMPUTED_VALUE"""),0.0)</f>
        <v>0</v>
      </c>
      <c r="C4959" s="11">
        <f>IFERROR(__xludf.DUMMYFUNCTION("""COMPUTED_VALUE"""),428.0)</f>
        <v>428</v>
      </c>
      <c r="D4959" s="11">
        <f>IFERROR(__xludf.DUMMYFUNCTION("""COMPUTED_VALUE"""),296.0)</f>
        <v>296</v>
      </c>
      <c r="E4959" s="9"/>
    </row>
    <row r="4960">
      <c r="A4960" s="10">
        <f>IFERROR(__xludf.DUMMYFUNCTION("""COMPUTED_VALUE"""),128338.0)</f>
        <v>128338</v>
      </c>
      <c r="B4960" s="11">
        <f>IFERROR(__xludf.DUMMYFUNCTION("""COMPUTED_VALUE"""),0.0)</f>
        <v>0</v>
      </c>
      <c r="C4960" s="11">
        <f>IFERROR(__xludf.DUMMYFUNCTION("""COMPUTED_VALUE"""),777.0)</f>
        <v>777</v>
      </c>
      <c r="D4960" s="11">
        <f>IFERROR(__xludf.DUMMYFUNCTION("""COMPUTED_VALUE"""),115.0)</f>
        <v>115</v>
      </c>
      <c r="E4960" s="9"/>
    </row>
    <row r="4961">
      <c r="A4961" s="10">
        <f>IFERROR(__xludf.DUMMYFUNCTION("""COMPUTED_VALUE"""),42990.0)</f>
        <v>42990</v>
      </c>
      <c r="B4961" s="11">
        <f>IFERROR(__xludf.DUMMYFUNCTION("""COMPUTED_VALUE"""),0.0)</f>
        <v>0</v>
      </c>
      <c r="C4961" s="11">
        <f>IFERROR(__xludf.DUMMYFUNCTION("""COMPUTED_VALUE"""),852.0)</f>
        <v>852</v>
      </c>
      <c r="D4961" s="11">
        <f>IFERROR(__xludf.DUMMYFUNCTION("""COMPUTED_VALUE"""),83.0)</f>
        <v>83</v>
      </c>
      <c r="E4961" s="9"/>
    </row>
    <row r="4962">
      <c r="A4962" s="10">
        <f>IFERROR(__xludf.DUMMYFUNCTION("""COMPUTED_VALUE"""),128339.0)</f>
        <v>128339</v>
      </c>
      <c r="B4962" s="11">
        <f>IFERROR(__xludf.DUMMYFUNCTION("""COMPUTED_VALUE"""),1.0)</f>
        <v>1</v>
      </c>
      <c r="C4962" s="11">
        <f>IFERROR(__xludf.DUMMYFUNCTION("""COMPUTED_VALUE"""),296.0)</f>
        <v>296</v>
      </c>
      <c r="D4962" s="11">
        <f>IFERROR(__xludf.DUMMYFUNCTION("""COMPUTED_VALUE"""),143.0)</f>
        <v>143</v>
      </c>
      <c r="E4962" s="9"/>
    </row>
    <row r="4963">
      <c r="A4963" s="10">
        <f>IFERROR(__xludf.DUMMYFUNCTION("""COMPUTED_VALUE"""),42008.0)</f>
        <v>42008</v>
      </c>
      <c r="B4963" s="11">
        <f>IFERROR(__xludf.DUMMYFUNCTION("""COMPUTED_VALUE"""),1.0)</f>
        <v>1</v>
      </c>
      <c r="C4963" s="11">
        <f>IFERROR(__xludf.DUMMYFUNCTION("""COMPUTED_VALUE"""),47.0)</f>
        <v>47</v>
      </c>
      <c r="D4963" s="11">
        <f>IFERROR(__xludf.DUMMYFUNCTION("""COMPUTED_VALUE"""),0.0)</f>
        <v>0</v>
      </c>
      <c r="E4963" s="9"/>
    </row>
    <row r="4964">
      <c r="A4964" s="10">
        <f>IFERROR(__xludf.DUMMYFUNCTION("""COMPUTED_VALUE"""),112320.0)</f>
        <v>112320</v>
      </c>
      <c r="B4964" s="11">
        <f>IFERROR(__xludf.DUMMYFUNCTION("""COMPUTED_VALUE"""),1.0)</f>
        <v>1</v>
      </c>
      <c r="C4964" s="11">
        <f>IFERROR(__xludf.DUMMYFUNCTION("""COMPUTED_VALUE"""),258.0)</f>
        <v>258</v>
      </c>
      <c r="D4964" s="11">
        <f>IFERROR(__xludf.DUMMYFUNCTION("""COMPUTED_VALUE"""),207.0)</f>
        <v>207</v>
      </c>
      <c r="E4964" s="9"/>
    </row>
    <row r="4965">
      <c r="A4965" s="10">
        <f>IFERROR(__xludf.DUMMYFUNCTION("""COMPUTED_VALUE"""),111150.0)</f>
        <v>111150</v>
      </c>
      <c r="B4965" s="11">
        <f>IFERROR(__xludf.DUMMYFUNCTION("""COMPUTED_VALUE"""),1.0)</f>
        <v>1</v>
      </c>
      <c r="C4965" s="11">
        <f>IFERROR(__xludf.DUMMYFUNCTION("""COMPUTED_VALUE"""),607.0)</f>
        <v>607</v>
      </c>
      <c r="D4965" s="11">
        <f>IFERROR(__xludf.DUMMYFUNCTION("""COMPUTED_VALUE"""),110.0)</f>
        <v>110</v>
      </c>
      <c r="E4965" s="9"/>
    </row>
    <row r="4966">
      <c r="A4966" s="10">
        <f>IFERROR(__xludf.DUMMYFUNCTION("""COMPUTED_VALUE"""),101782.0)</f>
        <v>101782</v>
      </c>
      <c r="B4966" s="11">
        <f>IFERROR(__xludf.DUMMYFUNCTION("""COMPUTED_VALUE"""),1.0)</f>
        <v>1</v>
      </c>
      <c r="C4966" s="11">
        <f>IFERROR(__xludf.DUMMYFUNCTION("""COMPUTED_VALUE"""),596.0)</f>
        <v>596</v>
      </c>
      <c r="D4966" s="11">
        <f>IFERROR(__xludf.DUMMYFUNCTION("""COMPUTED_VALUE"""),269.0)</f>
        <v>269</v>
      </c>
      <c r="E4966" s="9"/>
    </row>
    <row r="4967">
      <c r="A4967" s="10">
        <f>IFERROR(__xludf.DUMMYFUNCTION("""COMPUTED_VALUE"""),128402.0)</f>
        <v>128402</v>
      </c>
      <c r="B4967" s="11">
        <f>IFERROR(__xludf.DUMMYFUNCTION("""COMPUTED_VALUE"""),1.0)</f>
        <v>1</v>
      </c>
      <c r="C4967" s="11">
        <f>IFERROR(__xludf.DUMMYFUNCTION("""COMPUTED_VALUE"""),788.0)</f>
        <v>788</v>
      </c>
      <c r="D4967" s="11">
        <f>IFERROR(__xludf.DUMMYFUNCTION("""COMPUTED_VALUE"""),656.0)</f>
        <v>656</v>
      </c>
      <c r="E4967" s="9"/>
    </row>
    <row r="4968">
      <c r="A4968" s="10">
        <f>IFERROR(__xludf.DUMMYFUNCTION("""COMPUTED_VALUE"""),112322.0)</f>
        <v>112322</v>
      </c>
      <c r="B4968" s="11">
        <f>IFERROR(__xludf.DUMMYFUNCTION("""COMPUTED_VALUE"""),1.0)</f>
        <v>1</v>
      </c>
      <c r="C4968" s="11">
        <f>IFERROR(__xludf.DUMMYFUNCTION("""COMPUTED_VALUE"""),942.0)</f>
        <v>942</v>
      </c>
      <c r="D4968" s="11">
        <f>IFERROR(__xludf.DUMMYFUNCTION("""COMPUTED_VALUE"""),159.0)</f>
        <v>159</v>
      </c>
      <c r="E4968" s="9"/>
    </row>
    <row r="4969">
      <c r="A4969" s="10">
        <f>IFERROR(__xludf.DUMMYFUNCTION("""COMPUTED_VALUE"""),41994.0)</f>
        <v>41994</v>
      </c>
      <c r="B4969" s="11">
        <f>IFERROR(__xludf.DUMMYFUNCTION("""COMPUTED_VALUE"""),1.0)</f>
        <v>1</v>
      </c>
      <c r="C4969" s="11">
        <f>IFERROR(__xludf.DUMMYFUNCTION("""COMPUTED_VALUE"""),372.0)</f>
        <v>372</v>
      </c>
      <c r="D4969" s="11">
        <f>IFERROR(__xludf.DUMMYFUNCTION("""COMPUTED_VALUE"""),258.0)</f>
        <v>258</v>
      </c>
      <c r="E4969" s="9"/>
    </row>
    <row r="4970">
      <c r="A4970" s="10">
        <f>IFERROR(__xludf.DUMMYFUNCTION("""COMPUTED_VALUE"""),112319.0)</f>
        <v>112319</v>
      </c>
      <c r="B4970" s="11">
        <f>IFERROR(__xludf.DUMMYFUNCTION("""COMPUTED_VALUE"""),0.0)</f>
        <v>0</v>
      </c>
      <c r="C4970" s="11">
        <f>IFERROR(__xludf.DUMMYFUNCTION("""COMPUTED_VALUE"""),571.0)</f>
        <v>571</v>
      </c>
      <c r="D4970" s="11">
        <f>IFERROR(__xludf.DUMMYFUNCTION("""COMPUTED_VALUE"""),12.0)</f>
        <v>12</v>
      </c>
      <c r="E4970" s="9"/>
    </row>
    <row r="4971">
      <c r="A4971" s="10">
        <f>IFERROR(__xludf.DUMMYFUNCTION("""COMPUTED_VALUE"""),42002.0)</f>
        <v>42002</v>
      </c>
      <c r="B4971" s="11">
        <f>IFERROR(__xludf.DUMMYFUNCTION("""COMPUTED_VALUE"""),1.0)</f>
        <v>1</v>
      </c>
      <c r="C4971" s="11">
        <f>IFERROR(__xludf.DUMMYFUNCTION("""COMPUTED_VALUE"""),403.0)</f>
        <v>403</v>
      </c>
      <c r="D4971" s="11">
        <f>IFERROR(__xludf.DUMMYFUNCTION("""COMPUTED_VALUE"""),160.0)</f>
        <v>160</v>
      </c>
      <c r="E4971" s="9"/>
    </row>
    <row r="4972">
      <c r="A4972" s="10">
        <f>IFERROR(__xludf.DUMMYFUNCTION("""COMPUTED_VALUE"""),120263.0)</f>
        <v>120263</v>
      </c>
      <c r="B4972" s="11">
        <f>IFERROR(__xludf.DUMMYFUNCTION("""COMPUTED_VALUE"""),1.0)</f>
        <v>1</v>
      </c>
      <c r="C4972" s="11">
        <f>IFERROR(__xludf.DUMMYFUNCTION("""COMPUTED_VALUE"""),411.0)</f>
        <v>411</v>
      </c>
      <c r="D4972" s="11">
        <f>IFERROR(__xludf.DUMMYFUNCTION("""COMPUTED_VALUE"""),374.0)</f>
        <v>374</v>
      </c>
      <c r="E4972" s="9"/>
    </row>
    <row r="4973">
      <c r="A4973" s="10">
        <f>IFERROR(__xludf.DUMMYFUNCTION("""COMPUTED_VALUE"""),112855.0)</f>
        <v>112855</v>
      </c>
      <c r="B4973" s="11">
        <f>IFERROR(__xludf.DUMMYFUNCTION("""COMPUTED_VALUE"""),1.0)</f>
        <v>1</v>
      </c>
      <c r="C4973" s="11">
        <f>IFERROR(__xludf.DUMMYFUNCTION("""COMPUTED_VALUE"""),636.0)</f>
        <v>636</v>
      </c>
      <c r="D4973" s="11">
        <f>IFERROR(__xludf.DUMMYFUNCTION("""COMPUTED_VALUE"""),275.0)</f>
        <v>275</v>
      </c>
      <c r="E4973" s="9"/>
    </row>
    <row r="4974">
      <c r="A4974" s="10">
        <f>IFERROR(__xludf.DUMMYFUNCTION("""COMPUTED_VALUE"""),111151.0)</f>
        <v>111151</v>
      </c>
      <c r="B4974" s="11">
        <f>IFERROR(__xludf.DUMMYFUNCTION("""COMPUTED_VALUE"""),0.0)</f>
        <v>0</v>
      </c>
      <c r="C4974" s="11">
        <f>IFERROR(__xludf.DUMMYFUNCTION("""COMPUTED_VALUE"""),397.0)</f>
        <v>397</v>
      </c>
      <c r="D4974" s="11">
        <f>IFERROR(__xludf.DUMMYFUNCTION("""COMPUTED_VALUE"""),65.0)</f>
        <v>65</v>
      </c>
      <c r="E4974" s="9"/>
    </row>
    <row r="4975">
      <c r="A4975" s="10">
        <f>IFERROR(__xludf.DUMMYFUNCTION("""COMPUTED_VALUE"""),111152.0)</f>
        <v>111152</v>
      </c>
      <c r="B4975" s="11">
        <f>IFERROR(__xludf.DUMMYFUNCTION("""COMPUTED_VALUE"""),1.0)</f>
        <v>1</v>
      </c>
      <c r="C4975" s="11">
        <f>IFERROR(__xludf.DUMMYFUNCTION("""COMPUTED_VALUE"""),296.0)</f>
        <v>296</v>
      </c>
      <c r="D4975" s="11">
        <f>IFERROR(__xludf.DUMMYFUNCTION("""COMPUTED_VALUE"""),14.0)</f>
        <v>14</v>
      </c>
      <c r="E4975" s="9"/>
    </row>
    <row r="4976">
      <c r="A4976" s="10">
        <f>IFERROR(__xludf.DUMMYFUNCTION("""COMPUTED_VALUE"""),122224.0)</f>
        <v>122224</v>
      </c>
      <c r="B4976" s="11">
        <f>IFERROR(__xludf.DUMMYFUNCTION("""COMPUTED_VALUE"""),1.0)</f>
        <v>1</v>
      </c>
      <c r="C4976" s="11">
        <f>IFERROR(__xludf.DUMMYFUNCTION("""COMPUTED_VALUE"""),437.0)</f>
        <v>437</v>
      </c>
      <c r="D4976" s="11">
        <f>IFERROR(__xludf.DUMMYFUNCTION("""COMPUTED_VALUE"""),238.0)</f>
        <v>238</v>
      </c>
      <c r="E4976" s="9"/>
    </row>
    <row r="4977">
      <c r="A4977" s="10">
        <f>IFERROR(__xludf.DUMMYFUNCTION("""COMPUTED_VALUE"""),124709.0)</f>
        <v>124709</v>
      </c>
      <c r="B4977" s="11">
        <f>IFERROR(__xludf.DUMMYFUNCTION("""COMPUTED_VALUE"""),1.0)</f>
        <v>1</v>
      </c>
      <c r="C4977" s="11">
        <f>IFERROR(__xludf.DUMMYFUNCTION("""COMPUTED_VALUE"""),87.0)</f>
        <v>87</v>
      </c>
      <c r="D4977" s="11">
        <f>IFERROR(__xludf.DUMMYFUNCTION("""COMPUTED_VALUE"""),61.0)</f>
        <v>61</v>
      </c>
      <c r="E4977" s="9"/>
    </row>
    <row r="4978">
      <c r="A4978" s="10">
        <f>IFERROR(__xludf.DUMMYFUNCTION("""COMPUTED_VALUE"""),99039.0)</f>
        <v>99039</v>
      </c>
      <c r="B4978" s="11">
        <f>IFERROR(__xludf.DUMMYFUNCTION("""COMPUTED_VALUE"""),1.0)</f>
        <v>1</v>
      </c>
      <c r="C4978" s="11">
        <f>IFERROR(__xludf.DUMMYFUNCTION("""COMPUTED_VALUE"""),156.0)</f>
        <v>156</v>
      </c>
      <c r="D4978" s="11">
        <f>IFERROR(__xludf.DUMMYFUNCTION("""COMPUTED_VALUE"""),106.0)</f>
        <v>106</v>
      </c>
      <c r="E4978" s="9"/>
    </row>
    <row r="4979">
      <c r="A4979" s="10">
        <f>IFERROR(__xludf.DUMMYFUNCTION("""COMPUTED_VALUE"""),82928.0)</f>
        <v>82928</v>
      </c>
      <c r="B4979" s="11">
        <f>IFERROR(__xludf.DUMMYFUNCTION("""COMPUTED_VALUE"""),0.0)</f>
        <v>0</v>
      </c>
      <c r="C4979" s="11">
        <f>IFERROR(__xludf.DUMMYFUNCTION("""COMPUTED_VALUE"""),144.0)</f>
        <v>144</v>
      </c>
      <c r="D4979" s="11">
        <f>IFERROR(__xludf.DUMMYFUNCTION("""COMPUTED_VALUE"""),69.0)</f>
        <v>69</v>
      </c>
      <c r="E4979" s="9"/>
    </row>
    <row r="4980">
      <c r="A4980" s="10">
        <f>IFERROR(__xludf.DUMMYFUNCTION("""COMPUTED_VALUE"""),111149.0)</f>
        <v>111149</v>
      </c>
      <c r="B4980" s="11">
        <f>IFERROR(__xludf.DUMMYFUNCTION("""COMPUTED_VALUE"""),1.0)</f>
        <v>1</v>
      </c>
      <c r="C4980" s="11">
        <f>IFERROR(__xludf.DUMMYFUNCTION("""COMPUTED_VALUE"""),635.0)</f>
        <v>635</v>
      </c>
      <c r="D4980" s="11">
        <f>IFERROR(__xludf.DUMMYFUNCTION("""COMPUTED_VALUE"""),635.0)</f>
        <v>635</v>
      </c>
      <c r="E4980" s="9"/>
    </row>
    <row r="4981">
      <c r="A4981" s="10">
        <f>IFERROR(__xludf.DUMMYFUNCTION("""COMPUTED_VALUE"""),82927.0)</f>
        <v>82927</v>
      </c>
      <c r="B4981" s="11">
        <f>IFERROR(__xludf.DUMMYFUNCTION("""COMPUTED_VALUE"""),0.0)</f>
        <v>0</v>
      </c>
      <c r="C4981" s="11">
        <f>IFERROR(__xludf.DUMMYFUNCTION("""COMPUTED_VALUE"""),509.0)</f>
        <v>509</v>
      </c>
      <c r="D4981" s="11">
        <f>IFERROR(__xludf.DUMMYFUNCTION("""COMPUTED_VALUE"""),141.0)</f>
        <v>141</v>
      </c>
      <c r="E4981" s="9"/>
    </row>
    <row r="4982">
      <c r="A4982" s="10">
        <f>IFERROR(__xludf.DUMMYFUNCTION("""COMPUTED_VALUE"""),112317.0)</f>
        <v>112317</v>
      </c>
      <c r="B4982" s="11">
        <f>IFERROR(__xludf.DUMMYFUNCTION("""COMPUTED_VALUE"""),0.0)</f>
        <v>0</v>
      </c>
      <c r="C4982" s="11">
        <f>IFERROR(__xludf.DUMMYFUNCTION("""COMPUTED_VALUE"""),328.0)</f>
        <v>328</v>
      </c>
      <c r="D4982" s="11">
        <f>IFERROR(__xludf.DUMMYFUNCTION("""COMPUTED_VALUE"""),300.0)</f>
        <v>300</v>
      </c>
      <c r="E4982" s="9"/>
    </row>
    <row r="4983">
      <c r="A4983" s="10">
        <f>IFERROR(__xludf.DUMMYFUNCTION("""COMPUTED_VALUE"""),140597.0)</f>
        <v>140597</v>
      </c>
      <c r="B4983" s="11">
        <f>IFERROR(__xludf.DUMMYFUNCTION("""COMPUTED_VALUE"""),0.0)</f>
        <v>0</v>
      </c>
      <c r="C4983" s="11">
        <f>IFERROR(__xludf.DUMMYFUNCTION("""COMPUTED_VALUE"""),577.0)</f>
        <v>577</v>
      </c>
      <c r="D4983" s="11">
        <f>IFERROR(__xludf.DUMMYFUNCTION("""COMPUTED_VALUE"""),301.0)</f>
        <v>301</v>
      </c>
      <c r="E4983" s="9"/>
    </row>
    <row r="4984">
      <c r="A4984" s="10">
        <f>IFERROR(__xludf.DUMMYFUNCTION("""COMPUTED_VALUE"""),122229.0)</f>
        <v>122229</v>
      </c>
      <c r="B4984" s="11">
        <f>IFERROR(__xludf.DUMMYFUNCTION("""COMPUTED_VALUE"""),0.0)</f>
        <v>0</v>
      </c>
      <c r="C4984" s="11">
        <f>IFERROR(__xludf.DUMMYFUNCTION("""COMPUTED_VALUE"""),609.0)</f>
        <v>609</v>
      </c>
      <c r="D4984" s="11">
        <f>IFERROR(__xludf.DUMMYFUNCTION("""COMPUTED_VALUE"""),139.0)</f>
        <v>139</v>
      </c>
      <c r="E4984" s="9"/>
    </row>
    <row r="4985">
      <c r="A4985" s="10">
        <f>IFERROR(__xludf.DUMMYFUNCTION("""COMPUTED_VALUE"""),112473.0)</f>
        <v>112473</v>
      </c>
      <c r="B4985" s="11">
        <f>IFERROR(__xludf.DUMMYFUNCTION("""COMPUTED_VALUE"""),0.0)</f>
        <v>0</v>
      </c>
      <c r="C4985" s="11">
        <f>IFERROR(__xludf.DUMMYFUNCTION("""COMPUTED_VALUE"""),320.0)</f>
        <v>320</v>
      </c>
      <c r="D4985" s="11">
        <f>IFERROR(__xludf.DUMMYFUNCTION("""COMPUTED_VALUE"""),231.0)</f>
        <v>231</v>
      </c>
      <c r="E4985" s="9"/>
    </row>
    <row r="4986">
      <c r="A4986" s="10">
        <f>IFERROR(__xludf.DUMMYFUNCTION("""COMPUTED_VALUE"""),122226.0)</f>
        <v>122226</v>
      </c>
      <c r="B4986" s="11">
        <f>IFERROR(__xludf.DUMMYFUNCTION("""COMPUTED_VALUE"""),0.0)</f>
        <v>0</v>
      </c>
      <c r="C4986" s="11">
        <f>IFERROR(__xludf.DUMMYFUNCTION("""COMPUTED_VALUE"""),412.0)</f>
        <v>412</v>
      </c>
      <c r="D4986" s="11">
        <f>IFERROR(__xludf.DUMMYFUNCTION("""COMPUTED_VALUE"""),38.0)</f>
        <v>38</v>
      </c>
      <c r="E4986" s="9"/>
    </row>
    <row r="4987">
      <c r="A4987" s="10">
        <f>IFERROR(__xludf.DUMMYFUNCTION("""COMPUTED_VALUE"""),4385.0)</f>
        <v>4385</v>
      </c>
      <c r="B4987" s="11">
        <f>IFERROR(__xludf.DUMMYFUNCTION("""COMPUTED_VALUE"""),1.0)</f>
        <v>1</v>
      </c>
      <c r="C4987" s="11">
        <f>IFERROR(__xludf.DUMMYFUNCTION("""COMPUTED_VALUE"""),504.0)</f>
        <v>504</v>
      </c>
      <c r="D4987" s="11">
        <f>IFERROR(__xludf.DUMMYFUNCTION("""COMPUTED_VALUE"""),274.0)</f>
        <v>274</v>
      </c>
      <c r="E4987" s="9"/>
    </row>
    <row r="4988">
      <c r="A4988" s="10">
        <f>IFERROR(__xludf.DUMMYFUNCTION("""COMPUTED_VALUE"""),41029.0)</f>
        <v>41029</v>
      </c>
      <c r="B4988" s="11">
        <f>IFERROR(__xludf.DUMMYFUNCTION("""COMPUTED_VALUE"""),0.0)</f>
        <v>0</v>
      </c>
      <c r="C4988" s="11">
        <f>IFERROR(__xludf.DUMMYFUNCTION("""COMPUTED_VALUE"""),110.0)</f>
        <v>110</v>
      </c>
      <c r="D4988" s="11">
        <f>IFERROR(__xludf.DUMMYFUNCTION("""COMPUTED_VALUE"""),101.0)</f>
        <v>101</v>
      </c>
      <c r="E4988" s="9"/>
    </row>
    <row r="4989">
      <c r="A4989" s="10">
        <f>IFERROR(__xludf.DUMMYFUNCTION("""COMPUTED_VALUE"""),4386.0)</f>
        <v>4386</v>
      </c>
      <c r="B4989" s="11">
        <f>IFERROR(__xludf.DUMMYFUNCTION("""COMPUTED_VALUE"""),0.0)</f>
        <v>0</v>
      </c>
      <c r="C4989" s="11">
        <f>IFERROR(__xludf.DUMMYFUNCTION("""COMPUTED_VALUE"""),977.0)</f>
        <v>977</v>
      </c>
      <c r="D4989" s="11">
        <f>IFERROR(__xludf.DUMMYFUNCTION("""COMPUTED_VALUE"""),367.0)</f>
        <v>367</v>
      </c>
      <c r="E4989" s="9"/>
    </row>
    <row r="4990">
      <c r="A4990" s="10">
        <f>IFERROR(__xludf.DUMMYFUNCTION("""COMPUTED_VALUE"""),41030.0)</f>
        <v>41030</v>
      </c>
      <c r="B4990" s="11">
        <f>IFERROR(__xludf.DUMMYFUNCTION("""COMPUTED_VALUE"""),1.0)</f>
        <v>1</v>
      </c>
      <c r="C4990" s="11">
        <f>IFERROR(__xludf.DUMMYFUNCTION("""COMPUTED_VALUE"""),349.0)</f>
        <v>349</v>
      </c>
      <c r="D4990" s="11">
        <f>IFERROR(__xludf.DUMMYFUNCTION("""COMPUTED_VALUE"""),236.0)</f>
        <v>236</v>
      </c>
      <c r="E4990" s="9"/>
    </row>
    <row r="4991">
      <c r="A4991" s="10">
        <f>IFERROR(__xludf.DUMMYFUNCTION("""COMPUTED_VALUE"""),84950.0)</f>
        <v>84950</v>
      </c>
      <c r="B4991" s="11">
        <f>IFERROR(__xludf.DUMMYFUNCTION("""COMPUTED_VALUE"""),1.0)</f>
        <v>1</v>
      </c>
      <c r="C4991" s="11">
        <f>IFERROR(__xludf.DUMMYFUNCTION("""COMPUTED_VALUE"""),296.0)</f>
        <v>296</v>
      </c>
      <c r="D4991" s="11">
        <f>IFERROR(__xludf.DUMMYFUNCTION("""COMPUTED_VALUE"""),212.0)</f>
        <v>212</v>
      </c>
      <c r="E4991" s="9"/>
    </row>
    <row r="4992">
      <c r="A4992" s="10">
        <f>IFERROR(__xludf.DUMMYFUNCTION("""COMPUTED_VALUE"""),45255.0)</f>
        <v>45255</v>
      </c>
      <c r="B4992" s="11">
        <f>IFERROR(__xludf.DUMMYFUNCTION("""COMPUTED_VALUE"""),1.0)</f>
        <v>1</v>
      </c>
      <c r="C4992" s="11">
        <f>IFERROR(__xludf.DUMMYFUNCTION("""COMPUTED_VALUE"""),298.0)</f>
        <v>298</v>
      </c>
      <c r="D4992" s="11">
        <f>IFERROR(__xludf.DUMMYFUNCTION("""COMPUTED_VALUE"""),164.0)</f>
        <v>164</v>
      </c>
      <c r="E4992" s="9"/>
    </row>
    <row r="4993">
      <c r="A4993" s="10">
        <f>IFERROR(__xludf.DUMMYFUNCTION("""COMPUTED_VALUE"""),108070.0)</f>
        <v>108070</v>
      </c>
      <c r="B4993" s="11">
        <f>IFERROR(__xludf.DUMMYFUNCTION("""COMPUTED_VALUE"""),0.0)</f>
        <v>0</v>
      </c>
      <c r="C4993" s="11">
        <f>IFERROR(__xludf.DUMMYFUNCTION("""COMPUTED_VALUE"""),867.0)</f>
        <v>867</v>
      </c>
      <c r="D4993" s="11">
        <f>IFERROR(__xludf.DUMMYFUNCTION("""COMPUTED_VALUE"""),330.0)</f>
        <v>330</v>
      </c>
      <c r="E4993" s="9"/>
    </row>
    <row r="4994">
      <c r="A4994" s="10">
        <f>IFERROR(__xludf.DUMMYFUNCTION("""COMPUTED_VALUE"""),108069.0)</f>
        <v>108069</v>
      </c>
      <c r="B4994" s="11">
        <f>IFERROR(__xludf.DUMMYFUNCTION("""COMPUTED_VALUE"""),0.0)</f>
        <v>0</v>
      </c>
      <c r="C4994" s="11">
        <f>IFERROR(__xludf.DUMMYFUNCTION("""COMPUTED_VALUE"""),916.0)</f>
        <v>916</v>
      </c>
      <c r="D4994" s="11">
        <f>IFERROR(__xludf.DUMMYFUNCTION("""COMPUTED_VALUE"""),59.0)</f>
        <v>59</v>
      </c>
      <c r="E4994" s="9"/>
    </row>
    <row r="4995">
      <c r="A4995" s="10">
        <f>IFERROR(__xludf.DUMMYFUNCTION("""COMPUTED_VALUE"""),9668.0)</f>
        <v>9668</v>
      </c>
      <c r="B4995" s="11">
        <f>IFERROR(__xludf.DUMMYFUNCTION("""COMPUTED_VALUE"""),0.0)</f>
        <v>0</v>
      </c>
      <c r="C4995" s="11">
        <f>IFERROR(__xludf.DUMMYFUNCTION("""COMPUTED_VALUE"""),459.0)</f>
        <v>459</v>
      </c>
      <c r="D4995" s="11">
        <f>IFERROR(__xludf.DUMMYFUNCTION("""COMPUTED_VALUE"""),451.0)</f>
        <v>451</v>
      </c>
      <c r="E4995" s="9"/>
    </row>
    <row r="4996">
      <c r="A4996" s="10">
        <f>IFERROR(__xludf.DUMMYFUNCTION("""COMPUTED_VALUE"""),26322.0)</f>
        <v>26322</v>
      </c>
      <c r="B4996" s="11">
        <f>IFERROR(__xludf.DUMMYFUNCTION("""COMPUTED_VALUE"""),0.0)</f>
        <v>0</v>
      </c>
      <c r="C4996" s="11">
        <f>IFERROR(__xludf.DUMMYFUNCTION("""COMPUTED_VALUE"""),407.0)</f>
        <v>407</v>
      </c>
      <c r="D4996" s="11">
        <f>IFERROR(__xludf.DUMMYFUNCTION("""COMPUTED_VALUE"""),402.0)</f>
        <v>402</v>
      </c>
      <c r="E4996" s="9"/>
    </row>
    <row r="4997">
      <c r="A4997" s="10">
        <f>IFERROR(__xludf.DUMMYFUNCTION("""COMPUTED_VALUE"""),70413.0)</f>
        <v>70413</v>
      </c>
      <c r="B4997" s="11">
        <f>IFERROR(__xludf.DUMMYFUNCTION("""COMPUTED_VALUE"""),0.0)</f>
        <v>0</v>
      </c>
      <c r="C4997" s="11">
        <f>IFERROR(__xludf.DUMMYFUNCTION("""COMPUTED_VALUE"""),193.0)</f>
        <v>193</v>
      </c>
      <c r="D4997" s="11">
        <f>IFERROR(__xludf.DUMMYFUNCTION("""COMPUTED_VALUE"""),44.0)</f>
        <v>44</v>
      </c>
      <c r="E4997" s="9"/>
    </row>
    <row r="4998">
      <c r="A4998" s="10">
        <f>IFERROR(__xludf.DUMMYFUNCTION("""COMPUTED_VALUE"""),4389.0)</f>
        <v>4389</v>
      </c>
      <c r="B4998" s="11">
        <f>IFERROR(__xludf.DUMMYFUNCTION("""COMPUTED_VALUE"""),1.0)</f>
        <v>1</v>
      </c>
      <c r="C4998" s="11">
        <f>IFERROR(__xludf.DUMMYFUNCTION("""COMPUTED_VALUE"""),198.0)</f>
        <v>198</v>
      </c>
      <c r="D4998" s="11">
        <f>IFERROR(__xludf.DUMMYFUNCTION("""COMPUTED_VALUE"""),180.0)</f>
        <v>180</v>
      </c>
      <c r="E4998" s="9"/>
    </row>
    <row r="4999">
      <c r="A4999" s="10">
        <f>IFERROR(__xludf.DUMMYFUNCTION("""COMPUTED_VALUE"""),128340.0)</f>
        <v>128340</v>
      </c>
      <c r="B4999" s="11">
        <f>IFERROR(__xludf.DUMMYFUNCTION("""COMPUTED_VALUE"""),0.0)</f>
        <v>0</v>
      </c>
      <c r="C4999" s="11">
        <f>IFERROR(__xludf.DUMMYFUNCTION("""COMPUTED_VALUE"""),48.0)</f>
        <v>48</v>
      </c>
      <c r="D4999" s="11">
        <f>IFERROR(__xludf.DUMMYFUNCTION("""COMPUTED_VALUE"""),1.0)</f>
        <v>1</v>
      </c>
      <c r="E4999" s="9"/>
    </row>
    <row r="5000">
      <c r="A5000" s="10">
        <f>IFERROR(__xludf.DUMMYFUNCTION("""COMPUTED_VALUE"""),108071.0)</f>
        <v>108071</v>
      </c>
      <c r="B5000" s="11">
        <f>IFERROR(__xludf.DUMMYFUNCTION("""COMPUTED_VALUE"""),1.0)</f>
        <v>1</v>
      </c>
      <c r="C5000" s="11">
        <f>IFERROR(__xludf.DUMMYFUNCTION("""COMPUTED_VALUE"""),919.0)</f>
        <v>919</v>
      </c>
      <c r="D5000" s="11">
        <f>IFERROR(__xludf.DUMMYFUNCTION("""COMPUTED_VALUE"""),733.0)</f>
        <v>733</v>
      </c>
      <c r="E5000" s="9"/>
    </row>
    <row r="5001">
      <c r="A5001" s="10">
        <f>IFERROR(__xludf.DUMMYFUNCTION("""COMPUTED_VALUE"""),108068.0)</f>
        <v>108068</v>
      </c>
      <c r="B5001" s="11">
        <f>IFERROR(__xludf.DUMMYFUNCTION("""COMPUTED_VALUE"""),1.0)</f>
        <v>1</v>
      </c>
      <c r="C5001" s="11">
        <f>IFERROR(__xludf.DUMMYFUNCTION("""COMPUTED_VALUE"""),363.0)</f>
        <v>363</v>
      </c>
      <c r="D5001" s="11">
        <f>IFERROR(__xludf.DUMMYFUNCTION("""COMPUTED_VALUE"""),214.0)</f>
        <v>214</v>
      </c>
      <c r="E5001" s="9"/>
    </row>
    <row r="5002">
      <c r="A5002" s="10">
        <f>IFERROR(__xludf.DUMMYFUNCTION("""COMPUTED_VALUE"""),9662.0)</f>
        <v>9662</v>
      </c>
      <c r="B5002" s="11">
        <f>IFERROR(__xludf.DUMMYFUNCTION("""COMPUTED_VALUE"""),1.0)</f>
        <v>1</v>
      </c>
      <c r="C5002" s="11">
        <f>IFERROR(__xludf.DUMMYFUNCTION("""COMPUTED_VALUE"""),530.0)</f>
        <v>530</v>
      </c>
      <c r="D5002" s="11">
        <f>IFERROR(__xludf.DUMMYFUNCTION("""COMPUTED_VALUE"""),481.0)</f>
        <v>481</v>
      </c>
      <c r="E5002" s="9"/>
    </row>
    <row r="5003">
      <c r="A5003" s="10">
        <f>IFERROR(__xludf.DUMMYFUNCTION("""COMPUTED_VALUE"""),117611.0)</f>
        <v>117611</v>
      </c>
      <c r="B5003" s="11">
        <f>IFERROR(__xludf.DUMMYFUNCTION("""COMPUTED_VALUE"""),1.0)</f>
        <v>1</v>
      </c>
      <c r="C5003" s="11">
        <f>IFERROR(__xludf.DUMMYFUNCTION("""COMPUTED_VALUE"""),875.0)</f>
        <v>875</v>
      </c>
      <c r="D5003" s="11">
        <f>IFERROR(__xludf.DUMMYFUNCTION("""COMPUTED_VALUE"""),447.0)</f>
        <v>447</v>
      </c>
      <c r="E5003" s="9"/>
    </row>
    <row r="5004">
      <c r="A5004" s="10">
        <f>IFERROR(__xludf.DUMMYFUNCTION("""COMPUTED_VALUE"""),111148.0)</f>
        <v>111148</v>
      </c>
      <c r="B5004" s="11">
        <f>IFERROR(__xludf.DUMMYFUNCTION("""COMPUTED_VALUE"""),0.0)</f>
        <v>0</v>
      </c>
      <c r="C5004" s="11">
        <f>IFERROR(__xludf.DUMMYFUNCTION("""COMPUTED_VALUE"""),198.0)</f>
        <v>198</v>
      </c>
      <c r="D5004" s="11">
        <f>IFERROR(__xludf.DUMMYFUNCTION("""COMPUTED_VALUE"""),41.0)</f>
        <v>41</v>
      </c>
      <c r="E5004" s="9"/>
    </row>
    <row r="5005">
      <c r="A5005" s="10">
        <f>IFERROR(__xludf.DUMMYFUNCTION("""COMPUTED_VALUE"""),9680.0)</f>
        <v>9680</v>
      </c>
      <c r="B5005" s="11">
        <f>IFERROR(__xludf.DUMMYFUNCTION("""COMPUTED_VALUE"""),0.0)</f>
        <v>0</v>
      </c>
      <c r="C5005" s="11">
        <f>IFERROR(__xludf.DUMMYFUNCTION("""COMPUTED_VALUE"""),690.0)</f>
        <v>690</v>
      </c>
      <c r="D5005" s="11">
        <f>IFERROR(__xludf.DUMMYFUNCTION("""COMPUTED_VALUE"""),515.0)</f>
        <v>515</v>
      </c>
      <c r="E5005" s="9"/>
    </row>
    <row r="5006">
      <c r="A5006" s="10">
        <f>IFERROR(__xludf.DUMMYFUNCTION("""COMPUTED_VALUE"""),117605.0)</f>
        <v>117605</v>
      </c>
      <c r="B5006" s="11">
        <f>IFERROR(__xludf.DUMMYFUNCTION("""COMPUTED_VALUE"""),1.0)</f>
        <v>1</v>
      </c>
      <c r="C5006" s="11">
        <f>IFERROR(__xludf.DUMMYFUNCTION("""COMPUTED_VALUE"""),357.0)</f>
        <v>357</v>
      </c>
      <c r="D5006" s="11">
        <f>IFERROR(__xludf.DUMMYFUNCTION("""COMPUTED_VALUE"""),276.0)</f>
        <v>276</v>
      </c>
      <c r="E5006" s="9"/>
    </row>
    <row r="5007">
      <c r="A5007" s="10">
        <f>IFERROR(__xludf.DUMMYFUNCTION("""COMPUTED_VALUE"""),108077.0)</f>
        <v>108077</v>
      </c>
      <c r="B5007" s="11">
        <f>IFERROR(__xludf.DUMMYFUNCTION("""COMPUTED_VALUE"""),1.0)</f>
        <v>1</v>
      </c>
      <c r="C5007" s="11">
        <f>IFERROR(__xludf.DUMMYFUNCTION("""COMPUTED_VALUE"""),704.0)</f>
        <v>704</v>
      </c>
      <c r="D5007" s="11">
        <f>IFERROR(__xludf.DUMMYFUNCTION("""COMPUTED_VALUE"""),264.0)</f>
        <v>264</v>
      </c>
      <c r="E5007" s="9"/>
    </row>
    <row r="5008">
      <c r="A5008" s="10">
        <f>IFERROR(__xludf.DUMMYFUNCTION("""COMPUTED_VALUE"""),9681.0)</f>
        <v>9681</v>
      </c>
      <c r="B5008" s="11">
        <f>IFERROR(__xludf.DUMMYFUNCTION("""COMPUTED_VALUE"""),1.0)</f>
        <v>1</v>
      </c>
      <c r="C5008" s="11">
        <f>IFERROR(__xludf.DUMMYFUNCTION("""COMPUTED_VALUE"""),395.0)</f>
        <v>395</v>
      </c>
      <c r="D5008" s="11">
        <f>IFERROR(__xludf.DUMMYFUNCTION("""COMPUTED_VALUE"""),209.0)</f>
        <v>209</v>
      </c>
      <c r="E5008" s="9"/>
    </row>
    <row r="5009">
      <c r="A5009" s="10">
        <f>IFERROR(__xludf.DUMMYFUNCTION("""COMPUTED_VALUE"""),4388.0)</f>
        <v>4388</v>
      </c>
      <c r="B5009" s="11">
        <f>IFERROR(__xludf.DUMMYFUNCTION("""COMPUTED_VALUE"""),0.0)</f>
        <v>0</v>
      </c>
      <c r="C5009" s="11">
        <f>IFERROR(__xludf.DUMMYFUNCTION("""COMPUTED_VALUE"""),129.0)</f>
        <v>129</v>
      </c>
      <c r="D5009" s="11">
        <f>IFERROR(__xludf.DUMMYFUNCTION("""COMPUTED_VALUE"""),58.0)</f>
        <v>58</v>
      </c>
      <c r="E5009" s="9"/>
    </row>
    <row r="5010">
      <c r="A5010" s="10">
        <f>IFERROR(__xludf.DUMMYFUNCTION("""COMPUTED_VALUE"""),99036.0)</f>
        <v>99036</v>
      </c>
      <c r="B5010" s="11">
        <f>IFERROR(__xludf.DUMMYFUNCTION("""COMPUTED_VALUE"""),0.0)</f>
        <v>0</v>
      </c>
      <c r="C5010" s="11">
        <f>IFERROR(__xludf.DUMMYFUNCTION("""COMPUTED_VALUE"""),338.0)</f>
        <v>338</v>
      </c>
      <c r="D5010" s="11">
        <f>IFERROR(__xludf.DUMMYFUNCTION("""COMPUTED_VALUE"""),168.0)</f>
        <v>168</v>
      </c>
      <c r="E5010" s="9"/>
    </row>
    <row r="5011">
      <c r="A5011" s="10">
        <f>IFERROR(__xludf.DUMMYFUNCTION("""COMPUTED_VALUE"""),109344.0)</f>
        <v>109344</v>
      </c>
      <c r="B5011" s="11">
        <f>IFERROR(__xludf.DUMMYFUNCTION("""COMPUTED_VALUE"""),0.0)</f>
        <v>0</v>
      </c>
      <c r="C5011" s="11">
        <f>IFERROR(__xludf.DUMMYFUNCTION("""COMPUTED_VALUE"""),475.0)</f>
        <v>475</v>
      </c>
      <c r="D5011" s="11">
        <f>IFERROR(__xludf.DUMMYFUNCTION("""COMPUTED_VALUE"""),331.0)</f>
        <v>331</v>
      </c>
      <c r="E5011" s="9"/>
    </row>
    <row r="5012">
      <c r="A5012" s="10">
        <f>IFERROR(__xludf.DUMMYFUNCTION("""COMPUTED_VALUE"""),9663.0)</f>
        <v>9663</v>
      </c>
      <c r="B5012" s="11">
        <f>IFERROR(__xludf.DUMMYFUNCTION("""COMPUTED_VALUE"""),0.0)</f>
        <v>0</v>
      </c>
      <c r="C5012" s="11">
        <f>IFERROR(__xludf.DUMMYFUNCTION("""COMPUTED_VALUE"""),867.0)</f>
        <v>867</v>
      </c>
      <c r="D5012" s="11">
        <f>IFERROR(__xludf.DUMMYFUNCTION("""COMPUTED_VALUE"""),247.0)</f>
        <v>247</v>
      </c>
      <c r="E5012" s="9"/>
    </row>
    <row r="5013">
      <c r="A5013" s="10">
        <f>IFERROR(__xludf.DUMMYFUNCTION("""COMPUTED_VALUE"""),119106.0)</f>
        <v>119106</v>
      </c>
      <c r="B5013" s="11">
        <f>IFERROR(__xludf.DUMMYFUNCTION("""COMPUTED_VALUE"""),0.0)</f>
        <v>0</v>
      </c>
      <c r="C5013" s="11">
        <f>IFERROR(__xludf.DUMMYFUNCTION("""COMPUTED_VALUE"""),488.0)</f>
        <v>488</v>
      </c>
      <c r="D5013" s="11">
        <f>IFERROR(__xludf.DUMMYFUNCTION("""COMPUTED_VALUE"""),450.0)</f>
        <v>450</v>
      </c>
      <c r="E5013" s="9"/>
    </row>
    <row r="5014">
      <c r="A5014" s="10">
        <f>IFERROR(__xludf.DUMMYFUNCTION("""COMPUTED_VALUE"""),9664.0)</f>
        <v>9664</v>
      </c>
      <c r="B5014" s="11">
        <f>IFERROR(__xludf.DUMMYFUNCTION("""COMPUTED_VALUE"""),1.0)</f>
        <v>1</v>
      </c>
      <c r="C5014" s="11">
        <f>IFERROR(__xludf.DUMMYFUNCTION("""COMPUTED_VALUE"""),604.0)</f>
        <v>604</v>
      </c>
      <c r="D5014" s="11">
        <f>IFERROR(__xludf.DUMMYFUNCTION("""COMPUTED_VALUE"""),365.0)</f>
        <v>365</v>
      </c>
      <c r="E5014" s="9"/>
    </row>
    <row r="5015">
      <c r="A5015" s="10">
        <f>IFERROR(__xludf.DUMMYFUNCTION("""COMPUTED_VALUE"""),108064.0)</f>
        <v>108064</v>
      </c>
      <c r="B5015" s="11">
        <f>IFERROR(__xludf.DUMMYFUNCTION("""COMPUTED_VALUE"""),1.0)</f>
        <v>1</v>
      </c>
      <c r="C5015" s="11">
        <f>IFERROR(__xludf.DUMMYFUNCTION("""COMPUTED_VALUE"""),87.0)</f>
        <v>87</v>
      </c>
      <c r="D5015" s="11">
        <f>IFERROR(__xludf.DUMMYFUNCTION("""COMPUTED_VALUE"""),11.0)</f>
        <v>11</v>
      </c>
      <c r="E5015" s="9"/>
    </row>
    <row r="5016">
      <c r="A5016" s="10">
        <f>IFERROR(__xludf.DUMMYFUNCTION("""COMPUTED_VALUE"""),70414.0)</f>
        <v>70414</v>
      </c>
      <c r="B5016" s="11">
        <f>IFERROR(__xludf.DUMMYFUNCTION("""COMPUTED_VALUE"""),1.0)</f>
        <v>1</v>
      </c>
      <c r="C5016" s="11">
        <f>IFERROR(__xludf.DUMMYFUNCTION("""COMPUTED_VALUE"""),248.0)</f>
        <v>248</v>
      </c>
      <c r="D5016" s="11">
        <f>IFERROR(__xludf.DUMMYFUNCTION("""COMPUTED_VALUE"""),25.0)</f>
        <v>25</v>
      </c>
      <c r="E5016" s="9"/>
    </row>
    <row r="5017">
      <c r="A5017" s="10">
        <f>IFERROR(__xludf.DUMMYFUNCTION("""COMPUTED_VALUE"""),9673.0)</f>
        <v>9673</v>
      </c>
      <c r="B5017" s="11">
        <f>IFERROR(__xludf.DUMMYFUNCTION("""COMPUTED_VALUE"""),0.0)</f>
        <v>0</v>
      </c>
      <c r="C5017" s="11">
        <f>IFERROR(__xludf.DUMMYFUNCTION("""COMPUTED_VALUE"""),537.0)</f>
        <v>537</v>
      </c>
      <c r="D5017" s="11">
        <f>IFERROR(__xludf.DUMMYFUNCTION("""COMPUTED_VALUE"""),307.0)</f>
        <v>307</v>
      </c>
      <c r="E5017" s="9"/>
    </row>
    <row r="5018">
      <c r="A5018" s="10">
        <f>IFERROR(__xludf.DUMMYFUNCTION("""COMPUTED_VALUE"""),117604.0)</f>
        <v>117604</v>
      </c>
      <c r="B5018" s="11">
        <f>IFERROR(__xludf.DUMMYFUNCTION("""COMPUTED_VALUE"""),0.0)</f>
        <v>0</v>
      </c>
      <c r="C5018" s="11">
        <f>IFERROR(__xludf.DUMMYFUNCTION("""COMPUTED_VALUE"""),687.0)</f>
        <v>687</v>
      </c>
      <c r="D5018" s="11">
        <f>IFERROR(__xludf.DUMMYFUNCTION("""COMPUTED_VALUE"""),283.0)</f>
        <v>283</v>
      </c>
      <c r="E5018" s="9"/>
    </row>
    <row r="5019">
      <c r="A5019" s="10">
        <f>IFERROR(__xludf.DUMMYFUNCTION("""COMPUTED_VALUE"""),45165.0)</f>
        <v>45165</v>
      </c>
      <c r="B5019" s="11">
        <f>IFERROR(__xludf.DUMMYFUNCTION("""COMPUTED_VALUE"""),1.0)</f>
        <v>1</v>
      </c>
      <c r="C5019" s="11">
        <f>IFERROR(__xludf.DUMMYFUNCTION("""COMPUTED_VALUE"""),889.0)</f>
        <v>889</v>
      </c>
      <c r="D5019" s="11">
        <f>IFERROR(__xludf.DUMMYFUNCTION("""COMPUTED_VALUE"""),769.0)</f>
        <v>769</v>
      </c>
      <c r="E5019" s="9"/>
    </row>
    <row r="5020">
      <c r="A5020" s="10">
        <f>IFERROR(__xludf.DUMMYFUNCTION("""COMPUTED_VALUE"""),128341.0)</f>
        <v>128341</v>
      </c>
      <c r="B5020" s="11">
        <f>IFERROR(__xludf.DUMMYFUNCTION("""COMPUTED_VALUE"""),1.0)</f>
        <v>1</v>
      </c>
      <c r="C5020" s="11">
        <f>IFERROR(__xludf.DUMMYFUNCTION("""COMPUTED_VALUE"""),858.0)</f>
        <v>858</v>
      </c>
      <c r="D5020" s="11">
        <f>IFERROR(__xludf.DUMMYFUNCTION("""COMPUTED_VALUE"""),532.0)</f>
        <v>532</v>
      </c>
      <c r="E5020" s="9"/>
    </row>
    <row r="5021">
      <c r="A5021" s="10">
        <f>IFERROR(__xludf.DUMMYFUNCTION("""COMPUTED_VALUE"""),101917.0)</f>
        <v>101917</v>
      </c>
      <c r="B5021" s="11">
        <f>IFERROR(__xludf.DUMMYFUNCTION("""COMPUTED_VALUE"""),0.0)</f>
        <v>0</v>
      </c>
      <c r="C5021" s="11">
        <f>IFERROR(__xludf.DUMMYFUNCTION("""COMPUTED_VALUE"""),127.0)</f>
        <v>127</v>
      </c>
      <c r="D5021" s="11">
        <f>IFERROR(__xludf.DUMMYFUNCTION("""COMPUTED_VALUE"""),13.0)</f>
        <v>13</v>
      </c>
      <c r="E5021" s="9"/>
    </row>
    <row r="5022">
      <c r="A5022" s="10">
        <f>IFERROR(__xludf.DUMMYFUNCTION("""COMPUTED_VALUE"""),79419.0)</f>
        <v>79419</v>
      </c>
      <c r="B5022" s="11">
        <f>IFERROR(__xludf.DUMMYFUNCTION("""COMPUTED_VALUE"""),0.0)</f>
        <v>0</v>
      </c>
      <c r="C5022" s="11">
        <f>IFERROR(__xludf.DUMMYFUNCTION("""COMPUTED_VALUE"""),764.0)</f>
        <v>764</v>
      </c>
      <c r="D5022" s="11">
        <f>IFERROR(__xludf.DUMMYFUNCTION("""COMPUTED_VALUE"""),476.0)</f>
        <v>476</v>
      </c>
      <c r="E5022" s="9"/>
    </row>
    <row r="5023">
      <c r="A5023" s="10">
        <f>IFERROR(__xludf.DUMMYFUNCTION("""COMPUTED_VALUE"""),9675.0)</f>
        <v>9675</v>
      </c>
      <c r="B5023" s="11">
        <f>IFERROR(__xludf.DUMMYFUNCTION("""COMPUTED_VALUE"""),1.0)</f>
        <v>1</v>
      </c>
      <c r="C5023" s="11">
        <f>IFERROR(__xludf.DUMMYFUNCTION("""COMPUTED_VALUE"""),976.0)</f>
        <v>976</v>
      </c>
      <c r="D5023" s="11">
        <f>IFERROR(__xludf.DUMMYFUNCTION("""COMPUTED_VALUE"""),363.0)</f>
        <v>363</v>
      </c>
      <c r="E5023" s="9"/>
    </row>
    <row r="5024">
      <c r="A5024" s="10">
        <f>IFERROR(__xludf.DUMMYFUNCTION("""COMPUTED_VALUE"""),9671.0)</f>
        <v>9671</v>
      </c>
      <c r="B5024" s="11">
        <f>IFERROR(__xludf.DUMMYFUNCTION("""COMPUTED_VALUE"""),1.0)</f>
        <v>1</v>
      </c>
      <c r="C5024" s="11">
        <f>IFERROR(__xludf.DUMMYFUNCTION("""COMPUTED_VALUE"""),354.0)</f>
        <v>354</v>
      </c>
      <c r="D5024" s="11">
        <f>IFERROR(__xludf.DUMMYFUNCTION("""COMPUTED_VALUE"""),90.0)</f>
        <v>90</v>
      </c>
      <c r="E5024" s="9"/>
    </row>
    <row r="5025">
      <c r="A5025" s="10">
        <f>IFERROR(__xludf.DUMMYFUNCTION("""COMPUTED_VALUE"""),20247.0)</f>
        <v>20247</v>
      </c>
      <c r="B5025" s="11">
        <f>IFERROR(__xludf.DUMMYFUNCTION("""COMPUTED_VALUE"""),1.0)</f>
        <v>1</v>
      </c>
      <c r="C5025" s="11">
        <f>IFERROR(__xludf.DUMMYFUNCTION("""COMPUTED_VALUE"""),745.0)</f>
        <v>745</v>
      </c>
      <c r="D5025" s="11">
        <f>IFERROR(__xludf.DUMMYFUNCTION("""COMPUTED_VALUE"""),734.0)</f>
        <v>734</v>
      </c>
      <c r="E5025" s="9"/>
    </row>
    <row r="5026">
      <c r="A5026" s="10">
        <f>IFERROR(__xludf.DUMMYFUNCTION("""COMPUTED_VALUE"""),109240.0)</f>
        <v>109240</v>
      </c>
      <c r="B5026" s="11">
        <f>IFERROR(__xludf.DUMMYFUNCTION("""COMPUTED_VALUE"""),1.0)</f>
        <v>1</v>
      </c>
      <c r="C5026" s="11">
        <f>IFERROR(__xludf.DUMMYFUNCTION("""COMPUTED_VALUE"""),485.0)</f>
        <v>485</v>
      </c>
      <c r="D5026" s="11">
        <f>IFERROR(__xludf.DUMMYFUNCTION("""COMPUTED_VALUE"""),371.0)</f>
        <v>371</v>
      </c>
      <c r="E5026" s="9"/>
    </row>
    <row r="5027">
      <c r="A5027" s="10">
        <f>IFERROR(__xludf.DUMMYFUNCTION("""COMPUTED_VALUE"""),104079.0)</f>
        <v>104079</v>
      </c>
      <c r="B5027" s="11">
        <f>IFERROR(__xludf.DUMMYFUNCTION("""COMPUTED_VALUE"""),0.0)</f>
        <v>0</v>
      </c>
      <c r="C5027" s="11">
        <f>IFERROR(__xludf.DUMMYFUNCTION("""COMPUTED_VALUE"""),74.0)</f>
        <v>74</v>
      </c>
      <c r="D5027" s="11">
        <f>IFERROR(__xludf.DUMMYFUNCTION("""COMPUTED_VALUE"""),63.0)</f>
        <v>63</v>
      </c>
      <c r="E5027" s="9"/>
    </row>
    <row r="5028">
      <c r="A5028" s="10">
        <f>IFERROR(__xludf.DUMMYFUNCTION("""COMPUTED_VALUE"""),126567.0)</f>
        <v>126567</v>
      </c>
      <c r="B5028" s="11">
        <f>IFERROR(__xludf.DUMMYFUNCTION("""COMPUTED_VALUE"""),0.0)</f>
        <v>0</v>
      </c>
      <c r="C5028" s="11">
        <f>IFERROR(__xludf.DUMMYFUNCTION("""COMPUTED_VALUE"""),957.0)</f>
        <v>957</v>
      </c>
      <c r="D5028" s="11">
        <f>IFERROR(__xludf.DUMMYFUNCTION("""COMPUTED_VALUE"""),716.0)</f>
        <v>716</v>
      </c>
      <c r="E5028" s="9"/>
    </row>
    <row r="5029">
      <c r="A5029" s="10">
        <f>IFERROR(__xludf.DUMMYFUNCTION("""COMPUTED_VALUE"""),45567.0)</f>
        <v>45567</v>
      </c>
      <c r="B5029" s="11">
        <f>IFERROR(__xludf.DUMMYFUNCTION("""COMPUTED_VALUE"""),1.0)</f>
        <v>1</v>
      </c>
      <c r="C5029" s="11">
        <f>IFERROR(__xludf.DUMMYFUNCTION("""COMPUTED_VALUE"""),804.0)</f>
        <v>804</v>
      </c>
      <c r="D5029" s="11">
        <f>IFERROR(__xludf.DUMMYFUNCTION("""COMPUTED_VALUE"""),459.0)</f>
        <v>459</v>
      </c>
      <c r="E5029" s="9"/>
    </row>
    <row r="5030">
      <c r="A5030" s="10">
        <f>IFERROR(__xludf.DUMMYFUNCTION("""COMPUTED_VALUE"""),109241.0)</f>
        <v>109241</v>
      </c>
      <c r="B5030" s="11">
        <f>IFERROR(__xludf.DUMMYFUNCTION("""COMPUTED_VALUE"""),1.0)</f>
        <v>1</v>
      </c>
      <c r="C5030" s="11">
        <f>IFERROR(__xludf.DUMMYFUNCTION("""COMPUTED_VALUE"""),674.0)</f>
        <v>674</v>
      </c>
      <c r="D5030" s="11">
        <f>IFERROR(__xludf.DUMMYFUNCTION("""COMPUTED_VALUE"""),62.0)</f>
        <v>62</v>
      </c>
      <c r="E5030" s="9"/>
    </row>
    <row r="5031">
      <c r="A5031" s="10">
        <f>IFERROR(__xludf.DUMMYFUNCTION("""COMPUTED_VALUE"""),126564.0)</f>
        <v>126564</v>
      </c>
      <c r="B5031" s="11">
        <f>IFERROR(__xludf.DUMMYFUNCTION("""COMPUTED_VALUE"""),1.0)</f>
        <v>1</v>
      </c>
      <c r="C5031" s="11">
        <f>IFERROR(__xludf.DUMMYFUNCTION("""COMPUTED_VALUE"""),509.0)</f>
        <v>509</v>
      </c>
      <c r="D5031" s="11">
        <f>IFERROR(__xludf.DUMMYFUNCTION("""COMPUTED_VALUE"""),160.0)</f>
        <v>160</v>
      </c>
      <c r="E5031" s="9"/>
    </row>
    <row r="5032">
      <c r="A5032" s="10">
        <f>IFERROR(__xludf.DUMMYFUNCTION("""COMPUTED_VALUE"""),20246.0)</f>
        <v>20246</v>
      </c>
      <c r="B5032" s="11">
        <f>IFERROR(__xludf.DUMMYFUNCTION("""COMPUTED_VALUE"""),1.0)</f>
        <v>1</v>
      </c>
      <c r="C5032" s="11">
        <f>IFERROR(__xludf.DUMMYFUNCTION("""COMPUTED_VALUE"""),264.0)</f>
        <v>264</v>
      </c>
      <c r="D5032" s="11">
        <f>IFERROR(__xludf.DUMMYFUNCTION("""COMPUTED_VALUE"""),208.0)</f>
        <v>208</v>
      </c>
      <c r="E5032" s="9"/>
    </row>
    <row r="5033">
      <c r="A5033" s="10">
        <f>IFERROR(__xludf.DUMMYFUNCTION("""COMPUTED_VALUE"""),99321.0)</f>
        <v>99321</v>
      </c>
      <c r="B5033" s="11">
        <f>IFERROR(__xludf.DUMMYFUNCTION("""COMPUTED_VALUE"""),0.0)</f>
        <v>0</v>
      </c>
      <c r="C5033" s="11">
        <f>IFERROR(__xludf.DUMMYFUNCTION("""COMPUTED_VALUE"""),106.0)</f>
        <v>106</v>
      </c>
      <c r="D5033" s="11">
        <f>IFERROR(__xludf.DUMMYFUNCTION("""COMPUTED_VALUE"""),89.0)</f>
        <v>89</v>
      </c>
      <c r="E5033" s="9"/>
    </row>
    <row r="5034">
      <c r="A5034" s="10">
        <f>IFERROR(__xludf.DUMMYFUNCTION("""COMPUTED_VALUE"""),99322.0)</f>
        <v>99322</v>
      </c>
      <c r="B5034" s="11">
        <f>IFERROR(__xludf.DUMMYFUNCTION("""COMPUTED_VALUE"""),1.0)</f>
        <v>1</v>
      </c>
      <c r="C5034" s="11">
        <f>IFERROR(__xludf.DUMMYFUNCTION("""COMPUTED_VALUE"""),336.0)</f>
        <v>336</v>
      </c>
      <c r="D5034" s="11">
        <f>IFERROR(__xludf.DUMMYFUNCTION("""COMPUTED_VALUE"""),192.0)</f>
        <v>192</v>
      </c>
      <c r="E5034" s="9"/>
    </row>
    <row r="5035">
      <c r="A5035" s="10">
        <f>IFERROR(__xludf.DUMMYFUNCTION("""COMPUTED_VALUE"""),126561.0)</f>
        <v>126561</v>
      </c>
      <c r="B5035" s="11">
        <f>IFERROR(__xludf.DUMMYFUNCTION("""COMPUTED_VALUE"""),0.0)</f>
        <v>0</v>
      </c>
      <c r="C5035" s="11">
        <f>IFERROR(__xludf.DUMMYFUNCTION("""COMPUTED_VALUE"""),681.0)</f>
        <v>681</v>
      </c>
      <c r="D5035" s="11">
        <f>IFERROR(__xludf.DUMMYFUNCTION("""COMPUTED_VALUE"""),109.0)</f>
        <v>109</v>
      </c>
      <c r="E5035" s="9"/>
    </row>
    <row r="5036">
      <c r="A5036" s="10">
        <f>IFERROR(__xludf.DUMMYFUNCTION("""COMPUTED_VALUE"""),113871.0)</f>
        <v>113871</v>
      </c>
      <c r="B5036" s="11">
        <f>IFERROR(__xludf.DUMMYFUNCTION("""COMPUTED_VALUE"""),1.0)</f>
        <v>1</v>
      </c>
      <c r="C5036" s="11">
        <f>IFERROR(__xludf.DUMMYFUNCTION("""COMPUTED_VALUE"""),808.0)</f>
        <v>808</v>
      </c>
      <c r="D5036" s="11">
        <f>IFERROR(__xludf.DUMMYFUNCTION("""COMPUTED_VALUE"""),679.0)</f>
        <v>679</v>
      </c>
      <c r="E5036" s="9"/>
    </row>
    <row r="5037">
      <c r="A5037" s="10">
        <f>IFERROR(__xludf.DUMMYFUNCTION("""COMPUTED_VALUE"""),68332.0)</f>
        <v>68332</v>
      </c>
      <c r="B5037" s="11">
        <f>IFERROR(__xludf.DUMMYFUNCTION("""COMPUTED_VALUE"""),1.0)</f>
        <v>1</v>
      </c>
      <c r="C5037" s="11">
        <f>IFERROR(__xludf.DUMMYFUNCTION("""COMPUTED_VALUE"""),381.0)</f>
        <v>381</v>
      </c>
      <c r="D5037" s="11">
        <f>IFERROR(__xludf.DUMMYFUNCTION("""COMPUTED_VALUE"""),111.0)</f>
        <v>111</v>
      </c>
      <c r="E5037" s="9"/>
    </row>
    <row r="5038">
      <c r="A5038" s="10">
        <f>IFERROR(__xludf.DUMMYFUNCTION("""COMPUTED_VALUE"""),102081.0)</f>
        <v>102081</v>
      </c>
      <c r="B5038" s="11">
        <f>IFERROR(__xludf.DUMMYFUNCTION("""COMPUTED_VALUE"""),0.0)</f>
        <v>0</v>
      </c>
      <c r="C5038" s="11">
        <f>IFERROR(__xludf.DUMMYFUNCTION("""COMPUTED_VALUE"""),549.0)</f>
        <v>549</v>
      </c>
      <c r="D5038" s="11">
        <f>IFERROR(__xludf.DUMMYFUNCTION("""COMPUTED_VALUE"""),249.0)</f>
        <v>249</v>
      </c>
      <c r="E5038" s="9"/>
    </row>
    <row r="5039">
      <c r="A5039" s="10">
        <f>IFERROR(__xludf.DUMMYFUNCTION("""COMPUTED_VALUE"""),84213.0)</f>
        <v>84213</v>
      </c>
      <c r="B5039" s="11">
        <f>IFERROR(__xludf.DUMMYFUNCTION("""COMPUTED_VALUE"""),1.0)</f>
        <v>1</v>
      </c>
      <c r="C5039" s="11">
        <f>IFERROR(__xludf.DUMMYFUNCTION("""COMPUTED_VALUE"""),929.0)</f>
        <v>929</v>
      </c>
      <c r="D5039" s="11">
        <f>IFERROR(__xludf.DUMMYFUNCTION("""COMPUTED_VALUE"""),179.0)</f>
        <v>179</v>
      </c>
      <c r="E5039" s="9"/>
    </row>
    <row r="5040">
      <c r="A5040" s="10">
        <f>IFERROR(__xludf.DUMMYFUNCTION("""COMPUTED_VALUE"""),68302.0)</f>
        <v>68302</v>
      </c>
      <c r="B5040" s="11">
        <f>IFERROR(__xludf.DUMMYFUNCTION("""COMPUTED_VALUE"""),0.0)</f>
        <v>0</v>
      </c>
      <c r="C5040" s="11">
        <f>IFERROR(__xludf.DUMMYFUNCTION("""COMPUTED_VALUE"""),749.0)</f>
        <v>749</v>
      </c>
      <c r="D5040" s="11">
        <f>IFERROR(__xludf.DUMMYFUNCTION("""COMPUTED_VALUE"""),475.0)</f>
        <v>475</v>
      </c>
      <c r="E5040" s="9"/>
    </row>
    <row r="5041">
      <c r="A5041" s="10">
        <f>IFERROR(__xludf.DUMMYFUNCTION("""COMPUTED_VALUE"""),88238.0)</f>
        <v>88238</v>
      </c>
      <c r="B5041" s="11">
        <f>IFERROR(__xludf.DUMMYFUNCTION("""COMPUTED_VALUE"""),0.0)</f>
        <v>0</v>
      </c>
      <c r="C5041" s="11">
        <f>IFERROR(__xludf.DUMMYFUNCTION("""COMPUTED_VALUE"""),846.0)</f>
        <v>846</v>
      </c>
      <c r="D5041" s="11">
        <f>IFERROR(__xludf.DUMMYFUNCTION("""COMPUTED_VALUE"""),484.0)</f>
        <v>484</v>
      </c>
      <c r="E5041" s="9"/>
    </row>
    <row r="5042">
      <c r="A5042" s="10">
        <f>IFERROR(__xludf.DUMMYFUNCTION("""COMPUTED_VALUE"""),84202.0)</f>
        <v>84202</v>
      </c>
      <c r="B5042" s="11">
        <f>IFERROR(__xludf.DUMMYFUNCTION("""COMPUTED_VALUE"""),1.0)</f>
        <v>1</v>
      </c>
      <c r="C5042" s="11">
        <f>IFERROR(__xludf.DUMMYFUNCTION("""COMPUTED_VALUE"""),499.0)</f>
        <v>499</v>
      </c>
      <c r="D5042" s="11">
        <f>IFERROR(__xludf.DUMMYFUNCTION("""COMPUTED_VALUE"""),408.0)</f>
        <v>408</v>
      </c>
      <c r="E5042" s="9"/>
    </row>
    <row r="5043">
      <c r="A5043" s="10">
        <f>IFERROR(__xludf.DUMMYFUNCTION("""COMPUTED_VALUE"""),84226.0)</f>
        <v>84226</v>
      </c>
      <c r="B5043" s="11">
        <f>IFERROR(__xludf.DUMMYFUNCTION("""COMPUTED_VALUE"""),1.0)</f>
        <v>1</v>
      </c>
      <c r="C5043" s="11">
        <f>IFERROR(__xludf.DUMMYFUNCTION("""COMPUTED_VALUE"""),385.0)</f>
        <v>385</v>
      </c>
      <c r="D5043" s="11">
        <f>IFERROR(__xludf.DUMMYFUNCTION("""COMPUTED_VALUE"""),207.0)</f>
        <v>207</v>
      </c>
      <c r="E5043" s="9"/>
    </row>
    <row r="5044">
      <c r="A5044" s="10">
        <f>IFERROR(__xludf.DUMMYFUNCTION("""COMPUTED_VALUE"""),104071.0)</f>
        <v>104071</v>
      </c>
      <c r="B5044" s="11">
        <f>IFERROR(__xludf.DUMMYFUNCTION("""COMPUTED_VALUE"""),0.0)</f>
        <v>0</v>
      </c>
      <c r="C5044" s="11">
        <f>IFERROR(__xludf.DUMMYFUNCTION("""COMPUTED_VALUE"""),510.0)</f>
        <v>510</v>
      </c>
      <c r="D5044" s="11">
        <f>IFERROR(__xludf.DUMMYFUNCTION("""COMPUTED_VALUE"""),120.0)</f>
        <v>120</v>
      </c>
      <c r="E5044" s="9"/>
    </row>
    <row r="5045">
      <c r="A5045" s="10">
        <f>IFERROR(__xludf.DUMMYFUNCTION("""COMPUTED_VALUE"""),104075.0)</f>
        <v>104075</v>
      </c>
      <c r="B5045" s="11">
        <f>IFERROR(__xludf.DUMMYFUNCTION("""COMPUTED_VALUE"""),0.0)</f>
        <v>0</v>
      </c>
      <c r="C5045" s="11">
        <f>IFERROR(__xludf.DUMMYFUNCTION("""COMPUTED_VALUE"""),214.0)</f>
        <v>214</v>
      </c>
      <c r="D5045" s="11">
        <f>IFERROR(__xludf.DUMMYFUNCTION("""COMPUTED_VALUE"""),49.0)</f>
        <v>49</v>
      </c>
      <c r="E5045" s="9"/>
    </row>
    <row r="5046">
      <c r="A5046" s="10">
        <f>IFERROR(__xludf.DUMMYFUNCTION("""COMPUTED_VALUE"""),91042.0)</f>
        <v>91042</v>
      </c>
      <c r="B5046" s="11">
        <f>IFERROR(__xludf.DUMMYFUNCTION("""COMPUTED_VALUE"""),0.0)</f>
        <v>0</v>
      </c>
      <c r="C5046" s="11">
        <f>IFERROR(__xludf.DUMMYFUNCTION("""COMPUTED_VALUE"""),234.0)</f>
        <v>234</v>
      </c>
      <c r="D5046" s="11">
        <f>IFERROR(__xludf.DUMMYFUNCTION("""COMPUTED_VALUE"""),29.0)</f>
        <v>29</v>
      </c>
      <c r="E5046" s="9"/>
    </row>
    <row r="5047">
      <c r="A5047" s="10">
        <f>IFERROR(__xludf.DUMMYFUNCTION("""COMPUTED_VALUE"""),108047.0)</f>
        <v>108047</v>
      </c>
      <c r="B5047" s="11">
        <f>IFERROR(__xludf.DUMMYFUNCTION("""COMPUTED_VALUE"""),1.0)</f>
        <v>1</v>
      </c>
      <c r="C5047" s="11">
        <f>IFERROR(__xludf.DUMMYFUNCTION("""COMPUTED_VALUE"""),489.0)</f>
        <v>489</v>
      </c>
      <c r="D5047" s="11">
        <f>IFERROR(__xludf.DUMMYFUNCTION("""COMPUTED_VALUE"""),109.0)</f>
        <v>109</v>
      </c>
      <c r="E5047" s="9"/>
    </row>
    <row r="5048">
      <c r="A5048" s="10">
        <f>IFERROR(__xludf.DUMMYFUNCTION("""COMPUTED_VALUE"""),90993.0)</f>
        <v>90993</v>
      </c>
      <c r="B5048" s="11">
        <f>IFERROR(__xludf.DUMMYFUNCTION("""COMPUTED_VALUE"""),0.0)</f>
        <v>0</v>
      </c>
      <c r="C5048" s="11">
        <f>IFERROR(__xludf.DUMMYFUNCTION("""COMPUTED_VALUE"""),412.0)</f>
        <v>412</v>
      </c>
      <c r="D5048" s="11">
        <f>IFERROR(__xludf.DUMMYFUNCTION("""COMPUTED_VALUE"""),371.0)</f>
        <v>371</v>
      </c>
      <c r="E5048" s="9"/>
    </row>
    <row r="5049">
      <c r="A5049" s="10">
        <f>IFERROR(__xludf.DUMMYFUNCTION("""COMPUTED_VALUE"""),19277.0)</f>
        <v>19277</v>
      </c>
      <c r="B5049" s="11">
        <f>IFERROR(__xludf.DUMMYFUNCTION("""COMPUTED_VALUE"""),0.0)</f>
        <v>0</v>
      </c>
      <c r="C5049" s="11">
        <f>IFERROR(__xludf.DUMMYFUNCTION("""COMPUTED_VALUE"""),11.0)</f>
        <v>11</v>
      </c>
      <c r="D5049" s="11">
        <f>IFERROR(__xludf.DUMMYFUNCTION("""COMPUTED_VALUE"""),4.0)</f>
        <v>4</v>
      </c>
      <c r="E5049" s="9"/>
    </row>
    <row r="5050">
      <c r="A5050" s="10">
        <f>IFERROR(__xludf.DUMMYFUNCTION("""COMPUTED_VALUE"""),84223.0)</f>
        <v>84223</v>
      </c>
      <c r="B5050" s="11">
        <f>IFERROR(__xludf.DUMMYFUNCTION("""COMPUTED_VALUE"""),1.0)</f>
        <v>1</v>
      </c>
      <c r="C5050" s="11">
        <f>IFERROR(__xludf.DUMMYFUNCTION("""COMPUTED_VALUE"""),618.0)</f>
        <v>618</v>
      </c>
      <c r="D5050" s="11">
        <f>IFERROR(__xludf.DUMMYFUNCTION("""COMPUTED_VALUE"""),319.0)</f>
        <v>319</v>
      </c>
      <c r="E5050" s="9"/>
    </row>
    <row r="5051">
      <c r="A5051" s="10">
        <f>IFERROR(__xludf.DUMMYFUNCTION("""COMPUTED_VALUE"""),84225.0)</f>
        <v>84225</v>
      </c>
      <c r="B5051" s="11">
        <f>IFERROR(__xludf.DUMMYFUNCTION("""COMPUTED_VALUE"""),1.0)</f>
        <v>1</v>
      </c>
      <c r="C5051" s="11">
        <f>IFERROR(__xludf.DUMMYFUNCTION("""COMPUTED_VALUE"""),86.0)</f>
        <v>86</v>
      </c>
      <c r="D5051" s="11">
        <f>IFERROR(__xludf.DUMMYFUNCTION("""COMPUTED_VALUE"""),83.0)</f>
        <v>83</v>
      </c>
      <c r="E5051" s="9"/>
    </row>
    <row r="5052">
      <c r="A5052" s="10">
        <f>IFERROR(__xludf.DUMMYFUNCTION("""COMPUTED_VALUE"""),113865.0)</f>
        <v>113865</v>
      </c>
      <c r="B5052" s="11">
        <f>IFERROR(__xludf.DUMMYFUNCTION("""COMPUTED_VALUE"""),0.0)</f>
        <v>0</v>
      </c>
      <c r="C5052" s="11">
        <f>IFERROR(__xludf.DUMMYFUNCTION("""COMPUTED_VALUE"""),843.0)</f>
        <v>843</v>
      </c>
      <c r="D5052" s="11">
        <f>IFERROR(__xludf.DUMMYFUNCTION("""COMPUTED_VALUE"""),133.0)</f>
        <v>133</v>
      </c>
      <c r="E5052" s="9"/>
    </row>
    <row r="5053">
      <c r="A5053" s="10">
        <f>IFERROR(__xludf.DUMMYFUNCTION("""COMPUTED_VALUE"""),94645.0)</f>
        <v>94645</v>
      </c>
      <c r="B5053" s="11">
        <f>IFERROR(__xludf.DUMMYFUNCTION("""COMPUTED_VALUE"""),0.0)</f>
        <v>0</v>
      </c>
      <c r="C5053" s="11">
        <f>IFERROR(__xludf.DUMMYFUNCTION("""COMPUTED_VALUE"""),638.0)</f>
        <v>638</v>
      </c>
      <c r="D5053" s="11">
        <f>IFERROR(__xludf.DUMMYFUNCTION("""COMPUTED_VALUE"""),315.0)</f>
        <v>315</v>
      </c>
      <c r="E5053" s="9"/>
    </row>
    <row r="5054">
      <c r="A5054" s="10">
        <f>IFERROR(__xludf.DUMMYFUNCTION("""COMPUTED_VALUE"""),104073.0)</f>
        <v>104073</v>
      </c>
      <c r="B5054" s="11">
        <f>IFERROR(__xludf.DUMMYFUNCTION("""COMPUTED_VALUE"""),0.0)</f>
        <v>0</v>
      </c>
      <c r="C5054" s="11">
        <f>IFERROR(__xludf.DUMMYFUNCTION("""COMPUTED_VALUE"""),977.0)</f>
        <v>977</v>
      </c>
      <c r="D5054" s="11">
        <f>IFERROR(__xludf.DUMMYFUNCTION("""COMPUTED_VALUE"""),17.0)</f>
        <v>17</v>
      </c>
      <c r="E5054" s="9"/>
    </row>
    <row r="5055">
      <c r="A5055" s="10">
        <f>IFERROR(__xludf.DUMMYFUNCTION("""COMPUTED_VALUE"""),113880.0)</f>
        <v>113880</v>
      </c>
      <c r="B5055" s="11">
        <f>IFERROR(__xludf.DUMMYFUNCTION("""COMPUTED_VALUE"""),0.0)</f>
        <v>0</v>
      </c>
      <c r="C5055" s="11">
        <f>IFERROR(__xludf.DUMMYFUNCTION("""COMPUTED_VALUE"""),39.0)</f>
        <v>39</v>
      </c>
      <c r="D5055" s="11">
        <f>IFERROR(__xludf.DUMMYFUNCTION("""COMPUTED_VALUE"""),12.0)</f>
        <v>12</v>
      </c>
      <c r="E5055" s="9"/>
    </row>
    <row r="5056">
      <c r="A5056" s="10">
        <f>IFERROR(__xludf.DUMMYFUNCTION("""COMPUTED_VALUE"""),91045.0)</f>
        <v>91045</v>
      </c>
      <c r="B5056" s="11">
        <f>IFERROR(__xludf.DUMMYFUNCTION("""COMPUTED_VALUE"""),0.0)</f>
        <v>0</v>
      </c>
      <c r="C5056" s="11">
        <f>IFERROR(__xludf.DUMMYFUNCTION("""COMPUTED_VALUE"""),164.0)</f>
        <v>164</v>
      </c>
      <c r="D5056" s="11">
        <f>IFERROR(__xludf.DUMMYFUNCTION("""COMPUTED_VALUE"""),101.0)</f>
        <v>101</v>
      </c>
      <c r="E5056" s="9"/>
    </row>
    <row r="5057">
      <c r="A5057" s="10">
        <f>IFERROR(__xludf.DUMMYFUNCTION("""COMPUTED_VALUE"""),84231.0)</f>
        <v>84231</v>
      </c>
      <c r="B5057" s="11">
        <f>IFERROR(__xludf.DUMMYFUNCTION("""COMPUTED_VALUE"""),0.0)</f>
        <v>0</v>
      </c>
      <c r="C5057" s="11">
        <f>IFERROR(__xludf.DUMMYFUNCTION("""COMPUTED_VALUE"""),192.0)</f>
        <v>192</v>
      </c>
      <c r="D5057" s="11">
        <f>IFERROR(__xludf.DUMMYFUNCTION("""COMPUTED_VALUE"""),27.0)</f>
        <v>27</v>
      </c>
      <c r="E5057" s="9"/>
    </row>
    <row r="5058">
      <c r="A5058" s="10">
        <f>IFERROR(__xludf.DUMMYFUNCTION("""COMPUTED_VALUE"""),68321.0)</f>
        <v>68321</v>
      </c>
      <c r="B5058" s="11">
        <f>IFERROR(__xludf.DUMMYFUNCTION("""COMPUTED_VALUE"""),1.0)</f>
        <v>1</v>
      </c>
      <c r="C5058" s="11">
        <f>IFERROR(__xludf.DUMMYFUNCTION("""COMPUTED_VALUE"""),588.0)</f>
        <v>588</v>
      </c>
      <c r="D5058" s="11">
        <f>IFERROR(__xludf.DUMMYFUNCTION("""COMPUTED_VALUE"""),262.0)</f>
        <v>262</v>
      </c>
      <c r="E5058" s="9"/>
    </row>
    <row r="5059">
      <c r="A5059" s="10">
        <f>IFERROR(__xludf.DUMMYFUNCTION("""COMPUTED_VALUE"""),84211.0)</f>
        <v>84211</v>
      </c>
      <c r="B5059" s="11">
        <f>IFERROR(__xludf.DUMMYFUNCTION("""COMPUTED_VALUE"""),1.0)</f>
        <v>1</v>
      </c>
      <c r="C5059" s="11">
        <f>IFERROR(__xludf.DUMMYFUNCTION("""COMPUTED_VALUE"""),423.0)</f>
        <v>423</v>
      </c>
      <c r="D5059" s="11">
        <f>IFERROR(__xludf.DUMMYFUNCTION("""COMPUTED_VALUE"""),238.0)</f>
        <v>238</v>
      </c>
      <c r="E5059" s="9"/>
    </row>
    <row r="5060">
      <c r="A5060" s="10">
        <f>IFERROR(__xludf.DUMMYFUNCTION("""COMPUTED_VALUE"""),158663.0)</f>
        <v>158663</v>
      </c>
      <c r="B5060" s="11">
        <f>IFERROR(__xludf.DUMMYFUNCTION("""COMPUTED_VALUE"""),0.0)</f>
        <v>0</v>
      </c>
      <c r="C5060" s="11">
        <f>IFERROR(__xludf.DUMMYFUNCTION("""COMPUTED_VALUE"""),778.0)</f>
        <v>778</v>
      </c>
      <c r="D5060" s="11">
        <f>IFERROR(__xludf.DUMMYFUNCTION("""COMPUTED_VALUE"""),44.0)</f>
        <v>44</v>
      </c>
      <c r="E5060" s="9"/>
    </row>
    <row r="5061">
      <c r="A5061" s="10">
        <f>IFERROR(__xludf.DUMMYFUNCTION("""COMPUTED_VALUE"""),113874.0)</f>
        <v>113874</v>
      </c>
      <c r="B5061" s="11">
        <f>IFERROR(__xludf.DUMMYFUNCTION("""COMPUTED_VALUE"""),1.0)</f>
        <v>1</v>
      </c>
      <c r="C5061" s="11">
        <f>IFERROR(__xludf.DUMMYFUNCTION("""COMPUTED_VALUE"""),505.0)</f>
        <v>505</v>
      </c>
      <c r="D5061" s="11">
        <f>IFERROR(__xludf.DUMMYFUNCTION("""COMPUTED_VALUE"""),56.0)</f>
        <v>56</v>
      </c>
      <c r="E5061" s="9"/>
    </row>
    <row r="5062">
      <c r="A5062" s="10">
        <f>IFERROR(__xludf.DUMMYFUNCTION("""COMPUTED_VALUE"""),84234.0)</f>
        <v>84234</v>
      </c>
      <c r="B5062" s="11">
        <f>IFERROR(__xludf.DUMMYFUNCTION("""COMPUTED_VALUE"""),0.0)</f>
        <v>0</v>
      </c>
      <c r="C5062" s="11">
        <f>IFERROR(__xludf.DUMMYFUNCTION("""COMPUTED_VALUE"""),852.0)</f>
        <v>852</v>
      </c>
      <c r="D5062" s="11">
        <f>IFERROR(__xludf.DUMMYFUNCTION("""COMPUTED_VALUE"""),789.0)</f>
        <v>789</v>
      </c>
      <c r="E5062" s="9"/>
    </row>
    <row r="5063">
      <c r="A5063" s="10">
        <f>IFERROR(__xludf.DUMMYFUNCTION("""COMPUTED_VALUE"""),76642.0)</f>
        <v>76642</v>
      </c>
      <c r="B5063" s="11">
        <f>IFERROR(__xludf.DUMMYFUNCTION("""COMPUTED_VALUE"""),0.0)</f>
        <v>0</v>
      </c>
      <c r="C5063" s="11">
        <f>IFERROR(__xludf.DUMMYFUNCTION("""COMPUTED_VALUE"""),287.0)</f>
        <v>287</v>
      </c>
      <c r="D5063" s="11">
        <f>IFERROR(__xludf.DUMMYFUNCTION("""COMPUTED_VALUE"""),159.0)</f>
        <v>159</v>
      </c>
      <c r="E5063" s="9"/>
    </row>
    <row r="5064">
      <c r="A5064" s="10">
        <f>IFERROR(__xludf.DUMMYFUNCTION("""COMPUTED_VALUE"""),126573.0)</f>
        <v>126573</v>
      </c>
      <c r="B5064" s="11">
        <f>IFERROR(__xludf.DUMMYFUNCTION("""COMPUTED_VALUE"""),1.0)</f>
        <v>1</v>
      </c>
      <c r="C5064" s="11">
        <f>IFERROR(__xludf.DUMMYFUNCTION("""COMPUTED_VALUE"""),118.0)</f>
        <v>118</v>
      </c>
      <c r="D5064" s="11">
        <f>IFERROR(__xludf.DUMMYFUNCTION("""COMPUTED_VALUE"""),37.0)</f>
        <v>37</v>
      </c>
      <c r="E5064" s="9"/>
    </row>
    <row r="5065">
      <c r="A5065" s="10">
        <f>IFERROR(__xludf.DUMMYFUNCTION("""COMPUTED_VALUE"""),113877.0)</f>
        <v>113877</v>
      </c>
      <c r="B5065" s="11">
        <f>IFERROR(__xludf.DUMMYFUNCTION("""COMPUTED_VALUE"""),1.0)</f>
        <v>1</v>
      </c>
      <c r="C5065" s="11">
        <f>IFERROR(__xludf.DUMMYFUNCTION("""COMPUTED_VALUE"""),59.0)</f>
        <v>59</v>
      </c>
      <c r="D5065" s="11">
        <f>IFERROR(__xludf.DUMMYFUNCTION("""COMPUTED_VALUE"""),37.0)</f>
        <v>37</v>
      </c>
      <c r="E5065" s="9"/>
    </row>
    <row r="5066">
      <c r="A5066" s="10">
        <f>IFERROR(__xludf.DUMMYFUNCTION("""COMPUTED_VALUE"""),84212.0)</f>
        <v>84212</v>
      </c>
      <c r="B5066" s="11">
        <f>IFERROR(__xludf.DUMMYFUNCTION("""COMPUTED_VALUE"""),1.0)</f>
        <v>1</v>
      </c>
      <c r="C5066" s="11">
        <f>IFERROR(__xludf.DUMMYFUNCTION("""COMPUTED_VALUE"""),155.0)</f>
        <v>155</v>
      </c>
      <c r="D5066" s="11">
        <f>IFERROR(__xludf.DUMMYFUNCTION("""COMPUTED_VALUE"""),58.0)</f>
        <v>58</v>
      </c>
      <c r="E5066" s="9"/>
    </row>
    <row r="5067">
      <c r="A5067" s="10">
        <f>IFERROR(__xludf.DUMMYFUNCTION("""COMPUTED_VALUE"""),84203.0)</f>
        <v>84203</v>
      </c>
      <c r="B5067" s="11">
        <f>IFERROR(__xludf.DUMMYFUNCTION("""COMPUTED_VALUE"""),0.0)</f>
        <v>0</v>
      </c>
      <c r="C5067" s="11">
        <f>IFERROR(__xludf.DUMMYFUNCTION("""COMPUTED_VALUE"""),454.0)</f>
        <v>454</v>
      </c>
      <c r="D5067" s="11">
        <f>IFERROR(__xludf.DUMMYFUNCTION("""COMPUTED_VALUE"""),37.0)</f>
        <v>37</v>
      </c>
      <c r="E5067" s="9"/>
    </row>
    <row r="5068">
      <c r="A5068" s="10">
        <f>IFERROR(__xludf.DUMMYFUNCTION("""COMPUTED_VALUE"""),91038.0)</f>
        <v>91038</v>
      </c>
      <c r="B5068" s="11">
        <f>IFERROR(__xludf.DUMMYFUNCTION("""COMPUTED_VALUE"""),0.0)</f>
        <v>0</v>
      </c>
      <c r="C5068" s="11">
        <f>IFERROR(__xludf.DUMMYFUNCTION("""COMPUTED_VALUE"""),11.0)</f>
        <v>11</v>
      </c>
      <c r="D5068" s="11">
        <f>IFERROR(__xludf.DUMMYFUNCTION("""COMPUTED_VALUE"""),2.0)</f>
        <v>2</v>
      </c>
      <c r="E5068" s="9"/>
    </row>
    <row r="5069">
      <c r="A5069" s="10">
        <f>IFERROR(__xludf.DUMMYFUNCTION("""COMPUTED_VALUE"""),19335.0)</f>
        <v>19335</v>
      </c>
      <c r="B5069" s="11">
        <f>IFERROR(__xludf.DUMMYFUNCTION("""COMPUTED_VALUE"""),1.0)</f>
        <v>1</v>
      </c>
      <c r="C5069" s="11">
        <f>IFERROR(__xludf.DUMMYFUNCTION("""COMPUTED_VALUE"""),687.0)</f>
        <v>687</v>
      </c>
      <c r="D5069" s="11">
        <f>IFERROR(__xludf.DUMMYFUNCTION("""COMPUTED_VALUE"""),287.0)</f>
        <v>287</v>
      </c>
      <c r="E5069" s="9"/>
    </row>
    <row r="5070">
      <c r="A5070" s="10">
        <f>IFERROR(__xludf.DUMMYFUNCTION("""COMPUTED_VALUE"""),103073.0)</f>
        <v>103073</v>
      </c>
      <c r="B5070" s="11">
        <f>IFERROR(__xludf.DUMMYFUNCTION("""COMPUTED_VALUE"""),1.0)</f>
        <v>1</v>
      </c>
      <c r="C5070" s="11">
        <f>IFERROR(__xludf.DUMMYFUNCTION("""COMPUTED_VALUE"""),719.0)</f>
        <v>719</v>
      </c>
      <c r="D5070" s="11">
        <f>IFERROR(__xludf.DUMMYFUNCTION("""COMPUTED_VALUE"""),267.0)</f>
        <v>267</v>
      </c>
      <c r="E5070" s="9"/>
    </row>
    <row r="5071">
      <c r="A5071" s="10">
        <f>IFERROR(__xludf.DUMMYFUNCTION("""COMPUTED_VALUE"""),122261.0)</f>
        <v>122261</v>
      </c>
      <c r="B5071" s="11">
        <f>IFERROR(__xludf.DUMMYFUNCTION("""COMPUTED_VALUE"""),0.0)</f>
        <v>0</v>
      </c>
      <c r="C5071" s="11">
        <f>IFERROR(__xludf.DUMMYFUNCTION("""COMPUTED_VALUE"""),256.0)</f>
        <v>256</v>
      </c>
      <c r="D5071" s="11">
        <f>IFERROR(__xludf.DUMMYFUNCTION("""COMPUTED_VALUE"""),223.0)</f>
        <v>223</v>
      </c>
      <c r="E5071" s="9"/>
    </row>
    <row r="5072">
      <c r="A5072" s="10">
        <f>IFERROR(__xludf.DUMMYFUNCTION("""COMPUTED_VALUE"""),68315.0)</f>
        <v>68315</v>
      </c>
      <c r="B5072" s="11">
        <f>IFERROR(__xludf.DUMMYFUNCTION("""COMPUTED_VALUE"""),1.0)</f>
        <v>1</v>
      </c>
      <c r="C5072" s="11">
        <f>IFERROR(__xludf.DUMMYFUNCTION("""COMPUTED_VALUE"""),203.0)</f>
        <v>203</v>
      </c>
      <c r="D5072" s="11">
        <f>IFERROR(__xludf.DUMMYFUNCTION("""COMPUTED_VALUE"""),145.0)</f>
        <v>145</v>
      </c>
      <c r="E5072" s="9"/>
    </row>
    <row r="5073">
      <c r="A5073" s="10">
        <f>IFERROR(__xludf.DUMMYFUNCTION("""COMPUTED_VALUE"""),110229.0)</f>
        <v>110229</v>
      </c>
      <c r="B5073" s="11">
        <f>IFERROR(__xludf.DUMMYFUNCTION("""COMPUTED_VALUE"""),0.0)</f>
        <v>0</v>
      </c>
      <c r="C5073" s="11">
        <f>IFERROR(__xludf.DUMMYFUNCTION("""COMPUTED_VALUE"""),571.0)</f>
        <v>571</v>
      </c>
      <c r="D5073" s="11">
        <f>IFERROR(__xludf.DUMMYFUNCTION("""COMPUTED_VALUE"""),310.0)</f>
        <v>310</v>
      </c>
      <c r="E5073" s="9"/>
    </row>
    <row r="5074">
      <c r="A5074" s="10">
        <f>IFERROR(__xludf.DUMMYFUNCTION("""COMPUTED_VALUE"""),5548.0)</f>
        <v>5548</v>
      </c>
      <c r="B5074" s="11">
        <f>IFERROR(__xludf.DUMMYFUNCTION("""COMPUTED_VALUE"""),1.0)</f>
        <v>1</v>
      </c>
      <c r="C5074" s="11">
        <f>IFERROR(__xludf.DUMMYFUNCTION("""COMPUTED_VALUE"""),55.0)</f>
        <v>55</v>
      </c>
      <c r="D5074" s="11">
        <f>IFERROR(__xludf.DUMMYFUNCTION("""COMPUTED_VALUE"""),51.0)</f>
        <v>51</v>
      </c>
      <c r="E5074" s="9"/>
    </row>
    <row r="5075">
      <c r="A5075" s="10">
        <f>IFERROR(__xludf.DUMMYFUNCTION("""COMPUTED_VALUE"""),126544.0)</f>
        <v>126544</v>
      </c>
      <c r="B5075" s="11">
        <f>IFERROR(__xludf.DUMMYFUNCTION("""COMPUTED_VALUE"""),1.0)</f>
        <v>1</v>
      </c>
      <c r="C5075" s="11">
        <f>IFERROR(__xludf.DUMMYFUNCTION("""COMPUTED_VALUE"""),793.0)</f>
        <v>793</v>
      </c>
      <c r="D5075" s="11">
        <f>IFERROR(__xludf.DUMMYFUNCTION("""COMPUTED_VALUE"""),577.0)</f>
        <v>577</v>
      </c>
      <c r="E5075" s="9"/>
    </row>
    <row r="5076">
      <c r="A5076" s="10">
        <f>IFERROR(__xludf.DUMMYFUNCTION("""COMPUTED_VALUE"""),90792.0)</f>
        <v>90792</v>
      </c>
      <c r="B5076" s="11">
        <f>IFERROR(__xludf.DUMMYFUNCTION("""COMPUTED_VALUE"""),0.0)</f>
        <v>0</v>
      </c>
      <c r="C5076" s="11">
        <f>IFERROR(__xludf.DUMMYFUNCTION("""COMPUTED_VALUE"""),792.0)</f>
        <v>792</v>
      </c>
      <c r="D5076" s="11">
        <f>IFERROR(__xludf.DUMMYFUNCTION("""COMPUTED_VALUE"""),541.0)</f>
        <v>541</v>
      </c>
      <c r="E5076" s="9"/>
    </row>
    <row r="5077">
      <c r="A5077" s="10">
        <f>IFERROR(__xludf.DUMMYFUNCTION("""COMPUTED_VALUE"""),126541.0)</f>
        <v>126541</v>
      </c>
      <c r="B5077" s="11">
        <f>IFERROR(__xludf.DUMMYFUNCTION("""COMPUTED_VALUE"""),0.0)</f>
        <v>0</v>
      </c>
      <c r="C5077" s="11">
        <f>IFERROR(__xludf.DUMMYFUNCTION("""COMPUTED_VALUE"""),925.0)</f>
        <v>925</v>
      </c>
      <c r="D5077" s="11">
        <f>IFERROR(__xludf.DUMMYFUNCTION("""COMPUTED_VALUE"""),162.0)</f>
        <v>162</v>
      </c>
      <c r="E5077" s="9"/>
    </row>
    <row r="5078">
      <c r="A5078" s="10">
        <f>IFERROR(__xludf.DUMMYFUNCTION("""COMPUTED_VALUE"""),71190.0)</f>
        <v>71190</v>
      </c>
      <c r="B5078" s="11">
        <f>IFERROR(__xludf.DUMMYFUNCTION("""COMPUTED_VALUE"""),0.0)</f>
        <v>0</v>
      </c>
      <c r="C5078" s="11">
        <f>IFERROR(__xludf.DUMMYFUNCTION("""COMPUTED_VALUE"""),552.0)</f>
        <v>552</v>
      </c>
      <c r="D5078" s="11">
        <f>IFERROR(__xludf.DUMMYFUNCTION("""COMPUTED_VALUE"""),312.0)</f>
        <v>312</v>
      </c>
      <c r="E5078" s="9"/>
    </row>
    <row r="5079">
      <c r="A5079" s="10">
        <f>IFERROR(__xludf.DUMMYFUNCTION("""COMPUTED_VALUE"""),76425.0)</f>
        <v>76425</v>
      </c>
      <c r="B5079" s="11">
        <f>IFERROR(__xludf.DUMMYFUNCTION("""COMPUTED_VALUE"""),1.0)</f>
        <v>1</v>
      </c>
      <c r="C5079" s="11">
        <f>IFERROR(__xludf.DUMMYFUNCTION("""COMPUTED_VALUE"""),856.0)</f>
        <v>856</v>
      </c>
      <c r="D5079" s="11">
        <f>IFERROR(__xludf.DUMMYFUNCTION("""COMPUTED_VALUE"""),124.0)</f>
        <v>124</v>
      </c>
      <c r="E5079" s="9"/>
    </row>
    <row r="5080">
      <c r="A5080" s="10">
        <f>IFERROR(__xludf.DUMMYFUNCTION("""COMPUTED_VALUE"""),76422.0)</f>
        <v>76422</v>
      </c>
      <c r="B5080" s="11">
        <f>IFERROR(__xludf.DUMMYFUNCTION("""COMPUTED_VALUE"""),0.0)</f>
        <v>0</v>
      </c>
      <c r="C5080" s="11">
        <f>IFERROR(__xludf.DUMMYFUNCTION("""COMPUTED_VALUE"""),360.0)</f>
        <v>360</v>
      </c>
      <c r="D5080" s="11">
        <f>IFERROR(__xludf.DUMMYFUNCTION("""COMPUTED_VALUE"""),6.0)</f>
        <v>6</v>
      </c>
      <c r="E5080" s="9"/>
    </row>
    <row r="5081">
      <c r="A5081" s="10">
        <f>IFERROR(__xludf.DUMMYFUNCTION("""COMPUTED_VALUE"""),159201.0)</f>
        <v>159201</v>
      </c>
      <c r="B5081" s="11">
        <f>IFERROR(__xludf.DUMMYFUNCTION("""COMPUTED_VALUE"""),0.0)</f>
        <v>0</v>
      </c>
      <c r="C5081" s="11">
        <f>IFERROR(__xludf.DUMMYFUNCTION("""COMPUTED_VALUE"""),184.0)</f>
        <v>184</v>
      </c>
      <c r="D5081" s="11">
        <f>IFERROR(__xludf.DUMMYFUNCTION("""COMPUTED_VALUE"""),64.0)</f>
        <v>64</v>
      </c>
      <c r="E5081" s="9"/>
    </row>
    <row r="5082">
      <c r="A5082" s="10">
        <f>IFERROR(__xludf.DUMMYFUNCTION("""COMPUTED_VALUE"""),76421.0)</f>
        <v>76421</v>
      </c>
      <c r="B5082" s="11">
        <f>IFERROR(__xludf.DUMMYFUNCTION("""COMPUTED_VALUE"""),0.0)</f>
        <v>0</v>
      </c>
      <c r="C5082" s="11">
        <f>IFERROR(__xludf.DUMMYFUNCTION("""COMPUTED_VALUE"""),830.0)</f>
        <v>830</v>
      </c>
      <c r="D5082" s="11">
        <f>IFERROR(__xludf.DUMMYFUNCTION("""COMPUTED_VALUE"""),284.0)</f>
        <v>284</v>
      </c>
      <c r="E5082" s="9"/>
    </row>
    <row r="5083">
      <c r="A5083" s="10">
        <f>IFERROR(__xludf.DUMMYFUNCTION("""COMPUTED_VALUE"""),76424.0)</f>
        <v>76424</v>
      </c>
      <c r="B5083" s="11">
        <f>IFERROR(__xludf.DUMMYFUNCTION("""COMPUTED_VALUE"""),0.0)</f>
        <v>0</v>
      </c>
      <c r="C5083" s="11">
        <f>IFERROR(__xludf.DUMMYFUNCTION("""COMPUTED_VALUE"""),68.0)</f>
        <v>68</v>
      </c>
      <c r="D5083" s="11">
        <f>IFERROR(__xludf.DUMMYFUNCTION("""COMPUTED_VALUE"""),41.0)</f>
        <v>41</v>
      </c>
      <c r="E5083" s="9"/>
    </row>
    <row r="5084">
      <c r="A5084" s="10">
        <f>IFERROR(__xludf.DUMMYFUNCTION("""COMPUTED_VALUE"""),90766.0)</f>
        <v>90766</v>
      </c>
      <c r="B5084" s="11">
        <f>IFERROR(__xludf.DUMMYFUNCTION("""COMPUTED_VALUE"""),1.0)</f>
        <v>1</v>
      </c>
      <c r="C5084" s="11">
        <f>IFERROR(__xludf.DUMMYFUNCTION("""COMPUTED_VALUE"""),598.0)</f>
        <v>598</v>
      </c>
      <c r="D5084" s="11">
        <f>IFERROR(__xludf.DUMMYFUNCTION("""COMPUTED_VALUE"""),217.0)</f>
        <v>217</v>
      </c>
      <c r="E5084" s="9"/>
    </row>
    <row r="5085">
      <c r="A5085" s="10">
        <f>IFERROR(__xludf.DUMMYFUNCTION("""COMPUTED_VALUE"""),5538.0)</f>
        <v>5538</v>
      </c>
      <c r="B5085" s="11">
        <f>IFERROR(__xludf.DUMMYFUNCTION("""COMPUTED_VALUE"""),1.0)</f>
        <v>1</v>
      </c>
      <c r="C5085" s="11">
        <f>IFERROR(__xludf.DUMMYFUNCTION("""COMPUTED_VALUE"""),271.0)</f>
        <v>271</v>
      </c>
      <c r="D5085" s="11">
        <f>IFERROR(__xludf.DUMMYFUNCTION("""COMPUTED_VALUE"""),265.0)</f>
        <v>265</v>
      </c>
      <c r="E5085" s="9"/>
    </row>
    <row r="5086">
      <c r="A5086" s="10">
        <f>IFERROR(__xludf.DUMMYFUNCTION("""COMPUTED_VALUE"""),68371.0)</f>
        <v>68371</v>
      </c>
      <c r="B5086" s="11">
        <f>IFERROR(__xludf.DUMMYFUNCTION("""COMPUTED_VALUE"""),0.0)</f>
        <v>0</v>
      </c>
      <c r="C5086" s="11">
        <f>IFERROR(__xludf.DUMMYFUNCTION("""COMPUTED_VALUE"""),584.0)</f>
        <v>584</v>
      </c>
      <c r="D5086" s="11">
        <f>IFERROR(__xludf.DUMMYFUNCTION("""COMPUTED_VALUE"""),294.0)</f>
        <v>294</v>
      </c>
      <c r="E5086" s="9"/>
    </row>
    <row r="5087">
      <c r="A5087" s="10">
        <f>IFERROR(__xludf.DUMMYFUNCTION("""COMPUTED_VALUE"""),90808.0)</f>
        <v>90808</v>
      </c>
      <c r="B5087" s="11">
        <f>IFERROR(__xludf.DUMMYFUNCTION("""COMPUTED_VALUE"""),0.0)</f>
        <v>0</v>
      </c>
      <c r="C5087" s="11">
        <f>IFERROR(__xludf.DUMMYFUNCTION("""COMPUTED_VALUE"""),68.0)</f>
        <v>68</v>
      </c>
      <c r="D5087" s="11">
        <f>IFERROR(__xludf.DUMMYFUNCTION("""COMPUTED_VALUE"""),54.0)</f>
        <v>54</v>
      </c>
      <c r="E5087" s="9"/>
    </row>
    <row r="5088">
      <c r="A5088" s="10">
        <f>IFERROR(__xludf.DUMMYFUNCTION("""COMPUTED_VALUE"""),5543.0)</f>
        <v>5543</v>
      </c>
      <c r="B5088" s="11">
        <f>IFERROR(__xludf.DUMMYFUNCTION("""COMPUTED_VALUE"""),1.0)</f>
        <v>1</v>
      </c>
      <c r="C5088" s="11">
        <f>IFERROR(__xludf.DUMMYFUNCTION("""COMPUTED_VALUE"""),317.0)</f>
        <v>317</v>
      </c>
      <c r="D5088" s="11">
        <f>IFERROR(__xludf.DUMMYFUNCTION("""COMPUTED_VALUE"""),224.0)</f>
        <v>224</v>
      </c>
      <c r="E5088" s="9"/>
    </row>
    <row r="5089">
      <c r="A5089" s="10">
        <f>IFERROR(__xludf.DUMMYFUNCTION("""COMPUTED_VALUE"""),76420.0)</f>
        <v>76420</v>
      </c>
      <c r="B5089" s="11">
        <f>IFERROR(__xludf.DUMMYFUNCTION("""COMPUTED_VALUE"""),0.0)</f>
        <v>0</v>
      </c>
      <c r="C5089" s="11">
        <f>IFERROR(__xludf.DUMMYFUNCTION("""COMPUTED_VALUE"""),680.0)</f>
        <v>680</v>
      </c>
      <c r="D5089" s="11">
        <f>IFERROR(__xludf.DUMMYFUNCTION("""COMPUTED_VALUE"""),171.0)</f>
        <v>171</v>
      </c>
      <c r="E5089" s="9"/>
    </row>
    <row r="5090">
      <c r="A5090" s="10">
        <f>IFERROR(__xludf.DUMMYFUNCTION("""COMPUTED_VALUE"""),68364.0)</f>
        <v>68364</v>
      </c>
      <c r="B5090" s="11">
        <f>IFERROR(__xludf.DUMMYFUNCTION("""COMPUTED_VALUE"""),1.0)</f>
        <v>1</v>
      </c>
      <c r="C5090" s="11">
        <f>IFERROR(__xludf.DUMMYFUNCTION("""COMPUTED_VALUE"""),644.0)</f>
        <v>644</v>
      </c>
      <c r="D5090" s="11">
        <f>IFERROR(__xludf.DUMMYFUNCTION("""COMPUTED_VALUE"""),33.0)</f>
        <v>33</v>
      </c>
      <c r="E5090" s="9"/>
    </row>
    <row r="5091">
      <c r="A5091" s="10">
        <f>IFERROR(__xludf.DUMMYFUNCTION("""COMPUTED_VALUE"""),5541.0)</f>
        <v>5541</v>
      </c>
      <c r="B5091" s="11">
        <f>IFERROR(__xludf.DUMMYFUNCTION("""COMPUTED_VALUE"""),0.0)</f>
        <v>0</v>
      </c>
      <c r="C5091" s="11">
        <f>IFERROR(__xludf.DUMMYFUNCTION("""COMPUTED_VALUE"""),241.0)</f>
        <v>241</v>
      </c>
      <c r="D5091" s="11">
        <f>IFERROR(__xludf.DUMMYFUNCTION("""COMPUTED_VALUE"""),35.0)</f>
        <v>35</v>
      </c>
      <c r="E5091" s="9"/>
    </row>
    <row r="5092">
      <c r="A5092" s="10">
        <f>IFERROR(__xludf.DUMMYFUNCTION("""COMPUTED_VALUE"""),5544.0)</f>
        <v>5544</v>
      </c>
      <c r="B5092" s="11">
        <f>IFERROR(__xludf.DUMMYFUNCTION("""COMPUTED_VALUE"""),0.0)</f>
        <v>0</v>
      </c>
      <c r="C5092" s="11">
        <f>IFERROR(__xludf.DUMMYFUNCTION("""COMPUTED_VALUE"""),805.0)</f>
        <v>805</v>
      </c>
      <c r="D5092" s="11">
        <f>IFERROR(__xludf.DUMMYFUNCTION("""COMPUTED_VALUE"""),184.0)</f>
        <v>184</v>
      </c>
      <c r="E5092" s="9"/>
    </row>
    <row r="5093">
      <c r="A5093" s="10">
        <f>IFERROR(__xludf.DUMMYFUNCTION("""COMPUTED_VALUE"""),122257.0)</f>
        <v>122257</v>
      </c>
      <c r="B5093" s="11">
        <f>IFERROR(__xludf.DUMMYFUNCTION("""COMPUTED_VALUE"""),1.0)</f>
        <v>1</v>
      </c>
      <c r="C5093" s="11">
        <f>IFERROR(__xludf.DUMMYFUNCTION("""COMPUTED_VALUE"""),780.0)</f>
        <v>780</v>
      </c>
      <c r="D5093" s="11">
        <f>IFERROR(__xludf.DUMMYFUNCTION("""COMPUTED_VALUE"""),432.0)</f>
        <v>432</v>
      </c>
      <c r="E5093" s="9"/>
    </row>
    <row r="5094">
      <c r="A5094" s="10">
        <f>IFERROR(__xludf.DUMMYFUNCTION("""COMPUTED_VALUE"""),90740.0)</f>
        <v>90740</v>
      </c>
      <c r="B5094" s="11">
        <f>IFERROR(__xludf.DUMMYFUNCTION("""COMPUTED_VALUE"""),0.0)</f>
        <v>0</v>
      </c>
      <c r="C5094" s="11">
        <f>IFERROR(__xludf.DUMMYFUNCTION("""COMPUTED_VALUE"""),344.0)</f>
        <v>344</v>
      </c>
      <c r="D5094" s="11">
        <f>IFERROR(__xludf.DUMMYFUNCTION("""COMPUTED_VALUE"""),155.0)</f>
        <v>155</v>
      </c>
      <c r="E5094" s="9"/>
    </row>
    <row r="5095">
      <c r="A5095" s="10">
        <f>IFERROR(__xludf.DUMMYFUNCTION("""COMPUTED_VALUE"""),48280.0)</f>
        <v>48280</v>
      </c>
      <c r="B5095" s="11">
        <f>IFERROR(__xludf.DUMMYFUNCTION("""COMPUTED_VALUE"""),0.0)</f>
        <v>0</v>
      </c>
      <c r="C5095" s="11">
        <f>IFERROR(__xludf.DUMMYFUNCTION("""COMPUTED_VALUE"""),825.0)</f>
        <v>825</v>
      </c>
      <c r="D5095" s="11">
        <f>IFERROR(__xludf.DUMMYFUNCTION("""COMPUTED_VALUE"""),548.0)</f>
        <v>548</v>
      </c>
      <c r="E5095" s="9"/>
    </row>
    <row r="5096">
      <c r="A5096" s="10">
        <f>IFERROR(__xludf.DUMMYFUNCTION("""COMPUTED_VALUE"""),71191.0)</f>
        <v>71191</v>
      </c>
      <c r="B5096" s="11">
        <f>IFERROR(__xludf.DUMMYFUNCTION("""COMPUTED_VALUE"""),1.0)</f>
        <v>1</v>
      </c>
      <c r="C5096" s="11">
        <f>IFERROR(__xludf.DUMMYFUNCTION("""COMPUTED_VALUE"""),210.0)</f>
        <v>210</v>
      </c>
      <c r="D5096" s="11">
        <f>IFERROR(__xludf.DUMMYFUNCTION("""COMPUTED_VALUE"""),168.0)</f>
        <v>168</v>
      </c>
      <c r="E5096" s="9"/>
    </row>
    <row r="5097">
      <c r="A5097" s="10">
        <f>IFERROR(__xludf.DUMMYFUNCTION("""COMPUTED_VALUE"""),76418.0)</f>
        <v>76418</v>
      </c>
      <c r="B5097" s="11">
        <f>IFERROR(__xludf.DUMMYFUNCTION("""COMPUTED_VALUE"""),1.0)</f>
        <v>1</v>
      </c>
      <c r="C5097" s="11">
        <f>IFERROR(__xludf.DUMMYFUNCTION("""COMPUTED_VALUE"""),373.0)</f>
        <v>373</v>
      </c>
      <c r="D5097" s="11">
        <f>IFERROR(__xludf.DUMMYFUNCTION("""COMPUTED_VALUE"""),317.0)</f>
        <v>317</v>
      </c>
      <c r="E5097" s="9"/>
    </row>
    <row r="5098">
      <c r="A5098" s="10">
        <f>IFERROR(__xludf.DUMMYFUNCTION("""COMPUTED_VALUE"""),87161.0)</f>
        <v>87161</v>
      </c>
      <c r="B5098" s="11">
        <f>IFERROR(__xludf.DUMMYFUNCTION("""COMPUTED_VALUE"""),1.0)</f>
        <v>1</v>
      </c>
      <c r="C5098" s="11">
        <f>IFERROR(__xludf.DUMMYFUNCTION("""COMPUTED_VALUE"""),496.0)</f>
        <v>496</v>
      </c>
      <c r="D5098" s="11">
        <f>IFERROR(__xludf.DUMMYFUNCTION("""COMPUTED_VALUE"""),212.0)</f>
        <v>212</v>
      </c>
      <c r="E5098" s="9"/>
    </row>
    <row r="5099">
      <c r="A5099" s="10">
        <f>IFERROR(__xludf.DUMMYFUNCTION("""COMPUTED_VALUE"""),68323.0)</f>
        <v>68323</v>
      </c>
      <c r="B5099" s="11">
        <f>IFERROR(__xludf.DUMMYFUNCTION("""COMPUTED_VALUE"""),1.0)</f>
        <v>1</v>
      </c>
      <c r="C5099" s="11">
        <f>IFERROR(__xludf.DUMMYFUNCTION("""COMPUTED_VALUE"""),298.0)</f>
        <v>298</v>
      </c>
      <c r="D5099" s="11">
        <f>IFERROR(__xludf.DUMMYFUNCTION("""COMPUTED_VALUE"""),27.0)</f>
        <v>27</v>
      </c>
      <c r="E5099" s="9"/>
    </row>
    <row r="5100">
      <c r="A5100" s="10">
        <f>IFERROR(__xludf.DUMMYFUNCTION("""COMPUTED_VALUE"""),72847.0)</f>
        <v>72847</v>
      </c>
      <c r="B5100" s="11">
        <f>IFERROR(__xludf.DUMMYFUNCTION("""COMPUTED_VALUE"""),0.0)</f>
        <v>0</v>
      </c>
      <c r="C5100" s="11">
        <f>IFERROR(__xludf.DUMMYFUNCTION("""COMPUTED_VALUE"""),851.0)</f>
        <v>851</v>
      </c>
      <c r="D5100" s="11">
        <f>IFERROR(__xludf.DUMMYFUNCTION("""COMPUTED_VALUE"""),695.0)</f>
        <v>695</v>
      </c>
      <c r="E5100" s="9"/>
    </row>
    <row r="5101">
      <c r="A5101" s="10">
        <f>IFERROR(__xludf.DUMMYFUNCTION("""COMPUTED_VALUE"""),90799.0)</f>
        <v>90799</v>
      </c>
      <c r="B5101" s="11">
        <f>IFERROR(__xludf.DUMMYFUNCTION("""COMPUTED_VALUE"""),0.0)</f>
        <v>0</v>
      </c>
      <c r="C5101" s="11">
        <f>IFERROR(__xludf.DUMMYFUNCTION("""COMPUTED_VALUE"""),660.0)</f>
        <v>660</v>
      </c>
      <c r="D5101" s="11">
        <f>IFERROR(__xludf.DUMMYFUNCTION("""COMPUTED_VALUE"""),22.0)</f>
        <v>22</v>
      </c>
      <c r="E5101" s="9"/>
    </row>
    <row r="5102">
      <c r="A5102" s="10">
        <f>IFERROR(__xludf.DUMMYFUNCTION("""COMPUTED_VALUE"""),71194.0)</f>
        <v>71194</v>
      </c>
      <c r="B5102" s="11">
        <f>IFERROR(__xludf.DUMMYFUNCTION("""COMPUTED_VALUE"""),0.0)</f>
        <v>0</v>
      </c>
      <c r="C5102" s="11">
        <f>IFERROR(__xludf.DUMMYFUNCTION("""COMPUTED_VALUE"""),699.0)</f>
        <v>699</v>
      </c>
      <c r="D5102" s="11">
        <f>IFERROR(__xludf.DUMMYFUNCTION("""COMPUTED_VALUE"""),192.0)</f>
        <v>192</v>
      </c>
      <c r="E5102" s="9"/>
    </row>
    <row r="5103">
      <c r="A5103" s="10">
        <f>IFERROR(__xludf.DUMMYFUNCTION("""COMPUTED_VALUE"""),68378.0)</f>
        <v>68378</v>
      </c>
      <c r="B5103" s="11">
        <f>IFERROR(__xludf.DUMMYFUNCTION("""COMPUTED_VALUE"""),1.0)</f>
        <v>1</v>
      </c>
      <c r="C5103" s="11">
        <f>IFERROR(__xludf.DUMMYFUNCTION("""COMPUTED_VALUE"""),908.0)</f>
        <v>908</v>
      </c>
      <c r="D5103" s="11">
        <f>IFERROR(__xludf.DUMMYFUNCTION("""COMPUTED_VALUE"""),592.0)</f>
        <v>592</v>
      </c>
      <c r="E5103" s="9"/>
    </row>
    <row r="5104">
      <c r="A5104" s="10">
        <f>IFERROR(__xludf.DUMMYFUNCTION("""COMPUTED_VALUE"""),76426.0)</f>
        <v>76426</v>
      </c>
      <c r="B5104" s="11">
        <f>IFERROR(__xludf.DUMMYFUNCTION("""COMPUTED_VALUE"""),1.0)</f>
        <v>1</v>
      </c>
      <c r="C5104" s="11">
        <f>IFERROR(__xludf.DUMMYFUNCTION("""COMPUTED_VALUE"""),587.0)</f>
        <v>587</v>
      </c>
      <c r="D5104" s="11">
        <f>IFERROR(__xludf.DUMMYFUNCTION("""COMPUTED_VALUE"""),551.0)</f>
        <v>551</v>
      </c>
      <c r="E5104" s="9"/>
    </row>
    <row r="5105">
      <c r="A5105" s="10">
        <f>IFERROR(__xludf.DUMMYFUNCTION("""COMPUTED_VALUE"""),76413.0)</f>
        <v>76413</v>
      </c>
      <c r="B5105" s="11">
        <f>IFERROR(__xludf.DUMMYFUNCTION("""COMPUTED_VALUE"""),1.0)</f>
        <v>1</v>
      </c>
      <c r="C5105" s="11">
        <f>IFERROR(__xludf.DUMMYFUNCTION("""COMPUTED_VALUE"""),732.0)</f>
        <v>732</v>
      </c>
      <c r="D5105" s="11">
        <f>IFERROR(__xludf.DUMMYFUNCTION("""COMPUTED_VALUE"""),577.0)</f>
        <v>577</v>
      </c>
      <c r="E5105" s="9"/>
    </row>
    <row r="5106">
      <c r="A5106" s="10">
        <f>IFERROR(__xludf.DUMMYFUNCTION("""COMPUTED_VALUE"""),68306.0)</f>
        <v>68306</v>
      </c>
      <c r="B5106" s="11">
        <f>IFERROR(__xludf.DUMMYFUNCTION("""COMPUTED_VALUE"""),1.0)</f>
        <v>1</v>
      </c>
      <c r="C5106" s="11">
        <f>IFERROR(__xludf.DUMMYFUNCTION("""COMPUTED_VALUE"""),12.0)</f>
        <v>12</v>
      </c>
      <c r="D5106" s="11">
        <f>IFERROR(__xludf.DUMMYFUNCTION("""COMPUTED_VALUE"""),4.0)</f>
        <v>4</v>
      </c>
      <c r="E5106" s="9"/>
    </row>
    <row r="5107">
      <c r="A5107" s="10">
        <f>IFERROR(__xludf.DUMMYFUNCTION("""COMPUTED_VALUE"""),48283.0)</f>
        <v>48283</v>
      </c>
      <c r="B5107" s="11">
        <f>IFERROR(__xludf.DUMMYFUNCTION("""COMPUTED_VALUE"""),1.0)</f>
        <v>1</v>
      </c>
      <c r="C5107" s="11">
        <f>IFERROR(__xludf.DUMMYFUNCTION("""COMPUTED_VALUE"""),264.0)</f>
        <v>264</v>
      </c>
      <c r="D5107" s="11">
        <f>IFERROR(__xludf.DUMMYFUNCTION("""COMPUTED_VALUE"""),7.0)</f>
        <v>7</v>
      </c>
      <c r="E5107" s="9"/>
    </row>
    <row r="5108">
      <c r="A5108" s="10">
        <f>IFERROR(__xludf.DUMMYFUNCTION("""COMPUTED_VALUE"""),81172.0)</f>
        <v>81172</v>
      </c>
      <c r="B5108" s="11">
        <f>IFERROR(__xludf.DUMMYFUNCTION("""COMPUTED_VALUE"""),1.0)</f>
        <v>1</v>
      </c>
      <c r="C5108" s="11">
        <f>IFERROR(__xludf.DUMMYFUNCTION("""COMPUTED_VALUE"""),589.0)</f>
        <v>589</v>
      </c>
      <c r="D5108" s="11">
        <f>IFERROR(__xludf.DUMMYFUNCTION("""COMPUTED_VALUE"""),123.0)</f>
        <v>123</v>
      </c>
      <c r="E5108" s="9"/>
    </row>
    <row r="5109">
      <c r="A5109" s="10">
        <f>IFERROR(__xludf.DUMMYFUNCTION("""COMPUTED_VALUE"""),68328.0)</f>
        <v>68328</v>
      </c>
      <c r="B5109" s="11">
        <f>IFERROR(__xludf.DUMMYFUNCTION("""COMPUTED_VALUE"""),1.0)</f>
        <v>1</v>
      </c>
      <c r="C5109" s="11">
        <f>IFERROR(__xludf.DUMMYFUNCTION("""COMPUTED_VALUE"""),593.0)</f>
        <v>593</v>
      </c>
      <c r="D5109" s="11">
        <f>IFERROR(__xludf.DUMMYFUNCTION("""COMPUTED_VALUE"""),155.0)</f>
        <v>155</v>
      </c>
      <c r="E5109" s="9"/>
    </row>
    <row r="5110">
      <c r="A5110" s="10">
        <f>IFERROR(__xludf.DUMMYFUNCTION("""COMPUTED_VALUE"""),158667.0)</f>
        <v>158667</v>
      </c>
      <c r="B5110" s="11">
        <f>IFERROR(__xludf.DUMMYFUNCTION("""COMPUTED_VALUE"""),0.0)</f>
        <v>0</v>
      </c>
      <c r="C5110" s="11">
        <f>IFERROR(__xludf.DUMMYFUNCTION("""COMPUTED_VALUE"""),518.0)</f>
        <v>518</v>
      </c>
      <c r="D5110" s="11">
        <f>IFERROR(__xludf.DUMMYFUNCTION("""COMPUTED_VALUE"""),195.0)</f>
        <v>195</v>
      </c>
      <c r="E5110" s="9"/>
    </row>
    <row r="5111">
      <c r="A5111" s="10">
        <f>IFERROR(__xludf.DUMMYFUNCTION("""COMPUTED_VALUE"""),5539.0)</f>
        <v>5539</v>
      </c>
      <c r="B5111" s="11">
        <f>IFERROR(__xludf.DUMMYFUNCTION("""COMPUTED_VALUE"""),1.0)</f>
        <v>1</v>
      </c>
      <c r="C5111" s="11">
        <f>IFERROR(__xludf.DUMMYFUNCTION("""COMPUTED_VALUE"""),189.0)</f>
        <v>189</v>
      </c>
      <c r="D5111" s="11">
        <f>IFERROR(__xludf.DUMMYFUNCTION("""COMPUTED_VALUE"""),77.0)</f>
        <v>77</v>
      </c>
      <c r="E5111" s="9"/>
    </row>
    <row r="5112">
      <c r="A5112" s="10">
        <f>IFERROR(__xludf.DUMMYFUNCTION("""COMPUTED_VALUE"""),68413.0)</f>
        <v>68413</v>
      </c>
      <c r="B5112" s="11">
        <f>IFERROR(__xludf.DUMMYFUNCTION("""COMPUTED_VALUE"""),0.0)</f>
        <v>0</v>
      </c>
      <c r="C5112" s="11">
        <f>IFERROR(__xludf.DUMMYFUNCTION("""COMPUTED_VALUE"""),587.0)</f>
        <v>587</v>
      </c>
      <c r="D5112" s="11">
        <f>IFERROR(__xludf.DUMMYFUNCTION("""COMPUTED_VALUE"""),486.0)</f>
        <v>486</v>
      </c>
      <c r="E5112" s="9"/>
    </row>
    <row r="5113">
      <c r="A5113" s="10">
        <f>IFERROR(__xludf.DUMMYFUNCTION("""COMPUTED_VALUE"""),68345.0)</f>
        <v>68345</v>
      </c>
      <c r="B5113" s="11">
        <f>IFERROR(__xludf.DUMMYFUNCTION("""COMPUTED_VALUE"""),1.0)</f>
        <v>1</v>
      </c>
      <c r="C5113" s="11">
        <f>IFERROR(__xludf.DUMMYFUNCTION("""COMPUTED_VALUE"""),736.0)</f>
        <v>736</v>
      </c>
      <c r="D5113" s="11">
        <f>IFERROR(__xludf.DUMMYFUNCTION("""COMPUTED_VALUE"""),288.0)</f>
        <v>288</v>
      </c>
      <c r="E5113" s="9"/>
    </row>
    <row r="5114">
      <c r="A5114" s="10">
        <f>IFERROR(__xludf.DUMMYFUNCTION("""COMPUTED_VALUE"""),70377.0)</f>
        <v>70377</v>
      </c>
      <c r="B5114" s="11">
        <f>IFERROR(__xludf.DUMMYFUNCTION("""COMPUTED_VALUE"""),1.0)</f>
        <v>1</v>
      </c>
      <c r="C5114" s="11">
        <f>IFERROR(__xludf.DUMMYFUNCTION("""COMPUTED_VALUE"""),563.0)</f>
        <v>563</v>
      </c>
      <c r="D5114" s="11">
        <f>IFERROR(__xludf.DUMMYFUNCTION("""COMPUTED_VALUE"""),236.0)</f>
        <v>236</v>
      </c>
      <c r="E5114" s="9"/>
    </row>
    <row r="5115">
      <c r="A5115" s="10">
        <f>IFERROR(__xludf.DUMMYFUNCTION("""COMPUTED_VALUE"""),126547.0)</f>
        <v>126547</v>
      </c>
      <c r="B5115" s="11">
        <f>IFERROR(__xludf.DUMMYFUNCTION("""COMPUTED_VALUE"""),0.0)</f>
        <v>0</v>
      </c>
      <c r="C5115" s="11">
        <f>IFERROR(__xludf.DUMMYFUNCTION("""COMPUTED_VALUE"""),434.0)</f>
        <v>434</v>
      </c>
      <c r="D5115" s="11">
        <f>IFERROR(__xludf.DUMMYFUNCTION("""COMPUTED_VALUE"""),236.0)</f>
        <v>236</v>
      </c>
      <c r="E5115" s="9"/>
    </row>
    <row r="5116">
      <c r="A5116" s="10">
        <f>IFERROR(__xludf.DUMMYFUNCTION("""COMPUTED_VALUE"""),117218.0)</f>
        <v>117218</v>
      </c>
      <c r="B5116" s="11">
        <f>IFERROR(__xludf.DUMMYFUNCTION("""COMPUTED_VALUE"""),0.0)</f>
        <v>0</v>
      </c>
      <c r="C5116" s="11">
        <f>IFERROR(__xludf.DUMMYFUNCTION("""COMPUTED_VALUE"""),433.0)</f>
        <v>433</v>
      </c>
      <c r="D5116" s="11">
        <f>IFERROR(__xludf.DUMMYFUNCTION("""COMPUTED_VALUE"""),274.0)</f>
        <v>274</v>
      </c>
      <c r="E5116" s="9"/>
    </row>
    <row r="5117">
      <c r="A5117" s="10">
        <f>IFERROR(__xludf.DUMMYFUNCTION("""COMPUTED_VALUE"""),158668.0)</f>
        <v>158668</v>
      </c>
      <c r="B5117" s="11">
        <f>IFERROR(__xludf.DUMMYFUNCTION("""COMPUTED_VALUE"""),1.0)</f>
        <v>1</v>
      </c>
      <c r="C5117" s="11">
        <f>IFERROR(__xludf.DUMMYFUNCTION("""COMPUTED_VALUE"""),106.0)</f>
        <v>106</v>
      </c>
      <c r="D5117" s="11">
        <f>IFERROR(__xludf.DUMMYFUNCTION("""COMPUTED_VALUE"""),76.0)</f>
        <v>76</v>
      </c>
      <c r="E5117" s="9"/>
    </row>
    <row r="5118">
      <c r="A5118" s="10">
        <f>IFERROR(__xludf.DUMMYFUNCTION("""COMPUTED_VALUE"""),19314.0)</f>
        <v>19314</v>
      </c>
      <c r="B5118" s="11">
        <f>IFERROR(__xludf.DUMMYFUNCTION("""COMPUTED_VALUE"""),1.0)</f>
        <v>1</v>
      </c>
      <c r="C5118" s="11">
        <f>IFERROR(__xludf.DUMMYFUNCTION("""COMPUTED_VALUE"""),434.0)</f>
        <v>434</v>
      </c>
      <c r="D5118" s="11">
        <f>IFERROR(__xludf.DUMMYFUNCTION("""COMPUTED_VALUE"""),94.0)</f>
        <v>94</v>
      </c>
      <c r="E5118" s="9"/>
    </row>
    <row r="5119">
      <c r="A5119" s="10">
        <f>IFERROR(__xludf.DUMMYFUNCTION("""COMPUTED_VALUE"""),113867.0)</f>
        <v>113867</v>
      </c>
      <c r="B5119" s="11">
        <f>IFERROR(__xludf.DUMMYFUNCTION("""COMPUTED_VALUE"""),0.0)</f>
        <v>0</v>
      </c>
      <c r="C5119" s="11">
        <f>IFERROR(__xludf.DUMMYFUNCTION("""COMPUTED_VALUE"""),890.0)</f>
        <v>890</v>
      </c>
      <c r="D5119" s="11">
        <f>IFERROR(__xludf.DUMMYFUNCTION("""COMPUTED_VALUE"""),24.0)</f>
        <v>24</v>
      </c>
      <c r="E5119" s="9"/>
    </row>
    <row r="5120">
      <c r="A5120" s="10">
        <f>IFERROR(__xludf.DUMMYFUNCTION("""COMPUTED_VALUE"""),19294.0)</f>
        <v>19294</v>
      </c>
      <c r="B5120" s="11">
        <f>IFERROR(__xludf.DUMMYFUNCTION("""COMPUTED_VALUE"""),1.0)</f>
        <v>1</v>
      </c>
      <c r="C5120" s="11">
        <f>IFERROR(__xludf.DUMMYFUNCTION("""COMPUTED_VALUE"""),207.0)</f>
        <v>207</v>
      </c>
      <c r="D5120" s="11">
        <f>IFERROR(__xludf.DUMMYFUNCTION("""COMPUTED_VALUE"""),167.0)</f>
        <v>167</v>
      </c>
      <c r="E5120" s="9"/>
    </row>
    <row r="5121">
      <c r="A5121" s="10">
        <f>IFERROR(__xludf.DUMMYFUNCTION("""COMPUTED_VALUE"""),90961.0)</f>
        <v>90961</v>
      </c>
      <c r="B5121" s="11">
        <f>IFERROR(__xludf.DUMMYFUNCTION("""COMPUTED_VALUE"""),1.0)</f>
        <v>1</v>
      </c>
      <c r="C5121" s="11">
        <f>IFERROR(__xludf.DUMMYFUNCTION("""COMPUTED_VALUE"""),567.0)</f>
        <v>567</v>
      </c>
      <c r="D5121" s="11">
        <f>IFERROR(__xludf.DUMMYFUNCTION("""COMPUTED_VALUE"""),161.0)</f>
        <v>161</v>
      </c>
      <c r="E5121" s="9"/>
    </row>
    <row r="5122">
      <c r="A5122" s="10">
        <f>IFERROR(__xludf.DUMMYFUNCTION("""COMPUTED_VALUE"""),118480.0)</f>
        <v>118480</v>
      </c>
      <c r="B5122" s="11">
        <f>IFERROR(__xludf.DUMMYFUNCTION("""COMPUTED_VALUE"""),0.0)</f>
        <v>0</v>
      </c>
      <c r="C5122" s="11">
        <f>IFERROR(__xludf.DUMMYFUNCTION("""COMPUTED_VALUE"""),328.0)</f>
        <v>328</v>
      </c>
      <c r="D5122" s="11">
        <f>IFERROR(__xludf.DUMMYFUNCTION("""COMPUTED_VALUE"""),88.0)</f>
        <v>88</v>
      </c>
      <c r="E5122" s="9"/>
    </row>
    <row r="5123">
      <c r="A5123" s="10">
        <f>IFERROR(__xludf.DUMMYFUNCTION("""COMPUTED_VALUE"""),98337.0)</f>
        <v>98337</v>
      </c>
      <c r="B5123" s="11">
        <f>IFERROR(__xludf.DUMMYFUNCTION("""COMPUTED_VALUE"""),0.0)</f>
        <v>0</v>
      </c>
      <c r="C5123" s="11">
        <f>IFERROR(__xludf.DUMMYFUNCTION("""COMPUTED_VALUE"""),592.0)</f>
        <v>592</v>
      </c>
      <c r="D5123" s="11">
        <f>IFERROR(__xludf.DUMMYFUNCTION("""COMPUTED_VALUE"""),262.0)</f>
        <v>262</v>
      </c>
      <c r="E5123" s="9"/>
    </row>
    <row r="5124">
      <c r="A5124" s="10">
        <f>IFERROR(__xludf.DUMMYFUNCTION("""COMPUTED_VALUE"""),90955.0)</f>
        <v>90955</v>
      </c>
      <c r="B5124" s="11">
        <f>IFERROR(__xludf.DUMMYFUNCTION("""COMPUTED_VALUE"""),0.0)</f>
        <v>0</v>
      </c>
      <c r="C5124" s="11">
        <f>IFERROR(__xludf.DUMMYFUNCTION("""COMPUTED_VALUE"""),901.0)</f>
        <v>901</v>
      </c>
      <c r="D5124" s="11">
        <f>IFERROR(__xludf.DUMMYFUNCTION("""COMPUTED_VALUE"""),46.0)</f>
        <v>46</v>
      </c>
      <c r="E5124" s="9"/>
    </row>
    <row r="5125">
      <c r="A5125" s="10">
        <f>IFERROR(__xludf.DUMMYFUNCTION("""COMPUTED_VALUE"""),19303.0)</f>
        <v>19303</v>
      </c>
      <c r="B5125" s="11">
        <f>IFERROR(__xludf.DUMMYFUNCTION("""COMPUTED_VALUE"""),1.0)</f>
        <v>1</v>
      </c>
      <c r="C5125" s="11">
        <f>IFERROR(__xludf.DUMMYFUNCTION("""COMPUTED_VALUE"""),333.0)</f>
        <v>333</v>
      </c>
      <c r="D5125" s="11">
        <f>IFERROR(__xludf.DUMMYFUNCTION("""COMPUTED_VALUE"""),234.0)</f>
        <v>234</v>
      </c>
      <c r="E5125" s="9"/>
    </row>
    <row r="5126">
      <c r="A5126" s="10">
        <f>IFERROR(__xludf.DUMMYFUNCTION("""COMPUTED_VALUE"""),98338.0)</f>
        <v>98338</v>
      </c>
      <c r="B5126" s="11">
        <f>IFERROR(__xludf.DUMMYFUNCTION("""COMPUTED_VALUE"""),0.0)</f>
        <v>0</v>
      </c>
      <c r="C5126" s="11">
        <f>IFERROR(__xludf.DUMMYFUNCTION("""COMPUTED_VALUE"""),894.0)</f>
        <v>894</v>
      </c>
      <c r="D5126" s="11">
        <f>IFERROR(__xludf.DUMMYFUNCTION("""COMPUTED_VALUE"""),591.0)</f>
        <v>591</v>
      </c>
      <c r="E5126" s="9"/>
    </row>
    <row r="5127">
      <c r="A5127" s="10">
        <f>IFERROR(__xludf.DUMMYFUNCTION("""COMPUTED_VALUE"""),98339.0)</f>
        <v>98339</v>
      </c>
      <c r="B5127" s="11">
        <f>IFERROR(__xludf.DUMMYFUNCTION("""COMPUTED_VALUE"""),1.0)</f>
        <v>1</v>
      </c>
      <c r="C5127" s="11">
        <f>IFERROR(__xludf.DUMMYFUNCTION("""COMPUTED_VALUE"""),400.0)</f>
        <v>400</v>
      </c>
      <c r="D5127" s="11">
        <f>IFERROR(__xludf.DUMMYFUNCTION("""COMPUTED_VALUE"""),284.0)</f>
        <v>284</v>
      </c>
      <c r="E5127" s="9"/>
    </row>
    <row r="5128">
      <c r="A5128" s="10">
        <f>IFERROR(__xludf.DUMMYFUNCTION("""COMPUTED_VALUE"""),19296.0)</f>
        <v>19296</v>
      </c>
      <c r="B5128" s="11">
        <f>IFERROR(__xludf.DUMMYFUNCTION("""COMPUTED_VALUE"""),1.0)</f>
        <v>1</v>
      </c>
      <c r="C5128" s="11">
        <f>IFERROR(__xludf.DUMMYFUNCTION("""COMPUTED_VALUE"""),42.0)</f>
        <v>42</v>
      </c>
      <c r="D5128" s="11">
        <f>IFERROR(__xludf.DUMMYFUNCTION("""COMPUTED_VALUE"""),28.0)</f>
        <v>28</v>
      </c>
      <c r="E5128" s="9"/>
    </row>
    <row r="5129">
      <c r="A5129" s="10">
        <f>IFERROR(__xludf.DUMMYFUNCTION("""COMPUTED_VALUE"""),19306.0)</f>
        <v>19306</v>
      </c>
      <c r="B5129" s="11">
        <f>IFERROR(__xludf.DUMMYFUNCTION("""COMPUTED_VALUE"""),1.0)</f>
        <v>1</v>
      </c>
      <c r="C5129" s="11">
        <f>IFERROR(__xludf.DUMMYFUNCTION("""COMPUTED_VALUE"""),248.0)</f>
        <v>248</v>
      </c>
      <c r="D5129" s="11">
        <f>IFERROR(__xludf.DUMMYFUNCTION("""COMPUTED_VALUE"""),92.0)</f>
        <v>92</v>
      </c>
      <c r="E5129" s="9"/>
    </row>
    <row r="5130">
      <c r="A5130" s="10">
        <f>IFERROR(__xludf.DUMMYFUNCTION("""COMPUTED_VALUE"""),90969.0)</f>
        <v>90969</v>
      </c>
      <c r="B5130" s="11">
        <f>IFERROR(__xludf.DUMMYFUNCTION("""COMPUTED_VALUE"""),0.0)</f>
        <v>0</v>
      </c>
      <c r="C5130" s="11">
        <f>IFERROR(__xludf.DUMMYFUNCTION("""COMPUTED_VALUE"""),532.0)</f>
        <v>532</v>
      </c>
      <c r="D5130" s="11">
        <f>IFERROR(__xludf.DUMMYFUNCTION("""COMPUTED_VALUE"""),302.0)</f>
        <v>302</v>
      </c>
      <c r="E5130" s="9"/>
    </row>
    <row r="5131">
      <c r="A5131" s="10">
        <f>IFERROR(__xludf.DUMMYFUNCTION("""COMPUTED_VALUE"""),19299.0)</f>
        <v>19299</v>
      </c>
      <c r="B5131" s="11">
        <f>IFERROR(__xludf.DUMMYFUNCTION("""COMPUTED_VALUE"""),0.0)</f>
        <v>0</v>
      </c>
      <c r="C5131" s="11">
        <f>IFERROR(__xludf.DUMMYFUNCTION("""COMPUTED_VALUE"""),326.0)</f>
        <v>326</v>
      </c>
      <c r="D5131" s="11">
        <f>IFERROR(__xludf.DUMMYFUNCTION("""COMPUTED_VALUE"""),206.0)</f>
        <v>206</v>
      </c>
      <c r="E5131" s="9"/>
    </row>
    <row r="5132">
      <c r="A5132" s="10">
        <f>IFERROR(__xludf.DUMMYFUNCTION("""COMPUTED_VALUE"""),5764.0)</f>
        <v>5764</v>
      </c>
      <c r="B5132" s="11">
        <f>IFERROR(__xludf.DUMMYFUNCTION("""COMPUTED_VALUE"""),1.0)</f>
        <v>1</v>
      </c>
      <c r="C5132" s="11">
        <f>IFERROR(__xludf.DUMMYFUNCTION("""COMPUTED_VALUE"""),477.0)</f>
        <v>477</v>
      </c>
      <c r="D5132" s="11">
        <f>IFERROR(__xludf.DUMMYFUNCTION("""COMPUTED_VALUE"""),227.0)</f>
        <v>227</v>
      </c>
      <c r="E5132" s="9"/>
    </row>
    <row r="5133">
      <c r="A5133" s="10">
        <f>IFERROR(__xludf.DUMMYFUNCTION("""COMPUTED_VALUE"""),114667.0)</f>
        <v>114667</v>
      </c>
      <c r="B5133" s="11">
        <f>IFERROR(__xludf.DUMMYFUNCTION("""COMPUTED_VALUE"""),0.0)</f>
        <v>0</v>
      </c>
      <c r="C5133" s="11">
        <f>IFERROR(__xludf.DUMMYFUNCTION("""COMPUTED_VALUE"""),368.0)</f>
        <v>368</v>
      </c>
      <c r="D5133" s="11">
        <f>IFERROR(__xludf.DUMMYFUNCTION("""COMPUTED_VALUE"""),276.0)</f>
        <v>276</v>
      </c>
      <c r="E5133" s="9"/>
    </row>
    <row r="5134">
      <c r="A5134" s="10">
        <f>IFERROR(__xludf.DUMMYFUNCTION("""COMPUTED_VALUE"""),113870.0)</f>
        <v>113870</v>
      </c>
      <c r="B5134" s="11">
        <f>IFERROR(__xludf.DUMMYFUNCTION("""COMPUTED_VALUE"""),1.0)</f>
        <v>1</v>
      </c>
      <c r="C5134" s="11">
        <f>IFERROR(__xludf.DUMMYFUNCTION("""COMPUTED_VALUE"""),592.0)</f>
        <v>592</v>
      </c>
      <c r="D5134" s="11">
        <f>IFERROR(__xludf.DUMMYFUNCTION("""COMPUTED_VALUE"""),377.0)</f>
        <v>377</v>
      </c>
      <c r="E5134" s="9"/>
    </row>
    <row r="5135">
      <c r="A5135" s="10">
        <f>IFERROR(__xludf.DUMMYFUNCTION("""COMPUTED_VALUE"""),127918.0)</f>
        <v>127918</v>
      </c>
      <c r="B5135" s="11">
        <f>IFERROR(__xludf.DUMMYFUNCTION("""COMPUTED_VALUE"""),0.0)</f>
        <v>0</v>
      </c>
      <c r="C5135" s="11">
        <f>IFERROR(__xludf.DUMMYFUNCTION("""COMPUTED_VALUE"""),884.0)</f>
        <v>884</v>
      </c>
      <c r="D5135" s="11">
        <f>IFERROR(__xludf.DUMMYFUNCTION("""COMPUTED_VALUE"""),542.0)</f>
        <v>542</v>
      </c>
      <c r="E5135" s="9"/>
    </row>
    <row r="5136">
      <c r="A5136" s="10">
        <f>IFERROR(__xludf.DUMMYFUNCTION("""COMPUTED_VALUE"""),127917.0)</f>
        <v>127917</v>
      </c>
      <c r="B5136" s="11">
        <f>IFERROR(__xludf.DUMMYFUNCTION("""COMPUTED_VALUE"""),0.0)</f>
        <v>0</v>
      </c>
      <c r="C5136" s="11">
        <f>IFERROR(__xludf.DUMMYFUNCTION("""COMPUTED_VALUE"""),2.0)</f>
        <v>2</v>
      </c>
      <c r="D5136" s="11">
        <f>IFERROR(__xludf.DUMMYFUNCTION("""COMPUTED_VALUE"""),2.0)</f>
        <v>2</v>
      </c>
      <c r="E5136" s="9"/>
    </row>
    <row r="5137">
      <c r="A5137" s="10">
        <f>IFERROR(__xludf.DUMMYFUNCTION("""COMPUTED_VALUE"""),19297.0)</f>
        <v>19297</v>
      </c>
      <c r="B5137" s="11">
        <f>IFERROR(__xludf.DUMMYFUNCTION("""COMPUTED_VALUE"""),0.0)</f>
        <v>0</v>
      </c>
      <c r="C5137" s="11">
        <f>IFERROR(__xludf.DUMMYFUNCTION("""COMPUTED_VALUE"""),611.0)</f>
        <v>611</v>
      </c>
      <c r="D5137" s="11">
        <f>IFERROR(__xludf.DUMMYFUNCTION("""COMPUTED_VALUE"""),453.0)</f>
        <v>453</v>
      </c>
      <c r="E5137" s="9"/>
    </row>
    <row r="5138">
      <c r="A5138" s="10">
        <f>IFERROR(__xludf.DUMMYFUNCTION("""COMPUTED_VALUE"""),19316.0)</f>
        <v>19316</v>
      </c>
      <c r="B5138" s="11">
        <f>IFERROR(__xludf.DUMMYFUNCTION("""COMPUTED_VALUE"""),1.0)</f>
        <v>1</v>
      </c>
      <c r="C5138" s="11">
        <f>IFERROR(__xludf.DUMMYFUNCTION("""COMPUTED_VALUE"""),121.0)</f>
        <v>121</v>
      </c>
      <c r="D5138" s="11">
        <f>IFERROR(__xludf.DUMMYFUNCTION("""COMPUTED_VALUE"""),10.0)</f>
        <v>10</v>
      </c>
      <c r="E5138" s="9"/>
    </row>
    <row r="5139">
      <c r="A5139" s="10">
        <f>IFERROR(__xludf.DUMMYFUNCTION("""COMPUTED_VALUE"""),118481.0)</f>
        <v>118481</v>
      </c>
      <c r="B5139" s="11">
        <f>IFERROR(__xludf.DUMMYFUNCTION("""COMPUTED_VALUE"""),1.0)</f>
        <v>1</v>
      </c>
      <c r="C5139" s="11">
        <f>IFERROR(__xludf.DUMMYFUNCTION("""COMPUTED_VALUE"""),766.0)</f>
        <v>766</v>
      </c>
      <c r="D5139" s="11">
        <f>IFERROR(__xludf.DUMMYFUNCTION("""COMPUTED_VALUE"""),459.0)</f>
        <v>459</v>
      </c>
      <c r="E5139" s="9"/>
    </row>
    <row r="5140">
      <c r="A5140" s="10">
        <f>IFERROR(__xludf.DUMMYFUNCTION("""COMPUTED_VALUE"""),118366.0)</f>
        <v>118366</v>
      </c>
      <c r="B5140" s="11">
        <f>IFERROR(__xludf.DUMMYFUNCTION("""COMPUTED_VALUE"""),0.0)</f>
        <v>0</v>
      </c>
      <c r="C5140" s="11">
        <f>IFERROR(__xludf.DUMMYFUNCTION("""COMPUTED_VALUE"""),767.0)</f>
        <v>767</v>
      </c>
      <c r="D5140" s="11">
        <f>IFERROR(__xludf.DUMMYFUNCTION("""COMPUTED_VALUE"""),687.0)</f>
        <v>687</v>
      </c>
      <c r="E5140" s="9"/>
    </row>
    <row r="5141">
      <c r="A5141" s="10">
        <f>IFERROR(__xludf.DUMMYFUNCTION("""COMPUTED_VALUE"""),111183.0)</f>
        <v>111183</v>
      </c>
      <c r="B5141" s="11">
        <f>IFERROR(__xludf.DUMMYFUNCTION("""COMPUTED_VALUE"""),0.0)</f>
        <v>0</v>
      </c>
      <c r="C5141" s="11">
        <f>IFERROR(__xludf.DUMMYFUNCTION("""COMPUTED_VALUE"""),113.0)</f>
        <v>113</v>
      </c>
      <c r="D5141" s="11">
        <f>IFERROR(__xludf.DUMMYFUNCTION("""COMPUTED_VALUE"""),55.0)</f>
        <v>55</v>
      </c>
      <c r="E5141" s="9"/>
    </row>
    <row r="5142">
      <c r="A5142" s="10">
        <f>IFERROR(__xludf.DUMMYFUNCTION("""COMPUTED_VALUE"""),124735.0)</f>
        <v>124735</v>
      </c>
      <c r="B5142" s="11">
        <f>IFERROR(__xludf.DUMMYFUNCTION("""COMPUTED_VALUE"""),1.0)</f>
        <v>1</v>
      </c>
      <c r="C5142" s="11">
        <f>IFERROR(__xludf.DUMMYFUNCTION("""COMPUTED_VALUE"""),647.0)</f>
        <v>647</v>
      </c>
      <c r="D5142" s="11">
        <f>IFERROR(__xludf.DUMMYFUNCTION("""COMPUTED_VALUE"""),555.0)</f>
        <v>555</v>
      </c>
      <c r="E5142" s="9"/>
    </row>
    <row r="5143">
      <c r="A5143" s="10">
        <f>IFERROR(__xludf.DUMMYFUNCTION("""COMPUTED_VALUE"""),78727.0)</f>
        <v>78727</v>
      </c>
      <c r="B5143" s="11">
        <f>IFERROR(__xludf.DUMMYFUNCTION("""COMPUTED_VALUE"""),1.0)</f>
        <v>1</v>
      </c>
      <c r="C5143" s="11">
        <f>IFERROR(__xludf.DUMMYFUNCTION("""COMPUTED_VALUE"""),370.0)</f>
        <v>370</v>
      </c>
      <c r="D5143" s="11">
        <f>IFERROR(__xludf.DUMMYFUNCTION("""COMPUTED_VALUE"""),177.0)</f>
        <v>177</v>
      </c>
      <c r="E5143" s="9"/>
    </row>
    <row r="5144">
      <c r="A5144" s="10">
        <f>IFERROR(__xludf.DUMMYFUNCTION("""COMPUTED_VALUE"""),111182.0)</f>
        <v>111182</v>
      </c>
      <c r="B5144" s="11">
        <f>IFERROR(__xludf.DUMMYFUNCTION("""COMPUTED_VALUE"""),1.0)</f>
        <v>1</v>
      </c>
      <c r="C5144" s="11">
        <f>IFERROR(__xludf.DUMMYFUNCTION("""COMPUTED_VALUE"""),696.0)</f>
        <v>696</v>
      </c>
      <c r="D5144" s="11">
        <f>IFERROR(__xludf.DUMMYFUNCTION("""COMPUTED_VALUE"""),41.0)</f>
        <v>41</v>
      </c>
      <c r="E5144" s="9"/>
    </row>
    <row r="5145">
      <c r="A5145" s="10">
        <f>IFERROR(__xludf.DUMMYFUNCTION("""COMPUTED_VALUE"""),78734.0)</f>
        <v>78734</v>
      </c>
      <c r="B5145" s="11">
        <f>IFERROR(__xludf.DUMMYFUNCTION("""COMPUTED_VALUE"""),0.0)</f>
        <v>0</v>
      </c>
      <c r="C5145" s="11">
        <f>IFERROR(__xludf.DUMMYFUNCTION("""COMPUTED_VALUE"""),532.0)</f>
        <v>532</v>
      </c>
      <c r="D5145" s="11">
        <f>IFERROR(__xludf.DUMMYFUNCTION("""COMPUTED_VALUE"""),179.0)</f>
        <v>179</v>
      </c>
      <c r="E5145" s="9"/>
    </row>
    <row r="5146">
      <c r="A5146" s="10">
        <f>IFERROR(__xludf.DUMMYFUNCTION("""COMPUTED_VALUE"""),78729.0)</f>
        <v>78729</v>
      </c>
      <c r="B5146" s="11">
        <f>IFERROR(__xludf.DUMMYFUNCTION("""COMPUTED_VALUE"""),0.0)</f>
        <v>0</v>
      </c>
      <c r="C5146" s="11">
        <f>IFERROR(__xludf.DUMMYFUNCTION("""COMPUTED_VALUE"""),530.0)</f>
        <v>530</v>
      </c>
      <c r="D5146" s="11">
        <f>IFERROR(__xludf.DUMMYFUNCTION("""COMPUTED_VALUE"""),244.0)</f>
        <v>244</v>
      </c>
      <c r="E5146" s="9"/>
    </row>
    <row r="5147">
      <c r="A5147" s="10">
        <f>IFERROR(__xludf.DUMMYFUNCTION("""COMPUTED_VALUE"""),111662.0)</f>
        <v>111662</v>
      </c>
      <c r="B5147" s="11">
        <f>IFERROR(__xludf.DUMMYFUNCTION("""COMPUTED_VALUE"""),0.0)</f>
        <v>0</v>
      </c>
      <c r="C5147" s="11">
        <f>IFERROR(__xludf.DUMMYFUNCTION("""COMPUTED_VALUE"""),531.0)</f>
        <v>531</v>
      </c>
      <c r="D5147" s="11">
        <f>IFERROR(__xludf.DUMMYFUNCTION("""COMPUTED_VALUE"""),331.0)</f>
        <v>331</v>
      </c>
      <c r="E5147" s="9"/>
    </row>
    <row r="5148">
      <c r="A5148" s="10">
        <f>IFERROR(__xludf.DUMMYFUNCTION("""COMPUTED_VALUE"""),78728.0)</f>
        <v>78728</v>
      </c>
      <c r="B5148" s="11">
        <f>IFERROR(__xludf.DUMMYFUNCTION("""COMPUTED_VALUE"""),0.0)</f>
        <v>0</v>
      </c>
      <c r="C5148" s="11">
        <f>IFERROR(__xludf.DUMMYFUNCTION("""COMPUTED_VALUE"""),680.0)</f>
        <v>680</v>
      </c>
      <c r="D5148" s="11">
        <f>IFERROR(__xludf.DUMMYFUNCTION("""COMPUTED_VALUE"""),0.0)</f>
        <v>0</v>
      </c>
      <c r="E5148" s="9"/>
    </row>
    <row r="5149">
      <c r="A5149" s="10">
        <f>IFERROR(__xludf.DUMMYFUNCTION("""COMPUTED_VALUE"""),119082.0)</f>
        <v>119082</v>
      </c>
      <c r="B5149" s="11">
        <f>IFERROR(__xludf.DUMMYFUNCTION("""COMPUTED_VALUE"""),0.0)</f>
        <v>0</v>
      </c>
      <c r="C5149" s="11">
        <f>IFERROR(__xludf.DUMMYFUNCTION("""COMPUTED_VALUE"""),241.0)</f>
        <v>241</v>
      </c>
      <c r="D5149" s="11">
        <f>IFERROR(__xludf.DUMMYFUNCTION("""COMPUTED_VALUE"""),87.0)</f>
        <v>87</v>
      </c>
      <c r="E5149" s="9"/>
    </row>
    <row r="5150">
      <c r="A5150" s="10">
        <f>IFERROR(__xludf.DUMMYFUNCTION("""COMPUTED_VALUE"""),5770.0)</f>
        <v>5770</v>
      </c>
      <c r="B5150" s="11">
        <f>IFERROR(__xludf.DUMMYFUNCTION("""COMPUTED_VALUE"""),0.0)</f>
        <v>0</v>
      </c>
      <c r="C5150" s="11">
        <f>IFERROR(__xludf.DUMMYFUNCTION("""COMPUTED_VALUE"""),487.0)</f>
        <v>487</v>
      </c>
      <c r="D5150" s="11">
        <f>IFERROR(__xludf.DUMMYFUNCTION("""COMPUTED_VALUE"""),275.0)</f>
        <v>275</v>
      </c>
      <c r="E5150" s="9"/>
    </row>
    <row r="5151">
      <c r="A5151" s="10">
        <f>IFERROR(__xludf.DUMMYFUNCTION("""COMPUTED_VALUE"""),103072.0)</f>
        <v>103072</v>
      </c>
      <c r="B5151" s="11">
        <f>IFERROR(__xludf.DUMMYFUNCTION("""COMPUTED_VALUE"""),0.0)</f>
        <v>0</v>
      </c>
      <c r="C5151" s="11">
        <f>IFERROR(__xludf.DUMMYFUNCTION("""COMPUTED_VALUE"""),868.0)</f>
        <v>868</v>
      </c>
      <c r="D5151" s="11">
        <f>IFERROR(__xludf.DUMMYFUNCTION("""COMPUTED_VALUE"""),664.0)</f>
        <v>664</v>
      </c>
      <c r="E5151" s="9"/>
    </row>
    <row r="5152">
      <c r="A5152" s="10">
        <f>IFERROR(__xludf.DUMMYFUNCTION("""COMPUTED_VALUE"""),19344.0)</f>
        <v>19344</v>
      </c>
      <c r="B5152" s="11">
        <f>IFERROR(__xludf.DUMMYFUNCTION("""COMPUTED_VALUE"""),1.0)</f>
        <v>1</v>
      </c>
      <c r="C5152" s="11">
        <f>IFERROR(__xludf.DUMMYFUNCTION("""COMPUTED_VALUE"""),636.0)</f>
        <v>636</v>
      </c>
      <c r="D5152" s="11">
        <f>IFERROR(__xludf.DUMMYFUNCTION("""COMPUTED_VALUE"""),69.0)</f>
        <v>69</v>
      </c>
      <c r="E5152" s="9"/>
    </row>
    <row r="5153">
      <c r="A5153" s="10">
        <f>IFERROR(__xludf.DUMMYFUNCTION("""COMPUTED_VALUE"""),84219.0)</f>
        <v>84219</v>
      </c>
      <c r="B5153" s="11">
        <f>IFERROR(__xludf.DUMMYFUNCTION("""COMPUTED_VALUE"""),0.0)</f>
        <v>0</v>
      </c>
      <c r="C5153" s="11">
        <f>IFERROR(__xludf.DUMMYFUNCTION("""COMPUTED_VALUE"""),277.0)</f>
        <v>277</v>
      </c>
      <c r="D5153" s="11">
        <f>IFERROR(__xludf.DUMMYFUNCTION("""COMPUTED_VALUE"""),126.0)</f>
        <v>126</v>
      </c>
      <c r="E5153" s="9"/>
    </row>
    <row r="5154">
      <c r="A5154" s="10">
        <f>IFERROR(__xludf.DUMMYFUNCTION("""COMPUTED_VALUE"""),19345.0)</f>
        <v>19345</v>
      </c>
      <c r="B5154" s="11">
        <f>IFERROR(__xludf.DUMMYFUNCTION("""COMPUTED_VALUE"""),0.0)</f>
        <v>0</v>
      </c>
      <c r="C5154" s="11">
        <f>IFERROR(__xludf.DUMMYFUNCTION("""COMPUTED_VALUE"""),284.0)</f>
        <v>284</v>
      </c>
      <c r="D5154" s="11">
        <f>IFERROR(__xludf.DUMMYFUNCTION("""COMPUTED_VALUE"""),127.0)</f>
        <v>127</v>
      </c>
      <c r="E5154" s="9"/>
    </row>
    <row r="5155">
      <c r="A5155" s="10">
        <f>IFERROR(__xludf.DUMMYFUNCTION("""COMPUTED_VALUE"""),90816.0)</f>
        <v>90816</v>
      </c>
      <c r="B5155" s="11">
        <f>IFERROR(__xludf.DUMMYFUNCTION("""COMPUTED_VALUE"""),1.0)</f>
        <v>1</v>
      </c>
      <c r="C5155" s="11">
        <f>IFERROR(__xludf.DUMMYFUNCTION("""COMPUTED_VALUE"""),443.0)</f>
        <v>443</v>
      </c>
      <c r="D5155" s="11">
        <f>IFERROR(__xludf.DUMMYFUNCTION("""COMPUTED_VALUE"""),39.0)</f>
        <v>39</v>
      </c>
      <c r="E5155" s="9"/>
    </row>
    <row r="5156">
      <c r="A5156" s="10">
        <f>IFERROR(__xludf.DUMMYFUNCTION("""COMPUTED_VALUE"""),23198.0)</f>
        <v>23198</v>
      </c>
      <c r="B5156" s="11">
        <f>IFERROR(__xludf.DUMMYFUNCTION("""COMPUTED_VALUE"""),0.0)</f>
        <v>0</v>
      </c>
      <c r="C5156" s="11">
        <f>IFERROR(__xludf.DUMMYFUNCTION("""COMPUTED_VALUE"""),892.0)</f>
        <v>892</v>
      </c>
      <c r="D5156" s="11">
        <f>IFERROR(__xludf.DUMMYFUNCTION("""COMPUTED_VALUE"""),133.0)</f>
        <v>133</v>
      </c>
      <c r="E5156" s="9"/>
    </row>
    <row r="5157">
      <c r="A5157" s="10">
        <f>IFERROR(__xludf.DUMMYFUNCTION("""COMPUTED_VALUE"""),87207.0)</f>
        <v>87207</v>
      </c>
      <c r="B5157" s="11">
        <f>IFERROR(__xludf.DUMMYFUNCTION("""COMPUTED_VALUE"""),1.0)</f>
        <v>1</v>
      </c>
      <c r="C5157" s="11">
        <f>IFERROR(__xludf.DUMMYFUNCTION("""COMPUTED_VALUE"""),912.0)</f>
        <v>912</v>
      </c>
      <c r="D5157" s="11">
        <f>IFERROR(__xludf.DUMMYFUNCTION("""COMPUTED_VALUE"""),30.0)</f>
        <v>30</v>
      </c>
      <c r="E5157" s="9"/>
    </row>
    <row r="5158">
      <c r="A5158" s="10">
        <f>IFERROR(__xludf.DUMMYFUNCTION("""COMPUTED_VALUE"""),5694.0)</f>
        <v>5694</v>
      </c>
      <c r="B5158" s="11">
        <f>IFERROR(__xludf.DUMMYFUNCTION("""COMPUTED_VALUE"""),0.0)</f>
        <v>0</v>
      </c>
      <c r="C5158" s="11">
        <f>IFERROR(__xludf.DUMMYFUNCTION("""COMPUTED_VALUE"""),132.0)</f>
        <v>132</v>
      </c>
      <c r="D5158" s="11">
        <f>IFERROR(__xludf.DUMMYFUNCTION("""COMPUTED_VALUE"""),75.0)</f>
        <v>75</v>
      </c>
      <c r="E5158" s="9"/>
    </row>
    <row r="5159">
      <c r="A5159" s="10">
        <f>IFERROR(__xludf.DUMMYFUNCTION("""COMPUTED_VALUE"""),119084.0)</f>
        <v>119084</v>
      </c>
      <c r="B5159" s="11">
        <f>IFERROR(__xludf.DUMMYFUNCTION("""COMPUTED_VALUE"""),0.0)</f>
        <v>0</v>
      </c>
      <c r="C5159" s="11">
        <f>IFERROR(__xludf.DUMMYFUNCTION("""COMPUTED_VALUE"""),641.0)</f>
        <v>641</v>
      </c>
      <c r="D5159" s="11">
        <f>IFERROR(__xludf.DUMMYFUNCTION("""COMPUTED_VALUE"""),207.0)</f>
        <v>207</v>
      </c>
      <c r="E5159" s="9"/>
    </row>
    <row r="5160">
      <c r="A5160" s="10">
        <f>IFERROR(__xludf.DUMMYFUNCTION("""COMPUTED_VALUE"""),127927.0)</f>
        <v>127927</v>
      </c>
      <c r="B5160" s="11">
        <f>IFERROR(__xludf.DUMMYFUNCTION("""COMPUTED_VALUE"""),1.0)</f>
        <v>1</v>
      </c>
      <c r="C5160" s="11">
        <f>IFERROR(__xludf.DUMMYFUNCTION("""COMPUTED_VALUE"""),319.0)</f>
        <v>319</v>
      </c>
      <c r="D5160" s="11">
        <f>IFERROR(__xludf.DUMMYFUNCTION("""COMPUTED_VALUE"""),109.0)</f>
        <v>109</v>
      </c>
      <c r="E5160" s="9"/>
    </row>
    <row r="5161">
      <c r="A5161" s="10">
        <f>IFERROR(__xludf.DUMMYFUNCTION("""COMPUTED_VALUE"""),111184.0)</f>
        <v>111184</v>
      </c>
      <c r="B5161" s="11">
        <f>IFERROR(__xludf.DUMMYFUNCTION("""COMPUTED_VALUE"""),1.0)</f>
        <v>1</v>
      </c>
      <c r="C5161" s="11">
        <f>IFERROR(__xludf.DUMMYFUNCTION("""COMPUTED_VALUE"""),473.0)</f>
        <v>473</v>
      </c>
      <c r="D5161" s="11">
        <f>IFERROR(__xludf.DUMMYFUNCTION("""COMPUTED_VALUE"""),209.0)</f>
        <v>209</v>
      </c>
      <c r="E5161" s="9"/>
    </row>
    <row r="5162">
      <c r="A5162" s="10">
        <f>IFERROR(__xludf.DUMMYFUNCTION("""COMPUTED_VALUE"""),19341.0)</f>
        <v>19341</v>
      </c>
      <c r="B5162" s="11">
        <f>IFERROR(__xludf.DUMMYFUNCTION("""COMPUTED_VALUE"""),0.0)</f>
        <v>0</v>
      </c>
      <c r="C5162" s="11">
        <f>IFERROR(__xludf.DUMMYFUNCTION("""COMPUTED_VALUE"""),593.0)</f>
        <v>593</v>
      </c>
      <c r="D5162" s="11">
        <f>IFERROR(__xludf.DUMMYFUNCTION("""COMPUTED_VALUE"""),359.0)</f>
        <v>359</v>
      </c>
      <c r="E5162" s="9"/>
    </row>
    <row r="5163">
      <c r="A5163" s="10">
        <f>IFERROR(__xludf.DUMMYFUNCTION("""COMPUTED_VALUE"""),118485.0)</f>
        <v>118485</v>
      </c>
      <c r="B5163" s="11">
        <f>IFERROR(__xludf.DUMMYFUNCTION("""COMPUTED_VALUE"""),0.0)</f>
        <v>0</v>
      </c>
      <c r="C5163" s="11">
        <f>IFERROR(__xludf.DUMMYFUNCTION("""COMPUTED_VALUE"""),452.0)</f>
        <v>452</v>
      </c>
      <c r="D5163" s="11">
        <f>IFERROR(__xludf.DUMMYFUNCTION("""COMPUTED_VALUE"""),261.0)</f>
        <v>261</v>
      </c>
      <c r="E5163" s="9"/>
    </row>
    <row r="5164">
      <c r="A5164" s="10">
        <f>IFERROR(__xludf.DUMMYFUNCTION("""COMPUTED_VALUE"""),110565.0)</f>
        <v>110565</v>
      </c>
      <c r="B5164" s="11">
        <f>IFERROR(__xludf.DUMMYFUNCTION("""COMPUTED_VALUE"""),1.0)</f>
        <v>1</v>
      </c>
      <c r="C5164" s="11">
        <f>IFERROR(__xludf.DUMMYFUNCTION("""COMPUTED_VALUE"""),805.0)</f>
        <v>805</v>
      </c>
      <c r="D5164" s="11">
        <f>IFERROR(__xludf.DUMMYFUNCTION("""COMPUTED_VALUE"""),180.0)</f>
        <v>180</v>
      </c>
      <c r="E5164" s="9"/>
    </row>
    <row r="5165">
      <c r="A5165" s="10">
        <f>IFERROR(__xludf.DUMMYFUNCTION("""COMPUTED_VALUE"""),118484.0)</f>
        <v>118484</v>
      </c>
      <c r="B5165" s="11">
        <f>IFERROR(__xludf.DUMMYFUNCTION("""COMPUTED_VALUE"""),0.0)</f>
        <v>0</v>
      </c>
      <c r="C5165" s="11">
        <f>IFERROR(__xludf.DUMMYFUNCTION("""COMPUTED_VALUE"""),155.0)</f>
        <v>155</v>
      </c>
      <c r="D5165" s="11">
        <f>IFERROR(__xludf.DUMMYFUNCTION("""COMPUTED_VALUE"""),37.0)</f>
        <v>37</v>
      </c>
      <c r="E5165" s="9"/>
    </row>
    <row r="5166">
      <c r="A5166" s="10">
        <f>IFERROR(__xludf.DUMMYFUNCTION("""COMPUTED_VALUE"""),107652.0)</f>
        <v>107652</v>
      </c>
      <c r="B5166" s="11">
        <f>IFERROR(__xludf.DUMMYFUNCTION("""COMPUTED_VALUE"""),1.0)</f>
        <v>1</v>
      </c>
      <c r="C5166" s="11">
        <f>IFERROR(__xludf.DUMMYFUNCTION("""COMPUTED_VALUE"""),230.0)</f>
        <v>230</v>
      </c>
      <c r="D5166" s="11">
        <f>IFERROR(__xludf.DUMMYFUNCTION("""COMPUTED_VALUE"""),9.0)</f>
        <v>9</v>
      </c>
      <c r="E5166" s="9"/>
    </row>
    <row r="5167">
      <c r="A5167" s="10">
        <f>IFERROR(__xludf.DUMMYFUNCTION("""COMPUTED_VALUE"""),107673.0)</f>
        <v>107673</v>
      </c>
      <c r="B5167" s="11">
        <f>IFERROR(__xludf.DUMMYFUNCTION("""COMPUTED_VALUE"""),1.0)</f>
        <v>1</v>
      </c>
      <c r="C5167" s="11">
        <f>IFERROR(__xludf.DUMMYFUNCTION("""COMPUTED_VALUE"""),772.0)</f>
        <v>772</v>
      </c>
      <c r="D5167" s="11">
        <f>IFERROR(__xludf.DUMMYFUNCTION("""COMPUTED_VALUE"""),674.0)</f>
        <v>674</v>
      </c>
      <c r="E5167" s="9"/>
    </row>
    <row r="5168">
      <c r="A5168" s="10">
        <f>IFERROR(__xludf.DUMMYFUNCTION("""COMPUTED_VALUE"""),107902.0)</f>
        <v>107902</v>
      </c>
      <c r="B5168" s="11">
        <f>IFERROR(__xludf.DUMMYFUNCTION("""COMPUTED_VALUE"""),1.0)</f>
        <v>1</v>
      </c>
      <c r="C5168" s="11">
        <f>IFERROR(__xludf.DUMMYFUNCTION("""COMPUTED_VALUE"""),941.0)</f>
        <v>941</v>
      </c>
      <c r="D5168" s="11">
        <f>IFERROR(__xludf.DUMMYFUNCTION("""COMPUTED_VALUE"""),774.0)</f>
        <v>774</v>
      </c>
      <c r="E5168" s="9"/>
    </row>
    <row r="5169">
      <c r="A5169" s="10">
        <f>IFERROR(__xludf.DUMMYFUNCTION("""COMPUTED_VALUE"""),19340.0)</f>
        <v>19340</v>
      </c>
      <c r="B5169" s="11">
        <f>IFERROR(__xludf.DUMMYFUNCTION("""COMPUTED_VALUE"""),1.0)</f>
        <v>1</v>
      </c>
      <c r="C5169" s="11">
        <f>IFERROR(__xludf.DUMMYFUNCTION("""COMPUTED_VALUE"""),187.0)</f>
        <v>187</v>
      </c>
      <c r="D5169" s="11">
        <f>IFERROR(__xludf.DUMMYFUNCTION("""COMPUTED_VALUE"""),23.0)</f>
        <v>23</v>
      </c>
      <c r="E5169" s="9"/>
    </row>
    <row r="5170">
      <c r="A5170" s="10">
        <f>IFERROR(__xludf.DUMMYFUNCTION("""COMPUTED_VALUE"""),69190.0)</f>
        <v>69190</v>
      </c>
      <c r="B5170" s="11">
        <f>IFERROR(__xludf.DUMMYFUNCTION("""COMPUTED_VALUE"""),0.0)</f>
        <v>0</v>
      </c>
      <c r="C5170" s="11">
        <f>IFERROR(__xludf.DUMMYFUNCTION("""COMPUTED_VALUE"""),195.0)</f>
        <v>195</v>
      </c>
      <c r="D5170" s="11">
        <f>IFERROR(__xludf.DUMMYFUNCTION("""COMPUTED_VALUE"""),80.0)</f>
        <v>80</v>
      </c>
      <c r="E5170" s="9"/>
    </row>
    <row r="5171">
      <c r="A5171" s="10">
        <f>IFERROR(__xludf.DUMMYFUNCTION("""COMPUTED_VALUE"""),48451.0)</f>
        <v>48451</v>
      </c>
      <c r="B5171" s="11">
        <f>IFERROR(__xludf.DUMMYFUNCTION("""COMPUTED_VALUE"""),0.0)</f>
        <v>0</v>
      </c>
      <c r="C5171" s="11">
        <f>IFERROR(__xludf.DUMMYFUNCTION("""COMPUTED_VALUE"""),895.0)</f>
        <v>895</v>
      </c>
      <c r="D5171" s="11">
        <f>IFERROR(__xludf.DUMMYFUNCTION("""COMPUTED_VALUE"""),557.0)</f>
        <v>557</v>
      </c>
      <c r="E5171" s="9"/>
    </row>
    <row r="5172">
      <c r="A5172" s="10">
        <f>IFERROR(__xludf.DUMMYFUNCTION("""COMPUTED_VALUE"""),19339.0)</f>
        <v>19339</v>
      </c>
      <c r="B5172" s="11">
        <f>IFERROR(__xludf.DUMMYFUNCTION("""COMPUTED_VALUE"""),0.0)</f>
        <v>0</v>
      </c>
      <c r="C5172" s="11">
        <f>IFERROR(__xludf.DUMMYFUNCTION("""COMPUTED_VALUE"""),920.0)</f>
        <v>920</v>
      </c>
      <c r="D5172" s="11">
        <f>IFERROR(__xludf.DUMMYFUNCTION("""COMPUTED_VALUE"""),293.0)</f>
        <v>293</v>
      </c>
      <c r="E5172" s="9"/>
    </row>
    <row r="5173">
      <c r="A5173" s="10">
        <f>IFERROR(__xludf.DUMMYFUNCTION("""COMPUTED_VALUE"""),69195.0)</f>
        <v>69195</v>
      </c>
      <c r="B5173" s="11">
        <f>IFERROR(__xludf.DUMMYFUNCTION("""COMPUTED_VALUE"""),0.0)</f>
        <v>0</v>
      </c>
      <c r="C5173" s="11">
        <f>IFERROR(__xludf.DUMMYFUNCTION("""COMPUTED_VALUE"""),905.0)</f>
        <v>905</v>
      </c>
      <c r="D5173" s="11">
        <f>IFERROR(__xludf.DUMMYFUNCTION("""COMPUTED_VALUE"""),463.0)</f>
        <v>463</v>
      </c>
      <c r="E5173" s="9"/>
    </row>
    <row r="5174">
      <c r="A5174" s="10">
        <f>IFERROR(__xludf.DUMMYFUNCTION("""COMPUTED_VALUE"""),77192.0)</f>
        <v>77192</v>
      </c>
      <c r="B5174" s="11">
        <f>IFERROR(__xludf.DUMMYFUNCTION("""COMPUTED_VALUE"""),0.0)</f>
        <v>0</v>
      </c>
      <c r="C5174" s="11">
        <f>IFERROR(__xludf.DUMMYFUNCTION("""COMPUTED_VALUE"""),314.0)</f>
        <v>314</v>
      </c>
      <c r="D5174" s="11">
        <f>IFERROR(__xludf.DUMMYFUNCTION("""COMPUTED_VALUE"""),259.0)</f>
        <v>259</v>
      </c>
      <c r="E5174" s="9"/>
    </row>
    <row r="5175">
      <c r="A5175" s="10">
        <f>IFERROR(__xludf.DUMMYFUNCTION("""COMPUTED_VALUE"""),95922.0)</f>
        <v>95922</v>
      </c>
      <c r="B5175" s="11">
        <f>IFERROR(__xludf.DUMMYFUNCTION("""COMPUTED_VALUE"""),0.0)</f>
        <v>0</v>
      </c>
      <c r="C5175" s="11">
        <f>IFERROR(__xludf.DUMMYFUNCTION("""COMPUTED_VALUE"""),536.0)</f>
        <v>536</v>
      </c>
      <c r="D5175" s="11">
        <f>IFERROR(__xludf.DUMMYFUNCTION("""COMPUTED_VALUE"""),435.0)</f>
        <v>435</v>
      </c>
      <c r="E5175" s="9"/>
    </row>
    <row r="5176">
      <c r="A5176" s="10">
        <f>IFERROR(__xludf.DUMMYFUNCTION("""COMPUTED_VALUE"""),116779.0)</f>
        <v>116779</v>
      </c>
      <c r="B5176" s="11">
        <f>IFERROR(__xludf.DUMMYFUNCTION("""COMPUTED_VALUE"""),0.0)</f>
        <v>0</v>
      </c>
      <c r="C5176" s="11">
        <f>IFERROR(__xludf.DUMMYFUNCTION("""COMPUTED_VALUE"""),459.0)</f>
        <v>459</v>
      </c>
      <c r="D5176" s="11">
        <f>IFERROR(__xludf.DUMMYFUNCTION("""COMPUTED_VALUE"""),214.0)</f>
        <v>214</v>
      </c>
      <c r="E5176" s="9"/>
    </row>
    <row r="5177">
      <c r="A5177" s="10">
        <f>IFERROR(__xludf.DUMMYFUNCTION("""COMPUTED_VALUE"""),69238.0)</f>
        <v>69238</v>
      </c>
      <c r="B5177" s="11">
        <f>IFERROR(__xludf.DUMMYFUNCTION("""COMPUTED_VALUE"""),1.0)</f>
        <v>1</v>
      </c>
      <c r="C5177" s="11">
        <f>IFERROR(__xludf.DUMMYFUNCTION("""COMPUTED_VALUE"""),775.0)</f>
        <v>775</v>
      </c>
      <c r="D5177" s="11">
        <f>IFERROR(__xludf.DUMMYFUNCTION("""COMPUTED_VALUE"""),648.0)</f>
        <v>648</v>
      </c>
      <c r="E5177" s="9"/>
    </row>
    <row r="5178">
      <c r="A5178" s="10">
        <f>IFERROR(__xludf.DUMMYFUNCTION("""COMPUTED_VALUE"""),19337.0)</f>
        <v>19337</v>
      </c>
      <c r="B5178" s="11">
        <f>IFERROR(__xludf.DUMMYFUNCTION("""COMPUTED_VALUE"""),0.0)</f>
        <v>0</v>
      </c>
      <c r="C5178" s="11">
        <f>IFERROR(__xludf.DUMMYFUNCTION("""COMPUTED_VALUE"""),129.0)</f>
        <v>129</v>
      </c>
      <c r="D5178" s="11">
        <f>IFERROR(__xludf.DUMMYFUNCTION("""COMPUTED_VALUE"""),30.0)</f>
        <v>30</v>
      </c>
      <c r="E5178" s="9"/>
    </row>
    <row r="5179">
      <c r="A5179" s="10">
        <f>IFERROR(__xludf.DUMMYFUNCTION("""COMPUTED_VALUE"""),19326.0)</f>
        <v>19326</v>
      </c>
      <c r="B5179" s="11">
        <f>IFERROR(__xludf.DUMMYFUNCTION("""COMPUTED_VALUE"""),1.0)</f>
        <v>1</v>
      </c>
      <c r="C5179" s="11">
        <f>IFERROR(__xludf.DUMMYFUNCTION("""COMPUTED_VALUE"""),852.0)</f>
        <v>852</v>
      </c>
      <c r="D5179" s="11">
        <f>IFERROR(__xludf.DUMMYFUNCTION("""COMPUTED_VALUE"""),217.0)</f>
        <v>217</v>
      </c>
      <c r="E5179" s="9"/>
    </row>
    <row r="5180">
      <c r="A5180" s="10">
        <f>IFERROR(__xludf.DUMMYFUNCTION("""COMPUTED_VALUE"""),69251.0)</f>
        <v>69251</v>
      </c>
      <c r="B5180" s="11">
        <f>IFERROR(__xludf.DUMMYFUNCTION("""COMPUTED_VALUE"""),0.0)</f>
        <v>0</v>
      </c>
      <c r="C5180" s="11">
        <f>IFERROR(__xludf.DUMMYFUNCTION("""COMPUTED_VALUE"""),204.0)</f>
        <v>204</v>
      </c>
      <c r="D5180" s="11">
        <f>IFERROR(__xludf.DUMMYFUNCTION("""COMPUTED_VALUE"""),89.0)</f>
        <v>89</v>
      </c>
      <c r="E5180" s="9"/>
    </row>
    <row r="5181">
      <c r="A5181" s="10">
        <f>IFERROR(__xludf.DUMMYFUNCTION("""COMPUTED_VALUE"""),81871.0)</f>
        <v>81871</v>
      </c>
      <c r="B5181" s="11">
        <f>IFERROR(__xludf.DUMMYFUNCTION("""COMPUTED_VALUE"""),1.0)</f>
        <v>1</v>
      </c>
      <c r="C5181" s="11">
        <f>IFERROR(__xludf.DUMMYFUNCTION("""COMPUTED_VALUE"""),651.0)</f>
        <v>651</v>
      </c>
      <c r="D5181" s="11">
        <f>IFERROR(__xludf.DUMMYFUNCTION("""COMPUTED_VALUE"""),24.0)</f>
        <v>24</v>
      </c>
      <c r="E5181" s="9"/>
    </row>
    <row r="5182">
      <c r="A5182" s="10">
        <f>IFERROR(__xludf.DUMMYFUNCTION("""COMPUTED_VALUE"""),19321.0)</f>
        <v>19321</v>
      </c>
      <c r="B5182" s="11">
        <f>IFERROR(__xludf.DUMMYFUNCTION("""COMPUTED_VALUE"""),0.0)</f>
        <v>0</v>
      </c>
      <c r="C5182" s="11">
        <f>IFERROR(__xludf.DUMMYFUNCTION("""COMPUTED_VALUE"""),858.0)</f>
        <v>858</v>
      </c>
      <c r="D5182" s="11">
        <f>IFERROR(__xludf.DUMMYFUNCTION("""COMPUTED_VALUE"""),190.0)</f>
        <v>190</v>
      </c>
      <c r="E5182" s="9"/>
    </row>
    <row r="5183">
      <c r="A5183" s="10">
        <f>IFERROR(__xludf.DUMMYFUNCTION("""COMPUTED_VALUE"""),117618.0)</f>
        <v>117618</v>
      </c>
      <c r="B5183" s="11">
        <f>IFERROR(__xludf.DUMMYFUNCTION("""COMPUTED_VALUE"""),1.0)</f>
        <v>1</v>
      </c>
      <c r="C5183" s="11">
        <f>IFERROR(__xludf.DUMMYFUNCTION("""COMPUTED_VALUE"""),417.0)</f>
        <v>417</v>
      </c>
      <c r="D5183" s="11">
        <f>IFERROR(__xludf.DUMMYFUNCTION("""COMPUTED_VALUE"""),46.0)</f>
        <v>46</v>
      </c>
      <c r="E5183" s="9"/>
    </row>
    <row r="5184">
      <c r="A5184" s="10">
        <f>IFERROR(__xludf.DUMMYFUNCTION("""COMPUTED_VALUE"""),117623.0)</f>
        <v>117623</v>
      </c>
      <c r="B5184" s="11">
        <f>IFERROR(__xludf.DUMMYFUNCTION("""COMPUTED_VALUE"""),0.0)</f>
        <v>0</v>
      </c>
      <c r="C5184" s="11">
        <f>IFERROR(__xludf.DUMMYFUNCTION("""COMPUTED_VALUE"""),763.0)</f>
        <v>763</v>
      </c>
      <c r="D5184" s="11">
        <f>IFERROR(__xludf.DUMMYFUNCTION("""COMPUTED_VALUE"""),521.0)</f>
        <v>521</v>
      </c>
      <c r="E5184" s="9"/>
    </row>
    <row r="5185">
      <c r="A5185" s="10">
        <f>IFERROR(__xludf.DUMMYFUNCTION("""COMPUTED_VALUE"""),117614.0)</f>
        <v>117614</v>
      </c>
      <c r="B5185" s="11">
        <f>IFERROR(__xludf.DUMMYFUNCTION("""COMPUTED_VALUE"""),1.0)</f>
        <v>1</v>
      </c>
      <c r="C5185" s="11">
        <f>IFERROR(__xludf.DUMMYFUNCTION("""COMPUTED_VALUE"""),855.0)</f>
        <v>855</v>
      </c>
      <c r="D5185" s="11">
        <f>IFERROR(__xludf.DUMMYFUNCTION("""COMPUTED_VALUE"""),107.0)</f>
        <v>107</v>
      </c>
      <c r="E5185" s="9"/>
    </row>
    <row r="5186">
      <c r="A5186" s="10">
        <f>IFERROR(__xludf.DUMMYFUNCTION("""COMPUTED_VALUE"""),14393.0)</f>
        <v>14393</v>
      </c>
      <c r="B5186" s="11">
        <f>IFERROR(__xludf.DUMMYFUNCTION("""COMPUTED_VALUE"""),0.0)</f>
        <v>0</v>
      </c>
      <c r="C5186" s="11">
        <f>IFERROR(__xludf.DUMMYFUNCTION("""COMPUTED_VALUE"""),135.0)</f>
        <v>135</v>
      </c>
      <c r="D5186" s="11">
        <f>IFERROR(__xludf.DUMMYFUNCTION("""COMPUTED_VALUE"""),104.0)</f>
        <v>104</v>
      </c>
      <c r="E5186" s="9"/>
    </row>
    <row r="5187">
      <c r="A5187" s="10">
        <f>IFERROR(__xludf.DUMMYFUNCTION("""COMPUTED_VALUE"""),70419.0)</f>
        <v>70419</v>
      </c>
      <c r="B5187" s="11">
        <f>IFERROR(__xludf.DUMMYFUNCTION("""COMPUTED_VALUE"""),0.0)</f>
        <v>0</v>
      </c>
      <c r="C5187" s="11">
        <f>IFERROR(__xludf.DUMMYFUNCTION("""COMPUTED_VALUE"""),319.0)</f>
        <v>319</v>
      </c>
      <c r="D5187" s="11">
        <f>IFERROR(__xludf.DUMMYFUNCTION("""COMPUTED_VALUE"""),244.0)</f>
        <v>244</v>
      </c>
      <c r="E5187" s="9"/>
    </row>
    <row r="5188">
      <c r="A5188" s="10">
        <f>IFERROR(__xludf.DUMMYFUNCTION("""COMPUTED_VALUE"""),111147.0)</f>
        <v>111147</v>
      </c>
      <c r="B5188" s="11">
        <f>IFERROR(__xludf.DUMMYFUNCTION("""COMPUTED_VALUE"""),1.0)</f>
        <v>1</v>
      </c>
      <c r="C5188" s="11">
        <f>IFERROR(__xludf.DUMMYFUNCTION("""COMPUTED_VALUE"""),859.0)</f>
        <v>859</v>
      </c>
      <c r="D5188" s="11">
        <f>IFERROR(__xludf.DUMMYFUNCTION("""COMPUTED_VALUE"""),525.0)</f>
        <v>525</v>
      </c>
      <c r="E5188" s="9"/>
    </row>
    <row r="5189">
      <c r="A5189" s="10">
        <f>IFERROR(__xludf.DUMMYFUNCTION("""COMPUTED_VALUE"""),4325.0)</f>
        <v>4325</v>
      </c>
      <c r="B5189" s="11">
        <f>IFERROR(__xludf.DUMMYFUNCTION("""COMPUTED_VALUE"""),1.0)</f>
        <v>1</v>
      </c>
      <c r="C5189" s="11">
        <f>IFERROR(__xludf.DUMMYFUNCTION("""COMPUTED_VALUE"""),625.0)</f>
        <v>625</v>
      </c>
      <c r="D5189" s="11">
        <f>IFERROR(__xludf.DUMMYFUNCTION("""COMPUTED_VALUE"""),327.0)</f>
        <v>327</v>
      </c>
      <c r="E5189" s="9"/>
    </row>
    <row r="5190">
      <c r="A5190" s="10">
        <f>IFERROR(__xludf.DUMMYFUNCTION("""COMPUTED_VALUE"""),4321.0)</f>
        <v>4321</v>
      </c>
      <c r="B5190" s="11">
        <f>IFERROR(__xludf.DUMMYFUNCTION("""COMPUTED_VALUE"""),0.0)</f>
        <v>0</v>
      </c>
      <c r="C5190" s="11">
        <f>IFERROR(__xludf.DUMMYFUNCTION("""COMPUTED_VALUE"""),283.0)</f>
        <v>283</v>
      </c>
      <c r="D5190" s="11">
        <f>IFERROR(__xludf.DUMMYFUNCTION("""COMPUTED_VALUE"""),153.0)</f>
        <v>153</v>
      </c>
      <c r="E5190" s="9"/>
    </row>
    <row r="5191">
      <c r="A5191" s="10">
        <f>IFERROR(__xludf.DUMMYFUNCTION("""COMPUTED_VALUE"""),70418.0)</f>
        <v>70418</v>
      </c>
      <c r="B5191" s="11">
        <f>IFERROR(__xludf.DUMMYFUNCTION("""COMPUTED_VALUE"""),1.0)</f>
        <v>1</v>
      </c>
      <c r="C5191" s="11">
        <f>IFERROR(__xludf.DUMMYFUNCTION("""COMPUTED_VALUE"""),527.0)</f>
        <v>527</v>
      </c>
      <c r="D5191" s="11">
        <f>IFERROR(__xludf.DUMMYFUNCTION("""COMPUTED_VALUE"""),178.0)</f>
        <v>178</v>
      </c>
      <c r="E5191" s="9"/>
    </row>
    <row r="5192">
      <c r="A5192" s="10">
        <f>IFERROR(__xludf.DUMMYFUNCTION("""COMPUTED_VALUE"""),80648.0)</f>
        <v>80648</v>
      </c>
      <c r="B5192" s="11">
        <f>IFERROR(__xludf.DUMMYFUNCTION("""COMPUTED_VALUE"""),1.0)</f>
        <v>1</v>
      </c>
      <c r="C5192" s="11">
        <f>IFERROR(__xludf.DUMMYFUNCTION("""COMPUTED_VALUE"""),700.0)</f>
        <v>700</v>
      </c>
      <c r="D5192" s="11">
        <f>IFERROR(__xludf.DUMMYFUNCTION("""COMPUTED_VALUE"""),445.0)</f>
        <v>445</v>
      </c>
      <c r="E5192" s="9"/>
    </row>
    <row r="5193">
      <c r="A5193" s="10">
        <f>IFERROR(__xludf.DUMMYFUNCTION("""COMPUTED_VALUE"""),70417.0)</f>
        <v>70417</v>
      </c>
      <c r="B5193" s="11">
        <f>IFERROR(__xludf.DUMMYFUNCTION("""COMPUTED_VALUE"""),1.0)</f>
        <v>1</v>
      </c>
      <c r="C5193" s="11">
        <f>IFERROR(__xludf.DUMMYFUNCTION("""COMPUTED_VALUE"""),328.0)</f>
        <v>328</v>
      </c>
      <c r="D5193" s="11">
        <f>IFERROR(__xludf.DUMMYFUNCTION("""COMPUTED_VALUE"""),149.0)</f>
        <v>149</v>
      </c>
      <c r="E5193" s="9"/>
    </row>
    <row r="5194">
      <c r="A5194" s="10">
        <f>IFERROR(__xludf.DUMMYFUNCTION("""COMPUTED_VALUE"""),79420.0)</f>
        <v>79420</v>
      </c>
      <c r="B5194" s="11">
        <f>IFERROR(__xludf.DUMMYFUNCTION("""COMPUTED_VALUE"""),0.0)</f>
        <v>0</v>
      </c>
      <c r="C5194" s="11">
        <f>IFERROR(__xludf.DUMMYFUNCTION("""COMPUTED_VALUE"""),968.0)</f>
        <v>968</v>
      </c>
      <c r="D5194" s="11">
        <f>IFERROR(__xludf.DUMMYFUNCTION("""COMPUTED_VALUE"""),763.0)</f>
        <v>763</v>
      </c>
      <c r="E5194" s="9"/>
    </row>
    <row r="5195">
      <c r="A5195" s="10">
        <f>IFERROR(__xludf.DUMMYFUNCTION("""COMPUTED_VALUE"""),4327.0)</f>
        <v>4327</v>
      </c>
      <c r="B5195" s="11">
        <f>IFERROR(__xludf.DUMMYFUNCTION("""COMPUTED_VALUE"""),0.0)</f>
        <v>0</v>
      </c>
      <c r="C5195" s="11">
        <f>IFERROR(__xludf.DUMMYFUNCTION("""COMPUTED_VALUE"""),438.0)</f>
        <v>438</v>
      </c>
      <c r="D5195" s="11">
        <f>IFERROR(__xludf.DUMMYFUNCTION("""COMPUTED_VALUE"""),126.0)</f>
        <v>126</v>
      </c>
      <c r="E5195" s="9"/>
    </row>
    <row r="5196">
      <c r="A5196" s="10">
        <f>IFERROR(__xludf.DUMMYFUNCTION("""COMPUTED_VALUE"""),89505.0)</f>
        <v>89505</v>
      </c>
      <c r="B5196" s="11">
        <f>IFERROR(__xludf.DUMMYFUNCTION("""COMPUTED_VALUE"""),0.0)</f>
        <v>0</v>
      </c>
      <c r="C5196" s="11">
        <f>IFERROR(__xludf.DUMMYFUNCTION("""COMPUTED_VALUE"""),773.0)</f>
        <v>773</v>
      </c>
      <c r="D5196" s="11">
        <f>IFERROR(__xludf.DUMMYFUNCTION("""COMPUTED_VALUE"""),100.0)</f>
        <v>100</v>
      </c>
      <c r="E5196" s="9"/>
    </row>
    <row r="5197">
      <c r="A5197" s="10">
        <f>IFERROR(__xludf.DUMMYFUNCTION("""COMPUTED_VALUE"""),128344.0)</f>
        <v>128344</v>
      </c>
      <c r="B5197" s="11">
        <f>IFERROR(__xludf.DUMMYFUNCTION("""COMPUTED_VALUE"""),1.0)</f>
        <v>1</v>
      </c>
      <c r="C5197" s="11">
        <f>IFERROR(__xludf.DUMMYFUNCTION("""COMPUTED_VALUE"""),148.0)</f>
        <v>148</v>
      </c>
      <c r="D5197" s="11">
        <f>IFERROR(__xludf.DUMMYFUNCTION("""COMPUTED_VALUE"""),134.0)</f>
        <v>134</v>
      </c>
      <c r="E5197" s="9"/>
    </row>
    <row r="5198">
      <c r="A5198" s="10">
        <f>IFERROR(__xludf.DUMMYFUNCTION("""COMPUTED_VALUE"""),79421.0)</f>
        <v>79421</v>
      </c>
      <c r="B5198" s="11">
        <f>IFERROR(__xludf.DUMMYFUNCTION("""COMPUTED_VALUE"""),1.0)</f>
        <v>1</v>
      </c>
      <c r="C5198" s="11">
        <f>IFERROR(__xludf.DUMMYFUNCTION("""COMPUTED_VALUE"""),828.0)</f>
        <v>828</v>
      </c>
      <c r="D5198" s="11">
        <f>IFERROR(__xludf.DUMMYFUNCTION("""COMPUTED_VALUE"""),683.0)</f>
        <v>683</v>
      </c>
      <c r="E5198" s="9"/>
    </row>
    <row r="5199">
      <c r="A5199" s="10">
        <f>IFERROR(__xludf.DUMMYFUNCTION("""COMPUTED_VALUE"""),128336.0)</f>
        <v>128336</v>
      </c>
      <c r="B5199" s="11">
        <f>IFERROR(__xludf.DUMMYFUNCTION("""COMPUTED_VALUE"""),0.0)</f>
        <v>0</v>
      </c>
      <c r="C5199" s="11">
        <f>IFERROR(__xludf.DUMMYFUNCTION("""COMPUTED_VALUE"""),31.0)</f>
        <v>31</v>
      </c>
      <c r="D5199" s="11">
        <f>IFERROR(__xludf.DUMMYFUNCTION("""COMPUTED_VALUE"""),1.0)</f>
        <v>1</v>
      </c>
      <c r="E5199" s="9"/>
    </row>
    <row r="5200">
      <c r="A5200" s="10">
        <f>IFERROR(__xludf.DUMMYFUNCTION("""COMPUTED_VALUE"""),5081.0)</f>
        <v>5081</v>
      </c>
      <c r="B5200" s="11">
        <f>IFERROR(__xludf.DUMMYFUNCTION("""COMPUTED_VALUE"""),1.0)</f>
        <v>1</v>
      </c>
      <c r="C5200" s="11">
        <f>IFERROR(__xludf.DUMMYFUNCTION("""COMPUTED_VALUE"""),3.0)</f>
        <v>3</v>
      </c>
      <c r="D5200" s="11">
        <f>IFERROR(__xludf.DUMMYFUNCTION("""COMPUTED_VALUE"""),1.0)</f>
        <v>1</v>
      </c>
      <c r="E5200" s="9"/>
    </row>
    <row r="5201">
      <c r="A5201" s="10">
        <f>IFERROR(__xludf.DUMMYFUNCTION("""COMPUTED_VALUE"""),79423.0)</f>
        <v>79423</v>
      </c>
      <c r="B5201" s="11">
        <f>IFERROR(__xludf.DUMMYFUNCTION("""COMPUTED_VALUE"""),1.0)</f>
        <v>1</v>
      </c>
      <c r="C5201" s="11">
        <f>IFERROR(__xludf.DUMMYFUNCTION("""COMPUTED_VALUE"""),288.0)</f>
        <v>288</v>
      </c>
      <c r="D5201" s="11">
        <f>IFERROR(__xludf.DUMMYFUNCTION("""COMPUTED_VALUE"""),138.0)</f>
        <v>138</v>
      </c>
      <c r="E5201" s="9"/>
    </row>
    <row r="5202">
      <c r="A5202" s="10">
        <f>IFERROR(__xludf.DUMMYFUNCTION("""COMPUTED_VALUE"""),116481.0)</f>
        <v>116481</v>
      </c>
      <c r="B5202" s="11">
        <f>IFERROR(__xludf.DUMMYFUNCTION("""COMPUTED_VALUE"""),1.0)</f>
        <v>1</v>
      </c>
      <c r="C5202" s="11">
        <f>IFERROR(__xludf.DUMMYFUNCTION("""COMPUTED_VALUE"""),701.0)</f>
        <v>701</v>
      </c>
      <c r="D5202" s="11">
        <f>IFERROR(__xludf.DUMMYFUNCTION("""COMPUTED_VALUE"""),229.0)</f>
        <v>229</v>
      </c>
      <c r="E5202" s="9"/>
    </row>
    <row r="5203">
      <c r="A5203" s="10">
        <f>IFERROR(__xludf.DUMMYFUNCTION("""COMPUTED_VALUE"""),118278.0)</f>
        <v>118278</v>
      </c>
      <c r="B5203" s="11">
        <f>IFERROR(__xludf.DUMMYFUNCTION("""COMPUTED_VALUE"""),0.0)</f>
        <v>0</v>
      </c>
      <c r="C5203" s="11">
        <f>IFERROR(__xludf.DUMMYFUNCTION("""COMPUTED_VALUE"""),158.0)</f>
        <v>158</v>
      </c>
      <c r="D5203" s="11">
        <f>IFERROR(__xludf.DUMMYFUNCTION("""COMPUTED_VALUE"""),23.0)</f>
        <v>23</v>
      </c>
      <c r="E5203" s="9"/>
    </row>
    <row r="5204">
      <c r="A5204" s="10">
        <f>IFERROR(__xludf.DUMMYFUNCTION("""COMPUTED_VALUE"""),116440.0)</f>
        <v>116440</v>
      </c>
      <c r="B5204" s="11">
        <f>IFERROR(__xludf.DUMMYFUNCTION("""COMPUTED_VALUE"""),0.0)</f>
        <v>0</v>
      </c>
      <c r="C5204" s="11">
        <f>IFERROR(__xludf.DUMMYFUNCTION("""COMPUTED_VALUE"""),281.0)</f>
        <v>281</v>
      </c>
      <c r="D5204" s="11">
        <f>IFERROR(__xludf.DUMMYFUNCTION("""COMPUTED_VALUE"""),225.0)</f>
        <v>225</v>
      </c>
      <c r="E5204" s="9"/>
    </row>
    <row r="5205">
      <c r="A5205" s="10">
        <f>IFERROR(__xludf.DUMMYFUNCTION("""COMPUTED_VALUE"""),116478.0)</f>
        <v>116478</v>
      </c>
      <c r="B5205" s="11">
        <f>IFERROR(__xludf.DUMMYFUNCTION("""COMPUTED_VALUE"""),0.0)</f>
        <v>0</v>
      </c>
      <c r="C5205" s="11">
        <f>IFERROR(__xludf.DUMMYFUNCTION("""COMPUTED_VALUE"""),810.0)</f>
        <v>810</v>
      </c>
      <c r="D5205" s="11">
        <f>IFERROR(__xludf.DUMMYFUNCTION("""COMPUTED_VALUE"""),110.0)</f>
        <v>110</v>
      </c>
      <c r="E5205" s="9"/>
    </row>
    <row r="5206">
      <c r="A5206" s="10">
        <f>IFERROR(__xludf.DUMMYFUNCTION("""COMPUTED_VALUE"""),139305.0)</f>
        <v>139305</v>
      </c>
      <c r="B5206" s="11">
        <f>IFERROR(__xludf.DUMMYFUNCTION("""COMPUTED_VALUE"""),0.0)</f>
        <v>0</v>
      </c>
      <c r="C5206" s="11">
        <f>IFERROR(__xludf.DUMMYFUNCTION("""COMPUTED_VALUE"""),213.0)</f>
        <v>213</v>
      </c>
      <c r="D5206" s="11">
        <f>IFERROR(__xludf.DUMMYFUNCTION("""COMPUTED_VALUE"""),123.0)</f>
        <v>123</v>
      </c>
      <c r="E5206" s="9"/>
    </row>
    <row r="5207">
      <c r="A5207" s="10">
        <f>IFERROR(__xludf.DUMMYFUNCTION("""COMPUTED_VALUE"""),118280.0)</f>
        <v>118280</v>
      </c>
      <c r="B5207" s="11">
        <f>IFERROR(__xludf.DUMMYFUNCTION("""COMPUTED_VALUE"""),0.0)</f>
        <v>0</v>
      </c>
      <c r="C5207" s="11">
        <f>IFERROR(__xludf.DUMMYFUNCTION("""COMPUTED_VALUE"""),525.0)</f>
        <v>525</v>
      </c>
      <c r="D5207" s="11">
        <f>IFERROR(__xludf.DUMMYFUNCTION("""COMPUTED_VALUE"""),52.0)</f>
        <v>52</v>
      </c>
      <c r="E5207" s="9"/>
    </row>
    <row r="5208">
      <c r="A5208" s="10">
        <f>IFERROR(__xludf.DUMMYFUNCTION("""COMPUTED_VALUE"""),116506.0)</f>
        <v>116506</v>
      </c>
      <c r="B5208" s="11">
        <f>IFERROR(__xludf.DUMMYFUNCTION("""COMPUTED_VALUE"""),0.0)</f>
        <v>0</v>
      </c>
      <c r="C5208" s="11">
        <f>IFERROR(__xludf.DUMMYFUNCTION("""COMPUTED_VALUE"""),148.0)</f>
        <v>148</v>
      </c>
      <c r="D5208" s="11">
        <f>IFERROR(__xludf.DUMMYFUNCTION("""COMPUTED_VALUE"""),108.0)</f>
        <v>108</v>
      </c>
      <c r="E5208" s="9"/>
    </row>
    <row r="5209">
      <c r="A5209" s="10">
        <f>IFERROR(__xludf.DUMMYFUNCTION("""COMPUTED_VALUE"""),116504.0)</f>
        <v>116504</v>
      </c>
      <c r="B5209" s="11">
        <f>IFERROR(__xludf.DUMMYFUNCTION("""COMPUTED_VALUE"""),0.0)</f>
        <v>0</v>
      </c>
      <c r="C5209" s="11">
        <f>IFERROR(__xludf.DUMMYFUNCTION("""COMPUTED_VALUE"""),559.0)</f>
        <v>559</v>
      </c>
      <c r="D5209" s="11">
        <f>IFERROR(__xludf.DUMMYFUNCTION("""COMPUTED_VALUE"""),425.0)</f>
        <v>425</v>
      </c>
      <c r="E5209" s="9"/>
    </row>
    <row r="5210">
      <c r="A5210" s="10">
        <f>IFERROR(__xludf.DUMMYFUNCTION("""COMPUTED_VALUE"""),116435.0)</f>
        <v>116435</v>
      </c>
      <c r="B5210" s="11">
        <f>IFERROR(__xludf.DUMMYFUNCTION("""COMPUTED_VALUE"""),1.0)</f>
        <v>1</v>
      </c>
      <c r="C5210" s="11">
        <f>IFERROR(__xludf.DUMMYFUNCTION("""COMPUTED_VALUE"""),795.0)</f>
        <v>795</v>
      </c>
      <c r="D5210" s="11">
        <f>IFERROR(__xludf.DUMMYFUNCTION("""COMPUTED_VALUE"""),519.0)</f>
        <v>519</v>
      </c>
      <c r="E5210" s="9"/>
    </row>
    <row r="5211">
      <c r="A5211" s="10">
        <f>IFERROR(__xludf.DUMMYFUNCTION("""COMPUTED_VALUE"""),70575.0)</f>
        <v>70575</v>
      </c>
      <c r="B5211" s="11">
        <f>IFERROR(__xludf.DUMMYFUNCTION("""COMPUTED_VALUE"""),0.0)</f>
        <v>0</v>
      </c>
      <c r="C5211" s="11">
        <f>IFERROR(__xludf.DUMMYFUNCTION("""COMPUTED_VALUE"""),745.0)</f>
        <v>745</v>
      </c>
      <c r="D5211" s="11">
        <f>IFERROR(__xludf.DUMMYFUNCTION("""COMPUTED_VALUE"""),55.0)</f>
        <v>55</v>
      </c>
      <c r="E5211" s="9"/>
    </row>
    <row r="5212">
      <c r="A5212" s="10">
        <f>IFERROR(__xludf.DUMMYFUNCTION("""COMPUTED_VALUE"""),128343.0)</f>
        <v>128343</v>
      </c>
      <c r="B5212" s="11">
        <f>IFERROR(__xludf.DUMMYFUNCTION("""COMPUTED_VALUE"""),1.0)</f>
        <v>1</v>
      </c>
      <c r="C5212" s="11">
        <f>IFERROR(__xludf.DUMMYFUNCTION("""COMPUTED_VALUE"""),73.0)</f>
        <v>73</v>
      </c>
      <c r="D5212" s="11">
        <f>IFERROR(__xludf.DUMMYFUNCTION("""COMPUTED_VALUE"""),30.0)</f>
        <v>30</v>
      </c>
      <c r="E5212" s="9"/>
    </row>
    <row r="5213">
      <c r="A5213" s="10">
        <f>IFERROR(__xludf.DUMMYFUNCTION("""COMPUTED_VALUE"""),112099.0)</f>
        <v>112099</v>
      </c>
      <c r="B5213" s="11">
        <f>IFERROR(__xludf.DUMMYFUNCTION("""COMPUTED_VALUE"""),1.0)</f>
        <v>1</v>
      </c>
      <c r="C5213" s="11">
        <f>IFERROR(__xludf.DUMMYFUNCTION("""COMPUTED_VALUE"""),326.0)</f>
        <v>326</v>
      </c>
      <c r="D5213" s="11">
        <f>IFERROR(__xludf.DUMMYFUNCTION("""COMPUTED_VALUE"""),197.0)</f>
        <v>197</v>
      </c>
      <c r="E5213" s="9"/>
    </row>
    <row r="5214">
      <c r="A5214" s="10">
        <f>IFERROR(__xludf.DUMMYFUNCTION("""COMPUTED_VALUE"""),128337.0)</f>
        <v>128337</v>
      </c>
      <c r="B5214" s="11">
        <f>IFERROR(__xludf.DUMMYFUNCTION("""COMPUTED_VALUE"""),1.0)</f>
        <v>1</v>
      </c>
      <c r="C5214" s="11">
        <f>IFERROR(__xludf.DUMMYFUNCTION("""COMPUTED_VALUE"""),171.0)</f>
        <v>171</v>
      </c>
      <c r="D5214" s="11">
        <f>IFERROR(__xludf.DUMMYFUNCTION("""COMPUTED_VALUE"""),69.0)</f>
        <v>69</v>
      </c>
      <c r="E5214" s="9"/>
    </row>
    <row r="5215">
      <c r="A5215" s="10">
        <f>IFERROR(__xludf.DUMMYFUNCTION("""COMPUTED_VALUE"""),4339.0)</f>
        <v>4339</v>
      </c>
      <c r="B5215" s="11">
        <f>IFERROR(__xludf.DUMMYFUNCTION("""COMPUTED_VALUE"""),0.0)</f>
        <v>0</v>
      </c>
      <c r="C5215" s="11">
        <f>IFERROR(__xludf.DUMMYFUNCTION("""COMPUTED_VALUE"""),844.0)</f>
        <v>844</v>
      </c>
      <c r="D5215" s="11">
        <f>IFERROR(__xludf.DUMMYFUNCTION("""COMPUTED_VALUE"""),524.0)</f>
        <v>524</v>
      </c>
      <c r="E5215" s="9"/>
    </row>
    <row r="5216">
      <c r="A5216" s="10">
        <f>IFERROR(__xludf.DUMMYFUNCTION("""COMPUTED_VALUE"""),14399.0)</f>
        <v>14399</v>
      </c>
      <c r="B5216" s="11">
        <f>IFERROR(__xludf.DUMMYFUNCTION("""COMPUTED_VALUE"""),0.0)</f>
        <v>0</v>
      </c>
      <c r="C5216" s="11">
        <f>IFERROR(__xludf.DUMMYFUNCTION("""COMPUTED_VALUE"""),212.0)</f>
        <v>212</v>
      </c>
      <c r="D5216" s="11">
        <f>IFERROR(__xludf.DUMMYFUNCTION("""COMPUTED_VALUE"""),147.0)</f>
        <v>147</v>
      </c>
      <c r="E5216" s="9"/>
    </row>
    <row r="5217">
      <c r="A5217" s="10">
        <f>IFERROR(__xludf.DUMMYFUNCTION("""COMPUTED_VALUE"""),4340.0)</f>
        <v>4340</v>
      </c>
      <c r="B5217" s="11">
        <f>IFERROR(__xludf.DUMMYFUNCTION("""COMPUTED_VALUE"""),1.0)</f>
        <v>1</v>
      </c>
      <c r="C5217" s="11">
        <f>IFERROR(__xludf.DUMMYFUNCTION("""COMPUTED_VALUE"""),805.0)</f>
        <v>805</v>
      </c>
      <c r="D5217" s="11">
        <f>IFERROR(__xludf.DUMMYFUNCTION("""COMPUTED_VALUE"""),779.0)</f>
        <v>779</v>
      </c>
      <c r="E5217" s="9"/>
    </row>
    <row r="5218">
      <c r="A5218" s="10">
        <f>IFERROR(__xludf.DUMMYFUNCTION("""COMPUTED_VALUE"""),45250.0)</f>
        <v>45250</v>
      </c>
      <c r="B5218" s="11">
        <f>IFERROR(__xludf.DUMMYFUNCTION("""COMPUTED_VALUE"""),0.0)</f>
        <v>0</v>
      </c>
      <c r="C5218" s="11">
        <f>IFERROR(__xludf.DUMMYFUNCTION("""COMPUTED_VALUE"""),666.0)</f>
        <v>666</v>
      </c>
      <c r="D5218" s="11">
        <f>IFERROR(__xludf.DUMMYFUNCTION("""COMPUTED_VALUE"""),442.0)</f>
        <v>442</v>
      </c>
      <c r="E5218" s="9"/>
    </row>
    <row r="5219">
      <c r="A5219" s="10">
        <f>IFERROR(__xludf.DUMMYFUNCTION("""COMPUTED_VALUE"""),9651.0)</f>
        <v>9651</v>
      </c>
      <c r="B5219" s="11">
        <f>IFERROR(__xludf.DUMMYFUNCTION("""COMPUTED_VALUE"""),0.0)</f>
        <v>0</v>
      </c>
      <c r="C5219" s="11">
        <f>IFERROR(__xludf.DUMMYFUNCTION("""COMPUTED_VALUE"""),328.0)</f>
        <v>328</v>
      </c>
      <c r="D5219" s="11">
        <f>IFERROR(__xludf.DUMMYFUNCTION("""COMPUTED_VALUE"""),224.0)</f>
        <v>224</v>
      </c>
      <c r="E5219" s="9"/>
    </row>
    <row r="5220">
      <c r="A5220" s="10">
        <f>IFERROR(__xludf.DUMMYFUNCTION("""COMPUTED_VALUE"""),4329.0)</f>
        <v>4329</v>
      </c>
      <c r="B5220" s="11">
        <f>IFERROR(__xludf.DUMMYFUNCTION("""COMPUTED_VALUE"""),0.0)</f>
        <v>0</v>
      </c>
      <c r="C5220" s="11">
        <f>IFERROR(__xludf.DUMMYFUNCTION("""COMPUTED_VALUE"""),701.0)</f>
        <v>701</v>
      </c>
      <c r="D5220" s="11">
        <f>IFERROR(__xludf.DUMMYFUNCTION("""COMPUTED_VALUE"""),605.0)</f>
        <v>605</v>
      </c>
      <c r="E5220" s="9"/>
    </row>
    <row r="5221">
      <c r="A5221" s="10">
        <f>IFERROR(__xludf.DUMMYFUNCTION("""COMPUTED_VALUE"""),4338.0)</f>
        <v>4338</v>
      </c>
      <c r="B5221" s="11">
        <f>IFERROR(__xludf.DUMMYFUNCTION("""COMPUTED_VALUE"""),1.0)</f>
        <v>1</v>
      </c>
      <c r="C5221" s="11">
        <f>IFERROR(__xludf.DUMMYFUNCTION("""COMPUTED_VALUE"""),248.0)</f>
        <v>248</v>
      </c>
      <c r="D5221" s="11">
        <f>IFERROR(__xludf.DUMMYFUNCTION("""COMPUTED_VALUE"""),174.0)</f>
        <v>174</v>
      </c>
      <c r="E5221" s="9"/>
    </row>
    <row r="5222">
      <c r="A5222" s="10">
        <f>IFERROR(__xludf.DUMMYFUNCTION("""COMPUTED_VALUE"""),112100.0)</f>
        <v>112100</v>
      </c>
      <c r="B5222" s="11">
        <f>IFERROR(__xludf.DUMMYFUNCTION("""COMPUTED_VALUE"""),0.0)</f>
        <v>0</v>
      </c>
      <c r="C5222" s="11">
        <f>IFERROR(__xludf.DUMMYFUNCTION("""COMPUTED_VALUE"""),449.0)</f>
        <v>449</v>
      </c>
      <c r="D5222" s="11">
        <f>IFERROR(__xludf.DUMMYFUNCTION("""COMPUTED_VALUE"""),385.0)</f>
        <v>385</v>
      </c>
      <c r="E5222" s="9"/>
    </row>
    <row r="5223">
      <c r="A5223" s="10">
        <f>IFERROR(__xludf.DUMMYFUNCTION("""COMPUTED_VALUE"""),9650.0)</f>
        <v>9650</v>
      </c>
      <c r="B5223" s="11">
        <f>IFERROR(__xludf.DUMMYFUNCTION("""COMPUTED_VALUE"""),1.0)</f>
        <v>1</v>
      </c>
      <c r="C5223" s="11">
        <f>IFERROR(__xludf.DUMMYFUNCTION("""COMPUTED_VALUE"""),450.0)</f>
        <v>450</v>
      </c>
      <c r="D5223" s="11">
        <f>IFERROR(__xludf.DUMMYFUNCTION("""COMPUTED_VALUE"""),311.0)</f>
        <v>311</v>
      </c>
      <c r="E5223" s="9"/>
    </row>
    <row r="5224">
      <c r="A5224" s="10">
        <f>IFERROR(__xludf.DUMMYFUNCTION("""COMPUTED_VALUE"""),9649.0)</f>
        <v>9649</v>
      </c>
      <c r="B5224" s="11">
        <f>IFERROR(__xludf.DUMMYFUNCTION("""COMPUTED_VALUE"""),1.0)</f>
        <v>1</v>
      </c>
      <c r="C5224" s="11">
        <f>IFERROR(__xludf.DUMMYFUNCTION("""COMPUTED_VALUE"""),739.0)</f>
        <v>739</v>
      </c>
      <c r="D5224" s="11">
        <f>IFERROR(__xludf.DUMMYFUNCTION("""COMPUTED_VALUE"""),114.0)</f>
        <v>114</v>
      </c>
      <c r="E5224" s="9"/>
    </row>
    <row r="5225">
      <c r="A5225" s="10">
        <f>IFERROR(__xludf.DUMMYFUNCTION("""COMPUTED_VALUE"""),9652.0)</f>
        <v>9652</v>
      </c>
      <c r="B5225" s="11">
        <f>IFERROR(__xludf.DUMMYFUNCTION("""COMPUTED_VALUE"""),0.0)</f>
        <v>0</v>
      </c>
      <c r="C5225" s="11">
        <f>IFERROR(__xludf.DUMMYFUNCTION("""COMPUTED_VALUE"""),612.0)</f>
        <v>612</v>
      </c>
      <c r="D5225" s="11">
        <f>IFERROR(__xludf.DUMMYFUNCTION("""COMPUTED_VALUE"""),553.0)</f>
        <v>553</v>
      </c>
      <c r="E5225" s="9"/>
    </row>
    <row r="5226">
      <c r="A5226" s="10">
        <f>IFERROR(__xludf.DUMMYFUNCTION("""COMPUTED_VALUE"""),79426.0)</f>
        <v>79426</v>
      </c>
      <c r="B5226" s="11">
        <f>IFERROR(__xludf.DUMMYFUNCTION("""COMPUTED_VALUE"""),1.0)</f>
        <v>1</v>
      </c>
      <c r="C5226" s="11">
        <f>IFERROR(__xludf.DUMMYFUNCTION("""COMPUTED_VALUE"""),963.0)</f>
        <v>963</v>
      </c>
      <c r="D5226" s="11">
        <f>IFERROR(__xludf.DUMMYFUNCTION("""COMPUTED_VALUE"""),525.0)</f>
        <v>525</v>
      </c>
      <c r="E5226" s="9"/>
    </row>
    <row r="5227">
      <c r="A5227" s="10">
        <f>IFERROR(__xludf.DUMMYFUNCTION("""COMPUTED_VALUE"""),79425.0)</f>
        <v>79425</v>
      </c>
      <c r="B5227" s="11">
        <f>IFERROR(__xludf.DUMMYFUNCTION("""COMPUTED_VALUE"""),1.0)</f>
        <v>1</v>
      </c>
      <c r="C5227" s="11">
        <f>IFERROR(__xludf.DUMMYFUNCTION("""COMPUTED_VALUE"""),181.0)</f>
        <v>181</v>
      </c>
      <c r="D5227" s="11">
        <f>IFERROR(__xludf.DUMMYFUNCTION("""COMPUTED_VALUE"""),165.0)</f>
        <v>165</v>
      </c>
      <c r="E5227" s="9"/>
    </row>
    <row r="5228">
      <c r="A5228" s="10">
        <f>IFERROR(__xludf.DUMMYFUNCTION("""COMPUTED_VALUE"""),4335.0)</f>
        <v>4335</v>
      </c>
      <c r="B5228" s="11">
        <f>IFERROR(__xludf.DUMMYFUNCTION("""COMPUTED_VALUE"""),1.0)</f>
        <v>1</v>
      </c>
      <c r="C5228" s="11">
        <f>IFERROR(__xludf.DUMMYFUNCTION("""COMPUTED_VALUE"""),633.0)</f>
        <v>633</v>
      </c>
      <c r="D5228" s="11">
        <f>IFERROR(__xludf.DUMMYFUNCTION("""COMPUTED_VALUE"""),327.0)</f>
        <v>327</v>
      </c>
      <c r="E5228" s="9"/>
    </row>
    <row r="5229">
      <c r="A5229" s="10">
        <f>IFERROR(__xludf.DUMMYFUNCTION("""COMPUTED_VALUE"""),70420.0)</f>
        <v>70420</v>
      </c>
      <c r="B5229" s="11">
        <f>IFERROR(__xludf.DUMMYFUNCTION("""COMPUTED_VALUE"""),1.0)</f>
        <v>1</v>
      </c>
      <c r="C5229" s="11">
        <f>IFERROR(__xludf.DUMMYFUNCTION("""COMPUTED_VALUE"""),8.0)</f>
        <v>8</v>
      </c>
      <c r="D5229" s="11">
        <f>IFERROR(__xludf.DUMMYFUNCTION("""COMPUTED_VALUE"""),6.0)</f>
        <v>6</v>
      </c>
      <c r="E5229" s="9"/>
    </row>
    <row r="5230">
      <c r="A5230" s="10">
        <f>IFERROR(__xludf.DUMMYFUNCTION("""COMPUTED_VALUE"""),9655.0)</f>
        <v>9655</v>
      </c>
      <c r="B5230" s="11">
        <f>IFERROR(__xludf.DUMMYFUNCTION("""COMPUTED_VALUE"""),1.0)</f>
        <v>1</v>
      </c>
      <c r="C5230" s="11">
        <f>IFERROR(__xludf.DUMMYFUNCTION("""COMPUTED_VALUE"""),28.0)</f>
        <v>28</v>
      </c>
      <c r="D5230" s="11">
        <f>IFERROR(__xludf.DUMMYFUNCTION("""COMPUTED_VALUE"""),27.0)</f>
        <v>27</v>
      </c>
      <c r="E5230" s="9"/>
    </row>
    <row r="5231">
      <c r="A5231" s="10">
        <f>IFERROR(__xludf.DUMMYFUNCTION("""COMPUTED_VALUE"""),68510.0)</f>
        <v>68510</v>
      </c>
      <c r="B5231" s="11">
        <f>IFERROR(__xludf.DUMMYFUNCTION("""COMPUTED_VALUE"""),1.0)</f>
        <v>1</v>
      </c>
      <c r="C5231" s="11">
        <f>IFERROR(__xludf.DUMMYFUNCTION("""COMPUTED_VALUE"""),366.0)</f>
        <v>366</v>
      </c>
      <c r="D5231" s="11">
        <f>IFERROR(__xludf.DUMMYFUNCTION("""COMPUTED_VALUE"""),354.0)</f>
        <v>354</v>
      </c>
      <c r="E5231" s="9"/>
    </row>
    <row r="5232">
      <c r="A5232" s="10">
        <f>IFERROR(__xludf.DUMMYFUNCTION("""COMPUTED_VALUE"""),11068.0)</f>
        <v>11068</v>
      </c>
      <c r="B5232" s="11">
        <f>IFERROR(__xludf.DUMMYFUNCTION("""COMPUTED_VALUE"""),0.0)</f>
        <v>0</v>
      </c>
      <c r="C5232" s="11">
        <f>IFERROR(__xludf.DUMMYFUNCTION("""COMPUTED_VALUE"""),423.0)</f>
        <v>423</v>
      </c>
      <c r="D5232" s="11">
        <f>IFERROR(__xludf.DUMMYFUNCTION("""COMPUTED_VALUE"""),208.0)</f>
        <v>208</v>
      </c>
      <c r="E5232" s="9"/>
    </row>
    <row r="5233">
      <c r="A5233" s="10">
        <f>IFERROR(__xludf.DUMMYFUNCTION("""COMPUTED_VALUE"""),79888.0)</f>
        <v>79888</v>
      </c>
      <c r="B5233" s="11">
        <f>IFERROR(__xludf.DUMMYFUNCTION("""COMPUTED_VALUE"""),0.0)</f>
        <v>0</v>
      </c>
      <c r="C5233" s="11">
        <f>IFERROR(__xludf.DUMMYFUNCTION("""COMPUTED_VALUE"""),48.0)</f>
        <v>48</v>
      </c>
      <c r="D5233" s="11">
        <f>IFERROR(__xludf.DUMMYFUNCTION("""COMPUTED_VALUE"""),46.0)</f>
        <v>46</v>
      </c>
      <c r="E5233" s="9"/>
    </row>
    <row r="5234">
      <c r="A5234" s="10">
        <f>IFERROR(__xludf.DUMMYFUNCTION("""COMPUTED_VALUE"""),108982.0)</f>
        <v>108982</v>
      </c>
      <c r="B5234" s="11">
        <f>IFERROR(__xludf.DUMMYFUNCTION("""COMPUTED_VALUE"""),1.0)</f>
        <v>1</v>
      </c>
      <c r="C5234" s="11">
        <f>IFERROR(__xludf.DUMMYFUNCTION("""COMPUTED_VALUE"""),652.0)</f>
        <v>652</v>
      </c>
      <c r="D5234" s="11">
        <f>IFERROR(__xludf.DUMMYFUNCTION("""COMPUTED_VALUE"""),537.0)</f>
        <v>537</v>
      </c>
      <c r="E5234" s="9"/>
    </row>
    <row r="5235">
      <c r="A5235" s="10">
        <f>IFERROR(__xludf.DUMMYFUNCTION("""COMPUTED_VALUE"""),88020.0)</f>
        <v>88020</v>
      </c>
      <c r="B5235" s="11">
        <f>IFERROR(__xludf.DUMMYFUNCTION("""COMPUTED_VALUE"""),1.0)</f>
        <v>1</v>
      </c>
      <c r="C5235" s="11">
        <f>IFERROR(__xludf.DUMMYFUNCTION("""COMPUTED_VALUE"""),545.0)</f>
        <v>545</v>
      </c>
      <c r="D5235" s="11">
        <f>IFERROR(__xludf.DUMMYFUNCTION("""COMPUTED_VALUE"""),127.0)</f>
        <v>127</v>
      </c>
      <c r="E5235" s="9"/>
    </row>
    <row r="5236">
      <c r="A5236" s="10">
        <f>IFERROR(__xludf.DUMMYFUNCTION("""COMPUTED_VALUE"""),44824.0)</f>
        <v>44824</v>
      </c>
      <c r="B5236" s="11">
        <f>IFERROR(__xludf.DUMMYFUNCTION("""COMPUTED_VALUE"""),0.0)</f>
        <v>0</v>
      </c>
      <c r="C5236" s="11">
        <f>IFERROR(__xludf.DUMMYFUNCTION("""COMPUTED_VALUE"""),836.0)</f>
        <v>836</v>
      </c>
      <c r="D5236" s="11">
        <f>IFERROR(__xludf.DUMMYFUNCTION("""COMPUTED_VALUE"""),750.0)</f>
        <v>750</v>
      </c>
      <c r="E5236" s="9"/>
    </row>
    <row r="5237">
      <c r="A5237" s="10">
        <f>IFERROR(__xludf.DUMMYFUNCTION("""COMPUTED_VALUE"""),46900.0)</f>
        <v>46900</v>
      </c>
      <c r="B5237" s="11">
        <f>IFERROR(__xludf.DUMMYFUNCTION("""COMPUTED_VALUE"""),1.0)</f>
        <v>1</v>
      </c>
      <c r="C5237" s="11">
        <f>IFERROR(__xludf.DUMMYFUNCTION("""COMPUTED_VALUE"""),31.0)</f>
        <v>31</v>
      </c>
      <c r="D5237" s="11">
        <f>IFERROR(__xludf.DUMMYFUNCTION("""COMPUTED_VALUE"""),30.0)</f>
        <v>30</v>
      </c>
      <c r="E5237" s="9"/>
    </row>
    <row r="5238">
      <c r="A5238" s="10">
        <f>IFERROR(__xludf.DUMMYFUNCTION("""COMPUTED_VALUE"""),41981.0)</f>
        <v>41981</v>
      </c>
      <c r="B5238" s="11">
        <f>IFERROR(__xludf.DUMMYFUNCTION("""COMPUTED_VALUE"""),1.0)</f>
        <v>1</v>
      </c>
      <c r="C5238" s="11">
        <f>IFERROR(__xludf.DUMMYFUNCTION("""COMPUTED_VALUE"""),153.0)</f>
        <v>153</v>
      </c>
      <c r="D5238" s="11">
        <f>IFERROR(__xludf.DUMMYFUNCTION("""COMPUTED_VALUE"""),14.0)</f>
        <v>14</v>
      </c>
      <c r="E5238" s="9"/>
    </row>
    <row r="5239">
      <c r="A5239" s="10">
        <f>IFERROR(__xludf.DUMMYFUNCTION("""COMPUTED_VALUE"""),44825.0)</f>
        <v>44825</v>
      </c>
      <c r="B5239" s="11">
        <f>IFERROR(__xludf.DUMMYFUNCTION("""COMPUTED_VALUE"""),1.0)</f>
        <v>1</v>
      </c>
      <c r="C5239" s="11">
        <f>IFERROR(__xludf.DUMMYFUNCTION("""COMPUTED_VALUE"""),643.0)</f>
        <v>643</v>
      </c>
      <c r="D5239" s="11">
        <f>IFERROR(__xludf.DUMMYFUNCTION("""COMPUTED_VALUE"""),519.0)</f>
        <v>519</v>
      </c>
      <c r="E5239" s="9"/>
    </row>
    <row r="5240">
      <c r="A5240" s="10">
        <f>IFERROR(__xludf.DUMMYFUNCTION("""COMPUTED_VALUE"""),6875.0)</f>
        <v>6875</v>
      </c>
      <c r="B5240" s="11">
        <f>IFERROR(__xludf.DUMMYFUNCTION("""COMPUTED_VALUE"""),0.0)</f>
        <v>0</v>
      </c>
      <c r="C5240" s="11">
        <f>IFERROR(__xludf.DUMMYFUNCTION("""COMPUTED_VALUE"""),120.0)</f>
        <v>120</v>
      </c>
      <c r="D5240" s="11">
        <f>IFERROR(__xludf.DUMMYFUNCTION("""COMPUTED_VALUE"""),72.0)</f>
        <v>72</v>
      </c>
      <c r="E5240" s="9"/>
    </row>
    <row r="5241">
      <c r="A5241" s="10">
        <f>IFERROR(__xludf.DUMMYFUNCTION("""COMPUTED_VALUE"""),108981.0)</f>
        <v>108981</v>
      </c>
      <c r="B5241" s="11">
        <f>IFERROR(__xludf.DUMMYFUNCTION("""COMPUTED_VALUE"""),1.0)</f>
        <v>1</v>
      </c>
      <c r="C5241" s="11">
        <f>IFERROR(__xludf.DUMMYFUNCTION("""COMPUTED_VALUE"""),513.0)</f>
        <v>513</v>
      </c>
      <c r="D5241" s="11">
        <f>IFERROR(__xludf.DUMMYFUNCTION("""COMPUTED_VALUE"""),408.0)</f>
        <v>408</v>
      </c>
      <c r="E5241" s="9"/>
    </row>
    <row r="5242">
      <c r="A5242" s="10">
        <f>IFERROR(__xludf.DUMMYFUNCTION("""COMPUTED_VALUE"""),110931.0)</f>
        <v>110931</v>
      </c>
      <c r="B5242" s="11">
        <f>IFERROR(__xludf.DUMMYFUNCTION("""COMPUTED_VALUE"""),0.0)</f>
        <v>0</v>
      </c>
      <c r="C5242" s="11">
        <f>IFERROR(__xludf.DUMMYFUNCTION("""COMPUTED_VALUE"""),757.0)</f>
        <v>757</v>
      </c>
      <c r="D5242" s="11">
        <f>IFERROR(__xludf.DUMMYFUNCTION("""COMPUTED_VALUE"""),116.0)</f>
        <v>116</v>
      </c>
      <c r="E5242" s="9"/>
    </row>
    <row r="5243">
      <c r="A5243" s="10">
        <f>IFERROR(__xludf.DUMMYFUNCTION("""COMPUTED_VALUE"""),99037.0)</f>
        <v>99037</v>
      </c>
      <c r="B5243" s="11">
        <f>IFERROR(__xludf.DUMMYFUNCTION("""COMPUTED_VALUE"""),1.0)</f>
        <v>1</v>
      </c>
      <c r="C5243" s="11">
        <f>IFERROR(__xludf.DUMMYFUNCTION("""COMPUTED_VALUE"""),299.0)</f>
        <v>299</v>
      </c>
      <c r="D5243" s="11">
        <f>IFERROR(__xludf.DUMMYFUNCTION("""COMPUTED_VALUE"""),261.0)</f>
        <v>261</v>
      </c>
      <c r="E5243" s="9"/>
    </row>
    <row r="5244">
      <c r="A5244" s="10">
        <f>IFERROR(__xludf.DUMMYFUNCTION("""COMPUTED_VALUE"""),99096.0)</f>
        <v>99096</v>
      </c>
      <c r="B5244" s="11">
        <f>IFERROR(__xludf.DUMMYFUNCTION("""COMPUTED_VALUE"""),0.0)</f>
        <v>0</v>
      </c>
      <c r="C5244" s="11">
        <f>IFERROR(__xludf.DUMMYFUNCTION("""COMPUTED_VALUE"""),603.0)</f>
        <v>603</v>
      </c>
      <c r="D5244" s="11">
        <f>IFERROR(__xludf.DUMMYFUNCTION("""COMPUTED_VALUE"""),433.0)</f>
        <v>433</v>
      </c>
      <c r="E5244" s="9"/>
    </row>
    <row r="5245">
      <c r="A5245" s="10">
        <f>IFERROR(__xludf.DUMMYFUNCTION("""COMPUTED_VALUE"""),41986.0)</f>
        <v>41986</v>
      </c>
      <c r="B5245" s="11">
        <f>IFERROR(__xludf.DUMMYFUNCTION("""COMPUTED_VALUE"""),0.0)</f>
        <v>0</v>
      </c>
      <c r="C5245" s="11">
        <f>IFERROR(__xludf.DUMMYFUNCTION("""COMPUTED_VALUE"""),581.0)</f>
        <v>581</v>
      </c>
      <c r="D5245" s="11">
        <f>IFERROR(__xludf.DUMMYFUNCTION("""COMPUTED_VALUE"""),98.0)</f>
        <v>98</v>
      </c>
      <c r="E5245" s="9"/>
    </row>
    <row r="5246">
      <c r="A5246" s="10">
        <f>IFERROR(__xludf.DUMMYFUNCTION("""COMPUTED_VALUE"""),79430.0)</f>
        <v>79430</v>
      </c>
      <c r="B5246" s="11">
        <f>IFERROR(__xludf.DUMMYFUNCTION("""COMPUTED_VALUE"""),0.0)</f>
        <v>0</v>
      </c>
      <c r="C5246" s="11">
        <f>IFERROR(__xludf.DUMMYFUNCTION("""COMPUTED_VALUE"""),37.0)</f>
        <v>37</v>
      </c>
      <c r="D5246" s="11">
        <f>IFERROR(__xludf.DUMMYFUNCTION("""COMPUTED_VALUE"""),13.0)</f>
        <v>13</v>
      </c>
      <c r="E5246" s="9"/>
    </row>
    <row r="5247">
      <c r="A5247" s="10">
        <f>IFERROR(__xludf.DUMMYFUNCTION("""COMPUTED_VALUE"""),41921.0)</f>
        <v>41921</v>
      </c>
      <c r="B5247" s="11">
        <f>IFERROR(__xludf.DUMMYFUNCTION("""COMPUTED_VALUE"""),1.0)</f>
        <v>1</v>
      </c>
      <c r="C5247" s="11">
        <f>IFERROR(__xludf.DUMMYFUNCTION("""COMPUTED_VALUE"""),501.0)</f>
        <v>501</v>
      </c>
      <c r="D5247" s="11">
        <f>IFERROR(__xludf.DUMMYFUNCTION("""COMPUTED_VALUE"""),316.0)</f>
        <v>316</v>
      </c>
      <c r="E5247" s="9"/>
    </row>
    <row r="5248">
      <c r="A5248" s="10">
        <f>IFERROR(__xludf.DUMMYFUNCTION("""COMPUTED_VALUE"""),41910.0)</f>
        <v>41910</v>
      </c>
      <c r="B5248" s="11">
        <f>IFERROR(__xludf.DUMMYFUNCTION("""COMPUTED_VALUE"""),1.0)</f>
        <v>1</v>
      </c>
      <c r="C5248" s="11">
        <f>IFERROR(__xludf.DUMMYFUNCTION("""COMPUTED_VALUE"""),440.0)</f>
        <v>440</v>
      </c>
      <c r="D5248" s="11">
        <f>IFERROR(__xludf.DUMMYFUNCTION("""COMPUTED_VALUE"""),378.0)</f>
        <v>378</v>
      </c>
      <c r="E5248" s="9"/>
    </row>
    <row r="5249">
      <c r="A5249" s="10">
        <f>IFERROR(__xludf.DUMMYFUNCTION("""COMPUTED_VALUE"""),11069.0)</f>
        <v>11069</v>
      </c>
      <c r="B5249" s="11">
        <f>IFERROR(__xludf.DUMMYFUNCTION("""COMPUTED_VALUE"""),1.0)</f>
        <v>1</v>
      </c>
      <c r="C5249" s="11">
        <f>IFERROR(__xludf.DUMMYFUNCTION("""COMPUTED_VALUE"""),47.0)</f>
        <v>47</v>
      </c>
      <c r="D5249" s="11">
        <f>IFERROR(__xludf.DUMMYFUNCTION("""COMPUTED_VALUE"""),17.0)</f>
        <v>17</v>
      </c>
      <c r="E5249" s="9"/>
    </row>
    <row r="5250">
      <c r="A5250" s="10">
        <f>IFERROR(__xludf.DUMMYFUNCTION("""COMPUTED_VALUE"""),41924.0)</f>
        <v>41924</v>
      </c>
      <c r="B5250" s="11">
        <f>IFERROR(__xludf.DUMMYFUNCTION("""COMPUTED_VALUE"""),1.0)</f>
        <v>1</v>
      </c>
      <c r="C5250" s="11">
        <f>IFERROR(__xludf.DUMMYFUNCTION("""COMPUTED_VALUE"""),362.0)</f>
        <v>362</v>
      </c>
      <c r="D5250" s="11">
        <f>IFERROR(__xludf.DUMMYFUNCTION("""COMPUTED_VALUE"""),177.0)</f>
        <v>177</v>
      </c>
      <c r="E5250" s="9"/>
    </row>
    <row r="5251">
      <c r="A5251" s="10">
        <f>IFERROR(__xludf.DUMMYFUNCTION("""COMPUTED_VALUE"""),133913.0)</f>
        <v>133913</v>
      </c>
      <c r="B5251" s="11">
        <f>IFERROR(__xludf.DUMMYFUNCTION("""COMPUTED_VALUE"""),0.0)</f>
        <v>0</v>
      </c>
      <c r="C5251" s="11">
        <f>IFERROR(__xludf.DUMMYFUNCTION("""COMPUTED_VALUE"""),382.0)</f>
        <v>382</v>
      </c>
      <c r="D5251" s="11">
        <f>IFERROR(__xludf.DUMMYFUNCTION("""COMPUTED_VALUE"""),123.0)</f>
        <v>123</v>
      </c>
      <c r="E5251" s="9"/>
    </row>
    <row r="5252">
      <c r="A5252" s="10">
        <f>IFERROR(__xludf.DUMMYFUNCTION("""COMPUTED_VALUE"""),70422.0)</f>
        <v>70422</v>
      </c>
      <c r="B5252" s="11">
        <f>IFERROR(__xludf.DUMMYFUNCTION("""COMPUTED_VALUE"""),1.0)</f>
        <v>1</v>
      </c>
      <c r="C5252" s="11">
        <f>IFERROR(__xludf.DUMMYFUNCTION("""COMPUTED_VALUE"""),920.0)</f>
        <v>920</v>
      </c>
      <c r="D5252" s="11">
        <f>IFERROR(__xludf.DUMMYFUNCTION("""COMPUTED_VALUE"""),722.0)</f>
        <v>722</v>
      </c>
      <c r="E5252" s="9"/>
    </row>
    <row r="5253">
      <c r="A5253" s="10">
        <f>IFERROR(__xludf.DUMMYFUNCTION("""COMPUTED_VALUE"""),17812.0)</f>
        <v>17812</v>
      </c>
      <c r="B5253" s="11">
        <f>IFERROR(__xludf.DUMMYFUNCTION("""COMPUTED_VALUE"""),1.0)</f>
        <v>1</v>
      </c>
      <c r="C5253" s="11">
        <f>IFERROR(__xludf.DUMMYFUNCTION("""COMPUTED_VALUE"""),956.0)</f>
        <v>956</v>
      </c>
      <c r="D5253" s="11">
        <f>IFERROR(__xludf.DUMMYFUNCTION("""COMPUTED_VALUE"""),930.0)</f>
        <v>930</v>
      </c>
      <c r="E5253" s="9"/>
    </row>
    <row r="5254">
      <c r="A5254" s="10">
        <f>IFERROR(__xludf.DUMMYFUNCTION("""COMPUTED_VALUE"""),70429.0)</f>
        <v>70429</v>
      </c>
      <c r="B5254" s="11">
        <f>IFERROR(__xludf.DUMMYFUNCTION("""COMPUTED_VALUE"""),0.0)</f>
        <v>0</v>
      </c>
      <c r="C5254" s="11">
        <f>IFERROR(__xludf.DUMMYFUNCTION("""COMPUTED_VALUE"""),904.0)</f>
        <v>904</v>
      </c>
      <c r="D5254" s="11">
        <f>IFERROR(__xludf.DUMMYFUNCTION("""COMPUTED_VALUE"""),503.0)</f>
        <v>503</v>
      </c>
      <c r="E5254" s="9"/>
    </row>
    <row r="5255">
      <c r="A5255" s="10">
        <f>IFERROR(__xludf.DUMMYFUNCTION("""COMPUTED_VALUE"""),70428.0)</f>
        <v>70428</v>
      </c>
      <c r="B5255" s="11">
        <f>IFERROR(__xludf.DUMMYFUNCTION("""COMPUTED_VALUE"""),1.0)</f>
        <v>1</v>
      </c>
      <c r="C5255" s="11">
        <f>IFERROR(__xludf.DUMMYFUNCTION("""COMPUTED_VALUE"""),632.0)</f>
        <v>632</v>
      </c>
      <c r="D5255" s="11">
        <f>IFERROR(__xludf.DUMMYFUNCTION("""COMPUTED_VALUE"""),356.0)</f>
        <v>356</v>
      </c>
      <c r="E5255" s="9"/>
    </row>
    <row r="5256">
      <c r="A5256" s="10">
        <f>IFERROR(__xludf.DUMMYFUNCTION("""COMPUTED_VALUE"""),99038.0)</f>
        <v>99038</v>
      </c>
      <c r="B5256" s="11">
        <f>IFERROR(__xludf.DUMMYFUNCTION("""COMPUTED_VALUE"""),0.0)</f>
        <v>0</v>
      </c>
      <c r="C5256" s="11">
        <f>IFERROR(__xludf.DUMMYFUNCTION("""COMPUTED_VALUE"""),86.0)</f>
        <v>86</v>
      </c>
      <c r="D5256" s="11">
        <f>IFERROR(__xludf.DUMMYFUNCTION("""COMPUTED_VALUE"""),12.0)</f>
        <v>12</v>
      </c>
      <c r="E5256" s="9"/>
    </row>
    <row r="5257">
      <c r="A5257" s="10">
        <f>IFERROR(__xludf.DUMMYFUNCTION("""COMPUTED_VALUE"""),11071.0)</f>
        <v>11071</v>
      </c>
      <c r="B5257" s="11">
        <f>IFERROR(__xludf.DUMMYFUNCTION("""COMPUTED_VALUE"""),0.0)</f>
        <v>0</v>
      </c>
      <c r="C5257" s="11">
        <f>IFERROR(__xludf.DUMMYFUNCTION("""COMPUTED_VALUE"""),61.0)</f>
        <v>61</v>
      </c>
      <c r="D5257" s="11">
        <f>IFERROR(__xludf.DUMMYFUNCTION("""COMPUTED_VALUE"""),38.0)</f>
        <v>38</v>
      </c>
      <c r="E5257" s="9"/>
    </row>
    <row r="5258">
      <c r="A5258" s="10">
        <f>IFERROR(__xludf.DUMMYFUNCTION("""COMPUTED_VALUE"""),17066.0)</f>
        <v>17066</v>
      </c>
      <c r="B5258" s="11">
        <f>IFERROR(__xludf.DUMMYFUNCTION("""COMPUTED_VALUE"""),0.0)</f>
        <v>0</v>
      </c>
      <c r="C5258" s="11">
        <f>IFERROR(__xludf.DUMMYFUNCTION("""COMPUTED_VALUE"""),161.0)</f>
        <v>161</v>
      </c>
      <c r="D5258" s="11">
        <f>IFERROR(__xludf.DUMMYFUNCTION("""COMPUTED_VALUE"""),74.0)</f>
        <v>74</v>
      </c>
      <c r="E5258" s="9"/>
    </row>
    <row r="5259">
      <c r="A5259" s="10">
        <f>IFERROR(__xludf.DUMMYFUNCTION("""COMPUTED_VALUE"""),117649.0)</f>
        <v>117649</v>
      </c>
      <c r="B5259" s="11">
        <f>IFERROR(__xludf.DUMMYFUNCTION("""COMPUTED_VALUE"""),0.0)</f>
        <v>0</v>
      </c>
      <c r="C5259" s="11">
        <f>IFERROR(__xludf.DUMMYFUNCTION("""COMPUTED_VALUE"""),248.0)</f>
        <v>248</v>
      </c>
      <c r="D5259" s="11">
        <f>IFERROR(__xludf.DUMMYFUNCTION("""COMPUTED_VALUE"""),229.0)</f>
        <v>229</v>
      </c>
      <c r="E5259" s="9"/>
    </row>
    <row r="5260">
      <c r="A5260" s="10">
        <f>IFERROR(__xludf.DUMMYFUNCTION("""COMPUTED_VALUE"""),70426.0)</f>
        <v>70426</v>
      </c>
      <c r="B5260" s="11">
        <f>IFERROR(__xludf.DUMMYFUNCTION("""COMPUTED_VALUE"""),0.0)</f>
        <v>0</v>
      </c>
      <c r="C5260" s="11">
        <f>IFERROR(__xludf.DUMMYFUNCTION("""COMPUTED_VALUE"""),582.0)</f>
        <v>582</v>
      </c>
      <c r="D5260" s="11">
        <f>IFERROR(__xludf.DUMMYFUNCTION("""COMPUTED_VALUE"""),226.0)</f>
        <v>226</v>
      </c>
      <c r="E5260" s="9"/>
    </row>
    <row r="5261">
      <c r="A5261" s="10">
        <f>IFERROR(__xludf.DUMMYFUNCTION("""COMPUTED_VALUE"""),75750.0)</f>
        <v>75750</v>
      </c>
      <c r="B5261" s="11">
        <f>IFERROR(__xludf.DUMMYFUNCTION("""COMPUTED_VALUE"""),1.0)</f>
        <v>1</v>
      </c>
      <c r="C5261" s="11">
        <f>IFERROR(__xludf.DUMMYFUNCTION("""COMPUTED_VALUE"""),893.0)</f>
        <v>893</v>
      </c>
      <c r="D5261" s="11">
        <f>IFERROR(__xludf.DUMMYFUNCTION("""COMPUTED_VALUE"""),259.0)</f>
        <v>259</v>
      </c>
      <c r="E5261" s="9"/>
    </row>
    <row r="5262">
      <c r="A5262" s="10">
        <f>IFERROR(__xludf.DUMMYFUNCTION("""COMPUTED_VALUE"""),117644.0)</f>
        <v>117644</v>
      </c>
      <c r="B5262" s="11">
        <f>IFERROR(__xludf.DUMMYFUNCTION("""COMPUTED_VALUE"""),0.0)</f>
        <v>0</v>
      </c>
      <c r="C5262" s="11">
        <f>IFERROR(__xludf.DUMMYFUNCTION("""COMPUTED_VALUE"""),913.0)</f>
        <v>913</v>
      </c>
      <c r="D5262" s="11">
        <f>IFERROR(__xludf.DUMMYFUNCTION("""COMPUTED_VALUE"""),166.0)</f>
        <v>166</v>
      </c>
      <c r="E5262" s="9"/>
    </row>
    <row r="5263">
      <c r="A5263" s="10">
        <f>IFERROR(__xludf.DUMMYFUNCTION("""COMPUTED_VALUE"""),68512.0)</f>
        <v>68512</v>
      </c>
      <c r="B5263" s="11">
        <f>IFERROR(__xludf.DUMMYFUNCTION("""COMPUTED_VALUE"""),1.0)</f>
        <v>1</v>
      </c>
      <c r="C5263" s="11">
        <f>IFERROR(__xludf.DUMMYFUNCTION("""COMPUTED_VALUE"""),534.0)</f>
        <v>534</v>
      </c>
      <c r="D5263" s="11">
        <f>IFERROR(__xludf.DUMMYFUNCTION("""COMPUTED_VALUE"""),330.0)</f>
        <v>330</v>
      </c>
      <c r="E5263" s="9"/>
    </row>
    <row r="5264">
      <c r="A5264" s="10">
        <f>IFERROR(__xludf.DUMMYFUNCTION("""COMPUTED_VALUE"""),12792.0)</f>
        <v>12792</v>
      </c>
      <c r="B5264" s="11">
        <f>IFERROR(__xludf.DUMMYFUNCTION("""COMPUTED_VALUE"""),0.0)</f>
        <v>0</v>
      </c>
      <c r="C5264" s="11">
        <f>IFERROR(__xludf.DUMMYFUNCTION("""COMPUTED_VALUE"""),322.0)</f>
        <v>322</v>
      </c>
      <c r="D5264" s="11">
        <f>IFERROR(__xludf.DUMMYFUNCTION("""COMPUTED_VALUE"""),30.0)</f>
        <v>30</v>
      </c>
      <c r="E5264" s="9"/>
    </row>
    <row r="5265">
      <c r="A5265" s="10">
        <f>IFERROR(__xludf.DUMMYFUNCTION("""COMPUTED_VALUE"""),46684.0)</f>
        <v>46684</v>
      </c>
      <c r="B5265" s="11">
        <f>IFERROR(__xludf.DUMMYFUNCTION("""COMPUTED_VALUE"""),1.0)</f>
        <v>1</v>
      </c>
      <c r="C5265" s="11">
        <f>IFERROR(__xludf.DUMMYFUNCTION("""COMPUTED_VALUE"""),484.0)</f>
        <v>484</v>
      </c>
      <c r="D5265" s="11">
        <f>IFERROR(__xludf.DUMMYFUNCTION("""COMPUTED_VALUE"""),175.0)</f>
        <v>175</v>
      </c>
      <c r="E5265" s="9"/>
    </row>
    <row r="5266">
      <c r="A5266" s="10">
        <f>IFERROR(__xludf.DUMMYFUNCTION("""COMPUTED_VALUE"""),12795.0)</f>
        <v>12795</v>
      </c>
      <c r="B5266" s="11">
        <f>IFERROR(__xludf.DUMMYFUNCTION("""COMPUTED_VALUE"""),0.0)</f>
        <v>0</v>
      </c>
      <c r="C5266" s="11">
        <f>IFERROR(__xludf.DUMMYFUNCTION("""COMPUTED_VALUE"""),637.0)</f>
        <v>637</v>
      </c>
      <c r="D5266" s="11">
        <f>IFERROR(__xludf.DUMMYFUNCTION("""COMPUTED_VALUE"""),67.0)</f>
        <v>67</v>
      </c>
      <c r="E5266" s="9"/>
    </row>
    <row r="5267">
      <c r="A5267" s="10">
        <f>IFERROR(__xludf.DUMMYFUNCTION("""COMPUTED_VALUE"""),46686.0)</f>
        <v>46686</v>
      </c>
      <c r="B5267" s="11">
        <f>IFERROR(__xludf.DUMMYFUNCTION("""COMPUTED_VALUE"""),1.0)</f>
        <v>1</v>
      </c>
      <c r="C5267" s="11">
        <f>IFERROR(__xludf.DUMMYFUNCTION("""COMPUTED_VALUE"""),502.0)</f>
        <v>502</v>
      </c>
      <c r="D5267" s="11">
        <f>IFERROR(__xludf.DUMMYFUNCTION("""COMPUTED_VALUE"""),141.0)</f>
        <v>141</v>
      </c>
      <c r="E5267" s="9"/>
    </row>
    <row r="5268">
      <c r="A5268" s="10">
        <f>IFERROR(__xludf.DUMMYFUNCTION("""COMPUTED_VALUE"""),12804.0)</f>
        <v>12804</v>
      </c>
      <c r="B5268" s="11">
        <f>IFERROR(__xludf.DUMMYFUNCTION("""COMPUTED_VALUE"""),1.0)</f>
        <v>1</v>
      </c>
      <c r="C5268" s="11">
        <f>IFERROR(__xludf.DUMMYFUNCTION("""COMPUTED_VALUE"""),881.0)</f>
        <v>881</v>
      </c>
      <c r="D5268" s="11">
        <f>IFERROR(__xludf.DUMMYFUNCTION("""COMPUTED_VALUE"""),136.0)</f>
        <v>136</v>
      </c>
      <c r="E5268" s="9"/>
    </row>
    <row r="5269">
      <c r="A5269" s="10">
        <f>IFERROR(__xludf.DUMMYFUNCTION("""COMPUTED_VALUE"""),12799.0)</f>
        <v>12799</v>
      </c>
      <c r="B5269" s="11">
        <f>IFERROR(__xludf.DUMMYFUNCTION("""COMPUTED_VALUE"""),0.0)</f>
        <v>0</v>
      </c>
      <c r="C5269" s="11">
        <f>IFERROR(__xludf.DUMMYFUNCTION("""COMPUTED_VALUE"""),454.0)</f>
        <v>454</v>
      </c>
      <c r="D5269" s="11">
        <f>IFERROR(__xludf.DUMMYFUNCTION("""COMPUTED_VALUE"""),152.0)</f>
        <v>152</v>
      </c>
      <c r="E5269" s="9"/>
    </row>
    <row r="5270">
      <c r="A5270" s="10">
        <f>IFERROR(__xludf.DUMMYFUNCTION("""COMPUTED_VALUE"""),100914.0)</f>
        <v>100914</v>
      </c>
      <c r="B5270" s="11">
        <f>IFERROR(__xludf.DUMMYFUNCTION("""COMPUTED_VALUE"""),0.0)</f>
        <v>0</v>
      </c>
      <c r="C5270" s="11">
        <f>IFERROR(__xludf.DUMMYFUNCTION("""COMPUTED_VALUE"""),47.0)</f>
        <v>47</v>
      </c>
      <c r="D5270" s="11">
        <f>IFERROR(__xludf.DUMMYFUNCTION("""COMPUTED_VALUE"""),23.0)</f>
        <v>23</v>
      </c>
      <c r="E5270" s="9"/>
    </row>
    <row r="5271">
      <c r="A5271" s="10">
        <f>IFERROR(__xludf.DUMMYFUNCTION("""COMPUTED_VALUE"""),12802.0)</f>
        <v>12802</v>
      </c>
      <c r="B5271" s="11">
        <f>IFERROR(__xludf.DUMMYFUNCTION("""COMPUTED_VALUE"""),0.0)</f>
        <v>0</v>
      </c>
      <c r="C5271" s="11">
        <f>IFERROR(__xludf.DUMMYFUNCTION("""COMPUTED_VALUE"""),692.0)</f>
        <v>692</v>
      </c>
      <c r="D5271" s="11">
        <f>IFERROR(__xludf.DUMMYFUNCTION("""COMPUTED_VALUE"""),645.0)</f>
        <v>645</v>
      </c>
      <c r="E5271" s="9"/>
    </row>
    <row r="5272">
      <c r="A5272" s="10">
        <f>IFERROR(__xludf.DUMMYFUNCTION("""COMPUTED_VALUE"""),100907.0)</f>
        <v>100907</v>
      </c>
      <c r="B5272" s="11">
        <f>IFERROR(__xludf.DUMMYFUNCTION("""COMPUTED_VALUE"""),1.0)</f>
        <v>1</v>
      </c>
      <c r="C5272" s="11">
        <f>IFERROR(__xludf.DUMMYFUNCTION("""COMPUTED_VALUE"""),659.0)</f>
        <v>659</v>
      </c>
      <c r="D5272" s="11">
        <f>IFERROR(__xludf.DUMMYFUNCTION("""COMPUTED_VALUE"""),205.0)</f>
        <v>205</v>
      </c>
      <c r="E5272" s="9"/>
    </row>
    <row r="5273">
      <c r="A5273" s="10">
        <f>IFERROR(__xludf.DUMMYFUNCTION("""COMPUTED_VALUE"""),12794.0)</f>
        <v>12794</v>
      </c>
      <c r="B5273" s="11">
        <f>IFERROR(__xludf.DUMMYFUNCTION("""COMPUTED_VALUE"""),0.0)</f>
        <v>0</v>
      </c>
      <c r="C5273" s="11">
        <f>IFERROR(__xludf.DUMMYFUNCTION("""COMPUTED_VALUE"""),808.0)</f>
        <v>808</v>
      </c>
      <c r="D5273" s="11">
        <f>IFERROR(__xludf.DUMMYFUNCTION("""COMPUTED_VALUE"""),232.0)</f>
        <v>232</v>
      </c>
      <c r="E5273" s="9"/>
    </row>
    <row r="5274">
      <c r="A5274" s="10">
        <f>IFERROR(__xludf.DUMMYFUNCTION("""COMPUTED_VALUE"""),4261.0)</f>
        <v>4261</v>
      </c>
      <c r="B5274" s="11">
        <f>IFERROR(__xludf.DUMMYFUNCTION("""COMPUTED_VALUE"""),1.0)</f>
        <v>1</v>
      </c>
      <c r="C5274" s="11">
        <f>IFERROR(__xludf.DUMMYFUNCTION("""COMPUTED_VALUE"""),840.0)</f>
        <v>840</v>
      </c>
      <c r="D5274" s="11">
        <f>IFERROR(__xludf.DUMMYFUNCTION("""COMPUTED_VALUE"""),239.0)</f>
        <v>239</v>
      </c>
      <c r="E5274" s="9"/>
    </row>
    <row r="5275">
      <c r="A5275" s="10">
        <f>IFERROR(__xludf.DUMMYFUNCTION("""COMPUTED_VALUE"""),9656.0)</f>
        <v>9656</v>
      </c>
      <c r="B5275" s="11">
        <f>IFERROR(__xludf.DUMMYFUNCTION("""COMPUTED_VALUE"""),1.0)</f>
        <v>1</v>
      </c>
      <c r="C5275" s="11">
        <f>IFERROR(__xludf.DUMMYFUNCTION("""COMPUTED_VALUE"""),508.0)</f>
        <v>508</v>
      </c>
      <c r="D5275" s="11">
        <f>IFERROR(__xludf.DUMMYFUNCTION("""COMPUTED_VALUE"""),390.0)</f>
        <v>390</v>
      </c>
      <c r="E5275" s="9"/>
    </row>
    <row r="5276">
      <c r="A5276" s="10">
        <f>IFERROR(__xludf.DUMMYFUNCTION("""COMPUTED_VALUE"""),9657.0)</f>
        <v>9657</v>
      </c>
      <c r="B5276" s="11">
        <f>IFERROR(__xludf.DUMMYFUNCTION("""COMPUTED_VALUE"""),1.0)</f>
        <v>1</v>
      </c>
      <c r="C5276" s="11">
        <f>IFERROR(__xludf.DUMMYFUNCTION("""COMPUTED_VALUE"""),617.0)</f>
        <v>617</v>
      </c>
      <c r="D5276" s="11">
        <f>IFERROR(__xludf.DUMMYFUNCTION("""COMPUTED_VALUE"""),303.0)</f>
        <v>303</v>
      </c>
      <c r="E5276" s="9"/>
    </row>
    <row r="5277">
      <c r="A5277" s="10">
        <f>IFERROR(__xludf.DUMMYFUNCTION("""COMPUTED_VALUE"""),9660.0)</f>
        <v>9660</v>
      </c>
      <c r="B5277" s="11">
        <f>IFERROR(__xludf.DUMMYFUNCTION("""COMPUTED_VALUE"""),0.0)</f>
        <v>0</v>
      </c>
      <c r="C5277" s="11">
        <f>IFERROR(__xludf.DUMMYFUNCTION("""COMPUTED_VALUE"""),757.0)</f>
        <v>757</v>
      </c>
      <c r="D5277" s="11">
        <f>IFERROR(__xludf.DUMMYFUNCTION("""COMPUTED_VALUE"""),633.0)</f>
        <v>633</v>
      </c>
      <c r="E5277" s="9"/>
    </row>
    <row r="5278">
      <c r="A5278" s="10">
        <f>IFERROR(__xludf.DUMMYFUNCTION("""COMPUTED_VALUE"""),9648.0)</f>
        <v>9648</v>
      </c>
      <c r="B5278" s="11">
        <f>IFERROR(__xludf.DUMMYFUNCTION("""COMPUTED_VALUE"""),0.0)</f>
        <v>0</v>
      </c>
      <c r="C5278" s="11">
        <f>IFERROR(__xludf.DUMMYFUNCTION("""COMPUTED_VALUE"""),951.0)</f>
        <v>951</v>
      </c>
      <c r="D5278" s="11">
        <f>IFERROR(__xludf.DUMMYFUNCTION("""COMPUTED_VALUE"""),187.0)</f>
        <v>187</v>
      </c>
      <c r="E5278" s="9"/>
    </row>
    <row r="5279">
      <c r="A5279" s="10">
        <f>IFERROR(__xludf.DUMMYFUNCTION("""COMPUTED_VALUE"""),79424.0)</f>
        <v>79424</v>
      </c>
      <c r="B5279" s="11">
        <f>IFERROR(__xludf.DUMMYFUNCTION("""COMPUTED_VALUE"""),0.0)</f>
        <v>0</v>
      </c>
      <c r="C5279" s="11">
        <f>IFERROR(__xludf.DUMMYFUNCTION("""COMPUTED_VALUE"""),10.0)</f>
        <v>10</v>
      </c>
      <c r="D5279" s="11">
        <f>IFERROR(__xludf.DUMMYFUNCTION("""COMPUTED_VALUE"""),9.0)</f>
        <v>9</v>
      </c>
      <c r="E5279" s="9"/>
    </row>
    <row r="5280">
      <c r="A5280" s="10">
        <f>IFERROR(__xludf.DUMMYFUNCTION("""COMPUTED_VALUE"""),4267.0)</f>
        <v>4267</v>
      </c>
      <c r="B5280" s="11">
        <f>IFERROR(__xludf.DUMMYFUNCTION("""COMPUTED_VALUE"""),0.0)</f>
        <v>0</v>
      </c>
      <c r="C5280" s="11">
        <f>IFERROR(__xludf.DUMMYFUNCTION("""COMPUTED_VALUE"""),465.0)</f>
        <v>465</v>
      </c>
      <c r="D5280" s="11">
        <f>IFERROR(__xludf.DUMMYFUNCTION("""COMPUTED_VALUE"""),89.0)</f>
        <v>89</v>
      </c>
      <c r="E5280" s="9"/>
    </row>
    <row r="5281">
      <c r="A5281" s="10">
        <f>IFERROR(__xludf.DUMMYFUNCTION("""COMPUTED_VALUE"""),9647.0)</f>
        <v>9647</v>
      </c>
      <c r="B5281" s="11">
        <f>IFERROR(__xludf.DUMMYFUNCTION("""COMPUTED_VALUE"""),0.0)</f>
        <v>0</v>
      </c>
      <c r="C5281" s="11">
        <f>IFERROR(__xludf.DUMMYFUNCTION("""COMPUTED_VALUE"""),185.0)</f>
        <v>185</v>
      </c>
      <c r="D5281" s="11">
        <f>IFERROR(__xludf.DUMMYFUNCTION("""COMPUTED_VALUE"""),22.0)</f>
        <v>22</v>
      </c>
      <c r="E5281" s="9"/>
    </row>
    <row r="5282">
      <c r="A5282" s="10">
        <f>IFERROR(__xludf.DUMMYFUNCTION("""COMPUTED_VALUE"""),110772.0)</f>
        <v>110772</v>
      </c>
      <c r="B5282" s="11">
        <f>IFERROR(__xludf.DUMMYFUNCTION("""COMPUTED_VALUE"""),0.0)</f>
        <v>0</v>
      </c>
      <c r="C5282" s="11">
        <f>IFERROR(__xludf.DUMMYFUNCTION("""COMPUTED_VALUE"""),46.0)</f>
        <v>46</v>
      </c>
      <c r="D5282" s="11">
        <f>IFERROR(__xludf.DUMMYFUNCTION("""COMPUTED_VALUE"""),20.0)</f>
        <v>20</v>
      </c>
      <c r="E5282" s="9"/>
    </row>
    <row r="5283">
      <c r="A5283" s="10">
        <f>IFERROR(__xludf.DUMMYFUNCTION("""COMPUTED_VALUE"""),4255.0)</f>
        <v>4255</v>
      </c>
      <c r="B5283" s="11">
        <f>IFERROR(__xludf.DUMMYFUNCTION("""COMPUTED_VALUE"""),1.0)</f>
        <v>1</v>
      </c>
      <c r="C5283" s="11">
        <f>IFERROR(__xludf.DUMMYFUNCTION("""COMPUTED_VALUE"""),675.0)</f>
        <v>675</v>
      </c>
      <c r="D5283" s="11">
        <f>IFERROR(__xludf.DUMMYFUNCTION("""COMPUTED_VALUE"""),284.0)</f>
        <v>284</v>
      </c>
      <c r="E5283" s="9"/>
    </row>
    <row r="5284">
      <c r="A5284" s="10">
        <f>IFERROR(__xludf.DUMMYFUNCTION("""COMPUTED_VALUE"""),4270.0)</f>
        <v>4270</v>
      </c>
      <c r="B5284" s="11">
        <f>IFERROR(__xludf.DUMMYFUNCTION("""COMPUTED_VALUE"""),0.0)</f>
        <v>0</v>
      </c>
      <c r="C5284" s="11">
        <f>IFERROR(__xludf.DUMMYFUNCTION("""COMPUTED_VALUE"""),710.0)</f>
        <v>710</v>
      </c>
      <c r="D5284" s="11">
        <f>IFERROR(__xludf.DUMMYFUNCTION("""COMPUTED_VALUE"""),61.0)</f>
        <v>61</v>
      </c>
      <c r="E5284" s="9"/>
    </row>
    <row r="5285">
      <c r="A5285" s="10">
        <f>IFERROR(__xludf.DUMMYFUNCTION("""COMPUTED_VALUE"""),4264.0)</f>
        <v>4264</v>
      </c>
      <c r="B5285" s="11">
        <f>IFERROR(__xludf.DUMMYFUNCTION("""COMPUTED_VALUE"""),1.0)</f>
        <v>1</v>
      </c>
      <c r="C5285" s="11">
        <f>IFERROR(__xludf.DUMMYFUNCTION("""COMPUTED_VALUE"""),335.0)</f>
        <v>335</v>
      </c>
      <c r="D5285" s="11">
        <f>IFERROR(__xludf.DUMMYFUNCTION("""COMPUTED_VALUE"""),64.0)</f>
        <v>64</v>
      </c>
      <c r="E5285" s="9"/>
    </row>
    <row r="5286">
      <c r="A5286" s="10">
        <f>IFERROR(__xludf.DUMMYFUNCTION("""COMPUTED_VALUE"""),4271.0)</f>
        <v>4271</v>
      </c>
      <c r="B5286" s="11">
        <f>IFERROR(__xludf.DUMMYFUNCTION("""COMPUTED_VALUE"""),1.0)</f>
        <v>1</v>
      </c>
      <c r="C5286" s="11">
        <f>IFERROR(__xludf.DUMMYFUNCTION("""COMPUTED_VALUE"""),770.0)</f>
        <v>770</v>
      </c>
      <c r="D5286" s="11">
        <f>IFERROR(__xludf.DUMMYFUNCTION("""COMPUTED_VALUE"""),380.0)</f>
        <v>380</v>
      </c>
      <c r="E5286" s="9"/>
    </row>
    <row r="5287">
      <c r="A5287" s="10">
        <f>IFERROR(__xludf.DUMMYFUNCTION("""COMPUTED_VALUE"""),79428.0)</f>
        <v>79428</v>
      </c>
      <c r="B5287" s="11">
        <f>IFERROR(__xludf.DUMMYFUNCTION("""COMPUTED_VALUE"""),1.0)</f>
        <v>1</v>
      </c>
      <c r="C5287" s="11">
        <f>IFERROR(__xludf.DUMMYFUNCTION("""COMPUTED_VALUE"""),768.0)</f>
        <v>768</v>
      </c>
      <c r="D5287" s="11">
        <f>IFERROR(__xludf.DUMMYFUNCTION("""COMPUTED_VALUE"""),600.0)</f>
        <v>600</v>
      </c>
      <c r="E5287" s="9"/>
    </row>
    <row r="5288">
      <c r="A5288" s="10">
        <f>IFERROR(__xludf.DUMMYFUNCTION("""COMPUTED_VALUE"""),68509.0)</f>
        <v>68509</v>
      </c>
      <c r="B5288" s="11">
        <f>IFERROR(__xludf.DUMMYFUNCTION("""COMPUTED_VALUE"""),1.0)</f>
        <v>1</v>
      </c>
      <c r="C5288" s="11">
        <f>IFERROR(__xludf.DUMMYFUNCTION("""COMPUTED_VALUE"""),902.0)</f>
        <v>902</v>
      </c>
      <c r="D5288" s="11">
        <f>IFERROR(__xludf.DUMMYFUNCTION("""COMPUTED_VALUE"""),441.0)</f>
        <v>441</v>
      </c>
      <c r="E5288" s="9"/>
    </row>
    <row r="5289">
      <c r="A5289" s="10">
        <f>IFERROR(__xludf.DUMMYFUNCTION("""COMPUTED_VALUE"""),112104.0)</f>
        <v>112104</v>
      </c>
      <c r="B5289" s="11">
        <f>IFERROR(__xludf.DUMMYFUNCTION("""COMPUTED_VALUE"""),0.0)</f>
        <v>0</v>
      </c>
      <c r="C5289" s="11">
        <f>IFERROR(__xludf.DUMMYFUNCTION("""COMPUTED_VALUE"""),823.0)</f>
        <v>823</v>
      </c>
      <c r="D5289" s="11">
        <f>IFERROR(__xludf.DUMMYFUNCTION("""COMPUTED_VALUE"""),208.0)</f>
        <v>208</v>
      </c>
      <c r="E5289" s="9"/>
    </row>
    <row r="5290">
      <c r="A5290" s="10">
        <f>IFERROR(__xludf.DUMMYFUNCTION("""COMPUTED_VALUE"""),79885.0)</f>
        <v>79885</v>
      </c>
      <c r="B5290" s="11">
        <f>IFERROR(__xludf.DUMMYFUNCTION("""COMPUTED_VALUE"""),0.0)</f>
        <v>0</v>
      </c>
      <c r="C5290" s="11">
        <f>IFERROR(__xludf.DUMMYFUNCTION("""COMPUTED_VALUE"""),914.0)</f>
        <v>914</v>
      </c>
      <c r="D5290" s="11">
        <f>IFERROR(__xludf.DUMMYFUNCTION("""COMPUTED_VALUE"""),470.0)</f>
        <v>470</v>
      </c>
      <c r="E5290" s="9"/>
    </row>
    <row r="5291">
      <c r="A5291" s="10">
        <f>IFERROR(__xludf.DUMMYFUNCTION("""COMPUTED_VALUE"""),6876.0)</f>
        <v>6876</v>
      </c>
      <c r="B5291" s="11">
        <f>IFERROR(__xludf.DUMMYFUNCTION("""COMPUTED_VALUE"""),1.0)</f>
        <v>1</v>
      </c>
      <c r="C5291" s="11">
        <f>IFERROR(__xludf.DUMMYFUNCTION("""COMPUTED_VALUE"""),690.0)</f>
        <v>690</v>
      </c>
      <c r="D5291" s="11">
        <f>IFERROR(__xludf.DUMMYFUNCTION("""COMPUTED_VALUE"""),651.0)</f>
        <v>651</v>
      </c>
      <c r="E5291" s="9"/>
    </row>
    <row r="5292">
      <c r="A5292" s="10">
        <f>IFERROR(__xludf.DUMMYFUNCTION("""COMPUTED_VALUE"""),79427.0)</f>
        <v>79427</v>
      </c>
      <c r="B5292" s="11">
        <f>IFERROR(__xludf.DUMMYFUNCTION("""COMPUTED_VALUE"""),1.0)</f>
        <v>1</v>
      </c>
      <c r="C5292" s="11">
        <f>IFERROR(__xludf.DUMMYFUNCTION("""COMPUTED_VALUE"""),637.0)</f>
        <v>637</v>
      </c>
      <c r="D5292" s="11">
        <f>IFERROR(__xludf.DUMMYFUNCTION("""COMPUTED_VALUE"""),76.0)</f>
        <v>76</v>
      </c>
      <c r="E5292" s="9"/>
    </row>
    <row r="5293">
      <c r="A5293" s="10">
        <f>IFERROR(__xludf.DUMMYFUNCTION("""COMPUTED_VALUE"""),44828.0)</f>
        <v>44828</v>
      </c>
      <c r="B5293" s="11">
        <f>IFERROR(__xludf.DUMMYFUNCTION("""COMPUTED_VALUE"""),1.0)</f>
        <v>1</v>
      </c>
      <c r="C5293" s="11">
        <f>IFERROR(__xludf.DUMMYFUNCTION("""COMPUTED_VALUE"""),789.0)</f>
        <v>789</v>
      </c>
      <c r="D5293" s="11">
        <f>IFERROR(__xludf.DUMMYFUNCTION("""COMPUTED_VALUE"""),379.0)</f>
        <v>379</v>
      </c>
      <c r="E5293" s="9"/>
    </row>
    <row r="5294">
      <c r="A5294" s="10">
        <f>IFERROR(__xludf.DUMMYFUNCTION("""COMPUTED_VALUE"""),122213.0)</f>
        <v>122213</v>
      </c>
      <c r="B5294" s="11">
        <f>IFERROR(__xludf.DUMMYFUNCTION("""COMPUTED_VALUE"""),0.0)</f>
        <v>0</v>
      </c>
      <c r="C5294" s="11">
        <f>IFERROR(__xludf.DUMMYFUNCTION("""COMPUTED_VALUE"""),671.0)</f>
        <v>671</v>
      </c>
      <c r="D5294" s="11">
        <f>IFERROR(__xludf.DUMMYFUNCTION("""COMPUTED_VALUE"""),277.0)</f>
        <v>277</v>
      </c>
      <c r="E5294" s="9"/>
    </row>
    <row r="5295">
      <c r="A5295" s="10">
        <f>IFERROR(__xludf.DUMMYFUNCTION("""COMPUTED_VALUE"""),46903.0)</f>
        <v>46903</v>
      </c>
      <c r="B5295" s="11">
        <f>IFERROR(__xludf.DUMMYFUNCTION("""COMPUTED_VALUE"""),0.0)</f>
        <v>0</v>
      </c>
      <c r="C5295" s="11">
        <f>IFERROR(__xludf.DUMMYFUNCTION("""COMPUTED_VALUE"""),220.0)</f>
        <v>220</v>
      </c>
      <c r="D5295" s="11">
        <f>IFERROR(__xludf.DUMMYFUNCTION("""COMPUTED_VALUE"""),81.0)</f>
        <v>81</v>
      </c>
      <c r="E5295" s="9"/>
    </row>
    <row r="5296">
      <c r="A5296" s="10">
        <f>IFERROR(__xludf.DUMMYFUNCTION("""COMPUTED_VALUE"""),80359.0)</f>
        <v>80359</v>
      </c>
      <c r="B5296" s="11">
        <f>IFERROR(__xludf.DUMMYFUNCTION("""COMPUTED_VALUE"""),1.0)</f>
        <v>1</v>
      </c>
      <c r="C5296" s="11">
        <f>IFERROR(__xludf.DUMMYFUNCTION("""COMPUTED_VALUE"""),816.0)</f>
        <v>816</v>
      </c>
      <c r="D5296" s="11">
        <f>IFERROR(__xludf.DUMMYFUNCTION("""COMPUTED_VALUE"""),737.0)</f>
        <v>737</v>
      </c>
      <c r="E5296" s="9"/>
    </row>
    <row r="5297">
      <c r="A5297" s="10">
        <f>IFERROR(__xludf.DUMMYFUNCTION("""COMPUTED_VALUE"""),44827.0)</f>
        <v>44827</v>
      </c>
      <c r="B5297" s="11">
        <f>IFERROR(__xludf.DUMMYFUNCTION("""COMPUTED_VALUE"""),1.0)</f>
        <v>1</v>
      </c>
      <c r="C5297" s="11">
        <f>IFERROR(__xludf.DUMMYFUNCTION("""COMPUTED_VALUE"""),482.0)</f>
        <v>482</v>
      </c>
      <c r="D5297" s="11">
        <f>IFERROR(__xludf.DUMMYFUNCTION("""COMPUTED_VALUE"""),204.0)</f>
        <v>204</v>
      </c>
      <c r="E5297" s="9"/>
    </row>
    <row r="5298">
      <c r="A5298" s="10">
        <f>IFERROR(__xludf.DUMMYFUNCTION("""COMPUTED_VALUE"""),79882.0)</f>
        <v>79882</v>
      </c>
      <c r="B5298" s="11">
        <f>IFERROR(__xludf.DUMMYFUNCTION("""COMPUTED_VALUE"""),0.0)</f>
        <v>0</v>
      </c>
      <c r="C5298" s="11">
        <f>IFERROR(__xludf.DUMMYFUNCTION("""COMPUTED_VALUE"""),233.0)</f>
        <v>233</v>
      </c>
      <c r="D5298" s="11">
        <f>IFERROR(__xludf.DUMMYFUNCTION("""COMPUTED_VALUE"""),34.0)</f>
        <v>34</v>
      </c>
      <c r="E5298" s="9"/>
    </row>
    <row r="5299">
      <c r="A5299" s="10">
        <f>IFERROR(__xludf.DUMMYFUNCTION("""COMPUTED_VALUE"""),11065.0)</f>
        <v>11065</v>
      </c>
      <c r="B5299" s="11">
        <f>IFERROR(__xludf.DUMMYFUNCTION("""COMPUTED_VALUE"""),1.0)</f>
        <v>1</v>
      </c>
      <c r="C5299" s="11">
        <f>IFERROR(__xludf.DUMMYFUNCTION("""COMPUTED_VALUE"""),923.0)</f>
        <v>923</v>
      </c>
      <c r="D5299" s="11">
        <f>IFERROR(__xludf.DUMMYFUNCTION("""COMPUTED_VALUE"""),618.0)</f>
        <v>618</v>
      </c>
      <c r="E5299" s="9"/>
    </row>
    <row r="5300">
      <c r="A5300" s="10">
        <f>IFERROR(__xludf.DUMMYFUNCTION("""COMPUTED_VALUE"""),41991.0)</f>
        <v>41991</v>
      </c>
      <c r="B5300" s="11">
        <f>IFERROR(__xludf.DUMMYFUNCTION("""COMPUTED_VALUE"""),0.0)</f>
        <v>0</v>
      </c>
      <c r="C5300" s="11">
        <f>IFERROR(__xludf.DUMMYFUNCTION("""COMPUTED_VALUE"""),582.0)</f>
        <v>582</v>
      </c>
      <c r="D5300" s="11">
        <f>IFERROR(__xludf.DUMMYFUNCTION("""COMPUTED_VALUE"""),61.0)</f>
        <v>61</v>
      </c>
      <c r="E5300" s="9"/>
    </row>
    <row r="5301">
      <c r="A5301" s="10">
        <f>IFERROR(__xludf.DUMMYFUNCTION("""COMPUTED_VALUE"""),6877.0)</f>
        <v>6877</v>
      </c>
      <c r="B5301" s="11">
        <f>IFERROR(__xludf.DUMMYFUNCTION("""COMPUTED_VALUE"""),1.0)</f>
        <v>1</v>
      </c>
      <c r="C5301" s="11">
        <f>IFERROR(__xludf.DUMMYFUNCTION("""COMPUTED_VALUE"""),316.0)</f>
        <v>316</v>
      </c>
      <c r="D5301" s="11">
        <f>IFERROR(__xludf.DUMMYFUNCTION("""COMPUTED_VALUE"""),178.0)</f>
        <v>178</v>
      </c>
      <c r="E5301" s="9"/>
    </row>
    <row r="5302">
      <c r="A5302" s="10">
        <f>IFERROR(__xludf.DUMMYFUNCTION("""COMPUTED_VALUE"""),4290.0)</f>
        <v>4290</v>
      </c>
      <c r="B5302" s="11">
        <f>IFERROR(__xludf.DUMMYFUNCTION("""COMPUTED_VALUE"""),1.0)</f>
        <v>1</v>
      </c>
      <c r="C5302" s="11">
        <f>IFERROR(__xludf.DUMMYFUNCTION("""COMPUTED_VALUE"""),157.0)</f>
        <v>157</v>
      </c>
      <c r="D5302" s="11">
        <f>IFERROR(__xludf.DUMMYFUNCTION("""COMPUTED_VALUE"""),107.0)</f>
        <v>107</v>
      </c>
      <c r="E5302" s="9"/>
    </row>
    <row r="5303">
      <c r="A5303" s="10">
        <f>IFERROR(__xludf.DUMMYFUNCTION("""COMPUTED_VALUE"""),4905.0)</f>
        <v>4905</v>
      </c>
      <c r="B5303" s="11">
        <f>IFERROR(__xludf.DUMMYFUNCTION("""COMPUTED_VALUE"""),0.0)</f>
        <v>0</v>
      </c>
      <c r="C5303" s="11">
        <f>IFERROR(__xludf.DUMMYFUNCTION("""COMPUTED_VALUE"""),234.0)</f>
        <v>234</v>
      </c>
      <c r="D5303" s="11">
        <f>IFERROR(__xludf.DUMMYFUNCTION("""COMPUTED_VALUE"""),8.0)</f>
        <v>8</v>
      </c>
      <c r="E5303" s="9"/>
    </row>
    <row r="5304">
      <c r="A5304" s="10">
        <f>IFERROR(__xludf.DUMMYFUNCTION("""COMPUTED_VALUE"""),41979.0)</f>
        <v>41979</v>
      </c>
      <c r="B5304" s="11">
        <f>IFERROR(__xludf.DUMMYFUNCTION("""COMPUTED_VALUE"""),0.0)</f>
        <v>0</v>
      </c>
      <c r="C5304" s="11">
        <f>IFERROR(__xludf.DUMMYFUNCTION("""COMPUTED_VALUE"""),91.0)</f>
        <v>91</v>
      </c>
      <c r="D5304" s="11">
        <f>IFERROR(__xludf.DUMMYFUNCTION("""COMPUTED_VALUE"""),21.0)</f>
        <v>21</v>
      </c>
      <c r="E5304" s="9"/>
    </row>
    <row r="5305">
      <c r="A5305" s="10">
        <f>IFERROR(__xludf.DUMMYFUNCTION("""COMPUTED_VALUE"""),41925.0)</f>
        <v>41925</v>
      </c>
      <c r="B5305" s="11">
        <f>IFERROR(__xludf.DUMMYFUNCTION("""COMPUTED_VALUE"""),0.0)</f>
        <v>0</v>
      </c>
      <c r="C5305" s="11">
        <f>IFERROR(__xludf.DUMMYFUNCTION("""COMPUTED_VALUE"""),385.0)</f>
        <v>385</v>
      </c>
      <c r="D5305" s="11">
        <f>IFERROR(__xludf.DUMMYFUNCTION("""COMPUTED_VALUE"""),133.0)</f>
        <v>133</v>
      </c>
      <c r="E5305" s="9"/>
    </row>
    <row r="5306">
      <c r="A5306" s="10">
        <f>IFERROR(__xludf.DUMMYFUNCTION("""COMPUTED_VALUE"""),17067.0)</f>
        <v>17067</v>
      </c>
      <c r="B5306" s="11">
        <f>IFERROR(__xludf.DUMMYFUNCTION("""COMPUTED_VALUE"""),1.0)</f>
        <v>1</v>
      </c>
      <c r="C5306" s="11">
        <f>IFERROR(__xludf.DUMMYFUNCTION("""COMPUTED_VALUE"""),699.0)</f>
        <v>699</v>
      </c>
      <c r="D5306" s="11">
        <f>IFERROR(__xludf.DUMMYFUNCTION("""COMPUTED_VALUE"""),397.0)</f>
        <v>397</v>
      </c>
      <c r="E5306" s="9"/>
    </row>
    <row r="5307">
      <c r="A5307" s="10">
        <f>IFERROR(__xludf.DUMMYFUNCTION("""COMPUTED_VALUE"""),70425.0)</f>
        <v>70425</v>
      </c>
      <c r="B5307" s="11">
        <f>IFERROR(__xludf.DUMMYFUNCTION("""COMPUTED_VALUE"""),1.0)</f>
        <v>1</v>
      </c>
      <c r="C5307" s="11">
        <f>IFERROR(__xludf.DUMMYFUNCTION("""COMPUTED_VALUE"""),736.0)</f>
        <v>736</v>
      </c>
      <c r="D5307" s="11">
        <f>IFERROR(__xludf.DUMMYFUNCTION("""COMPUTED_VALUE"""),473.0)</f>
        <v>473</v>
      </c>
      <c r="E5307" s="9"/>
    </row>
    <row r="5308">
      <c r="A5308" s="10">
        <f>IFERROR(__xludf.DUMMYFUNCTION("""COMPUTED_VALUE"""),17065.0)</f>
        <v>17065</v>
      </c>
      <c r="B5308" s="11">
        <f>IFERROR(__xludf.DUMMYFUNCTION("""COMPUTED_VALUE"""),0.0)</f>
        <v>0</v>
      </c>
      <c r="C5308" s="11">
        <f>IFERROR(__xludf.DUMMYFUNCTION("""COMPUTED_VALUE"""),861.0)</f>
        <v>861</v>
      </c>
      <c r="D5308" s="11">
        <f>IFERROR(__xludf.DUMMYFUNCTION("""COMPUTED_VALUE"""),486.0)</f>
        <v>486</v>
      </c>
      <c r="E5308" s="9"/>
    </row>
    <row r="5309">
      <c r="A5309" s="10">
        <f>IFERROR(__xludf.DUMMYFUNCTION("""COMPUTED_VALUE"""),103514.0)</f>
        <v>103514</v>
      </c>
      <c r="B5309" s="11">
        <f>IFERROR(__xludf.DUMMYFUNCTION("""COMPUTED_VALUE"""),1.0)</f>
        <v>1</v>
      </c>
      <c r="C5309" s="11">
        <f>IFERROR(__xludf.DUMMYFUNCTION("""COMPUTED_VALUE"""),61.0)</f>
        <v>61</v>
      </c>
      <c r="D5309" s="11">
        <f>IFERROR(__xludf.DUMMYFUNCTION("""COMPUTED_VALUE"""),43.0)</f>
        <v>43</v>
      </c>
      <c r="E5309" s="9"/>
    </row>
    <row r="5310">
      <c r="A5310" s="10">
        <f>IFERROR(__xludf.DUMMYFUNCTION("""COMPUTED_VALUE"""),4298.0)</f>
        <v>4298</v>
      </c>
      <c r="B5310" s="11">
        <f>IFERROR(__xludf.DUMMYFUNCTION("""COMPUTED_VALUE"""),1.0)</f>
        <v>1</v>
      </c>
      <c r="C5310" s="11">
        <f>IFERROR(__xludf.DUMMYFUNCTION("""COMPUTED_VALUE"""),397.0)</f>
        <v>397</v>
      </c>
      <c r="D5310" s="11">
        <f>IFERROR(__xludf.DUMMYFUNCTION("""COMPUTED_VALUE"""),314.0)</f>
        <v>314</v>
      </c>
      <c r="E5310" s="9"/>
    </row>
    <row r="5311">
      <c r="A5311" s="10">
        <f>IFERROR(__xludf.DUMMYFUNCTION("""COMPUTED_VALUE"""),4301.0)</f>
        <v>4301</v>
      </c>
      <c r="B5311" s="11">
        <f>IFERROR(__xludf.DUMMYFUNCTION("""COMPUTED_VALUE"""),0.0)</f>
        <v>0</v>
      </c>
      <c r="C5311" s="11">
        <f>IFERROR(__xludf.DUMMYFUNCTION("""COMPUTED_VALUE"""),864.0)</f>
        <v>864</v>
      </c>
      <c r="D5311" s="11">
        <f>IFERROR(__xludf.DUMMYFUNCTION("""COMPUTED_VALUE"""),117.0)</f>
        <v>117</v>
      </c>
      <c r="E5311" s="9"/>
    </row>
    <row r="5312">
      <c r="A5312" s="10">
        <f>IFERROR(__xludf.DUMMYFUNCTION("""COMPUTED_VALUE"""),75752.0)</f>
        <v>75752</v>
      </c>
      <c r="B5312" s="11">
        <f>IFERROR(__xludf.DUMMYFUNCTION("""COMPUTED_VALUE"""),1.0)</f>
        <v>1</v>
      </c>
      <c r="C5312" s="11">
        <f>IFERROR(__xludf.DUMMYFUNCTION("""COMPUTED_VALUE"""),687.0)</f>
        <v>687</v>
      </c>
      <c r="D5312" s="11">
        <f>IFERROR(__xludf.DUMMYFUNCTION("""COMPUTED_VALUE"""),641.0)</f>
        <v>641</v>
      </c>
      <c r="E5312" s="9"/>
    </row>
    <row r="5313">
      <c r="A5313" s="10">
        <f>IFERROR(__xludf.DUMMYFUNCTION("""COMPUTED_VALUE"""),21520.0)</f>
        <v>21520</v>
      </c>
      <c r="B5313" s="11">
        <f>IFERROR(__xludf.DUMMYFUNCTION("""COMPUTED_VALUE"""),1.0)</f>
        <v>1</v>
      </c>
      <c r="C5313" s="11">
        <f>IFERROR(__xludf.DUMMYFUNCTION("""COMPUTED_VALUE"""),122.0)</f>
        <v>122</v>
      </c>
      <c r="D5313" s="11">
        <f>IFERROR(__xludf.DUMMYFUNCTION("""COMPUTED_VALUE"""),34.0)</f>
        <v>34</v>
      </c>
      <c r="E5313" s="9"/>
    </row>
    <row r="5314">
      <c r="A5314" s="10">
        <f>IFERROR(__xludf.DUMMYFUNCTION("""COMPUTED_VALUE"""),82206.0)</f>
        <v>82206</v>
      </c>
      <c r="B5314" s="11">
        <f>IFERROR(__xludf.DUMMYFUNCTION("""COMPUTED_VALUE"""),1.0)</f>
        <v>1</v>
      </c>
      <c r="C5314" s="11">
        <f>IFERROR(__xludf.DUMMYFUNCTION("""COMPUTED_VALUE"""),888.0)</f>
        <v>888</v>
      </c>
      <c r="D5314" s="11">
        <f>IFERROR(__xludf.DUMMYFUNCTION("""COMPUTED_VALUE"""),642.0)</f>
        <v>642</v>
      </c>
      <c r="E5314" s="9"/>
    </row>
    <row r="5315">
      <c r="A5315" s="10">
        <f>IFERROR(__xludf.DUMMYFUNCTION("""COMPUTED_VALUE"""),5599.0)</f>
        <v>5599</v>
      </c>
      <c r="B5315" s="11">
        <f>IFERROR(__xludf.DUMMYFUNCTION("""COMPUTED_VALUE"""),0.0)</f>
        <v>0</v>
      </c>
      <c r="C5315" s="11">
        <f>IFERROR(__xludf.DUMMYFUNCTION("""COMPUTED_VALUE"""),435.0)</f>
        <v>435</v>
      </c>
      <c r="D5315" s="11">
        <f>IFERROR(__xludf.DUMMYFUNCTION("""COMPUTED_VALUE"""),93.0)</f>
        <v>93</v>
      </c>
      <c r="E5315" s="9"/>
    </row>
    <row r="5316">
      <c r="A5316" s="10">
        <f>IFERROR(__xludf.DUMMYFUNCTION("""COMPUTED_VALUE"""),87231.0)</f>
        <v>87231</v>
      </c>
      <c r="B5316" s="11">
        <f>IFERROR(__xludf.DUMMYFUNCTION("""COMPUTED_VALUE"""),1.0)</f>
        <v>1</v>
      </c>
      <c r="C5316" s="11">
        <f>IFERROR(__xludf.DUMMYFUNCTION("""COMPUTED_VALUE"""),216.0)</f>
        <v>216</v>
      </c>
      <c r="D5316" s="11">
        <f>IFERROR(__xludf.DUMMYFUNCTION("""COMPUTED_VALUE"""),202.0)</f>
        <v>202</v>
      </c>
      <c r="E5316" s="9"/>
    </row>
    <row r="5317">
      <c r="A5317" s="10">
        <f>IFERROR(__xludf.DUMMYFUNCTION("""COMPUTED_VALUE"""),5861.0)</f>
        <v>5861</v>
      </c>
      <c r="B5317" s="11">
        <f>IFERROR(__xludf.DUMMYFUNCTION("""COMPUTED_VALUE"""),0.0)</f>
        <v>0</v>
      </c>
      <c r="C5317" s="11">
        <f>IFERROR(__xludf.DUMMYFUNCTION("""COMPUTED_VALUE"""),410.0)</f>
        <v>410</v>
      </c>
      <c r="D5317" s="11">
        <f>IFERROR(__xludf.DUMMYFUNCTION("""COMPUTED_VALUE"""),191.0)</f>
        <v>191</v>
      </c>
      <c r="E5317" s="9"/>
    </row>
    <row r="5318">
      <c r="A5318" s="10">
        <f>IFERROR(__xludf.DUMMYFUNCTION("""COMPUTED_VALUE"""),90909.0)</f>
        <v>90909</v>
      </c>
      <c r="B5318" s="11">
        <f>IFERROR(__xludf.DUMMYFUNCTION("""COMPUTED_VALUE"""),1.0)</f>
        <v>1</v>
      </c>
      <c r="C5318" s="11">
        <f>IFERROR(__xludf.DUMMYFUNCTION("""COMPUTED_VALUE"""),839.0)</f>
        <v>839</v>
      </c>
      <c r="D5318" s="11">
        <f>IFERROR(__xludf.DUMMYFUNCTION("""COMPUTED_VALUE"""),567.0)</f>
        <v>567</v>
      </c>
      <c r="E5318" s="9"/>
    </row>
    <row r="5319">
      <c r="A5319" s="10">
        <f>IFERROR(__xludf.DUMMYFUNCTION("""COMPUTED_VALUE"""),21523.0)</f>
        <v>21523</v>
      </c>
      <c r="B5319" s="11">
        <f>IFERROR(__xludf.DUMMYFUNCTION("""COMPUTED_VALUE"""),0.0)</f>
        <v>0</v>
      </c>
      <c r="C5319" s="11">
        <f>IFERROR(__xludf.DUMMYFUNCTION("""COMPUTED_VALUE"""),901.0)</f>
        <v>901</v>
      </c>
      <c r="D5319" s="11">
        <f>IFERROR(__xludf.DUMMYFUNCTION("""COMPUTED_VALUE"""),409.0)</f>
        <v>409</v>
      </c>
      <c r="E5319" s="9"/>
    </row>
    <row r="5320">
      <c r="A5320" s="10">
        <f>IFERROR(__xludf.DUMMYFUNCTION("""COMPUTED_VALUE"""),5485.0)</f>
        <v>5485</v>
      </c>
      <c r="B5320" s="11">
        <f>IFERROR(__xludf.DUMMYFUNCTION("""COMPUTED_VALUE"""),0.0)</f>
        <v>0</v>
      </c>
      <c r="C5320" s="11">
        <f>IFERROR(__xludf.DUMMYFUNCTION("""COMPUTED_VALUE"""),706.0)</f>
        <v>706</v>
      </c>
      <c r="D5320" s="11">
        <f>IFERROR(__xludf.DUMMYFUNCTION("""COMPUTED_VALUE"""),11.0)</f>
        <v>11</v>
      </c>
      <c r="E5320" s="9"/>
    </row>
    <row r="5321">
      <c r="A5321" s="10">
        <f>IFERROR(__xludf.DUMMYFUNCTION("""COMPUTED_VALUE"""),77294.0)</f>
        <v>77294</v>
      </c>
      <c r="B5321" s="11">
        <f>IFERROR(__xludf.DUMMYFUNCTION("""COMPUTED_VALUE"""),1.0)</f>
        <v>1</v>
      </c>
      <c r="C5321" s="11">
        <f>IFERROR(__xludf.DUMMYFUNCTION("""COMPUTED_VALUE"""),463.0)</f>
        <v>463</v>
      </c>
      <c r="D5321" s="11">
        <f>IFERROR(__xludf.DUMMYFUNCTION("""COMPUTED_VALUE"""),444.0)</f>
        <v>444</v>
      </c>
      <c r="E5321" s="9"/>
    </row>
    <row r="5322">
      <c r="A5322" s="10">
        <f>IFERROR(__xludf.DUMMYFUNCTION("""COMPUTED_VALUE"""),5486.0)</f>
        <v>5486</v>
      </c>
      <c r="B5322" s="11">
        <f>IFERROR(__xludf.DUMMYFUNCTION("""COMPUTED_VALUE"""),0.0)</f>
        <v>0</v>
      </c>
      <c r="C5322" s="11">
        <f>IFERROR(__xludf.DUMMYFUNCTION("""COMPUTED_VALUE"""),280.0)</f>
        <v>280</v>
      </c>
      <c r="D5322" s="11">
        <f>IFERROR(__xludf.DUMMYFUNCTION("""COMPUTED_VALUE"""),153.0)</f>
        <v>153</v>
      </c>
      <c r="E5322" s="9"/>
    </row>
    <row r="5323">
      <c r="A5323" s="10">
        <f>IFERROR(__xludf.DUMMYFUNCTION("""COMPUTED_VALUE"""),77293.0)</f>
        <v>77293</v>
      </c>
      <c r="B5323" s="11">
        <f>IFERROR(__xludf.DUMMYFUNCTION("""COMPUTED_VALUE"""),0.0)</f>
        <v>0</v>
      </c>
      <c r="C5323" s="11">
        <f>IFERROR(__xludf.DUMMYFUNCTION("""COMPUTED_VALUE"""),106.0)</f>
        <v>106</v>
      </c>
      <c r="D5323" s="11">
        <f>IFERROR(__xludf.DUMMYFUNCTION("""COMPUTED_VALUE"""),83.0)</f>
        <v>83</v>
      </c>
      <c r="E5323" s="9"/>
    </row>
    <row r="5324">
      <c r="A5324" s="10">
        <f>IFERROR(__xludf.DUMMYFUNCTION("""COMPUTED_VALUE"""),112230.0)</f>
        <v>112230</v>
      </c>
      <c r="B5324" s="11">
        <f>IFERROR(__xludf.DUMMYFUNCTION("""COMPUTED_VALUE"""),1.0)</f>
        <v>1</v>
      </c>
      <c r="C5324" s="11">
        <f>IFERROR(__xludf.DUMMYFUNCTION("""COMPUTED_VALUE"""),740.0)</f>
        <v>740</v>
      </c>
      <c r="D5324" s="11">
        <f>IFERROR(__xludf.DUMMYFUNCTION("""COMPUTED_VALUE"""),283.0)</f>
        <v>283</v>
      </c>
      <c r="E5324" s="9"/>
    </row>
    <row r="5325">
      <c r="A5325" s="10">
        <f>IFERROR(__xludf.DUMMYFUNCTION("""COMPUTED_VALUE"""),83607.0)</f>
        <v>83607</v>
      </c>
      <c r="B5325" s="11">
        <f>IFERROR(__xludf.DUMMYFUNCTION("""COMPUTED_VALUE"""),0.0)</f>
        <v>0</v>
      </c>
      <c r="C5325" s="11">
        <f>IFERROR(__xludf.DUMMYFUNCTION("""COMPUTED_VALUE"""),887.0)</f>
        <v>887</v>
      </c>
      <c r="D5325" s="11">
        <f>IFERROR(__xludf.DUMMYFUNCTION("""COMPUTED_VALUE"""),672.0)</f>
        <v>672</v>
      </c>
      <c r="E5325" s="9"/>
    </row>
    <row r="5326">
      <c r="A5326" s="10">
        <f>IFERROR(__xludf.DUMMYFUNCTION("""COMPUTED_VALUE"""),117216.0)</f>
        <v>117216</v>
      </c>
      <c r="B5326" s="11">
        <f>IFERROR(__xludf.DUMMYFUNCTION("""COMPUTED_VALUE"""),0.0)</f>
        <v>0</v>
      </c>
      <c r="C5326" s="11">
        <f>IFERROR(__xludf.DUMMYFUNCTION("""COMPUTED_VALUE"""),102.0)</f>
        <v>102</v>
      </c>
      <c r="D5326" s="11">
        <f>IFERROR(__xludf.DUMMYFUNCTION("""COMPUTED_VALUE"""),36.0)</f>
        <v>36</v>
      </c>
      <c r="E5326" s="9"/>
    </row>
    <row r="5327">
      <c r="A5327" s="10">
        <f>IFERROR(__xludf.DUMMYFUNCTION("""COMPUTED_VALUE"""),5487.0)</f>
        <v>5487</v>
      </c>
      <c r="B5327" s="11">
        <f>IFERROR(__xludf.DUMMYFUNCTION("""COMPUTED_VALUE"""),1.0)</f>
        <v>1</v>
      </c>
      <c r="C5327" s="11">
        <f>IFERROR(__xludf.DUMMYFUNCTION("""COMPUTED_VALUE"""),229.0)</f>
        <v>229</v>
      </c>
      <c r="D5327" s="11">
        <f>IFERROR(__xludf.DUMMYFUNCTION("""COMPUTED_VALUE"""),94.0)</f>
        <v>94</v>
      </c>
      <c r="E5327" s="9"/>
    </row>
    <row r="5328">
      <c r="A5328" s="10">
        <f>IFERROR(__xludf.DUMMYFUNCTION("""COMPUTED_VALUE"""),77295.0)</f>
        <v>77295</v>
      </c>
      <c r="B5328" s="11">
        <f>IFERROR(__xludf.DUMMYFUNCTION("""COMPUTED_VALUE"""),1.0)</f>
        <v>1</v>
      </c>
      <c r="C5328" s="11">
        <f>IFERROR(__xludf.DUMMYFUNCTION("""COMPUTED_VALUE"""),644.0)</f>
        <v>644</v>
      </c>
      <c r="D5328" s="11">
        <f>IFERROR(__xludf.DUMMYFUNCTION("""COMPUTED_VALUE"""),510.0)</f>
        <v>510</v>
      </c>
      <c r="E5328" s="9"/>
    </row>
    <row r="5329">
      <c r="A5329" s="10">
        <f>IFERROR(__xludf.DUMMYFUNCTION("""COMPUTED_VALUE"""),89774.0)</f>
        <v>89774</v>
      </c>
      <c r="B5329" s="11">
        <f>IFERROR(__xludf.DUMMYFUNCTION("""COMPUTED_VALUE"""),0.0)</f>
        <v>0</v>
      </c>
      <c r="C5329" s="11">
        <f>IFERROR(__xludf.DUMMYFUNCTION("""COMPUTED_VALUE"""),870.0)</f>
        <v>870</v>
      </c>
      <c r="D5329" s="11">
        <f>IFERROR(__xludf.DUMMYFUNCTION("""COMPUTED_VALUE"""),296.0)</f>
        <v>296</v>
      </c>
      <c r="E5329" s="9"/>
    </row>
    <row r="5330">
      <c r="A5330" s="10">
        <f>IFERROR(__xludf.DUMMYFUNCTION("""COMPUTED_VALUE"""),5483.0)</f>
        <v>5483</v>
      </c>
      <c r="B5330" s="11">
        <f>IFERROR(__xludf.DUMMYFUNCTION("""COMPUTED_VALUE"""),1.0)</f>
        <v>1</v>
      </c>
      <c r="C5330" s="11">
        <f>IFERROR(__xludf.DUMMYFUNCTION("""COMPUTED_VALUE"""),541.0)</f>
        <v>541</v>
      </c>
      <c r="D5330" s="11">
        <f>IFERROR(__xludf.DUMMYFUNCTION("""COMPUTED_VALUE"""),262.0)</f>
        <v>262</v>
      </c>
      <c r="E5330" s="9"/>
    </row>
    <row r="5331">
      <c r="A5331" s="10">
        <f>IFERROR(__xludf.DUMMYFUNCTION("""COMPUTED_VALUE"""),120541.0)</f>
        <v>120541</v>
      </c>
      <c r="B5331" s="11">
        <f>IFERROR(__xludf.DUMMYFUNCTION("""COMPUTED_VALUE"""),1.0)</f>
        <v>1</v>
      </c>
      <c r="C5331" s="11">
        <f>IFERROR(__xludf.DUMMYFUNCTION("""COMPUTED_VALUE"""),593.0)</f>
        <v>593</v>
      </c>
      <c r="D5331" s="11">
        <f>IFERROR(__xludf.DUMMYFUNCTION("""COMPUTED_VALUE"""),365.0)</f>
        <v>365</v>
      </c>
      <c r="E5331" s="9"/>
    </row>
    <row r="5332">
      <c r="A5332" s="10">
        <f>IFERROR(__xludf.DUMMYFUNCTION("""COMPUTED_VALUE"""),100249.0)</f>
        <v>100249</v>
      </c>
      <c r="B5332" s="11">
        <f>IFERROR(__xludf.DUMMYFUNCTION("""COMPUTED_VALUE"""),1.0)</f>
        <v>1</v>
      </c>
      <c r="C5332" s="11">
        <f>IFERROR(__xludf.DUMMYFUNCTION("""COMPUTED_VALUE"""),932.0)</f>
        <v>932</v>
      </c>
      <c r="D5332" s="11">
        <f>IFERROR(__xludf.DUMMYFUNCTION("""COMPUTED_VALUE"""),474.0)</f>
        <v>474</v>
      </c>
      <c r="E5332" s="9"/>
    </row>
    <row r="5333">
      <c r="A5333" s="10">
        <f>IFERROR(__xludf.DUMMYFUNCTION("""COMPUTED_VALUE"""),119242.0)</f>
        <v>119242</v>
      </c>
      <c r="B5333" s="11">
        <f>IFERROR(__xludf.DUMMYFUNCTION("""COMPUTED_VALUE"""),1.0)</f>
        <v>1</v>
      </c>
      <c r="C5333" s="11">
        <f>IFERROR(__xludf.DUMMYFUNCTION("""COMPUTED_VALUE"""),877.0)</f>
        <v>877</v>
      </c>
      <c r="D5333" s="11">
        <f>IFERROR(__xludf.DUMMYFUNCTION("""COMPUTED_VALUE"""),294.0)</f>
        <v>294</v>
      </c>
      <c r="E5333" s="9"/>
    </row>
    <row r="5334">
      <c r="A5334" s="10">
        <f>IFERROR(__xludf.DUMMYFUNCTION("""COMPUTED_VALUE"""),90868.0)</f>
        <v>90868</v>
      </c>
      <c r="B5334" s="11">
        <f>IFERROR(__xludf.DUMMYFUNCTION("""COMPUTED_VALUE"""),0.0)</f>
        <v>0</v>
      </c>
      <c r="C5334" s="11">
        <f>IFERROR(__xludf.DUMMYFUNCTION("""COMPUTED_VALUE"""),614.0)</f>
        <v>614</v>
      </c>
      <c r="D5334" s="11">
        <f>IFERROR(__xludf.DUMMYFUNCTION("""COMPUTED_VALUE"""),248.0)</f>
        <v>248</v>
      </c>
      <c r="E5334" s="9"/>
    </row>
    <row r="5335">
      <c r="A5335" s="10">
        <f>IFERROR(__xludf.DUMMYFUNCTION("""COMPUTED_VALUE"""),90854.0)</f>
        <v>90854</v>
      </c>
      <c r="B5335" s="11">
        <f>IFERROR(__xludf.DUMMYFUNCTION("""COMPUTED_VALUE"""),1.0)</f>
        <v>1</v>
      </c>
      <c r="C5335" s="11">
        <f>IFERROR(__xludf.DUMMYFUNCTION("""COMPUTED_VALUE"""),70.0)</f>
        <v>70</v>
      </c>
      <c r="D5335" s="11">
        <f>IFERROR(__xludf.DUMMYFUNCTION("""COMPUTED_VALUE"""),35.0)</f>
        <v>35</v>
      </c>
      <c r="E5335" s="9"/>
    </row>
    <row r="5336">
      <c r="A5336" s="10">
        <f>IFERROR(__xludf.DUMMYFUNCTION("""COMPUTED_VALUE"""),76568.0)</f>
        <v>76568</v>
      </c>
      <c r="B5336" s="11">
        <f>IFERROR(__xludf.DUMMYFUNCTION("""COMPUTED_VALUE"""),1.0)</f>
        <v>1</v>
      </c>
      <c r="C5336" s="11">
        <f>IFERROR(__xludf.DUMMYFUNCTION("""COMPUTED_VALUE"""),19.0)</f>
        <v>19</v>
      </c>
      <c r="D5336" s="11">
        <f>IFERROR(__xludf.DUMMYFUNCTION("""COMPUTED_VALUE"""),15.0)</f>
        <v>15</v>
      </c>
      <c r="E5336" s="9"/>
    </row>
    <row r="5337">
      <c r="A5337" s="10">
        <f>IFERROR(__xludf.DUMMYFUNCTION("""COMPUTED_VALUE"""),76589.0)</f>
        <v>76589</v>
      </c>
      <c r="B5337" s="11">
        <f>IFERROR(__xludf.DUMMYFUNCTION("""COMPUTED_VALUE"""),0.0)</f>
        <v>0</v>
      </c>
      <c r="C5337" s="11">
        <f>IFERROR(__xludf.DUMMYFUNCTION("""COMPUTED_VALUE"""),357.0)</f>
        <v>357</v>
      </c>
      <c r="D5337" s="11">
        <f>IFERROR(__xludf.DUMMYFUNCTION("""COMPUTED_VALUE"""),67.0)</f>
        <v>67</v>
      </c>
      <c r="E5337" s="9"/>
    </row>
    <row r="5338">
      <c r="A5338" s="10">
        <f>IFERROR(__xludf.DUMMYFUNCTION("""COMPUTED_VALUE"""),76581.0)</f>
        <v>76581</v>
      </c>
      <c r="B5338" s="11">
        <f>IFERROR(__xludf.DUMMYFUNCTION("""COMPUTED_VALUE"""),0.0)</f>
        <v>0</v>
      </c>
      <c r="C5338" s="11">
        <f>IFERROR(__xludf.DUMMYFUNCTION("""COMPUTED_VALUE"""),201.0)</f>
        <v>201</v>
      </c>
      <c r="D5338" s="11">
        <f>IFERROR(__xludf.DUMMYFUNCTION("""COMPUTED_VALUE"""),122.0)</f>
        <v>122</v>
      </c>
      <c r="E5338" s="9"/>
    </row>
    <row r="5339">
      <c r="A5339" s="10">
        <f>IFERROR(__xludf.DUMMYFUNCTION("""COMPUTED_VALUE"""),77250.0)</f>
        <v>77250</v>
      </c>
      <c r="B5339" s="11">
        <f>IFERROR(__xludf.DUMMYFUNCTION("""COMPUTED_VALUE"""),1.0)</f>
        <v>1</v>
      </c>
      <c r="C5339" s="11">
        <f>IFERROR(__xludf.DUMMYFUNCTION("""COMPUTED_VALUE"""),361.0)</f>
        <v>361</v>
      </c>
      <c r="D5339" s="11">
        <f>IFERROR(__xludf.DUMMYFUNCTION("""COMPUTED_VALUE"""),294.0)</f>
        <v>294</v>
      </c>
      <c r="E5339" s="9"/>
    </row>
    <row r="5340">
      <c r="A5340" s="10">
        <f>IFERROR(__xludf.DUMMYFUNCTION("""COMPUTED_VALUE"""),87222.0)</f>
        <v>87222</v>
      </c>
      <c r="B5340" s="11">
        <f>IFERROR(__xludf.DUMMYFUNCTION("""COMPUTED_VALUE"""),0.0)</f>
        <v>0</v>
      </c>
      <c r="C5340" s="11">
        <f>IFERROR(__xludf.DUMMYFUNCTION("""COMPUTED_VALUE"""),810.0)</f>
        <v>810</v>
      </c>
      <c r="D5340" s="11">
        <f>IFERROR(__xludf.DUMMYFUNCTION("""COMPUTED_VALUE"""),2.0)</f>
        <v>2</v>
      </c>
      <c r="E5340" s="9"/>
    </row>
    <row r="5341">
      <c r="A5341" s="10">
        <f>IFERROR(__xludf.DUMMYFUNCTION("""COMPUTED_VALUE"""),122120.0)</f>
        <v>122120</v>
      </c>
      <c r="B5341" s="11">
        <f>IFERROR(__xludf.DUMMYFUNCTION("""COMPUTED_VALUE"""),0.0)</f>
        <v>0</v>
      </c>
      <c r="C5341" s="11">
        <f>IFERROR(__xludf.DUMMYFUNCTION("""COMPUTED_VALUE"""),627.0)</f>
        <v>627</v>
      </c>
      <c r="D5341" s="11">
        <f>IFERROR(__xludf.DUMMYFUNCTION("""COMPUTED_VALUE"""),92.0)</f>
        <v>92</v>
      </c>
      <c r="E5341" s="9"/>
    </row>
    <row r="5342">
      <c r="A5342" s="10">
        <f>IFERROR(__xludf.DUMMYFUNCTION("""COMPUTED_VALUE"""),122121.0)</f>
        <v>122121</v>
      </c>
      <c r="B5342" s="11">
        <f>IFERROR(__xludf.DUMMYFUNCTION("""COMPUTED_VALUE"""),0.0)</f>
        <v>0</v>
      </c>
      <c r="C5342" s="11">
        <f>IFERROR(__xludf.DUMMYFUNCTION("""COMPUTED_VALUE"""),26.0)</f>
        <v>26</v>
      </c>
      <c r="D5342" s="11">
        <f>IFERROR(__xludf.DUMMYFUNCTION("""COMPUTED_VALUE"""),3.0)</f>
        <v>3</v>
      </c>
      <c r="E5342" s="9"/>
    </row>
    <row r="5343">
      <c r="A5343" s="10">
        <f>IFERROR(__xludf.DUMMYFUNCTION("""COMPUTED_VALUE"""),90880.0)</f>
        <v>90880</v>
      </c>
      <c r="B5343" s="11">
        <f>IFERROR(__xludf.DUMMYFUNCTION("""COMPUTED_VALUE"""),0.0)</f>
        <v>0</v>
      </c>
      <c r="C5343" s="11">
        <f>IFERROR(__xludf.DUMMYFUNCTION("""COMPUTED_VALUE"""),350.0)</f>
        <v>350</v>
      </c>
      <c r="D5343" s="11">
        <f>IFERROR(__xludf.DUMMYFUNCTION("""COMPUTED_VALUE"""),247.0)</f>
        <v>247</v>
      </c>
      <c r="E5343" s="9"/>
    </row>
    <row r="5344">
      <c r="A5344" s="10">
        <f>IFERROR(__xludf.DUMMYFUNCTION("""COMPUTED_VALUE"""),122088.0)</f>
        <v>122088</v>
      </c>
      <c r="B5344" s="11">
        <f>IFERROR(__xludf.DUMMYFUNCTION("""COMPUTED_VALUE"""),0.0)</f>
        <v>0</v>
      </c>
      <c r="C5344" s="11">
        <f>IFERROR(__xludf.DUMMYFUNCTION("""COMPUTED_VALUE"""),90.0)</f>
        <v>90</v>
      </c>
      <c r="D5344" s="11">
        <f>IFERROR(__xludf.DUMMYFUNCTION("""COMPUTED_VALUE"""),71.0)</f>
        <v>71</v>
      </c>
      <c r="E5344" s="9"/>
    </row>
    <row r="5345">
      <c r="A5345" s="10">
        <f>IFERROR(__xludf.DUMMYFUNCTION("""COMPUTED_VALUE"""),90886.0)</f>
        <v>90886</v>
      </c>
      <c r="B5345" s="11">
        <f>IFERROR(__xludf.DUMMYFUNCTION("""COMPUTED_VALUE"""),1.0)</f>
        <v>1</v>
      </c>
      <c r="C5345" s="11">
        <f>IFERROR(__xludf.DUMMYFUNCTION("""COMPUTED_VALUE"""),747.0)</f>
        <v>747</v>
      </c>
      <c r="D5345" s="11">
        <f>IFERROR(__xludf.DUMMYFUNCTION("""COMPUTED_VALUE"""),285.0)</f>
        <v>285</v>
      </c>
      <c r="E5345" s="9"/>
    </row>
    <row r="5346">
      <c r="A5346" s="10">
        <f>IFERROR(__xludf.DUMMYFUNCTION("""COMPUTED_VALUE"""),90755.0)</f>
        <v>90755</v>
      </c>
      <c r="B5346" s="11">
        <f>IFERROR(__xludf.DUMMYFUNCTION("""COMPUTED_VALUE"""),1.0)</f>
        <v>1</v>
      </c>
      <c r="C5346" s="11">
        <f>IFERROR(__xludf.DUMMYFUNCTION("""COMPUTED_VALUE"""),702.0)</f>
        <v>702</v>
      </c>
      <c r="D5346" s="11">
        <f>IFERROR(__xludf.DUMMYFUNCTION("""COMPUTED_VALUE"""),675.0)</f>
        <v>675</v>
      </c>
      <c r="E5346" s="9"/>
    </row>
    <row r="5347">
      <c r="A5347" s="10">
        <f>IFERROR(__xludf.DUMMYFUNCTION("""COMPUTED_VALUE"""),111045.0)</f>
        <v>111045</v>
      </c>
      <c r="B5347" s="11">
        <f>IFERROR(__xludf.DUMMYFUNCTION("""COMPUTED_VALUE"""),0.0)</f>
        <v>0</v>
      </c>
      <c r="C5347" s="11">
        <f>IFERROR(__xludf.DUMMYFUNCTION("""COMPUTED_VALUE"""),853.0)</f>
        <v>853</v>
      </c>
      <c r="D5347" s="11">
        <f>IFERROR(__xludf.DUMMYFUNCTION("""COMPUTED_VALUE"""),789.0)</f>
        <v>789</v>
      </c>
      <c r="E5347" s="9"/>
    </row>
    <row r="5348">
      <c r="A5348" s="10">
        <f>IFERROR(__xludf.DUMMYFUNCTION("""COMPUTED_VALUE"""),76582.0)</f>
        <v>76582</v>
      </c>
      <c r="B5348" s="11">
        <f>IFERROR(__xludf.DUMMYFUNCTION("""COMPUTED_VALUE"""),0.0)</f>
        <v>0</v>
      </c>
      <c r="C5348" s="11">
        <f>IFERROR(__xludf.DUMMYFUNCTION("""COMPUTED_VALUE"""),92.0)</f>
        <v>92</v>
      </c>
      <c r="D5348" s="11">
        <f>IFERROR(__xludf.DUMMYFUNCTION("""COMPUTED_VALUE"""),74.0)</f>
        <v>74</v>
      </c>
      <c r="E5348" s="9"/>
    </row>
    <row r="5349">
      <c r="A5349" s="10">
        <f>IFERROR(__xludf.DUMMYFUNCTION("""COMPUTED_VALUE"""),76570.0)</f>
        <v>76570</v>
      </c>
      <c r="B5349" s="11">
        <f>IFERROR(__xludf.DUMMYFUNCTION("""COMPUTED_VALUE"""),0.0)</f>
        <v>0</v>
      </c>
      <c r="C5349" s="11">
        <f>IFERROR(__xludf.DUMMYFUNCTION("""COMPUTED_VALUE"""),226.0)</f>
        <v>226</v>
      </c>
      <c r="D5349" s="11">
        <f>IFERROR(__xludf.DUMMYFUNCTION("""COMPUTED_VALUE"""),54.0)</f>
        <v>54</v>
      </c>
      <c r="E5349" s="9"/>
    </row>
    <row r="5350">
      <c r="A5350" s="10">
        <f>IFERROR(__xludf.DUMMYFUNCTION("""COMPUTED_VALUE"""),87099.0)</f>
        <v>87099</v>
      </c>
      <c r="B5350" s="11">
        <f>IFERROR(__xludf.DUMMYFUNCTION("""COMPUTED_VALUE"""),0.0)</f>
        <v>0</v>
      </c>
      <c r="C5350" s="11">
        <f>IFERROR(__xludf.DUMMYFUNCTION("""COMPUTED_VALUE"""),763.0)</f>
        <v>763</v>
      </c>
      <c r="D5350" s="11">
        <f>IFERROR(__xludf.DUMMYFUNCTION("""COMPUTED_VALUE"""),636.0)</f>
        <v>636</v>
      </c>
      <c r="E5350" s="9"/>
    </row>
    <row r="5351">
      <c r="A5351" s="10">
        <f>IFERROR(__xludf.DUMMYFUNCTION("""COMPUTED_VALUE"""),76569.0)</f>
        <v>76569</v>
      </c>
      <c r="B5351" s="11">
        <f>IFERROR(__xludf.DUMMYFUNCTION("""COMPUTED_VALUE"""),1.0)</f>
        <v>1</v>
      </c>
      <c r="C5351" s="11">
        <f>IFERROR(__xludf.DUMMYFUNCTION("""COMPUTED_VALUE"""),571.0)</f>
        <v>571</v>
      </c>
      <c r="D5351" s="11">
        <f>IFERROR(__xludf.DUMMYFUNCTION("""COMPUTED_VALUE"""),501.0)</f>
        <v>501</v>
      </c>
      <c r="E5351" s="9"/>
    </row>
    <row r="5352">
      <c r="A5352" s="10">
        <f>IFERROR(__xludf.DUMMYFUNCTION("""COMPUTED_VALUE"""),5586.0)</f>
        <v>5586</v>
      </c>
      <c r="B5352" s="11">
        <f>IFERROR(__xludf.DUMMYFUNCTION("""COMPUTED_VALUE"""),0.0)</f>
        <v>0</v>
      </c>
      <c r="C5352" s="11">
        <f>IFERROR(__xludf.DUMMYFUNCTION("""COMPUTED_VALUE"""),177.0)</f>
        <v>177</v>
      </c>
      <c r="D5352" s="11">
        <f>IFERROR(__xludf.DUMMYFUNCTION("""COMPUTED_VALUE"""),0.0)</f>
        <v>0</v>
      </c>
      <c r="E5352" s="9"/>
    </row>
    <row r="5353">
      <c r="A5353" s="10">
        <f>IFERROR(__xludf.DUMMYFUNCTION("""COMPUTED_VALUE"""),5600.0)</f>
        <v>5600</v>
      </c>
      <c r="B5353" s="11">
        <f>IFERROR(__xludf.DUMMYFUNCTION("""COMPUTED_VALUE"""),1.0)</f>
        <v>1</v>
      </c>
      <c r="C5353" s="11">
        <f>IFERROR(__xludf.DUMMYFUNCTION("""COMPUTED_VALUE"""),874.0)</f>
        <v>874</v>
      </c>
      <c r="D5353" s="11">
        <f>IFERROR(__xludf.DUMMYFUNCTION("""COMPUTED_VALUE"""),356.0)</f>
        <v>356</v>
      </c>
      <c r="E5353" s="9"/>
    </row>
    <row r="5354">
      <c r="A5354" s="10">
        <f>IFERROR(__xludf.DUMMYFUNCTION("""COMPUTED_VALUE"""),120390.0)</f>
        <v>120390</v>
      </c>
      <c r="B5354" s="11">
        <f>IFERROR(__xludf.DUMMYFUNCTION("""COMPUTED_VALUE"""),1.0)</f>
        <v>1</v>
      </c>
      <c r="C5354" s="11">
        <f>IFERROR(__xludf.DUMMYFUNCTION("""COMPUTED_VALUE"""),853.0)</f>
        <v>853</v>
      </c>
      <c r="D5354" s="11">
        <f>IFERROR(__xludf.DUMMYFUNCTION("""COMPUTED_VALUE"""),9.0)</f>
        <v>9</v>
      </c>
      <c r="E5354" s="9"/>
    </row>
    <row r="5355">
      <c r="A5355" s="10">
        <f>IFERROR(__xludf.DUMMYFUNCTION("""COMPUTED_VALUE"""),76389.0)</f>
        <v>76389</v>
      </c>
      <c r="B5355" s="11">
        <f>IFERROR(__xludf.DUMMYFUNCTION("""COMPUTED_VALUE"""),0.0)</f>
        <v>0</v>
      </c>
      <c r="C5355" s="11">
        <f>IFERROR(__xludf.DUMMYFUNCTION("""COMPUTED_VALUE"""),837.0)</f>
        <v>837</v>
      </c>
      <c r="D5355" s="11">
        <f>IFERROR(__xludf.DUMMYFUNCTION("""COMPUTED_VALUE"""),626.0)</f>
        <v>626</v>
      </c>
      <c r="E5355" s="9"/>
    </row>
    <row r="5356">
      <c r="A5356" s="10">
        <f>IFERROR(__xludf.DUMMYFUNCTION("""COMPUTED_VALUE"""),5601.0)</f>
        <v>5601</v>
      </c>
      <c r="B5356" s="11">
        <f>IFERROR(__xludf.DUMMYFUNCTION("""COMPUTED_VALUE"""),1.0)</f>
        <v>1</v>
      </c>
      <c r="C5356" s="11">
        <f>IFERROR(__xludf.DUMMYFUNCTION("""COMPUTED_VALUE"""),140.0)</f>
        <v>140</v>
      </c>
      <c r="D5356" s="11">
        <f>IFERROR(__xludf.DUMMYFUNCTION("""COMPUTED_VALUE"""),47.0)</f>
        <v>47</v>
      </c>
      <c r="E5356" s="9"/>
    </row>
    <row r="5357">
      <c r="A5357" s="10">
        <f>IFERROR(__xludf.DUMMYFUNCTION("""COMPUTED_VALUE"""),202579.0)</f>
        <v>202579</v>
      </c>
      <c r="B5357" s="11">
        <f>IFERROR(__xludf.DUMMYFUNCTION("""COMPUTED_VALUE"""),0.0)</f>
        <v>0</v>
      </c>
      <c r="C5357" s="11">
        <f>IFERROR(__xludf.DUMMYFUNCTION("""COMPUTED_VALUE"""),433.0)</f>
        <v>433</v>
      </c>
      <c r="D5357" s="11">
        <f>IFERROR(__xludf.DUMMYFUNCTION("""COMPUTED_VALUE"""),96.0)</f>
        <v>96</v>
      </c>
      <c r="E5357" s="9"/>
    </row>
    <row r="5358">
      <c r="A5358" s="10">
        <f>IFERROR(__xludf.DUMMYFUNCTION("""COMPUTED_VALUE"""),5584.0)</f>
        <v>5584</v>
      </c>
      <c r="B5358" s="11">
        <f>IFERROR(__xludf.DUMMYFUNCTION("""COMPUTED_VALUE"""),1.0)</f>
        <v>1</v>
      </c>
      <c r="C5358" s="11">
        <f>IFERROR(__xludf.DUMMYFUNCTION("""COMPUTED_VALUE"""),621.0)</f>
        <v>621</v>
      </c>
      <c r="D5358" s="11">
        <f>IFERROR(__xludf.DUMMYFUNCTION("""COMPUTED_VALUE"""),257.0)</f>
        <v>257</v>
      </c>
      <c r="E5358" s="9"/>
    </row>
    <row r="5359">
      <c r="A5359" s="10">
        <f>IFERROR(__xludf.DUMMYFUNCTION("""COMPUTED_VALUE"""),90888.0)</f>
        <v>90888</v>
      </c>
      <c r="B5359" s="11">
        <f>IFERROR(__xludf.DUMMYFUNCTION("""COMPUTED_VALUE"""),1.0)</f>
        <v>1</v>
      </c>
      <c r="C5359" s="11">
        <f>IFERROR(__xludf.DUMMYFUNCTION("""COMPUTED_VALUE"""),970.0)</f>
        <v>970</v>
      </c>
      <c r="D5359" s="11">
        <f>IFERROR(__xludf.DUMMYFUNCTION("""COMPUTED_VALUE"""),473.0)</f>
        <v>473</v>
      </c>
      <c r="E5359" s="9"/>
    </row>
    <row r="5360">
      <c r="A5360" s="10">
        <f>IFERROR(__xludf.DUMMYFUNCTION("""COMPUTED_VALUE"""),76584.0)</f>
        <v>76584</v>
      </c>
      <c r="B5360" s="11">
        <f>IFERROR(__xludf.DUMMYFUNCTION("""COMPUTED_VALUE"""),0.0)</f>
        <v>0</v>
      </c>
      <c r="C5360" s="11">
        <f>IFERROR(__xludf.DUMMYFUNCTION("""COMPUTED_VALUE"""),847.0)</f>
        <v>847</v>
      </c>
      <c r="D5360" s="11">
        <f>IFERROR(__xludf.DUMMYFUNCTION("""COMPUTED_VALUE"""),560.0)</f>
        <v>560</v>
      </c>
      <c r="E5360" s="9"/>
    </row>
    <row r="5361">
      <c r="A5361" s="10">
        <f>IFERROR(__xludf.DUMMYFUNCTION("""COMPUTED_VALUE"""),87171.0)</f>
        <v>87171</v>
      </c>
      <c r="B5361" s="11">
        <f>IFERROR(__xludf.DUMMYFUNCTION("""COMPUTED_VALUE"""),1.0)</f>
        <v>1</v>
      </c>
      <c r="C5361" s="11">
        <f>IFERROR(__xludf.DUMMYFUNCTION("""COMPUTED_VALUE"""),890.0)</f>
        <v>890</v>
      </c>
      <c r="D5361" s="11">
        <f>IFERROR(__xludf.DUMMYFUNCTION("""COMPUTED_VALUE"""),505.0)</f>
        <v>505</v>
      </c>
      <c r="E5361" s="9"/>
    </row>
    <row r="5362">
      <c r="A5362" s="10">
        <f>IFERROR(__xludf.DUMMYFUNCTION("""COMPUTED_VALUE"""),110569.0)</f>
        <v>110569</v>
      </c>
      <c r="B5362" s="11">
        <f>IFERROR(__xludf.DUMMYFUNCTION("""COMPUTED_VALUE"""),1.0)</f>
        <v>1</v>
      </c>
      <c r="C5362" s="11">
        <f>IFERROR(__xludf.DUMMYFUNCTION("""COMPUTED_VALUE"""),126.0)</f>
        <v>126</v>
      </c>
      <c r="D5362" s="11">
        <f>IFERROR(__xludf.DUMMYFUNCTION("""COMPUTED_VALUE"""),32.0)</f>
        <v>32</v>
      </c>
      <c r="E5362" s="9"/>
    </row>
    <row r="5363">
      <c r="A5363" s="10">
        <f>IFERROR(__xludf.DUMMYFUNCTION("""COMPUTED_VALUE"""),5588.0)</f>
        <v>5588</v>
      </c>
      <c r="B5363" s="11">
        <f>IFERROR(__xludf.DUMMYFUNCTION("""COMPUTED_VALUE"""),0.0)</f>
        <v>0</v>
      </c>
      <c r="C5363" s="11">
        <f>IFERROR(__xludf.DUMMYFUNCTION("""COMPUTED_VALUE"""),709.0)</f>
        <v>709</v>
      </c>
      <c r="D5363" s="11">
        <f>IFERROR(__xludf.DUMMYFUNCTION("""COMPUTED_VALUE"""),200.0)</f>
        <v>200</v>
      </c>
      <c r="E5363" s="9"/>
    </row>
    <row r="5364">
      <c r="A5364" s="10">
        <f>IFERROR(__xludf.DUMMYFUNCTION("""COMPUTED_VALUE"""),117165.0)</f>
        <v>117165</v>
      </c>
      <c r="B5364" s="11">
        <f>IFERROR(__xludf.DUMMYFUNCTION("""COMPUTED_VALUE"""),1.0)</f>
        <v>1</v>
      </c>
      <c r="C5364" s="11">
        <f>IFERROR(__xludf.DUMMYFUNCTION("""COMPUTED_VALUE"""),975.0)</f>
        <v>975</v>
      </c>
      <c r="D5364" s="11">
        <f>IFERROR(__xludf.DUMMYFUNCTION("""COMPUTED_VALUE"""),832.0)</f>
        <v>832</v>
      </c>
      <c r="E5364" s="9"/>
    </row>
    <row r="5365">
      <c r="A5365" s="10">
        <f>IFERROR(__xludf.DUMMYFUNCTION("""COMPUTED_VALUE"""),5587.0)</f>
        <v>5587</v>
      </c>
      <c r="B5365" s="11">
        <f>IFERROR(__xludf.DUMMYFUNCTION("""COMPUTED_VALUE"""),1.0)</f>
        <v>1</v>
      </c>
      <c r="C5365" s="11">
        <f>IFERROR(__xludf.DUMMYFUNCTION("""COMPUTED_VALUE"""),603.0)</f>
        <v>603</v>
      </c>
      <c r="D5365" s="11">
        <f>IFERROR(__xludf.DUMMYFUNCTION("""COMPUTED_VALUE"""),255.0)</f>
        <v>255</v>
      </c>
      <c r="E5365" s="9"/>
    </row>
    <row r="5366">
      <c r="A5366" s="10">
        <f>IFERROR(__xludf.DUMMYFUNCTION("""COMPUTED_VALUE"""),68359.0)</f>
        <v>68359</v>
      </c>
      <c r="B5366" s="11">
        <f>IFERROR(__xludf.DUMMYFUNCTION("""COMPUTED_VALUE"""),0.0)</f>
        <v>0</v>
      </c>
      <c r="C5366" s="11">
        <f>IFERROR(__xludf.DUMMYFUNCTION("""COMPUTED_VALUE"""),191.0)</f>
        <v>191</v>
      </c>
      <c r="D5366" s="11">
        <f>IFERROR(__xludf.DUMMYFUNCTION("""COMPUTED_VALUE"""),68.0)</f>
        <v>68</v>
      </c>
      <c r="E5366" s="9"/>
    </row>
    <row r="5367">
      <c r="A5367" s="10">
        <f>IFERROR(__xludf.DUMMYFUNCTION("""COMPUTED_VALUE"""),5590.0)</f>
        <v>5590</v>
      </c>
      <c r="B5367" s="11">
        <f>IFERROR(__xludf.DUMMYFUNCTION("""COMPUTED_VALUE"""),1.0)</f>
        <v>1</v>
      </c>
      <c r="C5367" s="11">
        <f>IFERROR(__xludf.DUMMYFUNCTION("""COMPUTED_VALUE"""),47.0)</f>
        <v>47</v>
      </c>
      <c r="D5367" s="11">
        <f>IFERROR(__xludf.DUMMYFUNCTION("""COMPUTED_VALUE"""),3.0)</f>
        <v>3</v>
      </c>
      <c r="E5367" s="9"/>
    </row>
    <row r="5368">
      <c r="A5368" s="10">
        <f>IFERROR(__xludf.DUMMYFUNCTION("""COMPUTED_VALUE"""),76475.0)</f>
        <v>76475</v>
      </c>
      <c r="B5368" s="11">
        <f>IFERROR(__xludf.DUMMYFUNCTION("""COMPUTED_VALUE"""),0.0)</f>
        <v>0</v>
      </c>
      <c r="C5368" s="11">
        <f>IFERROR(__xludf.DUMMYFUNCTION("""COMPUTED_VALUE"""),6.0)</f>
        <v>6</v>
      </c>
      <c r="D5368" s="11">
        <f>IFERROR(__xludf.DUMMYFUNCTION("""COMPUTED_VALUE"""),3.0)</f>
        <v>3</v>
      </c>
      <c r="E5368" s="9"/>
    </row>
    <row r="5369">
      <c r="A5369" s="10">
        <f>IFERROR(__xludf.DUMMYFUNCTION("""COMPUTED_VALUE"""),147309.0)</f>
        <v>147309</v>
      </c>
      <c r="B5369" s="11">
        <f>IFERROR(__xludf.DUMMYFUNCTION("""COMPUTED_VALUE"""),0.0)</f>
        <v>0</v>
      </c>
      <c r="C5369" s="11">
        <f>IFERROR(__xludf.DUMMYFUNCTION("""COMPUTED_VALUE"""),785.0)</f>
        <v>785</v>
      </c>
      <c r="D5369" s="11">
        <f>IFERROR(__xludf.DUMMYFUNCTION("""COMPUTED_VALUE"""),584.0)</f>
        <v>584</v>
      </c>
      <c r="E5369" s="9"/>
    </row>
    <row r="5370">
      <c r="A5370" s="10">
        <f>IFERROR(__xludf.DUMMYFUNCTION("""COMPUTED_VALUE"""),120533.0)</f>
        <v>120533</v>
      </c>
      <c r="B5370" s="11">
        <f>IFERROR(__xludf.DUMMYFUNCTION("""COMPUTED_VALUE"""),0.0)</f>
        <v>0</v>
      </c>
      <c r="C5370" s="11">
        <f>IFERROR(__xludf.DUMMYFUNCTION("""COMPUTED_VALUE"""),76.0)</f>
        <v>76</v>
      </c>
      <c r="D5370" s="11">
        <f>IFERROR(__xludf.DUMMYFUNCTION("""COMPUTED_VALUE"""),33.0)</f>
        <v>33</v>
      </c>
      <c r="E5370" s="9"/>
    </row>
    <row r="5371">
      <c r="A5371" s="10">
        <f>IFERROR(__xludf.DUMMYFUNCTION("""COMPUTED_VALUE"""),5591.0)</f>
        <v>5591</v>
      </c>
      <c r="B5371" s="11">
        <f>IFERROR(__xludf.DUMMYFUNCTION("""COMPUTED_VALUE"""),0.0)</f>
        <v>0</v>
      </c>
      <c r="C5371" s="11">
        <f>IFERROR(__xludf.DUMMYFUNCTION("""COMPUTED_VALUE"""),652.0)</f>
        <v>652</v>
      </c>
      <c r="D5371" s="11">
        <f>IFERROR(__xludf.DUMMYFUNCTION("""COMPUTED_VALUE"""),623.0)</f>
        <v>623</v>
      </c>
      <c r="E5371" s="9"/>
    </row>
    <row r="5372">
      <c r="A5372" s="10">
        <f>IFERROR(__xludf.DUMMYFUNCTION("""COMPUTED_VALUE"""),77248.0)</f>
        <v>77248</v>
      </c>
      <c r="B5372" s="11">
        <f>IFERROR(__xludf.DUMMYFUNCTION("""COMPUTED_VALUE"""),0.0)</f>
        <v>0</v>
      </c>
      <c r="C5372" s="11">
        <f>IFERROR(__xludf.DUMMYFUNCTION("""COMPUTED_VALUE"""),618.0)</f>
        <v>618</v>
      </c>
      <c r="D5372" s="11">
        <f>IFERROR(__xludf.DUMMYFUNCTION("""COMPUTED_VALUE"""),570.0)</f>
        <v>570</v>
      </c>
      <c r="E5372" s="9"/>
    </row>
    <row r="5373">
      <c r="A5373" s="10">
        <f>IFERROR(__xludf.DUMMYFUNCTION("""COMPUTED_VALUE"""),90819.0)</f>
        <v>90819</v>
      </c>
      <c r="B5373" s="11">
        <f>IFERROR(__xludf.DUMMYFUNCTION("""COMPUTED_VALUE"""),0.0)</f>
        <v>0</v>
      </c>
      <c r="C5373" s="11">
        <f>IFERROR(__xludf.DUMMYFUNCTION("""COMPUTED_VALUE"""),35.0)</f>
        <v>35</v>
      </c>
      <c r="D5373" s="11">
        <f>IFERROR(__xludf.DUMMYFUNCTION("""COMPUTED_VALUE"""),10.0)</f>
        <v>10</v>
      </c>
      <c r="E5373" s="9"/>
    </row>
    <row r="5374">
      <c r="A5374" s="10">
        <f>IFERROR(__xludf.DUMMYFUNCTION("""COMPUTED_VALUE"""),90820.0)</f>
        <v>90820</v>
      </c>
      <c r="B5374" s="11">
        <f>IFERROR(__xludf.DUMMYFUNCTION("""COMPUTED_VALUE"""),0.0)</f>
        <v>0</v>
      </c>
      <c r="C5374" s="11">
        <f>IFERROR(__xludf.DUMMYFUNCTION("""COMPUTED_VALUE"""),326.0)</f>
        <v>326</v>
      </c>
      <c r="D5374" s="11">
        <f>IFERROR(__xludf.DUMMYFUNCTION("""COMPUTED_VALUE"""),270.0)</f>
        <v>270</v>
      </c>
      <c r="E5374" s="9"/>
    </row>
    <row r="5375">
      <c r="A5375" s="10">
        <f>IFERROR(__xludf.DUMMYFUNCTION("""COMPUTED_VALUE"""),90839.0)</f>
        <v>90839</v>
      </c>
      <c r="B5375" s="11">
        <f>IFERROR(__xludf.DUMMYFUNCTION("""COMPUTED_VALUE"""),0.0)</f>
        <v>0</v>
      </c>
      <c r="C5375" s="11">
        <f>IFERROR(__xludf.DUMMYFUNCTION("""COMPUTED_VALUE"""),451.0)</f>
        <v>451</v>
      </c>
      <c r="D5375" s="11">
        <f>IFERROR(__xludf.DUMMYFUNCTION("""COMPUTED_VALUE"""),147.0)</f>
        <v>147</v>
      </c>
      <c r="E5375" s="9"/>
    </row>
    <row r="5376">
      <c r="A5376" s="10">
        <f>IFERROR(__xludf.DUMMYFUNCTION("""COMPUTED_VALUE"""),90858.0)</f>
        <v>90858</v>
      </c>
      <c r="B5376" s="11">
        <f>IFERROR(__xludf.DUMMYFUNCTION("""COMPUTED_VALUE"""),1.0)</f>
        <v>1</v>
      </c>
      <c r="C5376" s="11">
        <f>IFERROR(__xludf.DUMMYFUNCTION("""COMPUTED_VALUE"""),550.0)</f>
        <v>550</v>
      </c>
      <c r="D5376" s="11">
        <f>IFERROR(__xludf.DUMMYFUNCTION("""COMPUTED_VALUE"""),208.0)</f>
        <v>208</v>
      </c>
      <c r="E5376" s="9"/>
    </row>
    <row r="5377">
      <c r="A5377" s="10">
        <f>IFERROR(__xludf.DUMMYFUNCTION("""COMPUTED_VALUE"""),76588.0)</f>
        <v>76588</v>
      </c>
      <c r="B5377" s="11">
        <f>IFERROR(__xludf.DUMMYFUNCTION("""COMPUTED_VALUE"""),1.0)</f>
        <v>1</v>
      </c>
      <c r="C5377" s="11">
        <f>IFERROR(__xludf.DUMMYFUNCTION("""COMPUTED_VALUE"""),58.0)</f>
        <v>58</v>
      </c>
      <c r="D5377" s="11">
        <f>IFERROR(__xludf.DUMMYFUNCTION("""COMPUTED_VALUE"""),47.0)</f>
        <v>47</v>
      </c>
      <c r="E5377" s="9"/>
    </row>
    <row r="5378">
      <c r="A5378" s="10">
        <f>IFERROR(__xludf.DUMMYFUNCTION("""COMPUTED_VALUE"""),90671.0)</f>
        <v>90671</v>
      </c>
      <c r="B5378" s="11">
        <f>IFERROR(__xludf.DUMMYFUNCTION("""COMPUTED_VALUE"""),0.0)</f>
        <v>0</v>
      </c>
      <c r="C5378" s="11">
        <f>IFERROR(__xludf.DUMMYFUNCTION("""COMPUTED_VALUE"""),293.0)</f>
        <v>293</v>
      </c>
      <c r="D5378" s="11">
        <f>IFERROR(__xludf.DUMMYFUNCTION("""COMPUTED_VALUE"""),259.0)</f>
        <v>259</v>
      </c>
      <c r="E5378" s="9"/>
    </row>
    <row r="5379">
      <c r="A5379" s="10">
        <f>IFERROR(__xludf.DUMMYFUNCTION("""COMPUTED_VALUE"""),77194.0)</f>
        <v>77194</v>
      </c>
      <c r="B5379" s="11">
        <f>IFERROR(__xludf.DUMMYFUNCTION("""COMPUTED_VALUE"""),1.0)</f>
        <v>1</v>
      </c>
      <c r="C5379" s="11">
        <f>IFERROR(__xludf.DUMMYFUNCTION("""COMPUTED_VALUE"""),397.0)</f>
        <v>397</v>
      </c>
      <c r="D5379" s="11">
        <f>IFERROR(__xludf.DUMMYFUNCTION("""COMPUTED_VALUE"""),200.0)</f>
        <v>200</v>
      </c>
      <c r="E5379" s="9"/>
    </row>
    <row r="5380">
      <c r="A5380" s="10">
        <f>IFERROR(__xludf.DUMMYFUNCTION("""COMPUTED_VALUE"""),5504.0)</f>
        <v>5504</v>
      </c>
      <c r="B5380" s="11">
        <f>IFERROR(__xludf.DUMMYFUNCTION("""COMPUTED_VALUE"""),1.0)</f>
        <v>1</v>
      </c>
      <c r="C5380" s="11">
        <f>IFERROR(__xludf.DUMMYFUNCTION("""COMPUTED_VALUE"""),329.0)</f>
        <v>329</v>
      </c>
      <c r="D5380" s="11">
        <f>IFERROR(__xludf.DUMMYFUNCTION("""COMPUTED_VALUE"""),206.0)</f>
        <v>206</v>
      </c>
      <c r="E5380" s="9"/>
    </row>
    <row r="5381">
      <c r="A5381" s="10">
        <f>IFERROR(__xludf.DUMMYFUNCTION("""COMPUTED_VALUE"""),90662.0)</f>
        <v>90662</v>
      </c>
      <c r="B5381" s="11">
        <f>IFERROR(__xludf.DUMMYFUNCTION("""COMPUTED_VALUE"""),1.0)</f>
        <v>1</v>
      </c>
      <c r="C5381" s="11">
        <f>IFERROR(__xludf.DUMMYFUNCTION("""COMPUTED_VALUE"""),439.0)</f>
        <v>439</v>
      </c>
      <c r="D5381" s="11">
        <f>IFERROR(__xludf.DUMMYFUNCTION("""COMPUTED_VALUE"""),265.0)</f>
        <v>265</v>
      </c>
      <c r="E5381" s="9"/>
    </row>
    <row r="5382">
      <c r="A5382" s="10">
        <f>IFERROR(__xludf.DUMMYFUNCTION("""COMPUTED_VALUE"""),87288.0)</f>
        <v>87288</v>
      </c>
      <c r="B5382" s="11">
        <f>IFERROR(__xludf.DUMMYFUNCTION("""COMPUTED_VALUE"""),0.0)</f>
        <v>0</v>
      </c>
      <c r="C5382" s="11">
        <f>IFERROR(__xludf.DUMMYFUNCTION("""COMPUTED_VALUE"""),403.0)</f>
        <v>403</v>
      </c>
      <c r="D5382" s="11">
        <f>IFERROR(__xludf.DUMMYFUNCTION("""COMPUTED_VALUE"""),98.0)</f>
        <v>98</v>
      </c>
      <c r="E5382" s="9"/>
    </row>
    <row r="5383">
      <c r="A5383" s="10">
        <f>IFERROR(__xludf.DUMMYFUNCTION("""COMPUTED_VALUE"""),5494.0)</f>
        <v>5494</v>
      </c>
      <c r="B5383" s="11">
        <f>IFERROR(__xludf.DUMMYFUNCTION("""COMPUTED_VALUE"""),0.0)</f>
        <v>0</v>
      </c>
      <c r="C5383" s="11">
        <f>IFERROR(__xludf.DUMMYFUNCTION("""COMPUTED_VALUE"""),179.0)</f>
        <v>179</v>
      </c>
      <c r="D5383" s="11">
        <f>IFERROR(__xludf.DUMMYFUNCTION("""COMPUTED_VALUE"""),121.0)</f>
        <v>121</v>
      </c>
      <c r="E5383" s="9"/>
    </row>
    <row r="5384">
      <c r="A5384" s="10">
        <f>IFERROR(__xludf.DUMMYFUNCTION("""COMPUTED_VALUE"""),76637.0)</f>
        <v>76637</v>
      </c>
      <c r="B5384" s="11">
        <f>IFERROR(__xludf.DUMMYFUNCTION("""COMPUTED_VALUE"""),1.0)</f>
        <v>1</v>
      </c>
      <c r="C5384" s="11">
        <f>IFERROR(__xludf.DUMMYFUNCTION("""COMPUTED_VALUE"""),418.0)</f>
        <v>418</v>
      </c>
      <c r="D5384" s="11">
        <f>IFERROR(__xludf.DUMMYFUNCTION("""COMPUTED_VALUE"""),406.0)</f>
        <v>406</v>
      </c>
      <c r="E5384" s="9"/>
    </row>
    <row r="5385">
      <c r="A5385" s="10">
        <f>IFERROR(__xludf.DUMMYFUNCTION("""COMPUTED_VALUE"""),76601.0)</f>
        <v>76601</v>
      </c>
      <c r="B5385" s="11">
        <f>IFERROR(__xludf.DUMMYFUNCTION("""COMPUTED_VALUE"""),1.0)</f>
        <v>1</v>
      </c>
      <c r="C5385" s="11">
        <f>IFERROR(__xludf.DUMMYFUNCTION("""COMPUTED_VALUE"""),770.0)</f>
        <v>770</v>
      </c>
      <c r="D5385" s="11">
        <f>IFERROR(__xludf.DUMMYFUNCTION("""COMPUTED_VALUE"""),770.0)</f>
        <v>770</v>
      </c>
      <c r="E5385" s="9"/>
    </row>
    <row r="5386">
      <c r="A5386" s="10">
        <f>IFERROR(__xludf.DUMMYFUNCTION("""COMPUTED_VALUE"""),87202.0)</f>
        <v>87202</v>
      </c>
      <c r="B5386" s="11">
        <f>IFERROR(__xludf.DUMMYFUNCTION("""COMPUTED_VALUE"""),1.0)</f>
        <v>1</v>
      </c>
      <c r="C5386" s="11">
        <f>IFERROR(__xludf.DUMMYFUNCTION("""COMPUTED_VALUE"""),250.0)</f>
        <v>250</v>
      </c>
      <c r="D5386" s="11">
        <f>IFERROR(__xludf.DUMMYFUNCTION("""COMPUTED_VALUE"""),234.0)</f>
        <v>234</v>
      </c>
      <c r="E5386" s="9"/>
    </row>
    <row r="5387">
      <c r="A5387" s="10">
        <f>IFERROR(__xludf.DUMMYFUNCTION("""COMPUTED_VALUE"""),122244.0)</f>
        <v>122244</v>
      </c>
      <c r="B5387" s="11">
        <f>IFERROR(__xludf.DUMMYFUNCTION("""COMPUTED_VALUE"""),0.0)</f>
        <v>0</v>
      </c>
      <c r="C5387" s="11">
        <f>IFERROR(__xludf.DUMMYFUNCTION("""COMPUTED_VALUE"""),670.0)</f>
        <v>670</v>
      </c>
      <c r="D5387" s="11">
        <f>IFERROR(__xludf.DUMMYFUNCTION("""COMPUTED_VALUE"""),118.0)</f>
        <v>118</v>
      </c>
      <c r="E5387" s="9"/>
    </row>
    <row r="5388">
      <c r="A5388" s="10">
        <f>IFERROR(__xludf.DUMMYFUNCTION("""COMPUTED_VALUE"""),122075.0)</f>
        <v>122075</v>
      </c>
      <c r="B5388" s="11">
        <f>IFERROR(__xludf.DUMMYFUNCTION("""COMPUTED_VALUE"""),1.0)</f>
        <v>1</v>
      </c>
      <c r="C5388" s="11">
        <f>IFERROR(__xludf.DUMMYFUNCTION("""COMPUTED_VALUE"""),936.0)</f>
        <v>936</v>
      </c>
      <c r="D5388" s="11">
        <f>IFERROR(__xludf.DUMMYFUNCTION("""COMPUTED_VALUE"""),62.0)</f>
        <v>62</v>
      </c>
      <c r="E5388" s="9"/>
    </row>
    <row r="5389">
      <c r="A5389" s="10">
        <f>IFERROR(__xludf.DUMMYFUNCTION("""COMPUTED_VALUE"""),90735.0)</f>
        <v>90735</v>
      </c>
      <c r="B5389" s="11">
        <f>IFERROR(__xludf.DUMMYFUNCTION("""COMPUTED_VALUE"""),1.0)</f>
        <v>1</v>
      </c>
      <c r="C5389" s="11">
        <f>IFERROR(__xludf.DUMMYFUNCTION("""COMPUTED_VALUE"""),642.0)</f>
        <v>642</v>
      </c>
      <c r="D5389" s="11">
        <f>IFERROR(__xludf.DUMMYFUNCTION("""COMPUTED_VALUE"""),458.0)</f>
        <v>458</v>
      </c>
      <c r="E5389" s="9"/>
    </row>
    <row r="5390">
      <c r="A5390" s="10">
        <f>IFERROR(__xludf.DUMMYFUNCTION("""COMPUTED_VALUE"""),20951.0)</f>
        <v>20951</v>
      </c>
      <c r="B5390" s="11">
        <f>IFERROR(__xludf.DUMMYFUNCTION("""COMPUTED_VALUE"""),0.0)</f>
        <v>0</v>
      </c>
      <c r="C5390" s="11">
        <f>IFERROR(__xludf.DUMMYFUNCTION("""COMPUTED_VALUE"""),518.0)</f>
        <v>518</v>
      </c>
      <c r="D5390" s="11">
        <f>IFERROR(__xludf.DUMMYFUNCTION("""COMPUTED_VALUE"""),417.0)</f>
        <v>417</v>
      </c>
      <c r="E5390" s="9"/>
    </row>
    <row r="5391">
      <c r="A5391" s="10">
        <f>IFERROR(__xludf.DUMMYFUNCTION("""COMPUTED_VALUE"""),5502.0)</f>
        <v>5502</v>
      </c>
      <c r="B5391" s="11">
        <f>IFERROR(__xludf.DUMMYFUNCTION("""COMPUTED_VALUE"""),1.0)</f>
        <v>1</v>
      </c>
      <c r="C5391" s="11">
        <f>IFERROR(__xludf.DUMMYFUNCTION("""COMPUTED_VALUE"""),197.0)</f>
        <v>197</v>
      </c>
      <c r="D5391" s="11">
        <f>IFERROR(__xludf.DUMMYFUNCTION("""COMPUTED_VALUE"""),163.0)</f>
        <v>163</v>
      </c>
      <c r="E5391" s="9"/>
    </row>
    <row r="5392">
      <c r="A5392" s="10">
        <f>IFERROR(__xludf.DUMMYFUNCTION("""COMPUTED_VALUE"""),90669.0)</f>
        <v>90669</v>
      </c>
      <c r="B5392" s="11">
        <f>IFERROR(__xludf.DUMMYFUNCTION("""COMPUTED_VALUE"""),0.0)</f>
        <v>0</v>
      </c>
      <c r="C5392" s="11">
        <f>IFERROR(__xludf.DUMMYFUNCTION("""COMPUTED_VALUE"""),864.0)</f>
        <v>864</v>
      </c>
      <c r="D5392" s="11">
        <f>IFERROR(__xludf.DUMMYFUNCTION("""COMPUTED_VALUE"""),469.0)</f>
        <v>469</v>
      </c>
      <c r="E5392" s="9"/>
    </row>
    <row r="5393">
      <c r="A5393" s="10">
        <f>IFERROR(__xludf.DUMMYFUNCTION("""COMPUTED_VALUE"""),90673.0)</f>
        <v>90673</v>
      </c>
      <c r="B5393" s="11">
        <f>IFERROR(__xludf.DUMMYFUNCTION("""COMPUTED_VALUE"""),0.0)</f>
        <v>0</v>
      </c>
      <c r="C5393" s="11">
        <f>IFERROR(__xludf.DUMMYFUNCTION("""COMPUTED_VALUE"""),799.0)</f>
        <v>799</v>
      </c>
      <c r="D5393" s="11">
        <f>IFERROR(__xludf.DUMMYFUNCTION("""COMPUTED_VALUE"""),677.0)</f>
        <v>677</v>
      </c>
      <c r="E5393" s="9"/>
    </row>
    <row r="5394">
      <c r="A5394" s="10">
        <f>IFERROR(__xludf.DUMMYFUNCTION("""COMPUTED_VALUE"""),68403.0)</f>
        <v>68403</v>
      </c>
      <c r="B5394" s="11">
        <f>IFERROR(__xludf.DUMMYFUNCTION("""COMPUTED_VALUE"""),1.0)</f>
        <v>1</v>
      </c>
      <c r="C5394" s="11">
        <f>IFERROR(__xludf.DUMMYFUNCTION("""COMPUTED_VALUE"""),9.0)</f>
        <v>9</v>
      </c>
      <c r="D5394" s="11">
        <f>IFERROR(__xludf.DUMMYFUNCTION("""COMPUTED_VALUE"""),5.0)</f>
        <v>5</v>
      </c>
      <c r="E5394" s="9"/>
    </row>
    <row r="5395">
      <c r="A5395" s="10">
        <f>IFERROR(__xludf.DUMMYFUNCTION("""COMPUTED_VALUE"""),76636.0)</f>
        <v>76636</v>
      </c>
      <c r="B5395" s="11">
        <f>IFERROR(__xludf.DUMMYFUNCTION("""COMPUTED_VALUE"""),1.0)</f>
        <v>1</v>
      </c>
      <c r="C5395" s="11">
        <f>IFERROR(__xludf.DUMMYFUNCTION("""COMPUTED_VALUE"""),812.0)</f>
        <v>812</v>
      </c>
      <c r="D5395" s="11">
        <f>IFERROR(__xludf.DUMMYFUNCTION("""COMPUTED_VALUE"""),123.0)</f>
        <v>123</v>
      </c>
      <c r="E5395" s="9"/>
    </row>
    <row r="5396">
      <c r="A5396" s="10">
        <f>IFERROR(__xludf.DUMMYFUNCTION("""COMPUTED_VALUE"""),77397.0)</f>
        <v>77397</v>
      </c>
      <c r="B5396" s="11">
        <f>IFERROR(__xludf.DUMMYFUNCTION("""COMPUTED_VALUE"""),0.0)</f>
        <v>0</v>
      </c>
      <c r="C5396" s="11">
        <f>IFERROR(__xludf.DUMMYFUNCTION("""COMPUTED_VALUE"""),188.0)</f>
        <v>188</v>
      </c>
      <c r="D5396" s="11">
        <f>IFERROR(__xludf.DUMMYFUNCTION("""COMPUTED_VALUE"""),19.0)</f>
        <v>19</v>
      </c>
      <c r="E5396" s="9"/>
    </row>
    <row r="5397">
      <c r="A5397" s="10">
        <f>IFERROR(__xludf.DUMMYFUNCTION("""COMPUTED_VALUE"""),76195.0)</f>
        <v>76195</v>
      </c>
      <c r="B5397" s="11">
        <f>IFERROR(__xludf.DUMMYFUNCTION("""COMPUTED_VALUE"""),1.0)</f>
        <v>1</v>
      </c>
      <c r="C5397" s="11">
        <f>IFERROR(__xludf.DUMMYFUNCTION("""COMPUTED_VALUE"""),365.0)</f>
        <v>365</v>
      </c>
      <c r="D5397" s="11">
        <f>IFERROR(__xludf.DUMMYFUNCTION("""COMPUTED_VALUE"""),226.0)</f>
        <v>226</v>
      </c>
      <c r="E5397" s="9"/>
    </row>
    <row r="5398">
      <c r="A5398" s="10">
        <f>IFERROR(__xludf.DUMMYFUNCTION("""COMPUTED_VALUE"""),90710.0)</f>
        <v>90710</v>
      </c>
      <c r="B5398" s="11">
        <f>IFERROR(__xludf.DUMMYFUNCTION("""COMPUTED_VALUE"""),1.0)</f>
        <v>1</v>
      </c>
      <c r="C5398" s="11">
        <f>IFERROR(__xludf.DUMMYFUNCTION("""COMPUTED_VALUE"""),236.0)</f>
        <v>236</v>
      </c>
      <c r="D5398" s="11">
        <f>IFERROR(__xludf.DUMMYFUNCTION("""COMPUTED_VALUE"""),157.0)</f>
        <v>157</v>
      </c>
      <c r="E5398" s="9"/>
    </row>
    <row r="5399">
      <c r="A5399" s="10">
        <f>IFERROR(__xludf.DUMMYFUNCTION("""COMPUTED_VALUE"""),117148.0)</f>
        <v>117148</v>
      </c>
      <c r="B5399" s="11">
        <f>IFERROR(__xludf.DUMMYFUNCTION("""COMPUTED_VALUE"""),0.0)</f>
        <v>0</v>
      </c>
      <c r="C5399" s="11">
        <f>IFERROR(__xludf.DUMMYFUNCTION("""COMPUTED_VALUE"""),51.0)</f>
        <v>51</v>
      </c>
      <c r="D5399" s="11">
        <f>IFERROR(__xludf.DUMMYFUNCTION("""COMPUTED_VALUE"""),31.0)</f>
        <v>31</v>
      </c>
      <c r="E5399" s="9"/>
    </row>
    <row r="5400">
      <c r="A5400" s="10">
        <f>IFERROR(__xludf.DUMMYFUNCTION("""COMPUTED_VALUE"""),5493.0)</f>
        <v>5493</v>
      </c>
      <c r="B5400" s="11">
        <f>IFERROR(__xludf.DUMMYFUNCTION("""COMPUTED_VALUE"""),0.0)</f>
        <v>0</v>
      </c>
      <c r="C5400" s="11">
        <f>IFERROR(__xludf.DUMMYFUNCTION("""COMPUTED_VALUE"""),357.0)</f>
        <v>357</v>
      </c>
      <c r="D5400" s="11">
        <f>IFERROR(__xludf.DUMMYFUNCTION("""COMPUTED_VALUE"""),256.0)</f>
        <v>256</v>
      </c>
      <c r="E5400" s="9"/>
    </row>
    <row r="5401">
      <c r="A5401" s="10">
        <f>IFERROR(__xludf.DUMMYFUNCTION("""COMPUTED_VALUE"""),76671.0)</f>
        <v>76671</v>
      </c>
      <c r="B5401" s="11">
        <f>IFERROR(__xludf.DUMMYFUNCTION("""COMPUTED_VALUE"""),1.0)</f>
        <v>1</v>
      </c>
      <c r="C5401" s="11">
        <f>IFERROR(__xludf.DUMMYFUNCTION("""COMPUTED_VALUE"""),649.0)</f>
        <v>649</v>
      </c>
      <c r="D5401" s="11">
        <f>IFERROR(__xludf.DUMMYFUNCTION("""COMPUTED_VALUE"""),321.0)</f>
        <v>321</v>
      </c>
      <c r="E5401" s="9"/>
    </row>
    <row r="5402">
      <c r="A5402" s="10">
        <f>IFERROR(__xludf.DUMMYFUNCTION("""COMPUTED_VALUE"""),90678.0)</f>
        <v>90678</v>
      </c>
      <c r="B5402" s="11">
        <f>IFERROR(__xludf.DUMMYFUNCTION("""COMPUTED_VALUE"""),1.0)</f>
        <v>1</v>
      </c>
      <c r="C5402" s="11">
        <f>IFERROR(__xludf.DUMMYFUNCTION("""COMPUTED_VALUE"""),847.0)</f>
        <v>847</v>
      </c>
      <c r="D5402" s="11">
        <f>IFERROR(__xludf.DUMMYFUNCTION("""COMPUTED_VALUE"""),122.0)</f>
        <v>122</v>
      </c>
      <c r="E5402" s="9"/>
    </row>
    <row r="5403">
      <c r="A5403" s="10">
        <f>IFERROR(__xludf.DUMMYFUNCTION("""COMPUTED_VALUE"""),76207.0)</f>
        <v>76207</v>
      </c>
      <c r="B5403" s="11">
        <f>IFERROR(__xludf.DUMMYFUNCTION("""COMPUTED_VALUE"""),0.0)</f>
        <v>0</v>
      </c>
      <c r="C5403" s="11">
        <f>IFERROR(__xludf.DUMMYFUNCTION("""COMPUTED_VALUE"""),31.0)</f>
        <v>31</v>
      </c>
      <c r="D5403" s="11">
        <f>IFERROR(__xludf.DUMMYFUNCTION("""COMPUTED_VALUE"""),9.0)</f>
        <v>9</v>
      </c>
      <c r="E5403" s="9"/>
    </row>
    <row r="5404">
      <c r="A5404" s="10">
        <f>IFERROR(__xludf.DUMMYFUNCTION("""COMPUTED_VALUE"""),5500.0)</f>
        <v>5500</v>
      </c>
      <c r="B5404" s="11">
        <f>IFERROR(__xludf.DUMMYFUNCTION("""COMPUTED_VALUE"""),0.0)</f>
        <v>0</v>
      </c>
      <c r="C5404" s="11">
        <f>IFERROR(__xludf.DUMMYFUNCTION("""COMPUTED_VALUE"""),370.0)</f>
        <v>370</v>
      </c>
      <c r="D5404" s="11">
        <f>IFERROR(__xludf.DUMMYFUNCTION("""COMPUTED_VALUE"""),200.0)</f>
        <v>200</v>
      </c>
      <c r="E5404" s="9"/>
    </row>
    <row r="5405">
      <c r="A5405" s="10">
        <f>IFERROR(__xludf.DUMMYFUNCTION("""COMPUTED_VALUE"""),122081.0)</f>
        <v>122081</v>
      </c>
      <c r="B5405" s="11">
        <f>IFERROR(__xludf.DUMMYFUNCTION("""COMPUTED_VALUE"""),1.0)</f>
        <v>1</v>
      </c>
      <c r="C5405" s="11">
        <f>IFERROR(__xludf.DUMMYFUNCTION("""COMPUTED_VALUE"""),747.0)</f>
        <v>747</v>
      </c>
      <c r="D5405" s="11">
        <f>IFERROR(__xludf.DUMMYFUNCTION("""COMPUTED_VALUE"""),556.0)</f>
        <v>556</v>
      </c>
      <c r="E5405" s="9"/>
    </row>
    <row r="5406">
      <c r="A5406" s="10">
        <f>IFERROR(__xludf.DUMMYFUNCTION("""COMPUTED_VALUE"""),77396.0)</f>
        <v>77396</v>
      </c>
      <c r="B5406" s="11">
        <f>IFERROR(__xludf.DUMMYFUNCTION("""COMPUTED_VALUE"""),1.0)</f>
        <v>1</v>
      </c>
      <c r="C5406" s="11">
        <f>IFERROR(__xludf.DUMMYFUNCTION("""COMPUTED_VALUE"""),444.0)</f>
        <v>444</v>
      </c>
      <c r="D5406" s="11">
        <f>IFERROR(__xludf.DUMMYFUNCTION("""COMPUTED_VALUE"""),362.0)</f>
        <v>362</v>
      </c>
      <c r="E5406" s="9"/>
    </row>
    <row r="5407">
      <c r="A5407" s="10">
        <f>IFERROR(__xludf.DUMMYFUNCTION("""COMPUTED_VALUE"""),77398.0)</f>
        <v>77398</v>
      </c>
      <c r="B5407" s="11">
        <f>IFERROR(__xludf.DUMMYFUNCTION("""COMPUTED_VALUE"""),1.0)</f>
        <v>1</v>
      </c>
      <c r="C5407" s="11">
        <f>IFERROR(__xludf.DUMMYFUNCTION("""COMPUTED_VALUE"""),322.0)</f>
        <v>322</v>
      </c>
      <c r="D5407" s="11">
        <f>IFERROR(__xludf.DUMMYFUNCTION("""COMPUTED_VALUE"""),318.0)</f>
        <v>318</v>
      </c>
      <c r="E5407" s="9"/>
    </row>
    <row r="5408">
      <c r="A5408" s="10">
        <f>IFERROR(__xludf.DUMMYFUNCTION("""COMPUTED_VALUE"""),90716.0)</f>
        <v>90716</v>
      </c>
      <c r="B5408" s="11">
        <f>IFERROR(__xludf.DUMMYFUNCTION("""COMPUTED_VALUE"""),0.0)</f>
        <v>0</v>
      </c>
      <c r="C5408" s="11">
        <f>IFERROR(__xludf.DUMMYFUNCTION("""COMPUTED_VALUE"""),607.0)</f>
        <v>607</v>
      </c>
      <c r="D5408" s="11">
        <f>IFERROR(__xludf.DUMMYFUNCTION("""COMPUTED_VALUE"""),593.0)</f>
        <v>593</v>
      </c>
      <c r="E5408" s="9"/>
    </row>
    <row r="5409">
      <c r="A5409" s="10">
        <f>IFERROR(__xludf.DUMMYFUNCTION("""COMPUTED_VALUE"""),122846.0)</f>
        <v>122846</v>
      </c>
      <c r="B5409" s="11">
        <f>IFERROR(__xludf.DUMMYFUNCTION("""COMPUTED_VALUE"""),0.0)</f>
        <v>0</v>
      </c>
      <c r="C5409" s="11">
        <f>IFERROR(__xludf.DUMMYFUNCTION("""COMPUTED_VALUE"""),306.0)</f>
        <v>306</v>
      </c>
      <c r="D5409" s="11">
        <f>IFERROR(__xludf.DUMMYFUNCTION("""COMPUTED_VALUE"""),148.0)</f>
        <v>148</v>
      </c>
      <c r="E5409" s="9"/>
    </row>
    <row r="5410">
      <c r="A5410" s="10">
        <f>IFERROR(__xludf.DUMMYFUNCTION("""COMPUTED_VALUE"""),77410.0)</f>
        <v>77410</v>
      </c>
      <c r="B5410" s="11">
        <f>IFERROR(__xludf.DUMMYFUNCTION("""COMPUTED_VALUE"""),1.0)</f>
        <v>1</v>
      </c>
      <c r="C5410" s="11">
        <f>IFERROR(__xludf.DUMMYFUNCTION("""COMPUTED_VALUE"""),249.0)</f>
        <v>249</v>
      </c>
      <c r="D5410" s="11">
        <f>IFERROR(__xludf.DUMMYFUNCTION("""COMPUTED_VALUE"""),56.0)</f>
        <v>56</v>
      </c>
      <c r="E5410" s="9"/>
    </row>
    <row r="5411">
      <c r="A5411" s="10">
        <f>IFERROR(__xludf.DUMMYFUNCTION("""COMPUTED_VALUE"""),87083.0)</f>
        <v>87083</v>
      </c>
      <c r="B5411" s="11">
        <f>IFERROR(__xludf.DUMMYFUNCTION("""COMPUTED_VALUE"""),0.0)</f>
        <v>0</v>
      </c>
      <c r="C5411" s="11">
        <f>IFERROR(__xludf.DUMMYFUNCTION("""COMPUTED_VALUE"""),198.0)</f>
        <v>198</v>
      </c>
      <c r="D5411" s="11">
        <f>IFERROR(__xludf.DUMMYFUNCTION("""COMPUTED_VALUE"""),121.0)</f>
        <v>121</v>
      </c>
      <c r="E5411" s="9"/>
    </row>
    <row r="5412">
      <c r="A5412" s="10">
        <f>IFERROR(__xludf.DUMMYFUNCTION("""COMPUTED_VALUE"""),73630.0)</f>
        <v>73630</v>
      </c>
      <c r="B5412" s="11">
        <f>IFERROR(__xludf.DUMMYFUNCTION("""COMPUTED_VALUE"""),1.0)</f>
        <v>1</v>
      </c>
      <c r="C5412" s="11">
        <f>IFERROR(__xludf.DUMMYFUNCTION("""COMPUTED_VALUE"""),303.0)</f>
        <v>303</v>
      </c>
      <c r="D5412" s="11">
        <f>IFERROR(__xludf.DUMMYFUNCTION("""COMPUTED_VALUE"""),47.0)</f>
        <v>47</v>
      </c>
      <c r="E5412" s="9"/>
    </row>
    <row r="5413">
      <c r="A5413" s="10">
        <f>IFERROR(__xludf.DUMMYFUNCTION("""COMPUTED_VALUE"""),90659.0)</f>
        <v>90659</v>
      </c>
      <c r="B5413" s="11">
        <f>IFERROR(__xludf.DUMMYFUNCTION("""COMPUTED_VALUE"""),1.0)</f>
        <v>1</v>
      </c>
      <c r="C5413" s="11">
        <f>IFERROR(__xludf.DUMMYFUNCTION("""COMPUTED_VALUE"""),313.0)</f>
        <v>313</v>
      </c>
      <c r="D5413" s="11">
        <f>IFERROR(__xludf.DUMMYFUNCTION("""COMPUTED_VALUE"""),266.0)</f>
        <v>266</v>
      </c>
      <c r="E5413" s="9"/>
    </row>
    <row r="5414">
      <c r="A5414" s="10">
        <f>IFERROR(__xludf.DUMMYFUNCTION("""COMPUTED_VALUE"""),122079.0)</f>
        <v>122079</v>
      </c>
      <c r="B5414" s="11">
        <f>IFERROR(__xludf.DUMMYFUNCTION("""COMPUTED_VALUE"""),1.0)</f>
        <v>1</v>
      </c>
      <c r="C5414" s="11">
        <f>IFERROR(__xludf.DUMMYFUNCTION("""COMPUTED_VALUE"""),447.0)</f>
        <v>447</v>
      </c>
      <c r="D5414" s="11">
        <f>IFERROR(__xludf.DUMMYFUNCTION("""COMPUTED_VALUE"""),364.0)</f>
        <v>364</v>
      </c>
      <c r="E5414" s="9"/>
    </row>
    <row r="5415">
      <c r="A5415" s="10">
        <f>IFERROR(__xludf.DUMMYFUNCTION("""COMPUTED_VALUE"""),5551.0)</f>
        <v>5551</v>
      </c>
      <c r="B5415" s="11">
        <f>IFERROR(__xludf.DUMMYFUNCTION("""COMPUTED_VALUE"""),1.0)</f>
        <v>1</v>
      </c>
      <c r="C5415" s="11">
        <f>IFERROR(__xludf.DUMMYFUNCTION("""COMPUTED_VALUE"""),633.0)</f>
        <v>633</v>
      </c>
      <c r="D5415" s="11">
        <f>IFERROR(__xludf.DUMMYFUNCTION("""COMPUTED_VALUE"""),120.0)</f>
        <v>120</v>
      </c>
      <c r="E5415" s="9"/>
    </row>
    <row r="5416">
      <c r="A5416" s="10">
        <f>IFERROR(__xludf.DUMMYFUNCTION("""COMPUTED_VALUE"""),90624.0)</f>
        <v>90624</v>
      </c>
      <c r="B5416" s="11">
        <f>IFERROR(__xludf.DUMMYFUNCTION("""COMPUTED_VALUE"""),0.0)</f>
        <v>0</v>
      </c>
      <c r="C5416" s="11">
        <f>IFERROR(__xludf.DUMMYFUNCTION("""COMPUTED_VALUE"""),465.0)</f>
        <v>465</v>
      </c>
      <c r="D5416" s="11">
        <f>IFERROR(__xludf.DUMMYFUNCTION("""COMPUTED_VALUE"""),320.0)</f>
        <v>320</v>
      </c>
      <c r="E5416" s="9"/>
    </row>
    <row r="5417">
      <c r="A5417" s="10">
        <f>IFERROR(__xludf.DUMMYFUNCTION("""COMPUTED_VALUE"""),29100.0)</f>
        <v>29100</v>
      </c>
      <c r="B5417" s="11">
        <f>IFERROR(__xludf.DUMMYFUNCTION("""COMPUTED_VALUE"""),1.0)</f>
        <v>1</v>
      </c>
      <c r="C5417" s="11">
        <f>IFERROR(__xludf.DUMMYFUNCTION("""COMPUTED_VALUE"""),182.0)</f>
        <v>182</v>
      </c>
      <c r="D5417" s="11">
        <f>IFERROR(__xludf.DUMMYFUNCTION("""COMPUTED_VALUE"""),60.0)</f>
        <v>60</v>
      </c>
      <c r="E5417" s="9"/>
    </row>
    <row r="5418">
      <c r="A5418" s="10">
        <f>IFERROR(__xludf.DUMMYFUNCTION("""COMPUTED_VALUE"""),46330.0)</f>
        <v>46330</v>
      </c>
      <c r="B5418" s="11">
        <f>IFERROR(__xludf.DUMMYFUNCTION("""COMPUTED_VALUE"""),1.0)</f>
        <v>1</v>
      </c>
      <c r="C5418" s="11">
        <f>IFERROR(__xludf.DUMMYFUNCTION("""COMPUTED_VALUE"""),469.0)</f>
        <v>469</v>
      </c>
      <c r="D5418" s="11">
        <f>IFERROR(__xludf.DUMMYFUNCTION("""COMPUTED_VALUE"""),80.0)</f>
        <v>80</v>
      </c>
      <c r="E5418" s="9"/>
    </row>
    <row r="5419">
      <c r="A5419" s="10">
        <f>IFERROR(__xludf.DUMMYFUNCTION("""COMPUTED_VALUE"""),117659.0)</f>
        <v>117659</v>
      </c>
      <c r="B5419" s="11">
        <f>IFERROR(__xludf.DUMMYFUNCTION("""COMPUTED_VALUE"""),1.0)</f>
        <v>1</v>
      </c>
      <c r="C5419" s="11">
        <f>IFERROR(__xludf.DUMMYFUNCTION("""COMPUTED_VALUE"""),482.0)</f>
        <v>482</v>
      </c>
      <c r="D5419" s="11">
        <f>IFERROR(__xludf.DUMMYFUNCTION("""COMPUTED_VALUE"""),128.0)</f>
        <v>128</v>
      </c>
      <c r="E5419" s="9"/>
    </row>
    <row r="5420">
      <c r="A5420" s="10">
        <f>IFERROR(__xludf.DUMMYFUNCTION("""COMPUTED_VALUE"""),48149.0)</f>
        <v>48149</v>
      </c>
      <c r="B5420" s="11">
        <f>IFERROR(__xludf.DUMMYFUNCTION("""COMPUTED_VALUE"""),1.0)</f>
        <v>1</v>
      </c>
      <c r="C5420" s="11">
        <f>IFERROR(__xludf.DUMMYFUNCTION("""COMPUTED_VALUE"""),95.0)</f>
        <v>95</v>
      </c>
      <c r="D5420" s="11">
        <f>IFERROR(__xludf.DUMMYFUNCTION("""COMPUTED_VALUE"""),24.0)</f>
        <v>24</v>
      </c>
      <c r="E5420" s="9"/>
    </row>
    <row r="5421">
      <c r="A5421" s="10">
        <f>IFERROR(__xludf.DUMMYFUNCTION("""COMPUTED_VALUE"""),113739.0)</f>
        <v>113739</v>
      </c>
      <c r="B5421" s="11">
        <f>IFERROR(__xludf.DUMMYFUNCTION("""COMPUTED_VALUE"""),0.0)</f>
        <v>0</v>
      </c>
      <c r="C5421" s="11">
        <f>IFERROR(__xludf.DUMMYFUNCTION("""COMPUTED_VALUE"""),43.0)</f>
        <v>43</v>
      </c>
      <c r="D5421" s="11">
        <f>IFERROR(__xludf.DUMMYFUNCTION("""COMPUTED_VALUE"""),7.0)</f>
        <v>7</v>
      </c>
      <c r="E5421" s="9"/>
    </row>
    <row r="5422">
      <c r="A5422" s="10">
        <f>IFERROR(__xludf.DUMMYFUNCTION("""COMPUTED_VALUE"""),147316.0)</f>
        <v>147316</v>
      </c>
      <c r="B5422" s="11">
        <f>IFERROR(__xludf.DUMMYFUNCTION("""COMPUTED_VALUE"""),0.0)</f>
        <v>0</v>
      </c>
      <c r="C5422" s="11">
        <f>IFERROR(__xludf.DUMMYFUNCTION("""COMPUTED_VALUE"""),303.0)</f>
        <v>303</v>
      </c>
      <c r="D5422" s="11">
        <f>IFERROR(__xludf.DUMMYFUNCTION("""COMPUTED_VALUE"""),293.0)</f>
        <v>293</v>
      </c>
      <c r="E5422" s="9"/>
    </row>
    <row r="5423">
      <c r="A5423" s="10">
        <f>IFERROR(__xludf.DUMMYFUNCTION("""COMPUTED_VALUE"""),76297.0)</f>
        <v>76297</v>
      </c>
      <c r="B5423" s="11">
        <f>IFERROR(__xludf.DUMMYFUNCTION("""COMPUTED_VALUE"""),0.0)</f>
        <v>0</v>
      </c>
      <c r="C5423" s="11">
        <f>IFERROR(__xludf.DUMMYFUNCTION("""COMPUTED_VALUE"""),810.0)</f>
        <v>810</v>
      </c>
      <c r="D5423" s="11">
        <f>IFERROR(__xludf.DUMMYFUNCTION("""COMPUTED_VALUE"""),300.0)</f>
        <v>300</v>
      </c>
      <c r="E5423" s="9"/>
    </row>
    <row r="5424">
      <c r="A5424" s="10">
        <f>IFERROR(__xludf.DUMMYFUNCTION("""COMPUTED_VALUE"""),102698.0)</f>
        <v>102698</v>
      </c>
      <c r="B5424" s="11">
        <f>IFERROR(__xludf.DUMMYFUNCTION("""COMPUTED_VALUE"""),1.0)</f>
        <v>1</v>
      </c>
      <c r="C5424" s="11">
        <f>IFERROR(__xludf.DUMMYFUNCTION("""COMPUTED_VALUE"""),760.0)</f>
        <v>760</v>
      </c>
      <c r="D5424" s="11">
        <f>IFERROR(__xludf.DUMMYFUNCTION("""COMPUTED_VALUE"""),709.0)</f>
        <v>709</v>
      </c>
      <c r="E5424" s="9"/>
    </row>
    <row r="5425">
      <c r="A5425" s="10">
        <f>IFERROR(__xludf.DUMMYFUNCTION("""COMPUTED_VALUE"""),102699.0)</f>
        <v>102699</v>
      </c>
      <c r="B5425" s="11">
        <f>IFERROR(__xludf.DUMMYFUNCTION("""COMPUTED_VALUE"""),0.0)</f>
        <v>0</v>
      </c>
      <c r="C5425" s="11">
        <f>IFERROR(__xludf.DUMMYFUNCTION("""COMPUTED_VALUE"""),796.0)</f>
        <v>796</v>
      </c>
      <c r="D5425" s="11">
        <f>IFERROR(__xludf.DUMMYFUNCTION("""COMPUTED_VALUE"""),398.0)</f>
        <v>398</v>
      </c>
      <c r="E5425" s="9"/>
    </row>
    <row r="5426">
      <c r="A5426" s="10">
        <f>IFERROR(__xludf.DUMMYFUNCTION("""COMPUTED_VALUE"""),5556.0)</f>
        <v>5556</v>
      </c>
      <c r="B5426" s="11">
        <f>IFERROR(__xludf.DUMMYFUNCTION("""COMPUTED_VALUE"""),0.0)</f>
        <v>0</v>
      </c>
      <c r="C5426" s="11">
        <f>IFERROR(__xludf.DUMMYFUNCTION("""COMPUTED_VALUE"""),90.0)</f>
        <v>90</v>
      </c>
      <c r="D5426" s="11">
        <f>IFERROR(__xludf.DUMMYFUNCTION("""COMPUTED_VALUE"""),65.0)</f>
        <v>65</v>
      </c>
      <c r="E5426" s="9"/>
    </row>
    <row r="5427">
      <c r="A5427" s="10">
        <f>IFERROR(__xludf.DUMMYFUNCTION("""COMPUTED_VALUE"""),73629.0)</f>
        <v>73629</v>
      </c>
      <c r="B5427" s="11">
        <f>IFERROR(__xludf.DUMMYFUNCTION("""COMPUTED_VALUE"""),0.0)</f>
        <v>0</v>
      </c>
      <c r="C5427" s="11">
        <f>IFERROR(__xludf.DUMMYFUNCTION("""COMPUTED_VALUE"""),856.0)</f>
        <v>856</v>
      </c>
      <c r="D5427" s="11">
        <f>IFERROR(__xludf.DUMMYFUNCTION("""COMPUTED_VALUE"""),543.0)</f>
        <v>543</v>
      </c>
      <c r="E5427" s="9"/>
    </row>
    <row r="5428">
      <c r="A5428" s="10">
        <f>IFERROR(__xludf.DUMMYFUNCTION("""COMPUTED_VALUE"""),77253.0)</f>
        <v>77253</v>
      </c>
      <c r="B5428" s="11">
        <f>IFERROR(__xludf.DUMMYFUNCTION("""COMPUTED_VALUE"""),0.0)</f>
        <v>0</v>
      </c>
      <c r="C5428" s="11">
        <f>IFERROR(__xludf.DUMMYFUNCTION("""COMPUTED_VALUE"""),127.0)</f>
        <v>127</v>
      </c>
      <c r="D5428" s="11">
        <f>IFERROR(__xludf.DUMMYFUNCTION("""COMPUTED_VALUE"""),88.0)</f>
        <v>88</v>
      </c>
      <c r="E5428" s="9"/>
    </row>
    <row r="5429">
      <c r="A5429" s="10">
        <f>IFERROR(__xludf.DUMMYFUNCTION("""COMPUTED_VALUE"""),5552.0)</f>
        <v>5552</v>
      </c>
      <c r="B5429" s="11">
        <f>IFERROR(__xludf.DUMMYFUNCTION("""COMPUTED_VALUE"""),0.0)</f>
        <v>0</v>
      </c>
      <c r="C5429" s="11">
        <f>IFERROR(__xludf.DUMMYFUNCTION("""COMPUTED_VALUE"""),70.0)</f>
        <v>70</v>
      </c>
      <c r="D5429" s="11">
        <f>IFERROR(__xludf.DUMMYFUNCTION("""COMPUTED_VALUE"""),66.0)</f>
        <v>66</v>
      </c>
      <c r="E5429" s="9"/>
    </row>
    <row r="5430">
      <c r="A5430" s="10">
        <f>IFERROR(__xludf.DUMMYFUNCTION("""COMPUTED_VALUE"""),73805.0)</f>
        <v>73805</v>
      </c>
      <c r="B5430" s="11">
        <f>IFERROR(__xludf.DUMMYFUNCTION("""COMPUTED_VALUE"""),0.0)</f>
        <v>0</v>
      </c>
      <c r="C5430" s="11">
        <f>IFERROR(__xludf.DUMMYFUNCTION("""COMPUTED_VALUE"""),15.0)</f>
        <v>15</v>
      </c>
      <c r="D5430" s="11">
        <f>IFERROR(__xludf.DUMMYFUNCTION("""COMPUTED_VALUE"""),9.0)</f>
        <v>9</v>
      </c>
      <c r="E5430" s="9"/>
    </row>
    <row r="5431">
      <c r="A5431" s="10">
        <f>IFERROR(__xludf.DUMMYFUNCTION("""COMPUTED_VALUE"""),48403.0)</f>
        <v>48403</v>
      </c>
      <c r="B5431" s="11">
        <f>IFERROR(__xludf.DUMMYFUNCTION("""COMPUTED_VALUE"""),1.0)</f>
        <v>1</v>
      </c>
      <c r="C5431" s="11">
        <f>IFERROR(__xludf.DUMMYFUNCTION("""COMPUTED_VALUE"""),267.0)</f>
        <v>267</v>
      </c>
      <c r="D5431" s="11">
        <f>IFERROR(__xludf.DUMMYFUNCTION("""COMPUTED_VALUE"""),28.0)</f>
        <v>28</v>
      </c>
      <c r="E5431" s="9"/>
    </row>
    <row r="5432">
      <c r="A5432" s="10">
        <f>IFERROR(__xludf.DUMMYFUNCTION("""COMPUTED_VALUE"""),90626.0)</f>
        <v>90626</v>
      </c>
      <c r="B5432" s="11">
        <f>IFERROR(__xludf.DUMMYFUNCTION("""COMPUTED_VALUE"""),0.0)</f>
        <v>0</v>
      </c>
      <c r="C5432" s="11">
        <f>IFERROR(__xludf.DUMMYFUNCTION("""COMPUTED_VALUE"""),236.0)</f>
        <v>236</v>
      </c>
      <c r="D5432" s="11">
        <f>IFERROR(__xludf.DUMMYFUNCTION("""COMPUTED_VALUE"""),172.0)</f>
        <v>172</v>
      </c>
      <c r="E5432" s="9"/>
    </row>
    <row r="5433">
      <c r="A5433" s="10">
        <f>IFERROR(__xludf.DUMMYFUNCTION("""COMPUTED_VALUE"""),147324.0)</f>
        <v>147324</v>
      </c>
      <c r="B5433" s="11">
        <f>IFERROR(__xludf.DUMMYFUNCTION("""COMPUTED_VALUE"""),0.0)</f>
        <v>0</v>
      </c>
      <c r="C5433" s="11">
        <f>IFERROR(__xludf.DUMMYFUNCTION("""COMPUTED_VALUE"""),14.0)</f>
        <v>14</v>
      </c>
      <c r="D5433" s="11">
        <f>IFERROR(__xludf.DUMMYFUNCTION("""COMPUTED_VALUE"""),8.0)</f>
        <v>8</v>
      </c>
      <c r="E5433" s="9"/>
    </row>
    <row r="5434">
      <c r="A5434" s="10">
        <f>IFERROR(__xludf.DUMMYFUNCTION("""COMPUTED_VALUE"""),77411.0)</f>
        <v>77411</v>
      </c>
      <c r="B5434" s="11">
        <f>IFERROR(__xludf.DUMMYFUNCTION("""COMPUTED_VALUE"""),1.0)</f>
        <v>1</v>
      </c>
      <c r="C5434" s="11">
        <f>IFERROR(__xludf.DUMMYFUNCTION("""COMPUTED_VALUE"""),47.0)</f>
        <v>47</v>
      </c>
      <c r="D5434" s="11">
        <f>IFERROR(__xludf.DUMMYFUNCTION("""COMPUTED_VALUE"""),34.0)</f>
        <v>34</v>
      </c>
      <c r="E5434" s="9"/>
    </row>
    <row r="5435">
      <c r="A5435" s="10">
        <f>IFERROR(__xludf.DUMMYFUNCTION("""COMPUTED_VALUE"""),87085.0)</f>
        <v>87085</v>
      </c>
      <c r="B5435" s="11">
        <f>IFERROR(__xludf.DUMMYFUNCTION("""COMPUTED_VALUE"""),1.0)</f>
        <v>1</v>
      </c>
      <c r="C5435" s="11">
        <f>IFERROR(__xludf.DUMMYFUNCTION("""COMPUTED_VALUE"""),370.0)</f>
        <v>370</v>
      </c>
      <c r="D5435" s="11">
        <f>IFERROR(__xludf.DUMMYFUNCTION("""COMPUTED_VALUE"""),363.0)</f>
        <v>363</v>
      </c>
      <c r="E5435" s="9"/>
    </row>
    <row r="5436">
      <c r="A5436" s="10">
        <f>IFERROR(__xludf.DUMMYFUNCTION("""COMPUTED_VALUE"""),76212.0)</f>
        <v>76212</v>
      </c>
      <c r="B5436" s="11">
        <f>IFERROR(__xludf.DUMMYFUNCTION("""COMPUTED_VALUE"""),0.0)</f>
        <v>0</v>
      </c>
      <c r="C5436" s="11">
        <f>IFERROR(__xludf.DUMMYFUNCTION("""COMPUTED_VALUE"""),565.0)</f>
        <v>565</v>
      </c>
      <c r="D5436" s="11">
        <f>IFERROR(__xludf.DUMMYFUNCTION("""COMPUTED_VALUE"""),281.0)</f>
        <v>281</v>
      </c>
      <c r="E5436" s="9"/>
    </row>
    <row r="5437">
      <c r="A5437" s="10">
        <f>IFERROR(__xludf.DUMMYFUNCTION("""COMPUTED_VALUE"""),117655.0)</f>
        <v>117655</v>
      </c>
      <c r="B5437" s="11">
        <f>IFERROR(__xludf.DUMMYFUNCTION("""COMPUTED_VALUE"""),0.0)</f>
        <v>0</v>
      </c>
      <c r="C5437" s="11">
        <f>IFERROR(__xludf.DUMMYFUNCTION("""COMPUTED_VALUE"""),175.0)</f>
        <v>175</v>
      </c>
      <c r="D5437" s="11">
        <f>IFERROR(__xludf.DUMMYFUNCTION("""COMPUTED_VALUE"""),123.0)</f>
        <v>123</v>
      </c>
      <c r="E5437" s="9"/>
    </row>
    <row r="5438">
      <c r="A5438" s="10">
        <f>IFERROR(__xludf.DUMMYFUNCTION("""COMPUTED_VALUE"""),83596.0)</f>
        <v>83596</v>
      </c>
      <c r="B5438" s="11">
        <f>IFERROR(__xludf.DUMMYFUNCTION("""COMPUTED_VALUE"""),1.0)</f>
        <v>1</v>
      </c>
      <c r="C5438" s="11">
        <f>IFERROR(__xludf.DUMMYFUNCTION("""COMPUTED_VALUE"""),211.0)</f>
        <v>211</v>
      </c>
      <c r="D5438" s="11">
        <f>IFERROR(__xludf.DUMMYFUNCTION("""COMPUTED_VALUE"""),90.0)</f>
        <v>90</v>
      </c>
      <c r="E5438" s="9"/>
    </row>
    <row r="5439">
      <c r="A5439" s="10">
        <f>IFERROR(__xludf.DUMMYFUNCTION("""COMPUTED_VALUE"""),5561.0)</f>
        <v>5561</v>
      </c>
      <c r="B5439" s="11">
        <f>IFERROR(__xludf.DUMMYFUNCTION("""COMPUTED_VALUE"""),1.0)</f>
        <v>1</v>
      </c>
      <c r="C5439" s="11">
        <f>IFERROR(__xludf.DUMMYFUNCTION("""COMPUTED_VALUE"""),772.0)</f>
        <v>772</v>
      </c>
      <c r="D5439" s="11">
        <f>IFERROR(__xludf.DUMMYFUNCTION("""COMPUTED_VALUE"""),534.0)</f>
        <v>534</v>
      </c>
      <c r="E5439" s="9"/>
    </row>
    <row r="5440">
      <c r="A5440" s="10">
        <f>IFERROR(__xludf.DUMMYFUNCTION("""COMPUTED_VALUE"""),87304.0)</f>
        <v>87304</v>
      </c>
      <c r="B5440" s="11">
        <f>IFERROR(__xludf.DUMMYFUNCTION("""COMPUTED_VALUE"""),0.0)</f>
        <v>0</v>
      </c>
      <c r="C5440" s="11">
        <f>IFERROR(__xludf.DUMMYFUNCTION("""COMPUTED_VALUE"""),262.0)</f>
        <v>262</v>
      </c>
      <c r="D5440" s="11">
        <f>IFERROR(__xludf.DUMMYFUNCTION("""COMPUTED_VALUE"""),119.0)</f>
        <v>119</v>
      </c>
      <c r="E5440" s="9"/>
    </row>
    <row r="5441">
      <c r="A5441" s="10">
        <f>IFERROR(__xludf.DUMMYFUNCTION("""COMPUTED_VALUE"""),113735.0)</f>
        <v>113735</v>
      </c>
      <c r="B5441" s="11">
        <f>IFERROR(__xludf.DUMMYFUNCTION("""COMPUTED_VALUE"""),1.0)</f>
        <v>1</v>
      </c>
      <c r="C5441" s="11">
        <f>IFERROR(__xludf.DUMMYFUNCTION("""COMPUTED_VALUE"""),656.0)</f>
        <v>656</v>
      </c>
      <c r="D5441" s="11">
        <f>IFERROR(__xludf.DUMMYFUNCTION("""COMPUTED_VALUE"""),499.0)</f>
        <v>499</v>
      </c>
      <c r="E5441" s="9"/>
    </row>
    <row r="5442">
      <c r="A5442" s="10">
        <f>IFERROR(__xludf.DUMMYFUNCTION("""COMPUTED_VALUE"""),90661.0)</f>
        <v>90661</v>
      </c>
      <c r="B5442" s="11">
        <f>IFERROR(__xludf.DUMMYFUNCTION("""COMPUTED_VALUE"""),0.0)</f>
        <v>0</v>
      </c>
      <c r="C5442" s="11">
        <f>IFERROR(__xludf.DUMMYFUNCTION("""COMPUTED_VALUE"""),911.0)</f>
        <v>911</v>
      </c>
      <c r="D5442" s="11">
        <f>IFERROR(__xludf.DUMMYFUNCTION("""COMPUTED_VALUE"""),842.0)</f>
        <v>842</v>
      </c>
      <c r="E5442" s="9"/>
    </row>
    <row r="5443">
      <c r="A5443" s="10">
        <f>IFERROR(__xludf.DUMMYFUNCTION("""COMPUTED_VALUE"""),76281.0)</f>
        <v>76281</v>
      </c>
      <c r="B5443" s="11">
        <f>IFERROR(__xludf.DUMMYFUNCTION("""COMPUTED_VALUE"""),0.0)</f>
        <v>0</v>
      </c>
      <c r="C5443" s="11">
        <f>IFERROR(__xludf.DUMMYFUNCTION("""COMPUTED_VALUE"""),839.0)</f>
        <v>839</v>
      </c>
      <c r="D5443" s="11">
        <f>IFERROR(__xludf.DUMMYFUNCTION("""COMPUTED_VALUE"""),733.0)</f>
        <v>733</v>
      </c>
      <c r="E5443" s="9"/>
    </row>
    <row r="5444">
      <c r="A5444" s="10">
        <f>IFERROR(__xludf.DUMMYFUNCTION("""COMPUTED_VALUE"""),90622.0)</f>
        <v>90622</v>
      </c>
      <c r="B5444" s="11">
        <f>IFERROR(__xludf.DUMMYFUNCTION("""COMPUTED_VALUE"""),0.0)</f>
        <v>0</v>
      </c>
      <c r="C5444" s="11">
        <f>IFERROR(__xludf.DUMMYFUNCTION("""COMPUTED_VALUE"""),53.0)</f>
        <v>53</v>
      </c>
      <c r="D5444" s="11">
        <f>IFERROR(__xludf.DUMMYFUNCTION("""COMPUTED_VALUE"""),31.0)</f>
        <v>31</v>
      </c>
      <c r="E5444" s="9"/>
    </row>
    <row r="5445">
      <c r="A5445" s="10">
        <f>IFERROR(__xludf.DUMMYFUNCTION("""COMPUTED_VALUE"""),90637.0)</f>
        <v>90637</v>
      </c>
      <c r="B5445" s="11">
        <f>IFERROR(__xludf.DUMMYFUNCTION("""COMPUTED_VALUE"""),1.0)</f>
        <v>1</v>
      </c>
      <c r="C5445" s="11">
        <f>IFERROR(__xludf.DUMMYFUNCTION("""COMPUTED_VALUE"""),840.0)</f>
        <v>840</v>
      </c>
      <c r="D5445" s="11">
        <f>IFERROR(__xludf.DUMMYFUNCTION("""COMPUTED_VALUE"""),263.0)</f>
        <v>263</v>
      </c>
      <c r="E5445" s="9"/>
    </row>
    <row r="5446">
      <c r="A5446" s="10">
        <f>IFERROR(__xludf.DUMMYFUNCTION("""COMPUTED_VALUE"""),76208.0)</f>
        <v>76208</v>
      </c>
      <c r="B5446" s="11">
        <f>IFERROR(__xludf.DUMMYFUNCTION("""COMPUTED_VALUE"""),0.0)</f>
        <v>0</v>
      </c>
      <c r="C5446" s="11">
        <f>IFERROR(__xludf.DUMMYFUNCTION("""COMPUTED_VALUE"""),335.0)</f>
        <v>335</v>
      </c>
      <c r="D5446" s="11">
        <f>IFERROR(__xludf.DUMMYFUNCTION("""COMPUTED_VALUE"""),131.0)</f>
        <v>131</v>
      </c>
      <c r="E5446" s="9"/>
    </row>
    <row r="5447">
      <c r="A5447" s="10">
        <f>IFERROR(__xludf.DUMMYFUNCTION("""COMPUTED_VALUE"""),91355.0)</f>
        <v>91355</v>
      </c>
      <c r="B5447" s="11">
        <f>IFERROR(__xludf.DUMMYFUNCTION("""COMPUTED_VALUE"""),0.0)</f>
        <v>0</v>
      </c>
      <c r="C5447" s="11">
        <f>IFERROR(__xludf.DUMMYFUNCTION("""COMPUTED_VALUE"""),293.0)</f>
        <v>293</v>
      </c>
      <c r="D5447" s="11">
        <f>IFERROR(__xludf.DUMMYFUNCTION("""COMPUTED_VALUE"""),42.0)</f>
        <v>42</v>
      </c>
      <c r="E5447" s="9"/>
    </row>
    <row r="5448">
      <c r="A5448" s="10">
        <f>IFERROR(__xludf.DUMMYFUNCTION("""COMPUTED_VALUE"""),122068.0)</f>
        <v>122068</v>
      </c>
      <c r="B5448" s="11">
        <f>IFERROR(__xludf.DUMMYFUNCTION("""COMPUTED_VALUE"""),0.0)</f>
        <v>0</v>
      </c>
      <c r="C5448" s="11">
        <f>IFERROR(__xludf.DUMMYFUNCTION("""COMPUTED_VALUE"""),920.0)</f>
        <v>920</v>
      </c>
      <c r="D5448" s="11">
        <f>IFERROR(__xludf.DUMMYFUNCTION("""COMPUTED_VALUE"""),447.0)</f>
        <v>447</v>
      </c>
      <c r="E5448" s="9"/>
    </row>
    <row r="5449">
      <c r="A5449" s="10">
        <f>IFERROR(__xludf.DUMMYFUNCTION("""COMPUTED_VALUE"""),48404.0)</f>
        <v>48404</v>
      </c>
      <c r="B5449" s="11">
        <f>IFERROR(__xludf.DUMMYFUNCTION("""COMPUTED_VALUE"""),0.0)</f>
        <v>0</v>
      </c>
      <c r="C5449" s="11">
        <f>IFERROR(__xludf.DUMMYFUNCTION("""COMPUTED_VALUE"""),308.0)</f>
        <v>308</v>
      </c>
      <c r="D5449" s="11">
        <f>IFERROR(__xludf.DUMMYFUNCTION("""COMPUTED_VALUE"""),284.0)</f>
        <v>284</v>
      </c>
      <c r="E5449" s="9"/>
    </row>
    <row r="5450">
      <c r="A5450" s="10">
        <f>IFERROR(__xludf.DUMMYFUNCTION("""COMPUTED_VALUE"""),5553.0)</f>
        <v>5553</v>
      </c>
      <c r="B5450" s="11">
        <f>IFERROR(__xludf.DUMMYFUNCTION("""COMPUTED_VALUE"""),1.0)</f>
        <v>1</v>
      </c>
      <c r="C5450" s="11">
        <f>IFERROR(__xludf.DUMMYFUNCTION("""COMPUTED_VALUE"""),810.0)</f>
        <v>810</v>
      </c>
      <c r="D5450" s="11">
        <f>IFERROR(__xludf.DUMMYFUNCTION("""COMPUTED_VALUE"""),698.0)</f>
        <v>698</v>
      </c>
      <c r="E5450" s="9"/>
    </row>
    <row r="5451">
      <c r="A5451" s="10">
        <f>IFERROR(__xludf.DUMMYFUNCTION("""COMPUTED_VALUE"""),76282.0)</f>
        <v>76282</v>
      </c>
      <c r="B5451" s="11">
        <f>IFERROR(__xludf.DUMMYFUNCTION("""COMPUTED_VALUE"""),1.0)</f>
        <v>1</v>
      </c>
      <c r="C5451" s="11">
        <f>IFERROR(__xludf.DUMMYFUNCTION("""COMPUTED_VALUE"""),362.0)</f>
        <v>362</v>
      </c>
      <c r="D5451" s="11">
        <f>IFERROR(__xludf.DUMMYFUNCTION("""COMPUTED_VALUE"""),37.0)</f>
        <v>37</v>
      </c>
      <c r="E5451" s="9"/>
    </row>
    <row r="5452">
      <c r="A5452" s="10">
        <f>IFERROR(__xludf.DUMMYFUNCTION("""COMPUTED_VALUE"""),5554.0)</f>
        <v>5554</v>
      </c>
      <c r="B5452" s="11">
        <f>IFERROR(__xludf.DUMMYFUNCTION("""COMPUTED_VALUE"""),1.0)</f>
        <v>1</v>
      </c>
      <c r="C5452" s="11">
        <f>IFERROR(__xludf.DUMMYFUNCTION("""COMPUTED_VALUE"""),357.0)</f>
        <v>357</v>
      </c>
      <c r="D5452" s="11">
        <f>IFERROR(__xludf.DUMMYFUNCTION("""COMPUTED_VALUE"""),49.0)</f>
        <v>49</v>
      </c>
      <c r="E5452" s="9"/>
    </row>
    <row r="5453">
      <c r="A5453" s="10">
        <f>IFERROR(__xludf.DUMMYFUNCTION("""COMPUTED_VALUE"""),77408.0)</f>
        <v>77408</v>
      </c>
      <c r="B5453" s="11">
        <f>IFERROR(__xludf.DUMMYFUNCTION("""COMPUTED_VALUE"""),0.0)</f>
        <v>0</v>
      </c>
      <c r="C5453" s="11">
        <f>IFERROR(__xludf.DUMMYFUNCTION("""COMPUTED_VALUE"""),847.0)</f>
        <v>847</v>
      </c>
      <c r="D5453" s="11">
        <f>IFERROR(__xludf.DUMMYFUNCTION("""COMPUTED_VALUE"""),252.0)</f>
        <v>252</v>
      </c>
      <c r="E5453" s="9"/>
    </row>
    <row r="5454">
      <c r="A5454" s="10">
        <f>IFERROR(__xludf.DUMMYFUNCTION("""COMPUTED_VALUE"""),147312.0)</f>
        <v>147312</v>
      </c>
      <c r="B5454" s="11">
        <f>IFERROR(__xludf.DUMMYFUNCTION("""COMPUTED_VALUE"""),0.0)</f>
        <v>0</v>
      </c>
      <c r="C5454" s="11">
        <f>IFERROR(__xludf.DUMMYFUNCTION("""COMPUTED_VALUE"""),436.0)</f>
        <v>436</v>
      </c>
      <c r="D5454" s="11">
        <f>IFERROR(__xludf.DUMMYFUNCTION("""COMPUTED_VALUE"""),80.0)</f>
        <v>80</v>
      </c>
      <c r="E5454" s="9"/>
    </row>
    <row r="5455">
      <c r="A5455" s="10">
        <f>IFERROR(__xludf.DUMMYFUNCTION("""COMPUTED_VALUE"""),113741.0)</f>
        <v>113741</v>
      </c>
      <c r="B5455" s="11">
        <f>IFERROR(__xludf.DUMMYFUNCTION("""COMPUTED_VALUE"""),1.0)</f>
        <v>1</v>
      </c>
      <c r="C5455" s="11">
        <f>IFERROR(__xludf.DUMMYFUNCTION("""COMPUTED_VALUE"""),258.0)</f>
        <v>258</v>
      </c>
      <c r="D5455" s="11">
        <f>IFERROR(__xludf.DUMMYFUNCTION("""COMPUTED_VALUE"""),56.0)</f>
        <v>56</v>
      </c>
      <c r="E5455" s="9"/>
    </row>
    <row r="5456">
      <c r="A5456" s="10">
        <f>IFERROR(__xludf.DUMMYFUNCTION("""COMPUTED_VALUE"""),76290.0)</f>
        <v>76290</v>
      </c>
      <c r="B5456" s="11">
        <f>IFERROR(__xludf.DUMMYFUNCTION("""COMPUTED_VALUE"""),1.0)</f>
        <v>1</v>
      </c>
      <c r="C5456" s="11">
        <f>IFERROR(__xludf.DUMMYFUNCTION("""COMPUTED_VALUE"""),753.0)</f>
        <v>753</v>
      </c>
      <c r="D5456" s="11">
        <f>IFERROR(__xludf.DUMMYFUNCTION("""COMPUTED_VALUE"""),290.0)</f>
        <v>290</v>
      </c>
      <c r="E5456" s="9"/>
    </row>
    <row r="5457">
      <c r="A5457" s="10">
        <f>IFERROR(__xludf.DUMMYFUNCTION("""COMPUTED_VALUE"""),5559.0)</f>
        <v>5559</v>
      </c>
      <c r="B5457" s="11">
        <f>IFERROR(__xludf.DUMMYFUNCTION("""COMPUTED_VALUE"""),1.0)</f>
        <v>1</v>
      </c>
      <c r="C5457" s="11">
        <f>IFERROR(__xludf.DUMMYFUNCTION("""COMPUTED_VALUE"""),190.0)</f>
        <v>190</v>
      </c>
      <c r="D5457" s="11">
        <f>IFERROR(__xludf.DUMMYFUNCTION("""COMPUTED_VALUE"""),183.0)</f>
        <v>183</v>
      </c>
      <c r="E5457" s="9"/>
    </row>
    <row r="5458">
      <c r="A5458" s="10">
        <f>IFERROR(__xludf.DUMMYFUNCTION("""COMPUTED_VALUE"""),68351.0)</f>
        <v>68351</v>
      </c>
      <c r="B5458" s="11">
        <f>IFERROR(__xludf.DUMMYFUNCTION("""COMPUTED_VALUE"""),0.0)</f>
        <v>0</v>
      </c>
      <c r="C5458" s="11">
        <f>IFERROR(__xludf.DUMMYFUNCTION("""COMPUTED_VALUE"""),714.0)</f>
        <v>714</v>
      </c>
      <c r="D5458" s="11">
        <f>IFERROR(__xludf.DUMMYFUNCTION("""COMPUTED_VALUE"""),441.0)</f>
        <v>441</v>
      </c>
      <c r="E5458" s="9"/>
    </row>
    <row r="5459">
      <c r="A5459" s="10">
        <f>IFERROR(__xludf.DUMMYFUNCTION("""COMPUTED_VALUE"""),113736.0)</f>
        <v>113736</v>
      </c>
      <c r="B5459" s="11">
        <f>IFERROR(__xludf.DUMMYFUNCTION("""COMPUTED_VALUE"""),0.0)</f>
        <v>0</v>
      </c>
      <c r="C5459" s="11">
        <f>IFERROR(__xludf.DUMMYFUNCTION("""COMPUTED_VALUE"""),577.0)</f>
        <v>577</v>
      </c>
      <c r="D5459" s="11">
        <f>IFERROR(__xludf.DUMMYFUNCTION("""COMPUTED_VALUE"""),536.0)</f>
        <v>536</v>
      </c>
      <c r="E5459" s="9"/>
    </row>
    <row r="5460">
      <c r="A5460" s="10">
        <f>IFERROR(__xludf.DUMMYFUNCTION("""COMPUTED_VALUE"""),113738.0)</f>
        <v>113738</v>
      </c>
      <c r="B5460" s="11">
        <f>IFERROR(__xludf.DUMMYFUNCTION("""COMPUTED_VALUE"""),1.0)</f>
        <v>1</v>
      </c>
      <c r="C5460" s="11">
        <f>IFERROR(__xludf.DUMMYFUNCTION("""COMPUTED_VALUE"""),430.0)</f>
        <v>430</v>
      </c>
      <c r="D5460" s="11">
        <f>IFERROR(__xludf.DUMMYFUNCTION("""COMPUTED_VALUE"""),337.0)</f>
        <v>337</v>
      </c>
      <c r="E5460" s="9"/>
    </row>
    <row r="5461">
      <c r="A5461" s="10">
        <f>IFERROR(__xludf.DUMMYFUNCTION("""COMPUTED_VALUE"""),113737.0)</f>
        <v>113737</v>
      </c>
      <c r="B5461" s="11">
        <f>IFERROR(__xludf.DUMMYFUNCTION("""COMPUTED_VALUE"""),1.0)</f>
        <v>1</v>
      </c>
      <c r="C5461" s="11">
        <f>IFERROR(__xludf.DUMMYFUNCTION("""COMPUTED_VALUE"""),434.0)</f>
        <v>434</v>
      </c>
      <c r="D5461" s="11">
        <f>IFERROR(__xludf.DUMMYFUNCTION("""COMPUTED_VALUE"""),17.0)</f>
        <v>17</v>
      </c>
      <c r="E5461" s="9"/>
    </row>
    <row r="5462">
      <c r="A5462" s="10">
        <f>IFERROR(__xludf.DUMMYFUNCTION("""COMPUTED_VALUE"""),73767.0)</f>
        <v>73767</v>
      </c>
      <c r="B5462" s="11">
        <f>IFERROR(__xludf.DUMMYFUNCTION("""COMPUTED_VALUE"""),1.0)</f>
        <v>1</v>
      </c>
      <c r="C5462" s="11">
        <f>IFERROR(__xludf.DUMMYFUNCTION("""COMPUTED_VALUE"""),151.0)</f>
        <v>151</v>
      </c>
      <c r="D5462" s="11">
        <f>IFERROR(__xludf.DUMMYFUNCTION("""COMPUTED_VALUE"""),71.0)</f>
        <v>71</v>
      </c>
      <c r="E5462" s="9"/>
    </row>
    <row r="5463">
      <c r="A5463" s="10">
        <f>IFERROR(__xludf.DUMMYFUNCTION("""COMPUTED_VALUE"""),89559.0)</f>
        <v>89559</v>
      </c>
      <c r="B5463" s="11">
        <f>IFERROR(__xludf.DUMMYFUNCTION("""COMPUTED_VALUE"""),0.0)</f>
        <v>0</v>
      </c>
      <c r="C5463" s="11">
        <f>IFERROR(__xludf.DUMMYFUNCTION("""COMPUTED_VALUE"""),697.0)</f>
        <v>697</v>
      </c>
      <c r="D5463" s="11">
        <f>IFERROR(__xludf.DUMMYFUNCTION("""COMPUTED_VALUE"""),674.0)</f>
        <v>674</v>
      </c>
      <c r="E5463" s="9"/>
    </row>
    <row r="5464">
      <c r="A5464" s="10">
        <f>IFERROR(__xludf.DUMMYFUNCTION("""COMPUTED_VALUE"""),102720.0)</f>
        <v>102720</v>
      </c>
      <c r="B5464" s="11">
        <f>IFERROR(__xludf.DUMMYFUNCTION("""COMPUTED_VALUE"""),0.0)</f>
        <v>0</v>
      </c>
      <c r="C5464" s="11">
        <f>IFERROR(__xludf.DUMMYFUNCTION("""COMPUTED_VALUE"""),936.0)</f>
        <v>936</v>
      </c>
      <c r="D5464" s="11">
        <f>IFERROR(__xludf.DUMMYFUNCTION("""COMPUTED_VALUE"""),165.0)</f>
        <v>165</v>
      </c>
      <c r="E5464" s="9"/>
    </row>
    <row r="5465">
      <c r="A5465" s="10">
        <f>IFERROR(__xludf.DUMMYFUNCTION("""COMPUTED_VALUE"""),114668.0)</f>
        <v>114668</v>
      </c>
      <c r="B5465" s="11">
        <f>IFERROR(__xludf.DUMMYFUNCTION("""COMPUTED_VALUE"""),1.0)</f>
        <v>1</v>
      </c>
      <c r="C5465" s="11">
        <f>IFERROR(__xludf.DUMMYFUNCTION("""COMPUTED_VALUE"""),496.0)</f>
        <v>496</v>
      </c>
      <c r="D5465" s="11">
        <f>IFERROR(__xludf.DUMMYFUNCTION("""COMPUTED_VALUE"""),75.0)</f>
        <v>75</v>
      </c>
      <c r="E5465" s="9"/>
    </row>
    <row r="5466">
      <c r="A5466" s="10">
        <f>IFERROR(__xludf.DUMMYFUNCTION("""COMPUTED_VALUE"""),159208.0)</f>
        <v>159208</v>
      </c>
      <c r="B5466" s="11">
        <f>IFERROR(__xludf.DUMMYFUNCTION("""COMPUTED_VALUE"""),1.0)</f>
        <v>1</v>
      </c>
      <c r="C5466" s="11">
        <f>IFERROR(__xludf.DUMMYFUNCTION("""COMPUTED_VALUE"""),469.0)</f>
        <v>469</v>
      </c>
      <c r="D5466" s="11">
        <f>IFERROR(__xludf.DUMMYFUNCTION("""COMPUTED_VALUE"""),61.0)</f>
        <v>61</v>
      </c>
      <c r="E5466" s="9"/>
    </row>
    <row r="5467">
      <c r="A5467" s="10">
        <f>IFERROR(__xludf.DUMMYFUNCTION("""COMPUTED_VALUE"""),108476.0)</f>
        <v>108476</v>
      </c>
      <c r="B5467" s="11">
        <f>IFERROR(__xludf.DUMMYFUNCTION("""COMPUTED_VALUE"""),0.0)</f>
        <v>0</v>
      </c>
      <c r="C5467" s="11">
        <f>IFERROR(__xludf.DUMMYFUNCTION("""COMPUTED_VALUE"""),783.0)</f>
        <v>783</v>
      </c>
      <c r="D5467" s="11">
        <f>IFERROR(__xludf.DUMMYFUNCTION("""COMPUTED_VALUE"""),677.0)</f>
        <v>677</v>
      </c>
      <c r="E5467" s="9"/>
    </row>
    <row r="5468">
      <c r="A5468" s="10">
        <f>IFERROR(__xludf.DUMMYFUNCTION("""COMPUTED_VALUE"""),76603.0)</f>
        <v>76603</v>
      </c>
      <c r="B5468" s="11">
        <f>IFERROR(__xludf.DUMMYFUNCTION("""COMPUTED_VALUE"""),1.0)</f>
        <v>1</v>
      </c>
      <c r="C5468" s="11">
        <f>IFERROR(__xludf.DUMMYFUNCTION("""COMPUTED_VALUE"""),879.0)</f>
        <v>879</v>
      </c>
      <c r="D5468" s="11">
        <f>IFERROR(__xludf.DUMMYFUNCTION("""COMPUTED_VALUE"""),357.0)</f>
        <v>357</v>
      </c>
      <c r="E5468" s="9"/>
    </row>
    <row r="5469">
      <c r="A5469" s="10">
        <f>IFERROR(__xludf.DUMMYFUNCTION("""COMPUTED_VALUE"""),117672.0)</f>
        <v>117672</v>
      </c>
      <c r="B5469" s="11">
        <f>IFERROR(__xludf.DUMMYFUNCTION("""COMPUTED_VALUE"""),1.0)</f>
        <v>1</v>
      </c>
      <c r="C5469" s="11">
        <f>IFERROR(__xludf.DUMMYFUNCTION("""COMPUTED_VALUE"""),609.0)</f>
        <v>609</v>
      </c>
      <c r="D5469" s="11">
        <f>IFERROR(__xludf.DUMMYFUNCTION("""COMPUTED_VALUE"""),60.0)</f>
        <v>60</v>
      </c>
      <c r="E5469" s="9"/>
    </row>
    <row r="5470">
      <c r="A5470" s="10">
        <f>IFERROR(__xludf.DUMMYFUNCTION("""COMPUTED_VALUE"""),73968.0)</f>
        <v>73968</v>
      </c>
      <c r="B5470" s="11">
        <f>IFERROR(__xludf.DUMMYFUNCTION("""COMPUTED_VALUE"""),0.0)</f>
        <v>0</v>
      </c>
      <c r="C5470" s="11">
        <f>IFERROR(__xludf.DUMMYFUNCTION("""COMPUTED_VALUE"""),459.0)</f>
        <v>459</v>
      </c>
      <c r="D5470" s="11">
        <f>IFERROR(__xludf.DUMMYFUNCTION("""COMPUTED_VALUE"""),290.0)</f>
        <v>290</v>
      </c>
      <c r="E5470" s="9"/>
    </row>
    <row r="5471">
      <c r="A5471" s="10">
        <f>IFERROR(__xludf.DUMMYFUNCTION("""COMPUTED_VALUE"""),73967.0)</f>
        <v>73967</v>
      </c>
      <c r="B5471" s="11">
        <f>IFERROR(__xludf.DUMMYFUNCTION("""COMPUTED_VALUE"""),0.0)</f>
        <v>0</v>
      </c>
      <c r="C5471" s="11">
        <f>IFERROR(__xludf.DUMMYFUNCTION("""COMPUTED_VALUE"""),171.0)</f>
        <v>171</v>
      </c>
      <c r="D5471" s="11">
        <f>IFERROR(__xludf.DUMMYFUNCTION("""COMPUTED_VALUE"""),97.0)</f>
        <v>97</v>
      </c>
      <c r="E5471" s="9"/>
    </row>
    <row r="5472">
      <c r="A5472" s="10">
        <f>IFERROR(__xludf.DUMMYFUNCTION("""COMPUTED_VALUE"""),159209.0)</f>
        <v>159209</v>
      </c>
      <c r="B5472" s="11">
        <f>IFERROR(__xludf.DUMMYFUNCTION("""COMPUTED_VALUE"""),0.0)</f>
        <v>0</v>
      </c>
      <c r="C5472" s="11">
        <f>IFERROR(__xludf.DUMMYFUNCTION("""COMPUTED_VALUE"""),140.0)</f>
        <v>140</v>
      </c>
      <c r="D5472" s="11">
        <f>IFERROR(__xludf.DUMMYFUNCTION("""COMPUTED_VALUE"""),71.0)</f>
        <v>71</v>
      </c>
      <c r="E5472" s="9"/>
    </row>
    <row r="5473">
      <c r="A5473" s="10">
        <f>IFERROR(__xludf.DUMMYFUNCTION("""COMPUTED_VALUE"""),90675.0)</f>
        <v>90675</v>
      </c>
      <c r="B5473" s="11">
        <f>IFERROR(__xludf.DUMMYFUNCTION("""COMPUTED_VALUE"""),1.0)</f>
        <v>1</v>
      </c>
      <c r="C5473" s="11">
        <f>IFERROR(__xludf.DUMMYFUNCTION("""COMPUTED_VALUE"""),903.0)</f>
        <v>903</v>
      </c>
      <c r="D5473" s="11">
        <f>IFERROR(__xludf.DUMMYFUNCTION("""COMPUTED_VALUE"""),539.0)</f>
        <v>539</v>
      </c>
      <c r="E5473" s="9"/>
    </row>
    <row r="5474">
      <c r="A5474" s="10">
        <f>IFERROR(__xludf.DUMMYFUNCTION("""COMPUTED_VALUE"""),117671.0)</f>
        <v>117671</v>
      </c>
      <c r="B5474" s="11">
        <f>IFERROR(__xludf.DUMMYFUNCTION("""COMPUTED_VALUE"""),1.0)</f>
        <v>1</v>
      </c>
      <c r="C5474" s="11">
        <f>IFERROR(__xludf.DUMMYFUNCTION("""COMPUTED_VALUE"""),630.0)</f>
        <v>630</v>
      </c>
      <c r="D5474" s="11">
        <f>IFERROR(__xludf.DUMMYFUNCTION("""COMPUTED_VALUE"""),314.0)</f>
        <v>314</v>
      </c>
      <c r="E5474" s="9"/>
    </row>
    <row r="5475">
      <c r="A5475" s="10">
        <f>IFERROR(__xludf.DUMMYFUNCTION("""COMPUTED_VALUE"""),100015.0)</f>
        <v>100015</v>
      </c>
      <c r="B5475" s="11">
        <f>IFERROR(__xludf.DUMMYFUNCTION("""COMPUTED_VALUE"""),1.0)</f>
        <v>1</v>
      </c>
      <c r="C5475" s="11">
        <f>IFERROR(__xludf.DUMMYFUNCTION("""COMPUTED_VALUE"""),375.0)</f>
        <v>375</v>
      </c>
      <c r="D5475" s="11">
        <f>IFERROR(__xludf.DUMMYFUNCTION("""COMPUTED_VALUE"""),131.0)</f>
        <v>131</v>
      </c>
      <c r="E5475" s="9"/>
    </row>
    <row r="5476">
      <c r="A5476" s="10">
        <f>IFERROR(__xludf.DUMMYFUNCTION("""COMPUTED_VALUE"""),90680.0)</f>
        <v>90680</v>
      </c>
      <c r="B5476" s="11">
        <f>IFERROR(__xludf.DUMMYFUNCTION("""COMPUTED_VALUE"""),1.0)</f>
        <v>1</v>
      </c>
      <c r="C5476" s="11">
        <f>IFERROR(__xludf.DUMMYFUNCTION("""COMPUTED_VALUE"""),821.0)</f>
        <v>821</v>
      </c>
      <c r="D5476" s="11">
        <f>IFERROR(__xludf.DUMMYFUNCTION("""COMPUTED_VALUE"""),313.0)</f>
        <v>313</v>
      </c>
      <c r="E5476" s="9"/>
    </row>
    <row r="5477">
      <c r="A5477" s="10">
        <f>IFERROR(__xludf.DUMMYFUNCTION("""COMPUTED_VALUE"""),88351.0)</f>
        <v>88351</v>
      </c>
      <c r="B5477" s="11">
        <f>IFERROR(__xludf.DUMMYFUNCTION("""COMPUTED_VALUE"""),1.0)</f>
        <v>1</v>
      </c>
      <c r="C5477" s="11">
        <f>IFERROR(__xludf.DUMMYFUNCTION("""COMPUTED_VALUE"""),266.0)</f>
        <v>266</v>
      </c>
      <c r="D5477" s="11">
        <f>IFERROR(__xludf.DUMMYFUNCTION("""COMPUTED_VALUE"""),112.0)</f>
        <v>112</v>
      </c>
      <c r="E5477" s="9"/>
    </row>
    <row r="5478">
      <c r="A5478" s="10">
        <f>IFERROR(__xludf.DUMMYFUNCTION("""COMPUTED_VALUE"""),108475.0)</f>
        <v>108475</v>
      </c>
      <c r="B5478" s="11">
        <f>IFERROR(__xludf.DUMMYFUNCTION("""COMPUTED_VALUE"""),1.0)</f>
        <v>1</v>
      </c>
      <c r="C5478" s="11">
        <f>IFERROR(__xludf.DUMMYFUNCTION("""COMPUTED_VALUE"""),341.0)</f>
        <v>341</v>
      </c>
      <c r="D5478" s="11">
        <f>IFERROR(__xludf.DUMMYFUNCTION("""COMPUTED_VALUE"""),122.0)</f>
        <v>122</v>
      </c>
      <c r="E5478" s="9"/>
    </row>
    <row r="5479">
      <c r="A5479" s="10">
        <f>IFERROR(__xludf.DUMMYFUNCTION("""COMPUTED_VALUE"""),90676.0)</f>
        <v>90676</v>
      </c>
      <c r="B5479" s="11">
        <f>IFERROR(__xludf.DUMMYFUNCTION("""COMPUTED_VALUE"""),1.0)</f>
        <v>1</v>
      </c>
      <c r="C5479" s="11">
        <f>IFERROR(__xludf.DUMMYFUNCTION("""COMPUTED_VALUE"""),10.0)</f>
        <v>10</v>
      </c>
      <c r="D5479" s="11">
        <f>IFERROR(__xludf.DUMMYFUNCTION("""COMPUTED_VALUE"""),5.0)</f>
        <v>5</v>
      </c>
      <c r="E5479" s="9"/>
    </row>
    <row r="5480">
      <c r="A5480" s="10">
        <f>IFERROR(__xludf.DUMMYFUNCTION("""COMPUTED_VALUE"""),43118.0)</f>
        <v>43118</v>
      </c>
      <c r="B5480" s="11">
        <f>IFERROR(__xludf.DUMMYFUNCTION("""COMPUTED_VALUE"""),0.0)</f>
        <v>0</v>
      </c>
      <c r="C5480" s="11">
        <f>IFERROR(__xludf.DUMMYFUNCTION("""COMPUTED_VALUE"""),967.0)</f>
        <v>967</v>
      </c>
      <c r="D5480" s="11">
        <f>IFERROR(__xludf.DUMMYFUNCTION("""COMPUTED_VALUE"""),728.0)</f>
        <v>728</v>
      </c>
      <c r="E5480" s="9"/>
    </row>
    <row r="5481">
      <c r="A5481" s="10">
        <f>IFERROR(__xludf.DUMMYFUNCTION("""COMPUTED_VALUE"""),112472.0)</f>
        <v>112472</v>
      </c>
      <c r="B5481" s="11">
        <f>IFERROR(__xludf.DUMMYFUNCTION("""COMPUTED_VALUE"""),0.0)</f>
        <v>0</v>
      </c>
      <c r="C5481" s="11">
        <f>IFERROR(__xludf.DUMMYFUNCTION("""COMPUTED_VALUE"""),656.0)</f>
        <v>656</v>
      </c>
      <c r="D5481" s="11">
        <f>IFERROR(__xludf.DUMMYFUNCTION("""COMPUTED_VALUE"""),123.0)</f>
        <v>123</v>
      </c>
      <c r="E5481" s="9"/>
    </row>
    <row r="5482">
      <c r="A5482" s="10">
        <f>IFERROR(__xludf.DUMMYFUNCTION("""COMPUTED_VALUE"""),108083.0)</f>
        <v>108083</v>
      </c>
      <c r="B5482" s="11">
        <f>IFERROR(__xludf.DUMMYFUNCTION("""COMPUTED_VALUE"""),0.0)</f>
        <v>0</v>
      </c>
      <c r="C5482" s="11">
        <f>IFERROR(__xludf.DUMMYFUNCTION("""COMPUTED_VALUE"""),853.0)</f>
        <v>853</v>
      </c>
      <c r="D5482" s="11">
        <f>IFERROR(__xludf.DUMMYFUNCTION("""COMPUTED_VALUE"""),153.0)</f>
        <v>153</v>
      </c>
      <c r="E5482" s="9"/>
    </row>
    <row r="5483">
      <c r="A5483" s="10">
        <f>IFERROR(__xludf.DUMMYFUNCTION("""COMPUTED_VALUE"""),133907.0)</f>
        <v>133907</v>
      </c>
      <c r="B5483" s="11">
        <f>IFERROR(__xludf.DUMMYFUNCTION("""COMPUTED_VALUE"""),1.0)</f>
        <v>1</v>
      </c>
      <c r="C5483" s="11">
        <f>IFERROR(__xludf.DUMMYFUNCTION("""COMPUTED_VALUE"""),879.0)</f>
        <v>879</v>
      </c>
      <c r="D5483" s="11">
        <f>IFERROR(__xludf.DUMMYFUNCTION("""COMPUTED_VALUE"""),858.0)</f>
        <v>858</v>
      </c>
      <c r="E5483" s="9"/>
    </row>
    <row r="5484">
      <c r="A5484" s="10">
        <f>IFERROR(__xludf.DUMMYFUNCTION("""COMPUTED_VALUE"""),45176.0)</f>
        <v>45176</v>
      </c>
      <c r="B5484" s="11">
        <f>IFERROR(__xludf.DUMMYFUNCTION("""COMPUTED_VALUE"""),1.0)</f>
        <v>1</v>
      </c>
      <c r="C5484" s="11">
        <f>IFERROR(__xludf.DUMMYFUNCTION("""COMPUTED_VALUE"""),780.0)</f>
        <v>780</v>
      </c>
      <c r="D5484" s="11">
        <f>IFERROR(__xludf.DUMMYFUNCTION("""COMPUTED_VALUE"""),514.0)</f>
        <v>514</v>
      </c>
      <c r="E5484" s="9"/>
    </row>
    <row r="5485">
      <c r="A5485" s="10">
        <f>IFERROR(__xludf.DUMMYFUNCTION("""COMPUTED_VALUE"""),5480.0)</f>
        <v>5480</v>
      </c>
      <c r="B5485" s="11">
        <f>IFERROR(__xludf.DUMMYFUNCTION("""COMPUTED_VALUE"""),1.0)</f>
        <v>1</v>
      </c>
      <c r="C5485" s="11">
        <f>IFERROR(__xludf.DUMMYFUNCTION("""COMPUTED_VALUE"""),852.0)</f>
        <v>852</v>
      </c>
      <c r="D5485" s="11">
        <f>IFERROR(__xludf.DUMMYFUNCTION("""COMPUTED_VALUE"""),339.0)</f>
        <v>339</v>
      </c>
      <c r="E5485" s="9"/>
    </row>
    <row r="5486">
      <c r="A5486" s="10">
        <f>IFERROR(__xludf.DUMMYFUNCTION("""COMPUTED_VALUE"""),119086.0)</f>
        <v>119086</v>
      </c>
      <c r="B5486" s="11">
        <f>IFERROR(__xludf.DUMMYFUNCTION("""COMPUTED_VALUE"""),1.0)</f>
        <v>1</v>
      </c>
      <c r="C5486" s="11">
        <f>IFERROR(__xludf.DUMMYFUNCTION("""COMPUTED_VALUE"""),295.0)</f>
        <v>295</v>
      </c>
      <c r="D5486" s="11">
        <f>IFERROR(__xludf.DUMMYFUNCTION("""COMPUTED_VALUE"""),144.0)</f>
        <v>144</v>
      </c>
      <c r="E5486" s="9"/>
    </row>
    <row r="5487">
      <c r="A5487" s="10">
        <f>IFERROR(__xludf.DUMMYFUNCTION("""COMPUTED_VALUE"""),108084.0)</f>
        <v>108084</v>
      </c>
      <c r="B5487" s="11">
        <f>IFERROR(__xludf.DUMMYFUNCTION("""COMPUTED_VALUE"""),1.0)</f>
        <v>1</v>
      </c>
      <c r="C5487" s="11">
        <f>IFERROR(__xludf.DUMMYFUNCTION("""COMPUTED_VALUE"""),796.0)</f>
        <v>796</v>
      </c>
      <c r="D5487" s="11">
        <f>IFERROR(__xludf.DUMMYFUNCTION("""COMPUTED_VALUE"""),278.0)</f>
        <v>278</v>
      </c>
      <c r="E5487" s="9"/>
    </row>
    <row r="5488">
      <c r="A5488" s="10">
        <f>IFERROR(__xludf.DUMMYFUNCTION("""COMPUTED_VALUE"""),45192.0)</f>
        <v>45192</v>
      </c>
      <c r="B5488" s="11">
        <f>IFERROR(__xludf.DUMMYFUNCTION("""COMPUTED_VALUE"""),1.0)</f>
        <v>1</v>
      </c>
      <c r="C5488" s="11">
        <f>IFERROR(__xludf.DUMMYFUNCTION("""COMPUTED_VALUE"""),12.0)</f>
        <v>12</v>
      </c>
      <c r="D5488" s="11">
        <f>IFERROR(__xludf.DUMMYFUNCTION("""COMPUTED_VALUE"""),4.0)</f>
        <v>4</v>
      </c>
      <c r="E5488" s="9"/>
    </row>
    <row r="5489">
      <c r="A5489" s="10">
        <f>IFERROR(__xludf.DUMMYFUNCTION("""COMPUTED_VALUE"""),26320.0)</f>
        <v>26320</v>
      </c>
      <c r="B5489" s="11">
        <f>IFERROR(__xludf.DUMMYFUNCTION("""COMPUTED_VALUE"""),0.0)</f>
        <v>0</v>
      </c>
      <c r="C5489" s="11">
        <f>IFERROR(__xludf.DUMMYFUNCTION("""COMPUTED_VALUE"""),739.0)</f>
        <v>739</v>
      </c>
      <c r="D5489" s="11">
        <f>IFERROR(__xludf.DUMMYFUNCTION("""COMPUTED_VALUE"""),416.0)</f>
        <v>416</v>
      </c>
      <c r="E5489" s="9"/>
    </row>
    <row r="5490">
      <c r="A5490" s="10">
        <f>IFERROR(__xludf.DUMMYFUNCTION("""COMPUTED_VALUE"""),133910.0)</f>
        <v>133910</v>
      </c>
      <c r="B5490" s="11">
        <f>IFERROR(__xludf.DUMMYFUNCTION("""COMPUTED_VALUE"""),0.0)</f>
        <v>0</v>
      </c>
      <c r="C5490" s="11">
        <f>IFERROR(__xludf.DUMMYFUNCTION("""COMPUTED_VALUE"""),564.0)</f>
        <v>564</v>
      </c>
      <c r="D5490" s="11">
        <f>IFERROR(__xludf.DUMMYFUNCTION("""COMPUTED_VALUE"""),112.0)</f>
        <v>112</v>
      </c>
      <c r="E5490" s="9"/>
    </row>
    <row r="5491">
      <c r="A5491" s="10">
        <f>IFERROR(__xludf.DUMMYFUNCTION("""COMPUTED_VALUE"""),133908.0)</f>
        <v>133908</v>
      </c>
      <c r="B5491" s="11">
        <f>IFERROR(__xludf.DUMMYFUNCTION("""COMPUTED_VALUE"""),0.0)</f>
        <v>0</v>
      </c>
      <c r="C5491" s="11">
        <f>IFERROR(__xludf.DUMMYFUNCTION("""COMPUTED_VALUE"""),86.0)</f>
        <v>86</v>
      </c>
      <c r="D5491" s="11">
        <f>IFERROR(__xludf.DUMMYFUNCTION("""COMPUTED_VALUE"""),12.0)</f>
        <v>12</v>
      </c>
      <c r="E5491" s="9"/>
    </row>
    <row r="5492">
      <c r="A5492" s="10">
        <f>IFERROR(__xludf.DUMMYFUNCTION("""COMPUTED_VALUE"""),9646.0)</f>
        <v>9646</v>
      </c>
      <c r="B5492" s="11">
        <f>IFERROR(__xludf.DUMMYFUNCTION("""COMPUTED_VALUE"""),0.0)</f>
        <v>0</v>
      </c>
      <c r="C5492" s="11">
        <f>IFERROR(__xludf.DUMMYFUNCTION("""COMPUTED_VALUE"""),954.0)</f>
        <v>954</v>
      </c>
      <c r="D5492" s="11">
        <f>IFERROR(__xludf.DUMMYFUNCTION("""COMPUTED_VALUE"""),704.0)</f>
        <v>704</v>
      </c>
      <c r="E5492" s="9"/>
    </row>
    <row r="5493">
      <c r="A5493" s="10">
        <f>IFERROR(__xludf.DUMMYFUNCTION("""COMPUTED_VALUE"""),108091.0)</f>
        <v>108091</v>
      </c>
      <c r="B5493" s="11">
        <f>IFERROR(__xludf.DUMMYFUNCTION("""COMPUTED_VALUE"""),1.0)</f>
        <v>1</v>
      </c>
      <c r="C5493" s="11">
        <f>IFERROR(__xludf.DUMMYFUNCTION("""COMPUTED_VALUE"""),97.0)</f>
        <v>97</v>
      </c>
      <c r="D5493" s="11">
        <f>IFERROR(__xludf.DUMMYFUNCTION("""COMPUTED_VALUE"""),93.0)</f>
        <v>93</v>
      </c>
      <c r="E5493" s="9"/>
    </row>
    <row r="5494">
      <c r="A5494" s="10">
        <f>IFERROR(__xludf.DUMMYFUNCTION("""COMPUTED_VALUE"""),108114.0)</f>
        <v>108114</v>
      </c>
      <c r="B5494" s="11">
        <f>IFERROR(__xludf.DUMMYFUNCTION("""COMPUTED_VALUE"""),0.0)</f>
        <v>0</v>
      </c>
      <c r="C5494" s="11">
        <f>IFERROR(__xludf.DUMMYFUNCTION("""COMPUTED_VALUE"""),421.0)</f>
        <v>421</v>
      </c>
      <c r="D5494" s="11">
        <f>IFERROR(__xludf.DUMMYFUNCTION("""COMPUTED_VALUE"""),389.0)</f>
        <v>389</v>
      </c>
      <c r="E5494" s="9"/>
    </row>
    <row r="5495">
      <c r="A5495" s="10">
        <f>IFERROR(__xludf.DUMMYFUNCTION("""COMPUTED_VALUE"""),9639.0)</f>
        <v>9639</v>
      </c>
      <c r="B5495" s="11">
        <f>IFERROR(__xludf.DUMMYFUNCTION("""COMPUTED_VALUE"""),0.0)</f>
        <v>0</v>
      </c>
      <c r="C5495" s="11">
        <f>IFERROR(__xludf.DUMMYFUNCTION("""COMPUTED_VALUE"""),928.0)</f>
        <v>928</v>
      </c>
      <c r="D5495" s="11">
        <f>IFERROR(__xludf.DUMMYFUNCTION("""COMPUTED_VALUE"""),495.0)</f>
        <v>495</v>
      </c>
      <c r="E5495" s="9"/>
    </row>
    <row r="5496">
      <c r="A5496" s="10">
        <f>IFERROR(__xludf.DUMMYFUNCTION("""COMPUTED_VALUE"""),108108.0)</f>
        <v>108108</v>
      </c>
      <c r="B5496" s="11">
        <f>IFERROR(__xludf.DUMMYFUNCTION("""COMPUTED_VALUE"""),0.0)</f>
        <v>0</v>
      </c>
      <c r="C5496" s="11">
        <f>IFERROR(__xludf.DUMMYFUNCTION("""COMPUTED_VALUE"""),568.0)</f>
        <v>568</v>
      </c>
      <c r="D5496" s="11">
        <f>IFERROR(__xludf.DUMMYFUNCTION("""COMPUTED_VALUE"""),540.0)</f>
        <v>540</v>
      </c>
      <c r="E5496" s="9"/>
    </row>
    <row r="5497">
      <c r="A5497" s="10">
        <f>IFERROR(__xludf.DUMMYFUNCTION("""COMPUTED_VALUE"""),108081.0)</f>
        <v>108081</v>
      </c>
      <c r="B5497" s="11">
        <f>IFERROR(__xludf.DUMMYFUNCTION("""COMPUTED_VALUE"""),1.0)</f>
        <v>1</v>
      </c>
      <c r="C5497" s="11">
        <f>IFERROR(__xludf.DUMMYFUNCTION("""COMPUTED_VALUE"""),71.0)</f>
        <v>71</v>
      </c>
      <c r="D5497" s="11">
        <f>IFERROR(__xludf.DUMMYFUNCTION("""COMPUTED_VALUE"""),68.0)</f>
        <v>68</v>
      </c>
      <c r="E5497" s="9"/>
    </row>
    <row r="5498">
      <c r="A5498" s="10">
        <f>IFERROR(__xludf.DUMMYFUNCTION("""COMPUTED_VALUE"""),4243.0)</f>
        <v>4243</v>
      </c>
      <c r="B5498" s="11">
        <f>IFERROR(__xludf.DUMMYFUNCTION("""COMPUTED_VALUE"""),1.0)</f>
        <v>1</v>
      </c>
      <c r="C5498" s="11">
        <f>IFERROR(__xludf.DUMMYFUNCTION("""COMPUTED_VALUE"""),24.0)</f>
        <v>24</v>
      </c>
      <c r="D5498" s="11">
        <f>IFERROR(__xludf.DUMMYFUNCTION("""COMPUTED_VALUE"""),18.0)</f>
        <v>18</v>
      </c>
      <c r="E5498" s="9"/>
    </row>
    <row r="5499">
      <c r="A5499" s="10">
        <f>IFERROR(__xludf.DUMMYFUNCTION("""COMPUTED_VALUE"""),108090.0)</f>
        <v>108090</v>
      </c>
      <c r="B5499" s="11">
        <f>IFERROR(__xludf.DUMMYFUNCTION("""COMPUTED_VALUE"""),1.0)</f>
        <v>1</v>
      </c>
      <c r="C5499" s="11">
        <f>IFERROR(__xludf.DUMMYFUNCTION("""COMPUTED_VALUE"""),485.0)</f>
        <v>485</v>
      </c>
      <c r="D5499" s="11">
        <f>IFERROR(__xludf.DUMMYFUNCTION("""COMPUTED_VALUE"""),160.0)</f>
        <v>160</v>
      </c>
      <c r="E5499" s="9"/>
    </row>
    <row r="5500">
      <c r="A5500" s="10">
        <f>IFERROR(__xludf.DUMMYFUNCTION("""COMPUTED_VALUE"""),133912.0)</f>
        <v>133912</v>
      </c>
      <c r="B5500" s="11">
        <f>IFERROR(__xludf.DUMMYFUNCTION("""COMPUTED_VALUE"""),0.0)</f>
        <v>0</v>
      </c>
      <c r="C5500" s="11">
        <f>IFERROR(__xludf.DUMMYFUNCTION("""COMPUTED_VALUE"""),150.0)</f>
        <v>150</v>
      </c>
      <c r="D5500" s="11">
        <f>IFERROR(__xludf.DUMMYFUNCTION("""COMPUTED_VALUE"""),100.0)</f>
        <v>100</v>
      </c>
      <c r="E5500" s="9"/>
    </row>
    <row r="5501">
      <c r="A5501" s="10">
        <f>IFERROR(__xludf.DUMMYFUNCTION("""COMPUTED_VALUE"""),108087.0)</f>
        <v>108087</v>
      </c>
      <c r="B5501" s="11">
        <f>IFERROR(__xludf.DUMMYFUNCTION("""COMPUTED_VALUE"""),1.0)</f>
        <v>1</v>
      </c>
      <c r="C5501" s="11">
        <f>IFERROR(__xludf.DUMMYFUNCTION("""COMPUTED_VALUE"""),751.0)</f>
        <v>751</v>
      </c>
      <c r="D5501" s="11">
        <f>IFERROR(__xludf.DUMMYFUNCTION("""COMPUTED_VALUE"""),112.0)</f>
        <v>112</v>
      </c>
      <c r="E5501" s="9"/>
    </row>
    <row r="5502">
      <c r="A5502" s="10">
        <f>IFERROR(__xludf.DUMMYFUNCTION("""COMPUTED_VALUE"""),78866.0)</f>
        <v>78866</v>
      </c>
      <c r="B5502" s="11">
        <f>IFERROR(__xludf.DUMMYFUNCTION("""COMPUTED_VALUE"""),0.0)</f>
        <v>0</v>
      </c>
      <c r="C5502" s="11">
        <f>IFERROR(__xludf.DUMMYFUNCTION("""COMPUTED_VALUE"""),630.0)</f>
        <v>630</v>
      </c>
      <c r="D5502" s="11">
        <f>IFERROR(__xludf.DUMMYFUNCTION("""COMPUTED_VALUE"""),347.0)</f>
        <v>347</v>
      </c>
      <c r="E5502" s="9"/>
    </row>
    <row r="5503">
      <c r="A5503" s="10">
        <f>IFERROR(__xludf.DUMMYFUNCTION("""COMPUTED_VALUE"""),70415.0)</f>
        <v>70415</v>
      </c>
      <c r="B5503" s="11">
        <f>IFERROR(__xludf.DUMMYFUNCTION("""COMPUTED_VALUE"""),0.0)</f>
        <v>0</v>
      </c>
      <c r="C5503" s="11">
        <f>IFERROR(__xludf.DUMMYFUNCTION("""COMPUTED_VALUE"""),412.0)</f>
        <v>412</v>
      </c>
      <c r="D5503" s="11">
        <f>IFERROR(__xludf.DUMMYFUNCTION("""COMPUTED_VALUE"""),74.0)</f>
        <v>74</v>
      </c>
      <c r="E5503" s="9"/>
    </row>
    <row r="5504">
      <c r="A5504" s="10">
        <f>IFERROR(__xludf.DUMMYFUNCTION("""COMPUTED_VALUE"""),9644.0)</f>
        <v>9644</v>
      </c>
      <c r="B5504" s="11">
        <f>IFERROR(__xludf.DUMMYFUNCTION("""COMPUTED_VALUE"""),1.0)</f>
        <v>1</v>
      </c>
      <c r="C5504" s="11">
        <f>IFERROR(__xludf.DUMMYFUNCTION("""COMPUTED_VALUE"""),901.0)</f>
        <v>901</v>
      </c>
      <c r="D5504" s="11">
        <f>IFERROR(__xludf.DUMMYFUNCTION("""COMPUTED_VALUE"""),107.0)</f>
        <v>107</v>
      </c>
      <c r="E5504" s="9"/>
    </row>
    <row r="5505">
      <c r="A5505" s="10">
        <f>IFERROR(__xludf.DUMMYFUNCTION("""COMPUTED_VALUE"""),4247.0)</f>
        <v>4247</v>
      </c>
      <c r="B5505" s="11">
        <f>IFERROR(__xludf.DUMMYFUNCTION("""COMPUTED_VALUE"""),1.0)</f>
        <v>1</v>
      </c>
      <c r="C5505" s="11">
        <f>IFERROR(__xludf.DUMMYFUNCTION("""COMPUTED_VALUE"""),513.0)</f>
        <v>513</v>
      </c>
      <c r="D5505" s="11">
        <f>IFERROR(__xludf.DUMMYFUNCTION("""COMPUTED_VALUE"""),494.0)</f>
        <v>494</v>
      </c>
      <c r="E5505" s="9"/>
    </row>
    <row r="5506">
      <c r="A5506" s="10">
        <f>IFERROR(__xludf.DUMMYFUNCTION("""COMPUTED_VALUE"""),119087.0)</f>
        <v>119087</v>
      </c>
      <c r="B5506" s="11">
        <f>IFERROR(__xludf.DUMMYFUNCTION("""COMPUTED_VALUE"""),0.0)</f>
        <v>0</v>
      </c>
      <c r="C5506" s="11">
        <f>IFERROR(__xludf.DUMMYFUNCTION("""COMPUTED_VALUE"""),159.0)</f>
        <v>159</v>
      </c>
      <c r="D5506" s="11">
        <f>IFERROR(__xludf.DUMMYFUNCTION("""COMPUTED_VALUE"""),120.0)</f>
        <v>120</v>
      </c>
      <c r="E5506" s="9"/>
    </row>
    <row r="5507">
      <c r="A5507" s="10">
        <f>IFERROR(__xludf.DUMMYFUNCTION("""COMPUTED_VALUE"""),9635.0)</f>
        <v>9635</v>
      </c>
      <c r="B5507" s="11">
        <f>IFERROR(__xludf.DUMMYFUNCTION("""COMPUTED_VALUE"""),1.0)</f>
        <v>1</v>
      </c>
      <c r="C5507" s="11">
        <f>IFERROR(__xludf.DUMMYFUNCTION("""COMPUTED_VALUE"""),448.0)</f>
        <v>448</v>
      </c>
      <c r="D5507" s="11">
        <f>IFERROR(__xludf.DUMMYFUNCTION("""COMPUTED_VALUE"""),128.0)</f>
        <v>128</v>
      </c>
      <c r="E5507" s="9"/>
    </row>
    <row r="5508">
      <c r="A5508" s="10">
        <f>IFERROR(__xludf.DUMMYFUNCTION("""COMPUTED_VALUE"""),108082.0)</f>
        <v>108082</v>
      </c>
      <c r="B5508" s="11">
        <f>IFERROR(__xludf.DUMMYFUNCTION("""COMPUTED_VALUE"""),1.0)</f>
        <v>1</v>
      </c>
      <c r="C5508" s="11">
        <f>IFERROR(__xludf.DUMMYFUNCTION("""COMPUTED_VALUE"""),936.0)</f>
        <v>936</v>
      </c>
      <c r="D5508" s="11">
        <f>IFERROR(__xludf.DUMMYFUNCTION("""COMPUTED_VALUE"""),474.0)</f>
        <v>474</v>
      </c>
      <c r="E5508" s="9"/>
    </row>
    <row r="5509">
      <c r="A5509" s="10">
        <f>IFERROR(__xludf.DUMMYFUNCTION("""COMPUTED_VALUE"""),9643.0)</f>
        <v>9643</v>
      </c>
      <c r="B5509" s="11">
        <f>IFERROR(__xludf.DUMMYFUNCTION("""COMPUTED_VALUE"""),1.0)</f>
        <v>1</v>
      </c>
      <c r="C5509" s="11">
        <f>IFERROR(__xludf.DUMMYFUNCTION("""COMPUTED_VALUE"""),646.0)</f>
        <v>646</v>
      </c>
      <c r="D5509" s="11">
        <f>IFERROR(__xludf.DUMMYFUNCTION("""COMPUTED_VALUE"""),14.0)</f>
        <v>14</v>
      </c>
      <c r="E5509" s="9"/>
    </row>
    <row r="5510">
      <c r="A5510" s="10">
        <f>IFERROR(__xludf.DUMMYFUNCTION("""COMPUTED_VALUE"""),117601.0)</f>
        <v>117601</v>
      </c>
      <c r="B5510" s="11">
        <f>IFERROR(__xludf.DUMMYFUNCTION("""COMPUTED_VALUE"""),1.0)</f>
        <v>1</v>
      </c>
      <c r="C5510" s="11">
        <f>IFERROR(__xludf.DUMMYFUNCTION("""COMPUTED_VALUE"""),973.0)</f>
        <v>973</v>
      </c>
      <c r="D5510" s="11">
        <f>IFERROR(__xludf.DUMMYFUNCTION("""COMPUTED_VALUE"""),429.0)</f>
        <v>429</v>
      </c>
      <c r="E5510" s="9"/>
    </row>
    <row r="5511">
      <c r="A5511" s="10">
        <f>IFERROR(__xludf.DUMMYFUNCTION("""COMPUTED_VALUE"""),108085.0)</f>
        <v>108085</v>
      </c>
      <c r="B5511" s="11">
        <f>IFERROR(__xludf.DUMMYFUNCTION("""COMPUTED_VALUE"""),0.0)</f>
        <v>0</v>
      </c>
      <c r="C5511" s="11">
        <f>IFERROR(__xludf.DUMMYFUNCTION("""COMPUTED_VALUE"""),564.0)</f>
        <v>564</v>
      </c>
      <c r="D5511" s="11">
        <f>IFERROR(__xludf.DUMMYFUNCTION("""COMPUTED_VALUE"""),392.0)</f>
        <v>392</v>
      </c>
      <c r="E5511" s="9"/>
    </row>
    <row r="5512">
      <c r="A5512" s="10">
        <f>IFERROR(__xludf.DUMMYFUNCTION("""COMPUTED_VALUE"""),133914.0)</f>
        <v>133914</v>
      </c>
      <c r="B5512" s="11">
        <f>IFERROR(__xludf.DUMMYFUNCTION("""COMPUTED_VALUE"""),1.0)</f>
        <v>1</v>
      </c>
      <c r="C5512" s="11">
        <f>IFERROR(__xludf.DUMMYFUNCTION("""COMPUTED_VALUE"""),543.0)</f>
        <v>543</v>
      </c>
      <c r="D5512" s="11">
        <f>IFERROR(__xludf.DUMMYFUNCTION("""COMPUTED_VALUE"""),398.0)</f>
        <v>398</v>
      </c>
      <c r="E5512" s="9"/>
    </row>
    <row r="5513">
      <c r="A5513" s="10">
        <f>IFERROR(__xludf.DUMMYFUNCTION("""COMPUTED_VALUE"""),103503.0)</f>
        <v>103503</v>
      </c>
      <c r="B5513" s="11">
        <f>IFERROR(__xludf.DUMMYFUNCTION("""COMPUTED_VALUE"""),1.0)</f>
        <v>1</v>
      </c>
      <c r="C5513" s="11">
        <f>IFERROR(__xludf.DUMMYFUNCTION("""COMPUTED_VALUE"""),361.0)</f>
        <v>361</v>
      </c>
      <c r="D5513" s="11">
        <f>IFERROR(__xludf.DUMMYFUNCTION("""COMPUTED_VALUE"""),244.0)</f>
        <v>244</v>
      </c>
      <c r="E5513" s="9"/>
    </row>
    <row r="5514">
      <c r="A5514" s="10">
        <f>IFERROR(__xludf.DUMMYFUNCTION("""COMPUTED_VALUE"""),128363.0)</f>
        <v>128363</v>
      </c>
      <c r="B5514" s="11">
        <f>IFERROR(__xludf.DUMMYFUNCTION("""COMPUTED_VALUE"""),0.0)</f>
        <v>0</v>
      </c>
      <c r="C5514" s="11">
        <f>IFERROR(__xludf.DUMMYFUNCTION("""COMPUTED_VALUE"""),742.0)</f>
        <v>742</v>
      </c>
      <c r="D5514" s="11">
        <f>IFERROR(__xludf.DUMMYFUNCTION("""COMPUTED_VALUE"""),227.0)</f>
        <v>227</v>
      </c>
      <c r="E5514" s="9"/>
    </row>
    <row r="5515">
      <c r="A5515" s="10">
        <f>IFERROR(__xludf.DUMMYFUNCTION("""COMPUTED_VALUE"""),13863.0)</f>
        <v>13863</v>
      </c>
      <c r="B5515" s="11">
        <f>IFERROR(__xludf.DUMMYFUNCTION("""COMPUTED_VALUE"""),1.0)</f>
        <v>1</v>
      </c>
      <c r="C5515" s="11">
        <f>IFERROR(__xludf.DUMMYFUNCTION("""COMPUTED_VALUE"""),672.0)</f>
        <v>672</v>
      </c>
      <c r="D5515" s="11">
        <f>IFERROR(__xludf.DUMMYFUNCTION("""COMPUTED_VALUE"""),620.0)</f>
        <v>620</v>
      </c>
      <c r="E5515" s="9"/>
    </row>
    <row r="5516">
      <c r="A5516" s="10">
        <f>IFERROR(__xludf.DUMMYFUNCTION("""COMPUTED_VALUE"""),74454.0)</f>
        <v>74454</v>
      </c>
      <c r="B5516" s="11">
        <f>IFERROR(__xludf.DUMMYFUNCTION("""COMPUTED_VALUE"""),0.0)</f>
        <v>0</v>
      </c>
      <c r="C5516" s="11">
        <f>IFERROR(__xludf.DUMMYFUNCTION("""COMPUTED_VALUE"""),290.0)</f>
        <v>290</v>
      </c>
      <c r="D5516" s="11">
        <f>IFERROR(__xludf.DUMMYFUNCTION("""COMPUTED_VALUE"""),271.0)</f>
        <v>271</v>
      </c>
      <c r="E5516" s="9"/>
    </row>
    <row r="5517">
      <c r="A5517" s="10">
        <f>IFERROR(__xludf.DUMMYFUNCTION("""COMPUTED_VALUE"""),12500.0)</f>
        <v>12500</v>
      </c>
      <c r="B5517" s="11">
        <f>IFERROR(__xludf.DUMMYFUNCTION("""COMPUTED_VALUE"""),0.0)</f>
        <v>0</v>
      </c>
      <c r="C5517" s="11">
        <f>IFERROR(__xludf.DUMMYFUNCTION("""COMPUTED_VALUE"""),311.0)</f>
        <v>311</v>
      </c>
      <c r="D5517" s="11">
        <f>IFERROR(__xludf.DUMMYFUNCTION("""COMPUTED_VALUE"""),168.0)</f>
        <v>168</v>
      </c>
      <c r="E5517" s="9"/>
    </row>
    <row r="5518">
      <c r="A5518" s="10">
        <f>IFERROR(__xludf.DUMMYFUNCTION("""COMPUTED_VALUE"""),116555.0)</f>
        <v>116555</v>
      </c>
      <c r="B5518" s="11">
        <f>IFERROR(__xludf.DUMMYFUNCTION("""COMPUTED_VALUE"""),1.0)</f>
        <v>1</v>
      </c>
      <c r="C5518" s="11">
        <f>IFERROR(__xludf.DUMMYFUNCTION("""COMPUTED_VALUE"""),322.0)</f>
        <v>322</v>
      </c>
      <c r="D5518" s="11">
        <f>IFERROR(__xludf.DUMMYFUNCTION("""COMPUTED_VALUE"""),251.0)</f>
        <v>251</v>
      </c>
      <c r="E5518" s="9"/>
    </row>
    <row r="5519">
      <c r="A5519" s="10">
        <f>IFERROR(__xludf.DUMMYFUNCTION("""COMPUTED_VALUE"""),77622.0)</f>
        <v>77622</v>
      </c>
      <c r="B5519" s="11">
        <f>IFERROR(__xludf.DUMMYFUNCTION("""COMPUTED_VALUE"""),0.0)</f>
        <v>0</v>
      </c>
      <c r="C5519" s="11">
        <f>IFERROR(__xludf.DUMMYFUNCTION("""COMPUTED_VALUE"""),354.0)</f>
        <v>354</v>
      </c>
      <c r="D5519" s="11">
        <f>IFERROR(__xludf.DUMMYFUNCTION("""COMPUTED_VALUE"""),200.0)</f>
        <v>200</v>
      </c>
      <c r="E5519" s="9"/>
    </row>
    <row r="5520">
      <c r="A5520" s="10">
        <f>IFERROR(__xludf.DUMMYFUNCTION("""COMPUTED_VALUE"""),68294.0)</f>
        <v>68294</v>
      </c>
      <c r="B5520" s="11">
        <f>IFERROR(__xludf.DUMMYFUNCTION("""COMPUTED_VALUE"""),0.0)</f>
        <v>0</v>
      </c>
      <c r="C5520" s="11">
        <f>IFERROR(__xludf.DUMMYFUNCTION("""COMPUTED_VALUE"""),598.0)</f>
        <v>598</v>
      </c>
      <c r="D5520" s="11">
        <f>IFERROR(__xludf.DUMMYFUNCTION("""COMPUTED_VALUE"""),164.0)</f>
        <v>164</v>
      </c>
      <c r="E5520" s="9"/>
    </row>
    <row r="5521">
      <c r="A5521" s="10">
        <f>IFERROR(__xludf.DUMMYFUNCTION("""COMPUTED_VALUE"""),12497.0)</f>
        <v>12497</v>
      </c>
      <c r="B5521" s="11">
        <f>IFERROR(__xludf.DUMMYFUNCTION("""COMPUTED_VALUE"""),0.0)</f>
        <v>0</v>
      </c>
      <c r="C5521" s="11">
        <f>IFERROR(__xludf.DUMMYFUNCTION("""COMPUTED_VALUE"""),422.0)</f>
        <v>422</v>
      </c>
      <c r="D5521" s="11">
        <f>IFERROR(__xludf.DUMMYFUNCTION("""COMPUTED_VALUE"""),241.0)</f>
        <v>241</v>
      </c>
      <c r="E5521" s="9"/>
    </row>
    <row r="5522">
      <c r="A5522" s="10">
        <f>IFERROR(__xludf.DUMMYFUNCTION("""COMPUTED_VALUE"""),74453.0)</f>
        <v>74453</v>
      </c>
      <c r="B5522" s="11">
        <f>IFERROR(__xludf.DUMMYFUNCTION("""COMPUTED_VALUE"""),0.0)</f>
        <v>0</v>
      </c>
      <c r="C5522" s="11">
        <f>IFERROR(__xludf.DUMMYFUNCTION("""COMPUTED_VALUE"""),677.0)</f>
        <v>677</v>
      </c>
      <c r="D5522" s="11">
        <f>IFERROR(__xludf.DUMMYFUNCTION("""COMPUTED_VALUE"""),31.0)</f>
        <v>31</v>
      </c>
      <c r="E5522" s="9"/>
    </row>
    <row r="5523">
      <c r="A5523" s="10">
        <f>IFERROR(__xludf.DUMMYFUNCTION("""COMPUTED_VALUE"""),112246.0)</f>
        <v>112246</v>
      </c>
      <c r="B5523" s="11">
        <f>IFERROR(__xludf.DUMMYFUNCTION("""COMPUTED_VALUE"""),1.0)</f>
        <v>1</v>
      </c>
      <c r="C5523" s="11">
        <f>IFERROR(__xludf.DUMMYFUNCTION("""COMPUTED_VALUE"""),710.0)</f>
        <v>710</v>
      </c>
      <c r="D5523" s="11">
        <f>IFERROR(__xludf.DUMMYFUNCTION("""COMPUTED_VALUE"""),475.0)</f>
        <v>475</v>
      </c>
      <c r="E5523" s="9"/>
    </row>
    <row r="5524">
      <c r="A5524" s="10">
        <f>IFERROR(__xludf.DUMMYFUNCTION("""COMPUTED_VALUE"""),110776.0)</f>
        <v>110776</v>
      </c>
      <c r="B5524" s="11">
        <f>IFERROR(__xludf.DUMMYFUNCTION("""COMPUTED_VALUE"""),0.0)</f>
        <v>0</v>
      </c>
      <c r="C5524" s="11">
        <f>IFERROR(__xludf.DUMMYFUNCTION("""COMPUTED_VALUE"""),228.0)</f>
        <v>228</v>
      </c>
      <c r="D5524" s="11">
        <f>IFERROR(__xludf.DUMMYFUNCTION("""COMPUTED_VALUE"""),205.0)</f>
        <v>205</v>
      </c>
      <c r="E5524" s="9"/>
    </row>
    <row r="5525">
      <c r="A5525" s="10">
        <f>IFERROR(__xludf.DUMMYFUNCTION("""COMPUTED_VALUE"""),92846.0)</f>
        <v>92846</v>
      </c>
      <c r="B5525" s="11">
        <f>IFERROR(__xludf.DUMMYFUNCTION("""COMPUTED_VALUE"""),1.0)</f>
        <v>1</v>
      </c>
      <c r="C5525" s="11">
        <f>IFERROR(__xludf.DUMMYFUNCTION("""COMPUTED_VALUE"""),833.0)</f>
        <v>833</v>
      </c>
      <c r="D5525" s="11">
        <f>IFERROR(__xludf.DUMMYFUNCTION("""COMPUTED_VALUE"""),817.0)</f>
        <v>817</v>
      </c>
      <c r="E5525" s="9"/>
    </row>
    <row r="5526">
      <c r="A5526" s="10">
        <f>IFERROR(__xludf.DUMMYFUNCTION("""COMPUTED_VALUE"""),119257.0)</f>
        <v>119257</v>
      </c>
      <c r="B5526" s="11">
        <f>IFERROR(__xludf.DUMMYFUNCTION("""COMPUTED_VALUE"""),1.0)</f>
        <v>1</v>
      </c>
      <c r="C5526" s="11">
        <f>IFERROR(__xludf.DUMMYFUNCTION("""COMPUTED_VALUE"""),742.0)</f>
        <v>742</v>
      </c>
      <c r="D5526" s="11">
        <f>IFERROR(__xludf.DUMMYFUNCTION("""COMPUTED_VALUE"""),227.0)</f>
        <v>227</v>
      </c>
      <c r="E5526" s="9"/>
    </row>
    <row r="5527">
      <c r="A5527" s="10">
        <f>IFERROR(__xludf.DUMMYFUNCTION("""COMPUTED_VALUE"""),68313.0)</f>
        <v>68313</v>
      </c>
      <c r="B5527" s="11">
        <f>IFERROR(__xludf.DUMMYFUNCTION("""COMPUTED_VALUE"""),1.0)</f>
        <v>1</v>
      </c>
      <c r="C5527" s="11">
        <f>IFERROR(__xludf.DUMMYFUNCTION("""COMPUTED_VALUE"""),149.0)</f>
        <v>149</v>
      </c>
      <c r="D5527" s="11">
        <f>IFERROR(__xludf.DUMMYFUNCTION("""COMPUTED_VALUE"""),127.0)</f>
        <v>127</v>
      </c>
      <c r="E5527" s="9"/>
    </row>
    <row r="5528">
      <c r="A5528" s="10">
        <f>IFERROR(__xludf.DUMMYFUNCTION("""COMPUTED_VALUE"""),12503.0)</f>
        <v>12503</v>
      </c>
      <c r="B5528" s="11">
        <f>IFERROR(__xludf.DUMMYFUNCTION("""COMPUTED_VALUE"""),0.0)</f>
        <v>0</v>
      </c>
      <c r="C5528" s="11">
        <f>IFERROR(__xludf.DUMMYFUNCTION("""COMPUTED_VALUE"""),760.0)</f>
        <v>760</v>
      </c>
      <c r="D5528" s="11">
        <f>IFERROR(__xludf.DUMMYFUNCTION("""COMPUTED_VALUE"""),491.0)</f>
        <v>491</v>
      </c>
      <c r="E5528" s="9"/>
    </row>
    <row r="5529">
      <c r="A5529" s="10">
        <f>IFERROR(__xludf.DUMMYFUNCTION("""COMPUTED_VALUE"""),77624.0)</f>
        <v>77624</v>
      </c>
      <c r="B5529" s="11">
        <f>IFERROR(__xludf.DUMMYFUNCTION("""COMPUTED_VALUE"""),0.0)</f>
        <v>0</v>
      </c>
      <c r="C5529" s="11">
        <f>IFERROR(__xludf.DUMMYFUNCTION("""COMPUTED_VALUE"""),893.0)</f>
        <v>893</v>
      </c>
      <c r="D5529" s="11">
        <f>IFERROR(__xludf.DUMMYFUNCTION("""COMPUTED_VALUE"""),158.0)</f>
        <v>158</v>
      </c>
      <c r="E5529" s="9"/>
    </row>
    <row r="5530">
      <c r="A5530" s="10">
        <f>IFERROR(__xludf.DUMMYFUNCTION("""COMPUTED_VALUE"""),77432.0)</f>
        <v>77432</v>
      </c>
      <c r="B5530" s="11">
        <f>IFERROR(__xludf.DUMMYFUNCTION("""COMPUTED_VALUE"""),1.0)</f>
        <v>1</v>
      </c>
      <c r="C5530" s="11">
        <f>IFERROR(__xludf.DUMMYFUNCTION("""COMPUTED_VALUE"""),481.0)</f>
        <v>481</v>
      </c>
      <c r="D5530" s="11">
        <f>IFERROR(__xludf.DUMMYFUNCTION("""COMPUTED_VALUE"""),429.0)</f>
        <v>429</v>
      </c>
      <c r="E5530" s="9"/>
    </row>
    <row r="5531">
      <c r="A5531" s="10">
        <f>IFERROR(__xludf.DUMMYFUNCTION("""COMPUTED_VALUE"""),77429.0)</f>
        <v>77429</v>
      </c>
      <c r="B5531" s="11">
        <f>IFERROR(__xludf.DUMMYFUNCTION("""COMPUTED_VALUE"""),1.0)</f>
        <v>1</v>
      </c>
      <c r="C5531" s="11">
        <f>IFERROR(__xludf.DUMMYFUNCTION("""COMPUTED_VALUE"""),922.0)</f>
        <v>922</v>
      </c>
      <c r="D5531" s="11">
        <f>IFERROR(__xludf.DUMMYFUNCTION("""COMPUTED_VALUE"""),474.0)</f>
        <v>474</v>
      </c>
      <c r="E5531" s="9"/>
    </row>
    <row r="5532">
      <c r="A5532" s="10">
        <f>IFERROR(__xludf.DUMMYFUNCTION("""COMPUTED_VALUE"""),93995.0)</f>
        <v>93995</v>
      </c>
      <c r="B5532" s="11">
        <f>IFERROR(__xludf.DUMMYFUNCTION("""COMPUTED_VALUE"""),1.0)</f>
        <v>1</v>
      </c>
      <c r="C5532" s="11">
        <f>IFERROR(__xludf.DUMMYFUNCTION("""COMPUTED_VALUE"""),542.0)</f>
        <v>542</v>
      </c>
      <c r="D5532" s="11">
        <f>IFERROR(__xludf.DUMMYFUNCTION("""COMPUTED_VALUE"""),283.0)</f>
        <v>283</v>
      </c>
      <c r="E5532" s="9"/>
    </row>
    <row r="5533">
      <c r="A5533" s="10">
        <f>IFERROR(__xludf.DUMMYFUNCTION("""COMPUTED_VALUE"""),103185.0)</f>
        <v>103185</v>
      </c>
      <c r="B5533" s="11">
        <f>IFERROR(__xludf.DUMMYFUNCTION("""COMPUTED_VALUE"""),0.0)</f>
        <v>0</v>
      </c>
      <c r="C5533" s="11">
        <f>IFERROR(__xludf.DUMMYFUNCTION("""COMPUTED_VALUE"""),254.0)</f>
        <v>254</v>
      </c>
      <c r="D5533" s="11">
        <f>IFERROR(__xludf.DUMMYFUNCTION("""COMPUTED_VALUE"""),28.0)</f>
        <v>28</v>
      </c>
      <c r="E5533" s="9"/>
    </row>
    <row r="5534">
      <c r="A5534" s="10">
        <f>IFERROR(__xludf.DUMMYFUNCTION("""COMPUTED_VALUE"""),13868.0)</f>
        <v>13868</v>
      </c>
      <c r="B5534" s="11">
        <f>IFERROR(__xludf.DUMMYFUNCTION("""COMPUTED_VALUE"""),0.0)</f>
        <v>0</v>
      </c>
      <c r="C5534" s="11">
        <f>IFERROR(__xludf.DUMMYFUNCTION("""COMPUTED_VALUE"""),560.0)</f>
        <v>560</v>
      </c>
      <c r="D5534" s="11">
        <f>IFERROR(__xludf.DUMMYFUNCTION("""COMPUTED_VALUE"""),120.0)</f>
        <v>120</v>
      </c>
      <c r="E5534" s="9"/>
    </row>
    <row r="5535">
      <c r="A5535" s="10">
        <f>IFERROR(__xludf.DUMMYFUNCTION("""COMPUTED_VALUE"""),9504.0)</f>
        <v>9504</v>
      </c>
      <c r="B5535" s="11">
        <f>IFERROR(__xludf.DUMMYFUNCTION("""COMPUTED_VALUE"""),1.0)</f>
        <v>1</v>
      </c>
      <c r="C5535" s="11">
        <f>IFERROR(__xludf.DUMMYFUNCTION("""COMPUTED_VALUE"""),358.0)</f>
        <v>358</v>
      </c>
      <c r="D5535" s="11">
        <f>IFERROR(__xludf.DUMMYFUNCTION("""COMPUTED_VALUE"""),44.0)</f>
        <v>44</v>
      </c>
      <c r="E5535" s="9"/>
    </row>
    <row r="5536">
      <c r="A5536" s="10">
        <f>IFERROR(__xludf.DUMMYFUNCTION("""COMPUTED_VALUE"""),77446.0)</f>
        <v>77446</v>
      </c>
      <c r="B5536" s="11">
        <f>IFERROR(__xludf.DUMMYFUNCTION("""COMPUTED_VALUE"""),0.0)</f>
        <v>0</v>
      </c>
      <c r="C5536" s="11">
        <f>IFERROR(__xludf.DUMMYFUNCTION("""COMPUTED_VALUE"""),923.0)</f>
        <v>923</v>
      </c>
      <c r="D5536" s="11">
        <f>IFERROR(__xludf.DUMMYFUNCTION("""COMPUTED_VALUE"""),251.0)</f>
        <v>251</v>
      </c>
      <c r="E5536" s="9"/>
    </row>
    <row r="5537">
      <c r="A5537" s="10">
        <f>IFERROR(__xludf.DUMMYFUNCTION("""COMPUTED_VALUE"""),77498.0)</f>
        <v>77498</v>
      </c>
      <c r="B5537" s="11">
        <f>IFERROR(__xludf.DUMMYFUNCTION("""COMPUTED_VALUE"""),0.0)</f>
        <v>0</v>
      </c>
      <c r="C5537" s="11">
        <f>IFERROR(__xludf.DUMMYFUNCTION("""COMPUTED_VALUE"""),862.0)</f>
        <v>862</v>
      </c>
      <c r="D5537" s="11">
        <f>IFERROR(__xludf.DUMMYFUNCTION("""COMPUTED_VALUE"""),424.0)</f>
        <v>424</v>
      </c>
      <c r="E5537" s="9"/>
    </row>
    <row r="5538">
      <c r="A5538" s="10">
        <f>IFERROR(__xludf.DUMMYFUNCTION("""COMPUTED_VALUE"""),77488.0)</f>
        <v>77488</v>
      </c>
      <c r="B5538" s="11">
        <f>IFERROR(__xludf.DUMMYFUNCTION("""COMPUTED_VALUE"""),1.0)</f>
        <v>1</v>
      </c>
      <c r="C5538" s="11">
        <f>IFERROR(__xludf.DUMMYFUNCTION("""COMPUTED_VALUE"""),417.0)</f>
        <v>417</v>
      </c>
      <c r="D5538" s="11">
        <f>IFERROR(__xludf.DUMMYFUNCTION("""COMPUTED_VALUE"""),285.0)</f>
        <v>285</v>
      </c>
      <c r="E5538" s="9"/>
    </row>
    <row r="5539">
      <c r="A5539" s="10">
        <f>IFERROR(__xludf.DUMMYFUNCTION("""COMPUTED_VALUE"""),82203.0)</f>
        <v>82203</v>
      </c>
      <c r="B5539" s="11">
        <f>IFERROR(__xludf.DUMMYFUNCTION("""COMPUTED_VALUE"""),0.0)</f>
        <v>0</v>
      </c>
      <c r="C5539" s="11">
        <f>IFERROR(__xludf.DUMMYFUNCTION("""COMPUTED_VALUE"""),870.0)</f>
        <v>870</v>
      </c>
      <c r="D5539" s="11">
        <f>IFERROR(__xludf.DUMMYFUNCTION("""COMPUTED_VALUE"""),90.0)</f>
        <v>90</v>
      </c>
      <c r="E5539" s="9"/>
    </row>
    <row r="5540">
      <c r="A5540" s="10">
        <f>IFERROR(__xludf.DUMMYFUNCTION("""COMPUTED_VALUE"""),82754.0)</f>
        <v>82754</v>
      </c>
      <c r="B5540" s="11">
        <f>IFERROR(__xludf.DUMMYFUNCTION("""COMPUTED_VALUE"""),1.0)</f>
        <v>1</v>
      </c>
      <c r="C5540" s="11">
        <f>IFERROR(__xludf.DUMMYFUNCTION("""COMPUTED_VALUE"""),769.0)</f>
        <v>769</v>
      </c>
      <c r="D5540" s="11">
        <f>IFERROR(__xludf.DUMMYFUNCTION("""COMPUTED_VALUE"""),530.0)</f>
        <v>530</v>
      </c>
      <c r="E5540" s="9"/>
    </row>
    <row r="5541">
      <c r="A5541" s="10">
        <f>IFERROR(__xludf.DUMMYFUNCTION("""COMPUTED_VALUE"""),110837.0)</f>
        <v>110837</v>
      </c>
      <c r="B5541" s="11">
        <f>IFERROR(__xludf.DUMMYFUNCTION("""COMPUTED_VALUE"""),0.0)</f>
        <v>0</v>
      </c>
      <c r="C5541" s="11">
        <f>IFERROR(__xludf.DUMMYFUNCTION("""COMPUTED_VALUE"""),913.0)</f>
        <v>913</v>
      </c>
      <c r="D5541" s="11">
        <f>IFERROR(__xludf.DUMMYFUNCTION("""COMPUTED_VALUE"""),859.0)</f>
        <v>859</v>
      </c>
      <c r="E5541" s="9"/>
    </row>
    <row r="5542">
      <c r="A5542" s="10">
        <f>IFERROR(__xludf.DUMMYFUNCTION("""COMPUTED_VALUE"""),9591.0)</f>
        <v>9591</v>
      </c>
      <c r="B5542" s="11">
        <f>IFERROR(__xludf.DUMMYFUNCTION("""COMPUTED_VALUE"""),0.0)</f>
        <v>0</v>
      </c>
      <c r="C5542" s="11">
        <f>IFERROR(__xludf.DUMMYFUNCTION("""COMPUTED_VALUE"""),639.0)</f>
        <v>639</v>
      </c>
      <c r="D5542" s="11">
        <f>IFERROR(__xludf.DUMMYFUNCTION("""COMPUTED_VALUE"""),506.0)</f>
        <v>506</v>
      </c>
      <c r="E5542" s="9"/>
    </row>
    <row r="5543">
      <c r="A5543" s="10">
        <f>IFERROR(__xludf.DUMMYFUNCTION("""COMPUTED_VALUE"""),94040.0)</f>
        <v>94040</v>
      </c>
      <c r="B5543" s="11">
        <f>IFERROR(__xludf.DUMMYFUNCTION("""COMPUTED_VALUE"""),0.0)</f>
        <v>0</v>
      </c>
      <c r="C5543" s="11">
        <f>IFERROR(__xludf.DUMMYFUNCTION("""COMPUTED_VALUE"""),350.0)</f>
        <v>350</v>
      </c>
      <c r="D5543" s="11">
        <f>IFERROR(__xludf.DUMMYFUNCTION("""COMPUTED_VALUE"""),309.0)</f>
        <v>309</v>
      </c>
      <c r="E5543" s="9"/>
    </row>
    <row r="5544">
      <c r="A5544" s="10">
        <f>IFERROR(__xludf.DUMMYFUNCTION("""COMPUTED_VALUE"""),9513.0)</f>
        <v>9513</v>
      </c>
      <c r="B5544" s="11">
        <f>IFERROR(__xludf.DUMMYFUNCTION("""COMPUTED_VALUE"""),0.0)</f>
        <v>0</v>
      </c>
      <c r="C5544" s="11">
        <f>IFERROR(__xludf.DUMMYFUNCTION("""COMPUTED_VALUE"""),782.0)</f>
        <v>782</v>
      </c>
      <c r="D5544" s="11">
        <f>IFERROR(__xludf.DUMMYFUNCTION("""COMPUTED_VALUE"""),426.0)</f>
        <v>426</v>
      </c>
      <c r="E5544" s="9"/>
    </row>
    <row r="5545">
      <c r="A5545" s="10">
        <f>IFERROR(__xludf.DUMMYFUNCTION("""COMPUTED_VALUE"""),121543.0)</f>
        <v>121543</v>
      </c>
      <c r="B5545" s="11">
        <f>IFERROR(__xludf.DUMMYFUNCTION("""COMPUTED_VALUE"""),0.0)</f>
        <v>0</v>
      </c>
      <c r="C5545" s="11">
        <f>IFERROR(__xludf.DUMMYFUNCTION("""COMPUTED_VALUE"""),725.0)</f>
        <v>725</v>
      </c>
      <c r="D5545" s="11">
        <f>IFERROR(__xludf.DUMMYFUNCTION("""COMPUTED_VALUE"""),372.0)</f>
        <v>372</v>
      </c>
      <c r="E5545" s="9"/>
    </row>
    <row r="5546">
      <c r="A5546" s="10">
        <f>IFERROR(__xludf.DUMMYFUNCTION("""COMPUTED_VALUE"""),164638.0)</f>
        <v>164638</v>
      </c>
      <c r="B5546" s="11">
        <f>IFERROR(__xludf.DUMMYFUNCTION("""COMPUTED_VALUE"""),0.0)</f>
        <v>0</v>
      </c>
      <c r="C5546" s="11">
        <f>IFERROR(__xludf.DUMMYFUNCTION("""COMPUTED_VALUE"""),726.0)</f>
        <v>726</v>
      </c>
      <c r="D5546" s="11">
        <f>IFERROR(__xludf.DUMMYFUNCTION("""COMPUTED_VALUE"""),485.0)</f>
        <v>485</v>
      </c>
      <c r="E5546" s="9"/>
    </row>
    <row r="5547">
      <c r="A5547" s="10">
        <f>IFERROR(__xludf.DUMMYFUNCTION("""COMPUTED_VALUE"""),9554.0)</f>
        <v>9554</v>
      </c>
      <c r="B5547" s="11">
        <f>IFERROR(__xludf.DUMMYFUNCTION("""COMPUTED_VALUE"""),1.0)</f>
        <v>1</v>
      </c>
      <c r="C5547" s="11">
        <f>IFERROR(__xludf.DUMMYFUNCTION("""COMPUTED_VALUE"""),174.0)</f>
        <v>174</v>
      </c>
      <c r="D5547" s="11">
        <f>IFERROR(__xludf.DUMMYFUNCTION("""COMPUTED_VALUE"""),93.0)</f>
        <v>93</v>
      </c>
      <c r="E5547" s="9"/>
    </row>
    <row r="5548">
      <c r="A5548" s="10">
        <f>IFERROR(__xludf.DUMMYFUNCTION("""COMPUTED_VALUE"""),117798.0)</f>
        <v>117798</v>
      </c>
      <c r="B5548" s="11">
        <f>IFERROR(__xludf.DUMMYFUNCTION("""COMPUTED_VALUE"""),1.0)</f>
        <v>1</v>
      </c>
      <c r="C5548" s="11">
        <f>IFERROR(__xludf.DUMMYFUNCTION("""COMPUTED_VALUE"""),486.0)</f>
        <v>486</v>
      </c>
      <c r="D5548" s="11">
        <f>IFERROR(__xludf.DUMMYFUNCTION("""COMPUTED_VALUE"""),446.0)</f>
        <v>446</v>
      </c>
      <c r="E5548" s="9"/>
    </row>
    <row r="5549">
      <c r="A5549" s="10">
        <f>IFERROR(__xludf.DUMMYFUNCTION("""COMPUTED_VALUE"""),77480.0)</f>
        <v>77480</v>
      </c>
      <c r="B5549" s="11">
        <f>IFERROR(__xludf.DUMMYFUNCTION("""COMPUTED_VALUE"""),1.0)</f>
        <v>1</v>
      </c>
      <c r="C5549" s="11">
        <f>IFERROR(__xludf.DUMMYFUNCTION("""COMPUTED_VALUE"""),205.0)</f>
        <v>205</v>
      </c>
      <c r="D5549" s="11">
        <f>IFERROR(__xludf.DUMMYFUNCTION("""COMPUTED_VALUE"""),190.0)</f>
        <v>190</v>
      </c>
      <c r="E5549" s="9"/>
    </row>
    <row r="5550">
      <c r="A5550" s="10">
        <f>IFERROR(__xludf.DUMMYFUNCTION("""COMPUTED_VALUE"""),9547.0)</f>
        <v>9547</v>
      </c>
      <c r="B5550" s="11">
        <f>IFERROR(__xludf.DUMMYFUNCTION("""COMPUTED_VALUE"""),0.0)</f>
        <v>0</v>
      </c>
      <c r="C5550" s="11">
        <f>IFERROR(__xludf.DUMMYFUNCTION("""COMPUTED_VALUE"""),499.0)</f>
        <v>499</v>
      </c>
      <c r="D5550" s="11">
        <f>IFERROR(__xludf.DUMMYFUNCTION("""COMPUTED_VALUE"""),112.0)</f>
        <v>112</v>
      </c>
      <c r="E5550" s="9"/>
    </row>
    <row r="5551">
      <c r="A5551" s="10">
        <f>IFERROR(__xludf.DUMMYFUNCTION("""COMPUTED_VALUE"""),9551.0)</f>
        <v>9551</v>
      </c>
      <c r="B5551" s="11">
        <f>IFERROR(__xludf.DUMMYFUNCTION("""COMPUTED_VALUE"""),1.0)</f>
        <v>1</v>
      </c>
      <c r="C5551" s="11">
        <f>IFERROR(__xludf.DUMMYFUNCTION("""COMPUTED_VALUE"""),343.0)</f>
        <v>343</v>
      </c>
      <c r="D5551" s="11">
        <f>IFERROR(__xludf.DUMMYFUNCTION("""COMPUTED_VALUE"""),242.0)</f>
        <v>242</v>
      </c>
      <c r="E5551" s="9"/>
    </row>
    <row r="5552">
      <c r="A5552" s="10">
        <f>IFERROR(__xludf.DUMMYFUNCTION("""COMPUTED_VALUE"""),9514.0)</f>
        <v>9514</v>
      </c>
      <c r="B5552" s="11">
        <f>IFERROR(__xludf.DUMMYFUNCTION("""COMPUTED_VALUE"""),0.0)</f>
        <v>0</v>
      </c>
      <c r="C5552" s="11">
        <f>IFERROR(__xludf.DUMMYFUNCTION("""COMPUTED_VALUE"""),864.0)</f>
        <v>864</v>
      </c>
      <c r="D5552" s="11">
        <f>IFERROR(__xludf.DUMMYFUNCTION("""COMPUTED_VALUE"""),799.0)</f>
        <v>799</v>
      </c>
      <c r="E5552" s="9"/>
    </row>
    <row r="5553">
      <c r="A5553" s="10">
        <f>IFERROR(__xludf.DUMMYFUNCTION("""COMPUTED_VALUE"""),147310.0)</f>
        <v>147310</v>
      </c>
      <c r="B5553" s="11">
        <f>IFERROR(__xludf.DUMMYFUNCTION("""COMPUTED_VALUE"""),1.0)</f>
        <v>1</v>
      </c>
      <c r="C5553" s="11">
        <f>IFERROR(__xludf.DUMMYFUNCTION("""COMPUTED_VALUE"""),214.0)</f>
        <v>214</v>
      </c>
      <c r="D5553" s="11">
        <f>IFERROR(__xludf.DUMMYFUNCTION("""COMPUTED_VALUE"""),101.0)</f>
        <v>101</v>
      </c>
      <c r="E5553" s="9"/>
    </row>
    <row r="5554">
      <c r="A5554" s="10">
        <f>IFERROR(__xludf.DUMMYFUNCTION("""COMPUTED_VALUE"""),13865.0)</f>
        <v>13865</v>
      </c>
      <c r="B5554" s="11">
        <f>IFERROR(__xludf.DUMMYFUNCTION("""COMPUTED_VALUE"""),1.0)</f>
        <v>1</v>
      </c>
      <c r="C5554" s="11">
        <f>IFERROR(__xludf.DUMMYFUNCTION("""COMPUTED_VALUE"""),865.0)</f>
        <v>865</v>
      </c>
      <c r="D5554" s="11">
        <f>IFERROR(__xludf.DUMMYFUNCTION("""COMPUTED_VALUE"""),741.0)</f>
        <v>741</v>
      </c>
      <c r="E5554" s="9"/>
    </row>
    <row r="5555">
      <c r="A5555" s="10">
        <f>IFERROR(__xludf.DUMMYFUNCTION("""COMPUTED_VALUE"""),9521.0)</f>
        <v>9521</v>
      </c>
      <c r="B5555" s="11">
        <f>IFERROR(__xludf.DUMMYFUNCTION("""COMPUTED_VALUE"""),1.0)</f>
        <v>1</v>
      </c>
      <c r="C5555" s="11">
        <f>IFERROR(__xludf.DUMMYFUNCTION("""COMPUTED_VALUE"""),193.0)</f>
        <v>193</v>
      </c>
      <c r="D5555" s="11">
        <f>IFERROR(__xludf.DUMMYFUNCTION("""COMPUTED_VALUE"""),147.0)</f>
        <v>147</v>
      </c>
      <c r="E5555" s="9"/>
    </row>
    <row r="5556">
      <c r="A5556" s="10">
        <f>IFERROR(__xludf.DUMMYFUNCTION("""COMPUTED_VALUE"""),9522.0)</f>
        <v>9522</v>
      </c>
      <c r="B5556" s="11">
        <f>IFERROR(__xludf.DUMMYFUNCTION("""COMPUTED_VALUE"""),1.0)</f>
        <v>1</v>
      </c>
      <c r="C5556" s="11">
        <f>IFERROR(__xludf.DUMMYFUNCTION("""COMPUTED_VALUE"""),46.0)</f>
        <v>46</v>
      </c>
      <c r="D5556" s="11">
        <f>IFERROR(__xludf.DUMMYFUNCTION("""COMPUTED_VALUE"""),25.0)</f>
        <v>25</v>
      </c>
      <c r="E5556" s="9"/>
    </row>
    <row r="5557">
      <c r="A5557" s="10">
        <f>IFERROR(__xludf.DUMMYFUNCTION("""COMPUTED_VALUE"""),94048.0)</f>
        <v>94048</v>
      </c>
      <c r="B5557" s="11">
        <f>IFERROR(__xludf.DUMMYFUNCTION("""COMPUTED_VALUE"""),1.0)</f>
        <v>1</v>
      </c>
      <c r="C5557" s="11">
        <f>IFERROR(__xludf.DUMMYFUNCTION("""COMPUTED_VALUE"""),249.0)</f>
        <v>249</v>
      </c>
      <c r="D5557" s="11">
        <f>IFERROR(__xludf.DUMMYFUNCTION("""COMPUTED_VALUE"""),231.0)</f>
        <v>231</v>
      </c>
      <c r="E5557" s="9"/>
    </row>
    <row r="5558">
      <c r="A5558" s="10">
        <f>IFERROR(__xludf.DUMMYFUNCTION("""COMPUTED_VALUE"""),121549.0)</f>
        <v>121549</v>
      </c>
      <c r="B5558" s="11">
        <f>IFERROR(__xludf.DUMMYFUNCTION("""COMPUTED_VALUE"""),0.0)</f>
        <v>0</v>
      </c>
      <c r="C5558" s="11">
        <f>IFERROR(__xludf.DUMMYFUNCTION("""COMPUTED_VALUE"""),441.0)</f>
        <v>441</v>
      </c>
      <c r="D5558" s="11">
        <f>IFERROR(__xludf.DUMMYFUNCTION("""COMPUTED_VALUE"""),177.0)</f>
        <v>177</v>
      </c>
      <c r="E5558" s="9"/>
    </row>
    <row r="5559">
      <c r="A5559" s="10">
        <f>IFERROR(__xludf.DUMMYFUNCTION("""COMPUTED_VALUE"""),9593.0)</f>
        <v>9593</v>
      </c>
      <c r="B5559" s="11">
        <f>IFERROR(__xludf.DUMMYFUNCTION("""COMPUTED_VALUE"""),0.0)</f>
        <v>0</v>
      </c>
      <c r="C5559" s="11">
        <f>IFERROR(__xludf.DUMMYFUNCTION("""COMPUTED_VALUE"""),346.0)</f>
        <v>346</v>
      </c>
      <c r="D5559" s="11">
        <f>IFERROR(__xludf.DUMMYFUNCTION("""COMPUTED_VALUE"""),236.0)</f>
        <v>236</v>
      </c>
      <c r="E5559" s="9"/>
    </row>
    <row r="5560">
      <c r="A5560" s="10">
        <f>IFERROR(__xludf.DUMMYFUNCTION("""COMPUTED_VALUE"""),119247.0)</f>
        <v>119247</v>
      </c>
      <c r="B5560" s="11">
        <f>IFERROR(__xludf.DUMMYFUNCTION("""COMPUTED_VALUE"""),0.0)</f>
        <v>0</v>
      </c>
      <c r="C5560" s="11">
        <f>IFERROR(__xludf.DUMMYFUNCTION("""COMPUTED_VALUE"""),854.0)</f>
        <v>854</v>
      </c>
      <c r="D5560" s="11">
        <f>IFERROR(__xludf.DUMMYFUNCTION("""COMPUTED_VALUE"""),194.0)</f>
        <v>194</v>
      </c>
      <c r="E5560" s="9"/>
    </row>
    <row r="5561">
      <c r="A5561" s="10">
        <f>IFERROR(__xludf.DUMMYFUNCTION("""COMPUTED_VALUE"""),9516.0)</f>
        <v>9516</v>
      </c>
      <c r="B5561" s="11">
        <f>IFERROR(__xludf.DUMMYFUNCTION("""COMPUTED_VALUE"""),1.0)</f>
        <v>1</v>
      </c>
      <c r="C5561" s="11">
        <f>IFERROR(__xludf.DUMMYFUNCTION("""COMPUTED_VALUE"""),676.0)</f>
        <v>676</v>
      </c>
      <c r="D5561" s="11">
        <f>IFERROR(__xludf.DUMMYFUNCTION("""COMPUTED_VALUE"""),395.0)</f>
        <v>395</v>
      </c>
      <c r="E5561" s="9"/>
    </row>
    <row r="5562">
      <c r="A5562" s="10">
        <f>IFERROR(__xludf.DUMMYFUNCTION("""COMPUTED_VALUE"""),193265.0)</f>
        <v>193265</v>
      </c>
      <c r="B5562" s="11">
        <f>IFERROR(__xludf.DUMMYFUNCTION("""COMPUTED_VALUE"""),1.0)</f>
        <v>1</v>
      </c>
      <c r="C5562" s="11">
        <f>IFERROR(__xludf.DUMMYFUNCTION("""COMPUTED_VALUE"""),762.0)</f>
        <v>762</v>
      </c>
      <c r="D5562" s="11">
        <f>IFERROR(__xludf.DUMMYFUNCTION("""COMPUTED_VALUE"""),534.0)</f>
        <v>534</v>
      </c>
      <c r="E5562" s="9"/>
    </row>
    <row r="5563">
      <c r="A5563" s="10">
        <f>IFERROR(__xludf.DUMMYFUNCTION("""COMPUTED_VALUE"""),13869.0)</f>
        <v>13869</v>
      </c>
      <c r="B5563" s="11">
        <f>IFERROR(__xludf.DUMMYFUNCTION("""COMPUTED_VALUE"""),1.0)</f>
        <v>1</v>
      </c>
      <c r="C5563" s="11">
        <f>IFERROR(__xludf.DUMMYFUNCTION("""COMPUTED_VALUE"""),296.0)</f>
        <v>296</v>
      </c>
      <c r="D5563" s="11">
        <f>IFERROR(__xludf.DUMMYFUNCTION("""COMPUTED_VALUE"""),215.0)</f>
        <v>215</v>
      </c>
      <c r="E5563" s="9"/>
    </row>
    <row r="5564">
      <c r="A5564" s="10">
        <f>IFERROR(__xludf.DUMMYFUNCTION("""COMPUTED_VALUE"""),13877.0)</f>
        <v>13877</v>
      </c>
      <c r="B5564" s="11">
        <f>IFERROR(__xludf.DUMMYFUNCTION("""COMPUTED_VALUE"""),1.0)</f>
        <v>1</v>
      </c>
      <c r="C5564" s="11">
        <f>IFERROR(__xludf.DUMMYFUNCTION("""COMPUTED_VALUE"""),176.0)</f>
        <v>176</v>
      </c>
      <c r="D5564" s="11">
        <f>IFERROR(__xludf.DUMMYFUNCTION("""COMPUTED_VALUE"""),66.0)</f>
        <v>66</v>
      </c>
      <c r="E5564" s="9"/>
    </row>
    <row r="5565">
      <c r="A5565" s="10">
        <f>IFERROR(__xludf.DUMMYFUNCTION("""COMPUTED_VALUE"""),9493.0)</f>
        <v>9493</v>
      </c>
      <c r="B5565" s="11">
        <f>IFERROR(__xludf.DUMMYFUNCTION("""COMPUTED_VALUE"""),0.0)</f>
        <v>0</v>
      </c>
      <c r="C5565" s="11">
        <f>IFERROR(__xludf.DUMMYFUNCTION("""COMPUTED_VALUE"""),574.0)</f>
        <v>574</v>
      </c>
      <c r="D5565" s="11">
        <f>IFERROR(__xludf.DUMMYFUNCTION("""COMPUTED_VALUE"""),164.0)</f>
        <v>164</v>
      </c>
      <c r="E5565" s="9"/>
    </row>
    <row r="5566">
      <c r="A5566" s="10">
        <f>IFERROR(__xludf.DUMMYFUNCTION("""COMPUTED_VALUE"""),9502.0)</f>
        <v>9502</v>
      </c>
      <c r="B5566" s="11">
        <f>IFERROR(__xludf.DUMMYFUNCTION("""COMPUTED_VALUE"""),0.0)</f>
        <v>0</v>
      </c>
      <c r="C5566" s="11">
        <f>IFERROR(__xludf.DUMMYFUNCTION("""COMPUTED_VALUE"""),545.0)</f>
        <v>545</v>
      </c>
      <c r="D5566" s="11">
        <f>IFERROR(__xludf.DUMMYFUNCTION("""COMPUTED_VALUE"""),320.0)</f>
        <v>320</v>
      </c>
      <c r="E5566" s="9"/>
    </row>
    <row r="5567">
      <c r="A5567" s="10">
        <f>IFERROR(__xludf.DUMMYFUNCTION("""COMPUTED_VALUE"""),147301.0)</f>
        <v>147301</v>
      </c>
      <c r="B5567" s="11">
        <f>IFERROR(__xludf.DUMMYFUNCTION("""COMPUTED_VALUE"""),1.0)</f>
        <v>1</v>
      </c>
      <c r="C5567" s="11">
        <f>IFERROR(__xludf.DUMMYFUNCTION("""COMPUTED_VALUE"""),335.0)</f>
        <v>335</v>
      </c>
      <c r="D5567" s="11">
        <f>IFERROR(__xludf.DUMMYFUNCTION("""COMPUTED_VALUE"""),285.0)</f>
        <v>285</v>
      </c>
      <c r="E5567" s="9"/>
    </row>
    <row r="5568">
      <c r="A5568" s="10">
        <f>IFERROR(__xludf.DUMMYFUNCTION("""COMPUTED_VALUE"""),30569.0)</f>
        <v>30569</v>
      </c>
      <c r="B5568" s="11">
        <f>IFERROR(__xludf.DUMMYFUNCTION("""COMPUTED_VALUE"""),1.0)</f>
        <v>1</v>
      </c>
      <c r="C5568" s="11">
        <f>IFERROR(__xludf.DUMMYFUNCTION("""COMPUTED_VALUE"""),132.0)</f>
        <v>132</v>
      </c>
      <c r="D5568" s="11">
        <f>IFERROR(__xludf.DUMMYFUNCTION("""COMPUTED_VALUE"""),122.0)</f>
        <v>122</v>
      </c>
      <c r="E5568" s="9"/>
    </row>
    <row r="5569">
      <c r="A5569" s="10">
        <f>IFERROR(__xludf.DUMMYFUNCTION("""COMPUTED_VALUE"""),112190.0)</f>
        <v>112190</v>
      </c>
      <c r="B5569" s="11">
        <f>IFERROR(__xludf.DUMMYFUNCTION("""COMPUTED_VALUE"""),0.0)</f>
        <v>0</v>
      </c>
      <c r="C5569" s="11">
        <f>IFERROR(__xludf.DUMMYFUNCTION("""COMPUTED_VALUE"""),846.0)</f>
        <v>846</v>
      </c>
      <c r="D5569" s="11">
        <f>IFERROR(__xludf.DUMMYFUNCTION("""COMPUTED_VALUE"""),346.0)</f>
        <v>346</v>
      </c>
      <c r="E5569" s="9"/>
    </row>
    <row r="5570">
      <c r="A5570" s="10">
        <f>IFERROR(__xludf.DUMMYFUNCTION("""COMPUTED_VALUE"""),110833.0)</f>
        <v>110833</v>
      </c>
      <c r="B5570" s="11">
        <f>IFERROR(__xludf.DUMMYFUNCTION("""COMPUTED_VALUE"""),1.0)</f>
        <v>1</v>
      </c>
      <c r="C5570" s="11">
        <f>IFERROR(__xludf.DUMMYFUNCTION("""COMPUTED_VALUE"""),500.0)</f>
        <v>500</v>
      </c>
      <c r="D5570" s="11">
        <f>IFERROR(__xludf.DUMMYFUNCTION("""COMPUTED_VALUE"""),319.0)</f>
        <v>319</v>
      </c>
      <c r="E5570" s="9"/>
    </row>
    <row r="5571">
      <c r="A5571" s="10">
        <f>IFERROR(__xludf.DUMMYFUNCTION("""COMPUTED_VALUE"""),9505.0)</f>
        <v>9505</v>
      </c>
      <c r="B5571" s="11">
        <f>IFERROR(__xludf.DUMMYFUNCTION("""COMPUTED_VALUE"""),0.0)</f>
        <v>0</v>
      </c>
      <c r="C5571" s="11">
        <f>IFERROR(__xludf.DUMMYFUNCTION("""COMPUTED_VALUE"""),345.0)</f>
        <v>345</v>
      </c>
      <c r="D5571" s="11">
        <f>IFERROR(__xludf.DUMMYFUNCTION("""COMPUTED_VALUE"""),218.0)</f>
        <v>218</v>
      </c>
      <c r="E5571" s="9"/>
    </row>
    <row r="5572">
      <c r="A5572" s="10">
        <f>IFERROR(__xludf.DUMMYFUNCTION("""COMPUTED_VALUE"""),119248.0)</f>
        <v>119248</v>
      </c>
      <c r="B5572" s="11">
        <f>IFERROR(__xludf.DUMMYFUNCTION("""COMPUTED_VALUE"""),0.0)</f>
        <v>0</v>
      </c>
      <c r="C5572" s="11">
        <f>IFERROR(__xludf.DUMMYFUNCTION("""COMPUTED_VALUE"""),84.0)</f>
        <v>84</v>
      </c>
      <c r="D5572" s="11">
        <f>IFERROR(__xludf.DUMMYFUNCTION("""COMPUTED_VALUE"""),7.0)</f>
        <v>7</v>
      </c>
      <c r="E5572" s="9"/>
    </row>
    <row r="5573">
      <c r="A5573" s="10">
        <f>IFERROR(__xludf.DUMMYFUNCTION("""COMPUTED_VALUE"""),147306.0)</f>
        <v>147306</v>
      </c>
      <c r="B5573" s="11">
        <f>IFERROR(__xludf.DUMMYFUNCTION("""COMPUTED_VALUE"""),1.0)</f>
        <v>1</v>
      </c>
      <c r="C5573" s="11">
        <f>IFERROR(__xludf.DUMMYFUNCTION("""COMPUTED_VALUE"""),0.0)</f>
        <v>0</v>
      </c>
      <c r="D5573" s="11">
        <f>IFERROR(__xludf.DUMMYFUNCTION("""COMPUTED_VALUE"""),0.0)</f>
        <v>0</v>
      </c>
      <c r="E5573" s="9"/>
    </row>
    <row r="5574">
      <c r="A5574" s="10">
        <f>IFERROR(__xludf.DUMMYFUNCTION("""COMPUTED_VALUE"""),77425.0)</f>
        <v>77425</v>
      </c>
      <c r="B5574" s="11">
        <f>IFERROR(__xludf.DUMMYFUNCTION("""COMPUTED_VALUE"""),1.0)</f>
        <v>1</v>
      </c>
      <c r="C5574" s="11">
        <f>IFERROR(__xludf.DUMMYFUNCTION("""COMPUTED_VALUE"""),442.0)</f>
        <v>442</v>
      </c>
      <c r="D5574" s="11">
        <f>IFERROR(__xludf.DUMMYFUNCTION("""COMPUTED_VALUE"""),355.0)</f>
        <v>355</v>
      </c>
      <c r="E5574" s="9"/>
    </row>
    <row r="5575">
      <c r="A5575" s="10">
        <f>IFERROR(__xludf.DUMMYFUNCTION("""COMPUTED_VALUE"""),9497.0)</f>
        <v>9497</v>
      </c>
      <c r="B5575" s="11">
        <f>IFERROR(__xludf.DUMMYFUNCTION("""COMPUTED_VALUE"""),1.0)</f>
        <v>1</v>
      </c>
      <c r="C5575" s="11">
        <f>IFERROR(__xludf.DUMMYFUNCTION("""COMPUTED_VALUE"""),168.0)</f>
        <v>168</v>
      </c>
      <c r="D5575" s="11">
        <f>IFERROR(__xludf.DUMMYFUNCTION("""COMPUTED_VALUE"""),52.0)</f>
        <v>52</v>
      </c>
      <c r="E5575" s="9"/>
    </row>
    <row r="5576">
      <c r="A5576" s="10">
        <f>IFERROR(__xludf.DUMMYFUNCTION("""COMPUTED_VALUE"""),9601.0)</f>
        <v>9601</v>
      </c>
      <c r="B5576" s="11">
        <f>IFERROR(__xludf.DUMMYFUNCTION("""COMPUTED_VALUE"""),0.0)</f>
        <v>0</v>
      </c>
      <c r="C5576" s="11">
        <f>IFERROR(__xludf.DUMMYFUNCTION("""COMPUTED_VALUE"""),789.0)</f>
        <v>789</v>
      </c>
      <c r="D5576" s="11">
        <f>IFERROR(__xludf.DUMMYFUNCTION("""COMPUTED_VALUE"""),572.0)</f>
        <v>572</v>
      </c>
      <c r="E5576" s="9"/>
    </row>
    <row r="5577">
      <c r="A5577" s="10">
        <f>IFERROR(__xludf.DUMMYFUNCTION("""COMPUTED_VALUE"""),117799.0)</f>
        <v>117799</v>
      </c>
      <c r="B5577" s="11">
        <f>IFERROR(__xludf.DUMMYFUNCTION("""COMPUTED_VALUE"""),1.0)</f>
        <v>1</v>
      </c>
      <c r="C5577" s="11">
        <f>IFERROR(__xludf.DUMMYFUNCTION("""COMPUTED_VALUE"""),157.0)</f>
        <v>157</v>
      </c>
      <c r="D5577" s="11">
        <f>IFERROR(__xludf.DUMMYFUNCTION("""COMPUTED_VALUE"""),73.0)</f>
        <v>73</v>
      </c>
      <c r="E5577" s="9"/>
    </row>
    <row r="5578">
      <c r="A5578" s="10">
        <f>IFERROR(__xludf.DUMMYFUNCTION("""COMPUTED_VALUE"""),82770.0)</f>
        <v>82770</v>
      </c>
      <c r="B5578" s="11">
        <f>IFERROR(__xludf.DUMMYFUNCTION("""COMPUTED_VALUE"""),0.0)</f>
        <v>0</v>
      </c>
      <c r="C5578" s="11">
        <f>IFERROR(__xludf.DUMMYFUNCTION("""COMPUTED_VALUE"""),950.0)</f>
        <v>950</v>
      </c>
      <c r="D5578" s="11">
        <f>IFERROR(__xludf.DUMMYFUNCTION("""COMPUTED_VALUE"""),150.0)</f>
        <v>150</v>
      </c>
      <c r="E5578" s="9"/>
    </row>
    <row r="5579">
      <c r="A5579" s="10">
        <f>IFERROR(__xludf.DUMMYFUNCTION("""COMPUTED_VALUE"""),119249.0)</f>
        <v>119249</v>
      </c>
      <c r="B5579" s="11">
        <f>IFERROR(__xludf.DUMMYFUNCTION("""COMPUTED_VALUE"""),0.0)</f>
        <v>0</v>
      </c>
      <c r="C5579" s="11">
        <f>IFERROR(__xludf.DUMMYFUNCTION("""COMPUTED_VALUE"""),672.0)</f>
        <v>672</v>
      </c>
      <c r="D5579" s="11">
        <f>IFERROR(__xludf.DUMMYFUNCTION("""COMPUTED_VALUE"""),275.0)</f>
        <v>275</v>
      </c>
      <c r="E5579" s="9"/>
    </row>
    <row r="5580">
      <c r="A5580" s="10">
        <f>IFERROR(__xludf.DUMMYFUNCTION("""COMPUTED_VALUE"""),86191.0)</f>
        <v>86191</v>
      </c>
      <c r="B5580" s="11">
        <f>IFERROR(__xludf.DUMMYFUNCTION("""COMPUTED_VALUE"""),1.0)</f>
        <v>1</v>
      </c>
      <c r="C5580" s="11">
        <f>IFERROR(__xludf.DUMMYFUNCTION("""COMPUTED_VALUE"""),848.0)</f>
        <v>848</v>
      </c>
      <c r="D5580" s="11">
        <f>IFERROR(__xludf.DUMMYFUNCTION("""COMPUTED_VALUE"""),9.0)</f>
        <v>9</v>
      </c>
      <c r="E5580" s="9"/>
    </row>
    <row r="5581">
      <c r="A5581" s="10">
        <f>IFERROR(__xludf.DUMMYFUNCTION("""COMPUTED_VALUE"""),9503.0)</f>
        <v>9503</v>
      </c>
      <c r="B5581" s="11">
        <f>IFERROR(__xludf.DUMMYFUNCTION("""COMPUTED_VALUE"""),1.0)</f>
        <v>1</v>
      </c>
      <c r="C5581" s="11">
        <f>IFERROR(__xludf.DUMMYFUNCTION("""COMPUTED_VALUE"""),778.0)</f>
        <v>778</v>
      </c>
      <c r="D5581" s="11">
        <f>IFERROR(__xludf.DUMMYFUNCTION("""COMPUTED_VALUE"""),266.0)</f>
        <v>266</v>
      </c>
      <c r="E5581" s="9"/>
    </row>
    <row r="5582">
      <c r="A5582" s="10">
        <f>IFERROR(__xludf.DUMMYFUNCTION("""COMPUTED_VALUE"""),94007.0)</f>
        <v>94007</v>
      </c>
      <c r="B5582" s="11">
        <f>IFERROR(__xludf.DUMMYFUNCTION("""COMPUTED_VALUE"""),0.0)</f>
        <v>0</v>
      </c>
      <c r="C5582" s="11">
        <f>IFERROR(__xludf.DUMMYFUNCTION("""COMPUTED_VALUE"""),45.0)</f>
        <v>45</v>
      </c>
      <c r="D5582" s="11">
        <f>IFERROR(__xludf.DUMMYFUNCTION("""COMPUTED_VALUE"""),23.0)</f>
        <v>23</v>
      </c>
      <c r="E5582" s="9"/>
    </row>
    <row r="5583">
      <c r="A5583" s="10">
        <f>IFERROR(__xludf.DUMMYFUNCTION("""COMPUTED_VALUE"""),82761.0)</f>
        <v>82761</v>
      </c>
      <c r="B5583" s="11">
        <f>IFERROR(__xludf.DUMMYFUNCTION("""COMPUTED_VALUE"""),1.0)</f>
        <v>1</v>
      </c>
      <c r="C5583" s="11">
        <f>IFERROR(__xludf.DUMMYFUNCTION("""COMPUTED_VALUE"""),942.0)</f>
        <v>942</v>
      </c>
      <c r="D5583" s="11">
        <f>IFERROR(__xludf.DUMMYFUNCTION("""COMPUTED_VALUE"""),844.0)</f>
        <v>844</v>
      </c>
      <c r="E5583" s="9"/>
    </row>
    <row r="5584">
      <c r="A5584" s="10">
        <f>IFERROR(__xludf.DUMMYFUNCTION("""COMPUTED_VALUE"""),9599.0)</f>
        <v>9599</v>
      </c>
      <c r="B5584" s="11">
        <f>IFERROR(__xludf.DUMMYFUNCTION("""COMPUTED_VALUE"""),1.0)</f>
        <v>1</v>
      </c>
      <c r="C5584" s="11">
        <f>IFERROR(__xludf.DUMMYFUNCTION("""COMPUTED_VALUE"""),869.0)</f>
        <v>869</v>
      </c>
      <c r="D5584" s="11">
        <f>IFERROR(__xludf.DUMMYFUNCTION("""COMPUTED_VALUE"""),97.0)</f>
        <v>97</v>
      </c>
      <c r="E5584" s="9"/>
    </row>
    <row r="5585">
      <c r="A5585" s="10">
        <f>IFERROR(__xludf.DUMMYFUNCTION("""COMPUTED_VALUE"""),9496.0)</f>
        <v>9496</v>
      </c>
      <c r="B5585" s="11">
        <f>IFERROR(__xludf.DUMMYFUNCTION("""COMPUTED_VALUE"""),1.0)</f>
        <v>1</v>
      </c>
      <c r="C5585" s="11">
        <f>IFERROR(__xludf.DUMMYFUNCTION("""COMPUTED_VALUE"""),312.0)</f>
        <v>312</v>
      </c>
      <c r="D5585" s="11">
        <f>IFERROR(__xludf.DUMMYFUNCTION("""COMPUTED_VALUE"""),310.0)</f>
        <v>310</v>
      </c>
      <c r="E5585" s="9"/>
    </row>
    <row r="5586">
      <c r="A5586" s="10">
        <f>IFERROR(__xludf.DUMMYFUNCTION("""COMPUTED_VALUE"""),195072.0)</f>
        <v>195072</v>
      </c>
      <c r="B5586" s="11">
        <f>IFERROR(__xludf.DUMMYFUNCTION("""COMPUTED_VALUE"""),0.0)</f>
        <v>0</v>
      </c>
      <c r="C5586" s="11">
        <f>IFERROR(__xludf.DUMMYFUNCTION("""COMPUTED_VALUE"""),302.0)</f>
        <v>302</v>
      </c>
      <c r="D5586" s="11">
        <f>IFERROR(__xludf.DUMMYFUNCTION("""COMPUTED_VALUE"""),156.0)</f>
        <v>156</v>
      </c>
      <c r="E5586" s="9"/>
    </row>
    <row r="5587">
      <c r="A5587" s="10">
        <f>IFERROR(__xludf.DUMMYFUNCTION("""COMPUTED_VALUE"""),119252.0)</f>
        <v>119252</v>
      </c>
      <c r="B5587" s="11">
        <f>IFERROR(__xludf.DUMMYFUNCTION("""COMPUTED_VALUE"""),1.0)</f>
        <v>1</v>
      </c>
      <c r="C5587" s="11">
        <f>IFERROR(__xludf.DUMMYFUNCTION("""COMPUTED_VALUE"""),890.0)</f>
        <v>890</v>
      </c>
      <c r="D5587" s="11">
        <f>IFERROR(__xludf.DUMMYFUNCTION("""COMPUTED_VALUE"""),214.0)</f>
        <v>214</v>
      </c>
      <c r="E5587" s="9"/>
    </row>
    <row r="5588">
      <c r="A5588" s="10">
        <f>IFERROR(__xludf.DUMMYFUNCTION("""COMPUTED_VALUE"""),9501.0)</f>
        <v>9501</v>
      </c>
      <c r="B5588" s="11">
        <f>IFERROR(__xludf.DUMMYFUNCTION("""COMPUTED_VALUE"""),0.0)</f>
        <v>0</v>
      </c>
      <c r="C5588" s="11">
        <f>IFERROR(__xludf.DUMMYFUNCTION("""COMPUTED_VALUE"""),487.0)</f>
        <v>487</v>
      </c>
      <c r="D5588" s="11">
        <f>IFERROR(__xludf.DUMMYFUNCTION("""COMPUTED_VALUE"""),217.0)</f>
        <v>217</v>
      </c>
      <c r="E5588" s="9"/>
    </row>
    <row r="5589">
      <c r="A5589" s="10">
        <f>IFERROR(__xludf.DUMMYFUNCTION("""COMPUTED_VALUE"""),9491.0)</f>
        <v>9491</v>
      </c>
      <c r="B5589" s="11">
        <f>IFERROR(__xludf.DUMMYFUNCTION("""COMPUTED_VALUE"""),1.0)</f>
        <v>1</v>
      </c>
      <c r="C5589" s="11">
        <f>IFERROR(__xludf.DUMMYFUNCTION("""COMPUTED_VALUE"""),432.0)</f>
        <v>432</v>
      </c>
      <c r="D5589" s="11">
        <f>IFERROR(__xludf.DUMMYFUNCTION("""COMPUTED_VALUE"""),89.0)</f>
        <v>89</v>
      </c>
      <c r="E5589" s="9"/>
    </row>
    <row r="5590">
      <c r="A5590" s="10">
        <f>IFERROR(__xludf.DUMMYFUNCTION("""COMPUTED_VALUE"""),194058.0)</f>
        <v>194058</v>
      </c>
      <c r="B5590" s="11">
        <f>IFERROR(__xludf.DUMMYFUNCTION("""COMPUTED_VALUE"""),0.0)</f>
        <v>0</v>
      </c>
      <c r="C5590" s="11">
        <f>IFERROR(__xludf.DUMMYFUNCTION("""COMPUTED_VALUE"""),710.0)</f>
        <v>710</v>
      </c>
      <c r="D5590" s="11">
        <f>IFERROR(__xludf.DUMMYFUNCTION("""COMPUTED_VALUE"""),364.0)</f>
        <v>364</v>
      </c>
      <c r="E5590" s="9"/>
    </row>
    <row r="5591">
      <c r="A5591" s="10">
        <f>IFERROR(__xludf.DUMMYFUNCTION("""COMPUTED_VALUE"""),111319.0)</f>
        <v>111319</v>
      </c>
      <c r="B5591" s="11">
        <f>IFERROR(__xludf.DUMMYFUNCTION("""COMPUTED_VALUE"""),0.0)</f>
        <v>0</v>
      </c>
      <c r="C5591" s="11">
        <f>IFERROR(__xludf.DUMMYFUNCTION("""COMPUTED_VALUE"""),921.0)</f>
        <v>921</v>
      </c>
      <c r="D5591" s="11">
        <f>IFERROR(__xludf.DUMMYFUNCTION("""COMPUTED_VALUE"""),346.0)</f>
        <v>346</v>
      </c>
      <c r="E5591" s="9"/>
    </row>
    <row r="5592">
      <c r="A5592" s="10">
        <f>IFERROR(__xludf.DUMMYFUNCTION("""COMPUTED_VALUE"""),86655.0)</f>
        <v>86655</v>
      </c>
      <c r="B5592" s="11">
        <f>IFERROR(__xludf.DUMMYFUNCTION("""COMPUTED_VALUE"""),1.0)</f>
        <v>1</v>
      </c>
      <c r="C5592" s="11">
        <f>IFERROR(__xludf.DUMMYFUNCTION("""COMPUTED_VALUE"""),196.0)</f>
        <v>196</v>
      </c>
      <c r="D5592" s="11">
        <f>IFERROR(__xludf.DUMMYFUNCTION("""COMPUTED_VALUE"""),154.0)</f>
        <v>154</v>
      </c>
      <c r="E5592" s="9"/>
    </row>
    <row r="5593">
      <c r="A5593" s="10">
        <f>IFERROR(__xludf.DUMMYFUNCTION("""COMPUTED_VALUE"""),147300.0)</f>
        <v>147300</v>
      </c>
      <c r="B5593" s="11">
        <f>IFERROR(__xludf.DUMMYFUNCTION("""COMPUTED_VALUE"""),1.0)</f>
        <v>1</v>
      </c>
      <c r="C5593" s="11">
        <f>IFERROR(__xludf.DUMMYFUNCTION("""COMPUTED_VALUE"""),18.0)</f>
        <v>18</v>
      </c>
      <c r="D5593" s="11">
        <f>IFERROR(__xludf.DUMMYFUNCTION("""COMPUTED_VALUE"""),17.0)</f>
        <v>17</v>
      </c>
      <c r="E5593" s="9"/>
    </row>
    <row r="5594">
      <c r="A5594" s="10">
        <f>IFERROR(__xludf.DUMMYFUNCTION("""COMPUTED_VALUE"""),13861.0)</f>
        <v>13861</v>
      </c>
      <c r="B5594" s="11">
        <f>IFERROR(__xludf.DUMMYFUNCTION("""COMPUTED_VALUE"""),1.0)</f>
        <v>1</v>
      </c>
      <c r="C5594" s="11">
        <f>IFERROR(__xludf.DUMMYFUNCTION("""COMPUTED_VALUE"""),286.0)</f>
        <v>286</v>
      </c>
      <c r="D5594" s="11">
        <f>IFERROR(__xludf.DUMMYFUNCTION("""COMPUTED_VALUE"""),235.0)</f>
        <v>235</v>
      </c>
      <c r="E5594" s="9"/>
    </row>
    <row r="5595">
      <c r="A5595" s="10">
        <f>IFERROR(__xludf.DUMMYFUNCTION("""COMPUTED_VALUE"""),81510.0)</f>
        <v>81510</v>
      </c>
      <c r="B5595" s="11">
        <f>IFERROR(__xludf.DUMMYFUNCTION("""COMPUTED_VALUE"""),1.0)</f>
        <v>1</v>
      </c>
      <c r="C5595" s="11">
        <f>IFERROR(__xludf.DUMMYFUNCTION("""COMPUTED_VALUE"""),109.0)</f>
        <v>109</v>
      </c>
      <c r="D5595" s="11">
        <f>IFERROR(__xludf.DUMMYFUNCTION("""COMPUTED_VALUE"""),28.0)</f>
        <v>28</v>
      </c>
      <c r="E5595" s="9"/>
    </row>
    <row r="5596">
      <c r="A5596" s="10">
        <f>IFERROR(__xludf.DUMMYFUNCTION("""COMPUTED_VALUE"""),9560.0)</f>
        <v>9560</v>
      </c>
      <c r="B5596" s="11">
        <f>IFERROR(__xludf.DUMMYFUNCTION("""COMPUTED_VALUE"""),1.0)</f>
        <v>1</v>
      </c>
      <c r="C5596" s="11">
        <f>IFERROR(__xludf.DUMMYFUNCTION("""COMPUTED_VALUE"""),718.0)</f>
        <v>718</v>
      </c>
      <c r="D5596" s="11">
        <f>IFERROR(__xludf.DUMMYFUNCTION("""COMPUTED_VALUE"""),88.0)</f>
        <v>88</v>
      </c>
      <c r="E5596" s="9"/>
    </row>
    <row r="5597">
      <c r="A5597" s="10">
        <f>IFERROR(__xludf.DUMMYFUNCTION("""COMPUTED_VALUE"""),72161.0)</f>
        <v>72161</v>
      </c>
      <c r="B5597" s="11">
        <f>IFERROR(__xludf.DUMMYFUNCTION("""COMPUTED_VALUE"""),1.0)</f>
        <v>1</v>
      </c>
      <c r="C5597" s="11">
        <f>IFERROR(__xludf.DUMMYFUNCTION("""COMPUTED_VALUE"""),185.0)</f>
        <v>185</v>
      </c>
      <c r="D5597" s="11">
        <f>IFERROR(__xludf.DUMMYFUNCTION("""COMPUTED_VALUE"""),63.0)</f>
        <v>63</v>
      </c>
      <c r="E5597" s="9"/>
    </row>
    <row r="5598">
      <c r="A5598" s="10">
        <f>IFERROR(__xludf.DUMMYFUNCTION("""COMPUTED_VALUE"""),9561.0)</f>
        <v>9561</v>
      </c>
      <c r="B5598" s="11">
        <f>IFERROR(__xludf.DUMMYFUNCTION("""COMPUTED_VALUE"""),1.0)</f>
        <v>1</v>
      </c>
      <c r="C5598" s="11">
        <f>IFERROR(__xludf.DUMMYFUNCTION("""COMPUTED_VALUE"""),672.0)</f>
        <v>672</v>
      </c>
      <c r="D5598" s="11">
        <f>IFERROR(__xludf.DUMMYFUNCTION("""COMPUTED_VALUE"""),178.0)</f>
        <v>178</v>
      </c>
      <c r="E5598" s="9"/>
    </row>
    <row r="5599">
      <c r="A5599" s="10">
        <f>IFERROR(__xludf.DUMMYFUNCTION("""COMPUTED_VALUE"""),9562.0)</f>
        <v>9562</v>
      </c>
      <c r="B5599" s="11">
        <f>IFERROR(__xludf.DUMMYFUNCTION("""COMPUTED_VALUE"""),1.0)</f>
        <v>1</v>
      </c>
      <c r="C5599" s="11">
        <f>IFERROR(__xludf.DUMMYFUNCTION("""COMPUTED_VALUE"""),979.0)</f>
        <v>979</v>
      </c>
      <c r="D5599" s="11">
        <f>IFERROR(__xludf.DUMMYFUNCTION("""COMPUTED_VALUE"""),797.0)</f>
        <v>797</v>
      </c>
      <c r="E5599" s="9"/>
    </row>
    <row r="5600">
      <c r="A5600" s="10">
        <f>IFERROR(__xludf.DUMMYFUNCTION("""COMPUTED_VALUE"""),119250.0)</f>
        <v>119250</v>
      </c>
      <c r="B5600" s="11">
        <f>IFERROR(__xludf.DUMMYFUNCTION("""COMPUTED_VALUE"""),1.0)</f>
        <v>1</v>
      </c>
      <c r="C5600" s="11">
        <f>IFERROR(__xludf.DUMMYFUNCTION("""COMPUTED_VALUE"""),138.0)</f>
        <v>138</v>
      </c>
      <c r="D5600" s="11">
        <f>IFERROR(__xludf.DUMMYFUNCTION("""COMPUTED_VALUE"""),105.0)</f>
        <v>105</v>
      </c>
      <c r="E5600" s="9"/>
    </row>
    <row r="5601">
      <c r="A5601" s="10">
        <f>IFERROR(__xludf.DUMMYFUNCTION("""COMPUTED_VALUE"""),122297.0)</f>
        <v>122297</v>
      </c>
      <c r="B5601" s="11">
        <f>IFERROR(__xludf.DUMMYFUNCTION("""COMPUTED_VALUE"""),1.0)</f>
        <v>1</v>
      </c>
      <c r="C5601" s="11">
        <f>IFERROR(__xludf.DUMMYFUNCTION("""COMPUTED_VALUE"""),588.0)</f>
        <v>588</v>
      </c>
      <c r="D5601" s="11">
        <f>IFERROR(__xludf.DUMMYFUNCTION("""COMPUTED_VALUE"""),122.0)</f>
        <v>122</v>
      </c>
      <c r="E5601" s="9"/>
    </row>
    <row r="5602">
      <c r="A5602" s="10">
        <f>IFERROR(__xludf.DUMMYFUNCTION("""COMPUTED_VALUE"""),164879.0)</f>
        <v>164879</v>
      </c>
      <c r="B5602" s="11">
        <f>IFERROR(__xludf.DUMMYFUNCTION("""COMPUTED_VALUE"""),0.0)</f>
        <v>0</v>
      </c>
      <c r="C5602" s="11">
        <f>IFERROR(__xludf.DUMMYFUNCTION("""COMPUTED_VALUE"""),848.0)</f>
        <v>848</v>
      </c>
      <c r="D5602" s="11">
        <f>IFERROR(__xludf.DUMMYFUNCTION("""COMPUTED_VALUE"""),576.0)</f>
        <v>576</v>
      </c>
      <c r="E5602" s="9"/>
    </row>
    <row r="5603">
      <c r="A5603" s="10">
        <f>IFERROR(__xludf.DUMMYFUNCTION("""COMPUTED_VALUE"""),48697.0)</f>
        <v>48697</v>
      </c>
      <c r="B5603" s="11">
        <f>IFERROR(__xludf.DUMMYFUNCTION("""COMPUTED_VALUE"""),0.0)</f>
        <v>0</v>
      </c>
      <c r="C5603" s="11">
        <f>IFERROR(__xludf.DUMMYFUNCTION("""COMPUTED_VALUE"""),371.0)</f>
        <v>371</v>
      </c>
      <c r="D5603" s="11">
        <f>IFERROR(__xludf.DUMMYFUNCTION("""COMPUTED_VALUE"""),277.0)</f>
        <v>277</v>
      </c>
      <c r="E5603" s="9"/>
    </row>
    <row r="5604">
      <c r="A5604" s="10">
        <f>IFERROR(__xludf.DUMMYFUNCTION("""COMPUTED_VALUE"""),122299.0)</f>
        <v>122299</v>
      </c>
      <c r="B5604" s="11">
        <f>IFERROR(__xludf.DUMMYFUNCTION("""COMPUTED_VALUE"""),0.0)</f>
        <v>0</v>
      </c>
      <c r="C5604" s="11">
        <f>IFERROR(__xludf.DUMMYFUNCTION("""COMPUTED_VALUE"""),543.0)</f>
        <v>543</v>
      </c>
      <c r="D5604" s="11">
        <f>IFERROR(__xludf.DUMMYFUNCTION("""COMPUTED_VALUE"""),329.0)</f>
        <v>329</v>
      </c>
      <c r="E5604" s="9"/>
    </row>
    <row r="5605">
      <c r="A5605" s="10">
        <f>IFERROR(__xludf.DUMMYFUNCTION("""COMPUTED_VALUE"""),82997.0)</f>
        <v>82997</v>
      </c>
      <c r="B5605" s="11">
        <f>IFERROR(__xludf.DUMMYFUNCTION("""COMPUTED_VALUE"""),1.0)</f>
        <v>1</v>
      </c>
      <c r="C5605" s="11">
        <f>IFERROR(__xludf.DUMMYFUNCTION("""COMPUTED_VALUE"""),214.0)</f>
        <v>214</v>
      </c>
      <c r="D5605" s="11">
        <f>IFERROR(__xludf.DUMMYFUNCTION("""COMPUTED_VALUE"""),38.0)</f>
        <v>38</v>
      </c>
      <c r="E5605" s="9"/>
    </row>
    <row r="5606">
      <c r="A5606" s="10">
        <f>IFERROR(__xludf.DUMMYFUNCTION("""COMPUTED_VALUE"""),108350.0)</f>
        <v>108350</v>
      </c>
      <c r="B5606" s="11">
        <f>IFERROR(__xludf.DUMMYFUNCTION("""COMPUTED_VALUE"""),0.0)</f>
        <v>0</v>
      </c>
      <c r="C5606" s="11">
        <f>IFERROR(__xludf.DUMMYFUNCTION("""COMPUTED_VALUE"""),380.0)</f>
        <v>380</v>
      </c>
      <c r="D5606" s="11">
        <f>IFERROR(__xludf.DUMMYFUNCTION("""COMPUTED_VALUE"""),41.0)</f>
        <v>41</v>
      </c>
      <c r="E5606" s="9"/>
    </row>
    <row r="5607">
      <c r="A5607" s="10">
        <f>IFERROR(__xludf.DUMMYFUNCTION("""COMPUTED_VALUE"""),48699.0)</f>
        <v>48699</v>
      </c>
      <c r="B5607" s="11">
        <f>IFERROR(__xludf.DUMMYFUNCTION("""COMPUTED_VALUE"""),1.0)</f>
        <v>1</v>
      </c>
      <c r="C5607" s="11">
        <f>IFERROR(__xludf.DUMMYFUNCTION("""COMPUTED_VALUE"""),418.0)</f>
        <v>418</v>
      </c>
      <c r="D5607" s="11">
        <f>IFERROR(__xludf.DUMMYFUNCTION("""COMPUTED_VALUE"""),96.0)</f>
        <v>96</v>
      </c>
      <c r="E5607" s="9"/>
    </row>
    <row r="5608">
      <c r="A5608" s="10">
        <f>IFERROR(__xludf.DUMMYFUNCTION("""COMPUTED_VALUE"""),108364.0)</f>
        <v>108364</v>
      </c>
      <c r="B5608" s="11">
        <f>IFERROR(__xludf.DUMMYFUNCTION("""COMPUTED_VALUE"""),1.0)</f>
        <v>1</v>
      </c>
      <c r="C5608" s="11">
        <f>IFERROR(__xludf.DUMMYFUNCTION("""COMPUTED_VALUE"""),537.0)</f>
        <v>537</v>
      </c>
      <c r="D5608" s="11">
        <f>IFERROR(__xludf.DUMMYFUNCTION("""COMPUTED_VALUE"""),118.0)</f>
        <v>118</v>
      </c>
      <c r="E5608" s="9"/>
    </row>
    <row r="5609">
      <c r="A5609" s="10">
        <f>IFERROR(__xludf.DUMMYFUNCTION("""COMPUTED_VALUE"""),5799.0)</f>
        <v>5799</v>
      </c>
      <c r="B5609" s="11">
        <f>IFERROR(__xludf.DUMMYFUNCTION("""COMPUTED_VALUE"""),0.0)</f>
        <v>0</v>
      </c>
      <c r="C5609" s="11">
        <f>IFERROR(__xludf.DUMMYFUNCTION("""COMPUTED_VALUE"""),148.0)</f>
        <v>148</v>
      </c>
      <c r="D5609" s="11">
        <f>IFERROR(__xludf.DUMMYFUNCTION("""COMPUTED_VALUE"""),67.0)</f>
        <v>67</v>
      </c>
      <c r="E5609" s="9"/>
    </row>
    <row r="5610">
      <c r="A5610" s="10">
        <f>IFERROR(__xludf.DUMMYFUNCTION("""COMPUTED_VALUE"""),81501.0)</f>
        <v>81501</v>
      </c>
      <c r="B5610" s="11">
        <f>IFERROR(__xludf.DUMMYFUNCTION("""COMPUTED_VALUE"""),1.0)</f>
        <v>1</v>
      </c>
      <c r="C5610" s="11">
        <f>IFERROR(__xludf.DUMMYFUNCTION("""COMPUTED_VALUE"""),514.0)</f>
        <v>514</v>
      </c>
      <c r="D5610" s="11">
        <f>IFERROR(__xludf.DUMMYFUNCTION("""COMPUTED_VALUE"""),181.0)</f>
        <v>181</v>
      </c>
      <c r="E5610" s="9"/>
    </row>
    <row r="5611">
      <c r="A5611" s="10">
        <f>IFERROR(__xludf.DUMMYFUNCTION("""COMPUTED_VALUE"""),47648.0)</f>
        <v>47648</v>
      </c>
      <c r="B5611" s="11">
        <f>IFERROR(__xludf.DUMMYFUNCTION("""COMPUTED_VALUE"""),1.0)</f>
        <v>1</v>
      </c>
      <c r="C5611" s="11">
        <f>IFERROR(__xludf.DUMMYFUNCTION("""COMPUTED_VALUE"""),670.0)</f>
        <v>670</v>
      </c>
      <c r="D5611" s="11">
        <f>IFERROR(__xludf.DUMMYFUNCTION("""COMPUTED_VALUE"""),87.0)</f>
        <v>87</v>
      </c>
      <c r="E5611" s="9"/>
    </row>
    <row r="5612">
      <c r="A5612" s="10">
        <f>IFERROR(__xludf.DUMMYFUNCTION("""COMPUTED_VALUE"""),105328.0)</f>
        <v>105328</v>
      </c>
      <c r="B5612" s="11">
        <f>IFERROR(__xludf.DUMMYFUNCTION("""COMPUTED_VALUE"""),0.0)</f>
        <v>0</v>
      </c>
      <c r="C5612" s="11">
        <f>IFERROR(__xludf.DUMMYFUNCTION("""COMPUTED_VALUE"""),79.0)</f>
        <v>79</v>
      </c>
      <c r="D5612" s="11">
        <f>IFERROR(__xludf.DUMMYFUNCTION("""COMPUTED_VALUE"""),36.0)</f>
        <v>36</v>
      </c>
      <c r="E5612" s="9"/>
    </row>
    <row r="5613">
      <c r="A5613" s="10">
        <f>IFERROR(__xludf.DUMMYFUNCTION("""COMPUTED_VALUE"""),47654.0)</f>
        <v>47654</v>
      </c>
      <c r="B5613" s="11">
        <f>IFERROR(__xludf.DUMMYFUNCTION("""COMPUTED_VALUE"""),0.0)</f>
        <v>0</v>
      </c>
      <c r="C5613" s="11">
        <f>IFERROR(__xludf.DUMMYFUNCTION("""COMPUTED_VALUE"""),298.0)</f>
        <v>298</v>
      </c>
      <c r="D5613" s="11">
        <f>IFERROR(__xludf.DUMMYFUNCTION("""COMPUTED_VALUE"""),271.0)</f>
        <v>271</v>
      </c>
      <c r="E5613" s="9"/>
    </row>
    <row r="5614">
      <c r="A5614" s="10">
        <f>IFERROR(__xludf.DUMMYFUNCTION("""COMPUTED_VALUE"""),82371.0)</f>
        <v>82371</v>
      </c>
      <c r="B5614" s="11">
        <f>IFERROR(__xludf.DUMMYFUNCTION("""COMPUTED_VALUE"""),1.0)</f>
        <v>1</v>
      </c>
      <c r="C5614" s="11">
        <f>IFERROR(__xludf.DUMMYFUNCTION("""COMPUTED_VALUE"""),298.0)</f>
        <v>298</v>
      </c>
      <c r="D5614" s="11">
        <f>IFERROR(__xludf.DUMMYFUNCTION("""COMPUTED_VALUE"""),271.0)</f>
        <v>271</v>
      </c>
      <c r="E5614" s="9"/>
    </row>
    <row r="5615">
      <c r="A5615" s="10">
        <f>IFERROR(__xludf.DUMMYFUNCTION("""COMPUTED_VALUE"""),81500.0)</f>
        <v>81500</v>
      </c>
      <c r="B5615" s="11">
        <f>IFERROR(__xludf.DUMMYFUNCTION("""COMPUTED_VALUE"""),0.0)</f>
        <v>0</v>
      </c>
      <c r="C5615" s="11">
        <f>IFERROR(__xludf.DUMMYFUNCTION("""COMPUTED_VALUE"""),562.0)</f>
        <v>562</v>
      </c>
      <c r="D5615" s="11">
        <f>IFERROR(__xludf.DUMMYFUNCTION("""COMPUTED_VALUE"""),364.0)</f>
        <v>364</v>
      </c>
      <c r="E5615" s="9"/>
    </row>
    <row r="5616">
      <c r="A5616" s="10">
        <f>IFERROR(__xludf.DUMMYFUNCTION("""COMPUTED_VALUE"""),48501.0)</f>
        <v>48501</v>
      </c>
      <c r="B5616" s="11">
        <f>IFERROR(__xludf.DUMMYFUNCTION("""COMPUTED_VALUE"""),0.0)</f>
        <v>0</v>
      </c>
      <c r="C5616" s="11">
        <f>IFERROR(__xludf.DUMMYFUNCTION("""COMPUTED_VALUE"""),192.0)</f>
        <v>192</v>
      </c>
      <c r="D5616" s="11">
        <f>IFERROR(__xludf.DUMMYFUNCTION("""COMPUTED_VALUE"""),62.0)</f>
        <v>62</v>
      </c>
      <c r="E5616" s="9"/>
    </row>
    <row r="5617">
      <c r="A5617" s="10">
        <f>IFERROR(__xludf.DUMMYFUNCTION("""COMPUTED_VALUE"""),81498.0)</f>
        <v>81498</v>
      </c>
      <c r="B5617" s="11">
        <f>IFERROR(__xludf.DUMMYFUNCTION("""COMPUTED_VALUE"""),0.0)</f>
        <v>0</v>
      </c>
      <c r="C5617" s="11">
        <f>IFERROR(__xludf.DUMMYFUNCTION("""COMPUTED_VALUE"""),529.0)</f>
        <v>529</v>
      </c>
      <c r="D5617" s="11">
        <f>IFERROR(__xludf.DUMMYFUNCTION("""COMPUTED_VALUE"""),494.0)</f>
        <v>494</v>
      </c>
      <c r="E5617" s="9"/>
    </row>
    <row r="5618">
      <c r="A5618" s="10">
        <f>IFERROR(__xludf.DUMMYFUNCTION("""COMPUTED_VALUE"""),48498.0)</f>
        <v>48498</v>
      </c>
      <c r="B5618" s="11">
        <f>IFERROR(__xludf.DUMMYFUNCTION("""COMPUTED_VALUE"""),1.0)</f>
        <v>1</v>
      </c>
      <c r="C5618" s="11">
        <f>IFERROR(__xludf.DUMMYFUNCTION("""COMPUTED_VALUE"""),318.0)</f>
        <v>318</v>
      </c>
      <c r="D5618" s="11">
        <f>IFERROR(__xludf.DUMMYFUNCTION("""COMPUTED_VALUE"""),155.0)</f>
        <v>155</v>
      </c>
      <c r="E5618" s="9"/>
    </row>
    <row r="5619">
      <c r="A5619" s="10">
        <f>IFERROR(__xludf.DUMMYFUNCTION("""COMPUTED_VALUE"""),88628.0)</f>
        <v>88628</v>
      </c>
      <c r="B5619" s="11">
        <f>IFERROR(__xludf.DUMMYFUNCTION("""COMPUTED_VALUE"""),0.0)</f>
        <v>0</v>
      </c>
      <c r="C5619" s="11">
        <f>IFERROR(__xludf.DUMMYFUNCTION("""COMPUTED_VALUE"""),555.0)</f>
        <v>555</v>
      </c>
      <c r="D5619" s="11">
        <f>IFERROR(__xludf.DUMMYFUNCTION("""COMPUTED_VALUE"""),426.0)</f>
        <v>426</v>
      </c>
      <c r="E5619" s="9"/>
    </row>
    <row r="5620">
      <c r="A5620" s="10">
        <f>IFERROR(__xludf.DUMMYFUNCTION("""COMPUTED_VALUE"""),180340.0)</f>
        <v>180340</v>
      </c>
      <c r="B5620" s="11">
        <f>IFERROR(__xludf.DUMMYFUNCTION("""COMPUTED_VALUE"""),0.0)</f>
        <v>0</v>
      </c>
      <c r="C5620" s="11">
        <f>IFERROR(__xludf.DUMMYFUNCTION("""COMPUTED_VALUE"""),88.0)</f>
        <v>88</v>
      </c>
      <c r="D5620" s="11">
        <f>IFERROR(__xludf.DUMMYFUNCTION("""COMPUTED_VALUE"""),53.0)</f>
        <v>53</v>
      </c>
      <c r="E5620" s="9"/>
    </row>
    <row r="5621">
      <c r="A5621" s="10">
        <f>IFERROR(__xludf.DUMMYFUNCTION("""COMPUTED_VALUE"""),48503.0)</f>
        <v>48503</v>
      </c>
      <c r="B5621" s="11">
        <f>IFERROR(__xludf.DUMMYFUNCTION("""COMPUTED_VALUE"""),0.0)</f>
        <v>0</v>
      </c>
      <c r="C5621" s="11">
        <f>IFERROR(__xludf.DUMMYFUNCTION("""COMPUTED_VALUE"""),151.0)</f>
        <v>151</v>
      </c>
      <c r="D5621" s="11">
        <f>IFERROR(__xludf.DUMMYFUNCTION("""COMPUTED_VALUE"""),10.0)</f>
        <v>10</v>
      </c>
      <c r="E5621" s="9"/>
    </row>
    <row r="5622">
      <c r="A5622" s="10">
        <f>IFERROR(__xludf.DUMMYFUNCTION("""COMPUTED_VALUE"""),74819.0)</f>
        <v>74819</v>
      </c>
      <c r="B5622" s="11">
        <f>IFERROR(__xludf.DUMMYFUNCTION("""COMPUTED_VALUE"""),1.0)</f>
        <v>1</v>
      </c>
      <c r="C5622" s="11">
        <f>IFERROR(__xludf.DUMMYFUNCTION("""COMPUTED_VALUE"""),445.0)</f>
        <v>445</v>
      </c>
      <c r="D5622" s="11">
        <f>IFERROR(__xludf.DUMMYFUNCTION("""COMPUTED_VALUE"""),38.0)</f>
        <v>38</v>
      </c>
      <c r="E5622" s="9"/>
    </row>
    <row r="5623">
      <c r="A5623" s="10">
        <f>IFERROR(__xludf.DUMMYFUNCTION("""COMPUTED_VALUE"""),48502.0)</f>
        <v>48502</v>
      </c>
      <c r="B5623" s="11">
        <f>IFERROR(__xludf.DUMMYFUNCTION("""COMPUTED_VALUE"""),1.0)</f>
        <v>1</v>
      </c>
      <c r="C5623" s="11">
        <f>IFERROR(__xludf.DUMMYFUNCTION("""COMPUTED_VALUE"""),424.0)</f>
        <v>424</v>
      </c>
      <c r="D5623" s="11">
        <f>IFERROR(__xludf.DUMMYFUNCTION("""COMPUTED_VALUE"""),414.0)</f>
        <v>414</v>
      </c>
      <c r="E5623" s="9"/>
    </row>
    <row r="5624">
      <c r="A5624" s="10">
        <f>IFERROR(__xludf.DUMMYFUNCTION("""COMPUTED_VALUE"""),96001.0)</f>
        <v>96001</v>
      </c>
      <c r="B5624" s="11">
        <f>IFERROR(__xludf.DUMMYFUNCTION("""COMPUTED_VALUE"""),1.0)</f>
        <v>1</v>
      </c>
      <c r="C5624" s="11">
        <f>IFERROR(__xludf.DUMMYFUNCTION("""COMPUTED_VALUE"""),668.0)</f>
        <v>668</v>
      </c>
      <c r="D5624" s="11">
        <f>IFERROR(__xludf.DUMMYFUNCTION("""COMPUTED_VALUE"""),285.0)</f>
        <v>285</v>
      </c>
      <c r="E5624" s="9"/>
    </row>
    <row r="5625">
      <c r="A5625" s="10">
        <f>IFERROR(__xludf.DUMMYFUNCTION("""COMPUTED_VALUE"""),103095.0)</f>
        <v>103095</v>
      </c>
      <c r="B5625" s="11">
        <f>IFERROR(__xludf.DUMMYFUNCTION("""COMPUTED_VALUE"""),1.0)</f>
        <v>1</v>
      </c>
      <c r="C5625" s="11">
        <f>IFERROR(__xludf.DUMMYFUNCTION("""COMPUTED_VALUE"""),159.0)</f>
        <v>159</v>
      </c>
      <c r="D5625" s="11">
        <f>IFERROR(__xludf.DUMMYFUNCTION("""COMPUTED_VALUE"""),56.0)</f>
        <v>56</v>
      </c>
      <c r="E5625" s="9"/>
    </row>
    <row r="5626">
      <c r="A5626" s="10">
        <f>IFERROR(__xludf.DUMMYFUNCTION("""COMPUTED_VALUE"""),88627.0)</f>
        <v>88627</v>
      </c>
      <c r="B5626" s="11">
        <f>IFERROR(__xludf.DUMMYFUNCTION("""COMPUTED_VALUE"""),1.0)</f>
        <v>1</v>
      </c>
      <c r="C5626" s="11">
        <f>IFERROR(__xludf.DUMMYFUNCTION("""COMPUTED_VALUE"""),597.0)</f>
        <v>597</v>
      </c>
      <c r="D5626" s="11">
        <f>IFERROR(__xludf.DUMMYFUNCTION("""COMPUTED_VALUE"""),18.0)</f>
        <v>18</v>
      </c>
      <c r="E5626" s="9"/>
    </row>
    <row r="5627">
      <c r="A5627" s="10">
        <f>IFERROR(__xludf.DUMMYFUNCTION("""COMPUTED_VALUE"""),105329.0)</f>
        <v>105329</v>
      </c>
      <c r="B5627" s="11">
        <f>IFERROR(__xludf.DUMMYFUNCTION("""COMPUTED_VALUE"""),0.0)</f>
        <v>0</v>
      </c>
      <c r="C5627" s="11">
        <f>IFERROR(__xludf.DUMMYFUNCTION("""COMPUTED_VALUE"""),174.0)</f>
        <v>174</v>
      </c>
      <c r="D5627" s="11">
        <f>IFERROR(__xludf.DUMMYFUNCTION("""COMPUTED_VALUE"""),162.0)</f>
        <v>162</v>
      </c>
      <c r="E5627" s="9"/>
    </row>
    <row r="5628">
      <c r="A5628" s="10">
        <f>IFERROR(__xludf.DUMMYFUNCTION("""COMPUTED_VALUE"""),105330.0)</f>
        <v>105330</v>
      </c>
      <c r="B5628" s="11">
        <f>IFERROR(__xludf.DUMMYFUNCTION("""COMPUTED_VALUE"""),1.0)</f>
        <v>1</v>
      </c>
      <c r="C5628" s="11">
        <f>IFERROR(__xludf.DUMMYFUNCTION("""COMPUTED_VALUE"""),509.0)</f>
        <v>509</v>
      </c>
      <c r="D5628" s="11">
        <f>IFERROR(__xludf.DUMMYFUNCTION("""COMPUTED_VALUE"""),325.0)</f>
        <v>325</v>
      </c>
      <c r="E5628" s="9"/>
    </row>
    <row r="5629">
      <c r="A5629" s="10">
        <f>IFERROR(__xludf.DUMMYFUNCTION("""COMPUTED_VALUE"""),80252.0)</f>
        <v>80252</v>
      </c>
      <c r="B5629" s="11">
        <f>IFERROR(__xludf.DUMMYFUNCTION("""COMPUTED_VALUE"""),1.0)</f>
        <v>1</v>
      </c>
      <c r="C5629" s="11">
        <f>IFERROR(__xludf.DUMMYFUNCTION("""COMPUTED_VALUE"""),831.0)</f>
        <v>831</v>
      </c>
      <c r="D5629" s="11">
        <f>IFERROR(__xludf.DUMMYFUNCTION("""COMPUTED_VALUE"""),44.0)</f>
        <v>44</v>
      </c>
      <c r="E5629" s="9"/>
    </row>
    <row r="5630">
      <c r="A5630" s="10">
        <f>IFERROR(__xludf.DUMMYFUNCTION("""COMPUTED_VALUE"""),77468.0)</f>
        <v>77468</v>
      </c>
      <c r="B5630" s="11">
        <f>IFERROR(__xludf.DUMMYFUNCTION("""COMPUTED_VALUE"""),1.0)</f>
        <v>1</v>
      </c>
      <c r="C5630" s="11">
        <f>IFERROR(__xludf.DUMMYFUNCTION("""COMPUTED_VALUE"""),396.0)</f>
        <v>396</v>
      </c>
      <c r="D5630" s="11">
        <f>IFERROR(__xludf.DUMMYFUNCTION("""COMPUTED_VALUE"""),176.0)</f>
        <v>176</v>
      </c>
      <c r="E5630" s="9"/>
    </row>
    <row r="5631">
      <c r="A5631" s="10">
        <f>IFERROR(__xludf.DUMMYFUNCTION("""COMPUTED_VALUE"""),24203.0)</f>
        <v>24203</v>
      </c>
      <c r="B5631" s="11">
        <f>IFERROR(__xludf.DUMMYFUNCTION("""COMPUTED_VALUE"""),0.0)</f>
        <v>0</v>
      </c>
      <c r="C5631" s="11">
        <f>IFERROR(__xludf.DUMMYFUNCTION("""COMPUTED_VALUE"""),363.0)</f>
        <v>363</v>
      </c>
      <c r="D5631" s="11">
        <f>IFERROR(__xludf.DUMMYFUNCTION("""COMPUTED_VALUE"""),272.0)</f>
        <v>272</v>
      </c>
      <c r="E5631" s="9"/>
    </row>
    <row r="5632">
      <c r="A5632" s="10">
        <f>IFERROR(__xludf.DUMMYFUNCTION("""COMPUTED_VALUE"""),139291.0)</f>
        <v>139291</v>
      </c>
      <c r="B5632" s="11">
        <f>IFERROR(__xludf.DUMMYFUNCTION("""COMPUTED_VALUE"""),0.0)</f>
        <v>0</v>
      </c>
      <c r="C5632" s="11">
        <f>IFERROR(__xludf.DUMMYFUNCTION("""COMPUTED_VALUE"""),701.0)</f>
        <v>701</v>
      </c>
      <c r="D5632" s="11">
        <f>IFERROR(__xludf.DUMMYFUNCTION("""COMPUTED_VALUE"""),366.0)</f>
        <v>366</v>
      </c>
      <c r="E5632" s="9"/>
    </row>
    <row r="5633">
      <c r="A5633" s="10">
        <f>IFERROR(__xludf.DUMMYFUNCTION("""COMPUTED_VALUE"""),77426.0)</f>
        <v>77426</v>
      </c>
      <c r="B5633" s="11">
        <f>IFERROR(__xludf.DUMMYFUNCTION("""COMPUTED_VALUE"""),1.0)</f>
        <v>1</v>
      </c>
      <c r="C5633" s="11">
        <f>IFERROR(__xludf.DUMMYFUNCTION("""COMPUTED_VALUE"""),486.0)</f>
        <v>486</v>
      </c>
      <c r="D5633" s="11">
        <f>IFERROR(__xludf.DUMMYFUNCTION("""COMPUTED_VALUE"""),449.0)</f>
        <v>449</v>
      </c>
      <c r="E5633" s="9"/>
    </row>
    <row r="5634">
      <c r="A5634" s="10">
        <f>IFERROR(__xludf.DUMMYFUNCTION("""COMPUTED_VALUE"""),94039.0)</f>
        <v>94039</v>
      </c>
      <c r="B5634" s="11">
        <f>IFERROR(__xludf.DUMMYFUNCTION("""COMPUTED_VALUE"""),0.0)</f>
        <v>0</v>
      </c>
      <c r="C5634" s="11">
        <f>IFERROR(__xludf.DUMMYFUNCTION("""COMPUTED_VALUE"""),764.0)</f>
        <v>764</v>
      </c>
      <c r="D5634" s="11">
        <f>IFERROR(__xludf.DUMMYFUNCTION("""COMPUTED_VALUE"""),323.0)</f>
        <v>323</v>
      </c>
      <c r="E5634" s="9"/>
    </row>
    <row r="5635">
      <c r="A5635" s="10">
        <f>IFERROR(__xludf.DUMMYFUNCTION("""COMPUTED_VALUE"""),9508.0)</f>
        <v>9508</v>
      </c>
      <c r="B5635" s="11">
        <f>IFERROR(__xludf.DUMMYFUNCTION("""COMPUTED_VALUE"""),1.0)</f>
        <v>1</v>
      </c>
      <c r="C5635" s="11">
        <f>IFERROR(__xludf.DUMMYFUNCTION("""COMPUTED_VALUE"""),563.0)</f>
        <v>563</v>
      </c>
      <c r="D5635" s="11">
        <f>IFERROR(__xludf.DUMMYFUNCTION("""COMPUTED_VALUE"""),331.0)</f>
        <v>331</v>
      </c>
      <c r="E5635" s="9"/>
    </row>
    <row r="5636">
      <c r="A5636" s="10">
        <f>IFERROR(__xludf.DUMMYFUNCTION("""COMPUTED_VALUE"""),121595.0)</f>
        <v>121595</v>
      </c>
      <c r="B5636" s="11">
        <f>IFERROR(__xludf.DUMMYFUNCTION("""COMPUTED_VALUE"""),1.0)</f>
        <v>1</v>
      </c>
      <c r="C5636" s="11">
        <f>IFERROR(__xludf.DUMMYFUNCTION("""COMPUTED_VALUE"""),607.0)</f>
        <v>607</v>
      </c>
      <c r="D5636" s="11">
        <f>IFERROR(__xludf.DUMMYFUNCTION("""COMPUTED_VALUE"""),239.0)</f>
        <v>239</v>
      </c>
      <c r="E5636" s="9"/>
    </row>
    <row r="5637">
      <c r="A5637" s="10">
        <f>IFERROR(__xludf.DUMMYFUNCTION("""COMPUTED_VALUE"""),124762.0)</f>
        <v>124762</v>
      </c>
      <c r="B5637" s="11">
        <f>IFERROR(__xludf.DUMMYFUNCTION("""COMPUTED_VALUE"""),1.0)</f>
        <v>1</v>
      </c>
      <c r="C5637" s="11">
        <f>IFERROR(__xludf.DUMMYFUNCTION("""COMPUTED_VALUE"""),57.0)</f>
        <v>57</v>
      </c>
      <c r="D5637" s="11">
        <f>IFERROR(__xludf.DUMMYFUNCTION("""COMPUTED_VALUE"""),48.0)</f>
        <v>48</v>
      </c>
      <c r="E5637" s="9"/>
    </row>
    <row r="5638">
      <c r="A5638" s="10">
        <f>IFERROR(__xludf.DUMMYFUNCTION("""COMPUTED_VALUE"""),77462.0)</f>
        <v>77462</v>
      </c>
      <c r="B5638" s="11">
        <f>IFERROR(__xludf.DUMMYFUNCTION("""COMPUTED_VALUE"""),0.0)</f>
        <v>0</v>
      </c>
      <c r="C5638" s="11">
        <f>IFERROR(__xludf.DUMMYFUNCTION("""COMPUTED_VALUE"""),698.0)</f>
        <v>698</v>
      </c>
      <c r="D5638" s="11">
        <f>IFERROR(__xludf.DUMMYFUNCTION("""COMPUTED_VALUE"""),372.0)</f>
        <v>372</v>
      </c>
      <c r="E5638" s="9"/>
    </row>
    <row r="5639">
      <c r="A5639" s="10">
        <f>IFERROR(__xludf.DUMMYFUNCTION("""COMPUTED_VALUE"""),49158.0)</f>
        <v>49158</v>
      </c>
      <c r="B5639" s="11">
        <f>IFERROR(__xludf.DUMMYFUNCTION("""COMPUTED_VALUE"""),1.0)</f>
        <v>1</v>
      </c>
      <c r="C5639" s="11">
        <f>IFERROR(__xludf.DUMMYFUNCTION("""COMPUTED_VALUE"""),496.0)</f>
        <v>496</v>
      </c>
      <c r="D5639" s="11">
        <f>IFERROR(__xludf.DUMMYFUNCTION("""COMPUTED_VALUE"""),461.0)</f>
        <v>461</v>
      </c>
      <c r="E5639" s="9"/>
    </row>
    <row r="5640">
      <c r="A5640" s="10">
        <f>IFERROR(__xludf.DUMMYFUNCTION("""COMPUTED_VALUE"""),93982.0)</f>
        <v>93982</v>
      </c>
      <c r="B5640" s="11">
        <f>IFERROR(__xludf.DUMMYFUNCTION("""COMPUTED_VALUE"""),1.0)</f>
        <v>1</v>
      </c>
      <c r="C5640" s="11">
        <f>IFERROR(__xludf.DUMMYFUNCTION("""COMPUTED_VALUE"""),98.0)</f>
        <v>98</v>
      </c>
      <c r="D5640" s="11">
        <f>IFERROR(__xludf.DUMMYFUNCTION("""COMPUTED_VALUE"""),84.0)</f>
        <v>84</v>
      </c>
      <c r="E5640" s="9"/>
    </row>
    <row r="5641">
      <c r="A5641" s="10">
        <f>IFERROR(__xludf.DUMMYFUNCTION("""COMPUTED_VALUE"""),9546.0)</f>
        <v>9546</v>
      </c>
      <c r="B5641" s="11">
        <f>IFERROR(__xludf.DUMMYFUNCTION("""COMPUTED_VALUE"""),0.0)</f>
        <v>0</v>
      </c>
      <c r="C5641" s="11">
        <f>IFERROR(__xludf.DUMMYFUNCTION("""COMPUTED_VALUE"""),700.0)</f>
        <v>700</v>
      </c>
      <c r="D5641" s="11">
        <f>IFERROR(__xludf.DUMMYFUNCTION("""COMPUTED_VALUE"""),650.0)</f>
        <v>650</v>
      </c>
      <c r="E5641" s="9"/>
    </row>
    <row r="5642">
      <c r="A5642" s="10">
        <f>IFERROR(__xludf.DUMMYFUNCTION("""COMPUTED_VALUE"""),9482.0)</f>
        <v>9482</v>
      </c>
      <c r="B5642" s="11">
        <f>IFERROR(__xludf.DUMMYFUNCTION("""COMPUTED_VALUE"""),0.0)</f>
        <v>0</v>
      </c>
      <c r="C5642" s="11">
        <f>IFERROR(__xludf.DUMMYFUNCTION("""COMPUTED_VALUE"""),688.0)</f>
        <v>688</v>
      </c>
      <c r="D5642" s="11">
        <f>IFERROR(__xludf.DUMMYFUNCTION("""COMPUTED_VALUE"""),246.0)</f>
        <v>246</v>
      </c>
      <c r="E5642" s="9"/>
    </row>
    <row r="5643">
      <c r="A5643" s="10">
        <f>IFERROR(__xludf.DUMMYFUNCTION("""COMPUTED_VALUE"""),139290.0)</f>
        <v>139290</v>
      </c>
      <c r="B5643" s="11">
        <f>IFERROR(__xludf.DUMMYFUNCTION("""COMPUTED_VALUE"""),0.0)</f>
        <v>0</v>
      </c>
      <c r="C5643" s="11">
        <f>IFERROR(__xludf.DUMMYFUNCTION("""COMPUTED_VALUE"""),353.0)</f>
        <v>353</v>
      </c>
      <c r="D5643" s="11">
        <f>IFERROR(__xludf.DUMMYFUNCTION("""COMPUTED_VALUE"""),306.0)</f>
        <v>306</v>
      </c>
      <c r="E5643" s="9"/>
    </row>
    <row r="5644">
      <c r="A5644" s="10">
        <f>IFERROR(__xludf.DUMMYFUNCTION("""COMPUTED_VALUE"""),121596.0)</f>
        <v>121596</v>
      </c>
      <c r="B5644" s="11">
        <f>IFERROR(__xludf.DUMMYFUNCTION("""COMPUTED_VALUE"""),1.0)</f>
        <v>1</v>
      </c>
      <c r="C5644" s="11">
        <f>IFERROR(__xludf.DUMMYFUNCTION("""COMPUTED_VALUE"""),627.0)</f>
        <v>627</v>
      </c>
      <c r="D5644" s="11">
        <f>IFERROR(__xludf.DUMMYFUNCTION("""COMPUTED_VALUE"""),260.0)</f>
        <v>260</v>
      </c>
      <c r="E5644" s="9"/>
    </row>
    <row r="5645">
      <c r="A5645" s="10">
        <f>IFERROR(__xludf.DUMMYFUNCTION("""COMPUTED_VALUE"""),14441.0)</f>
        <v>14441</v>
      </c>
      <c r="B5645" s="11">
        <f>IFERROR(__xludf.DUMMYFUNCTION("""COMPUTED_VALUE"""),1.0)</f>
        <v>1</v>
      </c>
      <c r="C5645" s="11">
        <f>IFERROR(__xludf.DUMMYFUNCTION("""COMPUTED_VALUE"""),950.0)</f>
        <v>950</v>
      </c>
      <c r="D5645" s="11">
        <f>IFERROR(__xludf.DUMMYFUNCTION("""COMPUTED_VALUE"""),676.0)</f>
        <v>676</v>
      </c>
      <c r="E5645" s="9"/>
    </row>
    <row r="5646">
      <c r="A5646" s="10">
        <f>IFERROR(__xludf.DUMMYFUNCTION("""COMPUTED_VALUE"""),9489.0)</f>
        <v>9489</v>
      </c>
      <c r="B5646" s="11">
        <f>IFERROR(__xludf.DUMMYFUNCTION("""COMPUTED_VALUE"""),0.0)</f>
        <v>0</v>
      </c>
      <c r="C5646" s="11">
        <f>IFERROR(__xludf.DUMMYFUNCTION("""COMPUTED_VALUE"""),8.0)</f>
        <v>8</v>
      </c>
      <c r="D5646" s="11">
        <f>IFERROR(__xludf.DUMMYFUNCTION("""COMPUTED_VALUE"""),4.0)</f>
        <v>4</v>
      </c>
      <c r="E5646" s="9"/>
    </row>
    <row r="5647">
      <c r="A5647" s="10">
        <f>IFERROR(__xludf.DUMMYFUNCTION("""COMPUTED_VALUE"""),103189.0)</f>
        <v>103189</v>
      </c>
      <c r="B5647" s="11">
        <f>IFERROR(__xludf.DUMMYFUNCTION("""COMPUTED_VALUE"""),0.0)</f>
        <v>0</v>
      </c>
      <c r="C5647" s="11">
        <f>IFERROR(__xludf.DUMMYFUNCTION("""COMPUTED_VALUE"""),453.0)</f>
        <v>453</v>
      </c>
      <c r="D5647" s="11">
        <f>IFERROR(__xludf.DUMMYFUNCTION("""COMPUTED_VALUE"""),120.0)</f>
        <v>120</v>
      </c>
      <c r="E5647" s="9"/>
    </row>
    <row r="5648">
      <c r="A5648" s="10">
        <f>IFERROR(__xludf.DUMMYFUNCTION("""COMPUTED_VALUE"""),9567.0)</f>
        <v>9567</v>
      </c>
      <c r="B5648" s="11">
        <f>IFERROR(__xludf.DUMMYFUNCTION("""COMPUTED_VALUE"""),1.0)</f>
        <v>1</v>
      </c>
      <c r="C5648" s="11">
        <f>IFERROR(__xludf.DUMMYFUNCTION("""COMPUTED_VALUE"""),897.0)</f>
        <v>897</v>
      </c>
      <c r="D5648" s="11">
        <f>IFERROR(__xludf.DUMMYFUNCTION("""COMPUTED_VALUE"""),37.0)</f>
        <v>37</v>
      </c>
      <c r="E5648" s="9"/>
    </row>
    <row r="5649">
      <c r="A5649" s="10">
        <f>IFERROR(__xludf.DUMMYFUNCTION("""COMPUTED_VALUE"""),9543.0)</f>
        <v>9543</v>
      </c>
      <c r="B5649" s="11">
        <f>IFERROR(__xludf.DUMMYFUNCTION("""COMPUTED_VALUE"""),0.0)</f>
        <v>0</v>
      </c>
      <c r="C5649" s="11">
        <f>IFERROR(__xludf.DUMMYFUNCTION("""COMPUTED_VALUE"""),935.0)</f>
        <v>935</v>
      </c>
      <c r="D5649" s="11">
        <f>IFERROR(__xludf.DUMMYFUNCTION("""COMPUTED_VALUE"""),49.0)</f>
        <v>49</v>
      </c>
      <c r="E5649" s="9"/>
    </row>
    <row r="5650">
      <c r="A5650" s="10">
        <f>IFERROR(__xludf.DUMMYFUNCTION("""COMPUTED_VALUE"""),77471.0)</f>
        <v>77471</v>
      </c>
      <c r="B5650" s="11">
        <f>IFERROR(__xludf.DUMMYFUNCTION("""COMPUTED_VALUE"""),0.0)</f>
        <v>0</v>
      </c>
      <c r="C5650" s="11">
        <f>IFERROR(__xludf.DUMMYFUNCTION("""COMPUTED_VALUE"""),572.0)</f>
        <v>572</v>
      </c>
      <c r="D5650" s="11">
        <f>IFERROR(__xludf.DUMMYFUNCTION("""COMPUTED_VALUE"""),431.0)</f>
        <v>431</v>
      </c>
      <c r="E5650" s="9"/>
    </row>
    <row r="5651">
      <c r="A5651" s="10">
        <f>IFERROR(__xludf.DUMMYFUNCTION("""COMPUTED_VALUE"""),164631.0)</f>
        <v>164631</v>
      </c>
      <c r="B5651" s="11">
        <f>IFERROR(__xludf.DUMMYFUNCTION("""COMPUTED_VALUE"""),1.0)</f>
        <v>1</v>
      </c>
      <c r="C5651" s="11">
        <f>IFERROR(__xludf.DUMMYFUNCTION("""COMPUTED_VALUE"""),48.0)</f>
        <v>48</v>
      </c>
      <c r="D5651" s="11">
        <f>IFERROR(__xludf.DUMMYFUNCTION("""COMPUTED_VALUE"""),12.0)</f>
        <v>12</v>
      </c>
      <c r="E5651" s="9"/>
    </row>
    <row r="5652">
      <c r="A5652" s="10">
        <f>IFERROR(__xludf.DUMMYFUNCTION("""COMPUTED_VALUE"""),9606.0)</f>
        <v>9606</v>
      </c>
      <c r="B5652" s="11">
        <f>IFERROR(__xludf.DUMMYFUNCTION("""COMPUTED_VALUE"""),0.0)</f>
        <v>0</v>
      </c>
      <c r="C5652" s="11">
        <f>IFERROR(__xludf.DUMMYFUNCTION("""COMPUTED_VALUE"""),189.0)</f>
        <v>189</v>
      </c>
      <c r="D5652" s="11">
        <f>IFERROR(__xludf.DUMMYFUNCTION("""COMPUTED_VALUE"""),62.0)</f>
        <v>62</v>
      </c>
      <c r="E5652" s="9"/>
    </row>
    <row r="5653">
      <c r="A5653" s="10">
        <f>IFERROR(__xludf.DUMMYFUNCTION("""COMPUTED_VALUE"""),77473.0)</f>
        <v>77473</v>
      </c>
      <c r="B5653" s="11">
        <f>IFERROR(__xludf.DUMMYFUNCTION("""COMPUTED_VALUE"""),1.0)</f>
        <v>1</v>
      </c>
      <c r="C5653" s="11">
        <f>IFERROR(__xludf.DUMMYFUNCTION("""COMPUTED_VALUE"""),74.0)</f>
        <v>74</v>
      </c>
      <c r="D5653" s="11">
        <f>IFERROR(__xludf.DUMMYFUNCTION("""COMPUTED_VALUE"""),59.0)</f>
        <v>59</v>
      </c>
      <c r="E5653" s="9"/>
    </row>
    <row r="5654">
      <c r="A5654" s="10">
        <f>IFERROR(__xludf.DUMMYFUNCTION("""COMPUTED_VALUE"""),9484.0)</f>
        <v>9484</v>
      </c>
      <c r="B5654" s="11">
        <f>IFERROR(__xludf.DUMMYFUNCTION("""COMPUTED_VALUE"""),0.0)</f>
        <v>0</v>
      </c>
      <c r="C5654" s="11">
        <f>IFERROR(__xludf.DUMMYFUNCTION("""COMPUTED_VALUE"""),170.0)</f>
        <v>170</v>
      </c>
      <c r="D5654" s="11">
        <f>IFERROR(__xludf.DUMMYFUNCTION("""COMPUTED_VALUE"""),94.0)</f>
        <v>94</v>
      </c>
      <c r="E5654" s="9"/>
    </row>
    <row r="5655">
      <c r="A5655" s="10">
        <f>IFERROR(__xludf.DUMMYFUNCTION("""COMPUTED_VALUE"""),14439.0)</f>
        <v>14439</v>
      </c>
      <c r="B5655" s="11">
        <f>IFERROR(__xludf.DUMMYFUNCTION("""COMPUTED_VALUE"""),1.0)</f>
        <v>1</v>
      </c>
      <c r="C5655" s="11">
        <f>IFERROR(__xludf.DUMMYFUNCTION("""COMPUTED_VALUE"""),483.0)</f>
        <v>483</v>
      </c>
      <c r="D5655" s="11">
        <f>IFERROR(__xludf.DUMMYFUNCTION("""COMPUTED_VALUE"""),473.0)</f>
        <v>473</v>
      </c>
      <c r="E5655" s="9"/>
    </row>
    <row r="5656">
      <c r="A5656" s="10">
        <f>IFERROR(__xludf.DUMMYFUNCTION("""COMPUTED_VALUE"""),124761.0)</f>
        <v>124761</v>
      </c>
      <c r="B5656" s="11">
        <f>IFERROR(__xludf.DUMMYFUNCTION("""COMPUTED_VALUE"""),0.0)</f>
        <v>0</v>
      </c>
      <c r="C5656" s="11">
        <f>IFERROR(__xludf.DUMMYFUNCTION("""COMPUTED_VALUE"""),641.0)</f>
        <v>641</v>
      </c>
      <c r="D5656" s="11">
        <f>IFERROR(__xludf.DUMMYFUNCTION("""COMPUTED_VALUE"""),108.0)</f>
        <v>108</v>
      </c>
      <c r="E5656" s="9"/>
    </row>
    <row r="5657">
      <c r="A5657" s="10">
        <f>IFERROR(__xludf.DUMMYFUNCTION("""COMPUTED_VALUE"""),14440.0)</f>
        <v>14440</v>
      </c>
      <c r="B5657" s="11">
        <f>IFERROR(__xludf.DUMMYFUNCTION("""COMPUTED_VALUE"""),1.0)</f>
        <v>1</v>
      </c>
      <c r="C5657" s="11">
        <f>IFERROR(__xludf.DUMMYFUNCTION("""COMPUTED_VALUE"""),8.0)</f>
        <v>8</v>
      </c>
      <c r="D5657" s="11">
        <f>IFERROR(__xludf.DUMMYFUNCTION("""COMPUTED_VALUE"""),8.0)</f>
        <v>8</v>
      </c>
      <c r="E5657" s="9"/>
    </row>
    <row r="5658">
      <c r="A5658" s="10">
        <f>IFERROR(__xludf.DUMMYFUNCTION("""COMPUTED_VALUE"""),9544.0)</f>
        <v>9544</v>
      </c>
      <c r="B5658" s="11">
        <f>IFERROR(__xludf.DUMMYFUNCTION("""COMPUTED_VALUE"""),1.0)</f>
        <v>1</v>
      </c>
      <c r="C5658" s="11">
        <f>IFERROR(__xludf.DUMMYFUNCTION("""COMPUTED_VALUE"""),375.0)</f>
        <v>375</v>
      </c>
      <c r="D5658" s="11">
        <f>IFERROR(__xludf.DUMMYFUNCTION("""COMPUTED_VALUE"""),267.0)</f>
        <v>267</v>
      </c>
      <c r="E5658" s="9"/>
    </row>
    <row r="5659">
      <c r="A5659" s="10">
        <f>IFERROR(__xludf.DUMMYFUNCTION("""COMPUTED_VALUE"""),46482.0)</f>
        <v>46482</v>
      </c>
      <c r="B5659" s="11">
        <f>IFERROR(__xludf.DUMMYFUNCTION("""COMPUTED_VALUE"""),0.0)</f>
        <v>0</v>
      </c>
      <c r="C5659" s="11">
        <f>IFERROR(__xludf.DUMMYFUNCTION("""COMPUTED_VALUE"""),746.0)</f>
        <v>746</v>
      </c>
      <c r="D5659" s="11">
        <f>IFERROR(__xludf.DUMMYFUNCTION("""COMPUTED_VALUE"""),728.0)</f>
        <v>728</v>
      </c>
      <c r="E5659" s="9"/>
    </row>
    <row r="5660">
      <c r="A5660" s="10">
        <f>IFERROR(__xludf.DUMMYFUNCTION("""COMPUTED_VALUE"""),46773.0)</f>
        <v>46773</v>
      </c>
      <c r="B5660" s="11">
        <f>IFERROR(__xludf.DUMMYFUNCTION("""COMPUTED_VALUE"""),1.0)</f>
        <v>1</v>
      </c>
      <c r="C5660" s="11">
        <f>IFERROR(__xludf.DUMMYFUNCTION("""COMPUTED_VALUE"""),676.0)</f>
        <v>676</v>
      </c>
      <c r="D5660" s="11">
        <f>IFERROR(__xludf.DUMMYFUNCTION("""COMPUTED_VALUE"""),109.0)</f>
        <v>109</v>
      </c>
      <c r="E5660" s="9"/>
    </row>
    <row r="5661">
      <c r="A5661" s="10">
        <f>IFERROR(__xludf.DUMMYFUNCTION("""COMPUTED_VALUE"""),81502.0)</f>
        <v>81502</v>
      </c>
      <c r="B5661" s="11">
        <f>IFERROR(__xludf.DUMMYFUNCTION("""COMPUTED_VALUE"""),1.0)</f>
        <v>1</v>
      </c>
      <c r="C5661" s="11">
        <f>IFERROR(__xludf.DUMMYFUNCTION("""COMPUTED_VALUE"""),290.0)</f>
        <v>290</v>
      </c>
      <c r="D5661" s="11">
        <f>IFERROR(__xludf.DUMMYFUNCTION("""COMPUTED_VALUE"""),215.0)</f>
        <v>215</v>
      </c>
      <c r="E5661" s="9"/>
    </row>
    <row r="5662">
      <c r="A5662" s="10">
        <f>IFERROR(__xludf.DUMMYFUNCTION("""COMPUTED_VALUE"""),76035.0)</f>
        <v>76035</v>
      </c>
      <c r="B5662" s="11">
        <f>IFERROR(__xludf.DUMMYFUNCTION("""COMPUTED_VALUE"""),0.0)</f>
        <v>0</v>
      </c>
      <c r="C5662" s="11">
        <f>IFERROR(__xludf.DUMMYFUNCTION("""COMPUTED_VALUE"""),317.0)</f>
        <v>317</v>
      </c>
      <c r="D5662" s="11">
        <f>IFERROR(__xludf.DUMMYFUNCTION("""COMPUTED_VALUE"""),247.0)</f>
        <v>247</v>
      </c>
      <c r="E5662" s="9"/>
    </row>
    <row r="5663">
      <c r="A5663" s="10">
        <f>IFERROR(__xludf.DUMMYFUNCTION("""COMPUTED_VALUE"""),46774.0)</f>
        <v>46774</v>
      </c>
      <c r="B5663" s="11">
        <f>IFERROR(__xludf.DUMMYFUNCTION("""COMPUTED_VALUE"""),1.0)</f>
        <v>1</v>
      </c>
      <c r="C5663" s="11">
        <f>IFERROR(__xludf.DUMMYFUNCTION("""COMPUTED_VALUE"""),206.0)</f>
        <v>206</v>
      </c>
      <c r="D5663" s="11">
        <f>IFERROR(__xludf.DUMMYFUNCTION("""COMPUTED_VALUE"""),146.0)</f>
        <v>146</v>
      </c>
      <c r="E5663" s="9"/>
    </row>
    <row r="5664">
      <c r="A5664" s="10">
        <f>IFERROR(__xludf.DUMMYFUNCTION("""COMPUTED_VALUE"""),121029.0)</f>
        <v>121029</v>
      </c>
      <c r="B5664" s="11">
        <f>IFERROR(__xludf.DUMMYFUNCTION("""COMPUTED_VALUE"""),1.0)</f>
        <v>1</v>
      </c>
      <c r="C5664" s="11">
        <f>IFERROR(__xludf.DUMMYFUNCTION("""COMPUTED_VALUE"""),365.0)</f>
        <v>365</v>
      </c>
      <c r="D5664" s="11">
        <f>IFERROR(__xludf.DUMMYFUNCTION("""COMPUTED_VALUE"""),247.0)</f>
        <v>247</v>
      </c>
      <c r="E5664" s="9"/>
    </row>
    <row r="5665">
      <c r="A5665" s="10">
        <f>IFERROR(__xludf.DUMMYFUNCTION("""COMPUTED_VALUE"""),128199.0)</f>
        <v>128199</v>
      </c>
      <c r="B5665" s="11">
        <f>IFERROR(__xludf.DUMMYFUNCTION("""COMPUTED_VALUE"""),1.0)</f>
        <v>1</v>
      </c>
      <c r="C5665" s="11">
        <f>IFERROR(__xludf.DUMMYFUNCTION("""COMPUTED_VALUE"""),506.0)</f>
        <v>506</v>
      </c>
      <c r="D5665" s="11">
        <f>IFERROR(__xludf.DUMMYFUNCTION("""COMPUTED_VALUE"""),111.0)</f>
        <v>111</v>
      </c>
      <c r="E5665" s="9"/>
    </row>
    <row r="5666">
      <c r="A5666" s="10">
        <f>IFERROR(__xludf.DUMMYFUNCTION("""COMPUTED_VALUE"""),82408.0)</f>
        <v>82408</v>
      </c>
      <c r="B5666" s="11">
        <f>IFERROR(__xludf.DUMMYFUNCTION("""COMPUTED_VALUE"""),0.0)</f>
        <v>0</v>
      </c>
      <c r="C5666" s="11">
        <f>IFERROR(__xludf.DUMMYFUNCTION("""COMPUTED_VALUE"""),101.0)</f>
        <v>101</v>
      </c>
      <c r="D5666" s="11">
        <f>IFERROR(__xludf.DUMMYFUNCTION("""COMPUTED_VALUE"""),58.0)</f>
        <v>58</v>
      </c>
      <c r="E5666" s="9"/>
    </row>
    <row r="5667">
      <c r="A5667" s="10">
        <f>IFERROR(__xludf.DUMMYFUNCTION("""COMPUTED_VALUE"""),139298.0)</f>
        <v>139298</v>
      </c>
      <c r="B5667" s="11">
        <f>IFERROR(__xludf.DUMMYFUNCTION("""COMPUTED_VALUE"""),0.0)</f>
        <v>0</v>
      </c>
      <c r="C5667" s="11">
        <f>IFERROR(__xludf.DUMMYFUNCTION("""COMPUTED_VALUE"""),108.0)</f>
        <v>108</v>
      </c>
      <c r="D5667" s="11">
        <f>IFERROR(__xludf.DUMMYFUNCTION("""COMPUTED_VALUE"""),12.0)</f>
        <v>12</v>
      </c>
      <c r="E5667" s="9"/>
    </row>
    <row r="5668">
      <c r="A5668" s="10">
        <f>IFERROR(__xludf.DUMMYFUNCTION("""COMPUTED_VALUE"""),91397.0)</f>
        <v>91397</v>
      </c>
      <c r="B5668" s="11">
        <f>IFERROR(__xludf.DUMMYFUNCTION("""COMPUTED_VALUE"""),0.0)</f>
        <v>0</v>
      </c>
      <c r="C5668" s="11">
        <f>IFERROR(__xludf.DUMMYFUNCTION("""COMPUTED_VALUE"""),490.0)</f>
        <v>490</v>
      </c>
      <c r="D5668" s="11">
        <f>IFERROR(__xludf.DUMMYFUNCTION("""COMPUTED_VALUE"""),490.0)</f>
        <v>490</v>
      </c>
      <c r="E5668" s="9"/>
    </row>
    <row r="5669">
      <c r="A5669" s="10">
        <f>IFERROR(__xludf.DUMMYFUNCTION("""COMPUTED_VALUE"""),91396.0)</f>
        <v>91396</v>
      </c>
      <c r="B5669" s="11">
        <f>IFERROR(__xludf.DUMMYFUNCTION("""COMPUTED_VALUE"""),0.0)</f>
        <v>0</v>
      </c>
      <c r="C5669" s="11">
        <f>IFERROR(__xludf.DUMMYFUNCTION("""COMPUTED_VALUE"""),45.0)</f>
        <v>45</v>
      </c>
      <c r="D5669" s="11">
        <f>IFERROR(__xludf.DUMMYFUNCTION("""COMPUTED_VALUE"""),34.0)</f>
        <v>34</v>
      </c>
      <c r="E5669" s="9"/>
    </row>
    <row r="5670">
      <c r="A5670" s="10">
        <f>IFERROR(__xludf.DUMMYFUNCTION("""COMPUTED_VALUE"""),139302.0)</f>
        <v>139302</v>
      </c>
      <c r="B5670" s="11">
        <f>IFERROR(__xludf.DUMMYFUNCTION("""COMPUTED_VALUE"""),1.0)</f>
        <v>1</v>
      </c>
      <c r="C5670" s="11">
        <f>IFERROR(__xludf.DUMMYFUNCTION("""COMPUTED_VALUE"""),548.0)</f>
        <v>548</v>
      </c>
      <c r="D5670" s="11">
        <f>IFERROR(__xludf.DUMMYFUNCTION("""COMPUTED_VALUE"""),281.0)</f>
        <v>281</v>
      </c>
      <c r="E5670" s="9"/>
    </row>
    <row r="5671">
      <c r="A5671" s="10">
        <f>IFERROR(__xludf.DUMMYFUNCTION("""COMPUTED_VALUE"""),118283.0)</f>
        <v>118283</v>
      </c>
      <c r="B5671" s="11">
        <f>IFERROR(__xludf.DUMMYFUNCTION("""COMPUTED_VALUE"""),1.0)</f>
        <v>1</v>
      </c>
      <c r="C5671" s="11">
        <f>IFERROR(__xludf.DUMMYFUNCTION("""COMPUTED_VALUE"""),407.0)</f>
        <v>407</v>
      </c>
      <c r="D5671" s="11">
        <f>IFERROR(__xludf.DUMMYFUNCTION("""COMPUTED_VALUE"""),3.0)</f>
        <v>3</v>
      </c>
      <c r="E5671" s="9"/>
    </row>
    <row r="5672">
      <c r="A5672" s="10">
        <f>IFERROR(__xludf.DUMMYFUNCTION("""COMPUTED_VALUE"""),118286.0)</f>
        <v>118286</v>
      </c>
      <c r="B5672" s="11">
        <f>IFERROR(__xludf.DUMMYFUNCTION("""COMPUTED_VALUE"""),0.0)</f>
        <v>0</v>
      </c>
      <c r="C5672" s="11">
        <f>IFERROR(__xludf.DUMMYFUNCTION("""COMPUTED_VALUE"""),85.0)</f>
        <v>85</v>
      </c>
      <c r="D5672" s="11">
        <f>IFERROR(__xludf.DUMMYFUNCTION("""COMPUTED_VALUE"""),0.0)</f>
        <v>0</v>
      </c>
      <c r="E5672" s="9"/>
    </row>
    <row r="5673">
      <c r="A5673" s="10">
        <f>IFERROR(__xludf.DUMMYFUNCTION("""COMPUTED_VALUE"""),3375.0)</f>
        <v>3375</v>
      </c>
      <c r="B5673" s="11">
        <f>IFERROR(__xludf.DUMMYFUNCTION("""COMPUTED_VALUE"""),1.0)</f>
        <v>1</v>
      </c>
      <c r="C5673" s="11">
        <f>IFERROR(__xludf.DUMMYFUNCTION("""COMPUTED_VALUE"""),906.0)</f>
        <v>906</v>
      </c>
      <c r="D5673" s="11">
        <f>IFERROR(__xludf.DUMMYFUNCTION("""COMPUTED_VALUE"""),731.0)</f>
        <v>731</v>
      </c>
      <c r="E5673" s="9"/>
    </row>
    <row r="5674">
      <c r="A5674" s="10">
        <f>IFERROR(__xludf.DUMMYFUNCTION("""COMPUTED_VALUE"""),118285.0)</f>
        <v>118285</v>
      </c>
      <c r="B5674" s="11">
        <f>IFERROR(__xludf.DUMMYFUNCTION("""COMPUTED_VALUE"""),0.0)</f>
        <v>0</v>
      </c>
      <c r="C5674" s="11">
        <f>IFERROR(__xludf.DUMMYFUNCTION("""COMPUTED_VALUE"""),542.0)</f>
        <v>542</v>
      </c>
      <c r="D5674" s="11">
        <f>IFERROR(__xludf.DUMMYFUNCTION("""COMPUTED_VALUE"""),231.0)</f>
        <v>231</v>
      </c>
      <c r="E5674" s="9"/>
    </row>
    <row r="5675">
      <c r="A5675" s="10">
        <f>IFERROR(__xludf.DUMMYFUNCTION("""COMPUTED_VALUE"""),118284.0)</f>
        <v>118284</v>
      </c>
      <c r="B5675" s="11">
        <f>IFERROR(__xludf.DUMMYFUNCTION("""COMPUTED_VALUE"""),1.0)</f>
        <v>1</v>
      </c>
      <c r="C5675" s="11">
        <f>IFERROR(__xludf.DUMMYFUNCTION("""COMPUTED_VALUE"""),395.0)</f>
        <v>395</v>
      </c>
      <c r="D5675" s="11">
        <f>IFERROR(__xludf.DUMMYFUNCTION("""COMPUTED_VALUE"""),126.0)</f>
        <v>126</v>
      </c>
      <c r="E5675" s="9"/>
    </row>
    <row r="5676">
      <c r="A5676" s="10">
        <f>IFERROR(__xludf.DUMMYFUNCTION("""COMPUTED_VALUE"""),116522.0)</f>
        <v>116522</v>
      </c>
      <c r="B5676" s="11">
        <f>IFERROR(__xludf.DUMMYFUNCTION("""COMPUTED_VALUE"""),0.0)</f>
        <v>0</v>
      </c>
      <c r="C5676" s="11">
        <f>IFERROR(__xludf.DUMMYFUNCTION("""COMPUTED_VALUE"""),707.0)</f>
        <v>707</v>
      </c>
      <c r="D5676" s="11">
        <f>IFERROR(__xludf.DUMMYFUNCTION("""COMPUTED_VALUE"""),511.0)</f>
        <v>511</v>
      </c>
      <c r="E5676" s="9"/>
    </row>
    <row r="5677">
      <c r="A5677" s="10">
        <f>IFERROR(__xludf.DUMMYFUNCTION("""COMPUTED_VALUE"""),139307.0)</f>
        <v>139307</v>
      </c>
      <c r="B5677" s="11">
        <f>IFERROR(__xludf.DUMMYFUNCTION("""COMPUTED_VALUE"""),0.0)</f>
        <v>0</v>
      </c>
      <c r="C5677" s="11">
        <f>IFERROR(__xludf.DUMMYFUNCTION("""COMPUTED_VALUE"""),239.0)</f>
        <v>239</v>
      </c>
      <c r="D5677" s="11">
        <f>IFERROR(__xludf.DUMMYFUNCTION("""COMPUTED_VALUE"""),222.0)</f>
        <v>222</v>
      </c>
      <c r="E5677" s="9"/>
    </row>
    <row r="5678">
      <c r="A5678" s="10">
        <f>IFERROR(__xludf.DUMMYFUNCTION("""COMPUTED_VALUE"""),120253.0)</f>
        <v>120253</v>
      </c>
      <c r="B5678" s="11">
        <f>IFERROR(__xludf.DUMMYFUNCTION("""COMPUTED_VALUE"""),1.0)</f>
        <v>1</v>
      </c>
      <c r="C5678" s="11">
        <f>IFERROR(__xludf.DUMMYFUNCTION("""COMPUTED_VALUE"""),668.0)</f>
        <v>668</v>
      </c>
      <c r="D5678" s="11">
        <f>IFERROR(__xludf.DUMMYFUNCTION("""COMPUTED_VALUE"""),518.0)</f>
        <v>518</v>
      </c>
      <c r="E5678" s="9"/>
    </row>
    <row r="5679">
      <c r="A5679" s="10">
        <f>IFERROR(__xludf.DUMMYFUNCTION("""COMPUTED_VALUE"""),120252.0)</f>
        <v>120252</v>
      </c>
      <c r="B5679" s="11">
        <f>IFERROR(__xludf.DUMMYFUNCTION("""COMPUTED_VALUE"""),0.0)</f>
        <v>0</v>
      </c>
      <c r="C5679" s="11">
        <f>IFERROR(__xludf.DUMMYFUNCTION("""COMPUTED_VALUE"""),736.0)</f>
        <v>736</v>
      </c>
      <c r="D5679" s="11">
        <f>IFERROR(__xludf.DUMMYFUNCTION("""COMPUTED_VALUE"""),629.0)</f>
        <v>629</v>
      </c>
      <c r="E5679" s="9"/>
    </row>
    <row r="5680">
      <c r="A5680" s="10">
        <f>IFERROR(__xludf.DUMMYFUNCTION("""COMPUTED_VALUE"""),120251.0)</f>
        <v>120251</v>
      </c>
      <c r="B5680" s="11">
        <f>IFERROR(__xludf.DUMMYFUNCTION("""COMPUTED_VALUE"""),0.0)</f>
        <v>0</v>
      </c>
      <c r="C5680" s="11">
        <f>IFERROR(__xludf.DUMMYFUNCTION("""COMPUTED_VALUE"""),926.0)</f>
        <v>926</v>
      </c>
      <c r="D5680" s="11">
        <f>IFERROR(__xludf.DUMMYFUNCTION("""COMPUTED_VALUE"""),315.0)</f>
        <v>315</v>
      </c>
      <c r="E5680" s="9"/>
    </row>
    <row r="5681">
      <c r="A5681" s="10">
        <f>IFERROR(__xludf.DUMMYFUNCTION("""COMPUTED_VALUE"""),139306.0)</f>
        <v>139306</v>
      </c>
      <c r="B5681" s="11">
        <f>IFERROR(__xludf.DUMMYFUNCTION("""COMPUTED_VALUE"""),1.0)</f>
        <v>1</v>
      </c>
      <c r="C5681" s="11">
        <f>IFERROR(__xludf.DUMMYFUNCTION("""COMPUTED_VALUE"""),784.0)</f>
        <v>784</v>
      </c>
      <c r="D5681" s="11">
        <f>IFERROR(__xludf.DUMMYFUNCTION("""COMPUTED_VALUE"""),667.0)</f>
        <v>667</v>
      </c>
      <c r="E5681" s="9"/>
    </row>
    <row r="5682">
      <c r="A5682" s="10">
        <f>IFERROR(__xludf.DUMMYFUNCTION("""COMPUTED_VALUE"""),120255.0)</f>
        <v>120255</v>
      </c>
      <c r="B5682" s="11">
        <f>IFERROR(__xludf.DUMMYFUNCTION("""COMPUTED_VALUE"""),0.0)</f>
        <v>0</v>
      </c>
      <c r="C5682" s="11">
        <f>IFERROR(__xludf.DUMMYFUNCTION("""COMPUTED_VALUE"""),374.0)</f>
        <v>374</v>
      </c>
      <c r="D5682" s="11">
        <f>IFERROR(__xludf.DUMMYFUNCTION("""COMPUTED_VALUE"""),206.0)</f>
        <v>206</v>
      </c>
      <c r="E5682" s="9"/>
    </row>
    <row r="5683">
      <c r="A5683" s="10">
        <f>IFERROR(__xludf.DUMMYFUNCTION("""COMPUTED_VALUE"""),120980.0)</f>
        <v>120980</v>
      </c>
      <c r="B5683" s="11">
        <f>IFERROR(__xludf.DUMMYFUNCTION("""COMPUTED_VALUE"""),0.0)</f>
        <v>0</v>
      </c>
      <c r="C5683" s="11">
        <f>IFERROR(__xludf.DUMMYFUNCTION("""COMPUTED_VALUE"""),494.0)</f>
        <v>494</v>
      </c>
      <c r="D5683" s="11">
        <f>IFERROR(__xludf.DUMMYFUNCTION("""COMPUTED_VALUE"""),156.0)</f>
        <v>156</v>
      </c>
      <c r="E5683" s="9"/>
    </row>
    <row r="5684">
      <c r="A5684" s="10">
        <f>IFERROR(__xludf.DUMMYFUNCTION("""COMPUTED_VALUE"""),139299.0)</f>
        <v>139299</v>
      </c>
      <c r="B5684" s="11">
        <f>IFERROR(__xludf.DUMMYFUNCTION("""COMPUTED_VALUE"""),1.0)</f>
        <v>1</v>
      </c>
      <c r="C5684" s="11">
        <f>IFERROR(__xludf.DUMMYFUNCTION("""COMPUTED_VALUE"""),689.0)</f>
        <v>689</v>
      </c>
      <c r="D5684" s="11">
        <f>IFERROR(__xludf.DUMMYFUNCTION("""COMPUTED_VALUE"""),413.0)</f>
        <v>413</v>
      </c>
      <c r="E5684" s="9"/>
    </row>
    <row r="5685">
      <c r="A5685" s="10">
        <f>IFERROR(__xludf.DUMMYFUNCTION("""COMPUTED_VALUE"""),73635.0)</f>
        <v>73635</v>
      </c>
      <c r="B5685" s="11">
        <f>IFERROR(__xludf.DUMMYFUNCTION("""COMPUTED_VALUE"""),1.0)</f>
        <v>1</v>
      </c>
      <c r="C5685" s="11">
        <f>IFERROR(__xludf.DUMMYFUNCTION("""COMPUTED_VALUE"""),371.0)</f>
        <v>371</v>
      </c>
      <c r="D5685" s="11">
        <f>IFERROR(__xludf.DUMMYFUNCTION("""COMPUTED_VALUE"""),186.0)</f>
        <v>186</v>
      </c>
      <c r="E5685" s="9"/>
    </row>
    <row r="5686">
      <c r="A5686" s="10">
        <f>IFERROR(__xludf.DUMMYFUNCTION("""COMPUTED_VALUE"""),116537.0)</f>
        <v>116537</v>
      </c>
      <c r="B5686" s="11">
        <f>IFERROR(__xludf.DUMMYFUNCTION("""COMPUTED_VALUE"""),0.0)</f>
        <v>0</v>
      </c>
      <c r="C5686" s="11">
        <f>IFERROR(__xludf.DUMMYFUNCTION("""COMPUTED_VALUE"""),331.0)</f>
        <v>331</v>
      </c>
      <c r="D5686" s="11">
        <f>IFERROR(__xludf.DUMMYFUNCTION("""COMPUTED_VALUE"""),191.0)</f>
        <v>191</v>
      </c>
      <c r="E5686" s="9"/>
    </row>
    <row r="5687">
      <c r="A5687" s="10">
        <f>IFERROR(__xludf.DUMMYFUNCTION("""COMPUTED_VALUE"""),46716.0)</f>
        <v>46716</v>
      </c>
      <c r="B5687" s="11">
        <f>IFERROR(__xludf.DUMMYFUNCTION("""COMPUTED_VALUE"""),1.0)</f>
        <v>1</v>
      </c>
      <c r="C5687" s="11">
        <f>IFERROR(__xludf.DUMMYFUNCTION("""COMPUTED_VALUE"""),184.0)</f>
        <v>184</v>
      </c>
      <c r="D5687" s="11">
        <f>IFERROR(__xludf.DUMMYFUNCTION("""COMPUTED_VALUE"""),166.0)</f>
        <v>166</v>
      </c>
      <c r="E5687" s="9"/>
    </row>
    <row r="5688">
      <c r="A5688" s="10">
        <f>IFERROR(__xludf.DUMMYFUNCTION("""COMPUTED_VALUE"""),109161.0)</f>
        <v>109161</v>
      </c>
      <c r="B5688" s="11">
        <f>IFERROR(__xludf.DUMMYFUNCTION("""COMPUTED_VALUE"""),0.0)</f>
        <v>0</v>
      </c>
      <c r="C5688" s="11">
        <f>IFERROR(__xludf.DUMMYFUNCTION("""COMPUTED_VALUE"""),936.0)</f>
        <v>936</v>
      </c>
      <c r="D5688" s="11">
        <f>IFERROR(__xludf.DUMMYFUNCTION("""COMPUTED_VALUE"""),813.0)</f>
        <v>813</v>
      </c>
      <c r="E5688" s="9"/>
    </row>
    <row r="5689">
      <c r="A5689" s="10">
        <f>IFERROR(__xludf.DUMMYFUNCTION("""COMPUTED_VALUE"""),110760.0)</f>
        <v>110760</v>
      </c>
      <c r="B5689" s="11">
        <f>IFERROR(__xludf.DUMMYFUNCTION("""COMPUTED_VALUE"""),1.0)</f>
        <v>1</v>
      </c>
      <c r="C5689" s="11">
        <f>IFERROR(__xludf.DUMMYFUNCTION("""COMPUTED_VALUE"""),275.0)</f>
        <v>275</v>
      </c>
      <c r="D5689" s="11">
        <f>IFERROR(__xludf.DUMMYFUNCTION("""COMPUTED_VALUE"""),217.0)</f>
        <v>217</v>
      </c>
      <c r="E5689" s="9"/>
    </row>
    <row r="5690">
      <c r="A5690" s="10">
        <f>IFERROR(__xludf.DUMMYFUNCTION("""COMPUTED_VALUE"""),112095.0)</f>
        <v>112095</v>
      </c>
      <c r="B5690" s="11">
        <f>IFERROR(__xludf.DUMMYFUNCTION("""COMPUTED_VALUE"""),0.0)</f>
        <v>0</v>
      </c>
      <c r="C5690" s="11">
        <f>IFERROR(__xludf.DUMMYFUNCTION("""COMPUTED_VALUE"""),496.0)</f>
        <v>496</v>
      </c>
      <c r="D5690" s="11">
        <f>IFERROR(__xludf.DUMMYFUNCTION("""COMPUTED_VALUE"""),396.0)</f>
        <v>396</v>
      </c>
      <c r="E5690" s="9"/>
    </row>
    <row r="5691">
      <c r="A5691" s="10">
        <f>IFERROR(__xludf.DUMMYFUNCTION("""COMPUTED_VALUE"""),120261.0)</f>
        <v>120261</v>
      </c>
      <c r="B5691" s="11">
        <f>IFERROR(__xludf.DUMMYFUNCTION("""COMPUTED_VALUE"""),1.0)</f>
        <v>1</v>
      </c>
      <c r="C5691" s="11">
        <f>IFERROR(__xludf.DUMMYFUNCTION("""COMPUTED_VALUE"""),971.0)</f>
        <v>971</v>
      </c>
      <c r="D5691" s="11">
        <f>IFERROR(__xludf.DUMMYFUNCTION("""COMPUTED_VALUE"""),401.0)</f>
        <v>401</v>
      </c>
      <c r="E5691" s="9"/>
    </row>
    <row r="5692">
      <c r="A5692" s="10">
        <f>IFERROR(__xludf.DUMMYFUNCTION("""COMPUTED_VALUE"""),142302.0)</f>
        <v>142302</v>
      </c>
      <c r="B5692" s="11">
        <f>IFERROR(__xludf.DUMMYFUNCTION("""COMPUTED_VALUE"""),0.0)</f>
        <v>0</v>
      </c>
      <c r="C5692" s="11">
        <f>IFERROR(__xludf.DUMMYFUNCTION("""COMPUTED_VALUE"""),717.0)</f>
        <v>717</v>
      </c>
      <c r="D5692" s="11">
        <f>IFERROR(__xludf.DUMMYFUNCTION("""COMPUTED_VALUE"""),685.0)</f>
        <v>685</v>
      </c>
      <c r="E5692" s="9"/>
    </row>
    <row r="5693">
      <c r="A5693" s="10">
        <f>IFERROR(__xludf.DUMMYFUNCTION("""COMPUTED_VALUE"""),46715.0)</f>
        <v>46715</v>
      </c>
      <c r="B5693" s="11">
        <f>IFERROR(__xludf.DUMMYFUNCTION("""COMPUTED_VALUE"""),1.0)</f>
        <v>1</v>
      </c>
      <c r="C5693" s="11">
        <f>IFERROR(__xludf.DUMMYFUNCTION("""COMPUTED_VALUE"""),90.0)</f>
        <v>90</v>
      </c>
      <c r="D5693" s="11">
        <f>IFERROR(__xludf.DUMMYFUNCTION("""COMPUTED_VALUE"""),46.0)</f>
        <v>46</v>
      </c>
      <c r="E5693" s="9"/>
    </row>
    <row r="5694">
      <c r="A5694" s="10">
        <f>IFERROR(__xludf.DUMMYFUNCTION("""COMPUTED_VALUE"""),102190.0)</f>
        <v>102190</v>
      </c>
      <c r="B5694" s="11">
        <f>IFERROR(__xludf.DUMMYFUNCTION("""COMPUTED_VALUE"""),0.0)</f>
        <v>0</v>
      </c>
      <c r="C5694" s="11">
        <f>IFERROR(__xludf.DUMMYFUNCTION("""COMPUTED_VALUE"""),293.0)</f>
        <v>293</v>
      </c>
      <c r="D5694" s="11">
        <f>IFERROR(__xludf.DUMMYFUNCTION("""COMPUTED_VALUE"""),227.0)</f>
        <v>227</v>
      </c>
      <c r="E5694" s="9"/>
    </row>
    <row r="5695">
      <c r="A5695" s="10">
        <f>IFERROR(__xludf.DUMMYFUNCTION("""COMPUTED_VALUE"""),112098.0)</f>
        <v>112098</v>
      </c>
      <c r="B5695" s="11">
        <f>IFERROR(__xludf.DUMMYFUNCTION("""COMPUTED_VALUE"""),1.0)</f>
        <v>1</v>
      </c>
      <c r="C5695" s="11">
        <f>IFERROR(__xludf.DUMMYFUNCTION("""COMPUTED_VALUE"""),550.0)</f>
        <v>550</v>
      </c>
      <c r="D5695" s="11">
        <f>IFERROR(__xludf.DUMMYFUNCTION("""COMPUTED_VALUE"""),267.0)</f>
        <v>267</v>
      </c>
      <c r="E5695" s="9"/>
    </row>
    <row r="5696">
      <c r="A5696" s="10">
        <f>IFERROR(__xludf.DUMMYFUNCTION("""COMPUTED_VALUE"""),110761.0)</f>
        <v>110761</v>
      </c>
      <c r="B5696" s="11">
        <f>IFERROR(__xludf.DUMMYFUNCTION("""COMPUTED_VALUE"""),1.0)</f>
        <v>1</v>
      </c>
      <c r="C5696" s="11">
        <f>IFERROR(__xludf.DUMMYFUNCTION("""COMPUTED_VALUE"""),281.0)</f>
        <v>281</v>
      </c>
      <c r="D5696" s="11">
        <f>IFERROR(__xludf.DUMMYFUNCTION("""COMPUTED_VALUE"""),125.0)</f>
        <v>125</v>
      </c>
      <c r="E5696" s="9"/>
    </row>
    <row r="5697">
      <c r="A5697" s="10">
        <f>IFERROR(__xludf.DUMMYFUNCTION("""COMPUTED_VALUE"""),116529.0)</f>
        <v>116529</v>
      </c>
      <c r="B5697" s="11">
        <f>IFERROR(__xludf.DUMMYFUNCTION("""COMPUTED_VALUE"""),1.0)</f>
        <v>1</v>
      </c>
      <c r="C5697" s="11">
        <f>IFERROR(__xludf.DUMMYFUNCTION("""COMPUTED_VALUE"""),697.0)</f>
        <v>697</v>
      </c>
      <c r="D5697" s="11">
        <f>IFERROR(__xludf.DUMMYFUNCTION("""COMPUTED_VALUE"""),411.0)</f>
        <v>411</v>
      </c>
      <c r="E5697" s="9"/>
    </row>
    <row r="5698">
      <c r="A5698" s="10">
        <f>IFERROR(__xludf.DUMMYFUNCTION("""COMPUTED_VALUE"""),119245.0)</f>
        <v>119245</v>
      </c>
      <c r="B5698" s="11">
        <f>IFERROR(__xludf.DUMMYFUNCTION("""COMPUTED_VALUE"""),0.0)</f>
        <v>0</v>
      </c>
      <c r="C5698" s="11">
        <f>IFERROR(__xludf.DUMMYFUNCTION("""COMPUTED_VALUE"""),227.0)</f>
        <v>227</v>
      </c>
      <c r="D5698" s="11">
        <f>IFERROR(__xludf.DUMMYFUNCTION("""COMPUTED_VALUE"""),183.0)</f>
        <v>183</v>
      </c>
      <c r="E5698" s="9"/>
    </row>
    <row r="5699">
      <c r="A5699" s="10">
        <f>IFERROR(__xludf.DUMMYFUNCTION("""COMPUTED_VALUE"""),119454.0)</f>
        <v>119454</v>
      </c>
      <c r="B5699" s="11">
        <f>IFERROR(__xludf.DUMMYFUNCTION("""COMPUTED_VALUE"""),1.0)</f>
        <v>1</v>
      </c>
      <c r="C5699" s="11">
        <f>IFERROR(__xludf.DUMMYFUNCTION("""COMPUTED_VALUE"""),442.0)</f>
        <v>442</v>
      </c>
      <c r="D5699" s="11">
        <f>IFERROR(__xludf.DUMMYFUNCTION("""COMPUTED_VALUE"""),352.0)</f>
        <v>352</v>
      </c>
      <c r="E5699" s="9"/>
    </row>
    <row r="5700">
      <c r="A5700" s="10">
        <f>IFERROR(__xludf.DUMMYFUNCTION("""COMPUTED_VALUE"""),118131.0)</f>
        <v>118131</v>
      </c>
      <c r="B5700" s="11">
        <f>IFERROR(__xludf.DUMMYFUNCTION("""COMPUTED_VALUE"""),0.0)</f>
        <v>0</v>
      </c>
      <c r="C5700" s="11">
        <f>IFERROR(__xludf.DUMMYFUNCTION("""COMPUTED_VALUE"""),496.0)</f>
        <v>496</v>
      </c>
      <c r="D5700" s="11">
        <f>IFERROR(__xludf.DUMMYFUNCTION("""COMPUTED_VALUE"""),146.0)</f>
        <v>146</v>
      </c>
      <c r="E5700" s="9"/>
    </row>
    <row r="5701">
      <c r="A5701" s="10">
        <f>IFERROR(__xludf.DUMMYFUNCTION("""COMPUTED_VALUE"""),128395.0)</f>
        <v>128395</v>
      </c>
      <c r="B5701" s="11">
        <f>IFERROR(__xludf.DUMMYFUNCTION("""COMPUTED_VALUE"""),1.0)</f>
        <v>1</v>
      </c>
      <c r="C5701" s="11">
        <f>IFERROR(__xludf.DUMMYFUNCTION("""COMPUTED_VALUE"""),933.0)</f>
        <v>933</v>
      </c>
      <c r="D5701" s="11">
        <f>IFERROR(__xludf.DUMMYFUNCTION("""COMPUTED_VALUE"""),18.0)</f>
        <v>18</v>
      </c>
      <c r="E5701" s="9"/>
    </row>
    <row r="5702">
      <c r="A5702" s="10">
        <f>IFERROR(__xludf.DUMMYFUNCTION("""COMPUTED_VALUE"""),117482.0)</f>
        <v>117482</v>
      </c>
      <c r="B5702" s="11">
        <f>IFERROR(__xludf.DUMMYFUNCTION("""COMPUTED_VALUE"""),0.0)</f>
        <v>0</v>
      </c>
      <c r="C5702" s="11">
        <f>IFERROR(__xludf.DUMMYFUNCTION("""COMPUTED_VALUE"""),809.0)</f>
        <v>809</v>
      </c>
      <c r="D5702" s="11">
        <f>IFERROR(__xludf.DUMMYFUNCTION("""COMPUTED_VALUE"""),41.0)</f>
        <v>41</v>
      </c>
      <c r="E5702" s="9"/>
    </row>
    <row r="5703">
      <c r="A5703" s="10">
        <f>IFERROR(__xludf.DUMMYFUNCTION("""COMPUTED_VALUE"""),118130.0)</f>
        <v>118130</v>
      </c>
      <c r="B5703" s="11">
        <f>IFERROR(__xludf.DUMMYFUNCTION("""COMPUTED_VALUE"""),1.0)</f>
        <v>1</v>
      </c>
      <c r="C5703" s="11">
        <f>IFERROR(__xludf.DUMMYFUNCTION("""COMPUTED_VALUE"""),648.0)</f>
        <v>648</v>
      </c>
      <c r="D5703" s="11">
        <f>IFERROR(__xludf.DUMMYFUNCTION("""COMPUTED_VALUE"""),406.0)</f>
        <v>406</v>
      </c>
      <c r="E5703" s="9"/>
    </row>
    <row r="5704">
      <c r="A5704" s="10">
        <f>IFERROR(__xludf.DUMMYFUNCTION("""COMPUTED_VALUE"""),109209.0)</f>
        <v>109209</v>
      </c>
      <c r="B5704" s="11">
        <f>IFERROR(__xludf.DUMMYFUNCTION("""COMPUTED_VALUE"""),1.0)</f>
        <v>1</v>
      </c>
      <c r="C5704" s="11">
        <f>IFERROR(__xludf.DUMMYFUNCTION("""COMPUTED_VALUE"""),387.0)</f>
        <v>387</v>
      </c>
      <c r="D5704" s="11">
        <f>IFERROR(__xludf.DUMMYFUNCTION("""COMPUTED_VALUE"""),228.0)</f>
        <v>228</v>
      </c>
      <c r="E5704" s="9"/>
    </row>
    <row r="5705">
      <c r="A5705" s="10">
        <f>IFERROR(__xludf.DUMMYFUNCTION("""COMPUTED_VALUE"""),74428.0)</f>
        <v>74428</v>
      </c>
      <c r="B5705" s="11">
        <f>IFERROR(__xludf.DUMMYFUNCTION("""COMPUTED_VALUE"""),0.0)</f>
        <v>0</v>
      </c>
      <c r="C5705" s="11">
        <f>IFERROR(__xludf.DUMMYFUNCTION("""COMPUTED_VALUE"""),753.0)</f>
        <v>753</v>
      </c>
      <c r="D5705" s="11">
        <f>IFERROR(__xludf.DUMMYFUNCTION("""COMPUTED_VALUE"""),580.0)</f>
        <v>580</v>
      </c>
      <c r="E5705" s="9"/>
    </row>
    <row r="5706">
      <c r="A5706" s="10">
        <f>IFERROR(__xludf.DUMMYFUNCTION("""COMPUTED_VALUE"""),13941.0)</f>
        <v>13941</v>
      </c>
      <c r="B5706" s="11">
        <f>IFERROR(__xludf.DUMMYFUNCTION("""COMPUTED_VALUE"""),1.0)</f>
        <v>1</v>
      </c>
      <c r="C5706" s="11">
        <f>IFERROR(__xludf.DUMMYFUNCTION("""COMPUTED_VALUE"""),655.0)</f>
        <v>655</v>
      </c>
      <c r="D5706" s="11">
        <f>IFERROR(__xludf.DUMMYFUNCTION("""COMPUTED_VALUE"""),339.0)</f>
        <v>339</v>
      </c>
      <c r="E5706" s="9"/>
    </row>
    <row r="5707">
      <c r="A5707" s="10">
        <f>IFERROR(__xludf.DUMMYFUNCTION("""COMPUTED_VALUE"""),44316.0)</f>
        <v>44316</v>
      </c>
      <c r="B5707" s="11">
        <f>IFERROR(__xludf.DUMMYFUNCTION("""COMPUTED_VALUE"""),1.0)</f>
        <v>1</v>
      </c>
      <c r="C5707" s="11">
        <f>IFERROR(__xludf.DUMMYFUNCTION("""COMPUTED_VALUE"""),48.0)</f>
        <v>48</v>
      </c>
      <c r="D5707" s="11">
        <f>IFERROR(__xludf.DUMMYFUNCTION("""COMPUTED_VALUE"""),16.0)</f>
        <v>16</v>
      </c>
      <c r="E5707" s="9"/>
    </row>
    <row r="5708">
      <c r="A5708" s="10">
        <f>IFERROR(__xludf.DUMMYFUNCTION("""COMPUTED_VALUE"""),122748.0)</f>
        <v>122748</v>
      </c>
      <c r="B5708" s="11">
        <f>IFERROR(__xludf.DUMMYFUNCTION("""COMPUTED_VALUE"""),1.0)</f>
        <v>1</v>
      </c>
      <c r="C5708" s="11">
        <f>IFERROR(__xludf.DUMMYFUNCTION("""COMPUTED_VALUE"""),295.0)</f>
        <v>295</v>
      </c>
      <c r="D5708" s="11">
        <f>IFERROR(__xludf.DUMMYFUNCTION("""COMPUTED_VALUE"""),149.0)</f>
        <v>149</v>
      </c>
      <c r="E5708" s="9"/>
    </row>
    <row r="5709">
      <c r="A5709" s="10">
        <f>IFERROR(__xludf.DUMMYFUNCTION("""COMPUTED_VALUE"""),118936.0)</f>
        <v>118936</v>
      </c>
      <c r="B5709" s="11">
        <f>IFERROR(__xludf.DUMMYFUNCTION("""COMPUTED_VALUE"""),1.0)</f>
        <v>1</v>
      </c>
      <c r="C5709" s="11">
        <f>IFERROR(__xludf.DUMMYFUNCTION("""COMPUTED_VALUE"""),317.0)</f>
        <v>317</v>
      </c>
      <c r="D5709" s="11">
        <f>IFERROR(__xludf.DUMMYFUNCTION("""COMPUTED_VALUE"""),237.0)</f>
        <v>237</v>
      </c>
      <c r="E5709" s="9"/>
    </row>
    <row r="5710">
      <c r="A5710" s="10">
        <f>IFERROR(__xludf.DUMMYFUNCTION("""COMPUTED_VALUE"""),122746.0)</f>
        <v>122746</v>
      </c>
      <c r="B5710" s="11">
        <f>IFERROR(__xludf.DUMMYFUNCTION("""COMPUTED_VALUE"""),1.0)</f>
        <v>1</v>
      </c>
      <c r="C5710" s="11">
        <f>IFERROR(__xludf.DUMMYFUNCTION("""COMPUTED_VALUE"""),327.0)</f>
        <v>327</v>
      </c>
      <c r="D5710" s="11">
        <f>IFERROR(__xludf.DUMMYFUNCTION("""COMPUTED_VALUE"""),27.0)</f>
        <v>27</v>
      </c>
      <c r="E5710" s="9"/>
    </row>
    <row r="5711">
      <c r="A5711" s="10">
        <f>IFERROR(__xludf.DUMMYFUNCTION("""COMPUTED_VALUE"""),76567.0)</f>
        <v>76567</v>
      </c>
      <c r="B5711" s="11">
        <f>IFERROR(__xludf.DUMMYFUNCTION("""COMPUTED_VALUE"""),0.0)</f>
        <v>0</v>
      </c>
      <c r="C5711" s="11">
        <f>IFERROR(__xludf.DUMMYFUNCTION("""COMPUTED_VALUE"""),595.0)</f>
        <v>595</v>
      </c>
      <c r="D5711" s="11">
        <f>IFERROR(__xludf.DUMMYFUNCTION("""COMPUTED_VALUE"""),275.0)</f>
        <v>275</v>
      </c>
      <c r="E5711" s="9"/>
    </row>
    <row r="5712">
      <c r="A5712" s="10">
        <f>IFERROR(__xludf.DUMMYFUNCTION("""COMPUTED_VALUE"""),122747.0)</f>
        <v>122747</v>
      </c>
      <c r="B5712" s="11">
        <f>IFERROR(__xludf.DUMMYFUNCTION("""COMPUTED_VALUE"""),1.0)</f>
        <v>1</v>
      </c>
      <c r="C5712" s="11">
        <f>IFERROR(__xludf.DUMMYFUNCTION("""COMPUTED_VALUE"""),501.0)</f>
        <v>501</v>
      </c>
      <c r="D5712" s="11">
        <f>IFERROR(__xludf.DUMMYFUNCTION("""COMPUTED_VALUE"""),60.0)</f>
        <v>60</v>
      </c>
      <c r="E5712" s="9"/>
    </row>
    <row r="5713">
      <c r="A5713" s="10">
        <f>IFERROR(__xludf.DUMMYFUNCTION("""COMPUTED_VALUE"""),48484.0)</f>
        <v>48484</v>
      </c>
      <c r="B5713" s="11">
        <f>IFERROR(__xludf.DUMMYFUNCTION("""COMPUTED_VALUE"""),1.0)</f>
        <v>1</v>
      </c>
      <c r="C5713" s="11">
        <f>IFERROR(__xludf.DUMMYFUNCTION("""COMPUTED_VALUE"""),622.0)</f>
        <v>622</v>
      </c>
      <c r="D5713" s="11">
        <f>IFERROR(__xludf.DUMMYFUNCTION("""COMPUTED_VALUE"""),378.0)</f>
        <v>378</v>
      </c>
      <c r="E5713" s="9"/>
    </row>
    <row r="5714">
      <c r="A5714" s="10">
        <f>IFERROR(__xludf.DUMMYFUNCTION("""COMPUTED_VALUE"""),10856.0)</f>
        <v>10856</v>
      </c>
      <c r="B5714" s="11">
        <f>IFERROR(__xludf.DUMMYFUNCTION("""COMPUTED_VALUE"""),1.0)</f>
        <v>1</v>
      </c>
      <c r="C5714" s="11">
        <f>IFERROR(__xludf.DUMMYFUNCTION("""COMPUTED_VALUE"""),255.0)</f>
        <v>255</v>
      </c>
      <c r="D5714" s="11">
        <f>IFERROR(__xludf.DUMMYFUNCTION("""COMPUTED_VALUE"""),131.0)</f>
        <v>131</v>
      </c>
      <c r="E5714" s="9"/>
    </row>
    <row r="5715">
      <c r="A5715" s="10">
        <f>IFERROR(__xludf.DUMMYFUNCTION("""COMPUTED_VALUE"""),48486.0)</f>
        <v>48486</v>
      </c>
      <c r="B5715" s="11">
        <f>IFERROR(__xludf.DUMMYFUNCTION("""COMPUTED_VALUE"""),1.0)</f>
        <v>1</v>
      </c>
      <c r="C5715" s="11">
        <f>IFERROR(__xludf.DUMMYFUNCTION("""COMPUTED_VALUE"""),694.0)</f>
        <v>694</v>
      </c>
      <c r="D5715" s="11">
        <f>IFERROR(__xludf.DUMMYFUNCTION("""COMPUTED_VALUE"""),109.0)</f>
        <v>109</v>
      </c>
      <c r="E5715" s="9"/>
    </row>
    <row r="5716">
      <c r="A5716" s="10">
        <f>IFERROR(__xludf.DUMMYFUNCTION("""COMPUTED_VALUE"""),108707.0)</f>
        <v>108707</v>
      </c>
      <c r="B5716" s="11">
        <f>IFERROR(__xludf.DUMMYFUNCTION("""COMPUTED_VALUE"""),0.0)</f>
        <v>0</v>
      </c>
      <c r="C5716" s="11">
        <f>IFERROR(__xludf.DUMMYFUNCTION("""COMPUTED_VALUE"""),957.0)</f>
        <v>957</v>
      </c>
      <c r="D5716" s="11">
        <f>IFERROR(__xludf.DUMMYFUNCTION("""COMPUTED_VALUE"""),58.0)</f>
        <v>58</v>
      </c>
      <c r="E5716" s="9"/>
    </row>
    <row r="5717">
      <c r="A5717" s="10">
        <f>IFERROR(__xludf.DUMMYFUNCTION("""COMPUTED_VALUE"""),109565.0)</f>
        <v>109565</v>
      </c>
      <c r="B5717" s="11">
        <f>IFERROR(__xludf.DUMMYFUNCTION("""COMPUTED_VALUE"""),1.0)</f>
        <v>1</v>
      </c>
      <c r="C5717" s="11">
        <f>IFERROR(__xludf.DUMMYFUNCTION("""COMPUTED_VALUE"""),523.0)</f>
        <v>523</v>
      </c>
      <c r="D5717" s="11">
        <f>IFERROR(__xludf.DUMMYFUNCTION("""COMPUTED_VALUE"""),514.0)</f>
        <v>514</v>
      </c>
      <c r="E5717" s="9"/>
    </row>
    <row r="5718">
      <c r="A5718" s="10">
        <f>IFERROR(__xludf.DUMMYFUNCTION("""COMPUTED_VALUE"""),99181.0)</f>
        <v>99181</v>
      </c>
      <c r="B5718" s="11">
        <f>IFERROR(__xludf.DUMMYFUNCTION("""COMPUTED_VALUE"""),0.0)</f>
        <v>0</v>
      </c>
      <c r="C5718" s="11">
        <f>IFERROR(__xludf.DUMMYFUNCTION("""COMPUTED_VALUE"""),804.0)</f>
        <v>804</v>
      </c>
      <c r="D5718" s="11">
        <f>IFERROR(__xludf.DUMMYFUNCTION("""COMPUTED_VALUE"""),14.0)</f>
        <v>14</v>
      </c>
      <c r="E5718" s="9"/>
    </row>
    <row r="5719">
      <c r="A5719" s="10">
        <f>IFERROR(__xludf.DUMMYFUNCTION("""COMPUTED_VALUE"""),109060.0)</f>
        <v>109060</v>
      </c>
      <c r="B5719" s="11">
        <f>IFERROR(__xludf.DUMMYFUNCTION("""COMPUTED_VALUE"""),1.0)</f>
        <v>1</v>
      </c>
      <c r="C5719" s="11">
        <f>IFERROR(__xludf.DUMMYFUNCTION("""COMPUTED_VALUE"""),489.0)</f>
        <v>489</v>
      </c>
      <c r="D5719" s="11">
        <f>IFERROR(__xludf.DUMMYFUNCTION("""COMPUTED_VALUE"""),455.0)</f>
        <v>455</v>
      </c>
      <c r="E5719" s="9"/>
    </row>
    <row r="5720">
      <c r="A5720" s="10">
        <f>IFERROR(__xludf.DUMMYFUNCTION("""COMPUTED_VALUE"""),109628.0)</f>
        <v>109628</v>
      </c>
      <c r="B5720" s="11">
        <f>IFERROR(__xludf.DUMMYFUNCTION("""COMPUTED_VALUE"""),0.0)</f>
        <v>0</v>
      </c>
      <c r="C5720" s="11">
        <f>IFERROR(__xludf.DUMMYFUNCTION("""COMPUTED_VALUE"""),256.0)</f>
        <v>256</v>
      </c>
      <c r="D5720" s="11">
        <f>IFERROR(__xludf.DUMMYFUNCTION("""COMPUTED_VALUE"""),246.0)</f>
        <v>246</v>
      </c>
      <c r="E5720" s="9"/>
    </row>
    <row r="5721">
      <c r="A5721" s="10">
        <f>IFERROR(__xludf.DUMMYFUNCTION("""COMPUTED_VALUE"""),128346.0)</f>
        <v>128346</v>
      </c>
      <c r="B5721" s="11">
        <f>IFERROR(__xludf.DUMMYFUNCTION("""COMPUTED_VALUE"""),1.0)</f>
        <v>1</v>
      </c>
      <c r="C5721" s="11">
        <f>IFERROR(__xludf.DUMMYFUNCTION("""COMPUTED_VALUE"""),4.0)</f>
        <v>4</v>
      </c>
      <c r="D5721" s="11">
        <f>IFERROR(__xludf.DUMMYFUNCTION("""COMPUTED_VALUE"""),0.0)</f>
        <v>0</v>
      </c>
      <c r="E5721" s="9"/>
    </row>
    <row r="5722">
      <c r="A5722" s="10">
        <f>IFERROR(__xludf.DUMMYFUNCTION("""COMPUTED_VALUE"""),90319.0)</f>
        <v>90319</v>
      </c>
      <c r="B5722" s="11">
        <f>IFERROR(__xludf.DUMMYFUNCTION("""COMPUTED_VALUE"""),0.0)</f>
        <v>0</v>
      </c>
      <c r="C5722" s="11">
        <f>IFERROR(__xludf.DUMMYFUNCTION("""COMPUTED_VALUE"""),514.0)</f>
        <v>514</v>
      </c>
      <c r="D5722" s="11">
        <f>IFERROR(__xludf.DUMMYFUNCTION("""COMPUTED_VALUE"""),11.0)</f>
        <v>11</v>
      </c>
      <c r="E5722" s="9"/>
    </row>
    <row r="5723">
      <c r="A5723" s="10">
        <f>IFERROR(__xludf.DUMMYFUNCTION("""COMPUTED_VALUE"""),96287.0)</f>
        <v>96287</v>
      </c>
      <c r="B5723" s="11">
        <f>IFERROR(__xludf.DUMMYFUNCTION("""COMPUTED_VALUE"""),0.0)</f>
        <v>0</v>
      </c>
      <c r="C5723" s="11">
        <f>IFERROR(__xludf.DUMMYFUNCTION("""COMPUTED_VALUE"""),522.0)</f>
        <v>522</v>
      </c>
      <c r="D5723" s="11">
        <f>IFERROR(__xludf.DUMMYFUNCTION("""COMPUTED_VALUE"""),58.0)</f>
        <v>58</v>
      </c>
      <c r="E5723" s="9"/>
    </row>
    <row r="5724">
      <c r="A5724" s="10">
        <f>IFERROR(__xludf.DUMMYFUNCTION("""COMPUTED_VALUE"""),96238.0)</f>
        <v>96238</v>
      </c>
      <c r="B5724" s="11">
        <f>IFERROR(__xludf.DUMMYFUNCTION("""COMPUTED_VALUE"""),1.0)</f>
        <v>1</v>
      </c>
      <c r="C5724" s="11">
        <f>IFERROR(__xludf.DUMMYFUNCTION("""COMPUTED_VALUE"""),201.0)</f>
        <v>201</v>
      </c>
      <c r="D5724" s="11">
        <f>IFERROR(__xludf.DUMMYFUNCTION("""COMPUTED_VALUE"""),69.0)</f>
        <v>69</v>
      </c>
      <c r="E5724" s="9"/>
    </row>
    <row r="5725">
      <c r="A5725" s="10">
        <f>IFERROR(__xludf.DUMMYFUNCTION("""COMPUTED_VALUE"""),116553.0)</f>
        <v>116553</v>
      </c>
      <c r="B5725" s="11">
        <f>IFERROR(__xludf.DUMMYFUNCTION("""COMPUTED_VALUE"""),1.0)</f>
        <v>1</v>
      </c>
      <c r="C5725" s="11">
        <f>IFERROR(__xludf.DUMMYFUNCTION("""COMPUTED_VALUE"""),731.0)</f>
        <v>731</v>
      </c>
      <c r="D5725" s="11">
        <f>IFERROR(__xludf.DUMMYFUNCTION("""COMPUTED_VALUE"""),690.0)</f>
        <v>690</v>
      </c>
      <c r="E5725" s="9"/>
    </row>
    <row r="5726">
      <c r="A5726" s="10">
        <f>IFERROR(__xludf.DUMMYFUNCTION("""COMPUTED_VALUE"""),116539.0)</f>
        <v>116539</v>
      </c>
      <c r="B5726" s="11">
        <f>IFERROR(__xludf.DUMMYFUNCTION("""COMPUTED_VALUE"""),0.0)</f>
        <v>0</v>
      </c>
      <c r="C5726" s="11">
        <f>IFERROR(__xludf.DUMMYFUNCTION("""COMPUTED_VALUE"""),723.0)</f>
        <v>723</v>
      </c>
      <c r="D5726" s="11">
        <f>IFERROR(__xludf.DUMMYFUNCTION("""COMPUTED_VALUE"""),551.0)</f>
        <v>551</v>
      </c>
      <c r="E5726" s="9"/>
    </row>
    <row r="5727">
      <c r="A5727" s="10">
        <f>IFERROR(__xludf.DUMMYFUNCTION("""COMPUTED_VALUE"""),156015.0)</f>
        <v>156015</v>
      </c>
      <c r="B5727" s="11">
        <f>IFERROR(__xludf.DUMMYFUNCTION("""COMPUTED_VALUE"""),0.0)</f>
        <v>0</v>
      </c>
      <c r="C5727" s="11">
        <f>IFERROR(__xludf.DUMMYFUNCTION("""COMPUTED_VALUE"""),567.0)</f>
        <v>567</v>
      </c>
      <c r="D5727" s="11">
        <f>IFERROR(__xludf.DUMMYFUNCTION("""COMPUTED_VALUE"""),350.0)</f>
        <v>350</v>
      </c>
      <c r="E5727" s="9"/>
    </row>
    <row r="5728">
      <c r="A5728" s="10">
        <f>IFERROR(__xludf.DUMMYFUNCTION("""COMPUTED_VALUE"""),77049.0)</f>
        <v>77049</v>
      </c>
      <c r="B5728" s="11">
        <f>IFERROR(__xludf.DUMMYFUNCTION("""COMPUTED_VALUE"""),1.0)</f>
        <v>1</v>
      </c>
      <c r="C5728" s="11">
        <f>IFERROR(__xludf.DUMMYFUNCTION("""COMPUTED_VALUE"""),421.0)</f>
        <v>421</v>
      </c>
      <c r="D5728" s="11">
        <f>IFERROR(__xludf.DUMMYFUNCTION("""COMPUTED_VALUE"""),349.0)</f>
        <v>349</v>
      </c>
      <c r="E5728" s="9"/>
    </row>
    <row r="5729">
      <c r="A5729" s="10">
        <f>IFERROR(__xludf.DUMMYFUNCTION("""COMPUTED_VALUE"""),92906.0)</f>
        <v>92906</v>
      </c>
      <c r="B5729" s="11">
        <f>IFERROR(__xludf.DUMMYFUNCTION("""COMPUTED_VALUE"""),1.0)</f>
        <v>1</v>
      </c>
      <c r="C5729" s="11">
        <f>IFERROR(__xludf.DUMMYFUNCTION("""COMPUTED_VALUE"""),977.0)</f>
        <v>977</v>
      </c>
      <c r="D5729" s="11">
        <f>IFERROR(__xludf.DUMMYFUNCTION("""COMPUTED_VALUE"""),67.0)</f>
        <v>67</v>
      </c>
      <c r="E5729" s="9"/>
    </row>
    <row r="5730">
      <c r="A5730" s="10">
        <f>IFERROR(__xludf.DUMMYFUNCTION("""COMPUTED_VALUE"""),6425.0)</f>
        <v>6425</v>
      </c>
      <c r="B5730" s="11">
        <f>IFERROR(__xludf.DUMMYFUNCTION("""COMPUTED_VALUE"""),0.0)</f>
        <v>0</v>
      </c>
      <c r="C5730" s="11">
        <f>IFERROR(__xludf.DUMMYFUNCTION("""COMPUTED_VALUE"""),309.0)</f>
        <v>309</v>
      </c>
      <c r="D5730" s="11">
        <f>IFERROR(__xludf.DUMMYFUNCTION("""COMPUTED_VALUE"""),205.0)</f>
        <v>205</v>
      </c>
      <c r="E5730" s="9"/>
    </row>
    <row r="5731">
      <c r="A5731" s="10">
        <f>IFERROR(__xludf.DUMMYFUNCTION("""COMPUTED_VALUE"""),77653.0)</f>
        <v>77653</v>
      </c>
      <c r="B5731" s="11">
        <f>IFERROR(__xludf.DUMMYFUNCTION("""COMPUTED_VALUE"""),1.0)</f>
        <v>1</v>
      </c>
      <c r="C5731" s="11">
        <f>IFERROR(__xludf.DUMMYFUNCTION("""COMPUTED_VALUE"""),329.0)</f>
        <v>329</v>
      </c>
      <c r="D5731" s="11">
        <f>IFERROR(__xludf.DUMMYFUNCTION("""COMPUTED_VALUE"""),25.0)</f>
        <v>25</v>
      </c>
      <c r="E5731" s="9"/>
    </row>
    <row r="5732">
      <c r="A5732" s="10">
        <f>IFERROR(__xludf.DUMMYFUNCTION("""COMPUTED_VALUE"""),156029.0)</f>
        <v>156029</v>
      </c>
      <c r="B5732" s="11">
        <f>IFERROR(__xludf.DUMMYFUNCTION("""COMPUTED_VALUE"""),1.0)</f>
        <v>1</v>
      </c>
      <c r="C5732" s="11">
        <f>IFERROR(__xludf.DUMMYFUNCTION("""COMPUTED_VALUE"""),575.0)</f>
        <v>575</v>
      </c>
      <c r="D5732" s="11">
        <f>IFERROR(__xludf.DUMMYFUNCTION("""COMPUTED_VALUE"""),292.0)</f>
        <v>292</v>
      </c>
      <c r="E5732" s="9"/>
    </row>
    <row r="5733">
      <c r="A5733" s="10">
        <f>IFERROR(__xludf.DUMMYFUNCTION("""COMPUTED_VALUE"""),182726.0)</f>
        <v>182726</v>
      </c>
      <c r="B5733" s="11">
        <f>IFERROR(__xludf.DUMMYFUNCTION("""COMPUTED_VALUE"""),1.0)</f>
        <v>1</v>
      </c>
      <c r="C5733" s="11">
        <f>IFERROR(__xludf.DUMMYFUNCTION("""COMPUTED_VALUE"""),213.0)</f>
        <v>213</v>
      </c>
      <c r="D5733" s="11">
        <f>IFERROR(__xludf.DUMMYFUNCTION("""COMPUTED_VALUE"""),3.0)</f>
        <v>3</v>
      </c>
      <c r="E5733" s="9"/>
    </row>
    <row r="5734">
      <c r="A5734" s="10">
        <f>IFERROR(__xludf.DUMMYFUNCTION("""COMPUTED_VALUE"""),3536.0)</f>
        <v>3536</v>
      </c>
      <c r="B5734" s="11">
        <f>IFERROR(__xludf.DUMMYFUNCTION("""COMPUTED_VALUE"""),0.0)</f>
        <v>0</v>
      </c>
      <c r="C5734" s="11">
        <f>IFERROR(__xludf.DUMMYFUNCTION("""COMPUTED_VALUE"""),296.0)</f>
        <v>296</v>
      </c>
      <c r="D5734" s="11">
        <f>IFERROR(__xludf.DUMMYFUNCTION("""COMPUTED_VALUE"""),233.0)</f>
        <v>233</v>
      </c>
      <c r="E5734" s="9"/>
    </row>
    <row r="5735">
      <c r="A5735" s="10">
        <f>IFERROR(__xludf.DUMMYFUNCTION("""COMPUTED_VALUE"""),3541.0)</f>
        <v>3541</v>
      </c>
      <c r="B5735" s="11">
        <f>IFERROR(__xludf.DUMMYFUNCTION("""COMPUTED_VALUE"""),1.0)</f>
        <v>1</v>
      </c>
      <c r="C5735" s="11">
        <f>IFERROR(__xludf.DUMMYFUNCTION("""COMPUTED_VALUE"""),384.0)</f>
        <v>384</v>
      </c>
      <c r="D5735" s="11">
        <f>IFERROR(__xludf.DUMMYFUNCTION("""COMPUTED_VALUE"""),25.0)</f>
        <v>25</v>
      </c>
      <c r="E5735" s="9"/>
    </row>
    <row r="5736">
      <c r="A5736" s="10">
        <f>IFERROR(__xludf.DUMMYFUNCTION("""COMPUTED_VALUE"""),147335.0)</f>
        <v>147335</v>
      </c>
      <c r="B5736" s="11">
        <f>IFERROR(__xludf.DUMMYFUNCTION("""COMPUTED_VALUE"""),1.0)</f>
        <v>1</v>
      </c>
      <c r="C5736" s="11">
        <f>IFERROR(__xludf.DUMMYFUNCTION("""COMPUTED_VALUE"""),129.0)</f>
        <v>129</v>
      </c>
      <c r="D5736" s="11">
        <f>IFERROR(__xludf.DUMMYFUNCTION("""COMPUTED_VALUE"""),121.0)</f>
        <v>121</v>
      </c>
      <c r="E5736" s="9"/>
    </row>
    <row r="5737">
      <c r="A5737" s="10">
        <f>IFERROR(__xludf.DUMMYFUNCTION("""COMPUTED_VALUE"""),46896.0)</f>
        <v>46896</v>
      </c>
      <c r="B5737" s="11">
        <f>IFERROR(__xludf.DUMMYFUNCTION("""COMPUTED_VALUE"""),1.0)</f>
        <v>1</v>
      </c>
      <c r="C5737" s="11">
        <f>IFERROR(__xludf.DUMMYFUNCTION("""COMPUTED_VALUE"""),238.0)</f>
        <v>238</v>
      </c>
      <c r="D5737" s="11">
        <f>IFERROR(__xludf.DUMMYFUNCTION("""COMPUTED_VALUE"""),190.0)</f>
        <v>190</v>
      </c>
      <c r="E5737" s="9"/>
    </row>
    <row r="5738">
      <c r="A5738" s="10">
        <f>IFERROR(__xludf.DUMMYFUNCTION("""COMPUTED_VALUE"""),46897.0)</f>
        <v>46897</v>
      </c>
      <c r="B5738" s="11">
        <f>IFERROR(__xludf.DUMMYFUNCTION("""COMPUTED_VALUE"""),0.0)</f>
        <v>0</v>
      </c>
      <c r="C5738" s="11">
        <f>IFERROR(__xludf.DUMMYFUNCTION("""COMPUTED_VALUE"""),208.0)</f>
        <v>208</v>
      </c>
      <c r="D5738" s="11">
        <f>IFERROR(__xludf.DUMMYFUNCTION("""COMPUTED_VALUE"""),59.0)</f>
        <v>59</v>
      </c>
      <c r="E5738" s="9"/>
    </row>
    <row r="5739">
      <c r="A5739" s="10">
        <f>IFERROR(__xludf.DUMMYFUNCTION("""COMPUTED_VALUE"""),71729.0)</f>
        <v>71729</v>
      </c>
      <c r="B5739" s="11">
        <f>IFERROR(__xludf.DUMMYFUNCTION("""COMPUTED_VALUE"""),0.0)</f>
        <v>0</v>
      </c>
      <c r="C5739" s="11">
        <f>IFERROR(__xludf.DUMMYFUNCTION("""COMPUTED_VALUE"""),368.0)</f>
        <v>368</v>
      </c>
      <c r="D5739" s="11">
        <f>IFERROR(__xludf.DUMMYFUNCTION("""COMPUTED_VALUE"""),245.0)</f>
        <v>245</v>
      </c>
      <c r="E5739" s="9"/>
    </row>
    <row r="5740">
      <c r="A5740" s="10">
        <f>IFERROR(__xludf.DUMMYFUNCTION("""COMPUTED_VALUE"""),45471.0)</f>
        <v>45471</v>
      </c>
      <c r="B5740" s="11">
        <f>IFERROR(__xludf.DUMMYFUNCTION("""COMPUTED_VALUE"""),1.0)</f>
        <v>1</v>
      </c>
      <c r="C5740" s="11">
        <f>IFERROR(__xludf.DUMMYFUNCTION("""COMPUTED_VALUE"""),512.0)</f>
        <v>512</v>
      </c>
      <c r="D5740" s="11">
        <f>IFERROR(__xludf.DUMMYFUNCTION("""COMPUTED_VALUE"""),261.0)</f>
        <v>261</v>
      </c>
      <c r="E5740" s="9"/>
    </row>
    <row r="5741">
      <c r="A5741" s="10">
        <f>IFERROR(__xludf.DUMMYFUNCTION("""COMPUTED_VALUE"""),80622.0)</f>
        <v>80622</v>
      </c>
      <c r="B5741" s="11">
        <f>IFERROR(__xludf.DUMMYFUNCTION("""COMPUTED_VALUE"""),1.0)</f>
        <v>1</v>
      </c>
      <c r="C5741" s="11">
        <f>IFERROR(__xludf.DUMMYFUNCTION("""COMPUTED_VALUE"""),858.0)</f>
        <v>858</v>
      </c>
      <c r="D5741" s="11">
        <f>IFERROR(__xludf.DUMMYFUNCTION("""COMPUTED_VALUE"""),490.0)</f>
        <v>490</v>
      </c>
      <c r="E5741" s="9"/>
    </row>
    <row r="5742">
      <c r="A5742" s="10">
        <f>IFERROR(__xludf.DUMMYFUNCTION("""COMPUTED_VALUE"""),111204.0)</f>
        <v>111204</v>
      </c>
      <c r="B5742" s="11">
        <f>IFERROR(__xludf.DUMMYFUNCTION("""COMPUTED_VALUE"""),1.0)</f>
        <v>1</v>
      </c>
      <c r="C5742" s="11">
        <f>IFERROR(__xludf.DUMMYFUNCTION("""COMPUTED_VALUE"""),406.0)</f>
        <v>406</v>
      </c>
      <c r="D5742" s="11">
        <f>IFERROR(__xludf.DUMMYFUNCTION("""COMPUTED_VALUE"""),156.0)</f>
        <v>156</v>
      </c>
      <c r="E5742" s="9"/>
    </row>
    <row r="5743">
      <c r="A5743" s="10">
        <f>IFERROR(__xludf.DUMMYFUNCTION("""COMPUTED_VALUE"""),27843.0)</f>
        <v>27843</v>
      </c>
      <c r="B5743" s="11">
        <f>IFERROR(__xludf.DUMMYFUNCTION("""COMPUTED_VALUE"""),1.0)</f>
        <v>1</v>
      </c>
      <c r="C5743" s="11">
        <f>IFERROR(__xludf.DUMMYFUNCTION("""COMPUTED_VALUE"""),683.0)</f>
        <v>683</v>
      </c>
      <c r="D5743" s="11">
        <f>IFERROR(__xludf.DUMMYFUNCTION("""COMPUTED_VALUE"""),675.0)</f>
        <v>675</v>
      </c>
      <c r="E5743" s="9"/>
    </row>
    <row r="5744">
      <c r="A5744" s="10">
        <f>IFERROR(__xludf.DUMMYFUNCTION("""COMPUTED_VALUE"""),111656.0)</f>
        <v>111656</v>
      </c>
      <c r="B5744" s="11">
        <f>IFERROR(__xludf.DUMMYFUNCTION("""COMPUTED_VALUE"""),0.0)</f>
        <v>0</v>
      </c>
      <c r="C5744" s="11">
        <f>IFERROR(__xludf.DUMMYFUNCTION("""COMPUTED_VALUE"""),915.0)</f>
        <v>915</v>
      </c>
      <c r="D5744" s="11">
        <f>IFERROR(__xludf.DUMMYFUNCTION("""COMPUTED_VALUE"""),747.0)</f>
        <v>747</v>
      </c>
      <c r="E5744" s="9"/>
    </row>
    <row r="5745">
      <c r="A5745" s="10">
        <f>IFERROR(__xludf.DUMMYFUNCTION("""COMPUTED_VALUE"""),70043.0)</f>
        <v>70043</v>
      </c>
      <c r="B5745" s="11">
        <f>IFERROR(__xludf.DUMMYFUNCTION("""COMPUTED_VALUE"""),0.0)</f>
        <v>0</v>
      </c>
      <c r="C5745" s="11">
        <f>IFERROR(__xludf.DUMMYFUNCTION("""COMPUTED_VALUE"""),724.0)</f>
        <v>724</v>
      </c>
      <c r="D5745" s="11">
        <f>IFERROR(__xludf.DUMMYFUNCTION("""COMPUTED_VALUE"""),168.0)</f>
        <v>168</v>
      </c>
      <c r="E5745" s="9"/>
    </row>
    <row r="5746">
      <c r="A5746" s="10">
        <f>IFERROR(__xludf.DUMMYFUNCTION("""COMPUTED_VALUE"""),127017.0)</f>
        <v>127017</v>
      </c>
      <c r="B5746" s="11">
        <f>IFERROR(__xludf.DUMMYFUNCTION("""COMPUTED_VALUE"""),1.0)</f>
        <v>1</v>
      </c>
      <c r="C5746" s="11">
        <f>IFERROR(__xludf.DUMMYFUNCTION("""COMPUTED_VALUE"""),836.0)</f>
        <v>836</v>
      </c>
      <c r="D5746" s="11">
        <f>IFERROR(__xludf.DUMMYFUNCTION("""COMPUTED_VALUE"""),391.0)</f>
        <v>391</v>
      </c>
      <c r="E5746" s="9"/>
    </row>
    <row r="5747">
      <c r="A5747" s="10">
        <f>IFERROR(__xludf.DUMMYFUNCTION("""COMPUTED_VALUE"""),92320.0)</f>
        <v>92320</v>
      </c>
      <c r="B5747" s="11">
        <f>IFERROR(__xludf.DUMMYFUNCTION("""COMPUTED_VALUE"""),0.0)</f>
        <v>0</v>
      </c>
      <c r="C5747" s="11">
        <f>IFERROR(__xludf.DUMMYFUNCTION("""COMPUTED_VALUE"""),658.0)</f>
        <v>658</v>
      </c>
      <c r="D5747" s="11">
        <f>IFERROR(__xludf.DUMMYFUNCTION("""COMPUTED_VALUE"""),404.0)</f>
        <v>404</v>
      </c>
      <c r="E5747" s="9"/>
    </row>
    <row r="5748">
      <c r="A5748" s="10">
        <f>IFERROR(__xludf.DUMMYFUNCTION("""COMPUTED_VALUE"""),109985.0)</f>
        <v>109985</v>
      </c>
      <c r="B5748" s="11">
        <f>IFERROR(__xludf.DUMMYFUNCTION("""COMPUTED_VALUE"""),0.0)</f>
        <v>0</v>
      </c>
      <c r="C5748" s="11">
        <f>IFERROR(__xludf.DUMMYFUNCTION("""COMPUTED_VALUE"""),7.0)</f>
        <v>7</v>
      </c>
      <c r="D5748" s="11">
        <f>IFERROR(__xludf.DUMMYFUNCTION("""COMPUTED_VALUE"""),1.0)</f>
        <v>1</v>
      </c>
      <c r="E5748" s="9"/>
    </row>
    <row r="5749">
      <c r="A5749" s="10">
        <f>IFERROR(__xludf.DUMMYFUNCTION("""COMPUTED_VALUE"""),110415.0)</f>
        <v>110415</v>
      </c>
      <c r="B5749" s="11">
        <f>IFERROR(__xludf.DUMMYFUNCTION("""COMPUTED_VALUE"""),1.0)</f>
        <v>1</v>
      </c>
      <c r="C5749" s="11">
        <f>IFERROR(__xludf.DUMMYFUNCTION("""COMPUTED_VALUE"""),370.0)</f>
        <v>370</v>
      </c>
      <c r="D5749" s="11">
        <f>IFERROR(__xludf.DUMMYFUNCTION("""COMPUTED_VALUE"""),87.0)</f>
        <v>87</v>
      </c>
      <c r="E5749" s="9"/>
    </row>
    <row r="5750">
      <c r="A5750" s="10">
        <f>IFERROR(__xludf.DUMMYFUNCTION("""COMPUTED_VALUE"""),101325.0)</f>
        <v>101325</v>
      </c>
      <c r="B5750" s="11">
        <f>IFERROR(__xludf.DUMMYFUNCTION("""COMPUTED_VALUE"""),0.0)</f>
        <v>0</v>
      </c>
      <c r="C5750" s="11">
        <f>IFERROR(__xludf.DUMMYFUNCTION("""COMPUTED_VALUE"""),660.0)</f>
        <v>660</v>
      </c>
      <c r="D5750" s="11">
        <f>IFERROR(__xludf.DUMMYFUNCTION("""COMPUTED_VALUE"""),411.0)</f>
        <v>411</v>
      </c>
      <c r="E5750" s="9"/>
    </row>
    <row r="5751">
      <c r="A5751" s="10">
        <f>IFERROR(__xludf.DUMMYFUNCTION("""COMPUTED_VALUE"""),133904.0)</f>
        <v>133904</v>
      </c>
      <c r="B5751" s="11">
        <f>IFERROR(__xludf.DUMMYFUNCTION("""COMPUTED_VALUE"""),1.0)</f>
        <v>1</v>
      </c>
      <c r="C5751" s="11">
        <f>IFERROR(__xludf.DUMMYFUNCTION("""COMPUTED_VALUE"""),89.0)</f>
        <v>89</v>
      </c>
      <c r="D5751" s="11">
        <f>IFERROR(__xludf.DUMMYFUNCTION("""COMPUTED_VALUE"""),13.0)</f>
        <v>13</v>
      </c>
      <c r="E5751" s="9"/>
    </row>
    <row r="5752">
      <c r="A5752" s="10">
        <f>IFERROR(__xludf.DUMMYFUNCTION("""COMPUTED_VALUE"""),91357.0)</f>
        <v>91357</v>
      </c>
      <c r="B5752" s="11">
        <f>IFERROR(__xludf.DUMMYFUNCTION("""COMPUTED_VALUE"""),0.0)</f>
        <v>0</v>
      </c>
      <c r="C5752" s="11">
        <f>IFERROR(__xludf.DUMMYFUNCTION("""COMPUTED_VALUE"""),653.0)</f>
        <v>653</v>
      </c>
      <c r="D5752" s="11">
        <f>IFERROR(__xludf.DUMMYFUNCTION("""COMPUTED_VALUE"""),633.0)</f>
        <v>633</v>
      </c>
      <c r="E5752" s="9"/>
    </row>
    <row r="5753">
      <c r="A5753" s="10">
        <f>IFERROR(__xludf.DUMMYFUNCTION("""COMPUTED_VALUE"""),92330.0)</f>
        <v>92330</v>
      </c>
      <c r="B5753" s="11">
        <f>IFERROR(__xludf.DUMMYFUNCTION("""COMPUTED_VALUE"""),0.0)</f>
        <v>0</v>
      </c>
      <c r="C5753" s="11">
        <f>IFERROR(__xludf.DUMMYFUNCTION("""COMPUTED_VALUE"""),222.0)</f>
        <v>222</v>
      </c>
      <c r="D5753" s="11">
        <f>IFERROR(__xludf.DUMMYFUNCTION("""COMPUTED_VALUE"""),128.0)</f>
        <v>128</v>
      </c>
      <c r="E5753" s="9"/>
    </row>
    <row r="5754">
      <c r="A5754" s="10">
        <f>IFERROR(__xludf.DUMMYFUNCTION("""COMPUTED_VALUE"""),128409.0)</f>
        <v>128409</v>
      </c>
      <c r="B5754" s="11">
        <f>IFERROR(__xludf.DUMMYFUNCTION("""COMPUTED_VALUE"""),1.0)</f>
        <v>1</v>
      </c>
      <c r="C5754" s="11">
        <f>IFERROR(__xludf.DUMMYFUNCTION("""COMPUTED_VALUE"""),289.0)</f>
        <v>289</v>
      </c>
      <c r="D5754" s="11">
        <f>IFERROR(__xludf.DUMMYFUNCTION("""COMPUTED_VALUE"""),147.0)</f>
        <v>147</v>
      </c>
      <c r="E5754" s="9"/>
    </row>
    <row r="5755">
      <c r="A5755" s="10">
        <f>IFERROR(__xludf.DUMMYFUNCTION("""COMPUTED_VALUE"""),124704.0)</f>
        <v>124704</v>
      </c>
      <c r="B5755" s="11">
        <f>IFERROR(__xludf.DUMMYFUNCTION("""COMPUTED_VALUE"""),1.0)</f>
        <v>1</v>
      </c>
      <c r="C5755" s="11">
        <f>IFERROR(__xludf.DUMMYFUNCTION("""COMPUTED_VALUE"""),501.0)</f>
        <v>501</v>
      </c>
      <c r="D5755" s="11">
        <f>IFERROR(__xludf.DUMMYFUNCTION("""COMPUTED_VALUE"""),78.0)</f>
        <v>78</v>
      </c>
      <c r="E5755" s="9"/>
    </row>
    <row r="5756">
      <c r="A5756" s="10">
        <f>IFERROR(__xludf.DUMMYFUNCTION("""COMPUTED_VALUE"""),122252.0)</f>
        <v>122252</v>
      </c>
      <c r="B5756" s="11">
        <f>IFERROR(__xludf.DUMMYFUNCTION("""COMPUTED_VALUE"""),1.0)</f>
        <v>1</v>
      </c>
      <c r="C5756" s="11">
        <f>IFERROR(__xludf.DUMMYFUNCTION("""COMPUTED_VALUE"""),718.0)</f>
        <v>718</v>
      </c>
      <c r="D5756" s="11">
        <f>IFERROR(__xludf.DUMMYFUNCTION("""COMPUTED_VALUE"""),453.0)</f>
        <v>453</v>
      </c>
      <c r="E5756" s="9"/>
    </row>
    <row r="5757">
      <c r="A5757" s="10">
        <f>IFERROR(__xludf.DUMMYFUNCTION("""COMPUTED_VALUE"""),85159.0)</f>
        <v>85159</v>
      </c>
      <c r="B5757" s="11">
        <f>IFERROR(__xludf.DUMMYFUNCTION("""COMPUTED_VALUE"""),1.0)</f>
        <v>1</v>
      </c>
      <c r="C5757" s="11">
        <f>IFERROR(__xludf.DUMMYFUNCTION("""COMPUTED_VALUE"""),86.0)</f>
        <v>86</v>
      </c>
      <c r="D5757" s="11">
        <f>IFERROR(__xludf.DUMMYFUNCTION("""COMPUTED_VALUE"""),74.0)</f>
        <v>74</v>
      </c>
      <c r="E5757" s="9"/>
    </row>
    <row r="5758">
      <c r="A5758" s="10">
        <f>IFERROR(__xludf.DUMMYFUNCTION("""COMPUTED_VALUE"""),103604.0)</f>
        <v>103604</v>
      </c>
      <c r="B5758" s="11">
        <f>IFERROR(__xludf.DUMMYFUNCTION("""COMPUTED_VALUE"""),0.0)</f>
        <v>0</v>
      </c>
      <c r="C5758" s="11">
        <f>IFERROR(__xludf.DUMMYFUNCTION("""COMPUTED_VALUE"""),170.0)</f>
        <v>170</v>
      </c>
      <c r="D5758" s="11">
        <f>IFERROR(__xludf.DUMMYFUNCTION("""COMPUTED_VALUE"""),66.0)</f>
        <v>66</v>
      </c>
      <c r="E5758" s="9"/>
    </row>
    <row r="5759">
      <c r="A5759" s="10">
        <f>IFERROR(__xludf.DUMMYFUNCTION("""COMPUTED_VALUE"""),27845.0)</f>
        <v>27845</v>
      </c>
      <c r="B5759" s="11">
        <f>IFERROR(__xludf.DUMMYFUNCTION("""COMPUTED_VALUE"""),1.0)</f>
        <v>1</v>
      </c>
      <c r="C5759" s="11">
        <f>IFERROR(__xludf.DUMMYFUNCTION("""COMPUTED_VALUE"""),600.0)</f>
        <v>600</v>
      </c>
      <c r="D5759" s="11">
        <f>IFERROR(__xludf.DUMMYFUNCTION("""COMPUTED_VALUE"""),533.0)</f>
        <v>533</v>
      </c>
      <c r="E5759" s="9"/>
    </row>
    <row r="5760">
      <c r="A5760" s="10">
        <f>IFERROR(__xludf.DUMMYFUNCTION("""COMPUTED_VALUE"""),11666.0)</f>
        <v>11666</v>
      </c>
      <c r="B5760" s="11">
        <f>IFERROR(__xludf.DUMMYFUNCTION("""COMPUTED_VALUE"""),1.0)</f>
        <v>1</v>
      </c>
      <c r="C5760" s="11">
        <f>IFERROR(__xludf.DUMMYFUNCTION("""COMPUTED_VALUE"""),952.0)</f>
        <v>952</v>
      </c>
      <c r="D5760" s="11">
        <f>IFERROR(__xludf.DUMMYFUNCTION("""COMPUTED_VALUE"""),895.0)</f>
        <v>895</v>
      </c>
      <c r="E5760" s="9"/>
    </row>
    <row r="5761">
      <c r="A5761" s="10">
        <f>IFERROR(__xludf.DUMMYFUNCTION("""COMPUTED_VALUE"""),127016.0)</f>
        <v>127016</v>
      </c>
      <c r="B5761" s="11">
        <f>IFERROR(__xludf.DUMMYFUNCTION("""COMPUTED_VALUE"""),0.0)</f>
        <v>0</v>
      </c>
      <c r="C5761" s="11">
        <f>IFERROR(__xludf.DUMMYFUNCTION("""COMPUTED_VALUE"""),176.0)</f>
        <v>176</v>
      </c>
      <c r="D5761" s="11">
        <f>IFERROR(__xludf.DUMMYFUNCTION("""COMPUTED_VALUE"""),125.0)</f>
        <v>125</v>
      </c>
      <c r="E5761" s="9"/>
    </row>
    <row r="5762">
      <c r="A5762" s="10">
        <f>IFERROR(__xludf.DUMMYFUNCTION("""COMPUTED_VALUE"""),2046.0)</f>
        <v>2046</v>
      </c>
      <c r="B5762" s="11">
        <f>IFERROR(__xludf.DUMMYFUNCTION("""COMPUTED_VALUE"""),0.0)</f>
        <v>0</v>
      </c>
      <c r="C5762" s="11">
        <f>IFERROR(__xludf.DUMMYFUNCTION("""COMPUTED_VALUE"""),728.0)</f>
        <v>728</v>
      </c>
      <c r="D5762" s="11">
        <f>IFERROR(__xludf.DUMMYFUNCTION("""COMPUTED_VALUE"""),727.0)</f>
        <v>727</v>
      </c>
      <c r="E5762" s="9"/>
    </row>
    <row r="5763">
      <c r="A5763" s="10">
        <f>IFERROR(__xludf.DUMMYFUNCTION("""COMPUTED_VALUE"""),66998.0)</f>
        <v>66998</v>
      </c>
      <c r="B5763" s="11">
        <f>IFERROR(__xludf.DUMMYFUNCTION("""COMPUTED_VALUE"""),1.0)</f>
        <v>1</v>
      </c>
      <c r="C5763" s="11">
        <f>IFERROR(__xludf.DUMMYFUNCTION("""COMPUTED_VALUE"""),10.0)</f>
        <v>10</v>
      </c>
      <c r="D5763" s="11">
        <f>IFERROR(__xludf.DUMMYFUNCTION("""COMPUTED_VALUE"""),0.0)</f>
        <v>0</v>
      </c>
      <c r="E5763" s="9"/>
    </row>
    <row r="5764">
      <c r="A5764" s="10">
        <f>IFERROR(__xludf.DUMMYFUNCTION("""COMPUTED_VALUE"""),103626.0)</f>
        <v>103626</v>
      </c>
      <c r="B5764" s="11">
        <f>IFERROR(__xludf.DUMMYFUNCTION("""COMPUTED_VALUE"""),0.0)</f>
        <v>0</v>
      </c>
      <c r="C5764" s="11">
        <f>IFERROR(__xludf.DUMMYFUNCTION("""COMPUTED_VALUE"""),132.0)</f>
        <v>132</v>
      </c>
      <c r="D5764" s="11">
        <f>IFERROR(__xludf.DUMMYFUNCTION("""COMPUTED_VALUE"""),128.0)</f>
        <v>128</v>
      </c>
      <c r="E5764" s="9"/>
    </row>
    <row r="5765">
      <c r="A5765" s="10">
        <f>IFERROR(__xludf.DUMMYFUNCTION("""COMPUTED_VALUE"""),103603.0)</f>
        <v>103603</v>
      </c>
      <c r="B5765" s="11">
        <f>IFERROR(__xludf.DUMMYFUNCTION("""COMPUTED_VALUE"""),1.0)</f>
        <v>1</v>
      </c>
      <c r="C5765" s="11">
        <f>IFERROR(__xludf.DUMMYFUNCTION("""COMPUTED_VALUE"""),634.0)</f>
        <v>634</v>
      </c>
      <c r="D5765" s="11">
        <f>IFERROR(__xludf.DUMMYFUNCTION("""COMPUTED_VALUE"""),344.0)</f>
        <v>344</v>
      </c>
      <c r="E5765" s="9"/>
    </row>
    <row r="5766">
      <c r="A5766" s="10">
        <f>IFERROR(__xludf.DUMMYFUNCTION("""COMPUTED_VALUE"""),85156.0)</f>
        <v>85156</v>
      </c>
      <c r="B5766" s="11">
        <f>IFERROR(__xludf.DUMMYFUNCTION("""COMPUTED_VALUE"""),0.0)</f>
        <v>0</v>
      </c>
      <c r="C5766" s="11">
        <f>IFERROR(__xludf.DUMMYFUNCTION("""COMPUTED_VALUE"""),53.0)</f>
        <v>53</v>
      </c>
      <c r="D5766" s="11">
        <f>IFERROR(__xludf.DUMMYFUNCTION("""COMPUTED_VALUE"""),16.0)</f>
        <v>16</v>
      </c>
      <c r="E5766" s="9"/>
    </row>
    <row r="5767">
      <c r="A5767" s="10">
        <f>IFERROR(__xludf.DUMMYFUNCTION("""COMPUTED_VALUE"""),8118.0)</f>
        <v>8118</v>
      </c>
      <c r="B5767" s="11">
        <f>IFERROR(__xludf.DUMMYFUNCTION("""COMPUTED_VALUE"""),1.0)</f>
        <v>1</v>
      </c>
      <c r="C5767" s="11">
        <f>IFERROR(__xludf.DUMMYFUNCTION("""COMPUTED_VALUE"""),773.0)</f>
        <v>773</v>
      </c>
      <c r="D5767" s="11">
        <f>IFERROR(__xludf.DUMMYFUNCTION("""COMPUTED_VALUE"""),432.0)</f>
        <v>432</v>
      </c>
      <c r="E5767" s="9"/>
    </row>
    <row r="5768">
      <c r="A5768" s="10">
        <f>IFERROR(__xludf.DUMMYFUNCTION("""COMPUTED_VALUE"""),109984.0)</f>
        <v>109984</v>
      </c>
      <c r="B5768" s="11">
        <f>IFERROR(__xludf.DUMMYFUNCTION("""COMPUTED_VALUE"""),0.0)</f>
        <v>0</v>
      </c>
      <c r="C5768" s="11">
        <f>IFERROR(__xludf.DUMMYFUNCTION("""COMPUTED_VALUE"""),819.0)</f>
        <v>819</v>
      </c>
      <c r="D5768" s="11">
        <f>IFERROR(__xludf.DUMMYFUNCTION("""COMPUTED_VALUE"""),786.0)</f>
        <v>786</v>
      </c>
      <c r="E5768" s="9"/>
    </row>
    <row r="5769">
      <c r="A5769" s="10">
        <f>IFERROR(__xludf.DUMMYFUNCTION("""COMPUTED_VALUE"""),92134.0)</f>
        <v>92134</v>
      </c>
      <c r="B5769" s="11">
        <f>IFERROR(__xludf.DUMMYFUNCTION("""COMPUTED_VALUE"""),0.0)</f>
        <v>0</v>
      </c>
      <c r="C5769" s="11">
        <f>IFERROR(__xludf.DUMMYFUNCTION("""COMPUTED_VALUE"""),672.0)</f>
        <v>672</v>
      </c>
      <c r="D5769" s="11">
        <f>IFERROR(__xludf.DUMMYFUNCTION("""COMPUTED_VALUE"""),635.0)</f>
        <v>635</v>
      </c>
      <c r="E5769" s="9"/>
    </row>
    <row r="5770">
      <c r="A5770" s="10">
        <f>IFERROR(__xludf.DUMMYFUNCTION("""COMPUTED_VALUE"""),129420.0)</f>
        <v>129420</v>
      </c>
      <c r="B5770" s="11">
        <f>IFERROR(__xludf.DUMMYFUNCTION("""COMPUTED_VALUE"""),0.0)</f>
        <v>0</v>
      </c>
      <c r="C5770" s="11">
        <f>IFERROR(__xludf.DUMMYFUNCTION("""COMPUTED_VALUE"""),208.0)</f>
        <v>208</v>
      </c>
      <c r="D5770" s="11">
        <f>IFERROR(__xludf.DUMMYFUNCTION("""COMPUTED_VALUE"""),59.0)</f>
        <v>59</v>
      </c>
      <c r="E5770" s="9"/>
    </row>
    <row r="5771">
      <c r="A5771" s="10">
        <f>IFERROR(__xludf.DUMMYFUNCTION("""COMPUTED_VALUE"""),111010.0)</f>
        <v>111010</v>
      </c>
      <c r="B5771" s="11">
        <f>IFERROR(__xludf.DUMMYFUNCTION("""COMPUTED_VALUE"""),1.0)</f>
        <v>1</v>
      </c>
      <c r="C5771" s="11">
        <f>IFERROR(__xludf.DUMMYFUNCTION("""COMPUTED_VALUE"""),827.0)</f>
        <v>827</v>
      </c>
      <c r="D5771" s="11">
        <f>IFERROR(__xludf.DUMMYFUNCTION("""COMPUTED_VALUE"""),728.0)</f>
        <v>728</v>
      </c>
      <c r="E5771" s="9"/>
    </row>
    <row r="5772">
      <c r="A5772" s="10">
        <f>IFERROR(__xludf.DUMMYFUNCTION("""COMPUTED_VALUE"""),46771.0)</f>
        <v>46771</v>
      </c>
      <c r="B5772" s="11">
        <f>IFERROR(__xludf.DUMMYFUNCTION("""COMPUTED_VALUE"""),0.0)</f>
        <v>0</v>
      </c>
      <c r="C5772" s="11">
        <f>IFERROR(__xludf.DUMMYFUNCTION("""COMPUTED_VALUE"""),293.0)</f>
        <v>293</v>
      </c>
      <c r="D5772" s="11">
        <f>IFERROR(__xludf.DUMMYFUNCTION("""COMPUTED_VALUE"""),188.0)</f>
        <v>188</v>
      </c>
      <c r="E5772" s="9"/>
    </row>
    <row r="5773">
      <c r="A5773" s="10">
        <f>IFERROR(__xludf.DUMMYFUNCTION("""COMPUTED_VALUE"""),88396.0)</f>
        <v>88396</v>
      </c>
      <c r="B5773" s="11">
        <f>IFERROR(__xludf.DUMMYFUNCTION("""COMPUTED_VALUE"""),1.0)</f>
        <v>1</v>
      </c>
      <c r="C5773" s="11">
        <f>IFERROR(__xludf.DUMMYFUNCTION("""COMPUTED_VALUE"""),46.0)</f>
        <v>46</v>
      </c>
      <c r="D5773" s="11">
        <f>IFERROR(__xludf.DUMMYFUNCTION("""COMPUTED_VALUE"""),20.0)</f>
        <v>20</v>
      </c>
      <c r="E5773" s="9"/>
    </row>
    <row r="5774">
      <c r="A5774" s="10">
        <f>IFERROR(__xludf.DUMMYFUNCTION("""COMPUTED_VALUE"""),88188.0)</f>
        <v>88188</v>
      </c>
      <c r="B5774" s="11">
        <f>IFERROR(__xludf.DUMMYFUNCTION("""COMPUTED_VALUE"""),1.0)</f>
        <v>1</v>
      </c>
      <c r="C5774" s="11">
        <f>IFERROR(__xludf.DUMMYFUNCTION("""COMPUTED_VALUE"""),975.0)</f>
        <v>975</v>
      </c>
      <c r="D5774" s="11">
        <f>IFERROR(__xludf.DUMMYFUNCTION("""COMPUTED_VALUE"""),432.0)</f>
        <v>432</v>
      </c>
      <c r="E5774" s="9"/>
    </row>
    <row r="5775">
      <c r="A5775" s="10">
        <f>IFERROR(__xludf.DUMMYFUNCTION("""COMPUTED_VALUE"""),129373.0)</f>
        <v>129373</v>
      </c>
      <c r="B5775" s="11">
        <f>IFERROR(__xludf.DUMMYFUNCTION("""COMPUTED_VALUE"""),1.0)</f>
        <v>1</v>
      </c>
      <c r="C5775" s="11">
        <f>IFERROR(__xludf.DUMMYFUNCTION("""COMPUTED_VALUE"""),864.0)</f>
        <v>864</v>
      </c>
      <c r="D5775" s="11">
        <f>IFERROR(__xludf.DUMMYFUNCTION("""COMPUTED_VALUE"""),259.0)</f>
        <v>259</v>
      </c>
      <c r="E5775" s="9"/>
    </row>
    <row r="5776">
      <c r="A5776" s="10">
        <f>IFERROR(__xludf.DUMMYFUNCTION("""COMPUTED_VALUE"""),103625.0)</f>
        <v>103625</v>
      </c>
      <c r="B5776" s="11">
        <f>IFERROR(__xludf.DUMMYFUNCTION("""COMPUTED_VALUE"""),0.0)</f>
        <v>0</v>
      </c>
      <c r="C5776" s="11">
        <f>IFERROR(__xludf.DUMMYFUNCTION("""COMPUTED_VALUE"""),631.0)</f>
        <v>631</v>
      </c>
      <c r="D5776" s="11">
        <f>IFERROR(__xludf.DUMMYFUNCTION("""COMPUTED_VALUE"""),226.0)</f>
        <v>226</v>
      </c>
      <c r="E5776" s="9"/>
    </row>
    <row r="5777">
      <c r="A5777" s="10">
        <f>IFERROR(__xludf.DUMMYFUNCTION("""COMPUTED_VALUE"""),109332.0)</f>
        <v>109332</v>
      </c>
      <c r="B5777" s="11">
        <f>IFERROR(__xludf.DUMMYFUNCTION("""COMPUTED_VALUE"""),0.0)</f>
        <v>0</v>
      </c>
      <c r="C5777" s="11">
        <f>IFERROR(__xludf.DUMMYFUNCTION("""COMPUTED_VALUE"""),754.0)</f>
        <v>754</v>
      </c>
      <c r="D5777" s="11">
        <f>IFERROR(__xludf.DUMMYFUNCTION("""COMPUTED_VALUE"""),264.0)</f>
        <v>264</v>
      </c>
      <c r="E5777" s="9"/>
    </row>
    <row r="5778">
      <c r="A5778" s="10">
        <f>IFERROR(__xludf.DUMMYFUNCTION("""COMPUTED_VALUE"""),92327.0)</f>
        <v>92327</v>
      </c>
      <c r="B5778" s="11">
        <f>IFERROR(__xludf.DUMMYFUNCTION("""COMPUTED_VALUE"""),1.0)</f>
        <v>1</v>
      </c>
      <c r="C5778" s="11">
        <f>IFERROR(__xludf.DUMMYFUNCTION("""COMPUTED_VALUE"""),965.0)</f>
        <v>965</v>
      </c>
      <c r="D5778" s="11">
        <f>IFERROR(__xludf.DUMMYFUNCTION("""COMPUTED_VALUE"""),439.0)</f>
        <v>439</v>
      </c>
      <c r="E5778" s="9"/>
    </row>
    <row r="5779">
      <c r="A5779" s="10">
        <f>IFERROR(__xludf.DUMMYFUNCTION("""COMPUTED_VALUE"""),80699.0)</f>
        <v>80699</v>
      </c>
      <c r="B5779" s="11">
        <f>IFERROR(__xludf.DUMMYFUNCTION("""COMPUTED_VALUE"""),1.0)</f>
        <v>1</v>
      </c>
      <c r="C5779" s="11">
        <f>IFERROR(__xludf.DUMMYFUNCTION("""COMPUTED_VALUE"""),486.0)</f>
        <v>486</v>
      </c>
      <c r="D5779" s="11">
        <f>IFERROR(__xludf.DUMMYFUNCTION("""COMPUTED_VALUE"""),218.0)</f>
        <v>218</v>
      </c>
      <c r="E5779" s="9"/>
    </row>
    <row r="5780">
      <c r="A5780" s="10">
        <f>IFERROR(__xludf.DUMMYFUNCTION("""COMPUTED_VALUE"""),101043.0)</f>
        <v>101043</v>
      </c>
      <c r="B5780" s="11">
        <f>IFERROR(__xludf.DUMMYFUNCTION("""COMPUTED_VALUE"""),1.0)</f>
        <v>1</v>
      </c>
      <c r="C5780" s="11">
        <f>IFERROR(__xludf.DUMMYFUNCTION("""COMPUTED_VALUE"""),836.0)</f>
        <v>836</v>
      </c>
      <c r="D5780" s="11">
        <f>IFERROR(__xludf.DUMMYFUNCTION("""COMPUTED_VALUE"""),571.0)</f>
        <v>571</v>
      </c>
      <c r="E5780" s="9"/>
    </row>
    <row r="5781">
      <c r="A5781" s="10">
        <f>IFERROR(__xludf.DUMMYFUNCTION("""COMPUTED_VALUE"""),46760.0)</f>
        <v>46760</v>
      </c>
      <c r="B5781" s="11">
        <f>IFERROR(__xludf.DUMMYFUNCTION("""COMPUTED_VALUE"""),1.0)</f>
        <v>1</v>
      </c>
      <c r="C5781" s="11">
        <f>IFERROR(__xludf.DUMMYFUNCTION("""COMPUTED_VALUE"""),405.0)</f>
        <v>405</v>
      </c>
      <c r="D5781" s="11">
        <f>IFERROR(__xludf.DUMMYFUNCTION("""COMPUTED_VALUE"""),80.0)</f>
        <v>80</v>
      </c>
      <c r="E5781" s="9"/>
    </row>
    <row r="5782">
      <c r="A5782" s="10">
        <f>IFERROR(__xludf.DUMMYFUNCTION("""COMPUTED_VALUE"""),109966.0)</f>
        <v>109966</v>
      </c>
      <c r="B5782" s="11">
        <f>IFERROR(__xludf.DUMMYFUNCTION("""COMPUTED_VALUE"""),1.0)</f>
        <v>1</v>
      </c>
      <c r="C5782" s="11">
        <f>IFERROR(__xludf.DUMMYFUNCTION("""COMPUTED_VALUE"""),128.0)</f>
        <v>128</v>
      </c>
      <c r="D5782" s="11">
        <f>IFERROR(__xludf.DUMMYFUNCTION("""COMPUTED_VALUE"""),125.0)</f>
        <v>125</v>
      </c>
      <c r="E5782" s="9"/>
    </row>
    <row r="5783">
      <c r="A5783" s="10">
        <f>IFERROR(__xludf.DUMMYFUNCTION("""COMPUTED_VALUE"""),128408.0)</f>
        <v>128408</v>
      </c>
      <c r="B5783" s="11">
        <f>IFERROR(__xludf.DUMMYFUNCTION("""COMPUTED_VALUE"""),0.0)</f>
        <v>0</v>
      </c>
      <c r="C5783" s="11">
        <f>IFERROR(__xludf.DUMMYFUNCTION("""COMPUTED_VALUE"""),311.0)</f>
        <v>311</v>
      </c>
      <c r="D5783" s="11">
        <f>IFERROR(__xludf.DUMMYFUNCTION("""COMPUTED_VALUE"""),299.0)</f>
        <v>299</v>
      </c>
      <c r="E5783" s="9"/>
    </row>
    <row r="5784">
      <c r="A5784" s="10">
        <f>IFERROR(__xludf.DUMMYFUNCTION("""COMPUTED_VALUE"""),81128.0)</f>
        <v>81128</v>
      </c>
      <c r="B5784" s="11">
        <f>IFERROR(__xludf.DUMMYFUNCTION("""COMPUTED_VALUE"""),0.0)</f>
        <v>0</v>
      </c>
      <c r="C5784" s="11">
        <f>IFERROR(__xludf.DUMMYFUNCTION("""COMPUTED_VALUE"""),502.0)</f>
        <v>502</v>
      </c>
      <c r="D5784" s="11">
        <f>IFERROR(__xludf.DUMMYFUNCTION("""COMPUTED_VALUE"""),149.0)</f>
        <v>149</v>
      </c>
      <c r="E5784" s="9"/>
    </row>
    <row r="5785">
      <c r="A5785" s="10">
        <f>IFERROR(__xludf.DUMMYFUNCTION("""COMPUTED_VALUE"""),45571.0)</f>
        <v>45571</v>
      </c>
      <c r="B5785" s="11">
        <f>IFERROR(__xludf.DUMMYFUNCTION("""COMPUTED_VALUE"""),0.0)</f>
        <v>0</v>
      </c>
      <c r="C5785" s="11">
        <f>IFERROR(__xludf.DUMMYFUNCTION("""COMPUTED_VALUE"""),957.0)</f>
        <v>957</v>
      </c>
      <c r="D5785" s="11">
        <f>IFERROR(__xludf.DUMMYFUNCTION("""COMPUTED_VALUE"""),183.0)</f>
        <v>183</v>
      </c>
      <c r="E5785" s="9"/>
    </row>
    <row r="5786">
      <c r="A5786" s="10">
        <f>IFERROR(__xludf.DUMMYFUNCTION("""COMPUTED_VALUE"""),44612.0)</f>
        <v>44612</v>
      </c>
      <c r="B5786" s="11">
        <f>IFERROR(__xludf.DUMMYFUNCTION("""COMPUTED_VALUE"""),0.0)</f>
        <v>0</v>
      </c>
      <c r="C5786" s="11">
        <f>IFERROR(__xludf.DUMMYFUNCTION("""COMPUTED_VALUE"""),883.0)</f>
        <v>883</v>
      </c>
      <c r="D5786" s="11">
        <f>IFERROR(__xludf.DUMMYFUNCTION("""COMPUTED_VALUE"""),551.0)</f>
        <v>551</v>
      </c>
      <c r="E5786" s="9"/>
    </row>
    <row r="5787">
      <c r="A5787" s="10">
        <f>IFERROR(__xludf.DUMMYFUNCTION("""COMPUTED_VALUE"""),124684.0)</f>
        <v>124684</v>
      </c>
      <c r="B5787" s="11">
        <f>IFERROR(__xludf.DUMMYFUNCTION("""COMPUTED_VALUE"""),0.0)</f>
        <v>0</v>
      </c>
      <c r="C5787" s="11">
        <f>IFERROR(__xludf.DUMMYFUNCTION("""COMPUTED_VALUE"""),661.0)</f>
        <v>661</v>
      </c>
      <c r="D5787" s="11">
        <f>IFERROR(__xludf.DUMMYFUNCTION("""COMPUTED_VALUE"""),299.0)</f>
        <v>299</v>
      </c>
      <c r="E5787" s="9"/>
    </row>
    <row r="5788">
      <c r="A5788" s="10">
        <f>IFERROR(__xludf.DUMMYFUNCTION("""COMPUTED_VALUE"""),112365.0)</f>
        <v>112365</v>
      </c>
      <c r="B5788" s="11">
        <f>IFERROR(__xludf.DUMMYFUNCTION("""COMPUTED_VALUE"""),0.0)</f>
        <v>0</v>
      </c>
      <c r="C5788" s="11">
        <f>IFERROR(__xludf.DUMMYFUNCTION("""COMPUTED_VALUE"""),236.0)</f>
        <v>236</v>
      </c>
      <c r="D5788" s="11">
        <f>IFERROR(__xludf.DUMMYFUNCTION("""COMPUTED_VALUE"""),66.0)</f>
        <v>66</v>
      </c>
      <c r="E5788" s="9"/>
    </row>
    <row r="5789">
      <c r="A5789" s="10">
        <f>IFERROR(__xludf.DUMMYFUNCTION("""COMPUTED_VALUE"""),41038.0)</f>
        <v>41038</v>
      </c>
      <c r="B5789" s="11">
        <f>IFERROR(__xludf.DUMMYFUNCTION("""COMPUTED_VALUE"""),1.0)</f>
        <v>1</v>
      </c>
      <c r="C5789" s="11">
        <f>IFERROR(__xludf.DUMMYFUNCTION("""COMPUTED_VALUE"""),875.0)</f>
        <v>875</v>
      </c>
      <c r="D5789" s="11">
        <f>IFERROR(__xludf.DUMMYFUNCTION("""COMPUTED_VALUE"""),366.0)</f>
        <v>366</v>
      </c>
      <c r="E5789" s="9"/>
    </row>
    <row r="5790">
      <c r="A5790" s="10">
        <f>IFERROR(__xludf.DUMMYFUNCTION("""COMPUTED_VALUE"""),87761.0)</f>
        <v>87761</v>
      </c>
      <c r="B5790" s="11">
        <f>IFERROR(__xludf.DUMMYFUNCTION("""COMPUTED_VALUE"""),0.0)</f>
        <v>0</v>
      </c>
      <c r="C5790" s="11">
        <f>IFERROR(__xludf.DUMMYFUNCTION("""COMPUTED_VALUE"""),78.0)</f>
        <v>78</v>
      </c>
      <c r="D5790" s="11">
        <f>IFERROR(__xludf.DUMMYFUNCTION("""COMPUTED_VALUE"""),30.0)</f>
        <v>30</v>
      </c>
      <c r="E5790" s="9"/>
    </row>
    <row r="5791">
      <c r="A5791" s="10">
        <f>IFERROR(__xludf.DUMMYFUNCTION("""COMPUTED_VALUE"""),106590.0)</f>
        <v>106590</v>
      </c>
      <c r="B5791" s="11">
        <f>IFERROR(__xludf.DUMMYFUNCTION("""COMPUTED_VALUE"""),1.0)</f>
        <v>1</v>
      </c>
      <c r="C5791" s="11">
        <f>IFERROR(__xludf.DUMMYFUNCTION("""COMPUTED_VALUE"""),516.0)</f>
        <v>516</v>
      </c>
      <c r="D5791" s="11">
        <f>IFERROR(__xludf.DUMMYFUNCTION("""COMPUTED_VALUE"""),52.0)</f>
        <v>52</v>
      </c>
      <c r="E5791" s="9"/>
    </row>
    <row r="5792">
      <c r="A5792" s="10">
        <f>IFERROR(__xludf.DUMMYFUNCTION("""COMPUTED_VALUE"""),85734.0)</f>
        <v>85734</v>
      </c>
      <c r="B5792" s="11">
        <f>IFERROR(__xludf.DUMMYFUNCTION("""COMPUTED_VALUE"""),1.0)</f>
        <v>1</v>
      </c>
      <c r="C5792" s="11">
        <f>IFERROR(__xludf.DUMMYFUNCTION("""COMPUTED_VALUE"""),903.0)</f>
        <v>903</v>
      </c>
      <c r="D5792" s="11">
        <f>IFERROR(__xludf.DUMMYFUNCTION("""COMPUTED_VALUE"""),523.0)</f>
        <v>523</v>
      </c>
      <c r="E5792" s="9"/>
    </row>
    <row r="5793">
      <c r="A5793" s="10">
        <f>IFERROR(__xludf.DUMMYFUNCTION("""COMPUTED_VALUE"""),122511.0)</f>
        <v>122511</v>
      </c>
      <c r="B5793" s="11">
        <f>IFERROR(__xludf.DUMMYFUNCTION("""COMPUTED_VALUE"""),1.0)</f>
        <v>1</v>
      </c>
      <c r="C5793" s="11">
        <f>IFERROR(__xludf.DUMMYFUNCTION("""COMPUTED_VALUE"""),237.0)</f>
        <v>237</v>
      </c>
      <c r="D5793" s="11">
        <f>IFERROR(__xludf.DUMMYFUNCTION("""COMPUTED_VALUE"""),69.0)</f>
        <v>69</v>
      </c>
      <c r="E5793" s="9"/>
    </row>
    <row r="5794">
      <c r="A5794" s="10">
        <f>IFERROR(__xludf.DUMMYFUNCTION("""COMPUTED_VALUE"""),2335.0)</f>
        <v>2335</v>
      </c>
      <c r="B5794" s="11">
        <f>IFERROR(__xludf.DUMMYFUNCTION("""COMPUTED_VALUE"""),0.0)</f>
        <v>0</v>
      </c>
      <c r="C5794" s="11">
        <f>IFERROR(__xludf.DUMMYFUNCTION("""COMPUTED_VALUE"""),845.0)</f>
        <v>845</v>
      </c>
      <c r="D5794" s="11">
        <f>IFERROR(__xludf.DUMMYFUNCTION("""COMPUTED_VALUE"""),531.0)</f>
        <v>531</v>
      </c>
      <c r="E5794" s="9"/>
    </row>
    <row r="5795">
      <c r="A5795" s="10">
        <f>IFERROR(__xludf.DUMMYFUNCTION("""COMPUTED_VALUE"""),2339.0)</f>
        <v>2339</v>
      </c>
      <c r="B5795" s="11">
        <f>IFERROR(__xludf.DUMMYFUNCTION("""COMPUTED_VALUE"""),0.0)</f>
        <v>0</v>
      </c>
      <c r="C5795" s="11">
        <f>IFERROR(__xludf.DUMMYFUNCTION("""COMPUTED_VALUE"""),697.0)</f>
        <v>697</v>
      </c>
      <c r="D5795" s="11">
        <f>IFERROR(__xludf.DUMMYFUNCTION("""COMPUTED_VALUE"""),149.0)</f>
        <v>149</v>
      </c>
      <c r="E5795" s="9"/>
    </row>
    <row r="5796">
      <c r="A5796" s="10">
        <f>IFERROR(__xludf.DUMMYFUNCTION("""COMPUTED_VALUE"""),108468.0)</f>
        <v>108468</v>
      </c>
      <c r="B5796" s="11">
        <f>IFERROR(__xludf.DUMMYFUNCTION("""COMPUTED_VALUE"""),1.0)</f>
        <v>1</v>
      </c>
      <c r="C5796" s="11">
        <f>IFERROR(__xludf.DUMMYFUNCTION("""COMPUTED_VALUE"""),39.0)</f>
        <v>39</v>
      </c>
      <c r="D5796" s="11">
        <f>IFERROR(__xludf.DUMMYFUNCTION("""COMPUTED_VALUE"""),3.0)</f>
        <v>3</v>
      </c>
      <c r="E5796" s="9"/>
    </row>
    <row r="5797">
      <c r="A5797" s="10">
        <f>IFERROR(__xludf.DUMMYFUNCTION("""COMPUTED_VALUE"""),3439.0)</f>
        <v>3439</v>
      </c>
      <c r="B5797" s="11">
        <f>IFERROR(__xludf.DUMMYFUNCTION("""COMPUTED_VALUE"""),1.0)</f>
        <v>1</v>
      </c>
      <c r="C5797" s="11">
        <f>IFERROR(__xludf.DUMMYFUNCTION("""COMPUTED_VALUE"""),330.0)</f>
        <v>330</v>
      </c>
      <c r="D5797" s="11">
        <f>IFERROR(__xludf.DUMMYFUNCTION("""COMPUTED_VALUE"""),56.0)</f>
        <v>56</v>
      </c>
      <c r="E5797" s="9"/>
    </row>
    <row r="5798">
      <c r="A5798" s="10">
        <f>IFERROR(__xludf.DUMMYFUNCTION("""COMPUTED_VALUE"""),2044.0)</f>
        <v>2044</v>
      </c>
      <c r="B5798" s="11">
        <f>IFERROR(__xludf.DUMMYFUNCTION("""COMPUTED_VALUE"""),0.0)</f>
        <v>0</v>
      </c>
      <c r="C5798" s="11">
        <f>IFERROR(__xludf.DUMMYFUNCTION("""COMPUTED_VALUE"""),47.0)</f>
        <v>47</v>
      </c>
      <c r="D5798" s="11">
        <f>IFERROR(__xludf.DUMMYFUNCTION("""COMPUTED_VALUE"""),35.0)</f>
        <v>35</v>
      </c>
      <c r="E5798" s="9"/>
    </row>
    <row r="5799">
      <c r="A5799" s="10">
        <f>IFERROR(__xludf.DUMMYFUNCTION("""COMPUTED_VALUE"""),188354.0)</f>
        <v>188354</v>
      </c>
      <c r="B5799" s="11">
        <f>IFERROR(__xludf.DUMMYFUNCTION("""COMPUTED_VALUE"""),0.0)</f>
        <v>0</v>
      </c>
      <c r="C5799" s="11">
        <f>IFERROR(__xludf.DUMMYFUNCTION("""COMPUTED_VALUE"""),682.0)</f>
        <v>682</v>
      </c>
      <c r="D5799" s="11">
        <f>IFERROR(__xludf.DUMMYFUNCTION("""COMPUTED_VALUE"""),249.0)</f>
        <v>249</v>
      </c>
      <c r="E5799" s="9"/>
    </row>
    <row r="5800">
      <c r="A5800" s="10">
        <f>IFERROR(__xludf.DUMMYFUNCTION("""COMPUTED_VALUE"""),27848.0)</f>
        <v>27848</v>
      </c>
      <c r="B5800" s="11">
        <f>IFERROR(__xludf.DUMMYFUNCTION("""COMPUTED_VALUE"""),1.0)</f>
        <v>1</v>
      </c>
      <c r="C5800" s="11">
        <f>IFERROR(__xludf.DUMMYFUNCTION("""COMPUTED_VALUE"""),908.0)</f>
        <v>908</v>
      </c>
      <c r="D5800" s="11">
        <f>IFERROR(__xludf.DUMMYFUNCTION("""COMPUTED_VALUE"""),497.0)</f>
        <v>497</v>
      </c>
      <c r="E5800" s="9"/>
    </row>
    <row r="5801">
      <c r="A5801" s="10">
        <f>IFERROR(__xludf.DUMMYFUNCTION("""COMPUTED_VALUE"""),45642.0)</f>
        <v>45642</v>
      </c>
      <c r="B5801" s="11">
        <f>IFERROR(__xludf.DUMMYFUNCTION("""COMPUTED_VALUE"""),0.0)</f>
        <v>0</v>
      </c>
      <c r="C5801" s="11">
        <f>IFERROR(__xludf.DUMMYFUNCTION("""COMPUTED_VALUE"""),364.0)</f>
        <v>364</v>
      </c>
      <c r="D5801" s="11">
        <f>IFERROR(__xludf.DUMMYFUNCTION("""COMPUTED_VALUE"""),135.0)</f>
        <v>135</v>
      </c>
      <c r="E5801" s="9"/>
    </row>
    <row r="5802">
      <c r="A5802" s="10">
        <f>IFERROR(__xludf.DUMMYFUNCTION("""COMPUTED_VALUE"""),79815.0)</f>
        <v>79815</v>
      </c>
      <c r="B5802" s="11">
        <f>IFERROR(__xludf.DUMMYFUNCTION("""COMPUTED_VALUE"""),0.0)</f>
        <v>0</v>
      </c>
      <c r="C5802" s="11">
        <f>IFERROR(__xludf.DUMMYFUNCTION("""COMPUTED_VALUE"""),92.0)</f>
        <v>92</v>
      </c>
      <c r="D5802" s="11">
        <f>IFERROR(__xludf.DUMMYFUNCTION("""COMPUTED_VALUE"""),43.0)</f>
        <v>43</v>
      </c>
      <c r="E5802" s="9"/>
    </row>
    <row r="5803">
      <c r="A5803" s="10">
        <f>IFERROR(__xludf.DUMMYFUNCTION("""COMPUTED_VALUE"""),87643.0)</f>
        <v>87643</v>
      </c>
      <c r="B5803" s="11">
        <f>IFERROR(__xludf.DUMMYFUNCTION("""COMPUTED_VALUE"""),1.0)</f>
        <v>1</v>
      </c>
      <c r="C5803" s="11">
        <f>IFERROR(__xludf.DUMMYFUNCTION("""COMPUTED_VALUE"""),91.0)</f>
        <v>91</v>
      </c>
      <c r="D5803" s="11">
        <f>IFERROR(__xludf.DUMMYFUNCTION("""COMPUTED_VALUE"""),61.0)</f>
        <v>61</v>
      </c>
      <c r="E5803" s="9"/>
    </row>
    <row r="5804">
      <c r="A5804" s="10">
        <f>IFERROR(__xludf.DUMMYFUNCTION("""COMPUTED_VALUE"""),30501.0)</f>
        <v>30501</v>
      </c>
      <c r="B5804" s="11">
        <f>IFERROR(__xludf.DUMMYFUNCTION("""COMPUTED_VALUE"""),0.0)</f>
        <v>0</v>
      </c>
      <c r="C5804" s="11">
        <f>IFERROR(__xludf.DUMMYFUNCTION("""COMPUTED_VALUE"""),187.0)</f>
        <v>187</v>
      </c>
      <c r="D5804" s="11">
        <f>IFERROR(__xludf.DUMMYFUNCTION("""COMPUTED_VALUE"""),146.0)</f>
        <v>146</v>
      </c>
      <c r="E5804" s="9"/>
    </row>
    <row r="5805">
      <c r="A5805" s="10">
        <f>IFERROR(__xludf.DUMMYFUNCTION("""COMPUTED_VALUE"""),118198.0)</f>
        <v>118198</v>
      </c>
      <c r="B5805" s="11">
        <f>IFERROR(__xludf.DUMMYFUNCTION("""COMPUTED_VALUE"""),1.0)</f>
        <v>1</v>
      </c>
      <c r="C5805" s="11">
        <f>IFERROR(__xludf.DUMMYFUNCTION("""COMPUTED_VALUE"""),694.0)</f>
        <v>694</v>
      </c>
      <c r="D5805" s="11">
        <f>IFERROR(__xludf.DUMMYFUNCTION("""COMPUTED_VALUE"""),465.0)</f>
        <v>465</v>
      </c>
      <c r="E5805" s="9"/>
    </row>
    <row r="5806">
      <c r="A5806" s="10">
        <f>IFERROR(__xludf.DUMMYFUNCTION("""COMPUTED_VALUE"""),4891.0)</f>
        <v>4891</v>
      </c>
      <c r="B5806" s="11">
        <f>IFERROR(__xludf.DUMMYFUNCTION("""COMPUTED_VALUE"""),1.0)</f>
        <v>1</v>
      </c>
      <c r="C5806" s="11">
        <f>IFERROR(__xludf.DUMMYFUNCTION("""COMPUTED_VALUE"""),212.0)</f>
        <v>212</v>
      </c>
      <c r="D5806" s="11">
        <f>IFERROR(__xludf.DUMMYFUNCTION("""COMPUTED_VALUE"""),40.0)</f>
        <v>40</v>
      </c>
      <c r="E5806" s="9"/>
    </row>
    <row r="5807">
      <c r="A5807" s="10">
        <f>IFERROR(__xludf.DUMMYFUNCTION("""COMPUTED_VALUE"""),23050.0)</f>
        <v>23050</v>
      </c>
      <c r="B5807" s="11">
        <f>IFERROR(__xludf.DUMMYFUNCTION("""COMPUTED_VALUE"""),0.0)</f>
        <v>0</v>
      </c>
      <c r="C5807" s="11">
        <f>IFERROR(__xludf.DUMMYFUNCTION("""COMPUTED_VALUE"""),169.0)</f>
        <v>169</v>
      </c>
      <c r="D5807" s="11">
        <f>IFERROR(__xludf.DUMMYFUNCTION("""COMPUTED_VALUE"""),108.0)</f>
        <v>108</v>
      </c>
      <c r="E5807" s="9"/>
    </row>
    <row r="5808">
      <c r="A5808" s="10">
        <f>IFERROR(__xludf.DUMMYFUNCTION("""COMPUTED_VALUE"""),94612.0)</f>
        <v>94612</v>
      </c>
      <c r="B5808" s="11">
        <f>IFERROR(__xludf.DUMMYFUNCTION("""COMPUTED_VALUE"""),1.0)</f>
        <v>1</v>
      </c>
      <c r="C5808" s="11">
        <f>IFERROR(__xludf.DUMMYFUNCTION("""COMPUTED_VALUE"""),447.0)</f>
        <v>447</v>
      </c>
      <c r="D5808" s="11">
        <f>IFERROR(__xludf.DUMMYFUNCTION("""COMPUTED_VALUE"""),168.0)</f>
        <v>168</v>
      </c>
      <c r="E5808" s="9"/>
    </row>
    <row r="5809">
      <c r="A5809" s="10">
        <f>IFERROR(__xludf.DUMMYFUNCTION("""COMPUTED_VALUE"""),109983.0)</f>
        <v>109983</v>
      </c>
      <c r="B5809" s="11">
        <f>IFERROR(__xludf.DUMMYFUNCTION("""COMPUTED_VALUE"""),0.0)</f>
        <v>0</v>
      </c>
      <c r="C5809" s="11">
        <f>IFERROR(__xludf.DUMMYFUNCTION("""COMPUTED_VALUE"""),649.0)</f>
        <v>649</v>
      </c>
      <c r="D5809" s="11">
        <f>IFERROR(__xludf.DUMMYFUNCTION("""COMPUTED_VALUE"""),416.0)</f>
        <v>416</v>
      </c>
      <c r="E5809" s="9"/>
    </row>
    <row r="5810">
      <c r="A5810" s="10">
        <f>IFERROR(__xludf.DUMMYFUNCTION("""COMPUTED_VALUE"""),110854.0)</f>
        <v>110854</v>
      </c>
      <c r="B5810" s="11">
        <f>IFERROR(__xludf.DUMMYFUNCTION("""COMPUTED_VALUE"""),1.0)</f>
        <v>1</v>
      </c>
      <c r="C5810" s="11">
        <f>IFERROR(__xludf.DUMMYFUNCTION("""COMPUTED_VALUE"""),17.0)</f>
        <v>17</v>
      </c>
      <c r="D5810" s="11">
        <f>IFERROR(__xludf.DUMMYFUNCTION("""COMPUTED_VALUE"""),0.0)</f>
        <v>0</v>
      </c>
      <c r="E5810" s="9"/>
    </row>
    <row r="5811">
      <c r="A5811" s="10">
        <f>IFERROR(__xludf.DUMMYFUNCTION("""COMPUTED_VALUE"""),110414.0)</f>
        <v>110414</v>
      </c>
      <c r="B5811" s="11">
        <f>IFERROR(__xludf.DUMMYFUNCTION("""COMPUTED_VALUE"""),1.0)</f>
        <v>1</v>
      </c>
      <c r="C5811" s="11">
        <f>IFERROR(__xludf.DUMMYFUNCTION("""COMPUTED_VALUE"""),473.0)</f>
        <v>473</v>
      </c>
      <c r="D5811" s="11">
        <f>IFERROR(__xludf.DUMMYFUNCTION("""COMPUTED_VALUE"""),425.0)</f>
        <v>425</v>
      </c>
      <c r="E5811" s="9"/>
    </row>
    <row r="5812">
      <c r="A5812" s="10">
        <f>IFERROR(__xludf.DUMMYFUNCTION("""COMPUTED_VALUE"""),103631.0)</f>
        <v>103631</v>
      </c>
      <c r="B5812" s="11">
        <f>IFERROR(__xludf.DUMMYFUNCTION("""COMPUTED_VALUE"""),1.0)</f>
        <v>1</v>
      </c>
      <c r="C5812" s="11">
        <f>IFERROR(__xludf.DUMMYFUNCTION("""COMPUTED_VALUE"""),302.0)</f>
        <v>302</v>
      </c>
      <c r="D5812" s="11">
        <f>IFERROR(__xludf.DUMMYFUNCTION("""COMPUTED_VALUE"""),296.0)</f>
        <v>296</v>
      </c>
      <c r="E5812" s="9"/>
    </row>
    <row r="5813">
      <c r="A5813" s="10">
        <f>IFERROR(__xludf.DUMMYFUNCTION("""COMPUTED_VALUE"""),111009.0)</f>
        <v>111009</v>
      </c>
      <c r="B5813" s="11">
        <f>IFERROR(__xludf.DUMMYFUNCTION("""COMPUTED_VALUE"""),0.0)</f>
        <v>0</v>
      </c>
      <c r="C5813" s="11">
        <f>IFERROR(__xludf.DUMMYFUNCTION("""COMPUTED_VALUE"""),371.0)</f>
        <v>371</v>
      </c>
      <c r="D5813" s="11">
        <f>IFERROR(__xludf.DUMMYFUNCTION("""COMPUTED_VALUE"""),276.0)</f>
        <v>276</v>
      </c>
      <c r="E5813" s="9"/>
    </row>
    <row r="5814">
      <c r="A5814" s="10">
        <f>IFERROR(__xludf.DUMMYFUNCTION("""COMPUTED_VALUE"""),109213.0)</f>
        <v>109213</v>
      </c>
      <c r="B5814" s="11">
        <f>IFERROR(__xludf.DUMMYFUNCTION("""COMPUTED_VALUE"""),0.0)</f>
        <v>0</v>
      </c>
      <c r="C5814" s="11">
        <f>IFERROR(__xludf.DUMMYFUNCTION("""COMPUTED_VALUE"""),847.0)</f>
        <v>847</v>
      </c>
      <c r="D5814" s="11">
        <f>IFERROR(__xludf.DUMMYFUNCTION("""COMPUTED_VALUE"""),577.0)</f>
        <v>577</v>
      </c>
      <c r="E5814" s="9"/>
    </row>
    <row r="5815">
      <c r="A5815" s="10">
        <f>IFERROR(__xludf.DUMMYFUNCTION("""COMPUTED_VALUE"""),103847.0)</f>
        <v>103847</v>
      </c>
      <c r="B5815" s="11">
        <f>IFERROR(__xludf.DUMMYFUNCTION("""COMPUTED_VALUE"""),0.0)</f>
        <v>0</v>
      </c>
      <c r="C5815" s="11">
        <f>IFERROR(__xludf.DUMMYFUNCTION("""COMPUTED_VALUE"""),480.0)</f>
        <v>480</v>
      </c>
      <c r="D5815" s="11">
        <f>IFERROR(__xludf.DUMMYFUNCTION("""COMPUTED_VALUE"""),389.0)</f>
        <v>389</v>
      </c>
      <c r="E5815" s="9"/>
    </row>
    <row r="5816">
      <c r="A5816" s="10">
        <f>IFERROR(__xludf.DUMMYFUNCTION("""COMPUTED_VALUE"""),96156.0)</f>
        <v>96156</v>
      </c>
      <c r="B5816" s="11">
        <f>IFERROR(__xludf.DUMMYFUNCTION("""COMPUTED_VALUE"""),1.0)</f>
        <v>1</v>
      </c>
      <c r="C5816" s="11">
        <f>IFERROR(__xludf.DUMMYFUNCTION("""COMPUTED_VALUE"""),468.0)</f>
        <v>468</v>
      </c>
      <c r="D5816" s="11">
        <f>IFERROR(__xludf.DUMMYFUNCTION("""COMPUTED_VALUE"""),105.0)</f>
        <v>105</v>
      </c>
      <c r="E5816" s="9"/>
    </row>
    <row r="5817">
      <c r="A5817" s="10">
        <f>IFERROR(__xludf.DUMMYFUNCTION("""COMPUTED_VALUE"""),4887.0)</f>
        <v>4887</v>
      </c>
      <c r="B5817" s="11">
        <f>IFERROR(__xludf.DUMMYFUNCTION("""COMPUTED_VALUE"""),0.0)</f>
        <v>0</v>
      </c>
      <c r="C5817" s="11">
        <f>IFERROR(__xludf.DUMMYFUNCTION("""COMPUTED_VALUE"""),476.0)</f>
        <v>476</v>
      </c>
      <c r="D5817" s="11">
        <f>IFERROR(__xludf.DUMMYFUNCTION("""COMPUTED_VALUE"""),115.0)</f>
        <v>115</v>
      </c>
      <c r="E5817" s="9"/>
    </row>
    <row r="5818">
      <c r="A5818" s="10">
        <f>IFERROR(__xludf.DUMMYFUNCTION("""COMPUTED_VALUE"""),92146.0)</f>
        <v>92146</v>
      </c>
      <c r="B5818" s="11">
        <f>IFERROR(__xludf.DUMMYFUNCTION("""COMPUTED_VALUE"""),0.0)</f>
        <v>0</v>
      </c>
      <c r="C5818" s="11">
        <f>IFERROR(__xludf.DUMMYFUNCTION("""COMPUTED_VALUE"""),789.0)</f>
        <v>789</v>
      </c>
      <c r="D5818" s="11">
        <f>IFERROR(__xludf.DUMMYFUNCTION("""COMPUTED_VALUE"""),55.0)</f>
        <v>55</v>
      </c>
      <c r="E5818" s="9"/>
    </row>
    <row r="5819">
      <c r="A5819" s="10">
        <f>IFERROR(__xludf.DUMMYFUNCTION("""COMPUTED_VALUE"""),122248.0)</f>
        <v>122248</v>
      </c>
      <c r="B5819" s="11">
        <f>IFERROR(__xludf.DUMMYFUNCTION("""COMPUTED_VALUE"""),1.0)</f>
        <v>1</v>
      </c>
      <c r="C5819" s="11">
        <f>IFERROR(__xludf.DUMMYFUNCTION("""COMPUTED_VALUE"""),801.0)</f>
        <v>801</v>
      </c>
      <c r="D5819" s="11">
        <f>IFERROR(__xludf.DUMMYFUNCTION("""COMPUTED_VALUE"""),468.0)</f>
        <v>468</v>
      </c>
      <c r="E5819" s="9"/>
    </row>
    <row r="5820">
      <c r="A5820" s="10">
        <f>IFERROR(__xludf.DUMMYFUNCTION("""COMPUTED_VALUE"""),122251.0)</f>
        <v>122251</v>
      </c>
      <c r="B5820" s="11">
        <f>IFERROR(__xludf.DUMMYFUNCTION("""COMPUTED_VALUE"""),1.0)</f>
        <v>1</v>
      </c>
      <c r="C5820" s="11">
        <f>IFERROR(__xludf.DUMMYFUNCTION("""COMPUTED_VALUE"""),438.0)</f>
        <v>438</v>
      </c>
      <c r="D5820" s="11">
        <f>IFERROR(__xludf.DUMMYFUNCTION("""COMPUTED_VALUE"""),150.0)</f>
        <v>150</v>
      </c>
      <c r="E5820" s="9"/>
    </row>
    <row r="5821">
      <c r="A5821" s="10">
        <f>IFERROR(__xludf.DUMMYFUNCTION("""COMPUTED_VALUE"""),103638.0)</f>
        <v>103638</v>
      </c>
      <c r="B5821" s="11">
        <f>IFERROR(__xludf.DUMMYFUNCTION("""COMPUTED_VALUE"""),1.0)</f>
        <v>1</v>
      </c>
      <c r="C5821" s="11">
        <f>IFERROR(__xludf.DUMMYFUNCTION("""COMPUTED_VALUE"""),734.0)</f>
        <v>734</v>
      </c>
      <c r="D5821" s="11">
        <f>IFERROR(__xludf.DUMMYFUNCTION("""COMPUTED_VALUE"""),294.0)</f>
        <v>294</v>
      </c>
      <c r="E5821" s="9"/>
    </row>
    <row r="5822">
      <c r="A5822" s="10">
        <f>IFERROR(__xludf.DUMMYFUNCTION("""COMPUTED_VALUE"""),111655.0)</f>
        <v>111655</v>
      </c>
      <c r="B5822" s="11">
        <f>IFERROR(__xludf.DUMMYFUNCTION("""COMPUTED_VALUE"""),1.0)</f>
        <v>1</v>
      </c>
      <c r="C5822" s="11">
        <f>IFERROR(__xludf.DUMMYFUNCTION("""COMPUTED_VALUE"""),920.0)</f>
        <v>920</v>
      </c>
      <c r="D5822" s="11">
        <f>IFERROR(__xludf.DUMMYFUNCTION("""COMPUTED_VALUE"""),499.0)</f>
        <v>499</v>
      </c>
      <c r="E5822" s="9"/>
    </row>
    <row r="5823">
      <c r="A5823" s="10">
        <f>IFERROR(__xludf.DUMMYFUNCTION("""COMPUTED_VALUE"""),84201.0)</f>
        <v>84201</v>
      </c>
      <c r="B5823" s="11">
        <f>IFERROR(__xludf.DUMMYFUNCTION("""COMPUTED_VALUE"""),0.0)</f>
        <v>0</v>
      </c>
      <c r="C5823" s="11">
        <f>IFERROR(__xludf.DUMMYFUNCTION("""COMPUTED_VALUE"""),270.0)</f>
        <v>270</v>
      </c>
      <c r="D5823" s="11">
        <f>IFERROR(__xludf.DUMMYFUNCTION("""COMPUTED_VALUE"""),24.0)</f>
        <v>24</v>
      </c>
      <c r="E5823" s="9"/>
    </row>
    <row r="5824">
      <c r="A5824" s="10">
        <f>IFERROR(__xludf.DUMMYFUNCTION("""COMPUTED_VALUE"""),80697.0)</f>
        <v>80697</v>
      </c>
      <c r="B5824" s="11">
        <f>IFERROR(__xludf.DUMMYFUNCTION("""COMPUTED_VALUE"""),1.0)</f>
        <v>1</v>
      </c>
      <c r="C5824" s="11">
        <f>IFERROR(__xludf.DUMMYFUNCTION("""COMPUTED_VALUE"""),29.0)</f>
        <v>29</v>
      </c>
      <c r="D5824" s="11">
        <f>IFERROR(__xludf.DUMMYFUNCTION("""COMPUTED_VALUE"""),2.0)</f>
        <v>2</v>
      </c>
      <c r="E5824" s="9"/>
    </row>
    <row r="5825">
      <c r="A5825" s="10">
        <f>IFERROR(__xludf.DUMMYFUNCTION("""COMPUTED_VALUE"""),117394.0)</f>
        <v>117394</v>
      </c>
      <c r="B5825" s="11">
        <f>IFERROR(__xludf.DUMMYFUNCTION("""COMPUTED_VALUE"""),0.0)</f>
        <v>0</v>
      </c>
      <c r="C5825" s="11">
        <f>IFERROR(__xludf.DUMMYFUNCTION("""COMPUTED_VALUE"""),847.0)</f>
        <v>847</v>
      </c>
      <c r="D5825" s="11">
        <f>IFERROR(__xludf.DUMMYFUNCTION("""COMPUTED_VALUE"""),250.0)</f>
        <v>250</v>
      </c>
      <c r="E5825" s="9"/>
    </row>
    <row r="5826">
      <c r="A5826" s="10">
        <f>IFERROR(__xludf.DUMMYFUNCTION("""COMPUTED_VALUE"""),103636.0)</f>
        <v>103636</v>
      </c>
      <c r="B5826" s="11">
        <f>IFERROR(__xludf.DUMMYFUNCTION("""COMPUTED_VALUE"""),0.0)</f>
        <v>0</v>
      </c>
      <c r="C5826" s="11">
        <f>IFERROR(__xludf.DUMMYFUNCTION("""COMPUTED_VALUE"""),935.0)</f>
        <v>935</v>
      </c>
      <c r="D5826" s="11">
        <f>IFERROR(__xludf.DUMMYFUNCTION("""COMPUTED_VALUE"""),222.0)</f>
        <v>222</v>
      </c>
      <c r="E5826" s="9"/>
    </row>
    <row r="5827">
      <c r="A5827" s="10">
        <f>IFERROR(__xludf.DUMMYFUNCTION("""COMPUTED_VALUE"""),67001.0)</f>
        <v>67001</v>
      </c>
      <c r="B5827" s="11">
        <f>IFERROR(__xludf.DUMMYFUNCTION("""COMPUTED_VALUE"""),0.0)</f>
        <v>0</v>
      </c>
      <c r="C5827" s="11">
        <f>IFERROR(__xludf.DUMMYFUNCTION("""COMPUTED_VALUE"""),383.0)</f>
        <v>383</v>
      </c>
      <c r="D5827" s="11">
        <f>IFERROR(__xludf.DUMMYFUNCTION("""COMPUTED_VALUE"""),379.0)</f>
        <v>379</v>
      </c>
      <c r="E5827" s="9"/>
    </row>
    <row r="5828">
      <c r="A5828" s="10">
        <f>IFERROR(__xludf.DUMMYFUNCTION("""COMPUTED_VALUE"""),2148.0)</f>
        <v>2148</v>
      </c>
      <c r="B5828" s="11">
        <f>IFERROR(__xludf.DUMMYFUNCTION("""COMPUTED_VALUE"""),1.0)</f>
        <v>1</v>
      </c>
      <c r="C5828" s="11">
        <f>IFERROR(__xludf.DUMMYFUNCTION("""COMPUTED_VALUE"""),967.0)</f>
        <v>967</v>
      </c>
      <c r="D5828" s="11">
        <f>IFERROR(__xludf.DUMMYFUNCTION("""COMPUTED_VALUE"""),567.0)</f>
        <v>567</v>
      </c>
      <c r="E5828" s="9"/>
    </row>
    <row r="5829">
      <c r="A5829" s="10">
        <f>IFERROR(__xludf.DUMMYFUNCTION("""COMPUTED_VALUE"""),111672.0)</f>
        <v>111672</v>
      </c>
      <c r="B5829" s="11">
        <f>IFERROR(__xludf.DUMMYFUNCTION("""COMPUTED_VALUE"""),0.0)</f>
        <v>0</v>
      </c>
      <c r="C5829" s="11">
        <f>IFERROR(__xludf.DUMMYFUNCTION("""COMPUTED_VALUE"""),846.0)</f>
        <v>846</v>
      </c>
      <c r="D5829" s="11">
        <f>IFERROR(__xludf.DUMMYFUNCTION("""COMPUTED_VALUE"""),751.0)</f>
        <v>751</v>
      </c>
      <c r="E5829" s="9"/>
    </row>
    <row r="5830">
      <c r="A5830" s="10">
        <f>IFERROR(__xludf.DUMMYFUNCTION("""COMPUTED_VALUE"""),80696.0)</f>
        <v>80696</v>
      </c>
      <c r="B5830" s="11">
        <f>IFERROR(__xludf.DUMMYFUNCTION("""COMPUTED_VALUE"""),1.0)</f>
        <v>1</v>
      </c>
      <c r="C5830" s="11">
        <f>IFERROR(__xludf.DUMMYFUNCTION("""COMPUTED_VALUE"""),35.0)</f>
        <v>35</v>
      </c>
      <c r="D5830" s="11">
        <f>IFERROR(__xludf.DUMMYFUNCTION("""COMPUTED_VALUE"""),19.0)</f>
        <v>19</v>
      </c>
      <c r="E5830" s="9"/>
    </row>
    <row r="5831">
      <c r="A5831" s="10">
        <f>IFERROR(__xludf.DUMMYFUNCTION("""COMPUTED_VALUE"""),96853.0)</f>
        <v>96853</v>
      </c>
      <c r="B5831" s="11">
        <f>IFERROR(__xludf.DUMMYFUNCTION("""COMPUTED_VALUE"""),1.0)</f>
        <v>1</v>
      </c>
      <c r="C5831" s="11">
        <f>IFERROR(__xludf.DUMMYFUNCTION("""COMPUTED_VALUE"""),508.0)</f>
        <v>508</v>
      </c>
      <c r="D5831" s="11">
        <f>IFERROR(__xludf.DUMMYFUNCTION("""COMPUTED_VALUE"""),49.0)</f>
        <v>49</v>
      </c>
      <c r="E5831" s="9"/>
    </row>
    <row r="5832">
      <c r="A5832" s="10">
        <f>IFERROR(__xludf.DUMMYFUNCTION("""COMPUTED_VALUE"""),117388.0)</f>
        <v>117388</v>
      </c>
      <c r="B5832" s="11">
        <f>IFERROR(__xludf.DUMMYFUNCTION("""COMPUTED_VALUE"""),1.0)</f>
        <v>1</v>
      </c>
      <c r="C5832" s="11">
        <f>IFERROR(__xludf.DUMMYFUNCTION("""COMPUTED_VALUE"""),413.0)</f>
        <v>413</v>
      </c>
      <c r="D5832" s="11">
        <f>IFERROR(__xludf.DUMMYFUNCTION("""COMPUTED_VALUE"""),82.0)</f>
        <v>82</v>
      </c>
      <c r="E5832" s="9"/>
    </row>
    <row r="5833">
      <c r="A5833" s="10">
        <f>IFERROR(__xludf.DUMMYFUNCTION("""COMPUTED_VALUE"""),109971.0)</f>
        <v>109971</v>
      </c>
      <c r="B5833" s="11">
        <f>IFERROR(__xludf.DUMMYFUNCTION("""COMPUTED_VALUE"""),0.0)</f>
        <v>0</v>
      </c>
      <c r="C5833" s="11">
        <f>IFERROR(__xludf.DUMMYFUNCTION("""COMPUTED_VALUE"""),347.0)</f>
        <v>347</v>
      </c>
      <c r="D5833" s="11">
        <f>IFERROR(__xludf.DUMMYFUNCTION("""COMPUTED_VALUE"""),214.0)</f>
        <v>214</v>
      </c>
      <c r="E5833" s="9"/>
    </row>
    <row r="5834">
      <c r="A5834" s="10">
        <f>IFERROR(__xludf.DUMMYFUNCTION("""COMPUTED_VALUE"""),122247.0)</f>
        <v>122247</v>
      </c>
      <c r="B5834" s="11">
        <f>IFERROR(__xludf.DUMMYFUNCTION("""COMPUTED_VALUE"""),0.0)</f>
        <v>0</v>
      </c>
      <c r="C5834" s="11">
        <f>IFERROR(__xludf.DUMMYFUNCTION("""COMPUTED_VALUE"""),457.0)</f>
        <v>457</v>
      </c>
      <c r="D5834" s="11">
        <f>IFERROR(__xludf.DUMMYFUNCTION("""COMPUTED_VALUE"""),400.0)</f>
        <v>400</v>
      </c>
      <c r="E5834" s="9"/>
    </row>
    <row r="5835">
      <c r="A5835" s="10">
        <f>IFERROR(__xludf.DUMMYFUNCTION("""COMPUTED_VALUE"""),103635.0)</f>
        <v>103635</v>
      </c>
      <c r="B5835" s="11">
        <f>IFERROR(__xludf.DUMMYFUNCTION("""COMPUTED_VALUE"""),1.0)</f>
        <v>1</v>
      </c>
      <c r="C5835" s="11">
        <f>IFERROR(__xludf.DUMMYFUNCTION("""COMPUTED_VALUE"""),971.0)</f>
        <v>971</v>
      </c>
      <c r="D5835" s="11">
        <f>IFERROR(__xludf.DUMMYFUNCTION("""COMPUTED_VALUE"""),284.0)</f>
        <v>284</v>
      </c>
      <c r="E5835" s="9"/>
    </row>
    <row r="5836">
      <c r="A5836" s="10">
        <f>IFERROR(__xludf.DUMMYFUNCTION("""COMPUTED_VALUE"""),122295.0)</f>
        <v>122295</v>
      </c>
      <c r="B5836" s="11">
        <f>IFERROR(__xludf.DUMMYFUNCTION("""COMPUTED_VALUE"""),0.0)</f>
        <v>0</v>
      </c>
      <c r="C5836" s="11">
        <f>IFERROR(__xludf.DUMMYFUNCTION("""COMPUTED_VALUE"""),499.0)</f>
        <v>499</v>
      </c>
      <c r="D5836" s="11">
        <f>IFERROR(__xludf.DUMMYFUNCTION("""COMPUTED_VALUE"""),409.0)</f>
        <v>409</v>
      </c>
      <c r="E5836" s="9"/>
    </row>
    <row r="5837">
      <c r="A5837" s="10">
        <f>IFERROR(__xludf.DUMMYFUNCTION("""COMPUTED_VALUE"""),118351.0)</f>
        <v>118351</v>
      </c>
      <c r="B5837" s="11">
        <f>IFERROR(__xludf.DUMMYFUNCTION("""COMPUTED_VALUE"""),1.0)</f>
        <v>1</v>
      </c>
      <c r="C5837" s="11">
        <f>IFERROR(__xludf.DUMMYFUNCTION("""COMPUTED_VALUE"""),929.0)</f>
        <v>929</v>
      </c>
      <c r="D5837" s="11">
        <f>IFERROR(__xludf.DUMMYFUNCTION("""COMPUTED_VALUE"""),841.0)</f>
        <v>841</v>
      </c>
      <c r="E5837" s="9"/>
    </row>
    <row r="5838">
      <c r="A5838" s="10">
        <f>IFERROR(__xludf.DUMMYFUNCTION("""COMPUTED_VALUE"""),91624.0)</f>
        <v>91624</v>
      </c>
      <c r="B5838" s="11">
        <f>IFERROR(__xludf.DUMMYFUNCTION("""COMPUTED_VALUE"""),1.0)</f>
        <v>1</v>
      </c>
      <c r="C5838" s="11">
        <f>IFERROR(__xludf.DUMMYFUNCTION("""COMPUTED_VALUE"""),963.0)</f>
        <v>963</v>
      </c>
      <c r="D5838" s="11">
        <f>IFERROR(__xludf.DUMMYFUNCTION("""COMPUTED_VALUE"""),355.0)</f>
        <v>355</v>
      </c>
      <c r="E5838" s="9"/>
    </row>
    <row r="5839">
      <c r="A5839" s="10">
        <f>IFERROR(__xludf.DUMMYFUNCTION("""COMPUTED_VALUE"""),27765.0)</f>
        <v>27765</v>
      </c>
      <c r="B5839" s="11">
        <f>IFERROR(__xludf.DUMMYFUNCTION("""COMPUTED_VALUE"""),0.0)</f>
        <v>0</v>
      </c>
      <c r="C5839" s="11">
        <f>IFERROR(__xludf.DUMMYFUNCTION("""COMPUTED_VALUE"""),908.0)</f>
        <v>908</v>
      </c>
      <c r="D5839" s="11">
        <f>IFERROR(__xludf.DUMMYFUNCTION("""COMPUTED_VALUE"""),216.0)</f>
        <v>216</v>
      </c>
      <c r="E5839" s="9"/>
    </row>
    <row r="5840">
      <c r="A5840" s="10">
        <f>IFERROR(__xludf.DUMMYFUNCTION("""COMPUTED_VALUE"""),26313.0)</f>
        <v>26313</v>
      </c>
      <c r="B5840" s="11">
        <f>IFERROR(__xludf.DUMMYFUNCTION("""COMPUTED_VALUE"""),0.0)</f>
        <v>0</v>
      </c>
      <c r="C5840" s="11">
        <f>IFERROR(__xludf.DUMMYFUNCTION("""COMPUTED_VALUE"""),89.0)</f>
        <v>89</v>
      </c>
      <c r="D5840" s="11">
        <f>IFERROR(__xludf.DUMMYFUNCTION("""COMPUTED_VALUE"""),59.0)</f>
        <v>59</v>
      </c>
      <c r="E5840" s="9"/>
    </row>
    <row r="5841">
      <c r="A5841" s="10">
        <f>IFERROR(__xludf.DUMMYFUNCTION("""COMPUTED_VALUE"""),26314.0)</f>
        <v>26314</v>
      </c>
      <c r="B5841" s="11">
        <f>IFERROR(__xludf.DUMMYFUNCTION("""COMPUTED_VALUE"""),1.0)</f>
        <v>1</v>
      </c>
      <c r="C5841" s="11">
        <f>IFERROR(__xludf.DUMMYFUNCTION("""COMPUTED_VALUE"""),770.0)</f>
        <v>770</v>
      </c>
      <c r="D5841" s="11">
        <f>IFERROR(__xludf.DUMMYFUNCTION("""COMPUTED_VALUE"""),330.0)</f>
        <v>330</v>
      </c>
      <c r="E5841" s="9"/>
    </row>
    <row r="5842">
      <c r="A5842" s="10">
        <f>IFERROR(__xludf.DUMMYFUNCTION("""COMPUTED_VALUE"""),91626.0)</f>
        <v>91626</v>
      </c>
      <c r="B5842" s="11">
        <f>IFERROR(__xludf.DUMMYFUNCTION("""COMPUTED_VALUE"""),0.0)</f>
        <v>0</v>
      </c>
      <c r="C5842" s="11">
        <f>IFERROR(__xludf.DUMMYFUNCTION("""COMPUTED_VALUE"""),447.0)</f>
        <v>447</v>
      </c>
      <c r="D5842" s="11">
        <f>IFERROR(__xludf.DUMMYFUNCTION("""COMPUTED_VALUE"""),365.0)</f>
        <v>365</v>
      </c>
      <c r="E5842" s="9"/>
    </row>
    <row r="5843">
      <c r="A5843" s="10">
        <f>IFERROR(__xludf.DUMMYFUNCTION("""COMPUTED_VALUE"""),112264.0)</f>
        <v>112264</v>
      </c>
      <c r="B5843" s="11">
        <f>IFERROR(__xludf.DUMMYFUNCTION("""COMPUTED_VALUE"""),0.0)</f>
        <v>0</v>
      </c>
      <c r="C5843" s="11">
        <f>IFERROR(__xludf.DUMMYFUNCTION("""COMPUTED_VALUE"""),474.0)</f>
        <v>474</v>
      </c>
      <c r="D5843" s="11">
        <f>IFERROR(__xludf.DUMMYFUNCTION("""COMPUTED_VALUE"""),216.0)</f>
        <v>216</v>
      </c>
      <c r="E5843" s="9"/>
    </row>
    <row r="5844">
      <c r="A5844" s="10">
        <f>IFERROR(__xludf.DUMMYFUNCTION("""COMPUTED_VALUE"""),27764.0)</f>
        <v>27764</v>
      </c>
      <c r="B5844" s="11">
        <f>IFERROR(__xludf.DUMMYFUNCTION("""COMPUTED_VALUE"""),0.0)</f>
        <v>0</v>
      </c>
      <c r="C5844" s="11">
        <f>IFERROR(__xludf.DUMMYFUNCTION("""COMPUTED_VALUE"""),819.0)</f>
        <v>819</v>
      </c>
      <c r="D5844" s="11">
        <f>IFERROR(__xludf.DUMMYFUNCTION("""COMPUTED_VALUE"""),178.0)</f>
        <v>178</v>
      </c>
      <c r="E5844" s="9"/>
    </row>
    <row r="5845">
      <c r="A5845" s="10">
        <f>IFERROR(__xludf.DUMMYFUNCTION("""COMPUTED_VALUE"""),92653.0)</f>
        <v>92653</v>
      </c>
      <c r="B5845" s="11">
        <f>IFERROR(__xludf.DUMMYFUNCTION("""COMPUTED_VALUE"""),0.0)</f>
        <v>0</v>
      </c>
      <c r="C5845" s="11">
        <f>IFERROR(__xludf.DUMMYFUNCTION("""COMPUTED_VALUE"""),45.0)</f>
        <v>45</v>
      </c>
      <c r="D5845" s="11">
        <f>IFERROR(__xludf.DUMMYFUNCTION("""COMPUTED_VALUE"""),42.0)</f>
        <v>42</v>
      </c>
      <c r="E5845" s="9"/>
    </row>
    <row r="5846">
      <c r="A5846" s="10">
        <f>IFERROR(__xludf.DUMMYFUNCTION("""COMPUTED_VALUE"""),117990.0)</f>
        <v>117990</v>
      </c>
      <c r="B5846" s="11">
        <f>IFERROR(__xludf.DUMMYFUNCTION("""COMPUTED_VALUE"""),1.0)</f>
        <v>1</v>
      </c>
      <c r="C5846" s="11">
        <f>IFERROR(__xludf.DUMMYFUNCTION("""COMPUTED_VALUE"""),474.0)</f>
        <v>474</v>
      </c>
      <c r="D5846" s="11">
        <f>IFERROR(__xludf.DUMMYFUNCTION("""COMPUTED_VALUE"""),385.0)</f>
        <v>385</v>
      </c>
      <c r="E5846" s="9"/>
    </row>
    <row r="5847">
      <c r="A5847" s="10">
        <f>IFERROR(__xludf.DUMMYFUNCTION("""COMPUTED_VALUE"""),92651.0)</f>
        <v>92651</v>
      </c>
      <c r="B5847" s="11">
        <f>IFERROR(__xludf.DUMMYFUNCTION("""COMPUTED_VALUE"""),1.0)</f>
        <v>1</v>
      </c>
      <c r="C5847" s="11">
        <f>IFERROR(__xludf.DUMMYFUNCTION("""COMPUTED_VALUE"""),378.0)</f>
        <v>378</v>
      </c>
      <c r="D5847" s="11">
        <f>IFERROR(__xludf.DUMMYFUNCTION("""COMPUTED_VALUE"""),47.0)</f>
        <v>47</v>
      </c>
      <c r="E5847" s="9"/>
    </row>
    <row r="5848">
      <c r="A5848" s="10">
        <f>IFERROR(__xludf.DUMMYFUNCTION("""COMPUTED_VALUE"""),104143.0)</f>
        <v>104143</v>
      </c>
      <c r="B5848" s="11">
        <f>IFERROR(__xludf.DUMMYFUNCTION("""COMPUTED_VALUE"""),0.0)</f>
        <v>0</v>
      </c>
      <c r="C5848" s="11">
        <f>IFERROR(__xludf.DUMMYFUNCTION("""COMPUTED_VALUE"""),890.0)</f>
        <v>890</v>
      </c>
      <c r="D5848" s="11">
        <f>IFERROR(__xludf.DUMMYFUNCTION("""COMPUTED_VALUE"""),172.0)</f>
        <v>172</v>
      </c>
      <c r="E5848" s="9"/>
    </row>
    <row r="5849">
      <c r="A5849" s="10">
        <f>IFERROR(__xludf.DUMMYFUNCTION("""COMPUTED_VALUE"""),48641.0)</f>
        <v>48641</v>
      </c>
      <c r="B5849" s="11">
        <f>IFERROR(__xludf.DUMMYFUNCTION("""COMPUTED_VALUE"""),1.0)</f>
        <v>1</v>
      </c>
      <c r="C5849" s="11">
        <f>IFERROR(__xludf.DUMMYFUNCTION("""COMPUTED_VALUE"""),638.0)</f>
        <v>638</v>
      </c>
      <c r="D5849" s="11">
        <f>IFERROR(__xludf.DUMMYFUNCTION("""COMPUTED_VALUE"""),371.0)</f>
        <v>371</v>
      </c>
      <c r="E5849" s="9"/>
    </row>
    <row r="5850">
      <c r="A5850" s="10">
        <f>IFERROR(__xludf.DUMMYFUNCTION("""COMPUTED_VALUE"""),47543.0)</f>
        <v>47543</v>
      </c>
      <c r="B5850" s="11">
        <f>IFERROR(__xludf.DUMMYFUNCTION("""COMPUTED_VALUE"""),1.0)</f>
        <v>1</v>
      </c>
      <c r="C5850" s="11">
        <f>IFERROR(__xludf.DUMMYFUNCTION("""COMPUTED_VALUE"""),263.0)</f>
        <v>263</v>
      </c>
      <c r="D5850" s="11">
        <f>IFERROR(__xludf.DUMMYFUNCTION("""COMPUTED_VALUE"""),62.0)</f>
        <v>62</v>
      </c>
      <c r="E5850" s="9"/>
    </row>
    <row r="5851">
      <c r="A5851" s="10">
        <f>IFERROR(__xludf.DUMMYFUNCTION("""COMPUTED_VALUE"""),117045.0)</f>
        <v>117045</v>
      </c>
      <c r="B5851" s="11">
        <f>IFERROR(__xludf.DUMMYFUNCTION("""COMPUTED_VALUE"""),0.0)</f>
        <v>0</v>
      </c>
      <c r="C5851" s="11">
        <f>IFERROR(__xludf.DUMMYFUNCTION("""COMPUTED_VALUE"""),437.0)</f>
        <v>437</v>
      </c>
      <c r="D5851" s="11">
        <f>IFERROR(__xludf.DUMMYFUNCTION("""COMPUTED_VALUE"""),402.0)</f>
        <v>402</v>
      </c>
      <c r="E5851" s="9"/>
    </row>
    <row r="5852">
      <c r="A5852" s="10">
        <f>IFERROR(__xludf.DUMMYFUNCTION("""COMPUTED_VALUE"""),109276.0)</f>
        <v>109276</v>
      </c>
      <c r="B5852" s="11">
        <f>IFERROR(__xludf.DUMMYFUNCTION("""COMPUTED_VALUE"""),0.0)</f>
        <v>0</v>
      </c>
      <c r="C5852" s="11">
        <f>IFERROR(__xludf.DUMMYFUNCTION("""COMPUTED_VALUE"""),588.0)</f>
        <v>588</v>
      </c>
      <c r="D5852" s="11">
        <f>IFERROR(__xludf.DUMMYFUNCTION("""COMPUTED_VALUE"""),79.0)</f>
        <v>79</v>
      </c>
      <c r="E5852" s="9"/>
    </row>
    <row r="5853">
      <c r="A5853" s="10">
        <f>IFERROR(__xludf.DUMMYFUNCTION("""COMPUTED_VALUE"""),117040.0)</f>
        <v>117040</v>
      </c>
      <c r="B5853" s="11">
        <f>IFERROR(__xludf.DUMMYFUNCTION("""COMPUTED_VALUE"""),0.0)</f>
        <v>0</v>
      </c>
      <c r="C5853" s="11">
        <f>IFERROR(__xludf.DUMMYFUNCTION("""COMPUTED_VALUE"""),179.0)</f>
        <v>179</v>
      </c>
      <c r="D5853" s="11">
        <f>IFERROR(__xludf.DUMMYFUNCTION("""COMPUTED_VALUE"""),140.0)</f>
        <v>140</v>
      </c>
      <c r="E5853" s="9"/>
    </row>
    <row r="5854">
      <c r="A5854" s="10">
        <f>IFERROR(__xludf.DUMMYFUNCTION("""COMPUTED_VALUE"""),108485.0)</f>
        <v>108485</v>
      </c>
      <c r="B5854" s="11">
        <f>IFERROR(__xludf.DUMMYFUNCTION("""COMPUTED_VALUE"""),1.0)</f>
        <v>1</v>
      </c>
      <c r="C5854" s="11">
        <f>IFERROR(__xludf.DUMMYFUNCTION("""COMPUTED_VALUE"""),545.0)</f>
        <v>545</v>
      </c>
      <c r="D5854" s="11">
        <f>IFERROR(__xludf.DUMMYFUNCTION("""COMPUTED_VALUE"""),5.0)</f>
        <v>5</v>
      </c>
      <c r="E5854" s="9"/>
    </row>
    <row r="5855">
      <c r="A5855" s="10">
        <f>IFERROR(__xludf.DUMMYFUNCTION("""COMPUTED_VALUE"""),80095.0)</f>
        <v>80095</v>
      </c>
      <c r="B5855" s="11">
        <f>IFERROR(__xludf.DUMMYFUNCTION("""COMPUTED_VALUE"""),0.0)</f>
        <v>0</v>
      </c>
      <c r="C5855" s="11">
        <f>IFERROR(__xludf.DUMMYFUNCTION("""COMPUTED_VALUE"""),719.0)</f>
        <v>719</v>
      </c>
      <c r="D5855" s="11">
        <f>IFERROR(__xludf.DUMMYFUNCTION("""COMPUTED_VALUE"""),704.0)</f>
        <v>704</v>
      </c>
      <c r="E5855" s="9"/>
    </row>
    <row r="5856">
      <c r="A5856" s="10">
        <f>IFERROR(__xludf.DUMMYFUNCTION("""COMPUTED_VALUE"""),117044.0)</f>
        <v>117044</v>
      </c>
      <c r="B5856" s="11">
        <f>IFERROR(__xludf.DUMMYFUNCTION("""COMPUTED_VALUE"""),0.0)</f>
        <v>0</v>
      </c>
      <c r="C5856" s="11">
        <f>IFERROR(__xludf.DUMMYFUNCTION("""COMPUTED_VALUE"""),911.0)</f>
        <v>911</v>
      </c>
      <c r="D5856" s="11">
        <f>IFERROR(__xludf.DUMMYFUNCTION("""COMPUTED_VALUE"""),317.0)</f>
        <v>317</v>
      </c>
      <c r="E5856" s="9"/>
    </row>
    <row r="5857">
      <c r="A5857" s="10">
        <f>IFERROR(__xludf.DUMMYFUNCTION("""COMPUTED_VALUE"""),69279.0)</f>
        <v>69279</v>
      </c>
      <c r="B5857" s="11">
        <f>IFERROR(__xludf.DUMMYFUNCTION("""COMPUTED_VALUE"""),1.0)</f>
        <v>1</v>
      </c>
      <c r="C5857" s="11">
        <f>IFERROR(__xludf.DUMMYFUNCTION("""COMPUTED_VALUE"""),198.0)</f>
        <v>198</v>
      </c>
      <c r="D5857" s="11">
        <f>IFERROR(__xludf.DUMMYFUNCTION("""COMPUTED_VALUE"""),20.0)</f>
        <v>20</v>
      </c>
      <c r="E5857" s="9"/>
    </row>
    <row r="5858">
      <c r="A5858" s="10">
        <f>IFERROR(__xludf.DUMMYFUNCTION("""COMPUTED_VALUE"""),48642.0)</f>
        <v>48642</v>
      </c>
      <c r="B5858" s="11">
        <f>IFERROR(__xludf.DUMMYFUNCTION("""COMPUTED_VALUE"""),0.0)</f>
        <v>0</v>
      </c>
      <c r="C5858" s="11">
        <f>IFERROR(__xludf.DUMMYFUNCTION("""COMPUTED_VALUE"""),444.0)</f>
        <v>444</v>
      </c>
      <c r="D5858" s="11">
        <f>IFERROR(__xludf.DUMMYFUNCTION("""COMPUTED_VALUE"""),242.0)</f>
        <v>242</v>
      </c>
      <c r="E5858" s="9"/>
    </row>
    <row r="5859">
      <c r="A5859" s="10">
        <f>IFERROR(__xludf.DUMMYFUNCTION("""COMPUTED_VALUE"""),117569.0)</f>
        <v>117569</v>
      </c>
      <c r="B5859" s="11">
        <f>IFERROR(__xludf.DUMMYFUNCTION("""COMPUTED_VALUE"""),1.0)</f>
        <v>1</v>
      </c>
      <c r="C5859" s="11">
        <f>IFERROR(__xludf.DUMMYFUNCTION("""COMPUTED_VALUE"""),691.0)</f>
        <v>691</v>
      </c>
      <c r="D5859" s="11">
        <f>IFERROR(__xludf.DUMMYFUNCTION("""COMPUTED_VALUE"""),539.0)</f>
        <v>539</v>
      </c>
      <c r="E5859" s="9"/>
    </row>
    <row r="5860">
      <c r="A5860" s="10">
        <f>IFERROR(__xludf.DUMMYFUNCTION("""COMPUTED_VALUE"""),83590.0)</f>
        <v>83590</v>
      </c>
      <c r="B5860" s="11">
        <f>IFERROR(__xludf.DUMMYFUNCTION("""COMPUTED_VALUE"""),0.0)</f>
        <v>0</v>
      </c>
      <c r="C5860" s="11">
        <f>IFERROR(__xludf.DUMMYFUNCTION("""COMPUTED_VALUE"""),8.0)</f>
        <v>8</v>
      </c>
      <c r="D5860" s="11">
        <f>IFERROR(__xludf.DUMMYFUNCTION("""COMPUTED_VALUE"""),0.0)</f>
        <v>0</v>
      </c>
      <c r="E5860" s="9"/>
    </row>
    <row r="5861">
      <c r="A5861" s="10">
        <f>IFERROR(__xludf.DUMMYFUNCTION("""COMPUTED_VALUE"""),117566.0)</f>
        <v>117566</v>
      </c>
      <c r="B5861" s="11">
        <f>IFERROR(__xludf.DUMMYFUNCTION("""COMPUTED_VALUE"""),0.0)</f>
        <v>0</v>
      </c>
      <c r="C5861" s="11">
        <f>IFERROR(__xludf.DUMMYFUNCTION("""COMPUTED_VALUE"""),701.0)</f>
        <v>701</v>
      </c>
      <c r="D5861" s="11">
        <f>IFERROR(__xludf.DUMMYFUNCTION("""COMPUTED_VALUE"""),663.0)</f>
        <v>663</v>
      </c>
      <c r="E5861" s="9"/>
    </row>
    <row r="5862">
      <c r="A5862" s="10">
        <f>IFERROR(__xludf.DUMMYFUNCTION("""COMPUTED_VALUE"""),116391.0)</f>
        <v>116391</v>
      </c>
      <c r="B5862" s="11">
        <f>IFERROR(__xludf.DUMMYFUNCTION("""COMPUTED_VALUE"""),1.0)</f>
        <v>1</v>
      </c>
      <c r="C5862" s="11">
        <f>IFERROR(__xludf.DUMMYFUNCTION("""COMPUTED_VALUE"""),666.0)</f>
        <v>666</v>
      </c>
      <c r="D5862" s="11">
        <f>IFERROR(__xludf.DUMMYFUNCTION("""COMPUTED_VALUE"""),375.0)</f>
        <v>375</v>
      </c>
      <c r="E5862" s="9"/>
    </row>
    <row r="5863">
      <c r="A5863" s="10">
        <f>IFERROR(__xludf.DUMMYFUNCTION("""COMPUTED_VALUE"""),47388.0)</f>
        <v>47388</v>
      </c>
      <c r="B5863" s="11">
        <f>IFERROR(__xludf.DUMMYFUNCTION("""COMPUTED_VALUE"""),1.0)</f>
        <v>1</v>
      </c>
      <c r="C5863" s="11">
        <f>IFERROR(__xludf.DUMMYFUNCTION("""COMPUTED_VALUE"""),342.0)</f>
        <v>342</v>
      </c>
      <c r="D5863" s="11">
        <f>IFERROR(__xludf.DUMMYFUNCTION("""COMPUTED_VALUE"""),101.0)</f>
        <v>101</v>
      </c>
      <c r="E5863" s="9"/>
    </row>
    <row r="5864">
      <c r="A5864" s="10">
        <f>IFERROR(__xludf.DUMMYFUNCTION("""COMPUTED_VALUE"""),117567.0)</f>
        <v>117567</v>
      </c>
      <c r="B5864" s="11">
        <f>IFERROR(__xludf.DUMMYFUNCTION("""COMPUTED_VALUE"""),0.0)</f>
        <v>0</v>
      </c>
      <c r="C5864" s="11">
        <f>IFERROR(__xludf.DUMMYFUNCTION("""COMPUTED_VALUE"""),874.0)</f>
        <v>874</v>
      </c>
      <c r="D5864" s="11">
        <f>IFERROR(__xludf.DUMMYFUNCTION("""COMPUTED_VALUE"""),807.0)</f>
        <v>807</v>
      </c>
      <c r="E5864" s="9"/>
    </row>
    <row r="5865">
      <c r="A5865" s="10">
        <f>IFERROR(__xludf.DUMMYFUNCTION("""COMPUTED_VALUE"""),104319.0)</f>
        <v>104319</v>
      </c>
      <c r="B5865" s="11">
        <f>IFERROR(__xludf.DUMMYFUNCTION("""COMPUTED_VALUE"""),0.0)</f>
        <v>0</v>
      </c>
      <c r="C5865" s="11">
        <f>IFERROR(__xludf.DUMMYFUNCTION("""COMPUTED_VALUE"""),543.0)</f>
        <v>543</v>
      </c>
      <c r="D5865" s="11">
        <f>IFERROR(__xludf.DUMMYFUNCTION("""COMPUTED_VALUE"""),73.0)</f>
        <v>73</v>
      </c>
      <c r="E5865" s="9"/>
    </row>
    <row r="5866">
      <c r="A5866" s="10">
        <f>IFERROR(__xludf.DUMMYFUNCTION("""COMPUTED_VALUE"""),120399.0)</f>
        <v>120399</v>
      </c>
      <c r="B5866" s="11">
        <f>IFERROR(__xludf.DUMMYFUNCTION("""COMPUTED_VALUE"""),0.0)</f>
        <v>0</v>
      </c>
      <c r="C5866" s="11">
        <f>IFERROR(__xludf.DUMMYFUNCTION("""COMPUTED_VALUE"""),154.0)</f>
        <v>154</v>
      </c>
      <c r="D5866" s="11">
        <f>IFERROR(__xludf.DUMMYFUNCTION("""COMPUTED_VALUE"""),100.0)</f>
        <v>100</v>
      </c>
      <c r="E5866" s="9"/>
    </row>
    <row r="5867">
      <c r="A5867" s="10">
        <f>IFERROR(__xludf.DUMMYFUNCTION("""COMPUTED_VALUE"""),47389.0)</f>
        <v>47389</v>
      </c>
      <c r="B5867" s="11">
        <f>IFERROR(__xludf.DUMMYFUNCTION("""COMPUTED_VALUE"""),0.0)</f>
        <v>0</v>
      </c>
      <c r="C5867" s="11">
        <f>IFERROR(__xludf.DUMMYFUNCTION("""COMPUTED_VALUE"""),897.0)</f>
        <v>897</v>
      </c>
      <c r="D5867" s="11">
        <f>IFERROR(__xludf.DUMMYFUNCTION("""COMPUTED_VALUE"""),282.0)</f>
        <v>282</v>
      </c>
      <c r="E5867" s="9"/>
    </row>
    <row r="5868">
      <c r="A5868" s="10">
        <f>IFERROR(__xludf.DUMMYFUNCTION("""COMPUTED_VALUE"""),47384.0)</f>
        <v>47384</v>
      </c>
      <c r="B5868" s="11">
        <f>IFERROR(__xludf.DUMMYFUNCTION("""COMPUTED_VALUE"""),1.0)</f>
        <v>1</v>
      </c>
      <c r="C5868" s="11">
        <f>IFERROR(__xludf.DUMMYFUNCTION("""COMPUTED_VALUE"""),671.0)</f>
        <v>671</v>
      </c>
      <c r="D5868" s="11">
        <f>IFERROR(__xludf.DUMMYFUNCTION("""COMPUTED_VALUE"""),652.0)</f>
        <v>652</v>
      </c>
      <c r="E5868" s="9"/>
    </row>
    <row r="5869">
      <c r="A5869" s="10">
        <f>IFERROR(__xludf.DUMMYFUNCTION("""COMPUTED_VALUE"""),117568.0)</f>
        <v>117568</v>
      </c>
      <c r="B5869" s="11">
        <f>IFERROR(__xludf.DUMMYFUNCTION("""COMPUTED_VALUE"""),1.0)</f>
        <v>1</v>
      </c>
      <c r="C5869" s="11">
        <f>IFERROR(__xludf.DUMMYFUNCTION("""COMPUTED_VALUE"""),806.0)</f>
        <v>806</v>
      </c>
      <c r="D5869" s="11">
        <f>IFERROR(__xludf.DUMMYFUNCTION("""COMPUTED_VALUE"""),143.0)</f>
        <v>143</v>
      </c>
      <c r="E5869" s="9"/>
    </row>
    <row r="5870">
      <c r="A5870" s="10">
        <f>IFERROR(__xludf.DUMMYFUNCTION("""COMPUTED_VALUE"""),80233.0)</f>
        <v>80233</v>
      </c>
      <c r="B5870" s="11">
        <f>IFERROR(__xludf.DUMMYFUNCTION("""COMPUTED_VALUE"""),1.0)</f>
        <v>1</v>
      </c>
      <c r="C5870" s="11">
        <f>IFERROR(__xludf.DUMMYFUNCTION("""COMPUTED_VALUE"""),879.0)</f>
        <v>879</v>
      </c>
      <c r="D5870" s="11">
        <f>IFERROR(__xludf.DUMMYFUNCTION("""COMPUTED_VALUE"""),345.0)</f>
        <v>345</v>
      </c>
      <c r="E5870" s="9"/>
    </row>
    <row r="5871">
      <c r="A5871" s="10">
        <f>IFERROR(__xludf.DUMMYFUNCTION("""COMPUTED_VALUE"""),120396.0)</f>
        <v>120396</v>
      </c>
      <c r="B5871" s="11">
        <f>IFERROR(__xludf.DUMMYFUNCTION("""COMPUTED_VALUE"""),0.0)</f>
        <v>0</v>
      </c>
      <c r="C5871" s="11">
        <f>IFERROR(__xludf.DUMMYFUNCTION("""COMPUTED_VALUE"""),291.0)</f>
        <v>291</v>
      </c>
      <c r="D5871" s="11">
        <f>IFERROR(__xludf.DUMMYFUNCTION("""COMPUTED_VALUE"""),69.0)</f>
        <v>69</v>
      </c>
      <c r="E5871" s="9"/>
    </row>
    <row r="5872">
      <c r="A5872" s="10">
        <f>IFERROR(__xludf.DUMMYFUNCTION("""COMPUTED_VALUE"""),47386.0)</f>
        <v>47386</v>
      </c>
      <c r="B5872" s="11">
        <f>IFERROR(__xludf.DUMMYFUNCTION("""COMPUTED_VALUE"""),0.0)</f>
        <v>0</v>
      </c>
      <c r="C5872" s="11">
        <f>IFERROR(__xludf.DUMMYFUNCTION("""COMPUTED_VALUE"""),924.0)</f>
        <v>924</v>
      </c>
      <c r="D5872" s="11">
        <f>IFERROR(__xludf.DUMMYFUNCTION("""COMPUTED_VALUE"""),810.0)</f>
        <v>810</v>
      </c>
      <c r="E5872" s="9"/>
    </row>
    <row r="5873">
      <c r="A5873" s="10">
        <f>IFERROR(__xludf.DUMMYFUNCTION("""COMPUTED_VALUE"""),110294.0)</f>
        <v>110294</v>
      </c>
      <c r="B5873" s="11">
        <f>IFERROR(__xludf.DUMMYFUNCTION("""COMPUTED_VALUE"""),1.0)</f>
        <v>1</v>
      </c>
      <c r="C5873" s="11">
        <f>IFERROR(__xludf.DUMMYFUNCTION("""COMPUTED_VALUE"""),337.0)</f>
        <v>337</v>
      </c>
      <c r="D5873" s="11">
        <f>IFERROR(__xludf.DUMMYFUNCTION("""COMPUTED_VALUE"""),180.0)</f>
        <v>180</v>
      </c>
      <c r="E5873" s="9"/>
    </row>
    <row r="5874">
      <c r="A5874" s="10">
        <f>IFERROR(__xludf.DUMMYFUNCTION("""COMPUTED_VALUE"""),47374.0)</f>
        <v>47374</v>
      </c>
      <c r="B5874" s="11">
        <f>IFERROR(__xludf.DUMMYFUNCTION("""COMPUTED_VALUE"""),0.0)</f>
        <v>0</v>
      </c>
      <c r="C5874" s="11">
        <f>IFERROR(__xludf.DUMMYFUNCTION("""COMPUTED_VALUE"""),773.0)</f>
        <v>773</v>
      </c>
      <c r="D5874" s="11">
        <f>IFERROR(__xludf.DUMMYFUNCTION("""COMPUTED_VALUE"""),175.0)</f>
        <v>175</v>
      </c>
      <c r="E5874" s="9"/>
    </row>
    <row r="5875">
      <c r="A5875" s="10">
        <f>IFERROR(__xludf.DUMMYFUNCTION("""COMPUTED_VALUE"""),115586.0)</f>
        <v>115586</v>
      </c>
      <c r="B5875" s="11">
        <f>IFERROR(__xludf.DUMMYFUNCTION("""COMPUTED_VALUE"""),1.0)</f>
        <v>1</v>
      </c>
      <c r="C5875" s="11">
        <f>IFERROR(__xludf.DUMMYFUNCTION("""COMPUTED_VALUE"""),506.0)</f>
        <v>506</v>
      </c>
      <c r="D5875" s="11">
        <f>IFERROR(__xludf.DUMMYFUNCTION("""COMPUTED_VALUE"""),473.0)</f>
        <v>473</v>
      </c>
      <c r="E5875" s="9"/>
    </row>
    <row r="5876">
      <c r="A5876" s="10">
        <f>IFERROR(__xludf.DUMMYFUNCTION("""COMPUTED_VALUE"""),112736.0)</f>
        <v>112736</v>
      </c>
      <c r="B5876" s="11">
        <f>IFERROR(__xludf.DUMMYFUNCTION("""COMPUTED_VALUE"""),1.0)</f>
        <v>1</v>
      </c>
      <c r="C5876" s="11">
        <f>IFERROR(__xludf.DUMMYFUNCTION("""COMPUTED_VALUE"""),727.0)</f>
        <v>727</v>
      </c>
      <c r="D5876" s="11">
        <f>IFERROR(__xludf.DUMMYFUNCTION("""COMPUTED_VALUE"""),226.0)</f>
        <v>226</v>
      </c>
      <c r="E5876" s="9"/>
    </row>
    <row r="5877">
      <c r="A5877" s="10">
        <f>IFERROR(__xludf.DUMMYFUNCTION("""COMPUTED_VALUE"""),80234.0)</f>
        <v>80234</v>
      </c>
      <c r="B5877" s="11">
        <f>IFERROR(__xludf.DUMMYFUNCTION("""COMPUTED_VALUE"""),1.0)</f>
        <v>1</v>
      </c>
      <c r="C5877" s="11">
        <f>IFERROR(__xludf.DUMMYFUNCTION("""COMPUTED_VALUE"""),286.0)</f>
        <v>286</v>
      </c>
      <c r="D5877" s="11">
        <f>IFERROR(__xludf.DUMMYFUNCTION("""COMPUTED_VALUE"""),139.0)</f>
        <v>139</v>
      </c>
      <c r="E5877" s="9"/>
    </row>
    <row r="5878">
      <c r="A5878" s="10">
        <f>IFERROR(__xludf.DUMMYFUNCTION("""COMPUTED_VALUE"""),92426.0)</f>
        <v>92426</v>
      </c>
      <c r="B5878" s="11">
        <f>IFERROR(__xludf.DUMMYFUNCTION("""COMPUTED_VALUE"""),0.0)</f>
        <v>0</v>
      </c>
      <c r="C5878" s="11">
        <f>IFERROR(__xludf.DUMMYFUNCTION("""COMPUTED_VALUE"""),295.0)</f>
        <v>295</v>
      </c>
      <c r="D5878" s="11">
        <f>IFERROR(__xludf.DUMMYFUNCTION("""COMPUTED_VALUE"""),177.0)</f>
        <v>177</v>
      </c>
      <c r="E5878" s="9"/>
    </row>
    <row r="5879">
      <c r="A5879" s="10">
        <f>IFERROR(__xludf.DUMMYFUNCTION("""COMPUTED_VALUE"""),92429.0)</f>
        <v>92429</v>
      </c>
      <c r="B5879" s="11">
        <f>IFERROR(__xludf.DUMMYFUNCTION("""COMPUTED_VALUE"""),1.0)</f>
        <v>1</v>
      </c>
      <c r="C5879" s="11">
        <f>IFERROR(__xludf.DUMMYFUNCTION("""COMPUTED_VALUE"""),12.0)</f>
        <v>12</v>
      </c>
      <c r="D5879" s="11">
        <f>IFERROR(__xludf.DUMMYFUNCTION("""COMPUTED_VALUE"""),6.0)</f>
        <v>6</v>
      </c>
      <c r="E5879" s="9"/>
    </row>
    <row r="5880">
      <c r="A5880" s="10">
        <f>IFERROR(__xludf.DUMMYFUNCTION("""COMPUTED_VALUE"""),117572.0)</f>
        <v>117572</v>
      </c>
      <c r="B5880" s="11">
        <f>IFERROR(__xludf.DUMMYFUNCTION("""COMPUTED_VALUE"""),0.0)</f>
        <v>0</v>
      </c>
      <c r="C5880" s="11">
        <f>IFERROR(__xludf.DUMMYFUNCTION("""COMPUTED_VALUE"""),390.0)</f>
        <v>390</v>
      </c>
      <c r="D5880" s="11">
        <f>IFERROR(__xludf.DUMMYFUNCTION("""COMPUTED_VALUE"""),124.0)</f>
        <v>124</v>
      </c>
      <c r="E5880" s="9"/>
    </row>
    <row r="5881">
      <c r="A5881" s="10">
        <f>IFERROR(__xludf.DUMMYFUNCTION("""COMPUTED_VALUE"""),110982.0)</f>
        <v>110982</v>
      </c>
      <c r="B5881" s="11">
        <f>IFERROR(__xludf.DUMMYFUNCTION("""COMPUTED_VALUE"""),1.0)</f>
        <v>1</v>
      </c>
      <c r="C5881" s="11">
        <f>IFERROR(__xludf.DUMMYFUNCTION("""COMPUTED_VALUE"""),737.0)</f>
        <v>737</v>
      </c>
      <c r="D5881" s="11">
        <f>IFERROR(__xludf.DUMMYFUNCTION("""COMPUTED_VALUE"""),521.0)</f>
        <v>521</v>
      </c>
      <c r="E5881" s="9"/>
    </row>
    <row r="5882">
      <c r="A5882" s="10">
        <f>IFERROR(__xludf.DUMMYFUNCTION("""COMPUTED_VALUE"""),92442.0)</f>
        <v>92442</v>
      </c>
      <c r="B5882" s="11">
        <f>IFERROR(__xludf.DUMMYFUNCTION("""COMPUTED_VALUE"""),1.0)</f>
        <v>1</v>
      </c>
      <c r="C5882" s="11">
        <f>IFERROR(__xludf.DUMMYFUNCTION("""COMPUTED_VALUE"""),12.0)</f>
        <v>12</v>
      </c>
      <c r="D5882" s="11">
        <f>IFERROR(__xludf.DUMMYFUNCTION("""COMPUTED_VALUE"""),10.0)</f>
        <v>10</v>
      </c>
      <c r="E5882" s="9"/>
    </row>
    <row r="5883">
      <c r="A5883" s="10">
        <f>IFERROR(__xludf.DUMMYFUNCTION("""COMPUTED_VALUE"""),83591.0)</f>
        <v>83591</v>
      </c>
      <c r="B5883" s="11">
        <f>IFERROR(__xludf.DUMMYFUNCTION("""COMPUTED_VALUE"""),1.0)</f>
        <v>1</v>
      </c>
      <c r="C5883" s="11">
        <f>IFERROR(__xludf.DUMMYFUNCTION("""COMPUTED_VALUE"""),686.0)</f>
        <v>686</v>
      </c>
      <c r="D5883" s="11">
        <f>IFERROR(__xludf.DUMMYFUNCTION("""COMPUTED_VALUE"""),660.0)</f>
        <v>660</v>
      </c>
      <c r="E5883" s="9"/>
    </row>
    <row r="5884">
      <c r="A5884" s="10">
        <f>IFERROR(__xludf.DUMMYFUNCTION("""COMPUTED_VALUE"""),104318.0)</f>
        <v>104318</v>
      </c>
      <c r="B5884" s="11">
        <f>IFERROR(__xludf.DUMMYFUNCTION("""COMPUTED_VALUE"""),0.0)</f>
        <v>0</v>
      </c>
      <c r="C5884" s="11">
        <f>IFERROR(__xludf.DUMMYFUNCTION("""COMPUTED_VALUE"""),458.0)</f>
        <v>458</v>
      </c>
      <c r="D5884" s="11">
        <f>IFERROR(__xludf.DUMMYFUNCTION("""COMPUTED_VALUE"""),72.0)</f>
        <v>72</v>
      </c>
      <c r="E5884" s="9"/>
    </row>
    <row r="5885">
      <c r="A5885" s="10">
        <f>IFERROR(__xludf.DUMMYFUNCTION("""COMPUTED_VALUE"""),112740.0)</f>
        <v>112740</v>
      </c>
      <c r="B5885" s="11">
        <f>IFERROR(__xludf.DUMMYFUNCTION("""COMPUTED_VALUE"""),0.0)</f>
        <v>0</v>
      </c>
      <c r="C5885" s="11">
        <f>IFERROR(__xludf.DUMMYFUNCTION("""COMPUTED_VALUE"""),30.0)</f>
        <v>30</v>
      </c>
      <c r="D5885" s="11">
        <f>IFERROR(__xludf.DUMMYFUNCTION("""COMPUTED_VALUE"""),16.0)</f>
        <v>16</v>
      </c>
      <c r="E5885" s="9"/>
    </row>
    <row r="5886">
      <c r="A5886" s="10">
        <f>IFERROR(__xludf.DUMMYFUNCTION("""COMPUTED_VALUE"""),117570.0)</f>
        <v>117570</v>
      </c>
      <c r="B5886" s="11">
        <f>IFERROR(__xludf.DUMMYFUNCTION("""COMPUTED_VALUE"""),0.0)</f>
        <v>0</v>
      </c>
      <c r="C5886" s="11">
        <f>IFERROR(__xludf.DUMMYFUNCTION("""COMPUTED_VALUE"""),621.0)</f>
        <v>621</v>
      </c>
      <c r="D5886" s="11">
        <f>IFERROR(__xludf.DUMMYFUNCTION("""COMPUTED_VALUE"""),475.0)</f>
        <v>475</v>
      </c>
      <c r="E5886" s="9"/>
    </row>
    <row r="5887">
      <c r="A5887" s="10">
        <f>IFERROR(__xludf.DUMMYFUNCTION("""COMPUTED_VALUE"""),115584.0)</f>
        <v>115584</v>
      </c>
      <c r="B5887" s="11">
        <f>IFERROR(__xludf.DUMMYFUNCTION("""COMPUTED_VALUE"""),0.0)</f>
        <v>0</v>
      </c>
      <c r="C5887" s="11">
        <f>IFERROR(__xludf.DUMMYFUNCTION("""COMPUTED_VALUE"""),746.0)</f>
        <v>746</v>
      </c>
      <c r="D5887" s="11">
        <f>IFERROR(__xludf.DUMMYFUNCTION("""COMPUTED_VALUE"""),513.0)</f>
        <v>513</v>
      </c>
      <c r="E5887" s="9"/>
    </row>
    <row r="5888">
      <c r="A5888" s="10">
        <f>IFERROR(__xludf.DUMMYFUNCTION("""COMPUTED_VALUE"""),47629.0)</f>
        <v>47629</v>
      </c>
      <c r="B5888" s="11">
        <f>IFERROR(__xludf.DUMMYFUNCTION("""COMPUTED_VALUE"""),1.0)</f>
        <v>1</v>
      </c>
      <c r="C5888" s="11">
        <f>IFERROR(__xludf.DUMMYFUNCTION("""COMPUTED_VALUE"""),520.0)</f>
        <v>520</v>
      </c>
      <c r="D5888" s="11">
        <f>IFERROR(__xludf.DUMMYFUNCTION("""COMPUTED_VALUE"""),149.0)</f>
        <v>149</v>
      </c>
      <c r="E5888" s="9"/>
    </row>
    <row r="5889">
      <c r="A5889" s="10">
        <f>IFERROR(__xludf.DUMMYFUNCTION("""COMPUTED_VALUE"""),116389.0)</f>
        <v>116389</v>
      </c>
      <c r="B5889" s="11">
        <f>IFERROR(__xludf.DUMMYFUNCTION("""COMPUTED_VALUE"""),1.0)</f>
        <v>1</v>
      </c>
      <c r="C5889" s="11">
        <f>IFERROR(__xludf.DUMMYFUNCTION("""COMPUTED_VALUE"""),904.0)</f>
        <v>904</v>
      </c>
      <c r="D5889" s="11">
        <f>IFERROR(__xludf.DUMMYFUNCTION("""COMPUTED_VALUE"""),440.0)</f>
        <v>440</v>
      </c>
      <c r="E5889" s="9"/>
    </row>
    <row r="5890">
      <c r="A5890" s="10">
        <f>IFERROR(__xludf.DUMMYFUNCTION("""COMPUTED_VALUE"""),117573.0)</f>
        <v>117573</v>
      </c>
      <c r="B5890" s="11">
        <f>IFERROR(__xludf.DUMMYFUNCTION("""COMPUTED_VALUE"""),0.0)</f>
        <v>0</v>
      </c>
      <c r="C5890" s="11">
        <f>IFERROR(__xludf.DUMMYFUNCTION("""COMPUTED_VALUE"""),420.0)</f>
        <v>420</v>
      </c>
      <c r="D5890" s="11">
        <f>IFERROR(__xludf.DUMMYFUNCTION("""COMPUTED_VALUE"""),299.0)</f>
        <v>299</v>
      </c>
      <c r="E5890" s="9"/>
    </row>
    <row r="5891">
      <c r="A5891" s="10">
        <f>IFERROR(__xludf.DUMMYFUNCTION("""COMPUTED_VALUE"""),47638.0)</f>
        <v>47638</v>
      </c>
      <c r="B5891" s="11">
        <f>IFERROR(__xludf.DUMMYFUNCTION("""COMPUTED_VALUE"""),0.0)</f>
        <v>0</v>
      </c>
      <c r="C5891" s="11">
        <f>IFERROR(__xludf.DUMMYFUNCTION("""COMPUTED_VALUE"""),236.0)</f>
        <v>236</v>
      </c>
      <c r="D5891" s="11">
        <f>IFERROR(__xludf.DUMMYFUNCTION("""COMPUTED_VALUE"""),197.0)</f>
        <v>197</v>
      </c>
      <c r="E5891" s="9"/>
    </row>
    <row r="5892">
      <c r="A5892" s="10">
        <f>IFERROR(__xludf.DUMMYFUNCTION("""COMPUTED_VALUE"""),110219.0)</f>
        <v>110219</v>
      </c>
      <c r="B5892" s="11">
        <f>IFERROR(__xludf.DUMMYFUNCTION("""COMPUTED_VALUE"""),1.0)</f>
        <v>1</v>
      </c>
      <c r="C5892" s="11">
        <f>IFERROR(__xludf.DUMMYFUNCTION("""COMPUTED_VALUE"""),284.0)</f>
        <v>284</v>
      </c>
      <c r="D5892" s="11">
        <f>IFERROR(__xludf.DUMMYFUNCTION("""COMPUTED_VALUE"""),159.0)</f>
        <v>159</v>
      </c>
      <c r="E5892" s="9"/>
    </row>
    <row r="5893">
      <c r="A5893" s="10">
        <f>IFERROR(__xludf.DUMMYFUNCTION("""COMPUTED_VALUE"""),116851.0)</f>
        <v>116851</v>
      </c>
      <c r="B5893" s="11">
        <f>IFERROR(__xludf.DUMMYFUNCTION("""COMPUTED_VALUE"""),0.0)</f>
        <v>0</v>
      </c>
      <c r="C5893" s="11">
        <f>IFERROR(__xludf.DUMMYFUNCTION("""COMPUTED_VALUE"""),960.0)</f>
        <v>960</v>
      </c>
      <c r="D5893" s="11">
        <f>IFERROR(__xludf.DUMMYFUNCTION("""COMPUTED_VALUE"""),2.0)</f>
        <v>2</v>
      </c>
      <c r="E5893" s="9"/>
    </row>
    <row r="5894">
      <c r="A5894" s="10">
        <f>IFERROR(__xludf.DUMMYFUNCTION("""COMPUTED_VALUE"""),122737.0)</f>
        <v>122737</v>
      </c>
      <c r="B5894" s="11">
        <f>IFERROR(__xludf.DUMMYFUNCTION("""COMPUTED_VALUE"""),0.0)</f>
        <v>0</v>
      </c>
      <c r="C5894" s="11">
        <f>IFERROR(__xludf.DUMMYFUNCTION("""COMPUTED_VALUE"""),916.0)</f>
        <v>916</v>
      </c>
      <c r="D5894" s="11">
        <f>IFERROR(__xludf.DUMMYFUNCTION("""COMPUTED_VALUE"""),366.0)</f>
        <v>366</v>
      </c>
      <c r="E5894" s="9"/>
    </row>
    <row r="5895">
      <c r="A5895" s="10">
        <f>IFERROR(__xludf.DUMMYFUNCTION("""COMPUTED_VALUE"""),110226.0)</f>
        <v>110226</v>
      </c>
      <c r="B5895" s="11">
        <f>IFERROR(__xludf.DUMMYFUNCTION("""COMPUTED_VALUE"""),0.0)</f>
        <v>0</v>
      </c>
      <c r="C5895" s="11">
        <f>IFERROR(__xludf.DUMMYFUNCTION("""COMPUTED_VALUE"""),356.0)</f>
        <v>356</v>
      </c>
      <c r="D5895" s="11">
        <f>IFERROR(__xludf.DUMMYFUNCTION("""COMPUTED_VALUE"""),88.0)</f>
        <v>88</v>
      </c>
      <c r="E5895" s="9"/>
    </row>
    <row r="5896">
      <c r="A5896" s="10">
        <f>IFERROR(__xludf.DUMMYFUNCTION("""COMPUTED_VALUE"""),115773.0)</f>
        <v>115773</v>
      </c>
      <c r="B5896" s="11">
        <f>IFERROR(__xludf.DUMMYFUNCTION("""COMPUTED_VALUE"""),0.0)</f>
        <v>0</v>
      </c>
      <c r="C5896" s="11">
        <f>IFERROR(__xludf.DUMMYFUNCTION("""COMPUTED_VALUE"""),651.0)</f>
        <v>651</v>
      </c>
      <c r="D5896" s="11">
        <f>IFERROR(__xludf.DUMMYFUNCTION("""COMPUTED_VALUE"""),250.0)</f>
        <v>250</v>
      </c>
      <c r="E5896" s="9"/>
    </row>
    <row r="5897">
      <c r="A5897" s="10">
        <f>IFERROR(__xludf.DUMMYFUNCTION("""COMPUTED_VALUE"""),109580.0)</f>
        <v>109580</v>
      </c>
      <c r="B5897" s="11">
        <f>IFERROR(__xludf.DUMMYFUNCTION("""COMPUTED_VALUE"""),1.0)</f>
        <v>1</v>
      </c>
      <c r="C5897" s="11">
        <f>IFERROR(__xludf.DUMMYFUNCTION("""COMPUTED_VALUE"""),98.0)</f>
        <v>98</v>
      </c>
      <c r="D5897" s="11">
        <f>IFERROR(__xludf.DUMMYFUNCTION("""COMPUTED_VALUE"""),6.0)</f>
        <v>6</v>
      </c>
      <c r="E5897" s="9"/>
    </row>
    <row r="5898">
      <c r="A5898" s="10">
        <f>IFERROR(__xludf.DUMMYFUNCTION("""COMPUTED_VALUE"""),114255.0)</f>
        <v>114255</v>
      </c>
      <c r="B5898" s="11">
        <f>IFERROR(__xludf.DUMMYFUNCTION("""COMPUTED_VALUE"""),0.0)</f>
        <v>0</v>
      </c>
      <c r="C5898" s="11">
        <f>IFERROR(__xludf.DUMMYFUNCTION("""COMPUTED_VALUE"""),494.0)</f>
        <v>494</v>
      </c>
      <c r="D5898" s="11">
        <f>IFERROR(__xludf.DUMMYFUNCTION("""COMPUTED_VALUE"""),107.0)</f>
        <v>107</v>
      </c>
      <c r="E5898" s="9"/>
    </row>
    <row r="5899">
      <c r="A5899" s="10">
        <f>IFERROR(__xludf.DUMMYFUNCTION("""COMPUTED_VALUE"""),122745.0)</f>
        <v>122745</v>
      </c>
      <c r="B5899" s="11">
        <f>IFERROR(__xludf.DUMMYFUNCTION("""COMPUTED_VALUE"""),1.0)</f>
        <v>1</v>
      </c>
      <c r="C5899" s="11">
        <f>IFERROR(__xludf.DUMMYFUNCTION("""COMPUTED_VALUE"""),300.0)</f>
        <v>300</v>
      </c>
      <c r="D5899" s="11">
        <f>IFERROR(__xludf.DUMMYFUNCTION("""COMPUTED_VALUE"""),176.0)</f>
        <v>176</v>
      </c>
      <c r="E5899" s="9"/>
    </row>
    <row r="5900">
      <c r="A5900" s="10">
        <f>IFERROR(__xludf.DUMMYFUNCTION("""COMPUTED_VALUE"""),116873.0)</f>
        <v>116873</v>
      </c>
      <c r="B5900" s="11">
        <f>IFERROR(__xludf.DUMMYFUNCTION("""COMPUTED_VALUE"""),1.0)</f>
        <v>1</v>
      </c>
      <c r="C5900" s="11">
        <f>IFERROR(__xludf.DUMMYFUNCTION("""COMPUTED_VALUE"""),867.0)</f>
        <v>867</v>
      </c>
      <c r="D5900" s="11">
        <f>IFERROR(__xludf.DUMMYFUNCTION("""COMPUTED_VALUE"""),282.0)</f>
        <v>282</v>
      </c>
      <c r="E5900" s="9"/>
    </row>
    <row r="5901">
      <c r="A5901" s="10">
        <f>IFERROR(__xludf.DUMMYFUNCTION("""COMPUTED_VALUE"""),110228.0)</f>
        <v>110228</v>
      </c>
      <c r="B5901" s="11">
        <f>IFERROR(__xludf.DUMMYFUNCTION("""COMPUTED_VALUE"""),1.0)</f>
        <v>1</v>
      </c>
      <c r="C5901" s="11">
        <f>IFERROR(__xludf.DUMMYFUNCTION("""COMPUTED_VALUE"""),346.0)</f>
        <v>346</v>
      </c>
      <c r="D5901" s="11">
        <f>IFERROR(__xludf.DUMMYFUNCTION("""COMPUTED_VALUE"""),142.0)</f>
        <v>142</v>
      </c>
      <c r="E5901" s="9"/>
    </row>
    <row r="5902">
      <c r="A5902" s="10"/>
      <c r="B5902" s="11"/>
      <c r="C5902" s="11"/>
      <c r="D5902" s="11"/>
    </row>
    <row r="5903">
      <c r="A5903" s="10"/>
      <c r="B5903" s="11"/>
      <c r="C5903" s="11"/>
      <c r="D5903" s="11"/>
    </row>
    <row r="5904">
      <c r="A5904" s="10"/>
      <c r="B5904" s="11"/>
      <c r="C5904" s="11"/>
      <c r="D5904" s="11"/>
    </row>
    <row r="5905">
      <c r="A5905" s="10"/>
      <c r="B5905" s="11"/>
      <c r="C5905" s="11"/>
      <c r="D5905" s="11"/>
    </row>
    <row r="5906">
      <c r="A5906" s="10"/>
      <c r="B5906" s="11"/>
      <c r="C5906" s="11"/>
      <c r="D5906" s="11"/>
    </row>
    <row r="5907">
      <c r="A5907" s="10"/>
      <c r="B5907" s="11"/>
      <c r="C5907" s="11"/>
      <c r="D5907" s="11"/>
    </row>
    <row r="5908">
      <c r="A5908" s="10"/>
      <c r="B5908" s="11"/>
      <c r="C5908" s="11"/>
      <c r="D5908" s="11"/>
    </row>
    <row r="5909">
      <c r="A5909" s="10"/>
      <c r="B5909" s="11"/>
      <c r="C5909" s="11"/>
      <c r="D5909" s="11"/>
    </row>
    <row r="5910">
      <c r="A5910" s="10"/>
      <c r="B5910" s="11"/>
      <c r="C5910" s="11"/>
      <c r="D5910" s="11"/>
    </row>
    <row r="5911">
      <c r="A5911" s="10"/>
      <c r="B5911" s="11"/>
      <c r="C5911" s="11"/>
      <c r="D5911" s="11"/>
    </row>
    <row r="5912">
      <c r="A5912" s="10"/>
      <c r="B5912" s="11"/>
      <c r="C5912" s="11"/>
      <c r="D5912" s="11"/>
    </row>
    <row r="5913">
      <c r="A5913" s="10"/>
      <c r="B5913" s="11"/>
      <c r="C5913" s="11"/>
      <c r="D5913" s="11"/>
    </row>
    <row r="5914">
      <c r="A5914" s="10"/>
      <c r="B5914" s="11"/>
      <c r="C5914" s="11"/>
      <c r="D5914" s="11"/>
    </row>
    <row r="5915">
      <c r="A5915" s="10"/>
      <c r="B5915" s="11"/>
      <c r="C5915" s="11"/>
      <c r="D5915" s="11"/>
    </row>
    <row r="5916">
      <c r="A5916" s="10"/>
      <c r="B5916" s="11"/>
      <c r="C5916" s="11"/>
      <c r="D5916" s="11"/>
    </row>
    <row r="5917">
      <c r="A5917" s="10"/>
      <c r="B5917" s="11"/>
      <c r="C5917" s="11"/>
      <c r="D5917" s="11"/>
    </row>
    <row r="5918">
      <c r="A5918" s="10"/>
      <c r="B5918" s="11"/>
      <c r="C5918" s="11"/>
      <c r="D5918" s="11"/>
    </row>
    <row r="5919">
      <c r="A5919" s="10"/>
      <c r="B5919" s="11"/>
      <c r="C5919" s="11"/>
      <c r="D5919" s="11"/>
    </row>
    <row r="5920">
      <c r="A5920" s="10"/>
      <c r="B5920" s="11"/>
      <c r="C5920" s="11"/>
      <c r="D5920" s="11"/>
    </row>
    <row r="5921">
      <c r="A5921" s="10"/>
      <c r="B5921" s="11"/>
      <c r="C5921" s="11"/>
      <c r="D5921" s="11"/>
    </row>
    <row r="5922">
      <c r="A5922" s="10"/>
      <c r="B5922" s="11"/>
      <c r="C5922" s="11"/>
      <c r="D5922" s="11"/>
    </row>
    <row r="5923">
      <c r="A5923" s="10"/>
      <c r="B5923" s="11"/>
      <c r="C5923" s="11"/>
      <c r="D5923" s="11"/>
    </row>
    <row r="5924">
      <c r="A5924" s="10"/>
      <c r="B5924" s="11"/>
      <c r="C5924" s="11"/>
      <c r="D5924" s="11"/>
    </row>
    <row r="5925">
      <c r="A5925" s="10"/>
      <c r="B5925" s="11"/>
      <c r="C5925" s="11"/>
      <c r="D5925" s="11"/>
    </row>
    <row r="5926">
      <c r="A5926" s="10"/>
      <c r="B5926" s="11"/>
      <c r="C5926" s="11"/>
      <c r="D5926" s="11"/>
    </row>
    <row r="5927">
      <c r="A5927" s="10"/>
      <c r="B5927" s="11"/>
      <c r="C5927" s="11"/>
      <c r="D5927" s="11"/>
    </row>
    <row r="5928">
      <c r="A5928" s="10"/>
      <c r="B5928" s="11"/>
      <c r="C5928" s="11"/>
      <c r="D5928" s="11"/>
    </row>
    <row r="5929">
      <c r="A5929" s="10"/>
      <c r="B5929" s="11"/>
      <c r="C5929" s="11"/>
      <c r="D5929" s="11"/>
    </row>
    <row r="5930">
      <c r="A5930" s="10"/>
      <c r="B5930" s="11"/>
      <c r="C5930" s="11"/>
      <c r="D5930" s="11"/>
    </row>
    <row r="5931">
      <c r="A5931" s="10"/>
      <c r="B5931" s="11"/>
      <c r="C5931" s="11"/>
      <c r="D5931" s="11"/>
    </row>
    <row r="5932">
      <c r="A5932" s="10"/>
      <c r="B5932" s="11"/>
      <c r="C5932" s="11"/>
      <c r="D5932" s="11"/>
    </row>
    <row r="5933">
      <c r="A5933" s="10"/>
      <c r="B5933" s="11"/>
      <c r="C5933" s="11"/>
      <c r="D5933" s="11"/>
    </row>
    <row r="5934">
      <c r="A5934" s="10"/>
      <c r="B5934" s="11"/>
      <c r="C5934" s="11"/>
      <c r="D5934" s="11"/>
    </row>
    <row r="5935">
      <c r="A5935" s="10"/>
      <c r="B5935" s="11"/>
      <c r="C5935" s="11"/>
      <c r="D5935" s="11"/>
    </row>
    <row r="5936">
      <c r="A5936" s="10"/>
      <c r="B5936" s="11"/>
      <c r="C5936" s="11"/>
      <c r="D5936" s="11"/>
    </row>
    <row r="5937">
      <c r="A5937" s="10"/>
      <c r="B5937" s="11"/>
      <c r="C5937" s="11"/>
      <c r="D5937" s="11"/>
    </row>
    <row r="5938">
      <c r="A5938" s="10"/>
      <c r="B5938" s="11"/>
      <c r="C5938" s="11"/>
      <c r="D5938" s="11"/>
    </row>
    <row r="5939">
      <c r="A5939" s="10"/>
      <c r="B5939" s="11"/>
      <c r="C5939" s="11"/>
      <c r="D5939" s="11"/>
    </row>
    <row r="5940">
      <c r="A5940" s="10"/>
      <c r="B5940" s="11"/>
      <c r="C5940" s="11"/>
      <c r="D5940" s="11"/>
    </row>
    <row r="5941">
      <c r="A5941" s="10"/>
      <c r="B5941" s="11"/>
      <c r="C5941" s="11"/>
      <c r="D5941" s="11"/>
    </row>
    <row r="5942">
      <c r="A5942" s="10"/>
      <c r="B5942" s="11"/>
      <c r="C5942" s="11"/>
      <c r="D5942" s="11"/>
    </row>
    <row r="5943">
      <c r="A5943" s="10"/>
      <c r="B5943" s="11"/>
      <c r="C5943" s="11"/>
      <c r="D5943" s="11"/>
    </row>
    <row r="5944">
      <c r="A5944" s="10"/>
      <c r="B5944" s="11"/>
      <c r="C5944" s="11"/>
      <c r="D5944" s="11"/>
    </row>
    <row r="5945">
      <c r="A5945" s="10"/>
      <c r="B5945" s="11"/>
      <c r="C5945" s="11"/>
      <c r="D5945" s="11"/>
    </row>
    <row r="5946">
      <c r="A5946" s="10"/>
      <c r="B5946" s="11"/>
      <c r="C5946" s="11"/>
      <c r="D5946" s="11"/>
    </row>
    <row r="5947">
      <c r="A5947" s="10"/>
      <c r="B5947" s="11"/>
      <c r="C5947" s="11"/>
      <c r="D5947" s="11"/>
    </row>
    <row r="5948">
      <c r="A5948" s="10"/>
      <c r="B5948" s="11"/>
      <c r="C5948" s="11"/>
      <c r="D5948" s="11"/>
    </row>
    <row r="5949">
      <c r="A5949" s="10"/>
      <c r="B5949" s="11"/>
      <c r="C5949" s="11"/>
      <c r="D5949" s="11"/>
    </row>
    <row r="5950">
      <c r="A5950" s="10"/>
      <c r="B5950" s="11"/>
      <c r="C5950" s="11"/>
      <c r="D5950" s="11"/>
    </row>
    <row r="5951">
      <c r="A5951" s="10"/>
      <c r="B5951" s="11"/>
      <c r="C5951" s="11"/>
      <c r="D5951" s="11"/>
    </row>
    <row r="5952">
      <c r="A5952" s="10"/>
      <c r="B5952" s="11"/>
      <c r="C5952" s="11"/>
      <c r="D5952" s="11"/>
    </row>
    <row r="5953">
      <c r="A5953" s="10"/>
      <c r="B5953" s="11"/>
      <c r="C5953" s="11"/>
      <c r="D5953" s="11"/>
    </row>
    <row r="5954">
      <c r="A5954" s="10"/>
      <c r="B5954" s="11"/>
      <c r="C5954" s="11"/>
      <c r="D5954" s="11"/>
    </row>
    <row r="5955">
      <c r="A5955" s="10"/>
      <c r="B5955" s="11"/>
      <c r="C5955" s="11"/>
      <c r="D5955" s="11"/>
    </row>
    <row r="5956">
      <c r="A5956" s="10"/>
      <c r="B5956" s="11"/>
      <c r="C5956" s="11"/>
      <c r="D5956" s="11"/>
    </row>
    <row r="5957">
      <c r="A5957" s="10"/>
      <c r="B5957" s="11"/>
      <c r="C5957" s="11"/>
      <c r="D5957" s="11"/>
    </row>
    <row r="5958">
      <c r="A5958" s="10"/>
      <c r="B5958" s="11"/>
      <c r="C5958" s="11"/>
      <c r="D5958" s="11"/>
    </row>
    <row r="5959">
      <c r="A5959" s="10"/>
      <c r="B5959" s="11"/>
      <c r="C5959" s="11"/>
      <c r="D5959" s="11"/>
    </row>
    <row r="5960">
      <c r="A5960" s="10"/>
      <c r="B5960" s="11"/>
      <c r="C5960" s="11"/>
      <c r="D5960" s="11"/>
    </row>
    <row r="5961">
      <c r="A5961" s="10"/>
      <c r="B5961" s="11"/>
      <c r="C5961" s="11"/>
      <c r="D5961" s="11"/>
    </row>
    <row r="5962">
      <c r="A5962" s="10"/>
      <c r="B5962" s="11"/>
      <c r="C5962" s="11"/>
      <c r="D5962" s="11"/>
    </row>
    <row r="5963">
      <c r="A5963" s="10"/>
      <c r="B5963" s="11"/>
      <c r="C5963" s="11"/>
      <c r="D5963" s="11"/>
    </row>
    <row r="5964">
      <c r="A5964" s="10"/>
      <c r="B5964" s="11"/>
      <c r="C5964" s="11"/>
      <c r="D5964" s="11"/>
    </row>
    <row r="5965">
      <c r="A5965" s="10"/>
      <c r="B5965" s="11"/>
      <c r="C5965" s="11"/>
      <c r="D5965" s="11"/>
    </row>
    <row r="5966">
      <c r="A5966" s="10"/>
      <c r="B5966" s="11"/>
      <c r="C5966" s="11"/>
      <c r="D5966" s="11"/>
    </row>
    <row r="5967">
      <c r="A5967" s="10"/>
      <c r="B5967" s="11"/>
      <c r="C5967" s="11"/>
      <c r="D5967" s="11"/>
    </row>
    <row r="5968">
      <c r="A5968" s="10"/>
      <c r="B5968" s="11"/>
      <c r="C5968" s="11"/>
      <c r="D5968" s="11"/>
    </row>
    <row r="5969">
      <c r="A5969" s="10"/>
      <c r="B5969" s="11"/>
      <c r="C5969" s="11"/>
      <c r="D5969" s="11"/>
    </row>
    <row r="5970">
      <c r="A5970" s="10"/>
      <c r="B5970" s="11"/>
      <c r="C5970" s="11"/>
      <c r="D5970" s="11"/>
    </row>
    <row r="5971">
      <c r="A5971" s="10"/>
      <c r="B5971" s="11"/>
      <c r="C5971" s="11"/>
      <c r="D5971" s="11"/>
    </row>
    <row r="5972">
      <c r="A5972" s="10"/>
      <c r="B5972" s="11"/>
      <c r="C5972" s="11"/>
      <c r="D5972" s="11"/>
    </row>
    <row r="5973">
      <c r="A5973" s="10"/>
      <c r="B5973" s="11"/>
      <c r="C5973" s="11"/>
      <c r="D5973" s="11"/>
    </row>
    <row r="5974">
      <c r="A5974" s="10"/>
      <c r="B5974" s="11"/>
      <c r="C5974" s="11"/>
      <c r="D5974" s="11"/>
    </row>
    <row r="5975">
      <c r="A5975" s="10"/>
      <c r="B5975" s="11"/>
      <c r="C5975" s="11"/>
      <c r="D5975" s="11"/>
    </row>
    <row r="5976">
      <c r="A5976" s="10"/>
      <c r="B5976" s="11"/>
      <c r="C5976" s="11"/>
      <c r="D5976" s="11"/>
    </row>
    <row r="5977">
      <c r="A5977" s="10"/>
      <c r="B5977" s="11"/>
      <c r="C5977" s="11"/>
      <c r="D5977" s="11"/>
    </row>
    <row r="5978">
      <c r="A5978" s="10"/>
      <c r="B5978" s="11"/>
      <c r="C5978" s="11"/>
      <c r="D5978" s="11"/>
    </row>
    <row r="5979">
      <c r="A5979" s="10"/>
      <c r="B5979" s="11"/>
      <c r="C5979" s="11"/>
      <c r="D5979" s="11"/>
    </row>
    <row r="5980">
      <c r="A5980" s="10"/>
      <c r="B5980" s="11"/>
      <c r="C5980" s="11"/>
      <c r="D5980" s="11"/>
    </row>
    <row r="5981">
      <c r="A5981" s="10"/>
      <c r="B5981" s="11"/>
      <c r="C5981" s="11"/>
      <c r="D5981" s="11"/>
    </row>
    <row r="5982">
      <c r="A5982" s="10"/>
      <c r="B5982" s="11"/>
      <c r="C5982" s="11"/>
      <c r="D5982" s="11"/>
    </row>
    <row r="5983">
      <c r="A5983" s="10"/>
      <c r="B5983" s="11"/>
      <c r="C5983" s="11"/>
      <c r="D5983" s="11"/>
    </row>
    <row r="5984">
      <c r="A5984" s="10"/>
      <c r="B5984" s="11"/>
      <c r="C5984" s="11"/>
      <c r="D5984" s="11"/>
    </row>
    <row r="5985">
      <c r="A5985" s="10"/>
      <c r="B5985" s="11"/>
      <c r="C5985" s="11"/>
      <c r="D5985" s="11"/>
    </row>
    <row r="5986">
      <c r="A5986" s="10"/>
      <c r="B5986" s="11"/>
      <c r="C5986" s="11"/>
      <c r="D5986" s="11"/>
    </row>
    <row r="5987">
      <c r="A5987" s="10"/>
      <c r="B5987" s="11"/>
      <c r="C5987" s="11"/>
      <c r="D5987" s="11"/>
    </row>
    <row r="5988">
      <c r="A5988" s="10"/>
      <c r="B5988" s="11"/>
      <c r="C5988" s="11"/>
      <c r="D5988" s="11"/>
    </row>
    <row r="5989">
      <c r="A5989" s="10"/>
      <c r="B5989" s="11"/>
      <c r="C5989" s="11"/>
      <c r="D5989" s="11"/>
    </row>
    <row r="5990">
      <c r="A5990" s="10"/>
      <c r="B5990" s="11"/>
      <c r="C5990" s="11"/>
      <c r="D5990" s="11"/>
    </row>
    <row r="5991">
      <c r="A5991" s="10"/>
      <c r="B5991" s="11"/>
      <c r="C5991" s="11"/>
      <c r="D5991" s="11"/>
    </row>
    <row r="5992">
      <c r="A5992" s="10"/>
      <c r="B5992" s="11"/>
      <c r="C5992" s="11"/>
      <c r="D5992" s="11"/>
    </row>
    <row r="5993">
      <c r="A5993" s="10"/>
      <c r="B5993" s="11"/>
      <c r="C5993" s="11"/>
      <c r="D5993" s="11"/>
    </row>
    <row r="5994">
      <c r="A5994" s="10"/>
      <c r="B5994" s="11"/>
      <c r="C5994" s="11"/>
      <c r="D5994" s="11"/>
    </row>
    <row r="5995">
      <c r="A5995" s="10"/>
      <c r="B5995" s="11"/>
      <c r="C5995" s="11"/>
      <c r="D5995" s="11"/>
    </row>
    <row r="5996">
      <c r="A5996" s="10"/>
      <c r="B5996" s="11"/>
      <c r="C5996" s="11"/>
      <c r="D5996" s="11"/>
    </row>
    <row r="5997">
      <c r="A5997" s="10"/>
      <c r="B5997" s="11"/>
      <c r="C5997" s="11"/>
      <c r="D5997" s="11"/>
    </row>
    <row r="5998">
      <c r="A5998" s="10"/>
      <c r="B5998" s="11"/>
      <c r="C5998" s="11"/>
      <c r="D5998" s="11"/>
    </row>
    <row r="5999">
      <c r="A5999" s="10"/>
      <c r="B5999" s="11"/>
      <c r="C5999" s="11"/>
      <c r="D5999" s="11"/>
    </row>
    <row r="6000">
      <c r="A6000" s="10"/>
      <c r="B6000" s="11"/>
      <c r="C6000" s="11"/>
      <c r="D6000" s="11"/>
    </row>
    <row r="6001">
      <c r="A6001" s="10"/>
      <c r="B6001" s="11"/>
      <c r="C6001" s="11"/>
      <c r="D6001" s="11"/>
    </row>
    <row r="6002">
      <c r="A6002" s="10"/>
      <c r="B6002" s="11"/>
      <c r="C6002" s="11"/>
      <c r="D6002" s="11"/>
    </row>
    <row r="6003">
      <c r="A6003" s="10"/>
      <c r="B6003" s="11"/>
      <c r="C6003" s="11"/>
      <c r="D6003" s="11"/>
    </row>
    <row r="6004">
      <c r="A6004" s="10"/>
      <c r="B6004" s="11"/>
      <c r="C6004" s="11"/>
      <c r="D6004" s="11"/>
    </row>
    <row r="6005">
      <c r="A6005" s="10"/>
      <c r="B6005" s="11"/>
      <c r="C6005" s="11"/>
      <c r="D6005" s="11"/>
    </row>
    <row r="6006">
      <c r="A6006" s="10"/>
      <c r="B6006" s="11"/>
      <c r="C6006" s="11"/>
      <c r="D6006" s="11"/>
    </row>
    <row r="6007">
      <c r="A6007" s="10"/>
      <c r="B6007" s="11"/>
      <c r="C6007" s="11"/>
      <c r="D6007" s="11"/>
    </row>
    <row r="6008">
      <c r="A6008" s="10"/>
      <c r="B6008" s="11"/>
      <c r="C6008" s="11"/>
      <c r="D6008" s="11"/>
    </row>
    <row r="6009">
      <c r="A6009" s="10"/>
      <c r="B6009" s="11"/>
      <c r="C6009" s="11"/>
      <c r="D6009" s="11"/>
    </row>
    <row r="6010">
      <c r="A6010" s="10"/>
      <c r="B6010" s="11"/>
      <c r="C6010" s="11"/>
      <c r="D6010" s="11"/>
    </row>
    <row r="6011">
      <c r="A6011" s="10"/>
      <c r="B6011" s="11"/>
      <c r="C6011" s="11"/>
      <c r="D6011" s="11"/>
    </row>
    <row r="6012">
      <c r="A6012" s="10"/>
      <c r="B6012" s="11"/>
      <c r="C6012" s="11"/>
      <c r="D6012" s="11"/>
    </row>
    <row r="6013">
      <c r="A6013" s="10"/>
      <c r="B6013" s="11"/>
      <c r="C6013" s="11"/>
      <c r="D6013" s="11"/>
    </row>
    <row r="6014">
      <c r="A6014" s="10"/>
      <c r="B6014" s="11"/>
      <c r="C6014" s="11"/>
      <c r="D6014" s="11"/>
    </row>
    <row r="6015">
      <c r="A6015" s="10"/>
      <c r="B6015" s="11"/>
      <c r="C6015" s="11"/>
      <c r="D6015" s="11"/>
    </row>
    <row r="6016">
      <c r="A6016" s="10"/>
      <c r="B6016" s="11"/>
      <c r="C6016" s="11"/>
      <c r="D6016" s="11"/>
    </row>
    <row r="6017">
      <c r="A6017" s="10"/>
      <c r="B6017" s="11"/>
      <c r="C6017" s="11"/>
      <c r="D6017" s="11"/>
    </row>
    <row r="6018">
      <c r="A6018" s="10"/>
      <c r="B6018" s="11"/>
      <c r="C6018" s="11"/>
      <c r="D6018" s="11"/>
    </row>
    <row r="6019">
      <c r="A6019" s="10"/>
      <c r="B6019" s="11"/>
      <c r="C6019" s="11"/>
      <c r="D6019" s="11"/>
    </row>
    <row r="6020">
      <c r="A6020" s="10"/>
      <c r="B6020" s="11"/>
      <c r="C6020" s="11"/>
      <c r="D6020" s="11"/>
    </row>
    <row r="6021">
      <c r="A6021" s="10"/>
      <c r="B6021" s="11"/>
      <c r="C6021" s="11"/>
      <c r="D6021" s="11"/>
    </row>
    <row r="6022">
      <c r="A6022" s="10"/>
      <c r="B6022" s="11"/>
      <c r="C6022" s="11"/>
      <c r="D6022" s="11"/>
    </row>
    <row r="6023">
      <c r="A6023" s="10"/>
      <c r="B6023" s="11"/>
      <c r="C6023" s="11"/>
      <c r="D6023" s="11"/>
    </row>
    <row r="6024">
      <c r="A6024" s="10"/>
      <c r="B6024" s="11"/>
      <c r="C6024" s="11"/>
      <c r="D6024" s="11"/>
    </row>
    <row r="6025">
      <c r="A6025" s="10"/>
      <c r="B6025" s="11"/>
      <c r="C6025" s="11"/>
      <c r="D6025" s="11"/>
    </row>
    <row r="6026">
      <c r="A6026" s="10"/>
      <c r="B6026" s="11"/>
      <c r="C6026" s="11"/>
      <c r="D6026" s="11"/>
    </row>
    <row r="6027">
      <c r="A6027" s="10"/>
      <c r="B6027" s="11"/>
      <c r="C6027" s="11"/>
      <c r="D6027" s="11"/>
    </row>
    <row r="6028">
      <c r="A6028" s="10"/>
      <c r="B6028" s="11"/>
      <c r="C6028" s="11"/>
      <c r="D6028" s="11"/>
    </row>
    <row r="6029">
      <c r="A6029" s="10"/>
      <c r="B6029" s="11"/>
      <c r="C6029" s="11"/>
      <c r="D6029" s="11"/>
    </row>
    <row r="6030">
      <c r="A6030" s="10"/>
      <c r="B6030" s="11"/>
      <c r="C6030" s="11"/>
      <c r="D6030" s="11"/>
    </row>
    <row r="6031">
      <c r="A6031" s="10"/>
      <c r="B6031" s="11"/>
      <c r="C6031" s="11"/>
      <c r="D6031" s="11"/>
    </row>
    <row r="6032">
      <c r="A6032" s="10"/>
      <c r="B6032" s="11"/>
      <c r="C6032" s="11"/>
      <c r="D6032" s="11"/>
    </row>
    <row r="6033">
      <c r="A6033" s="10"/>
      <c r="B6033" s="11"/>
      <c r="C6033" s="11"/>
      <c r="D6033" s="11"/>
    </row>
    <row r="6034">
      <c r="A6034" s="10"/>
      <c r="B6034" s="11"/>
      <c r="C6034" s="11"/>
      <c r="D6034" s="11"/>
    </row>
    <row r="6035">
      <c r="A6035" s="10"/>
      <c r="B6035" s="11"/>
      <c r="C6035" s="11"/>
      <c r="D6035" s="11"/>
    </row>
    <row r="6036">
      <c r="A6036" s="10"/>
      <c r="B6036" s="11"/>
      <c r="C6036" s="11"/>
      <c r="D6036" s="11"/>
    </row>
    <row r="6037">
      <c r="A6037" s="10"/>
      <c r="B6037" s="11"/>
      <c r="C6037" s="11"/>
      <c r="D6037" s="11"/>
    </row>
    <row r="6038">
      <c r="A6038" s="10"/>
      <c r="B6038" s="11"/>
      <c r="C6038" s="11"/>
      <c r="D6038" s="11"/>
    </row>
    <row r="6039">
      <c r="A6039" s="10"/>
      <c r="B6039" s="11"/>
      <c r="C6039" s="11"/>
      <c r="D6039" s="11"/>
    </row>
    <row r="6040">
      <c r="A6040" s="10"/>
      <c r="B6040" s="11"/>
      <c r="C6040" s="11"/>
      <c r="D6040" s="11"/>
    </row>
    <row r="6041">
      <c r="A6041" s="10"/>
      <c r="B6041" s="11"/>
      <c r="C6041" s="11"/>
      <c r="D6041" s="11"/>
    </row>
    <row r="6042">
      <c r="A6042" s="10"/>
      <c r="B6042" s="11"/>
      <c r="C6042" s="11"/>
      <c r="D6042" s="11"/>
    </row>
    <row r="6043">
      <c r="A6043" s="10"/>
      <c r="B6043" s="11"/>
      <c r="C6043" s="11"/>
      <c r="D6043" s="11"/>
    </row>
    <row r="6044">
      <c r="A6044" s="10"/>
      <c r="B6044" s="11"/>
      <c r="C6044" s="11"/>
      <c r="D6044" s="11"/>
    </row>
    <row r="6045">
      <c r="A6045" s="10"/>
      <c r="B6045" s="11"/>
      <c r="C6045" s="11"/>
      <c r="D6045" s="11"/>
    </row>
    <row r="6046">
      <c r="A6046" s="10"/>
      <c r="B6046" s="11"/>
      <c r="C6046" s="11"/>
      <c r="D6046" s="11"/>
    </row>
    <row r="6047">
      <c r="A6047" s="10"/>
      <c r="B6047" s="11"/>
      <c r="C6047" s="11"/>
      <c r="D6047" s="11"/>
    </row>
    <row r="6048">
      <c r="A6048" s="10"/>
      <c r="B6048" s="11"/>
      <c r="C6048" s="11"/>
      <c r="D6048" s="11"/>
    </row>
    <row r="6049">
      <c r="A6049" s="10"/>
      <c r="B6049" s="11"/>
      <c r="C6049" s="11"/>
      <c r="D6049" s="11"/>
    </row>
    <row r="6050">
      <c r="A6050" s="10"/>
      <c r="B6050" s="11"/>
      <c r="C6050" s="11"/>
      <c r="D6050" s="11"/>
    </row>
    <row r="6051">
      <c r="A6051" s="10"/>
      <c r="B6051" s="11"/>
      <c r="C6051" s="11"/>
      <c r="D6051" s="11"/>
    </row>
    <row r="6052">
      <c r="A6052" s="10"/>
      <c r="B6052" s="11"/>
      <c r="C6052" s="11"/>
      <c r="D6052" s="11"/>
    </row>
    <row r="6053">
      <c r="A6053" s="10"/>
      <c r="B6053" s="11"/>
      <c r="C6053" s="11"/>
      <c r="D6053" s="11"/>
    </row>
    <row r="6054">
      <c r="A6054" s="10"/>
      <c r="B6054" s="11"/>
      <c r="C6054" s="11"/>
      <c r="D6054" s="11"/>
    </row>
    <row r="6055">
      <c r="A6055" s="10"/>
      <c r="B6055" s="11"/>
      <c r="C6055" s="11"/>
      <c r="D6055" s="11"/>
    </row>
    <row r="6056">
      <c r="A6056" s="10"/>
      <c r="B6056" s="11"/>
      <c r="C6056" s="11"/>
      <c r="D6056" s="11"/>
    </row>
    <row r="6057">
      <c r="A6057" s="10"/>
      <c r="B6057" s="11"/>
      <c r="C6057" s="11"/>
      <c r="D6057" s="11"/>
    </row>
    <row r="6058">
      <c r="A6058" s="10"/>
      <c r="B6058" s="11"/>
      <c r="C6058" s="11"/>
      <c r="D6058" s="11"/>
    </row>
    <row r="6059">
      <c r="A6059" s="10"/>
      <c r="B6059" s="11"/>
      <c r="C6059" s="11"/>
      <c r="D6059" s="11"/>
    </row>
    <row r="6060">
      <c r="A6060" s="10"/>
      <c r="B6060" s="11"/>
      <c r="C6060" s="11"/>
      <c r="D6060" s="11"/>
    </row>
    <row r="6061">
      <c r="A6061" s="10"/>
      <c r="B6061" s="11"/>
      <c r="C6061" s="11"/>
      <c r="D6061" s="11"/>
    </row>
    <row r="6062">
      <c r="A6062" s="10"/>
      <c r="B6062" s="11"/>
      <c r="C6062" s="11"/>
      <c r="D6062" s="11"/>
    </row>
    <row r="6063">
      <c r="A6063" s="10"/>
      <c r="B6063" s="11"/>
      <c r="C6063" s="11"/>
      <c r="D6063" s="11"/>
    </row>
    <row r="6064">
      <c r="A6064" s="10"/>
      <c r="B6064" s="11"/>
      <c r="C6064" s="11"/>
      <c r="D6064" s="11"/>
    </row>
    <row r="6065">
      <c r="A6065" s="10"/>
      <c r="B6065" s="11"/>
      <c r="C6065" s="11"/>
      <c r="D6065" s="11"/>
    </row>
    <row r="6066">
      <c r="A6066" s="10"/>
      <c r="B6066" s="11"/>
      <c r="C6066" s="11"/>
      <c r="D6066" s="11"/>
    </row>
    <row r="6067">
      <c r="A6067" s="10"/>
      <c r="B6067" s="11"/>
      <c r="C6067" s="11"/>
      <c r="D6067" s="11"/>
    </row>
    <row r="6068">
      <c r="A6068" s="10"/>
      <c r="B6068" s="11"/>
      <c r="C6068" s="11"/>
      <c r="D6068" s="11"/>
    </row>
    <row r="6069">
      <c r="A6069" s="10"/>
      <c r="B6069" s="11"/>
      <c r="C6069" s="11"/>
      <c r="D6069" s="11"/>
    </row>
    <row r="6070">
      <c r="A6070" s="10"/>
      <c r="B6070" s="11"/>
      <c r="C6070" s="11"/>
      <c r="D6070" s="11"/>
    </row>
    <row r="6071">
      <c r="A6071" s="10"/>
      <c r="B6071" s="11"/>
      <c r="C6071" s="11"/>
      <c r="D6071" s="11"/>
    </row>
    <row r="6072">
      <c r="A6072" s="10"/>
      <c r="B6072" s="11"/>
      <c r="C6072" s="11"/>
      <c r="D6072" s="11"/>
    </row>
    <row r="6073">
      <c r="A6073" s="10"/>
      <c r="B6073" s="11"/>
      <c r="C6073" s="11"/>
      <c r="D6073" s="11"/>
    </row>
    <row r="6074">
      <c r="A6074" s="10"/>
      <c r="B6074" s="11"/>
      <c r="C6074" s="11"/>
      <c r="D6074" s="11"/>
    </row>
    <row r="6075">
      <c r="A6075" s="10"/>
      <c r="B6075" s="11"/>
      <c r="C6075" s="11"/>
      <c r="D6075" s="11"/>
    </row>
    <row r="6076">
      <c r="A6076" s="10"/>
      <c r="B6076" s="11"/>
      <c r="C6076" s="11"/>
      <c r="D6076" s="11"/>
    </row>
    <row r="6077">
      <c r="A6077" s="10"/>
      <c r="B6077" s="11"/>
      <c r="C6077" s="11"/>
      <c r="D6077" s="11"/>
    </row>
    <row r="6078">
      <c r="A6078" s="10"/>
      <c r="B6078" s="11"/>
      <c r="C6078" s="11"/>
      <c r="D6078" s="11"/>
    </row>
    <row r="6079">
      <c r="A6079" s="10"/>
      <c r="B6079" s="11"/>
      <c r="C6079" s="11"/>
      <c r="D6079" s="11"/>
    </row>
    <row r="6080">
      <c r="A6080" s="10"/>
      <c r="B6080" s="11"/>
      <c r="C6080" s="11"/>
      <c r="D6080" s="11"/>
    </row>
    <row r="6081">
      <c r="A6081" s="10"/>
      <c r="B6081" s="11"/>
      <c r="C6081" s="11"/>
      <c r="D6081" s="11"/>
    </row>
    <row r="6082">
      <c r="A6082" s="10"/>
      <c r="B6082" s="11"/>
      <c r="C6082" s="11"/>
      <c r="D6082" s="11"/>
    </row>
    <row r="6083">
      <c r="A6083" s="10"/>
      <c r="B6083" s="11"/>
      <c r="C6083" s="11"/>
      <c r="D6083" s="11"/>
    </row>
    <row r="6084">
      <c r="A6084" s="10"/>
      <c r="B6084" s="11"/>
      <c r="C6084" s="11"/>
      <c r="D6084" s="11"/>
    </row>
    <row r="6085">
      <c r="A6085" s="10"/>
      <c r="B6085" s="11"/>
      <c r="C6085" s="11"/>
      <c r="D6085" s="11"/>
    </row>
    <row r="6086">
      <c r="A6086" s="10"/>
      <c r="B6086" s="11"/>
      <c r="C6086" s="11"/>
      <c r="D6086" s="11"/>
    </row>
    <row r="6087">
      <c r="A6087" s="10"/>
      <c r="B6087" s="11"/>
      <c r="C6087" s="11"/>
      <c r="D6087" s="11"/>
    </row>
    <row r="6088">
      <c r="A6088" s="10"/>
      <c r="B6088" s="11"/>
      <c r="C6088" s="11"/>
      <c r="D6088" s="11"/>
    </row>
    <row r="6089">
      <c r="A6089" s="10"/>
      <c r="B6089" s="11"/>
      <c r="C6089" s="11"/>
      <c r="D6089" s="11"/>
    </row>
    <row r="6090">
      <c r="A6090" s="10"/>
      <c r="B6090" s="11"/>
      <c r="C6090" s="11"/>
      <c r="D6090" s="11"/>
    </row>
    <row r="6091">
      <c r="A6091" s="10"/>
      <c r="B6091" s="11"/>
      <c r="C6091" s="11"/>
      <c r="D6091" s="11"/>
    </row>
    <row r="6092">
      <c r="A6092" s="10"/>
      <c r="B6092" s="11"/>
      <c r="C6092" s="11"/>
      <c r="D6092" s="11"/>
    </row>
    <row r="6093">
      <c r="A6093" s="10"/>
      <c r="B6093" s="11"/>
      <c r="C6093" s="11"/>
      <c r="D6093" s="11"/>
    </row>
    <row r="6094">
      <c r="A6094" s="10"/>
      <c r="B6094" s="11"/>
      <c r="C6094" s="11"/>
      <c r="D6094" s="11"/>
    </row>
    <row r="6095">
      <c r="A6095" s="10"/>
      <c r="B6095" s="11"/>
      <c r="C6095" s="11"/>
      <c r="D6095" s="11"/>
    </row>
    <row r="6096">
      <c r="A6096" s="10"/>
      <c r="B6096" s="11"/>
      <c r="C6096" s="11"/>
      <c r="D6096" s="11"/>
    </row>
    <row r="6097">
      <c r="A6097" s="10"/>
      <c r="B6097" s="11"/>
      <c r="C6097" s="11"/>
      <c r="D6097" s="11"/>
    </row>
    <row r="6098">
      <c r="A6098" s="10"/>
      <c r="B6098" s="11"/>
      <c r="C6098" s="11"/>
      <c r="D6098" s="11"/>
    </row>
    <row r="6099">
      <c r="A6099" s="10"/>
      <c r="B6099" s="11"/>
      <c r="C6099" s="11"/>
      <c r="D6099" s="11"/>
    </row>
    <row r="6100">
      <c r="A6100" s="10"/>
      <c r="B6100" s="11"/>
      <c r="C6100" s="11"/>
      <c r="D6100" s="11"/>
    </row>
    <row r="6101">
      <c r="A6101" s="10"/>
      <c r="B6101" s="11"/>
      <c r="C6101" s="11"/>
      <c r="D6101" s="11"/>
    </row>
    <row r="6102">
      <c r="A6102" s="10"/>
      <c r="B6102" s="11"/>
      <c r="C6102" s="11"/>
      <c r="D6102" s="11"/>
    </row>
    <row r="6103">
      <c r="A6103" s="10"/>
      <c r="B6103" s="11"/>
      <c r="C6103" s="11"/>
      <c r="D6103" s="11"/>
    </row>
    <row r="6104">
      <c r="A6104" s="10"/>
      <c r="B6104" s="11"/>
      <c r="C6104" s="11"/>
      <c r="D6104" s="11"/>
    </row>
    <row r="6105">
      <c r="A6105" s="10"/>
      <c r="B6105" s="11"/>
      <c r="C6105" s="11"/>
      <c r="D6105" s="11"/>
    </row>
    <row r="6106">
      <c r="A6106" s="10"/>
      <c r="B6106" s="11"/>
      <c r="C6106" s="11"/>
      <c r="D6106" s="11"/>
    </row>
    <row r="6107">
      <c r="A6107" s="10"/>
      <c r="B6107" s="11"/>
      <c r="C6107" s="11"/>
      <c r="D6107" s="11"/>
    </row>
    <row r="6108">
      <c r="A6108" s="10"/>
      <c r="B6108" s="11"/>
      <c r="C6108" s="11"/>
      <c r="D6108" s="11"/>
    </row>
    <row r="6109">
      <c r="A6109" s="10"/>
      <c r="B6109" s="11"/>
      <c r="C6109" s="11"/>
      <c r="D6109" s="11"/>
    </row>
    <row r="6110">
      <c r="A6110" s="10"/>
      <c r="B6110" s="11"/>
      <c r="C6110" s="11"/>
      <c r="D6110" s="11"/>
    </row>
    <row r="6111">
      <c r="A6111" s="10"/>
      <c r="B6111" s="11"/>
      <c r="C6111" s="11"/>
      <c r="D6111" s="11"/>
    </row>
    <row r="6112">
      <c r="A6112" s="10"/>
      <c r="B6112" s="11"/>
      <c r="C6112" s="11"/>
      <c r="D6112" s="11"/>
    </row>
    <row r="6113">
      <c r="A6113" s="10"/>
      <c r="B6113" s="11"/>
      <c r="C6113" s="11"/>
      <c r="D6113" s="11"/>
    </row>
    <row r="6114">
      <c r="A6114" s="10"/>
      <c r="B6114" s="11"/>
      <c r="C6114" s="11"/>
      <c r="D6114" s="11"/>
    </row>
    <row r="6115">
      <c r="A6115" s="10"/>
      <c r="B6115" s="11"/>
      <c r="C6115" s="11"/>
      <c r="D6115" s="11"/>
    </row>
    <row r="6116">
      <c r="A6116" s="10"/>
      <c r="B6116" s="11"/>
      <c r="C6116" s="11"/>
      <c r="D6116" s="11"/>
    </row>
    <row r="6117">
      <c r="A6117" s="10"/>
      <c r="B6117" s="11"/>
      <c r="C6117" s="11"/>
      <c r="D6117" s="11"/>
    </row>
    <row r="6118">
      <c r="A6118" s="10"/>
      <c r="B6118" s="11"/>
      <c r="C6118" s="11"/>
      <c r="D6118" s="11"/>
    </row>
    <row r="6119">
      <c r="A6119" s="10"/>
      <c r="B6119" s="11"/>
      <c r="C6119" s="11"/>
      <c r="D6119" s="11"/>
    </row>
    <row r="6120">
      <c r="A6120" s="10"/>
      <c r="B6120" s="11"/>
      <c r="C6120" s="11"/>
      <c r="D6120" s="11"/>
    </row>
    <row r="6121">
      <c r="A6121" s="10"/>
      <c r="B6121" s="11"/>
      <c r="C6121" s="11"/>
      <c r="D6121" s="11"/>
    </row>
    <row r="6122">
      <c r="A6122" s="10"/>
      <c r="B6122" s="11"/>
      <c r="C6122" s="11"/>
      <c r="D6122" s="11"/>
    </row>
    <row r="6123">
      <c r="A6123" s="10"/>
      <c r="B6123" s="11"/>
      <c r="C6123" s="11"/>
      <c r="D6123" s="11"/>
    </row>
    <row r="6124">
      <c r="A6124" s="10"/>
      <c r="B6124" s="11"/>
      <c r="C6124" s="11"/>
      <c r="D6124" s="11"/>
    </row>
    <row r="6125">
      <c r="A6125" s="10"/>
      <c r="B6125" s="11"/>
      <c r="C6125" s="11"/>
      <c r="D6125" s="11"/>
    </row>
    <row r="6126">
      <c r="A6126" s="10"/>
      <c r="B6126" s="11"/>
      <c r="C6126" s="11"/>
      <c r="D6126" s="11"/>
    </row>
    <row r="6127">
      <c r="A6127" s="10"/>
      <c r="B6127" s="11"/>
      <c r="C6127" s="11"/>
      <c r="D6127" s="11"/>
    </row>
    <row r="6128">
      <c r="A6128" s="10"/>
      <c r="B6128" s="11"/>
      <c r="C6128" s="11"/>
      <c r="D6128" s="11"/>
    </row>
    <row r="6129">
      <c r="A6129" s="10"/>
      <c r="B6129" s="11"/>
      <c r="C6129" s="11"/>
      <c r="D6129" s="11"/>
    </row>
    <row r="6130">
      <c r="A6130" s="10"/>
      <c r="B6130" s="11"/>
      <c r="C6130" s="11"/>
      <c r="D6130" s="11"/>
    </row>
    <row r="6131">
      <c r="A6131" s="10"/>
      <c r="B6131" s="11"/>
      <c r="C6131" s="11"/>
      <c r="D6131" s="11"/>
    </row>
    <row r="6132">
      <c r="A6132" s="10"/>
      <c r="B6132" s="11"/>
      <c r="C6132" s="11"/>
      <c r="D6132" s="11"/>
    </row>
    <row r="6133">
      <c r="A6133" s="10"/>
      <c r="B6133" s="11"/>
      <c r="C6133" s="11"/>
      <c r="D6133" s="11"/>
    </row>
    <row r="6134">
      <c r="A6134" s="10"/>
      <c r="B6134" s="11"/>
      <c r="C6134" s="11"/>
      <c r="D6134" s="11"/>
    </row>
    <row r="6135">
      <c r="A6135" s="10"/>
      <c r="B6135" s="11"/>
      <c r="C6135" s="11"/>
      <c r="D6135" s="11"/>
    </row>
    <row r="6136">
      <c r="A6136" s="10"/>
      <c r="B6136" s="11"/>
      <c r="C6136" s="11"/>
      <c r="D6136" s="11"/>
    </row>
    <row r="6137">
      <c r="A6137" s="10"/>
      <c r="B6137" s="11"/>
      <c r="C6137" s="11"/>
      <c r="D6137" s="11"/>
    </row>
    <row r="6138">
      <c r="A6138" s="10"/>
      <c r="B6138" s="11"/>
      <c r="C6138" s="11"/>
      <c r="D6138" s="11"/>
    </row>
    <row r="6139">
      <c r="A6139" s="10"/>
      <c r="B6139" s="11"/>
      <c r="C6139" s="11"/>
      <c r="D6139" s="11"/>
    </row>
    <row r="6140">
      <c r="A6140" s="10"/>
      <c r="B6140" s="11"/>
      <c r="C6140" s="11"/>
      <c r="D6140" s="11"/>
    </row>
    <row r="6141">
      <c r="A6141" s="10"/>
      <c r="B6141" s="11"/>
      <c r="C6141" s="11"/>
      <c r="D6141" s="11"/>
    </row>
    <row r="6142">
      <c r="A6142" s="10"/>
      <c r="B6142" s="11"/>
      <c r="C6142" s="11"/>
      <c r="D6142" s="11"/>
    </row>
    <row r="6143">
      <c r="A6143" s="10"/>
      <c r="B6143" s="11"/>
      <c r="C6143" s="11"/>
      <c r="D6143" s="11"/>
    </row>
    <row r="6144">
      <c r="A6144" s="10"/>
      <c r="B6144" s="11"/>
      <c r="C6144" s="11"/>
      <c r="D6144" s="11"/>
    </row>
    <row r="6145">
      <c r="A6145" s="10"/>
      <c r="B6145" s="11"/>
      <c r="C6145" s="11"/>
      <c r="D6145" s="11"/>
    </row>
    <row r="6146">
      <c r="A6146" s="10"/>
      <c r="B6146" s="11"/>
      <c r="C6146" s="11"/>
      <c r="D6146" s="11"/>
    </row>
    <row r="6147">
      <c r="A6147" s="10"/>
      <c r="B6147" s="11"/>
      <c r="C6147" s="11"/>
      <c r="D6147" s="11"/>
    </row>
    <row r="6148">
      <c r="A6148" s="10"/>
      <c r="B6148" s="11"/>
      <c r="C6148" s="11"/>
      <c r="D6148" s="11"/>
    </row>
    <row r="6149">
      <c r="A6149" s="10"/>
      <c r="B6149" s="11"/>
      <c r="C6149" s="11"/>
      <c r="D6149" s="11"/>
    </row>
    <row r="6150">
      <c r="A6150" s="10"/>
      <c r="B6150" s="11"/>
      <c r="C6150" s="11"/>
      <c r="D6150" s="11"/>
    </row>
    <row r="6151">
      <c r="A6151" s="10"/>
      <c r="B6151" s="11"/>
      <c r="C6151" s="11"/>
      <c r="D6151" s="11"/>
    </row>
    <row r="6152">
      <c r="A6152" s="10"/>
      <c r="B6152" s="11"/>
      <c r="C6152" s="11"/>
      <c r="D6152" s="11"/>
    </row>
    <row r="6153">
      <c r="A6153" s="10"/>
      <c r="B6153" s="11"/>
      <c r="C6153" s="11"/>
      <c r="D6153" s="11"/>
    </row>
    <row r="6154">
      <c r="A6154" s="10"/>
      <c r="B6154" s="11"/>
      <c r="C6154" s="11"/>
      <c r="D6154" s="11"/>
    </row>
    <row r="6155">
      <c r="A6155" s="10"/>
      <c r="B6155" s="11"/>
      <c r="C6155" s="11"/>
      <c r="D6155" s="11"/>
    </row>
    <row r="6156">
      <c r="A6156" s="10"/>
      <c r="B6156" s="11"/>
      <c r="C6156" s="11"/>
      <c r="D6156" s="11"/>
    </row>
    <row r="6157">
      <c r="A6157" s="10"/>
      <c r="B6157" s="11"/>
      <c r="C6157" s="11"/>
      <c r="D6157" s="11"/>
    </row>
    <row r="6158">
      <c r="A6158" s="10"/>
      <c r="B6158" s="11"/>
      <c r="C6158" s="11"/>
      <c r="D6158" s="11"/>
    </row>
    <row r="6159">
      <c r="A6159" s="10"/>
      <c r="B6159" s="11"/>
      <c r="C6159" s="11"/>
      <c r="D6159" s="11"/>
    </row>
    <row r="6160">
      <c r="A6160" s="10"/>
      <c r="B6160" s="11"/>
      <c r="C6160" s="11"/>
      <c r="D6160" s="11"/>
    </row>
    <row r="6161">
      <c r="A6161" s="10"/>
      <c r="B6161" s="11"/>
      <c r="C6161" s="11"/>
      <c r="D6161" s="11"/>
    </row>
    <row r="6162">
      <c r="A6162" s="10"/>
      <c r="B6162" s="11"/>
      <c r="C6162" s="11"/>
      <c r="D6162" s="11"/>
    </row>
    <row r="6163">
      <c r="A6163" s="10"/>
      <c r="B6163" s="11"/>
      <c r="C6163" s="11"/>
      <c r="D6163" s="11"/>
    </row>
    <row r="6164">
      <c r="A6164" s="10"/>
      <c r="B6164" s="11"/>
      <c r="C6164" s="11"/>
      <c r="D6164" s="11"/>
    </row>
    <row r="6165">
      <c r="A6165" s="10"/>
      <c r="B6165" s="11"/>
      <c r="C6165" s="11"/>
      <c r="D6165" s="11"/>
    </row>
    <row r="6166">
      <c r="A6166" s="10"/>
      <c r="B6166" s="11"/>
      <c r="C6166" s="11"/>
      <c r="D6166" s="11"/>
    </row>
    <row r="6167">
      <c r="A6167" s="10"/>
      <c r="B6167" s="11"/>
      <c r="C6167" s="11"/>
      <c r="D6167" s="11"/>
    </row>
    <row r="6168">
      <c r="A6168" s="10"/>
      <c r="B6168" s="11"/>
      <c r="C6168" s="11"/>
      <c r="D6168" s="11"/>
    </row>
    <row r="6169">
      <c r="A6169" s="10"/>
      <c r="B6169" s="11"/>
      <c r="C6169" s="11"/>
      <c r="D6169" s="11"/>
    </row>
    <row r="6170">
      <c r="A6170" s="10"/>
      <c r="B6170" s="11"/>
      <c r="C6170" s="11"/>
      <c r="D6170" s="11"/>
    </row>
    <row r="6171">
      <c r="A6171" s="10"/>
      <c r="B6171" s="11"/>
      <c r="C6171" s="11"/>
      <c r="D6171" s="11"/>
    </row>
    <row r="6172">
      <c r="A6172" s="10"/>
      <c r="B6172" s="11"/>
      <c r="C6172" s="11"/>
      <c r="D6172" s="11"/>
    </row>
    <row r="6173">
      <c r="A6173" s="10"/>
      <c r="B6173" s="11"/>
      <c r="C6173" s="11"/>
      <c r="D6173" s="11"/>
    </row>
    <row r="6174">
      <c r="A6174" s="10"/>
      <c r="B6174" s="11"/>
      <c r="C6174" s="11"/>
      <c r="D6174" s="11"/>
    </row>
    <row r="6175">
      <c r="A6175" s="10"/>
      <c r="B6175" s="11"/>
      <c r="C6175" s="11"/>
      <c r="D6175" s="11"/>
    </row>
    <row r="6176">
      <c r="A6176" s="10"/>
      <c r="B6176" s="11"/>
      <c r="C6176" s="11"/>
      <c r="D6176" s="11"/>
    </row>
    <row r="6177">
      <c r="A6177" s="10"/>
      <c r="B6177" s="11"/>
      <c r="C6177" s="11"/>
      <c r="D6177" s="11"/>
    </row>
    <row r="6178">
      <c r="A6178" s="10"/>
      <c r="B6178" s="11"/>
      <c r="C6178" s="11"/>
      <c r="D6178" s="11"/>
    </row>
    <row r="6179">
      <c r="A6179" s="10"/>
      <c r="B6179" s="11"/>
      <c r="C6179" s="11"/>
      <c r="D6179" s="11"/>
    </row>
    <row r="6180">
      <c r="A6180" s="10"/>
      <c r="B6180" s="11"/>
      <c r="C6180" s="11"/>
      <c r="D6180" s="11"/>
    </row>
    <row r="6181">
      <c r="A6181" s="10"/>
      <c r="B6181" s="11"/>
      <c r="C6181" s="11"/>
      <c r="D6181" s="11"/>
    </row>
    <row r="6182">
      <c r="A6182" s="10"/>
      <c r="B6182" s="11"/>
      <c r="C6182" s="11"/>
      <c r="D6182" s="11"/>
    </row>
    <row r="6183">
      <c r="A6183" s="10"/>
      <c r="B6183" s="11"/>
      <c r="C6183" s="11"/>
      <c r="D6183" s="11"/>
    </row>
    <row r="6184">
      <c r="A6184" s="10"/>
      <c r="B6184" s="11"/>
      <c r="C6184" s="11"/>
      <c r="D6184" s="11"/>
    </row>
    <row r="6185">
      <c r="A6185" s="10"/>
      <c r="B6185" s="11"/>
      <c r="C6185" s="11"/>
      <c r="D6185" s="11"/>
    </row>
    <row r="6186">
      <c r="A6186" s="10"/>
      <c r="B6186" s="11"/>
      <c r="C6186" s="11"/>
      <c r="D6186" s="11"/>
    </row>
    <row r="6187">
      <c r="A6187" s="10"/>
      <c r="B6187" s="11"/>
      <c r="C6187" s="11"/>
      <c r="D6187" s="11"/>
    </row>
    <row r="6188">
      <c r="A6188" s="10"/>
      <c r="B6188" s="11"/>
      <c r="C6188" s="11"/>
      <c r="D6188" s="11"/>
    </row>
    <row r="6189">
      <c r="A6189" s="10"/>
      <c r="B6189" s="11"/>
      <c r="C6189" s="11"/>
      <c r="D6189" s="11"/>
    </row>
    <row r="6190">
      <c r="A6190" s="10"/>
      <c r="B6190" s="11"/>
      <c r="C6190" s="11"/>
      <c r="D6190" s="11"/>
    </row>
    <row r="6191">
      <c r="A6191" s="10"/>
      <c r="B6191" s="11"/>
      <c r="C6191" s="11"/>
      <c r="D6191" s="11"/>
    </row>
    <row r="6192">
      <c r="A6192" s="10"/>
      <c r="B6192" s="11"/>
      <c r="C6192" s="11"/>
      <c r="D6192" s="11"/>
    </row>
    <row r="6193">
      <c r="A6193" s="10"/>
      <c r="B6193" s="11"/>
      <c r="C6193" s="11"/>
      <c r="D6193" s="11"/>
    </row>
    <row r="6194">
      <c r="A6194" s="10"/>
      <c r="B6194" s="11"/>
      <c r="C6194" s="11"/>
      <c r="D6194" s="11"/>
    </row>
    <row r="6195">
      <c r="A6195" s="10"/>
      <c r="B6195" s="11"/>
      <c r="C6195" s="11"/>
      <c r="D6195" s="11"/>
    </row>
    <row r="6196">
      <c r="A6196" s="10"/>
      <c r="B6196" s="11"/>
      <c r="C6196" s="11"/>
      <c r="D6196" s="11"/>
    </row>
    <row r="6197">
      <c r="A6197" s="10"/>
      <c r="B6197" s="11"/>
      <c r="C6197" s="11"/>
      <c r="D6197" s="11"/>
    </row>
    <row r="6198">
      <c r="A6198" s="10"/>
      <c r="B6198" s="11"/>
      <c r="C6198" s="11"/>
      <c r="D6198" s="11"/>
    </row>
    <row r="6199">
      <c r="A6199" s="10"/>
      <c r="B6199" s="11"/>
      <c r="C6199" s="11"/>
      <c r="D6199" s="11"/>
    </row>
    <row r="6200">
      <c r="A6200" s="10"/>
      <c r="B6200" s="11"/>
      <c r="C6200" s="11"/>
      <c r="D6200" s="11"/>
    </row>
    <row r="6201">
      <c r="A6201" s="10"/>
      <c r="B6201" s="11"/>
      <c r="C6201" s="11"/>
      <c r="D6201" s="11"/>
    </row>
    <row r="6202">
      <c r="A6202" s="10"/>
      <c r="B6202" s="11"/>
      <c r="C6202" s="11"/>
      <c r="D6202" s="11"/>
    </row>
    <row r="6203">
      <c r="A6203" s="10"/>
      <c r="B6203" s="11"/>
      <c r="C6203" s="11"/>
      <c r="D6203" s="11"/>
    </row>
    <row r="6204">
      <c r="A6204" s="10"/>
      <c r="B6204" s="11"/>
      <c r="C6204" s="11"/>
      <c r="D6204" s="11"/>
    </row>
    <row r="6205">
      <c r="A6205" s="10"/>
      <c r="B6205" s="11"/>
      <c r="C6205" s="11"/>
      <c r="D6205" s="11"/>
    </row>
    <row r="6206">
      <c r="A6206" s="10"/>
      <c r="B6206" s="11"/>
      <c r="C6206" s="11"/>
      <c r="D6206" s="11"/>
    </row>
    <row r="6207">
      <c r="A6207" s="10"/>
      <c r="B6207" s="11"/>
      <c r="C6207" s="11"/>
      <c r="D6207" s="11"/>
    </row>
    <row r="6208">
      <c r="A6208" s="10"/>
      <c r="B6208" s="11"/>
      <c r="C6208" s="11"/>
      <c r="D6208" s="11"/>
    </row>
    <row r="6209">
      <c r="A6209" s="10"/>
      <c r="B6209" s="11"/>
      <c r="C6209" s="11"/>
      <c r="D6209" s="11"/>
    </row>
    <row r="6210">
      <c r="A6210" s="10"/>
      <c r="B6210" s="11"/>
      <c r="C6210" s="11"/>
      <c r="D6210" s="11"/>
    </row>
    <row r="6211">
      <c r="A6211" s="10"/>
      <c r="B6211" s="11"/>
      <c r="C6211" s="11"/>
      <c r="D6211" s="11"/>
    </row>
    <row r="6212">
      <c r="A6212" s="10"/>
      <c r="B6212" s="11"/>
      <c r="C6212" s="11"/>
      <c r="D6212" s="11"/>
    </row>
    <row r="6213">
      <c r="A6213" s="10"/>
      <c r="B6213" s="11"/>
      <c r="C6213" s="11"/>
      <c r="D6213" s="11"/>
    </row>
    <row r="6214">
      <c r="A6214" s="10"/>
      <c r="B6214" s="11"/>
      <c r="C6214" s="11"/>
      <c r="D6214" s="11"/>
    </row>
    <row r="6215">
      <c r="A6215" s="10"/>
      <c r="B6215" s="11"/>
      <c r="C6215" s="11"/>
      <c r="D6215" s="11"/>
    </row>
    <row r="6216">
      <c r="A6216" s="10"/>
      <c r="B6216" s="11"/>
      <c r="C6216" s="11"/>
      <c r="D6216" s="11"/>
    </row>
    <row r="6217">
      <c r="A6217" s="10"/>
      <c r="B6217" s="11"/>
      <c r="C6217" s="11"/>
      <c r="D6217" s="11"/>
    </row>
    <row r="6218">
      <c r="A6218" s="10"/>
      <c r="B6218" s="11"/>
      <c r="C6218" s="11"/>
      <c r="D6218" s="11"/>
    </row>
    <row r="6219">
      <c r="A6219" s="10"/>
      <c r="B6219" s="11"/>
      <c r="C6219" s="11"/>
      <c r="D6219" s="11"/>
    </row>
    <row r="6220">
      <c r="A6220" s="10"/>
      <c r="B6220" s="11"/>
      <c r="C6220" s="11"/>
      <c r="D6220" s="11"/>
    </row>
    <row r="6221">
      <c r="A6221" s="10"/>
      <c r="B6221" s="11"/>
      <c r="C6221" s="11"/>
      <c r="D6221" s="11"/>
    </row>
    <row r="6222">
      <c r="A6222" s="10"/>
      <c r="B6222" s="11"/>
      <c r="C6222" s="11"/>
      <c r="D6222" s="11"/>
    </row>
    <row r="6223">
      <c r="A6223" s="10"/>
      <c r="B6223" s="11"/>
      <c r="C6223" s="11"/>
      <c r="D6223" s="11"/>
    </row>
    <row r="6224">
      <c r="A6224" s="10"/>
      <c r="B6224" s="11"/>
      <c r="C6224" s="11"/>
      <c r="D6224" s="11"/>
    </row>
    <row r="6225">
      <c r="A6225" s="10"/>
      <c r="B6225" s="11"/>
      <c r="C6225" s="11"/>
      <c r="D6225" s="11"/>
    </row>
    <row r="6226">
      <c r="A6226" s="10"/>
      <c r="B6226" s="11"/>
      <c r="C6226" s="11"/>
      <c r="D6226" s="11"/>
    </row>
    <row r="6227">
      <c r="A6227" s="10"/>
      <c r="B6227" s="11"/>
      <c r="C6227" s="11"/>
      <c r="D6227" s="11"/>
    </row>
    <row r="6228">
      <c r="A6228" s="10"/>
      <c r="B6228" s="11"/>
      <c r="C6228" s="11"/>
      <c r="D6228" s="11"/>
    </row>
    <row r="6229">
      <c r="A6229" s="10"/>
      <c r="B6229" s="11"/>
      <c r="C6229" s="11"/>
      <c r="D6229" s="11"/>
    </row>
    <row r="6230">
      <c r="A6230" s="10"/>
      <c r="B6230" s="11"/>
      <c r="C6230" s="11"/>
      <c r="D6230" s="11"/>
    </row>
    <row r="6231">
      <c r="A6231" s="10"/>
      <c r="B6231" s="11"/>
      <c r="C6231" s="11"/>
      <c r="D6231" s="11"/>
    </row>
    <row r="6232">
      <c r="A6232" s="10"/>
      <c r="B6232" s="11"/>
      <c r="C6232" s="11"/>
      <c r="D6232" s="11"/>
    </row>
    <row r="6233">
      <c r="A6233" s="10"/>
      <c r="B6233" s="11"/>
      <c r="C6233" s="11"/>
      <c r="D6233" s="11"/>
    </row>
    <row r="6234">
      <c r="A6234" s="10"/>
      <c r="B6234" s="11"/>
      <c r="C6234" s="11"/>
      <c r="D6234" s="11"/>
    </row>
    <row r="6235">
      <c r="A6235" s="10"/>
      <c r="B6235" s="11"/>
      <c r="C6235" s="11"/>
      <c r="D6235" s="11"/>
    </row>
    <row r="6236">
      <c r="A6236" s="10"/>
      <c r="B6236" s="11"/>
      <c r="C6236" s="11"/>
      <c r="D6236" s="11"/>
    </row>
    <row r="6237">
      <c r="A6237" s="10"/>
      <c r="B6237" s="11"/>
      <c r="C6237" s="11"/>
      <c r="D6237" s="11"/>
    </row>
    <row r="6238">
      <c r="A6238" s="10"/>
      <c r="B6238" s="11"/>
      <c r="C6238" s="11"/>
      <c r="D6238" s="11"/>
    </row>
    <row r="6239">
      <c r="A6239" s="10"/>
      <c r="B6239" s="11"/>
      <c r="C6239" s="11"/>
      <c r="D6239" s="11"/>
    </row>
    <row r="6240">
      <c r="A6240" s="10"/>
      <c r="B6240" s="11"/>
      <c r="C6240" s="11"/>
      <c r="D6240" s="11"/>
    </row>
    <row r="6241">
      <c r="A6241" s="10"/>
      <c r="B6241" s="11"/>
      <c r="C6241" s="11"/>
      <c r="D6241" s="11"/>
    </row>
    <row r="6242">
      <c r="A6242" s="10"/>
      <c r="B6242" s="11"/>
      <c r="C6242" s="11"/>
      <c r="D6242" s="11"/>
    </row>
    <row r="6243">
      <c r="A6243" s="10"/>
      <c r="B6243" s="11"/>
      <c r="C6243" s="11"/>
      <c r="D6243" s="11"/>
    </row>
    <row r="6244">
      <c r="A6244" s="10"/>
      <c r="B6244" s="11"/>
      <c r="C6244" s="11"/>
      <c r="D6244" s="11"/>
    </row>
    <row r="6245">
      <c r="A6245" s="10"/>
      <c r="B6245" s="11"/>
      <c r="C6245" s="11"/>
      <c r="D6245" s="11"/>
    </row>
    <row r="6246">
      <c r="A6246" s="10"/>
      <c r="B6246" s="11"/>
      <c r="C6246" s="11"/>
      <c r="D6246" s="11"/>
    </row>
    <row r="6247">
      <c r="A6247" s="10"/>
      <c r="B6247" s="11"/>
      <c r="C6247" s="11"/>
      <c r="D6247" s="11"/>
    </row>
    <row r="6248">
      <c r="A6248" s="10"/>
      <c r="B6248" s="11"/>
      <c r="C6248" s="11"/>
      <c r="D6248" s="11"/>
    </row>
    <row r="6249">
      <c r="A6249" s="10"/>
      <c r="B6249" s="11"/>
      <c r="C6249" s="11"/>
      <c r="D6249" s="11"/>
    </row>
    <row r="6250">
      <c r="A6250" s="10"/>
      <c r="B6250" s="11"/>
      <c r="C6250" s="11"/>
      <c r="D6250" s="11"/>
    </row>
    <row r="6251">
      <c r="A6251" s="10"/>
      <c r="B6251" s="11"/>
      <c r="C6251" s="11"/>
      <c r="D6251" s="11"/>
    </row>
    <row r="6252">
      <c r="A6252" s="10"/>
      <c r="B6252" s="11"/>
      <c r="C6252" s="11"/>
      <c r="D6252" s="11"/>
    </row>
    <row r="6253">
      <c r="A6253" s="10"/>
      <c r="B6253" s="11"/>
      <c r="C6253" s="11"/>
      <c r="D6253" s="11"/>
    </row>
    <row r="6254">
      <c r="A6254" s="10"/>
      <c r="B6254" s="11"/>
      <c r="C6254" s="11"/>
      <c r="D6254" s="11"/>
    </row>
    <row r="6255">
      <c r="A6255" s="10"/>
      <c r="B6255" s="11"/>
      <c r="C6255" s="11"/>
      <c r="D6255" s="11"/>
    </row>
    <row r="6256">
      <c r="A6256" s="10"/>
      <c r="B6256" s="11"/>
      <c r="C6256" s="11"/>
      <c r="D6256" s="11"/>
    </row>
    <row r="6257">
      <c r="A6257" s="10"/>
      <c r="B6257" s="11"/>
      <c r="C6257" s="11"/>
      <c r="D6257" s="11"/>
    </row>
    <row r="6258">
      <c r="A6258" s="10"/>
      <c r="B6258" s="11"/>
      <c r="C6258" s="11"/>
      <c r="D6258" s="11"/>
    </row>
    <row r="6259">
      <c r="A6259" s="10"/>
      <c r="B6259" s="11"/>
      <c r="C6259" s="11"/>
      <c r="D6259" s="11"/>
    </row>
    <row r="6260">
      <c r="A6260" s="10"/>
      <c r="B6260" s="11"/>
      <c r="C6260" s="11"/>
      <c r="D6260" s="11"/>
    </row>
    <row r="6261">
      <c r="A6261" s="10"/>
      <c r="B6261" s="11"/>
      <c r="C6261" s="11"/>
      <c r="D6261" s="11"/>
    </row>
    <row r="6262">
      <c r="A6262" s="10"/>
      <c r="B6262" s="11"/>
      <c r="C6262" s="11"/>
      <c r="D6262" s="11"/>
    </row>
    <row r="6263">
      <c r="A6263" s="10"/>
      <c r="B6263" s="11"/>
      <c r="C6263" s="11"/>
      <c r="D6263" s="11"/>
    </row>
    <row r="6264">
      <c r="A6264" s="10"/>
      <c r="B6264" s="11"/>
      <c r="C6264" s="11"/>
      <c r="D6264" s="11"/>
    </row>
    <row r="6265">
      <c r="A6265" s="10"/>
      <c r="B6265" s="11"/>
      <c r="C6265" s="11"/>
      <c r="D6265" s="11"/>
    </row>
    <row r="6266">
      <c r="A6266" s="10"/>
      <c r="B6266" s="11"/>
      <c r="C6266" s="11"/>
      <c r="D6266" s="11"/>
    </row>
    <row r="6267">
      <c r="A6267" s="10"/>
      <c r="B6267" s="11"/>
      <c r="C6267" s="11"/>
      <c r="D6267" s="11"/>
    </row>
    <row r="6268">
      <c r="A6268" s="10"/>
      <c r="B6268" s="11"/>
      <c r="C6268" s="11"/>
      <c r="D6268" s="11"/>
    </row>
    <row r="6269">
      <c r="A6269" s="10"/>
      <c r="B6269" s="11"/>
      <c r="C6269" s="11"/>
      <c r="D6269" s="11"/>
    </row>
    <row r="6270">
      <c r="A6270" s="10"/>
      <c r="B6270" s="11"/>
      <c r="C6270" s="11"/>
      <c r="D6270" s="11"/>
    </row>
    <row r="6271">
      <c r="A6271" s="10"/>
      <c r="B6271" s="11"/>
      <c r="C6271" s="11"/>
      <c r="D6271" s="11"/>
    </row>
    <row r="6272">
      <c r="A6272" s="10"/>
      <c r="B6272" s="11"/>
      <c r="C6272" s="11"/>
      <c r="D6272" s="11"/>
    </row>
    <row r="6273">
      <c r="A6273" s="10"/>
      <c r="B6273" s="11"/>
      <c r="C6273" s="11"/>
      <c r="D6273" s="11"/>
    </row>
    <row r="6274">
      <c r="A6274" s="10"/>
      <c r="B6274" s="11"/>
      <c r="C6274" s="11"/>
      <c r="D6274" s="11"/>
    </row>
    <row r="6275">
      <c r="A6275" s="10"/>
      <c r="B6275" s="11"/>
      <c r="C6275" s="11"/>
      <c r="D6275" s="11"/>
    </row>
    <row r="6276">
      <c r="A6276" s="10"/>
      <c r="B6276" s="11"/>
      <c r="C6276" s="11"/>
      <c r="D6276" s="11"/>
    </row>
    <row r="6277">
      <c r="A6277" s="10"/>
      <c r="B6277" s="11"/>
      <c r="C6277" s="11"/>
      <c r="D6277" s="11"/>
    </row>
    <row r="6278">
      <c r="A6278" s="10"/>
      <c r="B6278" s="11"/>
      <c r="C6278" s="11"/>
      <c r="D6278" s="11"/>
    </row>
    <row r="6279">
      <c r="A6279" s="10"/>
      <c r="B6279" s="11"/>
      <c r="C6279" s="11"/>
      <c r="D6279" s="11"/>
    </row>
    <row r="6280">
      <c r="A6280" s="10"/>
      <c r="B6280" s="11"/>
      <c r="C6280" s="11"/>
      <c r="D6280" s="11"/>
    </row>
    <row r="6281">
      <c r="A6281" s="10"/>
      <c r="B6281" s="11"/>
      <c r="C6281" s="11"/>
      <c r="D6281" s="11"/>
    </row>
    <row r="6282">
      <c r="A6282" s="10"/>
      <c r="B6282" s="11"/>
      <c r="C6282" s="11"/>
      <c r="D6282" s="11"/>
    </row>
    <row r="6283">
      <c r="A6283" s="10"/>
      <c r="B6283" s="11"/>
      <c r="C6283" s="11"/>
      <c r="D6283" s="11"/>
    </row>
    <row r="6284">
      <c r="A6284" s="10"/>
      <c r="B6284" s="11"/>
      <c r="C6284" s="11"/>
      <c r="D6284" s="11"/>
    </row>
    <row r="6285">
      <c r="A6285" s="10"/>
      <c r="B6285" s="11"/>
      <c r="C6285" s="11"/>
      <c r="D6285" s="11"/>
    </row>
    <row r="6286">
      <c r="A6286" s="10"/>
      <c r="B6286" s="11"/>
      <c r="C6286" s="11"/>
      <c r="D6286" s="11"/>
    </row>
    <row r="6287">
      <c r="A6287" s="10"/>
      <c r="B6287" s="11"/>
      <c r="C6287" s="11"/>
      <c r="D6287" s="11"/>
    </row>
    <row r="6288">
      <c r="A6288" s="10"/>
      <c r="B6288" s="11"/>
      <c r="C6288" s="11"/>
      <c r="D6288" s="11"/>
    </row>
    <row r="6289">
      <c r="A6289" s="10"/>
      <c r="B6289" s="11"/>
      <c r="C6289" s="11"/>
      <c r="D6289" s="11"/>
    </row>
    <row r="6290">
      <c r="A6290" s="10"/>
      <c r="B6290" s="11"/>
      <c r="C6290" s="11"/>
      <c r="D6290" s="11"/>
    </row>
    <row r="6291">
      <c r="A6291" s="10"/>
      <c r="B6291" s="11"/>
      <c r="C6291" s="11"/>
      <c r="D6291" s="11"/>
    </row>
    <row r="6292">
      <c r="A6292" s="10"/>
      <c r="B6292" s="11"/>
      <c r="C6292" s="11"/>
      <c r="D6292" s="11"/>
    </row>
    <row r="6293">
      <c r="A6293" s="10"/>
      <c r="B6293" s="11"/>
      <c r="C6293" s="11"/>
      <c r="D6293" s="11"/>
    </row>
    <row r="6294">
      <c r="A6294" s="10"/>
      <c r="B6294" s="11"/>
      <c r="C6294" s="11"/>
      <c r="D6294" s="11"/>
    </row>
    <row r="6295">
      <c r="A6295" s="10"/>
      <c r="B6295" s="11"/>
      <c r="C6295" s="11"/>
      <c r="D6295" s="11"/>
    </row>
    <row r="6296">
      <c r="A6296" s="10"/>
      <c r="B6296" s="11"/>
      <c r="C6296" s="11"/>
      <c r="D6296" s="11"/>
    </row>
    <row r="6297">
      <c r="A6297" s="10"/>
      <c r="B6297" s="11"/>
      <c r="C6297" s="11"/>
      <c r="D6297" s="11"/>
    </row>
    <row r="6298">
      <c r="A6298" s="10"/>
      <c r="B6298" s="11"/>
      <c r="C6298" s="11"/>
      <c r="D6298" s="11"/>
    </row>
    <row r="6299">
      <c r="A6299" s="10"/>
      <c r="B6299" s="11"/>
      <c r="C6299" s="11"/>
      <c r="D6299" s="11"/>
    </row>
    <row r="6300">
      <c r="A6300" s="10"/>
      <c r="B6300" s="11"/>
      <c r="C6300" s="11"/>
      <c r="D6300" s="11"/>
    </row>
    <row r="6301">
      <c r="A6301" s="10"/>
      <c r="B6301" s="11"/>
      <c r="C6301" s="11"/>
      <c r="D6301" s="11"/>
    </row>
    <row r="6302">
      <c r="A6302" s="10"/>
      <c r="B6302" s="11"/>
      <c r="C6302" s="11"/>
      <c r="D6302" s="11"/>
    </row>
    <row r="6303">
      <c r="A6303" s="10"/>
      <c r="B6303" s="11"/>
      <c r="C6303" s="11"/>
      <c r="D6303" s="11"/>
    </row>
    <row r="6304">
      <c r="A6304" s="10"/>
      <c r="B6304" s="11"/>
      <c r="C6304" s="11"/>
      <c r="D6304" s="11"/>
    </row>
    <row r="6305">
      <c r="A6305" s="10"/>
      <c r="B6305" s="11"/>
      <c r="C6305" s="11"/>
      <c r="D6305" s="11"/>
    </row>
    <row r="6306">
      <c r="A6306" s="10"/>
      <c r="B6306" s="11"/>
      <c r="C6306" s="11"/>
      <c r="D6306" s="11"/>
    </row>
    <row r="6307">
      <c r="A6307" s="10"/>
      <c r="B6307" s="11"/>
      <c r="C6307" s="11"/>
      <c r="D6307" s="11"/>
    </row>
    <row r="6308">
      <c r="A6308" s="10"/>
      <c r="B6308" s="11"/>
      <c r="C6308" s="11"/>
      <c r="D6308" s="11"/>
    </row>
    <row r="6309">
      <c r="A6309" s="10"/>
      <c r="B6309" s="11"/>
      <c r="C6309" s="11"/>
      <c r="D6309" s="11"/>
    </row>
    <row r="6310">
      <c r="A6310" s="10"/>
      <c r="B6310" s="11"/>
      <c r="C6310" s="11"/>
      <c r="D6310" s="11"/>
    </row>
    <row r="6311">
      <c r="A6311" s="10"/>
      <c r="B6311" s="11"/>
      <c r="C6311" s="11"/>
      <c r="D6311" s="11"/>
    </row>
    <row r="6312">
      <c r="A6312" s="10"/>
      <c r="B6312" s="11"/>
      <c r="C6312" s="11"/>
      <c r="D6312" s="11"/>
    </row>
    <row r="6313">
      <c r="A6313" s="10"/>
      <c r="B6313" s="11"/>
      <c r="C6313" s="11"/>
      <c r="D6313" s="11"/>
    </row>
    <row r="6314">
      <c r="A6314" s="10"/>
      <c r="B6314" s="11"/>
      <c r="C6314" s="11"/>
      <c r="D6314" s="11"/>
    </row>
    <row r="6315">
      <c r="A6315" s="10"/>
      <c r="B6315" s="11"/>
      <c r="C6315" s="11"/>
      <c r="D6315" s="11"/>
    </row>
    <row r="6316">
      <c r="A6316" s="10"/>
      <c r="B6316" s="11"/>
      <c r="C6316" s="11"/>
      <c r="D6316" s="11"/>
    </row>
    <row r="6317">
      <c r="A6317" s="10"/>
      <c r="B6317" s="11"/>
      <c r="C6317" s="11"/>
      <c r="D6317" s="11"/>
    </row>
    <row r="6318">
      <c r="A6318" s="10"/>
      <c r="B6318" s="11"/>
      <c r="C6318" s="11"/>
      <c r="D6318" s="11"/>
    </row>
    <row r="6319">
      <c r="A6319" s="10"/>
      <c r="B6319" s="11"/>
      <c r="C6319" s="11"/>
      <c r="D6319" s="11"/>
    </row>
    <row r="6320">
      <c r="A6320" s="10"/>
      <c r="B6320" s="11"/>
      <c r="C6320" s="11"/>
      <c r="D6320" s="11"/>
    </row>
    <row r="6321">
      <c r="A6321" s="10"/>
      <c r="B6321" s="11"/>
      <c r="C6321" s="11"/>
      <c r="D6321" s="11"/>
    </row>
    <row r="6322">
      <c r="A6322" s="10"/>
      <c r="B6322" s="11"/>
      <c r="C6322" s="11"/>
      <c r="D6322" s="11"/>
    </row>
    <row r="6323">
      <c r="A6323" s="10"/>
      <c r="B6323" s="11"/>
      <c r="C6323" s="11"/>
      <c r="D6323" s="11"/>
    </row>
    <row r="6324">
      <c r="A6324" s="10"/>
      <c r="B6324" s="11"/>
      <c r="C6324" s="11"/>
      <c r="D6324" s="11"/>
    </row>
    <row r="6325">
      <c r="A6325" s="10"/>
      <c r="B6325" s="11"/>
      <c r="C6325" s="11"/>
      <c r="D6325" s="11"/>
    </row>
    <row r="6326">
      <c r="A6326" s="10"/>
      <c r="B6326" s="11"/>
      <c r="C6326" s="11"/>
      <c r="D6326" s="11"/>
    </row>
    <row r="6327">
      <c r="A6327" s="10"/>
      <c r="B6327" s="11"/>
      <c r="C6327" s="11"/>
      <c r="D6327" s="11"/>
    </row>
    <row r="6328">
      <c r="A6328" s="10"/>
      <c r="B6328" s="11"/>
      <c r="C6328" s="11"/>
      <c r="D6328" s="11"/>
    </row>
    <row r="6329">
      <c r="A6329" s="10"/>
      <c r="B6329" s="11"/>
      <c r="C6329" s="11"/>
      <c r="D6329" s="11"/>
    </row>
    <row r="6330">
      <c r="A6330" s="10"/>
      <c r="B6330" s="11"/>
      <c r="C6330" s="11"/>
      <c r="D6330" s="11"/>
    </row>
    <row r="6331">
      <c r="A6331" s="10"/>
      <c r="B6331" s="11"/>
      <c r="C6331" s="11"/>
      <c r="D6331" s="11"/>
    </row>
    <row r="6332">
      <c r="A6332" s="10"/>
      <c r="B6332" s="11"/>
      <c r="C6332" s="11"/>
      <c r="D6332" s="11"/>
    </row>
    <row r="6333">
      <c r="A6333" s="10"/>
      <c r="B6333" s="11"/>
      <c r="C6333" s="11"/>
      <c r="D6333" s="11"/>
    </row>
    <row r="6334">
      <c r="A6334" s="10"/>
      <c r="B6334" s="11"/>
      <c r="C6334" s="11"/>
      <c r="D6334" s="11"/>
    </row>
    <row r="6335">
      <c r="A6335" s="10"/>
      <c r="B6335" s="11"/>
      <c r="C6335" s="11"/>
      <c r="D6335" s="11"/>
    </row>
    <row r="6336">
      <c r="A6336" s="10"/>
      <c r="B6336" s="11"/>
      <c r="C6336" s="11"/>
      <c r="D6336" s="11"/>
    </row>
    <row r="6337">
      <c r="A6337" s="10"/>
      <c r="B6337" s="11"/>
      <c r="C6337" s="11"/>
      <c r="D6337" s="11"/>
    </row>
    <row r="6338">
      <c r="A6338" s="10"/>
      <c r="B6338" s="11"/>
      <c r="C6338" s="11"/>
      <c r="D6338" s="11"/>
    </row>
    <row r="6339">
      <c r="A6339" s="10"/>
      <c r="B6339" s="11"/>
      <c r="C6339" s="11"/>
      <c r="D6339" s="11"/>
    </row>
    <row r="6340">
      <c r="A6340" s="10"/>
      <c r="B6340" s="11"/>
      <c r="C6340" s="11"/>
      <c r="D6340" s="11"/>
    </row>
    <row r="6341">
      <c r="A6341" s="10"/>
      <c r="B6341" s="11"/>
      <c r="C6341" s="11"/>
      <c r="D6341" s="11"/>
    </row>
    <row r="6342">
      <c r="A6342" s="10"/>
      <c r="B6342" s="11"/>
      <c r="C6342" s="11"/>
      <c r="D6342" s="11"/>
    </row>
    <row r="6343">
      <c r="A6343" s="10"/>
      <c r="B6343" s="11"/>
      <c r="C6343" s="11"/>
      <c r="D6343" s="11"/>
    </row>
    <row r="6344">
      <c r="A6344" s="10"/>
      <c r="B6344" s="11"/>
      <c r="C6344" s="11"/>
      <c r="D6344" s="11"/>
    </row>
    <row r="6345">
      <c r="A6345" s="10"/>
      <c r="B6345" s="11"/>
      <c r="C6345" s="11"/>
      <c r="D6345" s="11"/>
    </row>
    <row r="6346">
      <c r="A6346" s="10"/>
      <c r="B6346" s="11"/>
      <c r="C6346" s="11"/>
      <c r="D6346" s="11"/>
    </row>
    <row r="6347">
      <c r="A6347" s="10"/>
      <c r="B6347" s="11"/>
      <c r="C6347" s="11"/>
      <c r="D6347" s="11"/>
    </row>
    <row r="6348">
      <c r="A6348" s="10"/>
      <c r="B6348" s="11"/>
      <c r="C6348" s="11"/>
      <c r="D6348" s="11"/>
    </row>
    <row r="6349">
      <c r="A6349" s="10"/>
      <c r="B6349" s="11"/>
      <c r="C6349" s="11"/>
      <c r="D6349" s="11"/>
    </row>
    <row r="6350">
      <c r="A6350" s="10"/>
      <c r="B6350" s="11"/>
      <c r="C6350" s="11"/>
      <c r="D6350" s="11"/>
    </row>
    <row r="6351">
      <c r="A6351" s="10"/>
      <c r="B6351" s="11"/>
      <c r="C6351" s="11"/>
      <c r="D6351" s="11"/>
    </row>
    <row r="6352">
      <c r="A6352" s="10"/>
      <c r="B6352" s="11"/>
      <c r="C6352" s="11"/>
      <c r="D6352" s="11"/>
    </row>
    <row r="6353">
      <c r="A6353" s="10"/>
      <c r="B6353" s="11"/>
      <c r="C6353" s="11"/>
      <c r="D6353" s="11"/>
    </row>
    <row r="6354">
      <c r="A6354" s="10"/>
      <c r="B6354" s="11"/>
      <c r="C6354" s="11"/>
      <c r="D6354" s="11"/>
    </row>
    <row r="6355">
      <c r="A6355" s="10"/>
      <c r="B6355" s="11"/>
      <c r="C6355" s="11"/>
      <c r="D6355" s="11"/>
    </row>
    <row r="6356">
      <c r="A6356" s="10"/>
      <c r="B6356" s="11"/>
      <c r="C6356" s="11"/>
      <c r="D6356" s="11"/>
    </row>
    <row r="6357">
      <c r="A6357" s="10"/>
      <c r="B6357" s="11"/>
      <c r="C6357" s="11"/>
      <c r="D6357" s="11"/>
    </row>
    <row r="6358">
      <c r="A6358" s="10"/>
      <c r="B6358" s="11"/>
      <c r="C6358" s="11"/>
      <c r="D6358" s="11"/>
    </row>
    <row r="6359">
      <c r="A6359" s="10"/>
      <c r="B6359" s="11"/>
      <c r="C6359" s="11"/>
      <c r="D6359" s="11"/>
    </row>
    <row r="6360">
      <c r="A6360" s="10"/>
      <c r="B6360" s="11"/>
      <c r="C6360" s="11"/>
      <c r="D6360" s="11"/>
    </row>
    <row r="6361">
      <c r="A6361" s="10"/>
      <c r="B6361" s="11"/>
      <c r="C6361" s="11"/>
      <c r="D6361" s="11"/>
    </row>
    <row r="6362">
      <c r="A6362" s="10"/>
      <c r="B6362" s="11"/>
      <c r="C6362" s="11"/>
      <c r="D6362" s="11"/>
    </row>
    <row r="6363">
      <c r="A6363" s="10"/>
      <c r="B6363" s="11"/>
      <c r="C6363" s="11"/>
      <c r="D6363" s="11"/>
    </row>
    <row r="6364">
      <c r="A6364" s="10"/>
      <c r="B6364" s="11"/>
      <c r="C6364" s="11"/>
      <c r="D6364" s="11"/>
    </row>
    <row r="6365">
      <c r="A6365" s="10"/>
      <c r="B6365" s="11"/>
      <c r="C6365" s="11"/>
      <c r="D6365" s="11"/>
    </row>
    <row r="6366">
      <c r="A6366" s="10"/>
      <c r="B6366" s="11"/>
      <c r="C6366" s="11"/>
      <c r="D6366" s="11"/>
    </row>
    <row r="6367">
      <c r="A6367" s="10"/>
      <c r="B6367" s="11"/>
      <c r="C6367" s="11"/>
      <c r="D6367" s="11"/>
    </row>
    <row r="6368">
      <c r="A6368" s="10"/>
      <c r="B6368" s="11"/>
      <c r="C6368" s="11"/>
      <c r="D6368" s="11"/>
    </row>
    <row r="6369">
      <c r="A6369" s="10"/>
      <c r="B6369" s="11"/>
      <c r="C6369" s="11"/>
      <c r="D6369" s="11"/>
    </row>
    <row r="6370">
      <c r="A6370" s="10"/>
      <c r="B6370" s="11"/>
      <c r="C6370" s="11"/>
      <c r="D6370" s="11"/>
    </row>
    <row r="6371">
      <c r="A6371" s="10"/>
      <c r="B6371" s="11"/>
      <c r="C6371" s="11"/>
      <c r="D6371" s="11"/>
    </row>
    <row r="6372">
      <c r="A6372" s="10"/>
      <c r="B6372" s="11"/>
      <c r="C6372" s="11"/>
      <c r="D6372" s="11"/>
    </row>
    <row r="6373">
      <c r="A6373" s="10"/>
      <c r="B6373" s="11"/>
      <c r="C6373" s="11"/>
      <c r="D6373" s="11"/>
    </row>
    <row r="6374">
      <c r="A6374" s="10"/>
      <c r="B6374" s="11"/>
      <c r="C6374" s="11"/>
      <c r="D6374" s="11"/>
    </row>
    <row r="6375">
      <c r="A6375" s="10"/>
      <c r="B6375" s="11"/>
      <c r="C6375" s="11"/>
      <c r="D6375" s="11"/>
    </row>
    <row r="6376">
      <c r="A6376" s="10"/>
      <c r="B6376" s="11"/>
      <c r="C6376" s="11"/>
      <c r="D6376" s="11"/>
    </row>
    <row r="6377">
      <c r="A6377" s="10"/>
      <c r="B6377" s="11"/>
      <c r="C6377" s="11"/>
      <c r="D6377" s="11"/>
    </row>
    <row r="6378">
      <c r="A6378" s="10"/>
      <c r="B6378" s="11"/>
      <c r="C6378" s="11"/>
      <c r="D6378" s="11"/>
    </row>
    <row r="6379">
      <c r="A6379" s="10"/>
      <c r="B6379" s="11"/>
      <c r="C6379" s="11"/>
      <c r="D6379" s="11"/>
    </row>
    <row r="6380">
      <c r="A6380" s="10"/>
      <c r="B6380" s="11"/>
      <c r="C6380" s="11"/>
      <c r="D6380" s="11"/>
    </row>
    <row r="6381">
      <c r="A6381" s="10"/>
      <c r="B6381" s="11"/>
      <c r="C6381" s="11"/>
      <c r="D6381" s="11"/>
    </row>
    <row r="6382">
      <c r="A6382" s="10"/>
      <c r="B6382" s="11"/>
      <c r="C6382" s="11"/>
      <c r="D6382" s="11"/>
    </row>
    <row r="6383">
      <c r="A6383" s="10"/>
      <c r="B6383" s="11"/>
      <c r="C6383" s="11"/>
      <c r="D6383" s="11"/>
    </row>
    <row r="6384">
      <c r="A6384" s="10"/>
      <c r="B6384" s="11"/>
      <c r="C6384" s="11"/>
      <c r="D6384" s="11"/>
    </row>
    <row r="6385">
      <c r="A6385" s="10"/>
      <c r="B6385" s="11"/>
      <c r="C6385" s="11"/>
      <c r="D6385" s="11"/>
    </row>
    <row r="6386">
      <c r="A6386" s="10"/>
      <c r="B6386" s="11"/>
      <c r="C6386" s="11"/>
      <c r="D6386" s="11"/>
    </row>
    <row r="6387">
      <c r="A6387" s="10"/>
      <c r="B6387" s="11"/>
      <c r="C6387" s="11"/>
      <c r="D6387" s="11"/>
    </row>
    <row r="6388">
      <c r="A6388" s="10"/>
      <c r="B6388" s="11"/>
      <c r="C6388" s="11"/>
      <c r="D6388" s="11"/>
    </row>
    <row r="6389">
      <c r="A6389" s="10"/>
      <c r="B6389" s="11"/>
      <c r="C6389" s="11"/>
      <c r="D6389" s="11"/>
    </row>
    <row r="6390">
      <c r="A6390" s="10"/>
      <c r="B6390" s="11"/>
      <c r="C6390" s="11"/>
      <c r="D6390" s="11"/>
    </row>
    <row r="6391">
      <c r="A6391" s="10"/>
      <c r="B6391" s="11"/>
      <c r="C6391" s="11"/>
      <c r="D6391" s="11"/>
    </row>
    <row r="6392">
      <c r="A6392" s="10"/>
      <c r="B6392" s="11"/>
      <c r="C6392" s="11"/>
      <c r="D6392" s="11"/>
    </row>
    <row r="6393">
      <c r="A6393" s="10"/>
      <c r="B6393" s="11"/>
      <c r="C6393" s="11"/>
      <c r="D6393" s="11"/>
    </row>
    <row r="6394">
      <c r="A6394" s="10"/>
      <c r="B6394" s="11"/>
      <c r="C6394" s="11"/>
      <c r="D6394" s="11"/>
    </row>
    <row r="6395">
      <c r="A6395" s="10"/>
      <c r="B6395" s="11"/>
      <c r="C6395" s="11"/>
      <c r="D6395" s="11"/>
    </row>
    <row r="6396">
      <c r="A6396" s="10"/>
      <c r="B6396" s="11"/>
      <c r="C6396" s="11"/>
      <c r="D6396" s="11"/>
    </row>
    <row r="6397">
      <c r="A6397" s="10"/>
      <c r="B6397" s="11"/>
      <c r="C6397" s="11"/>
      <c r="D6397" s="11"/>
    </row>
    <row r="6398">
      <c r="A6398" s="10"/>
      <c r="B6398" s="11"/>
      <c r="C6398" s="11"/>
      <c r="D6398" s="11"/>
    </row>
    <row r="6399">
      <c r="A6399" s="10"/>
      <c r="B6399" s="11"/>
      <c r="C6399" s="11"/>
      <c r="D6399" s="11"/>
    </row>
    <row r="6400">
      <c r="A6400" s="10"/>
      <c r="B6400" s="11"/>
      <c r="C6400" s="11"/>
      <c r="D6400" s="11"/>
    </row>
    <row r="6401">
      <c r="A6401" s="10"/>
      <c r="B6401" s="11"/>
      <c r="C6401" s="11"/>
      <c r="D6401" s="11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75"/>
  </cols>
  <sheetData>
    <row r="1">
      <c r="A1" s="12" t="str">
        <f>IFERROR(__xludf.DUMMYFUNCTION("IMPORTRANGE(""https://docs.google.com/spreadsheets/d/1chnFBiaq2bC8mS6oqeUvH2kmOHLoK3aQ0gxo8FEpLGU/edit#gid=155111029"",""sales from stock!A1:E5901"")"),"year")</f>
        <v>year</v>
      </c>
      <c r="B1" s="12" t="str">
        <f>IFERROR(__xludf.DUMMYFUNCTION("""COMPUTED_VALUE"""),"month")</f>
        <v>month</v>
      </c>
      <c r="C1" s="12" t="str">
        <f>IFERROR(__xludf.DUMMYFUNCTION("""COMPUTED_VALUE"""),"product_id")</f>
        <v>product_id</v>
      </c>
      <c r="D1" s="12" t="str">
        <f>IFERROR(__xludf.DUMMYFUNCTION("""COMPUTED_VALUE"""),"qty")</f>
        <v>qty</v>
      </c>
      <c r="E1" s="9"/>
    </row>
    <row r="2">
      <c r="A2" s="11">
        <f>IFERROR(__xludf.DUMMYFUNCTION("""COMPUTED_VALUE"""),2021.0)</f>
        <v>2021</v>
      </c>
      <c r="B2" s="11">
        <f>IFERROR(__xludf.DUMMYFUNCTION("""COMPUTED_VALUE"""),11.0)</f>
        <v>11</v>
      </c>
      <c r="C2" s="11">
        <f>IFERROR(__xludf.DUMMYFUNCTION("""COMPUTED_VALUE"""),112463.0)</f>
        <v>112463</v>
      </c>
      <c r="D2" s="11">
        <f>IFERROR(__xludf.DUMMYFUNCTION("""COMPUTED_VALUE"""),115.0)</f>
        <v>115</v>
      </c>
      <c r="E2" s="9"/>
    </row>
    <row r="3">
      <c r="A3" s="11">
        <f>IFERROR(__xludf.DUMMYFUNCTION("""COMPUTED_VALUE"""),2021.0)</f>
        <v>2021</v>
      </c>
      <c r="B3" s="11">
        <f>IFERROR(__xludf.DUMMYFUNCTION("""COMPUTED_VALUE"""),8.0)</f>
        <v>8</v>
      </c>
      <c r="C3" s="11">
        <f>IFERROR(__xludf.DUMMYFUNCTION("""COMPUTED_VALUE"""),112481.0)</f>
        <v>112481</v>
      </c>
      <c r="D3" s="11">
        <f>IFERROR(__xludf.DUMMYFUNCTION("""COMPUTED_VALUE"""),697.0)</f>
        <v>697</v>
      </c>
      <c r="E3" s="9"/>
    </row>
    <row r="4">
      <c r="A4" s="11">
        <f>IFERROR(__xludf.DUMMYFUNCTION("""COMPUTED_VALUE"""),2021.0)</f>
        <v>2021</v>
      </c>
      <c r="B4" s="11">
        <f>IFERROR(__xludf.DUMMYFUNCTION("""COMPUTED_VALUE"""),11.0)</f>
        <v>11</v>
      </c>
      <c r="C4" s="11">
        <f>IFERROR(__xludf.DUMMYFUNCTION("""COMPUTED_VALUE"""),13346.0)</f>
        <v>13346</v>
      </c>
      <c r="D4" s="11">
        <f>IFERROR(__xludf.DUMMYFUNCTION("""COMPUTED_VALUE"""),1637.0)</f>
        <v>1637</v>
      </c>
      <c r="E4" s="9"/>
    </row>
    <row r="5">
      <c r="A5" s="11">
        <f>IFERROR(__xludf.DUMMYFUNCTION("""COMPUTED_VALUE"""),2021.0)</f>
        <v>2021</v>
      </c>
      <c r="B5" s="11">
        <f>IFERROR(__xludf.DUMMYFUNCTION("""COMPUTED_VALUE"""),10.0)</f>
        <v>10</v>
      </c>
      <c r="C5" s="11">
        <f>IFERROR(__xludf.DUMMYFUNCTION("""COMPUTED_VALUE"""),112454.0)</f>
        <v>112454</v>
      </c>
      <c r="D5" s="11">
        <f>IFERROR(__xludf.DUMMYFUNCTION("""COMPUTED_VALUE"""),781.0)</f>
        <v>781</v>
      </c>
      <c r="E5" s="9"/>
    </row>
    <row r="6">
      <c r="A6" s="11">
        <f>IFERROR(__xludf.DUMMYFUNCTION("""COMPUTED_VALUE"""),2021.0)</f>
        <v>2021</v>
      </c>
      <c r="B6" s="11">
        <f>IFERROR(__xludf.DUMMYFUNCTION("""COMPUTED_VALUE"""),8.0)</f>
        <v>8</v>
      </c>
      <c r="C6" s="11">
        <f>IFERROR(__xludf.DUMMYFUNCTION("""COMPUTED_VALUE"""),112461.0)</f>
        <v>112461</v>
      </c>
      <c r="D6" s="11">
        <f>IFERROR(__xludf.DUMMYFUNCTION("""COMPUTED_VALUE"""),619.0)</f>
        <v>619</v>
      </c>
      <c r="E6" s="9"/>
    </row>
    <row r="7">
      <c r="A7" s="11">
        <f>IFERROR(__xludf.DUMMYFUNCTION("""COMPUTED_VALUE"""),2021.0)</f>
        <v>2021</v>
      </c>
      <c r="B7" s="11">
        <f>IFERROR(__xludf.DUMMYFUNCTION("""COMPUTED_VALUE"""),8.0)</f>
        <v>8</v>
      </c>
      <c r="C7" s="11">
        <f>IFERROR(__xludf.DUMMYFUNCTION("""COMPUTED_VALUE"""),106532.0)</f>
        <v>106532</v>
      </c>
      <c r="D7" s="11">
        <f>IFERROR(__xludf.DUMMYFUNCTION("""COMPUTED_VALUE"""),141.0)</f>
        <v>141</v>
      </c>
      <c r="E7" s="9"/>
    </row>
    <row r="8">
      <c r="A8" s="11">
        <f>IFERROR(__xludf.DUMMYFUNCTION("""COMPUTED_VALUE"""),2021.0)</f>
        <v>2021</v>
      </c>
      <c r="B8" s="11">
        <f>IFERROR(__xludf.DUMMYFUNCTION("""COMPUTED_VALUE"""),11.0)</f>
        <v>11</v>
      </c>
      <c r="C8" s="11">
        <f>IFERROR(__xludf.DUMMYFUNCTION("""COMPUTED_VALUE"""),121135.0)</f>
        <v>121135</v>
      </c>
      <c r="D8" s="11">
        <f>IFERROR(__xludf.DUMMYFUNCTION("""COMPUTED_VALUE"""),1703.0)</f>
        <v>1703</v>
      </c>
      <c r="E8" s="9"/>
    </row>
    <row r="9">
      <c r="A9" s="11">
        <f>IFERROR(__xludf.DUMMYFUNCTION("""COMPUTED_VALUE"""),2021.0)</f>
        <v>2021</v>
      </c>
      <c r="B9" s="11">
        <f>IFERROR(__xludf.DUMMYFUNCTION("""COMPUTED_VALUE"""),10.0)</f>
        <v>10</v>
      </c>
      <c r="C9" s="11">
        <f>IFERROR(__xludf.DUMMYFUNCTION("""COMPUTED_VALUE"""),128362.0)</f>
        <v>128362</v>
      </c>
      <c r="D9" s="11">
        <f>IFERROR(__xludf.DUMMYFUNCTION("""COMPUTED_VALUE"""),1854.0)</f>
        <v>1854</v>
      </c>
      <c r="E9" s="9"/>
    </row>
    <row r="10">
      <c r="A10" s="11">
        <f>IFERROR(__xludf.DUMMYFUNCTION("""COMPUTED_VALUE"""),2021.0)</f>
        <v>2021</v>
      </c>
      <c r="B10" s="11">
        <f>IFERROR(__xludf.DUMMYFUNCTION("""COMPUTED_VALUE"""),10.0)</f>
        <v>10</v>
      </c>
      <c r="C10" s="11">
        <f>IFERROR(__xludf.DUMMYFUNCTION("""COMPUTED_VALUE"""),71200.0)</f>
        <v>71200</v>
      </c>
      <c r="D10" s="11">
        <f>IFERROR(__xludf.DUMMYFUNCTION("""COMPUTED_VALUE"""),162.0)</f>
        <v>162</v>
      </c>
      <c r="E10" s="9"/>
    </row>
    <row r="11">
      <c r="A11" s="11">
        <f>IFERROR(__xludf.DUMMYFUNCTION("""COMPUTED_VALUE"""),2021.0)</f>
        <v>2021</v>
      </c>
      <c r="B11" s="11">
        <f>IFERROR(__xludf.DUMMYFUNCTION("""COMPUTED_VALUE"""),9.0)</f>
        <v>9</v>
      </c>
      <c r="C11" s="11">
        <f>IFERROR(__xludf.DUMMYFUNCTION("""COMPUTED_VALUE"""),19812.0)</f>
        <v>19812</v>
      </c>
      <c r="D11" s="11">
        <f>IFERROR(__xludf.DUMMYFUNCTION("""COMPUTED_VALUE"""),895.0)</f>
        <v>895</v>
      </c>
      <c r="E11" s="9"/>
    </row>
    <row r="12">
      <c r="A12" s="11">
        <f>IFERROR(__xludf.DUMMYFUNCTION("""COMPUTED_VALUE"""),2021.0)</f>
        <v>2021</v>
      </c>
      <c r="B12" s="11">
        <f>IFERROR(__xludf.DUMMYFUNCTION("""COMPUTED_VALUE"""),9.0)</f>
        <v>9</v>
      </c>
      <c r="C12" s="11">
        <f>IFERROR(__xludf.DUMMYFUNCTION("""COMPUTED_VALUE"""),122259.0)</f>
        <v>122259</v>
      </c>
      <c r="D12" s="11">
        <f>IFERROR(__xludf.DUMMYFUNCTION("""COMPUTED_VALUE"""),551.0)</f>
        <v>551</v>
      </c>
      <c r="E12" s="9"/>
    </row>
    <row r="13">
      <c r="A13" s="11">
        <f>IFERROR(__xludf.DUMMYFUNCTION("""COMPUTED_VALUE"""),2021.0)</f>
        <v>2021</v>
      </c>
      <c r="B13" s="11">
        <f>IFERROR(__xludf.DUMMYFUNCTION("""COMPUTED_VALUE"""),10.0)</f>
        <v>10</v>
      </c>
      <c r="C13" s="11">
        <f>IFERROR(__xludf.DUMMYFUNCTION("""COMPUTED_VALUE"""),199526.0)</f>
        <v>199526</v>
      </c>
      <c r="D13" s="11">
        <f>IFERROR(__xludf.DUMMYFUNCTION("""COMPUTED_VALUE"""),81.0)</f>
        <v>81</v>
      </c>
      <c r="E13" s="9"/>
    </row>
    <row r="14">
      <c r="A14" s="11">
        <f>IFERROR(__xludf.DUMMYFUNCTION("""COMPUTED_VALUE"""),2021.0)</f>
        <v>2021</v>
      </c>
      <c r="B14" s="11">
        <f>IFERROR(__xludf.DUMMYFUNCTION("""COMPUTED_VALUE"""),8.0)</f>
        <v>8</v>
      </c>
      <c r="C14" s="11">
        <f>IFERROR(__xludf.DUMMYFUNCTION("""COMPUTED_VALUE"""),140581.0)</f>
        <v>140581</v>
      </c>
      <c r="D14" s="11">
        <f>IFERROR(__xludf.DUMMYFUNCTION("""COMPUTED_VALUE"""),381.0)</f>
        <v>381</v>
      </c>
      <c r="E14" s="9"/>
    </row>
    <row r="15">
      <c r="A15" s="11">
        <f>IFERROR(__xludf.DUMMYFUNCTION("""COMPUTED_VALUE"""),2021.0)</f>
        <v>2021</v>
      </c>
      <c r="B15" s="11">
        <f>IFERROR(__xludf.DUMMYFUNCTION("""COMPUTED_VALUE"""),11.0)</f>
        <v>11</v>
      </c>
      <c r="C15" s="11">
        <f>IFERROR(__xludf.DUMMYFUNCTION("""COMPUTED_VALUE"""),118383.0)</f>
        <v>118383</v>
      </c>
      <c r="D15" s="11">
        <f>IFERROR(__xludf.DUMMYFUNCTION("""COMPUTED_VALUE"""),1113.0)</f>
        <v>1113</v>
      </c>
      <c r="E15" s="9"/>
    </row>
    <row r="16">
      <c r="A16" s="11">
        <f>IFERROR(__xludf.DUMMYFUNCTION("""COMPUTED_VALUE"""),2021.0)</f>
        <v>2021</v>
      </c>
      <c r="B16" s="11">
        <f>IFERROR(__xludf.DUMMYFUNCTION("""COMPUTED_VALUE"""),9.0)</f>
        <v>9</v>
      </c>
      <c r="C16" s="11">
        <f>IFERROR(__xludf.DUMMYFUNCTION("""COMPUTED_VALUE"""),122262.0)</f>
        <v>122262</v>
      </c>
      <c r="D16" s="11">
        <f>IFERROR(__xludf.DUMMYFUNCTION("""COMPUTED_VALUE"""),1503.0)</f>
        <v>1503</v>
      </c>
      <c r="E16" s="9"/>
    </row>
    <row r="17">
      <c r="A17" s="11">
        <f>IFERROR(__xludf.DUMMYFUNCTION("""COMPUTED_VALUE"""),2021.0)</f>
        <v>2021</v>
      </c>
      <c r="B17" s="11">
        <f>IFERROR(__xludf.DUMMYFUNCTION("""COMPUTED_VALUE"""),10.0)</f>
        <v>10</v>
      </c>
      <c r="C17" s="11">
        <f>IFERROR(__xludf.DUMMYFUNCTION("""COMPUTED_VALUE"""),141879.0)</f>
        <v>141879</v>
      </c>
      <c r="D17" s="11">
        <f>IFERROR(__xludf.DUMMYFUNCTION("""COMPUTED_VALUE"""),612.0)</f>
        <v>612</v>
      </c>
      <c r="E17" s="9"/>
    </row>
    <row r="18">
      <c r="A18" s="11">
        <f>IFERROR(__xludf.DUMMYFUNCTION("""COMPUTED_VALUE"""),2021.0)</f>
        <v>2021</v>
      </c>
      <c r="B18" s="11">
        <f>IFERROR(__xludf.DUMMYFUNCTION("""COMPUTED_VALUE"""),11.0)</f>
        <v>11</v>
      </c>
      <c r="C18" s="11">
        <f>IFERROR(__xludf.DUMMYFUNCTION("""COMPUTED_VALUE"""),19826.0)</f>
        <v>19826</v>
      </c>
      <c r="D18" s="11">
        <f>IFERROR(__xludf.DUMMYFUNCTION("""COMPUTED_VALUE"""),1407.0)</f>
        <v>1407</v>
      </c>
      <c r="E18" s="9"/>
    </row>
    <row r="19">
      <c r="A19" s="11">
        <f>IFERROR(__xludf.DUMMYFUNCTION("""COMPUTED_VALUE"""),2021.0)</f>
        <v>2021</v>
      </c>
      <c r="B19" s="11">
        <f>IFERROR(__xludf.DUMMYFUNCTION("""COMPUTED_VALUE"""),9.0)</f>
        <v>9</v>
      </c>
      <c r="C19" s="11">
        <f>IFERROR(__xludf.DUMMYFUNCTION("""COMPUTED_VALUE"""),93039.0)</f>
        <v>93039</v>
      </c>
      <c r="D19" s="11">
        <f>IFERROR(__xludf.DUMMYFUNCTION("""COMPUTED_VALUE"""),442.0)</f>
        <v>442</v>
      </c>
      <c r="E19" s="9"/>
    </row>
    <row r="20">
      <c r="A20" s="11">
        <f>IFERROR(__xludf.DUMMYFUNCTION("""COMPUTED_VALUE"""),2021.0)</f>
        <v>2021</v>
      </c>
      <c r="B20" s="11">
        <f>IFERROR(__xludf.DUMMYFUNCTION("""COMPUTED_VALUE"""),8.0)</f>
        <v>8</v>
      </c>
      <c r="C20" s="11">
        <f>IFERROR(__xludf.DUMMYFUNCTION("""COMPUTED_VALUE"""),128213.0)</f>
        <v>128213</v>
      </c>
      <c r="D20" s="11">
        <f>IFERROR(__xludf.DUMMYFUNCTION("""COMPUTED_VALUE"""),1178.0)</f>
        <v>1178</v>
      </c>
      <c r="E20" s="9"/>
    </row>
    <row r="21">
      <c r="A21" s="11">
        <f>IFERROR(__xludf.DUMMYFUNCTION("""COMPUTED_VALUE"""),2021.0)</f>
        <v>2021</v>
      </c>
      <c r="B21" s="11">
        <f>IFERROR(__xludf.DUMMYFUNCTION("""COMPUTED_VALUE"""),9.0)</f>
        <v>9</v>
      </c>
      <c r="C21" s="11">
        <f>IFERROR(__xludf.DUMMYFUNCTION("""COMPUTED_VALUE"""),83797.0)</f>
        <v>83797</v>
      </c>
      <c r="D21" s="11">
        <f>IFERROR(__xludf.DUMMYFUNCTION("""COMPUTED_VALUE"""),1754.0)</f>
        <v>1754</v>
      </c>
      <c r="E21" s="9"/>
    </row>
    <row r="22">
      <c r="A22" s="11">
        <f>IFERROR(__xludf.DUMMYFUNCTION("""COMPUTED_VALUE"""),2021.0)</f>
        <v>2021</v>
      </c>
      <c r="B22" s="11">
        <f>IFERROR(__xludf.DUMMYFUNCTION("""COMPUTED_VALUE"""),8.0)</f>
        <v>8</v>
      </c>
      <c r="C22" s="11">
        <f>IFERROR(__xludf.DUMMYFUNCTION("""COMPUTED_VALUE"""),19831.0)</f>
        <v>19831</v>
      </c>
      <c r="D22" s="11">
        <f>IFERROR(__xludf.DUMMYFUNCTION("""COMPUTED_VALUE"""),1863.0)</f>
        <v>1863</v>
      </c>
      <c r="E22" s="9"/>
    </row>
    <row r="23">
      <c r="A23" s="11">
        <f>IFERROR(__xludf.DUMMYFUNCTION("""COMPUTED_VALUE"""),2021.0)</f>
        <v>2021</v>
      </c>
      <c r="B23" s="11">
        <f>IFERROR(__xludf.DUMMYFUNCTION("""COMPUTED_VALUE"""),10.0)</f>
        <v>10</v>
      </c>
      <c r="C23" s="11">
        <f>IFERROR(__xludf.DUMMYFUNCTION("""COMPUTED_VALUE"""),93025.0)</f>
        <v>93025</v>
      </c>
      <c r="D23" s="11">
        <f>IFERROR(__xludf.DUMMYFUNCTION("""COMPUTED_VALUE"""),929.0)</f>
        <v>929</v>
      </c>
      <c r="E23" s="9"/>
    </row>
    <row r="24">
      <c r="A24" s="11">
        <f>IFERROR(__xludf.DUMMYFUNCTION("""COMPUTED_VALUE"""),2021.0)</f>
        <v>2021</v>
      </c>
      <c r="B24" s="11">
        <f>IFERROR(__xludf.DUMMYFUNCTION("""COMPUTED_VALUE"""),10.0)</f>
        <v>10</v>
      </c>
      <c r="C24" s="11">
        <f>IFERROR(__xludf.DUMMYFUNCTION("""COMPUTED_VALUE"""),81624.0)</f>
        <v>81624</v>
      </c>
      <c r="D24" s="11">
        <f>IFERROR(__xludf.DUMMYFUNCTION("""COMPUTED_VALUE"""),1179.0)</f>
        <v>1179</v>
      </c>
      <c r="E24" s="9"/>
    </row>
    <row r="25">
      <c r="A25" s="11">
        <f>IFERROR(__xludf.DUMMYFUNCTION("""COMPUTED_VALUE"""),2021.0)</f>
        <v>2021</v>
      </c>
      <c r="B25" s="11">
        <f>IFERROR(__xludf.DUMMYFUNCTION("""COMPUTED_VALUE"""),11.0)</f>
        <v>11</v>
      </c>
      <c r="C25" s="11">
        <f>IFERROR(__xludf.DUMMYFUNCTION("""COMPUTED_VALUE"""),92913.0)</f>
        <v>92913</v>
      </c>
      <c r="D25" s="11">
        <f>IFERROR(__xludf.DUMMYFUNCTION("""COMPUTED_VALUE"""),656.0)</f>
        <v>656</v>
      </c>
      <c r="E25" s="9"/>
    </row>
    <row r="26">
      <c r="A26" s="11">
        <f>IFERROR(__xludf.DUMMYFUNCTION("""COMPUTED_VALUE"""),2021.0)</f>
        <v>2021</v>
      </c>
      <c r="B26" s="11">
        <f>IFERROR(__xludf.DUMMYFUNCTION("""COMPUTED_VALUE"""),9.0)</f>
        <v>9</v>
      </c>
      <c r="C26" s="11">
        <f>IFERROR(__xludf.DUMMYFUNCTION("""COMPUTED_VALUE"""),126983.0)</f>
        <v>126983</v>
      </c>
      <c r="D26" s="11">
        <f>IFERROR(__xludf.DUMMYFUNCTION("""COMPUTED_VALUE"""),1627.0)</f>
        <v>1627</v>
      </c>
      <c r="E26" s="9"/>
    </row>
    <row r="27">
      <c r="A27" s="11">
        <f>IFERROR(__xludf.DUMMYFUNCTION("""COMPUTED_VALUE"""),2021.0)</f>
        <v>2021</v>
      </c>
      <c r="B27" s="11">
        <f>IFERROR(__xludf.DUMMYFUNCTION("""COMPUTED_VALUE"""),10.0)</f>
        <v>10</v>
      </c>
      <c r="C27" s="11">
        <f>IFERROR(__xludf.DUMMYFUNCTION("""COMPUTED_VALUE"""),118226.0)</f>
        <v>118226</v>
      </c>
      <c r="D27" s="11">
        <f>IFERROR(__xludf.DUMMYFUNCTION("""COMPUTED_VALUE"""),1278.0)</f>
        <v>1278</v>
      </c>
      <c r="E27" s="9"/>
    </row>
    <row r="28">
      <c r="A28" s="11">
        <f>IFERROR(__xludf.DUMMYFUNCTION("""COMPUTED_VALUE"""),2021.0)</f>
        <v>2021</v>
      </c>
      <c r="B28" s="11">
        <f>IFERROR(__xludf.DUMMYFUNCTION("""COMPUTED_VALUE"""),10.0)</f>
        <v>10</v>
      </c>
      <c r="C28" s="11">
        <f>IFERROR(__xludf.DUMMYFUNCTION("""COMPUTED_VALUE"""),48618.0)</f>
        <v>48618</v>
      </c>
      <c r="D28" s="11">
        <f>IFERROR(__xludf.DUMMYFUNCTION("""COMPUTED_VALUE"""),200.0)</f>
        <v>200</v>
      </c>
      <c r="E28" s="9"/>
    </row>
    <row r="29">
      <c r="A29" s="11">
        <f>IFERROR(__xludf.DUMMYFUNCTION("""COMPUTED_VALUE"""),2021.0)</f>
        <v>2021</v>
      </c>
      <c r="B29" s="11">
        <f>IFERROR(__xludf.DUMMYFUNCTION("""COMPUTED_VALUE"""),9.0)</f>
        <v>9</v>
      </c>
      <c r="C29" s="11">
        <f>IFERROR(__xludf.DUMMYFUNCTION("""COMPUTED_VALUE"""),93037.0)</f>
        <v>93037</v>
      </c>
      <c r="D29" s="11">
        <f>IFERROR(__xludf.DUMMYFUNCTION("""COMPUTED_VALUE"""),56.0)</f>
        <v>56</v>
      </c>
      <c r="E29" s="9"/>
    </row>
    <row r="30">
      <c r="A30" s="11">
        <f>IFERROR(__xludf.DUMMYFUNCTION("""COMPUTED_VALUE"""),2021.0)</f>
        <v>2021</v>
      </c>
      <c r="B30" s="11">
        <f>IFERROR(__xludf.DUMMYFUNCTION("""COMPUTED_VALUE"""),11.0)</f>
        <v>11</v>
      </c>
      <c r="C30" s="11">
        <f>IFERROR(__xludf.DUMMYFUNCTION("""COMPUTED_VALUE"""),126984.0)</f>
        <v>126984</v>
      </c>
      <c r="D30" s="11">
        <f>IFERROR(__xludf.DUMMYFUNCTION("""COMPUTED_VALUE"""),1198.0)</f>
        <v>1198</v>
      </c>
      <c r="E30" s="9"/>
    </row>
    <row r="31">
      <c r="A31" s="11">
        <f>IFERROR(__xludf.DUMMYFUNCTION("""COMPUTED_VALUE"""),2021.0)</f>
        <v>2021</v>
      </c>
      <c r="B31" s="11">
        <f>IFERROR(__xludf.DUMMYFUNCTION("""COMPUTED_VALUE"""),9.0)</f>
        <v>9</v>
      </c>
      <c r="C31" s="11">
        <f>IFERROR(__xludf.DUMMYFUNCTION("""COMPUTED_VALUE"""),47393.0)</f>
        <v>47393</v>
      </c>
      <c r="D31" s="11">
        <f>IFERROR(__xludf.DUMMYFUNCTION("""COMPUTED_VALUE"""),482.0)</f>
        <v>482</v>
      </c>
      <c r="E31" s="9"/>
    </row>
    <row r="32">
      <c r="A32" s="11">
        <f>IFERROR(__xludf.DUMMYFUNCTION("""COMPUTED_VALUE"""),2021.0)</f>
        <v>2021</v>
      </c>
      <c r="B32" s="11">
        <f>IFERROR(__xludf.DUMMYFUNCTION("""COMPUTED_VALUE"""),10.0)</f>
        <v>10</v>
      </c>
      <c r="C32" s="11">
        <f>IFERROR(__xludf.DUMMYFUNCTION("""COMPUTED_VALUE"""),128214.0)</f>
        <v>128214</v>
      </c>
      <c r="D32" s="11">
        <f>IFERROR(__xludf.DUMMYFUNCTION("""COMPUTED_VALUE"""),1020.0)</f>
        <v>1020</v>
      </c>
      <c r="E32" s="9"/>
    </row>
    <row r="33">
      <c r="A33" s="11">
        <f>IFERROR(__xludf.DUMMYFUNCTION("""COMPUTED_VALUE"""),2021.0)</f>
        <v>2021</v>
      </c>
      <c r="B33" s="11">
        <f>IFERROR(__xludf.DUMMYFUNCTION("""COMPUTED_VALUE"""),9.0)</f>
        <v>9</v>
      </c>
      <c r="C33" s="11">
        <f>IFERROR(__xludf.DUMMYFUNCTION("""COMPUTED_VALUE"""),83802.0)</f>
        <v>83802</v>
      </c>
      <c r="D33" s="11">
        <f>IFERROR(__xludf.DUMMYFUNCTION("""COMPUTED_VALUE"""),1359.0)</f>
        <v>1359</v>
      </c>
      <c r="E33" s="9"/>
    </row>
    <row r="34">
      <c r="A34" s="11">
        <f>IFERROR(__xludf.DUMMYFUNCTION("""COMPUTED_VALUE"""),2021.0)</f>
        <v>2021</v>
      </c>
      <c r="B34" s="11">
        <f>IFERROR(__xludf.DUMMYFUNCTION("""COMPUTED_VALUE"""),10.0)</f>
        <v>10</v>
      </c>
      <c r="C34" s="11">
        <f>IFERROR(__xludf.DUMMYFUNCTION("""COMPUTED_VALUE"""),48625.0)</f>
        <v>48625</v>
      </c>
      <c r="D34" s="11">
        <f>IFERROR(__xludf.DUMMYFUNCTION("""COMPUTED_VALUE"""),1489.0)</f>
        <v>1489</v>
      </c>
      <c r="E34" s="9"/>
    </row>
    <row r="35">
      <c r="A35" s="11">
        <f>IFERROR(__xludf.DUMMYFUNCTION("""COMPUTED_VALUE"""),2021.0)</f>
        <v>2021</v>
      </c>
      <c r="B35" s="11">
        <f>IFERROR(__xludf.DUMMYFUNCTION("""COMPUTED_VALUE"""),8.0)</f>
        <v>8</v>
      </c>
      <c r="C35" s="11">
        <f>IFERROR(__xludf.DUMMYFUNCTION("""COMPUTED_VALUE"""),83602.0)</f>
        <v>83602</v>
      </c>
      <c r="D35" s="11">
        <f>IFERROR(__xludf.DUMMYFUNCTION("""COMPUTED_VALUE"""),137.0)</f>
        <v>137</v>
      </c>
      <c r="E35" s="9"/>
    </row>
    <row r="36">
      <c r="A36" s="11">
        <f>IFERROR(__xludf.DUMMYFUNCTION("""COMPUTED_VALUE"""),2021.0)</f>
        <v>2021</v>
      </c>
      <c r="B36" s="11">
        <f>IFERROR(__xludf.DUMMYFUNCTION("""COMPUTED_VALUE"""),10.0)</f>
        <v>10</v>
      </c>
      <c r="C36" s="11">
        <f>IFERROR(__xludf.DUMMYFUNCTION("""COMPUTED_VALUE"""),98867.0)</f>
        <v>98867</v>
      </c>
      <c r="D36" s="11">
        <f>IFERROR(__xludf.DUMMYFUNCTION("""COMPUTED_VALUE"""),233.0)</f>
        <v>233</v>
      </c>
      <c r="E36" s="9"/>
    </row>
    <row r="37">
      <c r="A37" s="11">
        <f>IFERROR(__xludf.DUMMYFUNCTION("""COMPUTED_VALUE"""),2021.0)</f>
        <v>2021</v>
      </c>
      <c r="B37" s="11">
        <f>IFERROR(__xludf.DUMMYFUNCTION("""COMPUTED_VALUE"""),11.0)</f>
        <v>11</v>
      </c>
      <c r="C37" s="11">
        <f>IFERROR(__xludf.DUMMYFUNCTION("""COMPUTED_VALUE"""),127042.0)</f>
        <v>127042</v>
      </c>
      <c r="D37" s="11">
        <f>IFERROR(__xludf.DUMMYFUNCTION("""COMPUTED_VALUE"""),1644.0)</f>
        <v>1644</v>
      </c>
      <c r="E37" s="9"/>
    </row>
    <row r="38">
      <c r="A38" s="11">
        <f>IFERROR(__xludf.DUMMYFUNCTION("""COMPUTED_VALUE"""),2021.0)</f>
        <v>2021</v>
      </c>
      <c r="B38" s="11">
        <f>IFERROR(__xludf.DUMMYFUNCTION("""COMPUTED_VALUE"""),10.0)</f>
        <v>10</v>
      </c>
      <c r="C38" s="11">
        <f>IFERROR(__xludf.DUMMYFUNCTION("""COMPUTED_VALUE"""),127241.0)</f>
        <v>127241</v>
      </c>
      <c r="D38" s="11">
        <f>IFERROR(__xludf.DUMMYFUNCTION("""COMPUTED_VALUE"""),454.0)</f>
        <v>454</v>
      </c>
      <c r="E38" s="9"/>
    </row>
    <row r="39">
      <c r="A39" s="11">
        <f>IFERROR(__xludf.DUMMYFUNCTION("""COMPUTED_VALUE"""),2021.0)</f>
        <v>2021</v>
      </c>
      <c r="B39" s="11">
        <f>IFERROR(__xludf.DUMMYFUNCTION("""COMPUTED_VALUE"""),8.0)</f>
        <v>8</v>
      </c>
      <c r="C39" s="11">
        <f>IFERROR(__xludf.DUMMYFUNCTION("""COMPUTED_VALUE"""),118220.0)</f>
        <v>118220</v>
      </c>
      <c r="D39" s="11">
        <f>IFERROR(__xludf.DUMMYFUNCTION("""COMPUTED_VALUE"""),262.0)</f>
        <v>262</v>
      </c>
      <c r="E39" s="9"/>
    </row>
    <row r="40">
      <c r="A40" s="11">
        <f>IFERROR(__xludf.DUMMYFUNCTION("""COMPUTED_VALUE"""),2021.0)</f>
        <v>2021</v>
      </c>
      <c r="B40" s="11">
        <f>IFERROR(__xludf.DUMMYFUNCTION("""COMPUTED_VALUE"""),10.0)</f>
        <v>10</v>
      </c>
      <c r="C40" s="11">
        <f>IFERROR(__xludf.DUMMYFUNCTION("""COMPUTED_VALUE"""),128216.0)</f>
        <v>128216</v>
      </c>
      <c r="D40" s="11">
        <f>IFERROR(__xludf.DUMMYFUNCTION("""COMPUTED_VALUE"""),472.0)</f>
        <v>472</v>
      </c>
      <c r="E40" s="9"/>
    </row>
    <row r="41">
      <c r="A41" s="11">
        <f>IFERROR(__xludf.DUMMYFUNCTION("""COMPUTED_VALUE"""),2021.0)</f>
        <v>2021</v>
      </c>
      <c r="B41" s="11">
        <f>IFERROR(__xludf.DUMMYFUNCTION("""COMPUTED_VALUE"""),9.0)</f>
        <v>9</v>
      </c>
      <c r="C41" s="11">
        <f>IFERROR(__xludf.DUMMYFUNCTION("""COMPUTED_VALUE"""),93049.0)</f>
        <v>93049</v>
      </c>
      <c r="D41" s="11">
        <f>IFERROR(__xludf.DUMMYFUNCTION("""COMPUTED_VALUE"""),1162.0)</f>
        <v>1162</v>
      </c>
      <c r="E41" s="9"/>
    </row>
    <row r="42">
      <c r="A42" s="11">
        <f>IFERROR(__xludf.DUMMYFUNCTION("""COMPUTED_VALUE"""),2021.0)</f>
        <v>2021</v>
      </c>
      <c r="B42" s="11">
        <f>IFERROR(__xludf.DUMMYFUNCTION("""COMPUTED_VALUE"""),11.0)</f>
        <v>11</v>
      </c>
      <c r="C42" s="11">
        <f>IFERROR(__xludf.DUMMYFUNCTION("""COMPUTED_VALUE"""),118216.0)</f>
        <v>118216</v>
      </c>
      <c r="D42" s="11">
        <f>IFERROR(__xludf.DUMMYFUNCTION("""COMPUTED_VALUE"""),1387.0)</f>
        <v>1387</v>
      </c>
      <c r="E42" s="9"/>
    </row>
    <row r="43">
      <c r="A43" s="11">
        <f>IFERROR(__xludf.DUMMYFUNCTION("""COMPUTED_VALUE"""),2021.0)</f>
        <v>2021</v>
      </c>
      <c r="B43" s="11">
        <f>IFERROR(__xludf.DUMMYFUNCTION("""COMPUTED_VALUE"""),11.0)</f>
        <v>11</v>
      </c>
      <c r="C43" s="11">
        <f>IFERROR(__xludf.DUMMYFUNCTION("""COMPUTED_VALUE"""),118221.0)</f>
        <v>118221</v>
      </c>
      <c r="D43" s="11">
        <f>IFERROR(__xludf.DUMMYFUNCTION("""COMPUTED_VALUE"""),1508.0)</f>
        <v>1508</v>
      </c>
      <c r="E43" s="9"/>
    </row>
    <row r="44">
      <c r="A44" s="11">
        <f>IFERROR(__xludf.DUMMYFUNCTION("""COMPUTED_VALUE"""),2021.0)</f>
        <v>2021</v>
      </c>
      <c r="B44" s="11">
        <f>IFERROR(__xludf.DUMMYFUNCTION("""COMPUTED_VALUE"""),9.0)</f>
        <v>9</v>
      </c>
      <c r="C44" s="11">
        <f>IFERROR(__xludf.DUMMYFUNCTION("""COMPUTED_VALUE"""),92900.0)</f>
        <v>92900</v>
      </c>
      <c r="D44" s="11">
        <f>IFERROR(__xludf.DUMMYFUNCTION("""COMPUTED_VALUE"""),1275.0)</f>
        <v>1275</v>
      </c>
      <c r="E44" s="9"/>
    </row>
    <row r="45">
      <c r="A45" s="11">
        <f>IFERROR(__xludf.DUMMYFUNCTION("""COMPUTED_VALUE"""),2021.0)</f>
        <v>2021</v>
      </c>
      <c r="B45" s="11">
        <f>IFERROR(__xludf.DUMMYFUNCTION("""COMPUTED_VALUE"""),11.0)</f>
        <v>11</v>
      </c>
      <c r="C45" s="11">
        <f>IFERROR(__xludf.DUMMYFUNCTION("""COMPUTED_VALUE"""),118215.0)</f>
        <v>118215</v>
      </c>
      <c r="D45" s="11">
        <f>IFERROR(__xludf.DUMMYFUNCTION("""COMPUTED_VALUE"""),989.0)</f>
        <v>989</v>
      </c>
      <c r="E45" s="9"/>
    </row>
    <row r="46">
      <c r="A46" s="11">
        <f>IFERROR(__xludf.DUMMYFUNCTION("""COMPUTED_VALUE"""),2021.0)</f>
        <v>2021</v>
      </c>
      <c r="B46" s="11">
        <f>IFERROR(__xludf.DUMMYFUNCTION("""COMPUTED_VALUE"""),9.0)</f>
        <v>9</v>
      </c>
      <c r="C46" s="11">
        <f>IFERROR(__xludf.DUMMYFUNCTION("""COMPUTED_VALUE"""),19832.0)</f>
        <v>19832</v>
      </c>
      <c r="D46" s="11">
        <f>IFERROR(__xludf.DUMMYFUNCTION("""COMPUTED_VALUE"""),1707.0)</f>
        <v>1707</v>
      </c>
      <c r="E46" s="9"/>
    </row>
    <row r="47">
      <c r="A47" s="11">
        <f>IFERROR(__xludf.DUMMYFUNCTION("""COMPUTED_VALUE"""),2021.0)</f>
        <v>2021</v>
      </c>
      <c r="B47" s="11">
        <f>IFERROR(__xludf.DUMMYFUNCTION("""COMPUTED_VALUE"""),10.0)</f>
        <v>10</v>
      </c>
      <c r="C47" s="11">
        <f>IFERROR(__xludf.DUMMYFUNCTION("""COMPUTED_VALUE"""),93071.0)</f>
        <v>93071</v>
      </c>
      <c r="D47" s="11">
        <f>IFERROR(__xludf.DUMMYFUNCTION("""COMPUTED_VALUE"""),357.0)</f>
        <v>357</v>
      </c>
      <c r="E47" s="9"/>
    </row>
    <row r="48">
      <c r="A48" s="11">
        <f>IFERROR(__xludf.DUMMYFUNCTION("""COMPUTED_VALUE"""),2021.0)</f>
        <v>2021</v>
      </c>
      <c r="B48" s="11">
        <f>IFERROR(__xludf.DUMMYFUNCTION("""COMPUTED_VALUE"""),11.0)</f>
        <v>11</v>
      </c>
      <c r="C48" s="11">
        <f>IFERROR(__xludf.DUMMYFUNCTION("""COMPUTED_VALUE"""),122395.0)</f>
        <v>122395</v>
      </c>
      <c r="D48" s="11">
        <f>IFERROR(__xludf.DUMMYFUNCTION("""COMPUTED_VALUE"""),1180.0)</f>
        <v>1180</v>
      </c>
      <c r="E48" s="9"/>
    </row>
    <row r="49">
      <c r="A49" s="11">
        <f>IFERROR(__xludf.DUMMYFUNCTION("""COMPUTED_VALUE"""),2021.0)</f>
        <v>2021</v>
      </c>
      <c r="B49" s="11">
        <f>IFERROR(__xludf.DUMMYFUNCTION("""COMPUTED_VALUE"""),10.0)</f>
        <v>10</v>
      </c>
      <c r="C49" s="11">
        <f>IFERROR(__xludf.DUMMYFUNCTION("""COMPUTED_VALUE"""),116946.0)</f>
        <v>116946</v>
      </c>
      <c r="D49" s="11">
        <f>IFERROR(__xludf.DUMMYFUNCTION("""COMPUTED_VALUE"""),320.0)</f>
        <v>320</v>
      </c>
      <c r="E49" s="9"/>
    </row>
    <row r="50">
      <c r="A50" s="11">
        <f>IFERROR(__xludf.DUMMYFUNCTION("""COMPUTED_VALUE"""),2021.0)</f>
        <v>2021</v>
      </c>
      <c r="B50" s="11">
        <f>IFERROR(__xludf.DUMMYFUNCTION("""COMPUTED_VALUE"""),11.0)</f>
        <v>11</v>
      </c>
      <c r="C50" s="11">
        <f>IFERROR(__xludf.DUMMYFUNCTION("""COMPUTED_VALUE"""),97538.0)</f>
        <v>97538</v>
      </c>
      <c r="D50" s="11">
        <f>IFERROR(__xludf.DUMMYFUNCTION("""COMPUTED_VALUE"""),1091.0)</f>
        <v>1091</v>
      </c>
      <c r="E50" s="9"/>
    </row>
    <row r="51">
      <c r="A51" s="11">
        <f>IFERROR(__xludf.DUMMYFUNCTION("""COMPUTED_VALUE"""),2021.0)</f>
        <v>2021</v>
      </c>
      <c r="B51" s="11">
        <f>IFERROR(__xludf.DUMMYFUNCTION("""COMPUTED_VALUE"""),8.0)</f>
        <v>8</v>
      </c>
      <c r="C51" s="11">
        <f>IFERROR(__xludf.DUMMYFUNCTION("""COMPUTED_VALUE"""),127238.0)</f>
        <v>127238</v>
      </c>
      <c r="D51" s="11">
        <f>IFERROR(__xludf.DUMMYFUNCTION("""COMPUTED_VALUE"""),1267.0)</f>
        <v>1267</v>
      </c>
      <c r="E51" s="9"/>
    </row>
    <row r="52">
      <c r="A52" s="11">
        <f>IFERROR(__xludf.DUMMYFUNCTION("""COMPUTED_VALUE"""),2021.0)</f>
        <v>2021</v>
      </c>
      <c r="B52" s="11">
        <f>IFERROR(__xludf.DUMMYFUNCTION("""COMPUTED_VALUE"""),9.0)</f>
        <v>9</v>
      </c>
      <c r="C52" s="11">
        <f>IFERROR(__xludf.DUMMYFUNCTION("""COMPUTED_VALUE"""),81646.0)</f>
        <v>81646</v>
      </c>
      <c r="D52" s="11">
        <f>IFERROR(__xludf.DUMMYFUNCTION("""COMPUTED_VALUE"""),1783.0)</f>
        <v>1783</v>
      </c>
      <c r="E52" s="9"/>
    </row>
    <row r="53">
      <c r="A53" s="11">
        <f>IFERROR(__xludf.DUMMYFUNCTION("""COMPUTED_VALUE"""),2021.0)</f>
        <v>2021</v>
      </c>
      <c r="B53" s="11">
        <f>IFERROR(__xludf.DUMMYFUNCTION("""COMPUTED_VALUE"""),10.0)</f>
        <v>10</v>
      </c>
      <c r="C53" s="11">
        <f>IFERROR(__xludf.DUMMYFUNCTION("""COMPUTED_VALUE"""),81643.0)</f>
        <v>81643</v>
      </c>
      <c r="D53" s="11">
        <f>IFERROR(__xludf.DUMMYFUNCTION("""COMPUTED_VALUE"""),1070.0)</f>
        <v>1070</v>
      </c>
      <c r="E53" s="9"/>
    </row>
    <row r="54">
      <c r="A54" s="11">
        <f>IFERROR(__xludf.DUMMYFUNCTION("""COMPUTED_VALUE"""),2021.0)</f>
        <v>2021</v>
      </c>
      <c r="B54" s="11">
        <f>IFERROR(__xludf.DUMMYFUNCTION("""COMPUTED_VALUE"""),11.0)</f>
        <v>11</v>
      </c>
      <c r="C54" s="11">
        <f>IFERROR(__xludf.DUMMYFUNCTION("""COMPUTED_VALUE"""),128215.0)</f>
        <v>128215</v>
      </c>
      <c r="D54" s="11">
        <f>IFERROR(__xludf.DUMMYFUNCTION("""COMPUTED_VALUE"""),813.0)</f>
        <v>813</v>
      </c>
      <c r="E54" s="9"/>
    </row>
    <row r="55">
      <c r="A55" s="11">
        <f>IFERROR(__xludf.DUMMYFUNCTION("""COMPUTED_VALUE"""),2021.0)</f>
        <v>2021</v>
      </c>
      <c r="B55" s="11">
        <f>IFERROR(__xludf.DUMMYFUNCTION("""COMPUTED_VALUE"""),9.0)</f>
        <v>9</v>
      </c>
      <c r="C55" s="11">
        <f>IFERROR(__xludf.DUMMYFUNCTION("""COMPUTED_VALUE"""),108022.0)</f>
        <v>108022</v>
      </c>
      <c r="D55" s="11">
        <f>IFERROR(__xludf.DUMMYFUNCTION("""COMPUTED_VALUE"""),1863.0)</f>
        <v>1863</v>
      </c>
      <c r="E55" s="9"/>
    </row>
    <row r="56">
      <c r="A56" s="11">
        <f>IFERROR(__xludf.DUMMYFUNCTION("""COMPUTED_VALUE"""),2021.0)</f>
        <v>2021</v>
      </c>
      <c r="B56" s="11">
        <f>IFERROR(__xludf.DUMMYFUNCTION("""COMPUTED_VALUE"""),11.0)</f>
        <v>11</v>
      </c>
      <c r="C56" s="11">
        <f>IFERROR(__xludf.DUMMYFUNCTION("""COMPUTED_VALUE"""),81647.0)</f>
        <v>81647</v>
      </c>
      <c r="D56" s="11">
        <f>IFERROR(__xludf.DUMMYFUNCTION("""COMPUTED_VALUE"""),1188.0)</f>
        <v>1188</v>
      </c>
      <c r="E56" s="9"/>
    </row>
    <row r="57">
      <c r="A57" s="11">
        <f>IFERROR(__xludf.DUMMYFUNCTION("""COMPUTED_VALUE"""),2021.0)</f>
        <v>2021</v>
      </c>
      <c r="B57" s="11">
        <f>IFERROR(__xludf.DUMMYFUNCTION("""COMPUTED_VALUE"""),10.0)</f>
        <v>10</v>
      </c>
      <c r="C57" s="11">
        <f>IFERROR(__xludf.DUMMYFUNCTION("""COMPUTED_VALUE"""),83603.0)</f>
        <v>83603</v>
      </c>
      <c r="D57" s="11">
        <f>IFERROR(__xludf.DUMMYFUNCTION("""COMPUTED_VALUE"""),72.0)</f>
        <v>72</v>
      </c>
      <c r="E57" s="9"/>
    </row>
    <row r="58">
      <c r="A58" s="11">
        <f>IFERROR(__xludf.DUMMYFUNCTION("""COMPUTED_VALUE"""),2021.0)</f>
        <v>2021</v>
      </c>
      <c r="B58" s="11">
        <f>IFERROR(__xludf.DUMMYFUNCTION("""COMPUTED_VALUE"""),11.0)</f>
        <v>11</v>
      </c>
      <c r="C58" s="11">
        <f>IFERROR(__xludf.DUMMYFUNCTION("""COMPUTED_VALUE"""),118219.0)</f>
        <v>118219</v>
      </c>
      <c r="D58" s="11">
        <f>IFERROR(__xludf.DUMMYFUNCTION("""COMPUTED_VALUE"""),1511.0)</f>
        <v>1511</v>
      </c>
      <c r="E58" s="9"/>
    </row>
    <row r="59">
      <c r="A59" s="11">
        <f>IFERROR(__xludf.DUMMYFUNCTION("""COMPUTED_VALUE"""),2021.0)</f>
        <v>2021</v>
      </c>
      <c r="B59" s="11">
        <f>IFERROR(__xludf.DUMMYFUNCTION("""COMPUTED_VALUE"""),11.0)</f>
        <v>11</v>
      </c>
      <c r="C59" s="11">
        <f>IFERROR(__xludf.DUMMYFUNCTION("""COMPUTED_VALUE"""),120952.0)</f>
        <v>120952</v>
      </c>
      <c r="D59" s="11">
        <f>IFERROR(__xludf.DUMMYFUNCTION("""COMPUTED_VALUE"""),1115.0)</f>
        <v>1115</v>
      </c>
      <c r="E59" s="9"/>
    </row>
    <row r="60">
      <c r="A60" s="11">
        <f>IFERROR(__xludf.DUMMYFUNCTION("""COMPUTED_VALUE"""),2021.0)</f>
        <v>2021</v>
      </c>
      <c r="B60" s="11">
        <f>IFERROR(__xludf.DUMMYFUNCTION("""COMPUTED_VALUE"""),8.0)</f>
        <v>8</v>
      </c>
      <c r="C60" s="11">
        <f>IFERROR(__xludf.DUMMYFUNCTION("""COMPUTED_VALUE"""),81658.0)</f>
        <v>81658</v>
      </c>
      <c r="D60" s="11">
        <f>IFERROR(__xludf.DUMMYFUNCTION("""COMPUTED_VALUE"""),1464.0)</f>
        <v>1464</v>
      </c>
      <c r="E60" s="9"/>
    </row>
    <row r="61">
      <c r="A61" s="11">
        <f>IFERROR(__xludf.DUMMYFUNCTION("""COMPUTED_VALUE"""),2021.0)</f>
        <v>2021</v>
      </c>
      <c r="B61" s="11">
        <f>IFERROR(__xludf.DUMMYFUNCTION("""COMPUTED_VALUE"""),10.0)</f>
        <v>10</v>
      </c>
      <c r="C61" s="11">
        <f>IFERROR(__xludf.DUMMYFUNCTION("""COMPUTED_VALUE"""),93047.0)</f>
        <v>93047</v>
      </c>
      <c r="D61" s="11">
        <f>IFERROR(__xludf.DUMMYFUNCTION("""COMPUTED_VALUE"""),1863.0)</f>
        <v>1863</v>
      </c>
      <c r="E61" s="9"/>
    </row>
    <row r="62">
      <c r="A62" s="11">
        <f>IFERROR(__xludf.DUMMYFUNCTION("""COMPUTED_VALUE"""),2021.0)</f>
        <v>2021</v>
      </c>
      <c r="B62" s="11">
        <f>IFERROR(__xludf.DUMMYFUNCTION("""COMPUTED_VALUE"""),9.0)</f>
        <v>9</v>
      </c>
      <c r="C62" s="11">
        <f>IFERROR(__xludf.DUMMYFUNCTION("""COMPUTED_VALUE"""),83807.0)</f>
        <v>83807</v>
      </c>
      <c r="D62" s="11">
        <f>IFERROR(__xludf.DUMMYFUNCTION("""COMPUTED_VALUE"""),1031.0)</f>
        <v>1031</v>
      </c>
      <c r="E62" s="9"/>
    </row>
    <row r="63">
      <c r="A63" s="11">
        <f>IFERROR(__xludf.DUMMYFUNCTION("""COMPUTED_VALUE"""),2021.0)</f>
        <v>2021</v>
      </c>
      <c r="B63" s="11">
        <f>IFERROR(__xludf.DUMMYFUNCTION("""COMPUTED_VALUE"""),11.0)</f>
        <v>11</v>
      </c>
      <c r="C63" s="11">
        <f>IFERROR(__xludf.DUMMYFUNCTION("""COMPUTED_VALUE"""),92915.0)</f>
        <v>92915</v>
      </c>
      <c r="D63" s="11">
        <f>IFERROR(__xludf.DUMMYFUNCTION("""COMPUTED_VALUE"""),496.0)</f>
        <v>496</v>
      </c>
      <c r="E63" s="9"/>
    </row>
    <row r="64">
      <c r="A64" s="11">
        <f>IFERROR(__xludf.DUMMYFUNCTION("""COMPUTED_VALUE"""),2021.0)</f>
        <v>2021</v>
      </c>
      <c r="B64" s="11">
        <f>IFERROR(__xludf.DUMMYFUNCTION("""COMPUTED_VALUE"""),9.0)</f>
        <v>9</v>
      </c>
      <c r="C64" s="11">
        <f>IFERROR(__xludf.DUMMYFUNCTION("""COMPUTED_VALUE"""),81653.0)</f>
        <v>81653</v>
      </c>
      <c r="D64" s="11">
        <f>IFERROR(__xludf.DUMMYFUNCTION("""COMPUTED_VALUE"""),1028.0)</f>
        <v>1028</v>
      </c>
      <c r="E64" s="9"/>
    </row>
    <row r="65">
      <c r="A65" s="11">
        <f>IFERROR(__xludf.DUMMYFUNCTION("""COMPUTED_VALUE"""),2021.0)</f>
        <v>2021</v>
      </c>
      <c r="B65" s="11">
        <f>IFERROR(__xludf.DUMMYFUNCTION("""COMPUTED_VALUE"""),10.0)</f>
        <v>10</v>
      </c>
      <c r="C65" s="11">
        <f>IFERROR(__xludf.DUMMYFUNCTION("""COMPUTED_VALUE"""),81618.0)</f>
        <v>81618</v>
      </c>
      <c r="D65" s="11">
        <f>IFERROR(__xludf.DUMMYFUNCTION("""COMPUTED_VALUE"""),428.0)</f>
        <v>428</v>
      </c>
      <c r="E65" s="9"/>
    </row>
    <row r="66">
      <c r="A66" s="11">
        <f>IFERROR(__xludf.DUMMYFUNCTION("""COMPUTED_VALUE"""),2021.0)</f>
        <v>2021</v>
      </c>
      <c r="B66" s="11">
        <f>IFERROR(__xludf.DUMMYFUNCTION("""COMPUTED_VALUE"""),8.0)</f>
        <v>8</v>
      </c>
      <c r="C66" s="11">
        <f>IFERROR(__xludf.DUMMYFUNCTION("""COMPUTED_VALUE"""),118241.0)</f>
        <v>118241</v>
      </c>
      <c r="D66" s="11">
        <f>IFERROR(__xludf.DUMMYFUNCTION("""COMPUTED_VALUE"""),521.0)</f>
        <v>521</v>
      </c>
      <c r="E66" s="9"/>
    </row>
    <row r="67">
      <c r="A67" s="11">
        <f>IFERROR(__xludf.DUMMYFUNCTION("""COMPUTED_VALUE"""),2021.0)</f>
        <v>2021</v>
      </c>
      <c r="B67" s="11">
        <f>IFERROR(__xludf.DUMMYFUNCTION("""COMPUTED_VALUE"""),11.0)</f>
        <v>11</v>
      </c>
      <c r="C67" s="11">
        <f>IFERROR(__xludf.DUMMYFUNCTION("""COMPUTED_VALUE"""),48634.0)</f>
        <v>48634</v>
      </c>
      <c r="D67" s="11">
        <f>IFERROR(__xludf.DUMMYFUNCTION("""COMPUTED_VALUE"""),749.0)</f>
        <v>749</v>
      </c>
      <c r="E67" s="9"/>
    </row>
    <row r="68">
      <c r="A68" s="11">
        <f>IFERROR(__xludf.DUMMYFUNCTION("""COMPUTED_VALUE"""),2021.0)</f>
        <v>2021</v>
      </c>
      <c r="B68" s="11">
        <f>IFERROR(__xludf.DUMMYFUNCTION("""COMPUTED_VALUE"""),9.0)</f>
        <v>9</v>
      </c>
      <c r="C68" s="11">
        <f>IFERROR(__xludf.DUMMYFUNCTION("""COMPUTED_VALUE"""),48636.0)</f>
        <v>48636</v>
      </c>
      <c r="D68" s="11">
        <f>IFERROR(__xludf.DUMMYFUNCTION("""COMPUTED_VALUE"""),302.0)</f>
        <v>302</v>
      </c>
      <c r="E68" s="9"/>
    </row>
    <row r="69">
      <c r="A69" s="11">
        <f>IFERROR(__xludf.DUMMYFUNCTION("""COMPUTED_VALUE"""),2021.0)</f>
        <v>2021</v>
      </c>
      <c r="B69" s="11">
        <f>IFERROR(__xludf.DUMMYFUNCTION("""COMPUTED_VALUE"""),9.0)</f>
        <v>9</v>
      </c>
      <c r="C69" s="11">
        <f>IFERROR(__xludf.DUMMYFUNCTION("""COMPUTED_VALUE"""),48629.0)</f>
        <v>48629</v>
      </c>
      <c r="D69" s="11">
        <f>IFERROR(__xludf.DUMMYFUNCTION("""COMPUTED_VALUE"""),1231.0)</f>
        <v>1231</v>
      </c>
      <c r="E69" s="9"/>
    </row>
    <row r="70">
      <c r="A70" s="11">
        <f>IFERROR(__xludf.DUMMYFUNCTION("""COMPUTED_VALUE"""),2021.0)</f>
        <v>2021</v>
      </c>
      <c r="B70" s="11">
        <f>IFERROR(__xludf.DUMMYFUNCTION("""COMPUTED_VALUE"""),9.0)</f>
        <v>9</v>
      </c>
      <c r="C70" s="11">
        <f>IFERROR(__xludf.DUMMYFUNCTION("""COMPUTED_VALUE"""),47400.0)</f>
        <v>47400</v>
      </c>
      <c r="D70" s="11">
        <f>IFERROR(__xludf.DUMMYFUNCTION("""COMPUTED_VALUE"""),440.0)</f>
        <v>440</v>
      </c>
      <c r="E70" s="9"/>
    </row>
    <row r="71">
      <c r="A71" s="11">
        <f>IFERROR(__xludf.DUMMYFUNCTION("""COMPUTED_VALUE"""),2021.0)</f>
        <v>2021</v>
      </c>
      <c r="B71" s="11">
        <f>IFERROR(__xludf.DUMMYFUNCTION("""COMPUTED_VALUE"""),8.0)</f>
        <v>8</v>
      </c>
      <c r="C71" s="11">
        <f>IFERROR(__xludf.DUMMYFUNCTION("""COMPUTED_VALUE"""),111237.0)</f>
        <v>111237</v>
      </c>
      <c r="D71" s="11">
        <f>IFERROR(__xludf.DUMMYFUNCTION("""COMPUTED_VALUE"""),936.0)</f>
        <v>936</v>
      </c>
      <c r="E71" s="9"/>
    </row>
    <row r="72">
      <c r="A72" s="11">
        <f>IFERROR(__xludf.DUMMYFUNCTION("""COMPUTED_VALUE"""),2021.0)</f>
        <v>2021</v>
      </c>
      <c r="B72" s="11">
        <f>IFERROR(__xludf.DUMMYFUNCTION("""COMPUTED_VALUE"""),9.0)</f>
        <v>9</v>
      </c>
      <c r="C72" s="11">
        <f>IFERROR(__xludf.DUMMYFUNCTION("""COMPUTED_VALUE"""),18042.0)</f>
        <v>18042</v>
      </c>
      <c r="D72" s="11">
        <f>IFERROR(__xludf.DUMMYFUNCTION("""COMPUTED_VALUE"""),1786.0)</f>
        <v>1786</v>
      </c>
      <c r="E72" s="9"/>
    </row>
    <row r="73">
      <c r="A73" s="11">
        <f>IFERROR(__xludf.DUMMYFUNCTION("""COMPUTED_VALUE"""),2021.0)</f>
        <v>2021</v>
      </c>
      <c r="B73" s="11">
        <f>IFERROR(__xludf.DUMMYFUNCTION("""COMPUTED_VALUE"""),8.0)</f>
        <v>8</v>
      </c>
      <c r="C73" s="11">
        <f>IFERROR(__xludf.DUMMYFUNCTION("""COMPUTED_VALUE"""),114978.0)</f>
        <v>114978</v>
      </c>
      <c r="D73" s="11">
        <f>IFERROR(__xludf.DUMMYFUNCTION("""COMPUTED_VALUE"""),1202.0)</f>
        <v>1202</v>
      </c>
      <c r="E73" s="9"/>
    </row>
    <row r="74">
      <c r="A74" s="11">
        <f>IFERROR(__xludf.DUMMYFUNCTION("""COMPUTED_VALUE"""),2021.0)</f>
        <v>2021</v>
      </c>
      <c r="B74" s="11">
        <f>IFERROR(__xludf.DUMMYFUNCTION("""COMPUTED_VALUE"""),8.0)</f>
        <v>8</v>
      </c>
      <c r="C74" s="11">
        <f>IFERROR(__xludf.DUMMYFUNCTION("""COMPUTED_VALUE"""),82980.0)</f>
        <v>82980</v>
      </c>
      <c r="D74" s="11">
        <f>IFERROR(__xludf.DUMMYFUNCTION("""COMPUTED_VALUE"""),780.0)</f>
        <v>780</v>
      </c>
      <c r="E74" s="9"/>
    </row>
    <row r="75">
      <c r="A75" s="11">
        <f>IFERROR(__xludf.DUMMYFUNCTION("""COMPUTED_VALUE"""),2021.0)</f>
        <v>2021</v>
      </c>
      <c r="B75" s="11">
        <f>IFERROR(__xludf.DUMMYFUNCTION("""COMPUTED_VALUE"""),11.0)</f>
        <v>11</v>
      </c>
      <c r="C75" s="11">
        <f>IFERROR(__xludf.DUMMYFUNCTION("""COMPUTED_VALUE"""),83093.0)</f>
        <v>83093</v>
      </c>
      <c r="D75" s="11">
        <f>IFERROR(__xludf.DUMMYFUNCTION("""COMPUTED_VALUE"""),1435.0)</f>
        <v>1435</v>
      </c>
      <c r="E75" s="9"/>
    </row>
    <row r="76">
      <c r="A76" s="11">
        <f>IFERROR(__xludf.DUMMYFUNCTION("""COMPUTED_VALUE"""),2021.0)</f>
        <v>2021</v>
      </c>
      <c r="B76" s="11">
        <f>IFERROR(__xludf.DUMMYFUNCTION("""COMPUTED_VALUE"""),8.0)</f>
        <v>8</v>
      </c>
      <c r="C76" s="11">
        <f>IFERROR(__xludf.DUMMYFUNCTION("""COMPUTED_VALUE"""),18134.0)</f>
        <v>18134</v>
      </c>
      <c r="D76" s="11">
        <f>IFERROR(__xludf.DUMMYFUNCTION("""COMPUTED_VALUE"""),592.0)</f>
        <v>592</v>
      </c>
      <c r="E76" s="9"/>
    </row>
    <row r="77">
      <c r="A77" s="11">
        <f>IFERROR(__xludf.DUMMYFUNCTION("""COMPUTED_VALUE"""),2021.0)</f>
        <v>2021</v>
      </c>
      <c r="B77" s="11">
        <f>IFERROR(__xludf.DUMMYFUNCTION("""COMPUTED_VALUE"""),8.0)</f>
        <v>8</v>
      </c>
      <c r="C77" s="11">
        <f>IFERROR(__xludf.DUMMYFUNCTION("""COMPUTED_VALUE"""),107857.0)</f>
        <v>107857</v>
      </c>
      <c r="D77" s="11">
        <f>IFERROR(__xludf.DUMMYFUNCTION("""COMPUTED_VALUE"""),318.0)</f>
        <v>318</v>
      </c>
      <c r="E77" s="9"/>
    </row>
    <row r="78">
      <c r="A78" s="11">
        <f>IFERROR(__xludf.DUMMYFUNCTION("""COMPUTED_VALUE"""),2021.0)</f>
        <v>2021</v>
      </c>
      <c r="B78" s="11">
        <f>IFERROR(__xludf.DUMMYFUNCTION("""COMPUTED_VALUE"""),9.0)</f>
        <v>9</v>
      </c>
      <c r="C78" s="11">
        <f>IFERROR(__xludf.DUMMYFUNCTION("""COMPUTED_VALUE"""),18136.0)</f>
        <v>18136</v>
      </c>
      <c r="D78" s="11">
        <f>IFERROR(__xludf.DUMMYFUNCTION("""COMPUTED_VALUE"""),1726.0)</f>
        <v>1726</v>
      </c>
      <c r="E78" s="9"/>
    </row>
    <row r="79">
      <c r="A79" s="11">
        <f>IFERROR(__xludf.DUMMYFUNCTION("""COMPUTED_VALUE"""),2021.0)</f>
        <v>2021</v>
      </c>
      <c r="B79" s="11">
        <f>IFERROR(__xludf.DUMMYFUNCTION("""COMPUTED_VALUE"""),10.0)</f>
        <v>10</v>
      </c>
      <c r="C79" s="11">
        <f>IFERROR(__xludf.DUMMYFUNCTION("""COMPUTED_VALUE"""),69138.0)</f>
        <v>69138</v>
      </c>
      <c r="D79" s="11">
        <f>IFERROR(__xludf.DUMMYFUNCTION("""COMPUTED_VALUE"""),527.0)</f>
        <v>527</v>
      </c>
      <c r="E79" s="9"/>
    </row>
    <row r="80">
      <c r="A80" s="11">
        <f>IFERROR(__xludf.DUMMYFUNCTION("""COMPUTED_VALUE"""),2021.0)</f>
        <v>2021</v>
      </c>
      <c r="B80" s="11">
        <f>IFERROR(__xludf.DUMMYFUNCTION("""COMPUTED_VALUE"""),8.0)</f>
        <v>8</v>
      </c>
      <c r="C80" s="11">
        <f>IFERROR(__xludf.DUMMYFUNCTION("""COMPUTED_VALUE"""),74828.0)</f>
        <v>74828</v>
      </c>
      <c r="D80" s="11">
        <f>IFERROR(__xludf.DUMMYFUNCTION("""COMPUTED_VALUE"""),1162.0)</f>
        <v>1162</v>
      </c>
      <c r="E80" s="9"/>
    </row>
    <row r="81">
      <c r="A81" s="11">
        <f>IFERROR(__xludf.DUMMYFUNCTION("""COMPUTED_VALUE"""),2021.0)</f>
        <v>2021</v>
      </c>
      <c r="B81" s="11">
        <f>IFERROR(__xludf.DUMMYFUNCTION("""COMPUTED_VALUE"""),10.0)</f>
        <v>10</v>
      </c>
      <c r="C81" s="11">
        <f>IFERROR(__xludf.DUMMYFUNCTION("""COMPUTED_VALUE"""),74884.0)</f>
        <v>74884</v>
      </c>
      <c r="D81" s="11">
        <f>IFERROR(__xludf.DUMMYFUNCTION("""COMPUTED_VALUE"""),1603.0)</f>
        <v>1603</v>
      </c>
      <c r="E81" s="9"/>
    </row>
    <row r="82">
      <c r="A82" s="11">
        <f>IFERROR(__xludf.DUMMYFUNCTION("""COMPUTED_VALUE"""),2021.0)</f>
        <v>2021</v>
      </c>
      <c r="B82" s="11">
        <f>IFERROR(__xludf.DUMMYFUNCTION("""COMPUTED_VALUE"""),8.0)</f>
        <v>8</v>
      </c>
      <c r="C82" s="11">
        <f>IFERROR(__xludf.DUMMYFUNCTION("""COMPUTED_VALUE"""),127232.0)</f>
        <v>127232</v>
      </c>
      <c r="D82" s="11">
        <f>IFERROR(__xludf.DUMMYFUNCTION("""COMPUTED_VALUE"""),908.0)</f>
        <v>908</v>
      </c>
      <c r="E82" s="9"/>
    </row>
    <row r="83">
      <c r="A83" s="11">
        <f>IFERROR(__xludf.DUMMYFUNCTION("""COMPUTED_VALUE"""),2021.0)</f>
        <v>2021</v>
      </c>
      <c r="B83" s="11">
        <f>IFERROR(__xludf.DUMMYFUNCTION("""COMPUTED_VALUE"""),11.0)</f>
        <v>11</v>
      </c>
      <c r="C83" s="11">
        <f>IFERROR(__xludf.DUMMYFUNCTION("""COMPUTED_VALUE"""),82979.0)</f>
        <v>82979</v>
      </c>
      <c r="D83" s="11">
        <f>IFERROR(__xludf.DUMMYFUNCTION("""COMPUTED_VALUE"""),253.0)</f>
        <v>253</v>
      </c>
      <c r="E83" s="9"/>
    </row>
    <row r="84">
      <c r="A84" s="11">
        <f>IFERROR(__xludf.DUMMYFUNCTION("""COMPUTED_VALUE"""),2021.0)</f>
        <v>2021</v>
      </c>
      <c r="B84" s="11">
        <f>IFERROR(__xludf.DUMMYFUNCTION("""COMPUTED_VALUE"""),8.0)</f>
        <v>8</v>
      </c>
      <c r="C84" s="11">
        <f>IFERROR(__xludf.DUMMYFUNCTION("""COMPUTED_VALUE"""),18138.0)</f>
        <v>18138</v>
      </c>
      <c r="D84" s="11">
        <f>IFERROR(__xludf.DUMMYFUNCTION("""COMPUTED_VALUE"""),1609.0)</f>
        <v>1609</v>
      </c>
      <c r="E84" s="9"/>
    </row>
    <row r="85">
      <c r="A85" s="11">
        <f>IFERROR(__xludf.DUMMYFUNCTION("""COMPUTED_VALUE"""),2021.0)</f>
        <v>2021</v>
      </c>
      <c r="B85" s="11">
        <f>IFERROR(__xludf.DUMMYFUNCTION("""COMPUTED_VALUE"""),10.0)</f>
        <v>10</v>
      </c>
      <c r="C85" s="11">
        <f>IFERROR(__xludf.DUMMYFUNCTION("""COMPUTED_VALUE"""),127003.0)</f>
        <v>127003</v>
      </c>
      <c r="D85" s="11">
        <f>IFERROR(__xludf.DUMMYFUNCTION("""COMPUTED_VALUE"""),224.0)</f>
        <v>224</v>
      </c>
      <c r="E85" s="9"/>
    </row>
    <row r="86">
      <c r="A86" s="11">
        <f>IFERROR(__xludf.DUMMYFUNCTION("""COMPUTED_VALUE"""),2021.0)</f>
        <v>2021</v>
      </c>
      <c r="B86" s="11">
        <f>IFERROR(__xludf.DUMMYFUNCTION("""COMPUTED_VALUE"""),11.0)</f>
        <v>11</v>
      </c>
      <c r="C86" s="11">
        <f>IFERROR(__xludf.DUMMYFUNCTION("""COMPUTED_VALUE"""),6036.0)</f>
        <v>6036</v>
      </c>
      <c r="D86" s="11">
        <f>IFERROR(__xludf.DUMMYFUNCTION("""COMPUTED_VALUE"""),1238.0)</f>
        <v>1238</v>
      </c>
      <c r="E86" s="9"/>
    </row>
    <row r="87">
      <c r="A87" s="11">
        <f>IFERROR(__xludf.DUMMYFUNCTION("""COMPUTED_VALUE"""),2021.0)</f>
        <v>2021</v>
      </c>
      <c r="B87" s="11">
        <f>IFERROR(__xludf.DUMMYFUNCTION("""COMPUTED_VALUE"""),9.0)</f>
        <v>9</v>
      </c>
      <c r="C87" s="11">
        <f>IFERROR(__xludf.DUMMYFUNCTION("""COMPUTED_VALUE"""),6046.0)</f>
        <v>6046</v>
      </c>
      <c r="D87" s="11">
        <f>IFERROR(__xludf.DUMMYFUNCTION("""COMPUTED_VALUE"""),1259.0)</f>
        <v>1259</v>
      </c>
      <c r="E87" s="9"/>
    </row>
    <row r="88">
      <c r="A88" s="11">
        <f>IFERROR(__xludf.DUMMYFUNCTION("""COMPUTED_VALUE"""),2021.0)</f>
        <v>2021</v>
      </c>
      <c r="B88" s="11">
        <f>IFERROR(__xludf.DUMMYFUNCTION("""COMPUTED_VALUE"""),11.0)</f>
        <v>11</v>
      </c>
      <c r="C88" s="11">
        <f>IFERROR(__xludf.DUMMYFUNCTION("""COMPUTED_VALUE"""),6037.0)</f>
        <v>6037</v>
      </c>
      <c r="D88" s="11">
        <f>IFERROR(__xludf.DUMMYFUNCTION("""COMPUTED_VALUE"""),1920.0)</f>
        <v>1920</v>
      </c>
      <c r="E88" s="9"/>
    </row>
    <row r="89">
      <c r="A89" s="11">
        <f>IFERROR(__xludf.DUMMYFUNCTION("""COMPUTED_VALUE"""),2021.0)</f>
        <v>2021</v>
      </c>
      <c r="B89" s="11">
        <f>IFERROR(__xludf.DUMMYFUNCTION("""COMPUTED_VALUE"""),10.0)</f>
        <v>10</v>
      </c>
      <c r="C89" s="11">
        <f>IFERROR(__xludf.DUMMYFUNCTION("""COMPUTED_VALUE"""),6026.0)</f>
        <v>6026</v>
      </c>
      <c r="D89" s="11">
        <f>IFERROR(__xludf.DUMMYFUNCTION("""COMPUTED_VALUE"""),102.0)</f>
        <v>102</v>
      </c>
      <c r="E89" s="9"/>
    </row>
    <row r="90">
      <c r="A90" s="11">
        <f>IFERROR(__xludf.DUMMYFUNCTION("""COMPUTED_VALUE"""),2021.0)</f>
        <v>2021</v>
      </c>
      <c r="B90" s="11">
        <f>IFERROR(__xludf.DUMMYFUNCTION("""COMPUTED_VALUE"""),11.0)</f>
        <v>11</v>
      </c>
      <c r="C90" s="11">
        <f>IFERROR(__xludf.DUMMYFUNCTION("""COMPUTED_VALUE"""),47431.0)</f>
        <v>47431</v>
      </c>
      <c r="D90" s="11">
        <f>IFERROR(__xludf.DUMMYFUNCTION("""COMPUTED_VALUE"""),696.0)</f>
        <v>696</v>
      </c>
      <c r="E90" s="9"/>
    </row>
    <row r="91">
      <c r="A91" s="11">
        <f>IFERROR(__xludf.DUMMYFUNCTION("""COMPUTED_VALUE"""),2021.0)</f>
        <v>2021</v>
      </c>
      <c r="B91" s="11">
        <f>IFERROR(__xludf.DUMMYFUNCTION("""COMPUTED_VALUE"""),11.0)</f>
        <v>11</v>
      </c>
      <c r="C91" s="11">
        <f>IFERROR(__xludf.DUMMYFUNCTION("""COMPUTED_VALUE"""),82914.0)</f>
        <v>82914</v>
      </c>
      <c r="D91" s="11">
        <f>IFERROR(__xludf.DUMMYFUNCTION("""COMPUTED_VALUE"""),1834.0)</f>
        <v>1834</v>
      </c>
      <c r="E91" s="9"/>
    </row>
    <row r="92">
      <c r="A92" s="11">
        <f>IFERROR(__xludf.DUMMYFUNCTION("""COMPUTED_VALUE"""),2021.0)</f>
        <v>2021</v>
      </c>
      <c r="B92" s="11">
        <f>IFERROR(__xludf.DUMMYFUNCTION("""COMPUTED_VALUE"""),11.0)</f>
        <v>11</v>
      </c>
      <c r="C92" s="11">
        <f>IFERROR(__xludf.DUMMYFUNCTION("""COMPUTED_VALUE"""),6044.0)</f>
        <v>6044</v>
      </c>
      <c r="D92" s="11">
        <f>IFERROR(__xludf.DUMMYFUNCTION("""COMPUTED_VALUE"""),550.0)</f>
        <v>550</v>
      </c>
      <c r="E92" s="9"/>
    </row>
    <row r="93">
      <c r="A93" s="11">
        <f>IFERROR(__xludf.DUMMYFUNCTION("""COMPUTED_VALUE"""),2021.0)</f>
        <v>2021</v>
      </c>
      <c r="B93" s="11">
        <f>IFERROR(__xludf.DUMMYFUNCTION("""COMPUTED_VALUE"""),9.0)</f>
        <v>9</v>
      </c>
      <c r="C93" s="11">
        <f>IFERROR(__xludf.DUMMYFUNCTION("""COMPUTED_VALUE"""),82913.0)</f>
        <v>82913</v>
      </c>
      <c r="D93" s="11">
        <f>IFERROR(__xludf.DUMMYFUNCTION("""COMPUTED_VALUE"""),692.0)</f>
        <v>692</v>
      </c>
      <c r="E93" s="9"/>
    </row>
    <row r="94">
      <c r="A94" s="11">
        <f>IFERROR(__xludf.DUMMYFUNCTION("""COMPUTED_VALUE"""),2021.0)</f>
        <v>2021</v>
      </c>
      <c r="B94" s="11">
        <f>IFERROR(__xludf.DUMMYFUNCTION("""COMPUTED_VALUE"""),9.0)</f>
        <v>9</v>
      </c>
      <c r="C94" s="11">
        <f>IFERROR(__xludf.DUMMYFUNCTION("""COMPUTED_VALUE"""),82922.0)</f>
        <v>82922</v>
      </c>
      <c r="D94" s="11">
        <f>IFERROR(__xludf.DUMMYFUNCTION("""COMPUTED_VALUE"""),985.0)</f>
        <v>985</v>
      </c>
      <c r="E94" s="9"/>
    </row>
    <row r="95">
      <c r="A95" s="11">
        <f>IFERROR(__xludf.DUMMYFUNCTION("""COMPUTED_VALUE"""),2021.0)</f>
        <v>2021</v>
      </c>
      <c r="B95" s="11">
        <f>IFERROR(__xludf.DUMMYFUNCTION("""COMPUTED_VALUE"""),10.0)</f>
        <v>10</v>
      </c>
      <c r="C95" s="11">
        <f>IFERROR(__xludf.DUMMYFUNCTION("""COMPUTED_VALUE"""),6045.0)</f>
        <v>6045</v>
      </c>
      <c r="D95" s="11">
        <f>IFERROR(__xludf.DUMMYFUNCTION("""COMPUTED_VALUE"""),1609.0)</f>
        <v>1609</v>
      </c>
      <c r="E95" s="9"/>
    </row>
    <row r="96">
      <c r="A96" s="11">
        <f>IFERROR(__xludf.DUMMYFUNCTION("""COMPUTED_VALUE"""),2021.0)</f>
        <v>2021</v>
      </c>
      <c r="B96" s="11">
        <f>IFERROR(__xludf.DUMMYFUNCTION("""COMPUTED_VALUE"""),10.0)</f>
        <v>10</v>
      </c>
      <c r="C96" s="11">
        <f>IFERROR(__xludf.DUMMYFUNCTION("""COMPUTED_VALUE"""),6027.0)</f>
        <v>6027</v>
      </c>
      <c r="D96" s="11">
        <f>IFERROR(__xludf.DUMMYFUNCTION("""COMPUTED_VALUE"""),524.0)</f>
        <v>524</v>
      </c>
      <c r="E96" s="9"/>
    </row>
    <row r="97">
      <c r="A97" s="11">
        <f>IFERROR(__xludf.DUMMYFUNCTION("""COMPUTED_VALUE"""),2021.0)</f>
        <v>2021</v>
      </c>
      <c r="B97" s="11">
        <f>IFERROR(__xludf.DUMMYFUNCTION("""COMPUTED_VALUE"""),8.0)</f>
        <v>8</v>
      </c>
      <c r="C97" s="11">
        <f>IFERROR(__xludf.DUMMYFUNCTION("""COMPUTED_VALUE"""),97088.0)</f>
        <v>97088</v>
      </c>
      <c r="D97" s="11">
        <f>IFERROR(__xludf.DUMMYFUNCTION("""COMPUTED_VALUE"""),646.0)</f>
        <v>646</v>
      </c>
      <c r="E97" s="9"/>
    </row>
    <row r="98">
      <c r="A98" s="11">
        <f>IFERROR(__xludf.DUMMYFUNCTION("""COMPUTED_VALUE"""),2021.0)</f>
        <v>2021</v>
      </c>
      <c r="B98" s="11">
        <f>IFERROR(__xludf.DUMMYFUNCTION("""COMPUTED_VALUE"""),11.0)</f>
        <v>11</v>
      </c>
      <c r="C98" s="11">
        <f>IFERROR(__xludf.DUMMYFUNCTION("""COMPUTED_VALUE"""),122235.0)</f>
        <v>122235</v>
      </c>
      <c r="D98" s="11">
        <f>IFERROR(__xludf.DUMMYFUNCTION("""COMPUTED_VALUE"""),524.0)</f>
        <v>524</v>
      </c>
      <c r="E98" s="9"/>
    </row>
    <row r="99">
      <c r="A99" s="11">
        <f>IFERROR(__xludf.DUMMYFUNCTION("""COMPUTED_VALUE"""),2021.0)</f>
        <v>2021</v>
      </c>
      <c r="B99" s="11">
        <f>IFERROR(__xludf.DUMMYFUNCTION("""COMPUTED_VALUE"""),10.0)</f>
        <v>10</v>
      </c>
      <c r="C99" s="11">
        <f>IFERROR(__xludf.DUMMYFUNCTION("""COMPUTED_VALUE"""),119887.0)</f>
        <v>119887</v>
      </c>
      <c r="D99" s="11">
        <f>IFERROR(__xludf.DUMMYFUNCTION("""COMPUTED_VALUE"""),369.0)</f>
        <v>369</v>
      </c>
      <c r="E99" s="9"/>
    </row>
    <row r="100">
      <c r="A100" s="11">
        <f>IFERROR(__xludf.DUMMYFUNCTION("""COMPUTED_VALUE"""),2021.0)</f>
        <v>2021</v>
      </c>
      <c r="B100" s="11">
        <f>IFERROR(__xludf.DUMMYFUNCTION("""COMPUTED_VALUE"""),8.0)</f>
        <v>8</v>
      </c>
      <c r="C100" s="11">
        <f>IFERROR(__xludf.DUMMYFUNCTION("""COMPUTED_VALUE"""),97980.0)</f>
        <v>97980</v>
      </c>
      <c r="D100" s="11">
        <f>IFERROR(__xludf.DUMMYFUNCTION("""COMPUTED_VALUE"""),160.0)</f>
        <v>160</v>
      </c>
      <c r="E100" s="9"/>
    </row>
    <row r="101">
      <c r="A101" s="11">
        <f>IFERROR(__xludf.DUMMYFUNCTION("""COMPUTED_VALUE"""),2021.0)</f>
        <v>2021</v>
      </c>
      <c r="B101" s="11">
        <f>IFERROR(__xludf.DUMMYFUNCTION("""COMPUTED_VALUE"""),10.0)</f>
        <v>10</v>
      </c>
      <c r="C101" s="11">
        <f>IFERROR(__xludf.DUMMYFUNCTION("""COMPUTED_VALUE"""),119876.0)</f>
        <v>119876</v>
      </c>
      <c r="D101" s="11">
        <f>IFERROR(__xludf.DUMMYFUNCTION("""COMPUTED_VALUE"""),310.0)</f>
        <v>310</v>
      </c>
      <c r="E101" s="9"/>
    </row>
    <row r="102">
      <c r="A102" s="11">
        <f>IFERROR(__xludf.DUMMYFUNCTION("""COMPUTED_VALUE"""),2021.0)</f>
        <v>2021</v>
      </c>
      <c r="B102" s="11">
        <f>IFERROR(__xludf.DUMMYFUNCTION("""COMPUTED_VALUE"""),9.0)</f>
        <v>9</v>
      </c>
      <c r="C102" s="11">
        <f>IFERROR(__xludf.DUMMYFUNCTION("""COMPUTED_VALUE"""),119881.0)</f>
        <v>119881</v>
      </c>
      <c r="D102" s="11">
        <f>IFERROR(__xludf.DUMMYFUNCTION("""COMPUTED_VALUE"""),1441.0)</f>
        <v>1441</v>
      </c>
      <c r="E102" s="9"/>
    </row>
    <row r="103">
      <c r="A103" s="11">
        <f>IFERROR(__xludf.DUMMYFUNCTION("""COMPUTED_VALUE"""),2021.0)</f>
        <v>2021</v>
      </c>
      <c r="B103" s="11">
        <f>IFERROR(__xludf.DUMMYFUNCTION("""COMPUTED_VALUE"""),9.0)</f>
        <v>9</v>
      </c>
      <c r="C103" s="11">
        <f>IFERROR(__xludf.DUMMYFUNCTION("""COMPUTED_VALUE"""),26127.0)</f>
        <v>26127</v>
      </c>
      <c r="D103" s="11">
        <f>IFERROR(__xludf.DUMMYFUNCTION("""COMPUTED_VALUE"""),681.0)</f>
        <v>681</v>
      </c>
      <c r="E103" s="9"/>
    </row>
    <row r="104">
      <c r="A104" s="11">
        <f>IFERROR(__xludf.DUMMYFUNCTION("""COMPUTED_VALUE"""),2021.0)</f>
        <v>2021</v>
      </c>
      <c r="B104" s="11">
        <f>IFERROR(__xludf.DUMMYFUNCTION("""COMPUTED_VALUE"""),9.0)</f>
        <v>9</v>
      </c>
      <c r="C104" s="11">
        <f>IFERROR(__xludf.DUMMYFUNCTION("""COMPUTED_VALUE"""),87365.0)</f>
        <v>87365</v>
      </c>
      <c r="D104" s="11">
        <f>IFERROR(__xludf.DUMMYFUNCTION("""COMPUTED_VALUE"""),740.0)</f>
        <v>740</v>
      </c>
      <c r="E104" s="9"/>
    </row>
    <row r="105">
      <c r="A105" s="11">
        <f>IFERROR(__xludf.DUMMYFUNCTION("""COMPUTED_VALUE"""),2021.0)</f>
        <v>2021</v>
      </c>
      <c r="B105" s="11">
        <f>IFERROR(__xludf.DUMMYFUNCTION("""COMPUTED_VALUE"""),10.0)</f>
        <v>10</v>
      </c>
      <c r="C105" s="11">
        <f>IFERROR(__xludf.DUMMYFUNCTION("""COMPUTED_VALUE"""),87381.0)</f>
        <v>87381</v>
      </c>
      <c r="D105" s="11">
        <f>IFERROR(__xludf.DUMMYFUNCTION("""COMPUTED_VALUE"""),464.0)</f>
        <v>464</v>
      </c>
      <c r="E105" s="9"/>
    </row>
    <row r="106">
      <c r="A106" s="11">
        <f>IFERROR(__xludf.DUMMYFUNCTION("""COMPUTED_VALUE"""),2021.0)</f>
        <v>2021</v>
      </c>
      <c r="B106" s="11">
        <f>IFERROR(__xludf.DUMMYFUNCTION("""COMPUTED_VALUE"""),8.0)</f>
        <v>8</v>
      </c>
      <c r="C106" s="11">
        <f>IFERROR(__xludf.DUMMYFUNCTION("""COMPUTED_VALUE"""),122828.0)</f>
        <v>122828</v>
      </c>
      <c r="D106" s="11">
        <f>IFERROR(__xludf.DUMMYFUNCTION("""COMPUTED_VALUE"""),1178.0)</f>
        <v>1178</v>
      </c>
      <c r="E106" s="9"/>
    </row>
    <row r="107">
      <c r="A107" s="11">
        <f>IFERROR(__xludf.DUMMYFUNCTION("""COMPUTED_VALUE"""),2021.0)</f>
        <v>2021</v>
      </c>
      <c r="B107" s="11">
        <f>IFERROR(__xludf.DUMMYFUNCTION("""COMPUTED_VALUE"""),11.0)</f>
        <v>11</v>
      </c>
      <c r="C107" s="11">
        <f>IFERROR(__xludf.DUMMYFUNCTION("""COMPUTED_VALUE"""),73841.0)</f>
        <v>73841</v>
      </c>
      <c r="D107" s="11">
        <f>IFERROR(__xludf.DUMMYFUNCTION("""COMPUTED_VALUE"""),886.0)</f>
        <v>886</v>
      </c>
      <c r="E107" s="9"/>
    </row>
    <row r="108">
      <c r="A108" s="11">
        <f>IFERROR(__xludf.DUMMYFUNCTION("""COMPUTED_VALUE"""),2021.0)</f>
        <v>2021</v>
      </c>
      <c r="B108" s="11">
        <f>IFERROR(__xludf.DUMMYFUNCTION("""COMPUTED_VALUE"""),8.0)</f>
        <v>8</v>
      </c>
      <c r="C108" s="11">
        <f>IFERROR(__xludf.DUMMYFUNCTION("""COMPUTED_VALUE"""),73838.0)</f>
        <v>73838</v>
      </c>
      <c r="D108" s="11">
        <f>IFERROR(__xludf.DUMMYFUNCTION("""COMPUTED_VALUE"""),404.0)</f>
        <v>404</v>
      </c>
      <c r="E108" s="9"/>
    </row>
    <row r="109">
      <c r="A109" s="11">
        <f>IFERROR(__xludf.DUMMYFUNCTION("""COMPUTED_VALUE"""),2021.0)</f>
        <v>2021</v>
      </c>
      <c r="B109" s="11">
        <f>IFERROR(__xludf.DUMMYFUNCTION("""COMPUTED_VALUE"""),8.0)</f>
        <v>8</v>
      </c>
      <c r="C109" s="11">
        <f>IFERROR(__xludf.DUMMYFUNCTION("""COMPUTED_VALUE"""),87372.0)</f>
        <v>87372</v>
      </c>
      <c r="D109" s="11">
        <f>IFERROR(__xludf.DUMMYFUNCTION("""COMPUTED_VALUE"""),164.0)</f>
        <v>164</v>
      </c>
      <c r="E109" s="9"/>
    </row>
    <row r="110">
      <c r="A110" s="11">
        <f>IFERROR(__xludf.DUMMYFUNCTION("""COMPUTED_VALUE"""),2021.0)</f>
        <v>2021</v>
      </c>
      <c r="B110" s="11">
        <f>IFERROR(__xludf.DUMMYFUNCTION("""COMPUTED_VALUE"""),9.0)</f>
        <v>9</v>
      </c>
      <c r="C110" s="11">
        <f>IFERROR(__xludf.DUMMYFUNCTION("""COMPUTED_VALUE"""),87383.0)</f>
        <v>87383</v>
      </c>
      <c r="D110" s="11">
        <f>IFERROR(__xludf.DUMMYFUNCTION("""COMPUTED_VALUE"""),211.0)</f>
        <v>211</v>
      </c>
      <c r="E110" s="9"/>
    </row>
    <row r="111">
      <c r="A111" s="11">
        <f>IFERROR(__xludf.DUMMYFUNCTION("""COMPUTED_VALUE"""),2021.0)</f>
        <v>2021</v>
      </c>
      <c r="B111" s="11">
        <f>IFERROR(__xludf.DUMMYFUNCTION("""COMPUTED_VALUE"""),9.0)</f>
        <v>9</v>
      </c>
      <c r="C111" s="11">
        <f>IFERROR(__xludf.DUMMYFUNCTION("""COMPUTED_VALUE"""),49068.0)</f>
        <v>49068</v>
      </c>
      <c r="D111" s="11">
        <f>IFERROR(__xludf.DUMMYFUNCTION("""COMPUTED_VALUE"""),539.0)</f>
        <v>539</v>
      </c>
      <c r="E111" s="9"/>
    </row>
    <row r="112">
      <c r="A112" s="11">
        <f>IFERROR(__xludf.DUMMYFUNCTION("""COMPUTED_VALUE"""),2021.0)</f>
        <v>2021</v>
      </c>
      <c r="B112" s="11">
        <f>IFERROR(__xludf.DUMMYFUNCTION("""COMPUTED_VALUE"""),11.0)</f>
        <v>11</v>
      </c>
      <c r="C112" s="11">
        <f>IFERROR(__xludf.DUMMYFUNCTION("""COMPUTED_VALUE"""),26130.0)</f>
        <v>26130</v>
      </c>
      <c r="D112" s="11">
        <f>IFERROR(__xludf.DUMMYFUNCTION("""COMPUTED_VALUE"""),1372.0)</f>
        <v>1372</v>
      </c>
      <c r="E112" s="9"/>
    </row>
    <row r="113">
      <c r="A113" s="11">
        <f>IFERROR(__xludf.DUMMYFUNCTION("""COMPUTED_VALUE"""),2021.0)</f>
        <v>2021</v>
      </c>
      <c r="B113" s="11">
        <f>IFERROR(__xludf.DUMMYFUNCTION("""COMPUTED_VALUE"""),10.0)</f>
        <v>10</v>
      </c>
      <c r="C113" s="11">
        <f>IFERROR(__xludf.DUMMYFUNCTION("""COMPUTED_VALUE"""),111493.0)</f>
        <v>111493</v>
      </c>
      <c r="D113" s="11">
        <f>IFERROR(__xludf.DUMMYFUNCTION("""COMPUTED_VALUE"""),1842.0)</f>
        <v>1842</v>
      </c>
      <c r="E113" s="9"/>
    </row>
    <row r="114">
      <c r="A114" s="11">
        <f>IFERROR(__xludf.DUMMYFUNCTION("""COMPUTED_VALUE"""),2021.0)</f>
        <v>2021</v>
      </c>
      <c r="B114" s="11">
        <f>IFERROR(__xludf.DUMMYFUNCTION("""COMPUTED_VALUE"""),11.0)</f>
        <v>11</v>
      </c>
      <c r="C114" s="11">
        <f>IFERROR(__xludf.DUMMYFUNCTION("""COMPUTED_VALUE"""),98395.0)</f>
        <v>98395</v>
      </c>
      <c r="D114" s="11">
        <f>IFERROR(__xludf.DUMMYFUNCTION("""COMPUTED_VALUE"""),880.0)</f>
        <v>880</v>
      </c>
      <c r="E114" s="9"/>
    </row>
    <row r="115">
      <c r="A115" s="11">
        <f>IFERROR(__xludf.DUMMYFUNCTION("""COMPUTED_VALUE"""),2021.0)</f>
        <v>2021</v>
      </c>
      <c r="B115" s="11">
        <f>IFERROR(__xludf.DUMMYFUNCTION("""COMPUTED_VALUE"""),8.0)</f>
        <v>8</v>
      </c>
      <c r="C115" s="11">
        <f>IFERROR(__xludf.DUMMYFUNCTION("""COMPUTED_VALUE"""),98396.0)</f>
        <v>98396</v>
      </c>
      <c r="D115" s="11">
        <f>IFERROR(__xludf.DUMMYFUNCTION("""COMPUTED_VALUE"""),209.0)</f>
        <v>209</v>
      </c>
      <c r="E115" s="9"/>
    </row>
    <row r="116">
      <c r="A116" s="11">
        <f>IFERROR(__xludf.DUMMYFUNCTION("""COMPUTED_VALUE"""),2021.0)</f>
        <v>2021</v>
      </c>
      <c r="B116" s="11">
        <f>IFERROR(__xludf.DUMMYFUNCTION("""COMPUTED_VALUE"""),10.0)</f>
        <v>10</v>
      </c>
      <c r="C116" s="11">
        <f>IFERROR(__xludf.DUMMYFUNCTION("""COMPUTED_VALUE"""),98394.0)</f>
        <v>98394</v>
      </c>
      <c r="D116" s="11">
        <f>IFERROR(__xludf.DUMMYFUNCTION("""COMPUTED_VALUE"""),1058.0)</f>
        <v>1058</v>
      </c>
      <c r="E116" s="9"/>
    </row>
    <row r="117">
      <c r="A117" s="11">
        <f>IFERROR(__xludf.DUMMYFUNCTION("""COMPUTED_VALUE"""),2021.0)</f>
        <v>2021</v>
      </c>
      <c r="B117" s="11">
        <f>IFERROR(__xludf.DUMMYFUNCTION("""COMPUTED_VALUE"""),11.0)</f>
        <v>11</v>
      </c>
      <c r="C117" s="11">
        <f>IFERROR(__xludf.DUMMYFUNCTION("""COMPUTED_VALUE"""),98397.0)</f>
        <v>98397</v>
      </c>
      <c r="D117" s="11">
        <f>IFERROR(__xludf.DUMMYFUNCTION("""COMPUTED_VALUE"""),1604.0)</f>
        <v>1604</v>
      </c>
      <c r="E117" s="9"/>
    </row>
    <row r="118">
      <c r="A118" s="11">
        <f>IFERROR(__xludf.DUMMYFUNCTION("""COMPUTED_VALUE"""),2021.0)</f>
        <v>2021</v>
      </c>
      <c r="B118" s="11">
        <f>IFERROR(__xludf.DUMMYFUNCTION("""COMPUTED_VALUE"""),11.0)</f>
        <v>11</v>
      </c>
      <c r="C118" s="11">
        <f>IFERROR(__xludf.DUMMYFUNCTION("""COMPUTED_VALUE"""),111489.0)</f>
        <v>111489</v>
      </c>
      <c r="D118" s="11">
        <f>IFERROR(__xludf.DUMMYFUNCTION("""COMPUTED_VALUE"""),512.0)</f>
        <v>512</v>
      </c>
      <c r="E118" s="9"/>
    </row>
    <row r="119">
      <c r="A119" s="11">
        <f>IFERROR(__xludf.DUMMYFUNCTION("""COMPUTED_VALUE"""),2021.0)</f>
        <v>2021</v>
      </c>
      <c r="B119" s="11">
        <f>IFERROR(__xludf.DUMMYFUNCTION("""COMPUTED_VALUE"""),9.0)</f>
        <v>9</v>
      </c>
      <c r="C119" s="11">
        <f>IFERROR(__xludf.DUMMYFUNCTION("""COMPUTED_VALUE"""),98393.0)</f>
        <v>98393</v>
      </c>
      <c r="D119" s="11">
        <f>IFERROR(__xludf.DUMMYFUNCTION("""COMPUTED_VALUE"""),941.0)</f>
        <v>941</v>
      </c>
      <c r="E119" s="9"/>
    </row>
    <row r="120">
      <c r="A120" s="11">
        <f>IFERROR(__xludf.DUMMYFUNCTION("""COMPUTED_VALUE"""),2021.0)</f>
        <v>2021</v>
      </c>
      <c r="B120" s="11">
        <f>IFERROR(__xludf.DUMMYFUNCTION("""COMPUTED_VALUE"""),9.0)</f>
        <v>9</v>
      </c>
      <c r="C120" s="11">
        <f>IFERROR(__xludf.DUMMYFUNCTION("""COMPUTED_VALUE"""),10933.0)</f>
        <v>10933</v>
      </c>
      <c r="D120" s="11">
        <f>IFERROR(__xludf.DUMMYFUNCTION("""COMPUTED_VALUE"""),1928.0)</f>
        <v>1928</v>
      </c>
      <c r="E120" s="9"/>
    </row>
    <row r="121">
      <c r="A121" s="11">
        <f>IFERROR(__xludf.DUMMYFUNCTION("""COMPUTED_VALUE"""),2021.0)</f>
        <v>2021</v>
      </c>
      <c r="B121" s="11">
        <f>IFERROR(__xludf.DUMMYFUNCTION("""COMPUTED_VALUE"""),8.0)</f>
        <v>8</v>
      </c>
      <c r="C121" s="11">
        <f>IFERROR(__xludf.DUMMYFUNCTION("""COMPUTED_VALUE"""),111994.0)</f>
        <v>111994</v>
      </c>
      <c r="D121" s="11">
        <f>IFERROR(__xludf.DUMMYFUNCTION("""COMPUTED_VALUE"""),529.0)</f>
        <v>529</v>
      </c>
      <c r="E121" s="9"/>
    </row>
    <row r="122">
      <c r="A122" s="11">
        <f>IFERROR(__xludf.DUMMYFUNCTION("""COMPUTED_VALUE"""),2021.0)</f>
        <v>2021</v>
      </c>
      <c r="B122" s="11">
        <f>IFERROR(__xludf.DUMMYFUNCTION("""COMPUTED_VALUE"""),11.0)</f>
        <v>11</v>
      </c>
      <c r="C122" s="11">
        <f>IFERROR(__xludf.DUMMYFUNCTION("""COMPUTED_VALUE"""),101637.0)</f>
        <v>101637</v>
      </c>
      <c r="D122" s="11">
        <f>IFERROR(__xludf.DUMMYFUNCTION("""COMPUTED_VALUE"""),644.0)</f>
        <v>644</v>
      </c>
      <c r="E122" s="9"/>
    </row>
    <row r="123">
      <c r="A123" s="11">
        <f>IFERROR(__xludf.DUMMYFUNCTION("""COMPUTED_VALUE"""),2021.0)</f>
        <v>2021</v>
      </c>
      <c r="B123" s="11">
        <f>IFERROR(__xludf.DUMMYFUNCTION("""COMPUTED_VALUE"""),9.0)</f>
        <v>9</v>
      </c>
      <c r="C123" s="11">
        <f>IFERROR(__xludf.DUMMYFUNCTION("""COMPUTED_VALUE"""),111996.0)</f>
        <v>111996</v>
      </c>
      <c r="D123" s="11">
        <f>IFERROR(__xludf.DUMMYFUNCTION("""COMPUTED_VALUE"""),1502.0)</f>
        <v>1502</v>
      </c>
      <c r="E123" s="9"/>
    </row>
    <row r="124">
      <c r="A124" s="11">
        <f>IFERROR(__xludf.DUMMYFUNCTION("""COMPUTED_VALUE"""),2021.0)</f>
        <v>2021</v>
      </c>
      <c r="B124" s="11">
        <f>IFERROR(__xludf.DUMMYFUNCTION("""COMPUTED_VALUE"""),11.0)</f>
        <v>11</v>
      </c>
      <c r="C124" s="11">
        <f>IFERROR(__xludf.DUMMYFUNCTION("""COMPUTED_VALUE"""),120886.0)</f>
        <v>120886</v>
      </c>
      <c r="D124" s="11">
        <f>IFERROR(__xludf.DUMMYFUNCTION("""COMPUTED_VALUE"""),1422.0)</f>
        <v>1422</v>
      </c>
      <c r="E124" s="9"/>
    </row>
    <row r="125">
      <c r="A125" s="11">
        <f>IFERROR(__xludf.DUMMYFUNCTION("""COMPUTED_VALUE"""),2021.0)</f>
        <v>2021</v>
      </c>
      <c r="B125" s="11">
        <f>IFERROR(__xludf.DUMMYFUNCTION("""COMPUTED_VALUE"""),11.0)</f>
        <v>11</v>
      </c>
      <c r="C125" s="11">
        <f>IFERROR(__xludf.DUMMYFUNCTION("""COMPUTED_VALUE"""),85058.0)</f>
        <v>85058</v>
      </c>
      <c r="D125" s="11">
        <f>IFERROR(__xludf.DUMMYFUNCTION("""COMPUTED_VALUE"""),1034.0)</f>
        <v>1034</v>
      </c>
      <c r="E125" s="9"/>
    </row>
    <row r="126">
      <c r="A126" s="11">
        <f>IFERROR(__xludf.DUMMYFUNCTION("""COMPUTED_VALUE"""),2021.0)</f>
        <v>2021</v>
      </c>
      <c r="B126" s="11">
        <f>IFERROR(__xludf.DUMMYFUNCTION("""COMPUTED_VALUE"""),9.0)</f>
        <v>9</v>
      </c>
      <c r="C126" s="11">
        <f>IFERROR(__xludf.DUMMYFUNCTION("""COMPUTED_VALUE"""),27380.0)</f>
        <v>27380</v>
      </c>
      <c r="D126" s="11">
        <f>IFERROR(__xludf.DUMMYFUNCTION("""COMPUTED_VALUE"""),586.0)</f>
        <v>586</v>
      </c>
      <c r="E126" s="9"/>
    </row>
    <row r="127">
      <c r="A127" s="11">
        <f>IFERROR(__xludf.DUMMYFUNCTION("""COMPUTED_VALUE"""),2021.0)</f>
        <v>2021</v>
      </c>
      <c r="B127" s="11">
        <f>IFERROR(__xludf.DUMMYFUNCTION("""COMPUTED_VALUE"""),9.0)</f>
        <v>9</v>
      </c>
      <c r="C127" s="11">
        <f>IFERROR(__xludf.DUMMYFUNCTION("""COMPUTED_VALUE"""),117204.0)</f>
        <v>117204</v>
      </c>
      <c r="D127" s="11">
        <f>IFERROR(__xludf.DUMMYFUNCTION("""COMPUTED_VALUE"""),803.0)</f>
        <v>803</v>
      </c>
      <c r="E127" s="9"/>
    </row>
    <row r="128">
      <c r="A128" s="11">
        <f>IFERROR(__xludf.DUMMYFUNCTION("""COMPUTED_VALUE"""),2021.0)</f>
        <v>2021</v>
      </c>
      <c r="B128" s="11">
        <f>IFERROR(__xludf.DUMMYFUNCTION("""COMPUTED_VALUE"""),10.0)</f>
        <v>10</v>
      </c>
      <c r="C128" s="11">
        <f>IFERROR(__xludf.DUMMYFUNCTION("""COMPUTED_VALUE"""),45484.0)</f>
        <v>45484</v>
      </c>
      <c r="D128" s="11">
        <f>IFERROR(__xludf.DUMMYFUNCTION("""COMPUTED_VALUE"""),1864.0)</f>
        <v>1864</v>
      </c>
      <c r="E128" s="9"/>
    </row>
    <row r="129">
      <c r="A129" s="11">
        <f>IFERROR(__xludf.DUMMYFUNCTION("""COMPUTED_VALUE"""),2021.0)</f>
        <v>2021</v>
      </c>
      <c r="B129" s="11">
        <f>IFERROR(__xludf.DUMMYFUNCTION("""COMPUTED_VALUE"""),8.0)</f>
        <v>8</v>
      </c>
      <c r="C129" s="11">
        <f>IFERROR(__xludf.DUMMYFUNCTION("""COMPUTED_VALUE"""),27382.0)</f>
        <v>27382</v>
      </c>
      <c r="D129" s="11">
        <f>IFERROR(__xludf.DUMMYFUNCTION("""COMPUTED_VALUE"""),25.0)</f>
        <v>25</v>
      </c>
      <c r="E129" s="9"/>
    </row>
    <row r="130">
      <c r="A130" s="11">
        <f>IFERROR(__xludf.DUMMYFUNCTION("""COMPUTED_VALUE"""),2021.0)</f>
        <v>2021</v>
      </c>
      <c r="B130" s="11">
        <f>IFERROR(__xludf.DUMMYFUNCTION("""COMPUTED_VALUE"""),10.0)</f>
        <v>10</v>
      </c>
      <c r="C130" s="11">
        <f>IFERROR(__xludf.DUMMYFUNCTION("""COMPUTED_VALUE"""),45491.0)</f>
        <v>45491</v>
      </c>
      <c r="D130" s="11">
        <f>IFERROR(__xludf.DUMMYFUNCTION("""COMPUTED_VALUE"""),60.0)</f>
        <v>60</v>
      </c>
      <c r="E130" s="9"/>
    </row>
    <row r="131">
      <c r="A131" s="11">
        <f>IFERROR(__xludf.DUMMYFUNCTION("""COMPUTED_VALUE"""),2021.0)</f>
        <v>2021</v>
      </c>
      <c r="B131" s="11">
        <f>IFERROR(__xludf.DUMMYFUNCTION("""COMPUTED_VALUE"""),9.0)</f>
        <v>9</v>
      </c>
      <c r="C131" s="11">
        <f>IFERROR(__xludf.DUMMYFUNCTION("""COMPUTED_VALUE"""),11631.0)</f>
        <v>11631</v>
      </c>
      <c r="D131" s="11">
        <f>IFERROR(__xludf.DUMMYFUNCTION("""COMPUTED_VALUE"""),1447.0)</f>
        <v>1447</v>
      </c>
      <c r="E131" s="9"/>
    </row>
    <row r="132">
      <c r="A132" s="11">
        <f>IFERROR(__xludf.DUMMYFUNCTION("""COMPUTED_VALUE"""),2021.0)</f>
        <v>2021</v>
      </c>
      <c r="B132" s="11">
        <f>IFERROR(__xludf.DUMMYFUNCTION("""COMPUTED_VALUE"""),8.0)</f>
        <v>8</v>
      </c>
      <c r="C132" s="11">
        <f>IFERROR(__xludf.DUMMYFUNCTION("""COMPUTED_VALUE"""),11630.0)</f>
        <v>11630</v>
      </c>
      <c r="D132" s="11">
        <f>IFERROR(__xludf.DUMMYFUNCTION("""COMPUTED_VALUE"""),1469.0)</f>
        <v>1469</v>
      </c>
      <c r="E132" s="9"/>
    </row>
    <row r="133">
      <c r="A133" s="11">
        <f>IFERROR(__xludf.DUMMYFUNCTION("""COMPUTED_VALUE"""),2021.0)</f>
        <v>2021</v>
      </c>
      <c r="B133" s="11">
        <f>IFERROR(__xludf.DUMMYFUNCTION("""COMPUTED_VALUE"""),11.0)</f>
        <v>11</v>
      </c>
      <c r="C133" s="11">
        <f>IFERROR(__xludf.DUMMYFUNCTION("""COMPUTED_VALUE"""),11634.0)</f>
        <v>11634</v>
      </c>
      <c r="D133" s="11">
        <f>IFERROR(__xludf.DUMMYFUNCTION("""COMPUTED_VALUE"""),839.0)</f>
        <v>839</v>
      </c>
      <c r="E133" s="9"/>
    </row>
    <row r="134">
      <c r="A134" s="11">
        <f>IFERROR(__xludf.DUMMYFUNCTION("""COMPUTED_VALUE"""),2021.0)</f>
        <v>2021</v>
      </c>
      <c r="B134" s="11">
        <f>IFERROR(__xludf.DUMMYFUNCTION("""COMPUTED_VALUE"""),9.0)</f>
        <v>9</v>
      </c>
      <c r="C134" s="11">
        <f>IFERROR(__xludf.DUMMYFUNCTION("""COMPUTED_VALUE"""),11635.0)</f>
        <v>11635</v>
      </c>
      <c r="D134" s="11">
        <f>IFERROR(__xludf.DUMMYFUNCTION("""COMPUTED_VALUE"""),349.0)</f>
        <v>349</v>
      </c>
      <c r="E134" s="9"/>
    </row>
    <row r="135">
      <c r="A135" s="11">
        <f>IFERROR(__xludf.DUMMYFUNCTION("""COMPUTED_VALUE"""),2021.0)</f>
        <v>2021</v>
      </c>
      <c r="B135" s="11">
        <f>IFERROR(__xludf.DUMMYFUNCTION("""COMPUTED_VALUE"""),9.0)</f>
        <v>9</v>
      </c>
      <c r="C135" s="11">
        <f>IFERROR(__xludf.DUMMYFUNCTION("""COMPUTED_VALUE"""),114776.0)</f>
        <v>114776</v>
      </c>
      <c r="D135" s="11">
        <f>IFERROR(__xludf.DUMMYFUNCTION("""COMPUTED_VALUE"""),1576.0)</f>
        <v>1576</v>
      </c>
      <c r="E135" s="9"/>
    </row>
    <row r="136">
      <c r="A136" s="11">
        <f>IFERROR(__xludf.DUMMYFUNCTION("""COMPUTED_VALUE"""),2021.0)</f>
        <v>2021</v>
      </c>
      <c r="B136" s="11">
        <f>IFERROR(__xludf.DUMMYFUNCTION("""COMPUTED_VALUE"""),9.0)</f>
        <v>9</v>
      </c>
      <c r="C136" s="11">
        <f>IFERROR(__xludf.DUMMYFUNCTION("""COMPUTED_VALUE"""),76762.0)</f>
        <v>76762</v>
      </c>
      <c r="D136" s="11">
        <f>IFERROR(__xludf.DUMMYFUNCTION("""COMPUTED_VALUE"""),926.0)</f>
        <v>926</v>
      </c>
      <c r="E136" s="9"/>
    </row>
    <row r="137">
      <c r="A137" s="11">
        <f>IFERROR(__xludf.DUMMYFUNCTION("""COMPUTED_VALUE"""),2021.0)</f>
        <v>2021</v>
      </c>
      <c r="B137" s="11">
        <f>IFERROR(__xludf.DUMMYFUNCTION("""COMPUTED_VALUE"""),8.0)</f>
        <v>8</v>
      </c>
      <c r="C137" s="11">
        <f>IFERROR(__xludf.DUMMYFUNCTION("""COMPUTED_VALUE"""),181194.0)</f>
        <v>181194</v>
      </c>
      <c r="D137" s="11">
        <f>IFERROR(__xludf.DUMMYFUNCTION("""COMPUTED_VALUE"""),1483.0)</f>
        <v>1483</v>
      </c>
      <c r="E137" s="9"/>
    </row>
    <row r="138">
      <c r="A138" s="11">
        <f>IFERROR(__xludf.DUMMYFUNCTION("""COMPUTED_VALUE"""),2021.0)</f>
        <v>2021</v>
      </c>
      <c r="B138" s="11">
        <f>IFERROR(__xludf.DUMMYFUNCTION("""COMPUTED_VALUE"""),9.0)</f>
        <v>9</v>
      </c>
      <c r="C138" s="11">
        <f>IFERROR(__xludf.DUMMYFUNCTION("""COMPUTED_VALUE"""),164637.0)</f>
        <v>164637</v>
      </c>
      <c r="D138" s="11">
        <f>IFERROR(__xludf.DUMMYFUNCTION("""COMPUTED_VALUE"""),1468.0)</f>
        <v>1468</v>
      </c>
      <c r="E138" s="9"/>
    </row>
    <row r="139">
      <c r="A139" s="11">
        <f>IFERROR(__xludf.DUMMYFUNCTION("""COMPUTED_VALUE"""),2021.0)</f>
        <v>2021</v>
      </c>
      <c r="B139" s="11">
        <f>IFERROR(__xludf.DUMMYFUNCTION("""COMPUTED_VALUE"""),11.0)</f>
        <v>11</v>
      </c>
      <c r="C139" s="11">
        <f>IFERROR(__xludf.DUMMYFUNCTION("""COMPUTED_VALUE"""),164636.0)</f>
        <v>164636</v>
      </c>
      <c r="D139" s="11">
        <f>IFERROR(__xludf.DUMMYFUNCTION("""COMPUTED_VALUE"""),1392.0)</f>
        <v>1392</v>
      </c>
      <c r="E139" s="9"/>
    </row>
    <row r="140">
      <c r="A140" s="11">
        <f>IFERROR(__xludf.DUMMYFUNCTION("""COMPUTED_VALUE"""),2021.0)</f>
        <v>2021</v>
      </c>
      <c r="B140" s="11">
        <f>IFERROR(__xludf.DUMMYFUNCTION("""COMPUTED_VALUE"""),8.0)</f>
        <v>8</v>
      </c>
      <c r="C140" s="11">
        <f>IFERROR(__xludf.DUMMYFUNCTION("""COMPUTED_VALUE"""),164639.0)</f>
        <v>164639</v>
      </c>
      <c r="D140" s="11">
        <f>IFERROR(__xludf.DUMMYFUNCTION("""COMPUTED_VALUE"""),1409.0)</f>
        <v>1409</v>
      </c>
      <c r="E140" s="9"/>
    </row>
    <row r="141">
      <c r="A141" s="11">
        <f>IFERROR(__xludf.DUMMYFUNCTION("""COMPUTED_VALUE"""),2021.0)</f>
        <v>2021</v>
      </c>
      <c r="B141" s="11">
        <f>IFERROR(__xludf.DUMMYFUNCTION("""COMPUTED_VALUE"""),11.0)</f>
        <v>11</v>
      </c>
      <c r="C141" s="11">
        <f>IFERROR(__xludf.DUMMYFUNCTION("""COMPUTED_VALUE"""),85251.0)</f>
        <v>85251</v>
      </c>
      <c r="D141" s="11">
        <f>IFERROR(__xludf.DUMMYFUNCTION("""COMPUTED_VALUE"""),1108.0)</f>
        <v>1108</v>
      </c>
      <c r="E141" s="9"/>
    </row>
    <row r="142">
      <c r="A142" s="11">
        <f>IFERROR(__xludf.DUMMYFUNCTION("""COMPUTED_VALUE"""),2021.0)</f>
        <v>2021</v>
      </c>
      <c r="B142" s="11">
        <f>IFERROR(__xludf.DUMMYFUNCTION("""COMPUTED_VALUE"""),11.0)</f>
        <v>11</v>
      </c>
      <c r="C142" s="11">
        <f>IFERROR(__xludf.DUMMYFUNCTION("""COMPUTED_VALUE"""),113532.0)</f>
        <v>113532</v>
      </c>
      <c r="D142" s="11">
        <f>IFERROR(__xludf.DUMMYFUNCTION("""COMPUTED_VALUE"""),1322.0)</f>
        <v>1322</v>
      </c>
      <c r="E142" s="9"/>
    </row>
    <row r="143">
      <c r="A143" s="11">
        <f>IFERROR(__xludf.DUMMYFUNCTION("""COMPUTED_VALUE"""),2021.0)</f>
        <v>2021</v>
      </c>
      <c r="B143" s="11">
        <f>IFERROR(__xludf.DUMMYFUNCTION("""COMPUTED_VALUE"""),11.0)</f>
        <v>11</v>
      </c>
      <c r="C143" s="11">
        <f>IFERROR(__xludf.DUMMYFUNCTION("""COMPUTED_VALUE"""),82501.0)</f>
        <v>82501</v>
      </c>
      <c r="D143" s="11">
        <f>IFERROR(__xludf.DUMMYFUNCTION("""COMPUTED_VALUE"""),388.0)</f>
        <v>388</v>
      </c>
      <c r="E143" s="9"/>
    </row>
    <row r="144">
      <c r="A144" s="11">
        <f>IFERROR(__xludf.DUMMYFUNCTION("""COMPUTED_VALUE"""),2021.0)</f>
        <v>2021</v>
      </c>
      <c r="B144" s="11">
        <f>IFERROR(__xludf.DUMMYFUNCTION("""COMPUTED_VALUE"""),9.0)</f>
        <v>9</v>
      </c>
      <c r="C144" s="11">
        <f>IFERROR(__xludf.DUMMYFUNCTION("""COMPUTED_VALUE"""),121287.0)</f>
        <v>121287</v>
      </c>
      <c r="D144" s="11">
        <f>IFERROR(__xludf.DUMMYFUNCTION("""COMPUTED_VALUE"""),737.0)</f>
        <v>737</v>
      </c>
      <c r="E144" s="9"/>
    </row>
    <row r="145">
      <c r="A145" s="11">
        <f>IFERROR(__xludf.DUMMYFUNCTION("""COMPUTED_VALUE"""),2021.0)</f>
        <v>2021</v>
      </c>
      <c r="B145" s="11">
        <f>IFERROR(__xludf.DUMMYFUNCTION("""COMPUTED_VALUE"""),11.0)</f>
        <v>11</v>
      </c>
      <c r="C145" s="11">
        <f>IFERROR(__xludf.DUMMYFUNCTION("""COMPUTED_VALUE"""),113559.0)</f>
        <v>113559</v>
      </c>
      <c r="D145" s="11">
        <f>IFERROR(__xludf.DUMMYFUNCTION("""COMPUTED_VALUE"""),1791.0)</f>
        <v>1791</v>
      </c>
      <c r="E145" s="9"/>
    </row>
    <row r="146">
      <c r="A146" s="11">
        <f>IFERROR(__xludf.DUMMYFUNCTION("""COMPUTED_VALUE"""),2021.0)</f>
        <v>2021</v>
      </c>
      <c r="B146" s="11">
        <f>IFERROR(__xludf.DUMMYFUNCTION("""COMPUTED_VALUE"""),9.0)</f>
        <v>9</v>
      </c>
      <c r="C146" s="11">
        <f>IFERROR(__xludf.DUMMYFUNCTION("""COMPUTED_VALUE"""),85252.0)</f>
        <v>85252</v>
      </c>
      <c r="D146" s="11">
        <f>IFERROR(__xludf.DUMMYFUNCTION("""COMPUTED_VALUE"""),1716.0)</f>
        <v>1716</v>
      </c>
      <c r="E146" s="9"/>
    </row>
    <row r="147">
      <c r="A147" s="11">
        <f>IFERROR(__xludf.DUMMYFUNCTION("""COMPUTED_VALUE"""),2021.0)</f>
        <v>2021</v>
      </c>
      <c r="B147" s="11">
        <f>IFERROR(__xludf.DUMMYFUNCTION("""COMPUTED_VALUE"""),10.0)</f>
        <v>10</v>
      </c>
      <c r="C147" s="11">
        <f>IFERROR(__xludf.DUMMYFUNCTION("""COMPUTED_VALUE"""),82507.0)</f>
        <v>82507</v>
      </c>
      <c r="D147" s="11">
        <f>IFERROR(__xludf.DUMMYFUNCTION("""COMPUTED_VALUE"""),159.0)</f>
        <v>159</v>
      </c>
      <c r="E147" s="9"/>
    </row>
    <row r="148">
      <c r="A148" s="11">
        <f>IFERROR(__xludf.DUMMYFUNCTION("""COMPUTED_VALUE"""),2021.0)</f>
        <v>2021</v>
      </c>
      <c r="B148" s="11">
        <f>IFERROR(__xludf.DUMMYFUNCTION("""COMPUTED_VALUE"""),11.0)</f>
        <v>11</v>
      </c>
      <c r="C148" s="11">
        <f>IFERROR(__xludf.DUMMYFUNCTION("""COMPUTED_VALUE"""),109625.0)</f>
        <v>109625</v>
      </c>
      <c r="D148" s="11">
        <f>IFERROR(__xludf.DUMMYFUNCTION("""COMPUTED_VALUE"""),1063.0)</f>
        <v>1063</v>
      </c>
      <c r="E148" s="9"/>
    </row>
    <row r="149">
      <c r="A149" s="11">
        <f>IFERROR(__xludf.DUMMYFUNCTION("""COMPUTED_VALUE"""),2021.0)</f>
        <v>2021</v>
      </c>
      <c r="B149" s="11">
        <f>IFERROR(__xludf.DUMMYFUNCTION("""COMPUTED_VALUE"""),10.0)</f>
        <v>10</v>
      </c>
      <c r="C149" s="11">
        <f>IFERROR(__xludf.DUMMYFUNCTION("""COMPUTED_VALUE"""),110864.0)</f>
        <v>110864</v>
      </c>
      <c r="D149" s="11">
        <f>IFERROR(__xludf.DUMMYFUNCTION("""COMPUTED_VALUE"""),92.0)</f>
        <v>92</v>
      </c>
      <c r="E149" s="9"/>
    </row>
    <row r="150">
      <c r="A150" s="11">
        <f>IFERROR(__xludf.DUMMYFUNCTION("""COMPUTED_VALUE"""),2021.0)</f>
        <v>2021</v>
      </c>
      <c r="B150" s="11">
        <f>IFERROR(__xludf.DUMMYFUNCTION("""COMPUTED_VALUE"""),11.0)</f>
        <v>11</v>
      </c>
      <c r="C150" s="11">
        <f>IFERROR(__xludf.DUMMYFUNCTION("""COMPUTED_VALUE"""),138916.0)</f>
        <v>138916</v>
      </c>
      <c r="D150" s="11">
        <f>IFERROR(__xludf.DUMMYFUNCTION("""COMPUTED_VALUE"""),1800.0)</f>
        <v>1800</v>
      </c>
      <c r="E150" s="9"/>
    </row>
    <row r="151">
      <c r="A151" s="11">
        <f>IFERROR(__xludf.DUMMYFUNCTION("""COMPUTED_VALUE"""),2021.0)</f>
        <v>2021</v>
      </c>
      <c r="B151" s="11">
        <f>IFERROR(__xludf.DUMMYFUNCTION("""COMPUTED_VALUE"""),10.0)</f>
        <v>10</v>
      </c>
      <c r="C151" s="11">
        <f>IFERROR(__xludf.DUMMYFUNCTION("""COMPUTED_VALUE"""),121076.0)</f>
        <v>121076</v>
      </c>
      <c r="D151" s="11">
        <f>IFERROR(__xludf.DUMMYFUNCTION("""COMPUTED_VALUE"""),500.0)</f>
        <v>500</v>
      </c>
      <c r="E151" s="9"/>
    </row>
    <row r="152">
      <c r="A152" s="11">
        <f>IFERROR(__xludf.DUMMYFUNCTION("""COMPUTED_VALUE"""),2021.0)</f>
        <v>2021</v>
      </c>
      <c r="B152" s="11">
        <f>IFERROR(__xludf.DUMMYFUNCTION("""COMPUTED_VALUE"""),10.0)</f>
        <v>10</v>
      </c>
      <c r="C152" s="11">
        <f>IFERROR(__xludf.DUMMYFUNCTION("""COMPUTED_VALUE"""),121077.0)</f>
        <v>121077</v>
      </c>
      <c r="D152" s="11">
        <f>IFERROR(__xludf.DUMMYFUNCTION("""COMPUTED_VALUE"""),456.0)</f>
        <v>456</v>
      </c>
      <c r="E152" s="9"/>
    </row>
    <row r="153">
      <c r="A153" s="11">
        <f>IFERROR(__xludf.DUMMYFUNCTION("""COMPUTED_VALUE"""),2021.0)</f>
        <v>2021</v>
      </c>
      <c r="B153" s="11">
        <f>IFERROR(__xludf.DUMMYFUNCTION("""COMPUTED_VALUE"""),11.0)</f>
        <v>11</v>
      </c>
      <c r="C153" s="11">
        <f>IFERROR(__xludf.DUMMYFUNCTION("""COMPUTED_VALUE"""),116631.0)</f>
        <v>116631</v>
      </c>
      <c r="D153" s="11">
        <f>IFERROR(__xludf.DUMMYFUNCTION("""COMPUTED_VALUE"""),1543.0)</f>
        <v>1543</v>
      </c>
      <c r="E153" s="9"/>
    </row>
    <row r="154">
      <c r="A154" s="11">
        <f>IFERROR(__xludf.DUMMYFUNCTION("""COMPUTED_VALUE"""),2021.0)</f>
        <v>2021</v>
      </c>
      <c r="B154" s="11">
        <f>IFERROR(__xludf.DUMMYFUNCTION("""COMPUTED_VALUE"""),10.0)</f>
        <v>10</v>
      </c>
      <c r="C154" s="11">
        <f>IFERROR(__xludf.DUMMYFUNCTION("""COMPUTED_VALUE"""),147263.0)</f>
        <v>147263</v>
      </c>
      <c r="D154" s="11">
        <f>IFERROR(__xludf.DUMMYFUNCTION("""COMPUTED_VALUE"""),209.0)</f>
        <v>209</v>
      </c>
      <c r="E154" s="9"/>
    </row>
    <row r="155">
      <c r="A155" s="11">
        <f>IFERROR(__xludf.DUMMYFUNCTION("""COMPUTED_VALUE"""),2021.0)</f>
        <v>2021</v>
      </c>
      <c r="B155" s="11">
        <f>IFERROR(__xludf.DUMMYFUNCTION("""COMPUTED_VALUE"""),8.0)</f>
        <v>8</v>
      </c>
      <c r="C155" s="11">
        <f>IFERROR(__xludf.DUMMYFUNCTION("""COMPUTED_VALUE"""),108763.0)</f>
        <v>108763</v>
      </c>
      <c r="D155" s="11">
        <f>IFERROR(__xludf.DUMMYFUNCTION("""COMPUTED_VALUE"""),1218.0)</f>
        <v>1218</v>
      </c>
      <c r="E155" s="9"/>
    </row>
    <row r="156">
      <c r="A156" s="11">
        <f>IFERROR(__xludf.DUMMYFUNCTION("""COMPUTED_VALUE"""),2021.0)</f>
        <v>2021</v>
      </c>
      <c r="B156" s="11">
        <f>IFERROR(__xludf.DUMMYFUNCTION("""COMPUTED_VALUE"""),8.0)</f>
        <v>8</v>
      </c>
      <c r="C156" s="11">
        <f>IFERROR(__xludf.DUMMYFUNCTION("""COMPUTED_VALUE"""),116593.0)</f>
        <v>116593</v>
      </c>
      <c r="D156" s="11">
        <f>IFERROR(__xludf.DUMMYFUNCTION("""COMPUTED_VALUE"""),906.0)</f>
        <v>906</v>
      </c>
      <c r="E156" s="9"/>
    </row>
    <row r="157">
      <c r="A157" s="11">
        <f>IFERROR(__xludf.DUMMYFUNCTION("""COMPUTED_VALUE"""),2021.0)</f>
        <v>2021</v>
      </c>
      <c r="B157" s="11">
        <f>IFERROR(__xludf.DUMMYFUNCTION("""COMPUTED_VALUE"""),8.0)</f>
        <v>8</v>
      </c>
      <c r="C157" s="11">
        <f>IFERROR(__xludf.DUMMYFUNCTION("""COMPUTED_VALUE"""),116613.0)</f>
        <v>116613</v>
      </c>
      <c r="D157" s="11">
        <f>IFERROR(__xludf.DUMMYFUNCTION("""COMPUTED_VALUE"""),420.0)</f>
        <v>420</v>
      </c>
      <c r="E157" s="9"/>
    </row>
    <row r="158">
      <c r="A158" s="11">
        <f>IFERROR(__xludf.DUMMYFUNCTION("""COMPUTED_VALUE"""),2021.0)</f>
        <v>2021</v>
      </c>
      <c r="B158" s="11">
        <f>IFERROR(__xludf.DUMMYFUNCTION("""COMPUTED_VALUE"""),8.0)</f>
        <v>8</v>
      </c>
      <c r="C158" s="11">
        <f>IFERROR(__xludf.DUMMYFUNCTION("""COMPUTED_VALUE"""),102476.0)</f>
        <v>102476</v>
      </c>
      <c r="D158" s="11">
        <f>IFERROR(__xludf.DUMMYFUNCTION("""COMPUTED_VALUE"""),1560.0)</f>
        <v>1560</v>
      </c>
      <c r="E158" s="9"/>
    </row>
    <row r="159">
      <c r="A159" s="11">
        <f>IFERROR(__xludf.DUMMYFUNCTION("""COMPUTED_VALUE"""),2021.0)</f>
        <v>2021</v>
      </c>
      <c r="B159" s="11">
        <f>IFERROR(__xludf.DUMMYFUNCTION("""COMPUTED_VALUE"""),9.0)</f>
        <v>9</v>
      </c>
      <c r="C159" s="11">
        <f>IFERROR(__xludf.DUMMYFUNCTION("""COMPUTED_VALUE"""),190030.0)</f>
        <v>190030</v>
      </c>
      <c r="D159" s="11">
        <f>IFERROR(__xludf.DUMMYFUNCTION("""COMPUTED_VALUE"""),456.0)</f>
        <v>456</v>
      </c>
      <c r="E159" s="9"/>
    </row>
    <row r="160">
      <c r="A160" s="11">
        <f>IFERROR(__xludf.DUMMYFUNCTION("""COMPUTED_VALUE"""),2021.0)</f>
        <v>2021</v>
      </c>
      <c r="B160" s="11">
        <f>IFERROR(__xludf.DUMMYFUNCTION("""COMPUTED_VALUE"""),9.0)</f>
        <v>9</v>
      </c>
      <c r="C160" s="11">
        <f>IFERROR(__xludf.DUMMYFUNCTION("""COMPUTED_VALUE"""),113845.0)</f>
        <v>113845</v>
      </c>
      <c r="D160" s="11">
        <f>IFERROR(__xludf.DUMMYFUNCTION("""COMPUTED_VALUE"""),1359.0)</f>
        <v>1359</v>
      </c>
      <c r="E160" s="9"/>
    </row>
    <row r="161">
      <c r="A161" s="11">
        <f>IFERROR(__xludf.DUMMYFUNCTION("""COMPUTED_VALUE"""),2021.0)</f>
        <v>2021</v>
      </c>
      <c r="B161" s="11">
        <f>IFERROR(__xludf.DUMMYFUNCTION("""COMPUTED_VALUE"""),8.0)</f>
        <v>8</v>
      </c>
      <c r="C161" s="11">
        <f>IFERROR(__xludf.DUMMYFUNCTION("""COMPUTED_VALUE"""),77824.0)</f>
        <v>77824</v>
      </c>
      <c r="D161" s="11">
        <f>IFERROR(__xludf.DUMMYFUNCTION("""COMPUTED_VALUE"""),1532.0)</f>
        <v>1532</v>
      </c>
      <c r="E161" s="9"/>
    </row>
    <row r="162">
      <c r="A162" s="11">
        <f>IFERROR(__xludf.DUMMYFUNCTION("""COMPUTED_VALUE"""),2021.0)</f>
        <v>2021</v>
      </c>
      <c r="B162" s="11">
        <f>IFERROR(__xludf.DUMMYFUNCTION("""COMPUTED_VALUE"""),10.0)</f>
        <v>10</v>
      </c>
      <c r="C162" s="11">
        <f>IFERROR(__xludf.DUMMYFUNCTION("""COMPUTED_VALUE"""),85888.0)</f>
        <v>85888</v>
      </c>
      <c r="D162" s="11">
        <f>IFERROR(__xludf.DUMMYFUNCTION("""COMPUTED_VALUE"""),1491.0)</f>
        <v>1491</v>
      </c>
      <c r="E162" s="9"/>
    </row>
    <row r="163">
      <c r="A163" s="11">
        <f>IFERROR(__xludf.DUMMYFUNCTION("""COMPUTED_VALUE"""),2021.0)</f>
        <v>2021</v>
      </c>
      <c r="B163" s="11">
        <f>IFERROR(__xludf.DUMMYFUNCTION("""COMPUTED_VALUE"""),10.0)</f>
        <v>10</v>
      </c>
      <c r="C163" s="11">
        <f>IFERROR(__xludf.DUMMYFUNCTION("""COMPUTED_VALUE"""),85890.0)</f>
        <v>85890</v>
      </c>
      <c r="D163" s="11">
        <f>IFERROR(__xludf.DUMMYFUNCTION("""COMPUTED_VALUE"""),744.0)</f>
        <v>744</v>
      </c>
      <c r="E163" s="9"/>
    </row>
    <row r="164">
      <c r="A164" s="11">
        <f>IFERROR(__xludf.DUMMYFUNCTION("""COMPUTED_VALUE"""),2021.0)</f>
        <v>2021</v>
      </c>
      <c r="B164" s="11">
        <f>IFERROR(__xludf.DUMMYFUNCTION("""COMPUTED_VALUE"""),11.0)</f>
        <v>11</v>
      </c>
      <c r="C164" s="11">
        <f>IFERROR(__xludf.DUMMYFUNCTION("""COMPUTED_VALUE"""),83727.0)</f>
        <v>83727</v>
      </c>
      <c r="D164" s="11">
        <f>IFERROR(__xludf.DUMMYFUNCTION("""COMPUTED_VALUE"""),1280.0)</f>
        <v>1280</v>
      </c>
      <c r="E164" s="9"/>
    </row>
    <row r="165">
      <c r="A165" s="11">
        <f>IFERROR(__xludf.DUMMYFUNCTION("""COMPUTED_VALUE"""),2021.0)</f>
        <v>2021</v>
      </c>
      <c r="B165" s="11">
        <f>IFERROR(__xludf.DUMMYFUNCTION("""COMPUTED_VALUE"""),9.0)</f>
        <v>9</v>
      </c>
      <c r="C165" s="11">
        <f>IFERROR(__xludf.DUMMYFUNCTION("""COMPUTED_VALUE"""),85887.0)</f>
        <v>85887</v>
      </c>
      <c r="D165" s="11">
        <f>IFERROR(__xludf.DUMMYFUNCTION("""COMPUTED_VALUE"""),960.0)</f>
        <v>960</v>
      </c>
      <c r="E165" s="9"/>
    </row>
    <row r="166">
      <c r="A166" s="11">
        <f>IFERROR(__xludf.DUMMYFUNCTION("""COMPUTED_VALUE"""),2021.0)</f>
        <v>2021</v>
      </c>
      <c r="B166" s="11">
        <f>IFERROR(__xludf.DUMMYFUNCTION("""COMPUTED_VALUE"""),10.0)</f>
        <v>10</v>
      </c>
      <c r="C166" s="11">
        <f>IFERROR(__xludf.DUMMYFUNCTION("""COMPUTED_VALUE"""),77823.0)</f>
        <v>77823</v>
      </c>
      <c r="D166" s="11">
        <f>IFERROR(__xludf.DUMMYFUNCTION("""COMPUTED_VALUE"""),1403.0)</f>
        <v>1403</v>
      </c>
      <c r="E166" s="9"/>
    </row>
    <row r="167">
      <c r="A167" s="11">
        <f>IFERROR(__xludf.DUMMYFUNCTION("""COMPUTED_VALUE"""),2021.0)</f>
        <v>2021</v>
      </c>
      <c r="B167" s="11">
        <f>IFERROR(__xludf.DUMMYFUNCTION("""COMPUTED_VALUE"""),10.0)</f>
        <v>10</v>
      </c>
      <c r="C167" s="11">
        <f>IFERROR(__xludf.DUMMYFUNCTION("""COMPUTED_VALUE"""),86753.0)</f>
        <v>86753</v>
      </c>
      <c r="D167" s="11">
        <f>IFERROR(__xludf.DUMMYFUNCTION("""COMPUTED_VALUE"""),247.0)</f>
        <v>247</v>
      </c>
      <c r="E167" s="9"/>
    </row>
    <row r="168">
      <c r="A168" s="11">
        <f>IFERROR(__xludf.DUMMYFUNCTION("""COMPUTED_VALUE"""),2021.0)</f>
        <v>2021</v>
      </c>
      <c r="B168" s="11">
        <f>IFERROR(__xludf.DUMMYFUNCTION("""COMPUTED_VALUE"""),11.0)</f>
        <v>11</v>
      </c>
      <c r="C168" s="11">
        <f>IFERROR(__xludf.DUMMYFUNCTION("""COMPUTED_VALUE"""),145102.0)</f>
        <v>145102</v>
      </c>
      <c r="D168" s="11">
        <f>IFERROR(__xludf.DUMMYFUNCTION("""COMPUTED_VALUE"""),410.0)</f>
        <v>410</v>
      </c>
      <c r="E168" s="9"/>
    </row>
    <row r="169">
      <c r="A169" s="11">
        <f>IFERROR(__xludf.DUMMYFUNCTION("""COMPUTED_VALUE"""),2021.0)</f>
        <v>2021</v>
      </c>
      <c r="B169" s="11">
        <f>IFERROR(__xludf.DUMMYFUNCTION("""COMPUTED_VALUE"""),9.0)</f>
        <v>9</v>
      </c>
      <c r="C169" s="11">
        <f>IFERROR(__xludf.DUMMYFUNCTION("""COMPUTED_VALUE"""),78717.0)</f>
        <v>78717</v>
      </c>
      <c r="D169" s="11">
        <f>IFERROR(__xludf.DUMMYFUNCTION("""COMPUTED_VALUE"""),259.0)</f>
        <v>259</v>
      </c>
      <c r="E169" s="9"/>
    </row>
    <row r="170">
      <c r="A170" s="11">
        <f>IFERROR(__xludf.DUMMYFUNCTION("""COMPUTED_VALUE"""),2021.0)</f>
        <v>2021</v>
      </c>
      <c r="B170" s="11">
        <f>IFERROR(__xludf.DUMMYFUNCTION("""COMPUTED_VALUE"""),8.0)</f>
        <v>8</v>
      </c>
      <c r="C170" s="11">
        <f>IFERROR(__xludf.DUMMYFUNCTION("""COMPUTED_VALUE"""),82777.0)</f>
        <v>82777</v>
      </c>
      <c r="D170" s="11">
        <f>IFERROR(__xludf.DUMMYFUNCTION("""COMPUTED_VALUE"""),862.0)</f>
        <v>862</v>
      </c>
      <c r="E170" s="9"/>
    </row>
    <row r="171">
      <c r="A171" s="11">
        <f>IFERROR(__xludf.DUMMYFUNCTION("""COMPUTED_VALUE"""),2021.0)</f>
        <v>2021</v>
      </c>
      <c r="B171" s="11">
        <f>IFERROR(__xludf.DUMMYFUNCTION("""COMPUTED_VALUE"""),10.0)</f>
        <v>10</v>
      </c>
      <c r="C171" s="11">
        <f>IFERROR(__xludf.DUMMYFUNCTION("""COMPUTED_VALUE"""),120341.0)</f>
        <v>120341</v>
      </c>
      <c r="D171" s="11">
        <f>IFERROR(__xludf.DUMMYFUNCTION("""COMPUTED_VALUE"""),35.0)</f>
        <v>35</v>
      </c>
      <c r="E171" s="9"/>
    </row>
    <row r="172">
      <c r="A172" s="11">
        <f>IFERROR(__xludf.DUMMYFUNCTION("""COMPUTED_VALUE"""),2021.0)</f>
        <v>2021</v>
      </c>
      <c r="B172" s="11">
        <f>IFERROR(__xludf.DUMMYFUNCTION("""COMPUTED_VALUE"""),11.0)</f>
        <v>11</v>
      </c>
      <c r="C172" s="11">
        <f>IFERROR(__xludf.DUMMYFUNCTION("""COMPUTED_VALUE"""),110344.0)</f>
        <v>110344</v>
      </c>
      <c r="D172" s="11">
        <f>IFERROR(__xludf.DUMMYFUNCTION("""COMPUTED_VALUE"""),666.0)</f>
        <v>666</v>
      </c>
      <c r="E172" s="9"/>
    </row>
    <row r="173">
      <c r="A173" s="11">
        <f>IFERROR(__xludf.DUMMYFUNCTION("""COMPUTED_VALUE"""),2021.0)</f>
        <v>2021</v>
      </c>
      <c r="B173" s="11">
        <f>IFERROR(__xludf.DUMMYFUNCTION("""COMPUTED_VALUE"""),9.0)</f>
        <v>9</v>
      </c>
      <c r="C173" s="11">
        <f>IFERROR(__xludf.DUMMYFUNCTION("""COMPUTED_VALUE"""),120233.0)</f>
        <v>120233</v>
      </c>
      <c r="D173" s="11">
        <f>IFERROR(__xludf.DUMMYFUNCTION("""COMPUTED_VALUE"""),1744.0)</f>
        <v>1744</v>
      </c>
      <c r="E173" s="9"/>
    </row>
    <row r="174">
      <c r="A174" s="11">
        <f>IFERROR(__xludf.DUMMYFUNCTION("""COMPUTED_VALUE"""),2021.0)</f>
        <v>2021</v>
      </c>
      <c r="B174" s="11">
        <f>IFERROR(__xludf.DUMMYFUNCTION("""COMPUTED_VALUE"""),8.0)</f>
        <v>8</v>
      </c>
      <c r="C174" s="11">
        <f>IFERROR(__xludf.DUMMYFUNCTION("""COMPUTED_VALUE"""),117579.0)</f>
        <v>117579</v>
      </c>
      <c r="D174" s="11">
        <f>IFERROR(__xludf.DUMMYFUNCTION("""COMPUTED_VALUE"""),1022.0)</f>
        <v>1022</v>
      </c>
      <c r="E174" s="9"/>
    </row>
    <row r="175">
      <c r="A175" s="11">
        <f>IFERROR(__xludf.DUMMYFUNCTION("""COMPUTED_VALUE"""),2021.0)</f>
        <v>2021</v>
      </c>
      <c r="B175" s="11">
        <f>IFERROR(__xludf.DUMMYFUNCTION("""COMPUTED_VALUE"""),10.0)</f>
        <v>10</v>
      </c>
      <c r="C175" s="11">
        <f>IFERROR(__xludf.DUMMYFUNCTION("""COMPUTED_VALUE"""),21066.0)</f>
        <v>21066</v>
      </c>
      <c r="D175" s="11">
        <f>IFERROR(__xludf.DUMMYFUNCTION("""COMPUTED_VALUE"""),588.0)</f>
        <v>588</v>
      </c>
      <c r="E175" s="9"/>
    </row>
    <row r="176">
      <c r="A176" s="11">
        <f>IFERROR(__xludf.DUMMYFUNCTION("""COMPUTED_VALUE"""),2021.0)</f>
        <v>2021</v>
      </c>
      <c r="B176" s="11">
        <f>IFERROR(__xludf.DUMMYFUNCTION("""COMPUTED_VALUE"""),9.0)</f>
        <v>9</v>
      </c>
      <c r="C176" s="11">
        <f>IFERROR(__xludf.DUMMYFUNCTION("""COMPUTED_VALUE"""),117583.0)</f>
        <v>117583</v>
      </c>
      <c r="D176" s="11">
        <f>IFERROR(__xludf.DUMMYFUNCTION("""COMPUTED_VALUE"""),441.0)</f>
        <v>441</v>
      </c>
      <c r="E176" s="9"/>
    </row>
    <row r="177">
      <c r="A177" s="11">
        <f>IFERROR(__xludf.DUMMYFUNCTION("""COMPUTED_VALUE"""),2021.0)</f>
        <v>2021</v>
      </c>
      <c r="B177" s="11">
        <f>IFERROR(__xludf.DUMMYFUNCTION("""COMPUTED_VALUE"""),11.0)</f>
        <v>11</v>
      </c>
      <c r="C177" s="11">
        <f>IFERROR(__xludf.DUMMYFUNCTION("""COMPUTED_VALUE"""),71107.0)</f>
        <v>71107</v>
      </c>
      <c r="D177" s="11">
        <f>IFERROR(__xludf.DUMMYFUNCTION("""COMPUTED_VALUE"""),1500.0)</f>
        <v>1500</v>
      </c>
      <c r="E177" s="9"/>
    </row>
    <row r="178">
      <c r="A178" s="11">
        <f>IFERROR(__xludf.DUMMYFUNCTION("""COMPUTED_VALUE"""),2021.0)</f>
        <v>2021</v>
      </c>
      <c r="B178" s="11">
        <f>IFERROR(__xludf.DUMMYFUNCTION("""COMPUTED_VALUE"""),8.0)</f>
        <v>8</v>
      </c>
      <c r="C178" s="11">
        <f>IFERROR(__xludf.DUMMYFUNCTION("""COMPUTED_VALUE"""),104168.0)</f>
        <v>104168</v>
      </c>
      <c r="D178" s="11">
        <f>IFERROR(__xludf.DUMMYFUNCTION("""COMPUTED_VALUE"""),870.0)</f>
        <v>870</v>
      </c>
      <c r="E178" s="9"/>
    </row>
    <row r="179">
      <c r="A179" s="11">
        <f>IFERROR(__xludf.DUMMYFUNCTION("""COMPUTED_VALUE"""),2021.0)</f>
        <v>2021</v>
      </c>
      <c r="B179" s="11">
        <f>IFERROR(__xludf.DUMMYFUNCTION("""COMPUTED_VALUE"""),9.0)</f>
        <v>9</v>
      </c>
      <c r="C179" s="11">
        <f>IFERROR(__xludf.DUMMYFUNCTION("""COMPUTED_VALUE"""),88913.0)</f>
        <v>88913</v>
      </c>
      <c r="D179" s="11">
        <f>IFERROR(__xludf.DUMMYFUNCTION("""COMPUTED_VALUE"""),1956.0)</f>
        <v>1956</v>
      </c>
      <c r="E179" s="9"/>
    </row>
    <row r="180">
      <c r="A180" s="11">
        <f>IFERROR(__xludf.DUMMYFUNCTION("""COMPUTED_VALUE"""),2021.0)</f>
        <v>2021</v>
      </c>
      <c r="B180" s="11">
        <f>IFERROR(__xludf.DUMMYFUNCTION("""COMPUTED_VALUE"""),11.0)</f>
        <v>11</v>
      </c>
      <c r="C180" s="11">
        <f>IFERROR(__xludf.DUMMYFUNCTION("""COMPUTED_VALUE"""),108160.0)</f>
        <v>108160</v>
      </c>
      <c r="D180" s="11">
        <f>IFERROR(__xludf.DUMMYFUNCTION("""COMPUTED_VALUE"""),281.0)</f>
        <v>281</v>
      </c>
      <c r="E180" s="9"/>
    </row>
    <row r="181">
      <c r="A181" s="11">
        <f>IFERROR(__xludf.DUMMYFUNCTION("""COMPUTED_VALUE"""),2021.0)</f>
        <v>2021</v>
      </c>
      <c r="B181" s="11">
        <f>IFERROR(__xludf.DUMMYFUNCTION("""COMPUTED_VALUE"""),11.0)</f>
        <v>11</v>
      </c>
      <c r="C181" s="11">
        <f>IFERROR(__xludf.DUMMYFUNCTION("""COMPUTED_VALUE"""),128377.0)</f>
        <v>128377</v>
      </c>
      <c r="D181" s="11">
        <f>IFERROR(__xludf.DUMMYFUNCTION("""COMPUTED_VALUE"""),865.0)</f>
        <v>865</v>
      </c>
      <c r="E181" s="9"/>
    </row>
    <row r="182">
      <c r="A182" s="11">
        <f>IFERROR(__xludf.DUMMYFUNCTION("""COMPUTED_VALUE"""),2021.0)</f>
        <v>2021</v>
      </c>
      <c r="B182" s="11">
        <f>IFERROR(__xludf.DUMMYFUNCTION("""COMPUTED_VALUE"""),8.0)</f>
        <v>8</v>
      </c>
      <c r="C182" s="11">
        <f>IFERROR(__xludf.DUMMYFUNCTION("""COMPUTED_VALUE"""),108533.0)</f>
        <v>108533</v>
      </c>
      <c r="D182" s="11">
        <f>IFERROR(__xludf.DUMMYFUNCTION("""COMPUTED_VALUE"""),1104.0)</f>
        <v>1104</v>
      </c>
      <c r="E182" s="9"/>
    </row>
    <row r="183">
      <c r="A183" s="11">
        <f>IFERROR(__xludf.DUMMYFUNCTION("""COMPUTED_VALUE"""),2021.0)</f>
        <v>2021</v>
      </c>
      <c r="B183" s="11">
        <f>IFERROR(__xludf.DUMMYFUNCTION("""COMPUTED_VALUE"""),10.0)</f>
        <v>10</v>
      </c>
      <c r="C183" s="11">
        <f>IFERROR(__xludf.DUMMYFUNCTION("""COMPUTED_VALUE"""),116392.0)</f>
        <v>116392</v>
      </c>
      <c r="D183" s="11">
        <f>IFERROR(__xludf.DUMMYFUNCTION("""COMPUTED_VALUE"""),1271.0)</f>
        <v>1271</v>
      </c>
      <c r="E183" s="9"/>
    </row>
    <row r="184">
      <c r="A184" s="11">
        <f>IFERROR(__xludf.DUMMYFUNCTION("""COMPUTED_VALUE"""),2021.0)</f>
        <v>2021</v>
      </c>
      <c r="B184" s="11">
        <f>IFERROR(__xludf.DUMMYFUNCTION("""COMPUTED_VALUE"""),10.0)</f>
        <v>10</v>
      </c>
      <c r="C184" s="11">
        <f>IFERROR(__xludf.DUMMYFUNCTION("""COMPUTED_VALUE"""),110328.0)</f>
        <v>110328</v>
      </c>
      <c r="D184" s="11">
        <f>IFERROR(__xludf.DUMMYFUNCTION("""COMPUTED_VALUE"""),326.0)</f>
        <v>326</v>
      </c>
      <c r="E184" s="9"/>
    </row>
    <row r="185">
      <c r="A185" s="11">
        <f>IFERROR(__xludf.DUMMYFUNCTION("""COMPUTED_VALUE"""),2021.0)</f>
        <v>2021</v>
      </c>
      <c r="B185" s="11">
        <f>IFERROR(__xludf.DUMMYFUNCTION("""COMPUTED_VALUE"""),8.0)</f>
        <v>8</v>
      </c>
      <c r="C185" s="11">
        <f>IFERROR(__xludf.DUMMYFUNCTION("""COMPUTED_VALUE"""),101445.0)</f>
        <v>101445</v>
      </c>
      <c r="D185" s="11">
        <f>IFERROR(__xludf.DUMMYFUNCTION("""COMPUTED_VALUE"""),277.0)</f>
        <v>277</v>
      </c>
      <c r="E185" s="9"/>
    </row>
    <row r="186">
      <c r="A186" s="11">
        <f>IFERROR(__xludf.DUMMYFUNCTION("""COMPUTED_VALUE"""),2021.0)</f>
        <v>2021</v>
      </c>
      <c r="B186" s="11">
        <f>IFERROR(__xludf.DUMMYFUNCTION("""COMPUTED_VALUE"""),10.0)</f>
        <v>10</v>
      </c>
      <c r="C186" s="11">
        <f>IFERROR(__xludf.DUMMYFUNCTION("""COMPUTED_VALUE"""),117599.0)</f>
        <v>117599</v>
      </c>
      <c r="D186" s="11">
        <f>IFERROR(__xludf.DUMMYFUNCTION("""COMPUTED_VALUE"""),1125.0)</f>
        <v>1125</v>
      </c>
      <c r="E186" s="9"/>
    </row>
    <row r="187">
      <c r="A187" s="11">
        <f>IFERROR(__xludf.DUMMYFUNCTION("""COMPUTED_VALUE"""),2021.0)</f>
        <v>2021</v>
      </c>
      <c r="B187" s="11">
        <f>IFERROR(__xludf.DUMMYFUNCTION("""COMPUTED_VALUE"""),11.0)</f>
        <v>11</v>
      </c>
      <c r="C187" s="11">
        <f>IFERROR(__xludf.DUMMYFUNCTION("""COMPUTED_VALUE"""),5508.0)</f>
        <v>5508</v>
      </c>
      <c r="D187" s="11">
        <f>IFERROR(__xludf.DUMMYFUNCTION("""COMPUTED_VALUE"""),574.0)</f>
        <v>574</v>
      </c>
      <c r="E187" s="9"/>
    </row>
    <row r="188">
      <c r="A188" s="11">
        <f>IFERROR(__xludf.DUMMYFUNCTION("""COMPUTED_VALUE"""),2021.0)</f>
        <v>2021</v>
      </c>
      <c r="B188" s="11">
        <f>IFERROR(__xludf.DUMMYFUNCTION("""COMPUTED_VALUE"""),11.0)</f>
        <v>11</v>
      </c>
      <c r="C188" s="11">
        <f>IFERROR(__xludf.DUMMYFUNCTION("""COMPUTED_VALUE"""),91241.0)</f>
        <v>91241</v>
      </c>
      <c r="D188" s="11">
        <f>IFERROR(__xludf.DUMMYFUNCTION("""COMPUTED_VALUE"""),1194.0)</f>
        <v>1194</v>
      </c>
      <c r="E188" s="9"/>
    </row>
    <row r="189">
      <c r="A189" s="11">
        <f>IFERROR(__xludf.DUMMYFUNCTION("""COMPUTED_VALUE"""),2021.0)</f>
        <v>2021</v>
      </c>
      <c r="B189" s="11">
        <f>IFERROR(__xludf.DUMMYFUNCTION("""COMPUTED_VALUE"""),11.0)</f>
        <v>11</v>
      </c>
      <c r="C189" s="11">
        <f>IFERROR(__xludf.DUMMYFUNCTION("""COMPUTED_VALUE"""),5507.0)</f>
        <v>5507</v>
      </c>
      <c r="D189" s="11">
        <f>IFERROR(__xludf.DUMMYFUNCTION("""COMPUTED_VALUE"""),1948.0)</f>
        <v>1948</v>
      </c>
      <c r="E189" s="9"/>
    </row>
    <row r="190">
      <c r="A190" s="11">
        <f>IFERROR(__xludf.DUMMYFUNCTION("""COMPUTED_VALUE"""),2021.0)</f>
        <v>2021</v>
      </c>
      <c r="B190" s="11">
        <f>IFERROR(__xludf.DUMMYFUNCTION("""COMPUTED_VALUE"""),11.0)</f>
        <v>11</v>
      </c>
      <c r="C190" s="11">
        <f>IFERROR(__xludf.DUMMYFUNCTION("""COMPUTED_VALUE"""),110575.0)</f>
        <v>110575</v>
      </c>
      <c r="D190" s="11">
        <f>IFERROR(__xludf.DUMMYFUNCTION("""COMPUTED_VALUE"""),399.0)</f>
        <v>399</v>
      </c>
      <c r="E190" s="9"/>
    </row>
    <row r="191">
      <c r="A191" s="11">
        <f>IFERROR(__xludf.DUMMYFUNCTION("""COMPUTED_VALUE"""),2021.0)</f>
        <v>2021</v>
      </c>
      <c r="B191" s="11">
        <f>IFERROR(__xludf.DUMMYFUNCTION("""COMPUTED_VALUE"""),10.0)</f>
        <v>10</v>
      </c>
      <c r="C191" s="11">
        <f>IFERROR(__xludf.DUMMYFUNCTION("""COMPUTED_VALUE"""),6156.0)</f>
        <v>6156</v>
      </c>
      <c r="D191" s="11">
        <f>IFERROR(__xludf.DUMMYFUNCTION("""COMPUTED_VALUE"""),1162.0)</f>
        <v>1162</v>
      </c>
      <c r="E191" s="9"/>
    </row>
    <row r="192">
      <c r="A192" s="11">
        <f>IFERROR(__xludf.DUMMYFUNCTION("""COMPUTED_VALUE"""),2021.0)</f>
        <v>2021</v>
      </c>
      <c r="B192" s="11">
        <f>IFERROR(__xludf.DUMMYFUNCTION("""COMPUTED_VALUE"""),9.0)</f>
        <v>9</v>
      </c>
      <c r="C192" s="11">
        <f>IFERROR(__xludf.DUMMYFUNCTION("""COMPUTED_VALUE"""),91239.0)</f>
        <v>91239</v>
      </c>
      <c r="D192" s="11">
        <f>IFERROR(__xludf.DUMMYFUNCTION("""COMPUTED_VALUE"""),1595.0)</f>
        <v>1595</v>
      </c>
      <c r="E192" s="9"/>
    </row>
    <row r="193">
      <c r="A193" s="11">
        <f>IFERROR(__xludf.DUMMYFUNCTION("""COMPUTED_VALUE"""),2021.0)</f>
        <v>2021</v>
      </c>
      <c r="B193" s="11">
        <f>IFERROR(__xludf.DUMMYFUNCTION("""COMPUTED_VALUE"""),10.0)</f>
        <v>10</v>
      </c>
      <c r="C193" s="11">
        <f>IFERROR(__xludf.DUMMYFUNCTION("""COMPUTED_VALUE"""),77361.0)</f>
        <v>77361</v>
      </c>
      <c r="D193" s="11">
        <f>IFERROR(__xludf.DUMMYFUNCTION("""COMPUTED_VALUE"""),421.0)</f>
        <v>421</v>
      </c>
      <c r="E193" s="9"/>
    </row>
    <row r="194">
      <c r="A194" s="11">
        <f>IFERROR(__xludf.DUMMYFUNCTION("""COMPUTED_VALUE"""),2021.0)</f>
        <v>2021</v>
      </c>
      <c r="B194" s="11">
        <f>IFERROR(__xludf.DUMMYFUNCTION("""COMPUTED_VALUE"""),11.0)</f>
        <v>11</v>
      </c>
      <c r="C194" s="11">
        <f>IFERROR(__xludf.DUMMYFUNCTION("""COMPUTED_VALUE"""),77363.0)</f>
        <v>77363</v>
      </c>
      <c r="D194" s="11">
        <f>IFERROR(__xludf.DUMMYFUNCTION("""COMPUTED_VALUE"""),423.0)</f>
        <v>423</v>
      </c>
      <c r="E194" s="9"/>
    </row>
    <row r="195">
      <c r="A195" s="11">
        <f>IFERROR(__xludf.DUMMYFUNCTION("""COMPUTED_VALUE"""),2021.0)</f>
        <v>2021</v>
      </c>
      <c r="B195" s="11">
        <f>IFERROR(__xludf.DUMMYFUNCTION("""COMPUTED_VALUE"""),8.0)</f>
        <v>8</v>
      </c>
      <c r="C195" s="11">
        <f>IFERROR(__xludf.DUMMYFUNCTION("""COMPUTED_VALUE"""),124679.0)</f>
        <v>124679</v>
      </c>
      <c r="D195" s="11">
        <f>IFERROR(__xludf.DUMMYFUNCTION("""COMPUTED_VALUE"""),1098.0)</f>
        <v>1098</v>
      </c>
      <c r="E195" s="9"/>
    </row>
    <row r="196">
      <c r="A196" s="11">
        <f>IFERROR(__xludf.DUMMYFUNCTION("""COMPUTED_VALUE"""),2021.0)</f>
        <v>2021</v>
      </c>
      <c r="B196" s="11">
        <f>IFERROR(__xludf.DUMMYFUNCTION("""COMPUTED_VALUE"""),11.0)</f>
        <v>11</v>
      </c>
      <c r="C196" s="11">
        <f>IFERROR(__xludf.DUMMYFUNCTION("""COMPUTED_VALUE"""),89558.0)</f>
        <v>89558</v>
      </c>
      <c r="D196" s="11">
        <f>IFERROR(__xludf.DUMMYFUNCTION("""COMPUTED_VALUE"""),255.0)</f>
        <v>255</v>
      </c>
      <c r="E196" s="9"/>
    </row>
    <row r="197">
      <c r="A197" s="11">
        <f>IFERROR(__xludf.DUMMYFUNCTION("""COMPUTED_VALUE"""),2021.0)</f>
        <v>2021</v>
      </c>
      <c r="B197" s="11">
        <f>IFERROR(__xludf.DUMMYFUNCTION("""COMPUTED_VALUE"""),11.0)</f>
        <v>11</v>
      </c>
      <c r="C197" s="11">
        <f>IFERROR(__xludf.DUMMYFUNCTION("""COMPUTED_VALUE"""),91235.0)</f>
        <v>91235</v>
      </c>
      <c r="D197" s="11">
        <f>IFERROR(__xludf.DUMMYFUNCTION("""COMPUTED_VALUE"""),299.0)</f>
        <v>299</v>
      </c>
      <c r="E197" s="9"/>
    </row>
    <row r="198">
      <c r="A198" s="11">
        <f>IFERROR(__xludf.DUMMYFUNCTION("""COMPUTED_VALUE"""),2021.0)</f>
        <v>2021</v>
      </c>
      <c r="B198" s="11">
        <f>IFERROR(__xludf.DUMMYFUNCTION("""COMPUTED_VALUE"""),9.0)</f>
        <v>9</v>
      </c>
      <c r="C198" s="11">
        <f>IFERROR(__xludf.DUMMYFUNCTION("""COMPUTED_VALUE"""),5519.0)</f>
        <v>5519</v>
      </c>
      <c r="D198" s="11">
        <f>IFERROR(__xludf.DUMMYFUNCTION("""COMPUTED_VALUE"""),535.0)</f>
        <v>535</v>
      </c>
      <c r="E198" s="9"/>
    </row>
    <row r="199">
      <c r="A199" s="11">
        <f>IFERROR(__xludf.DUMMYFUNCTION("""COMPUTED_VALUE"""),2021.0)</f>
        <v>2021</v>
      </c>
      <c r="B199" s="11">
        <f>IFERROR(__xludf.DUMMYFUNCTION("""COMPUTED_VALUE"""),8.0)</f>
        <v>8</v>
      </c>
      <c r="C199" s="11">
        <f>IFERROR(__xludf.DUMMYFUNCTION("""COMPUTED_VALUE"""),87278.0)</f>
        <v>87278</v>
      </c>
      <c r="D199" s="11">
        <f>IFERROR(__xludf.DUMMYFUNCTION("""COMPUTED_VALUE"""),912.0)</f>
        <v>912</v>
      </c>
      <c r="E199" s="9"/>
    </row>
    <row r="200">
      <c r="A200" s="11">
        <f>IFERROR(__xludf.DUMMYFUNCTION("""COMPUTED_VALUE"""),2021.0)</f>
        <v>2021</v>
      </c>
      <c r="B200" s="11">
        <f>IFERROR(__xludf.DUMMYFUNCTION("""COMPUTED_VALUE"""),10.0)</f>
        <v>10</v>
      </c>
      <c r="C200" s="11">
        <f>IFERROR(__xludf.DUMMYFUNCTION("""COMPUTED_VALUE"""),77326.0)</f>
        <v>77326</v>
      </c>
      <c r="D200" s="11">
        <f>IFERROR(__xludf.DUMMYFUNCTION("""COMPUTED_VALUE"""),1733.0)</f>
        <v>1733</v>
      </c>
      <c r="E200" s="9"/>
    </row>
    <row r="201">
      <c r="A201" s="11">
        <f>IFERROR(__xludf.DUMMYFUNCTION("""COMPUTED_VALUE"""),2021.0)</f>
        <v>2021</v>
      </c>
      <c r="B201" s="11">
        <f>IFERROR(__xludf.DUMMYFUNCTION("""COMPUTED_VALUE"""),8.0)</f>
        <v>8</v>
      </c>
      <c r="C201" s="11">
        <f>IFERROR(__xludf.DUMMYFUNCTION("""COMPUTED_VALUE"""),6158.0)</f>
        <v>6158</v>
      </c>
      <c r="D201" s="11">
        <f>IFERROR(__xludf.DUMMYFUNCTION("""COMPUTED_VALUE"""),1667.0)</f>
        <v>1667</v>
      </c>
      <c r="E201" s="9"/>
    </row>
    <row r="202">
      <c r="A202" s="11">
        <f>IFERROR(__xludf.DUMMYFUNCTION("""COMPUTED_VALUE"""),2021.0)</f>
        <v>2021</v>
      </c>
      <c r="B202" s="11">
        <f>IFERROR(__xludf.DUMMYFUNCTION("""COMPUTED_VALUE"""),11.0)</f>
        <v>11</v>
      </c>
      <c r="C202" s="11">
        <f>IFERROR(__xludf.DUMMYFUNCTION("""COMPUTED_VALUE"""),77338.0)</f>
        <v>77338</v>
      </c>
      <c r="D202" s="11">
        <f>IFERROR(__xludf.DUMMYFUNCTION("""COMPUTED_VALUE"""),1684.0)</f>
        <v>1684</v>
      </c>
      <c r="E202" s="9"/>
    </row>
    <row r="203">
      <c r="A203" s="11">
        <f>IFERROR(__xludf.DUMMYFUNCTION("""COMPUTED_VALUE"""),2021.0)</f>
        <v>2021</v>
      </c>
      <c r="B203" s="11">
        <f>IFERROR(__xludf.DUMMYFUNCTION("""COMPUTED_VALUE"""),8.0)</f>
        <v>8</v>
      </c>
      <c r="C203" s="11">
        <f>IFERROR(__xludf.DUMMYFUNCTION("""COMPUTED_VALUE"""),159220.0)</f>
        <v>159220</v>
      </c>
      <c r="D203" s="11">
        <f>IFERROR(__xludf.DUMMYFUNCTION("""COMPUTED_VALUE"""),1824.0)</f>
        <v>1824</v>
      </c>
      <c r="E203" s="9"/>
    </row>
    <row r="204">
      <c r="A204" s="11">
        <f>IFERROR(__xludf.DUMMYFUNCTION("""COMPUTED_VALUE"""),2021.0)</f>
        <v>2021</v>
      </c>
      <c r="B204" s="11">
        <f>IFERROR(__xludf.DUMMYFUNCTION("""COMPUTED_VALUE"""),9.0)</f>
        <v>9</v>
      </c>
      <c r="C204" s="11">
        <f>IFERROR(__xludf.DUMMYFUNCTION("""COMPUTED_VALUE"""),5521.0)</f>
        <v>5521</v>
      </c>
      <c r="D204" s="11">
        <f>IFERROR(__xludf.DUMMYFUNCTION("""COMPUTED_VALUE"""),1401.0)</f>
        <v>1401</v>
      </c>
      <c r="E204" s="9"/>
    </row>
    <row r="205">
      <c r="A205" s="11">
        <f>IFERROR(__xludf.DUMMYFUNCTION("""COMPUTED_VALUE"""),2021.0)</f>
        <v>2021</v>
      </c>
      <c r="B205" s="11">
        <f>IFERROR(__xludf.DUMMYFUNCTION("""COMPUTED_VALUE"""),9.0)</f>
        <v>9</v>
      </c>
      <c r="C205" s="11">
        <f>IFERROR(__xludf.DUMMYFUNCTION("""COMPUTED_VALUE"""),91225.0)</f>
        <v>91225</v>
      </c>
      <c r="D205" s="11">
        <f>IFERROR(__xludf.DUMMYFUNCTION("""COMPUTED_VALUE"""),671.0)</f>
        <v>671</v>
      </c>
      <c r="E205" s="9"/>
    </row>
    <row r="206">
      <c r="A206" s="11">
        <f>IFERROR(__xludf.DUMMYFUNCTION("""COMPUTED_VALUE"""),2021.0)</f>
        <v>2021</v>
      </c>
      <c r="B206" s="11">
        <f>IFERROR(__xludf.DUMMYFUNCTION("""COMPUTED_VALUE"""),8.0)</f>
        <v>8</v>
      </c>
      <c r="C206" s="11">
        <f>IFERROR(__xludf.DUMMYFUNCTION("""COMPUTED_VALUE"""),5520.0)</f>
        <v>5520</v>
      </c>
      <c r="D206" s="11">
        <f>IFERROR(__xludf.DUMMYFUNCTION("""COMPUTED_VALUE"""),480.0)</f>
        <v>480</v>
      </c>
      <c r="E206" s="9"/>
    </row>
    <row r="207">
      <c r="A207" s="11">
        <f>IFERROR(__xludf.DUMMYFUNCTION("""COMPUTED_VALUE"""),2021.0)</f>
        <v>2021</v>
      </c>
      <c r="B207" s="11">
        <f>IFERROR(__xludf.DUMMYFUNCTION("""COMPUTED_VALUE"""),11.0)</f>
        <v>11</v>
      </c>
      <c r="C207" s="11">
        <f>IFERROR(__xludf.DUMMYFUNCTION("""COMPUTED_VALUE"""),87285.0)</f>
        <v>87285</v>
      </c>
      <c r="D207" s="11">
        <f>IFERROR(__xludf.DUMMYFUNCTION("""COMPUTED_VALUE"""),144.0)</f>
        <v>144</v>
      </c>
      <c r="E207" s="9"/>
    </row>
    <row r="208">
      <c r="A208" s="11">
        <f>IFERROR(__xludf.DUMMYFUNCTION("""COMPUTED_VALUE"""),2021.0)</f>
        <v>2021</v>
      </c>
      <c r="B208" s="11">
        <f>IFERROR(__xludf.DUMMYFUNCTION("""COMPUTED_VALUE"""),10.0)</f>
        <v>10</v>
      </c>
      <c r="C208" s="11">
        <f>IFERROR(__xludf.DUMMYFUNCTION("""COMPUTED_VALUE"""),72862.0)</f>
        <v>72862</v>
      </c>
      <c r="D208" s="11">
        <f>IFERROR(__xludf.DUMMYFUNCTION("""COMPUTED_VALUE"""),1794.0)</f>
        <v>1794</v>
      </c>
      <c r="E208" s="9"/>
    </row>
    <row r="209">
      <c r="A209" s="11">
        <f>IFERROR(__xludf.DUMMYFUNCTION("""COMPUTED_VALUE"""),2021.0)</f>
        <v>2021</v>
      </c>
      <c r="B209" s="11">
        <f>IFERROR(__xludf.DUMMYFUNCTION("""COMPUTED_VALUE"""),10.0)</f>
        <v>10</v>
      </c>
      <c r="C209" s="11">
        <f>IFERROR(__xludf.DUMMYFUNCTION("""COMPUTED_VALUE"""),109474.0)</f>
        <v>109474</v>
      </c>
      <c r="D209" s="11">
        <f>IFERROR(__xludf.DUMMYFUNCTION("""COMPUTED_VALUE"""),643.0)</f>
        <v>643</v>
      </c>
      <c r="E209" s="9"/>
    </row>
    <row r="210">
      <c r="A210" s="11">
        <f>IFERROR(__xludf.DUMMYFUNCTION("""COMPUTED_VALUE"""),2021.0)</f>
        <v>2021</v>
      </c>
      <c r="B210" s="11">
        <f>IFERROR(__xludf.DUMMYFUNCTION("""COMPUTED_VALUE"""),10.0)</f>
        <v>10</v>
      </c>
      <c r="C210" s="11">
        <f>IFERROR(__xludf.DUMMYFUNCTION("""COMPUTED_VALUE"""),45834.0)</f>
        <v>45834</v>
      </c>
      <c r="D210" s="11">
        <f>IFERROR(__xludf.DUMMYFUNCTION("""COMPUTED_VALUE"""),858.0)</f>
        <v>858</v>
      </c>
      <c r="E210" s="9"/>
    </row>
    <row r="211">
      <c r="A211" s="11">
        <f>IFERROR(__xludf.DUMMYFUNCTION("""COMPUTED_VALUE"""),2021.0)</f>
        <v>2021</v>
      </c>
      <c r="B211" s="11">
        <f>IFERROR(__xludf.DUMMYFUNCTION("""COMPUTED_VALUE"""),9.0)</f>
        <v>9</v>
      </c>
      <c r="C211" s="11">
        <f>IFERROR(__xludf.DUMMYFUNCTION("""COMPUTED_VALUE"""),45885.0)</f>
        <v>45885</v>
      </c>
      <c r="D211" s="11">
        <f>IFERROR(__xludf.DUMMYFUNCTION("""COMPUTED_VALUE"""),1697.0)</f>
        <v>1697</v>
      </c>
      <c r="E211" s="9"/>
    </row>
    <row r="212">
      <c r="A212" s="11">
        <f>IFERROR(__xludf.DUMMYFUNCTION("""COMPUTED_VALUE"""),2021.0)</f>
        <v>2021</v>
      </c>
      <c r="B212" s="11">
        <f>IFERROR(__xludf.DUMMYFUNCTION("""COMPUTED_VALUE"""),10.0)</f>
        <v>10</v>
      </c>
      <c r="C212" s="11">
        <f>IFERROR(__xludf.DUMMYFUNCTION("""COMPUTED_VALUE"""),77360.0)</f>
        <v>77360</v>
      </c>
      <c r="D212" s="11">
        <f>IFERROR(__xludf.DUMMYFUNCTION("""COMPUTED_VALUE"""),612.0)</f>
        <v>612</v>
      </c>
      <c r="E212" s="9"/>
    </row>
    <row r="213">
      <c r="A213" s="11">
        <f>IFERROR(__xludf.DUMMYFUNCTION("""COMPUTED_VALUE"""),2021.0)</f>
        <v>2021</v>
      </c>
      <c r="B213" s="11">
        <f>IFERROR(__xludf.DUMMYFUNCTION("""COMPUTED_VALUE"""),10.0)</f>
        <v>10</v>
      </c>
      <c r="C213" s="11">
        <f>IFERROR(__xludf.DUMMYFUNCTION("""COMPUTED_VALUE"""),89787.0)</f>
        <v>89787</v>
      </c>
      <c r="D213" s="11">
        <f>IFERROR(__xludf.DUMMYFUNCTION("""COMPUTED_VALUE"""),425.0)</f>
        <v>425</v>
      </c>
      <c r="E213" s="9"/>
    </row>
    <row r="214">
      <c r="A214" s="11">
        <f>IFERROR(__xludf.DUMMYFUNCTION("""COMPUTED_VALUE"""),2021.0)</f>
        <v>2021</v>
      </c>
      <c r="B214" s="11">
        <f>IFERROR(__xludf.DUMMYFUNCTION("""COMPUTED_VALUE"""),9.0)</f>
        <v>9</v>
      </c>
      <c r="C214" s="11">
        <f>IFERROR(__xludf.DUMMYFUNCTION("""COMPUTED_VALUE"""),5531.0)</f>
        <v>5531</v>
      </c>
      <c r="D214" s="11">
        <f>IFERROR(__xludf.DUMMYFUNCTION("""COMPUTED_VALUE"""),304.0)</f>
        <v>304</v>
      </c>
      <c r="E214" s="9"/>
    </row>
    <row r="215">
      <c r="A215" s="11">
        <f>IFERROR(__xludf.DUMMYFUNCTION("""COMPUTED_VALUE"""),2021.0)</f>
        <v>2021</v>
      </c>
      <c r="B215" s="11">
        <f>IFERROR(__xludf.DUMMYFUNCTION("""COMPUTED_VALUE"""),10.0)</f>
        <v>10</v>
      </c>
      <c r="C215" s="11">
        <f>IFERROR(__xludf.DUMMYFUNCTION("""COMPUTED_VALUE"""),72826.0)</f>
        <v>72826</v>
      </c>
      <c r="D215" s="11">
        <f>IFERROR(__xludf.DUMMYFUNCTION("""COMPUTED_VALUE"""),993.0)</f>
        <v>993</v>
      </c>
      <c r="E215" s="9"/>
    </row>
    <row r="216">
      <c r="A216" s="11">
        <f>IFERROR(__xludf.DUMMYFUNCTION("""COMPUTED_VALUE"""),2021.0)</f>
        <v>2021</v>
      </c>
      <c r="B216" s="11">
        <f>IFERROR(__xludf.DUMMYFUNCTION("""COMPUTED_VALUE"""),11.0)</f>
        <v>11</v>
      </c>
      <c r="C216" s="11">
        <f>IFERROR(__xludf.DUMMYFUNCTION("""COMPUTED_VALUE"""),91180.0)</f>
        <v>91180</v>
      </c>
      <c r="D216" s="11">
        <f>IFERROR(__xludf.DUMMYFUNCTION("""COMPUTED_VALUE"""),1515.0)</f>
        <v>1515</v>
      </c>
      <c r="E216" s="9"/>
    </row>
    <row r="217">
      <c r="A217" s="11">
        <f>IFERROR(__xludf.DUMMYFUNCTION("""COMPUTED_VALUE"""),2021.0)</f>
        <v>2021</v>
      </c>
      <c r="B217" s="11">
        <f>IFERROR(__xludf.DUMMYFUNCTION("""COMPUTED_VALUE"""),9.0)</f>
        <v>9</v>
      </c>
      <c r="C217" s="11">
        <f>IFERROR(__xludf.DUMMYFUNCTION("""COMPUTED_VALUE"""),58757.0)</f>
        <v>58757</v>
      </c>
      <c r="D217" s="11">
        <f>IFERROR(__xludf.DUMMYFUNCTION("""COMPUTED_VALUE"""),1555.0)</f>
        <v>1555</v>
      </c>
      <c r="E217" s="9"/>
    </row>
    <row r="218">
      <c r="A218" s="11">
        <f>IFERROR(__xludf.DUMMYFUNCTION("""COMPUTED_VALUE"""),2021.0)</f>
        <v>2021</v>
      </c>
      <c r="B218" s="11">
        <f>IFERROR(__xludf.DUMMYFUNCTION("""COMPUTED_VALUE"""),10.0)</f>
        <v>10</v>
      </c>
      <c r="C218" s="11">
        <f>IFERROR(__xludf.DUMMYFUNCTION("""COMPUTED_VALUE"""),87287.0)</f>
        <v>87287</v>
      </c>
      <c r="D218" s="11">
        <f>IFERROR(__xludf.DUMMYFUNCTION("""COMPUTED_VALUE"""),271.0)</f>
        <v>271</v>
      </c>
      <c r="E218" s="9"/>
    </row>
    <row r="219">
      <c r="A219" s="11">
        <f>IFERROR(__xludf.DUMMYFUNCTION("""COMPUTED_VALUE"""),2021.0)</f>
        <v>2021</v>
      </c>
      <c r="B219" s="11">
        <f>IFERROR(__xludf.DUMMYFUNCTION("""COMPUTED_VALUE"""),10.0)</f>
        <v>10</v>
      </c>
      <c r="C219" s="11">
        <f>IFERROR(__xludf.DUMMYFUNCTION("""COMPUTED_VALUE"""),91147.0)</f>
        <v>91147</v>
      </c>
      <c r="D219" s="11">
        <f>IFERROR(__xludf.DUMMYFUNCTION("""COMPUTED_VALUE"""),1446.0)</f>
        <v>1446</v>
      </c>
      <c r="E219" s="9"/>
    </row>
    <row r="220">
      <c r="A220" s="11">
        <f>IFERROR(__xludf.DUMMYFUNCTION("""COMPUTED_VALUE"""),2021.0)</f>
        <v>2021</v>
      </c>
      <c r="B220" s="11">
        <f>IFERROR(__xludf.DUMMYFUNCTION("""COMPUTED_VALUE"""),11.0)</f>
        <v>11</v>
      </c>
      <c r="C220" s="11">
        <f>IFERROR(__xludf.DUMMYFUNCTION("""COMPUTED_VALUE"""),5526.0)</f>
        <v>5526</v>
      </c>
      <c r="D220" s="11">
        <f>IFERROR(__xludf.DUMMYFUNCTION("""COMPUTED_VALUE"""),1279.0)</f>
        <v>1279</v>
      </c>
      <c r="E220" s="9"/>
    </row>
    <row r="221">
      <c r="A221" s="11">
        <f>IFERROR(__xludf.DUMMYFUNCTION("""COMPUTED_VALUE"""),2021.0)</f>
        <v>2021</v>
      </c>
      <c r="B221" s="11">
        <f>IFERROR(__xludf.DUMMYFUNCTION("""COMPUTED_VALUE"""),9.0)</f>
        <v>9</v>
      </c>
      <c r="C221" s="11">
        <f>IFERROR(__xludf.DUMMYFUNCTION("""COMPUTED_VALUE"""),77310.0)</f>
        <v>77310</v>
      </c>
      <c r="D221" s="11">
        <f>IFERROR(__xludf.DUMMYFUNCTION("""COMPUTED_VALUE"""),1805.0)</f>
        <v>1805</v>
      </c>
      <c r="E221" s="9"/>
    </row>
    <row r="222">
      <c r="A222" s="11">
        <f>IFERROR(__xludf.DUMMYFUNCTION("""COMPUTED_VALUE"""),2021.0)</f>
        <v>2021</v>
      </c>
      <c r="B222" s="11">
        <f>IFERROR(__xludf.DUMMYFUNCTION("""COMPUTED_VALUE"""),10.0)</f>
        <v>10</v>
      </c>
      <c r="C222" s="11">
        <f>IFERROR(__xludf.DUMMYFUNCTION("""COMPUTED_VALUE"""),5525.0)</f>
        <v>5525</v>
      </c>
      <c r="D222" s="11">
        <f>IFERROR(__xludf.DUMMYFUNCTION("""COMPUTED_VALUE"""),1026.0)</f>
        <v>1026</v>
      </c>
      <c r="E222" s="9"/>
    </row>
    <row r="223">
      <c r="A223" s="11">
        <f>IFERROR(__xludf.DUMMYFUNCTION("""COMPUTED_VALUE"""),2021.0)</f>
        <v>2021</v>
      </c>
      <c r="B223" s="11">
        <f>IFERROR(__xludf.DUMMYFUNCTION("""COMPUTED_VALUE"""),9.0)</f>
        <v>9</v>
      </c>
      <c r="C223" s="11">
        <f>IFERROR(__xludf.DUMMYFUNCTION("""COMPUTED_VALUE"""),5524.0)</f>
        <v>5524</v>
      </c>
      <c r="D223" s="11">
        <f>IFERROR(__xludf.DUMMYFUNCTION("""COMPUTED_VALUE"""),934.0)</f>
        <v>934</v>
      </c>
      <c r="E223" s="9"/>
    </row>
    <row r="224">
      <c r="A224" s="11">
        <f>IFERROR(__xludf.DUMMYFUNCTION("""COMPUTED_VALUE"""),2021.0)</f>
        <v>2021</v>
      </c>
      <c r="B224" s="11">
        <f>IFERROR(__xludf.DUMMYFUNCTION("""COMPUTED_VALUE"""),9.0)</f>
        <v>9</v>
      </c>
      <c r="C224" s="11">
        <f>IFERROR(__xludf.DUMMYFUNCTION("""COMPUTED_VALUE"""),72849.0)</f>
        <v>72849</v>
      </c>
      <c r="D224" s="11">
        <f>IFERROR(__xludf.DUMMYFUNCTION("""COMPUTED_VALUE"""),722.0)</f>
        <v>722</v>
      </c>
      <c r="E224" s="9"/>
    </row>
    <row r="225">
      <c r="A225" s="11">
        <f>IFERROR(__xludf.DUMMYFUNCTION("""COMPUTED_VALUE"""),2021.0)</f>
        <v>2021</v>
      </c>
      <c r="B225" s="11">
        <f>IFERROR(__xludf.DUMMYFUNCTION("""COMPUTED_VALUE"""),8.0)</f>
        <v>8</v>
      </c>
      <c r="C225" s="11">
        <f>IFERROR(__xludf.DUMMYFUNCTION("""COMPUTED_VALUE"""),77385.0)</f>
        <v>77385</v>
      </c>
      <c r="D225" s="11">
        <f>IFERROR(__xludf.DUMMYFUNCTION("""COMPUTED_VALUE"""),1483.0)</f>
        <v>1483</v>
      </c>
      <c r="E225" s="9"/>
    </row>
    <row r="226">
      <c r="A226" s="11">
        <f>IFERROR(__xludf.DUMMYFUNCTION("""COMPUTED_VALUE"""),2021.0)</f>
        <v>2021</v>
      </c>
      <c r="B226" s="11">
        <f>IFERROR(__xludf.DUMMYFUNCTION("""COMPUTED_VALUE"""),10.0)</f>
        <v>10</v>
      </c>
      <c r="C226" s="11">
        <f>IFERROR(__xludf.DUMMYFUNCTION("""COMPUTED_VALUE"""),5529.0)</f>
        <v>5529</v>
      </c>
      <c r="D226" s="11">
        <f>IFERROR(__xludf.DUMMYFUNCTION("""COMPUTED_VALUE"""),1125.0)</f>
        <v>1125</v>
      </c>
      <c r="E226" s="9"/>
    </row>
    <row r="227">
      <c r="A227" s="11">
        <f>IFERROR(__xludf.DUMMYFUNCTION("""COMPUTED_VALUE"""),2021.0)</f>
        <v>2021</v>
      </c>
      <c r="B227" s="11">
        <f>IFERROR(__xludf.DUMMYFUNCTION("""COMPUTED_VALUE"""),11.0)</f>
        <v>11</v>
      </c>
      <c r="C227" s="11">
        <f>IFERROR(__xludf.DUMMYFUNCTION("""COMPUTED_VALUE"""),45879.0)</f>
        <v>45879</v>
      </c>
      <c r="D227" s="11">
        <f>IFERROR(__xludf.DUMMYFUNCTION("""COMPUTED_VALUE"""),134.0)</f>
        <v>134</v>
      </c>
      <c r="E227" s="9"/>
    </row>
    <row r="228">
      <c r="A228" s="11">
        <f>IFERROR(__xludf.DUMMYFUNCTION("""COMPUTED_VALUE"""),2021.0)</f>
        <v>2021</v>
      </c>
      <c r="B228" s="11">
        <f>IFERROR(__xludf.DUMMYFUNCTION("""COMPUTED_VALUE"""),8.0)</f>
        <v>8</v>
      </c>
      <c r="C228" s="11">
        <f>IFERROR(__xludf.DUMMYFUNCTION("""COMPUTED_VALUE"""),58753.0)</f>
        <v>58753</v>
      </c>
      <c r="D228" s="11">
        <f>IFERROR(__xludf.DUMMYFUNCTION("""COMPUTED_VALUE"""),1569.0)</f>
        <v>1569</v>
      </c>
      <c r="E228" s="9"/>
    </row>
    <row r="229">
      <c r="A229" s="11">
        <f>IFERROR(__xludf.DUMMYFUNCTION("""COMPUTED_VALUE"""),2021.0)</f>
        <v>2021</v>
      </c>
      <c r="B229" s="11">
        <f>IFERROR(__xludf.DUMMYFUNCTION("""COMPUTED_VALUE"""),11.0)</f>
        <v>11</v>
      </c>
      <c r="C229" s="11">
        <f>IFERROR(__xludf.DUMMYFUNCTION("""COMPUTED_VALUE"""),77318.0)</f>
        <v>77318</v>
      </c>
      <c r="D229" s="11">
        <f>IFERROR(__xludf.DUMMYFUNCTION("""COMPUTED_VALUE"""),1825.0)</f>
        <v>1825</v>
      </c>
      <c r="E229" s="9"/>
    </row>
    <row r="230">
      <c r="A230" s="11">
        <f>IFERROR(__xludf.DUMMYFUNCTION("""COMPUTED_VALUE"""),2021.0)</f>
        <v>2021</v>
      </c>
      <c r="B230" s="11">
        <f>IFERROR(__xludf.DUMMYFUNCTION("""COMPUTED_VALUE"""),11.0)</f>
        <v>11</v>
      </c>
      <c r="C230" s="11">
        <f>IFERROR(__xludf.DUMMYFUNCTION("""COMPUTED_VALUE"""),122091.0)</f>
        <v>122091</v>
      </c>
      <c r="D230" s="11">
        <f>IFERROR(__xludf.DUMMYFUNCTION("""COMPUTED_VALUE"""),1591.0)</f>
        <v>1591</v>
      </c>
      <c r="E230" s="9"/>
    </row>
    <row r="231">
      <c r="A231" s="11">
        <f>IFERROR(__xludf.DUMMYFUNCTION("""COMPUTED_VALUE"""),2021.0)</f>
        <v>2021</v>
      </c>
      <c r="B231" s="11">
        <f>IFERROR(__xludf.DUMMYFUNCTION("""COMPUTED_VALUE"""),10.0)</f>
        <v>10</v>
      </c>
      <c r="C231" s="11">
        <f>IFERROR(__xludf.DUMMYFUNCTION("""COMPUTED_VALUE"""),91144.0)</f>
        <v>91144</v>
      </c>
      <c r="D231" s="11">
        <f>IFERROR(__xludf.DUMMYFUNCTION("""COMPUTED_VALUE"""),1467.0)</f>
        <v>1467</v>
      </c>
      <c r="E231" s="9"/>
    </row>
    <row r="232">
      <c r="A232" s="11">
        <f>IFERROR(__xludf.DUMMYFUNCTION("""COMPUTED_VALUE"""),2021.0)</f>
        <v>2021</v>
      </c>
      <c r="B232" s="11">
        <f>IFERROR(__xludf.DUMMYFUNCTION("""COMPUTED_VALUE"""),11.0)</f>
        <v>11</v>
      </c>
      <c r="C232" s="11">
        <f>IFERROR(__xludf.DUMMYFUNCTION("""COMPUTED_VALUE"""),79000.0)</f>
        <v>79000</v>
      </c>
      <c r="D232" s="11">
        <f>IFERROR(__xludf.DUMMYFUNCTION("""COMPUTED_VALUE"""),825.0)</f>
        <v>825</v>
      </c>
      <c r="E232" s="9"/>
    </row>
    <row r="233">
      <c r="A233" s="11">
        <f>IFERROR(__xludf.DUMMYFUNCTION("""COMPUTED_VALUE"""),2021.0)</f>
        <v>2021</v>
      </c>
      <c r="B233" s="11">
        <f>IFERROR(__xludf.DUMMYFUNCTION("""COMPUTED_VALUE"""),8.0)</f>
        <v>8</v>
      </c>
      <c r="C233" s="11">
        <f>IFERROR(__xludf.DUMMYFUNCTION("""COMPUTED_VALUE"""),77389.0)</f>
        <v>77389</v>
      </c>
      <c r="D233" s="11">
        <f>IFERROR(__xludf.DUMMYFUNCTION("""COMPUTED_VALUE"""),51.0)</f>
        <v>51</v>
      </c>
      <c r="E233" s="9"/>
    </row>
    <row r="234">
      <c r="A234" s="11">
        <f>IFERROR(__xludf.DUMMYFUNCTION("""COMPUTED_VALUE"""),2021.0)</f>
        <v>2021</v>
      </c>
      <c r="B234" s="11">
        <f>IFERROR(__xludf.DUMMYFUNCTION("""COMPUTED_VALUE"""),10.0)</f>
        <v>10</v>
      </c>
      <c r="C234" s="11">
        <f>IFERROR(__xludf.DUMMYFUNCTION("""COMPUTED_VALUE"""),72857.0)</f>
        <v>72857</v>
      </c>
      <c r="D234" s="11">
        <f>IFERROR(__xludf.DUMMYFUNCTION("""COMPUTED_VALUE"""),905.0)</f>
        <v>905</v>
      </c>
      <c r="E234" s="9"/>
    </row>
    <row r="235">
      <c r="A235" s="11">
        <f>IFERROR(__xludf.DUMMYFUNCTION("""COMPUTED_VALUE"""),2021.0)</f>
        <v>2021</v>
      </c>
      <c r="B235" s="11">
        <f>IFERROR(__xludf.DUMMYFUNCTION("""COMPUTED_VALUE"""),9.0)</f>
        <v>9</v>
      </c>
      <c r="C235" s="11">
        <f>IFERROR(__xludf.DUMMYFUNCTION("""COMPUTED_VALUE"""),72859.0)</f>
        <v>72859</v>
      </c>
      <c r="D235" s="11">
        <f>IFERROR(__xludf.DUMMYFUNCTION("""COMPUTED_VALUE"""),1180.0)</f>
        <v>1180</v>
      </c>
      <c r="E235" s="9"/>
    </row>
    <row r="236">
      <c r="A236" s="11">
        <f>IFERROR(__xludf.DUMMYFUNCTION("""COMPUTED_VALUE"""),2021.0)</f>
        <v>2021</v>
      </c>
      <c r="B236" s="11">
        <f>IFERROR(__xludf.DUMMYFUNCTION("""COMPUTED_VALUE"""),8.0)</f>
        <v>8</v>
      </c>
      <c r="C236" s="11">
        <f>IFERROR(__xludf.DUMMYFUNCTION("""COMPUTED_VALUE"""),91264.0)</f>
        <v>91264</v>
      </c>
      <c r="D236" s="11">
        <f>IFERROR(__xludf.DUMMYFUNCTION("""COMPUTED_VALUE"""),1744.0)</f>
        <v>1744</v>
      </c>
      <c r="E236" s="9"/>
    </row>
    <row r="237">
      <c r="A237" s="11">
        <f>IFERROR(__xludf.DUMMYFUNCTION("""COMPUTED_VALUE"""),2021.0)</f>
        <v>2021</v>
      </c>
      <c r="B237" s="11">
        <f>IFERROR(__xludf.DUMMYFUNCTION("""COMPUTED_VALUE"""),10.0)</f>
        <v>10</v>
      </c>
      <c r="C237" s="11">
        <f>IFERROR(__xludf.DUMMYFUNCTION("""COMPUTED_VALUE"""),77316.0)</f>
        <v>77316</v>
      </c>
      <c r="D237" s="11">
        <f>IFERROR(__xludf.DUMMYFUNCTION("""COMPUTED_VALUE"""),924.0)</f>
        <v>924</v>
      </c>
      <c r="E237" s="9"/>
    </row>
    <row r="238">
      <c r="A238" s="11">
        <f>IFERROR(__xludf.DUMMYFUNCTION("""COMPUTED_VALUE"""),2021.0)</f>
        <v>2021</v>
      </c>
      <c r="B238" s="11">
        <f>IFERROR(__xludf.DUMMYFUNCTION("""COMPUTED_VALUE"""),10.0)</f>
        <v>10</v>
      </c>
      <c r="C238" s="11">
        <f>IFERROR(__xludf.DUMMYFUNCTION("""COMPUTED_VALUE"""),110573.0)</f>
        <v>110573</v>
      </c>
      <c r="D238" s="11">
        <f>IFERROR(__xludf.DUMMYFUNCTION("""COMPUTED_VALUE"""),345.0)</f>
        <v>345</v>
      </c>
      <c r="E238" s="9"/>
    </row>
    <row r="239">
      <c r="A239" s="11">
        <f>IFERROR(__xludf.DUMMYFUNCTION("""COMPUTED_VALUE"""),2021.0)</f>
        <v>2021</v>
      </c>
      <c r="B239" s="11">
        <f>IFERROR(__xludf.DUMMYFUNCTION("""COMPUTED_VALUE"""),10.0)</f>
        <v>10</v>
      </c>
      <c r="C239" s="11">
        <f>IFERROR(__xludf.DUMMYFUNCTION("""COMPUTED_VALUE"""),82236.0)</f>
        <v>82236</v>
      </c>
      <c r="D239" s="11">
        <f>IFERROR(__xludf.DUMMYFUNCTION("""COMPUTED_VALUE"""),899.0)</f>
        <v>899</v>
      </c>
      <c r="E239" s="9"/>
    </row>
    <row r="240">
      <c r="A240" s="11">
        <f>IFERROR(__xludf.DUMMYFUNCTION("""COMPUTED_VALUE"""),2021.0)</f>
        <v>2021</v>
      </c>
      <c r="B240" s="11">
        <f>IFERROR(__xludf.DUMMYFUNCTION("""COMPUTED_VALUE"""),10.0)</f>
        <v>10</v>
      </c>
      <c r="C240" s="11">
        <f>IFERROR(__xludf.DUMMYFUNCTION("""COMPUTED_VALUE"""),72855.0)</f>
        <v>72855</v>
      </c>
      <c r="D240" s="11">
        <f>IFERROR(__xludf.DUMMYFUNCTION("""COMPUTED_VALUE"""),664.0)</f>
        <v>664</v>
      </c>
      <c r="E240" s="9"/>
    </row>
    <row r="241">
      <c r="A241" s="11">
        <f>IFERROR(__xludf.DUMMYFUNCTION("""COMPUTED_VALUE"""),2021.0)</f>
        <v>2021</v>
      </c>
      <c r="B241" s="11">
        <f>IFERROR(__xludf.DUMMYFUNCTION("""COMPUTED_VALUE"""),9.0)</f>
        <v>9</v>
      </c>
      <c r="C241" s="11">
        <f>IFERROR(__xludf.DUMMYFUNCTION("""COMPUTED_VALUE"""),77392.0)</f>
        <v>77392</v>
      </c>
      <c r="D241" s="11">
        <f>IFERROR(__xludf.DUMMYFUNCTION("""COMPUTED_VALUE"""),1305.0)</f>
        <v>1305</v>
      </c>
      <c r="E241" s="9"/>
    </row>
    <row r="242">
      <c r="A242" s="11">
        <f>IFERROR(__xludf.DUMMYFUNCTION("""COMPUTED_VALUE"""),2021.0)</f>
        <v>2021</v>
      </c>
      <c r="B242" s="11">
        <f>IFERROR(__xludf.DUMMYFUNCTION("""COMPUTED_VALUE"""),8.0)</f>
        <v>8</v>
      </c>
      <c r="C242" s="11">
        <f>IFERROR(__xludf.DUMMYFUNCTION("""COMPUTED_VALUE"""),45867.0)</f>
        <v>45867</v>
      </c>
      <c r="D242" s="11">
        <f>IFERROR(__xludf.DUMMYFUNCTION("""COMPUTED_VALUE"""),405.0)</f>
        <v>405</v>
      </c>
      <c r="E242" s="9"/>
    </row>
    <row r="243">
      <c r="A243" s="11">
        <f>IFERROR(__xludf.DUMMYFUNCTION("""COMPUTED_VALUE"""),2021.0)</f>
        <v>2021</v>
      </c>
      <c r="B243" s="11">
        <f>IFERROR(__xludf.DUMMYFUNCTION("""COMPUTED_VALUE"""),8.0)</f>
        <v>8</v>
      </c>
      <c r="C243" s="11">
        <f>IFERROR(__xludf.DUMMYFUNCTION("""COMPUTED_VALUE"""),45846.0)</f>
        <v>45846</v>
      </c>
      <c r="D243" s="11">
        <f>IFERROR(__xludf.DUMMYFUNCTION("""COMPUTED_VALUE"""),1236.0)</f>
        <v>1236</v>
      </c>
      <c r="E243" s="9"/>
    </row>
    <row r="244">
      <c r="A244" s="11">
        <f>IFERROR(__xludf.DUMMYFUNCTION("""COMPUTED_VALUE"""),2021.0)</f>
        <v>2021</v>
      </c>
      <c r="B244" s="11">
        <f>IFERROR(__xludf.DUMMYFUNCTION("""COMPUTED_VALUE"""),8.0)</f>
        <v>8</v>
      </c>
      <c r="C244" s="11">
        <f>IFERROR(__xludf.DUMMYFUNCTION("""COMPUTED_VALUE"""),91265.0)</f>
        <v>91265</v>
      </c>
      <c r="D244" s="11">
        <f>IFERROR(__xludf.DUMMYFUNCTION("""COMPUTED_VALUE"""),1456.0)</f>
        <v>1456</v>
      </c>
      <c r="E244" s="9"/>
    </row>
    <row r="245">
      <c r="A245" s="11">
        <f>IFERROR(__xludf.DUMMYFUNCTION("""COMPUTED_VALUE"""),2021.0)</f>
        <v>2021</v>
      </c>
      <c r="B245" s="11">
        <f>IFERROR(__xludf.DUMMYFUNCTION("""COMPUTED_VALUE"""),8.0)</f>
        <v>8</v>
      </c>
      <c r="C245" s="11">
        <f>IFERROR(__xludf.DUMMYFUNCTION("""COMPUTED_VALUE"""),5527.0)</f>
        <v>5527</v>
      </c>
      <c r="D245" s="11">
        <f>IFERROR(__xludf.DUMMYFUNCTION("""COMPUTED_VALUE"""),1444.0)</f>
        <v>1444</v>
      </c>
      <c r="E245" s="9"/>
    </row>
    <row r="246">
      <c r="A246" s="11">
        <f>IFERROR(__xludf.DUMMYFUNCTION("""COMPUTED_VALUE"""),2021.0)</f>
        <v>2021</v>
      </c>
      <c r="B246" s="11">
        <f>IFERROR(__xludf.DUMMYFUNCTION("""COMPUTED_VALUE"""),10.0)</f>
        <v>10</v>
      </c>
      <c r="C246" s="11">
        <f>IFERROR(__xludf.DUMMYFUNCTION("""COMPUTED_VALUE"""),82249.0)</f>
        <v>82249</v>
      </c>
      <c r="D246" s="11">
        <f>IFERROR(__xludf.DUMMYFUNCTION("""COMPUTED_VALUE"""),1058.0)</f>
        <v>1058</v>
      </c>
      <c r="E246" s="9"/>
    </row>
    <row r="247">
      <c r="A247" s="11">
        <f>IFERROR(__xludf.DUMMYFUNCTION("""COMPUTED_VALUE"""),2021.0)</f>
        <v>2021</v>
      </c>
      <c r="B247" s="11">
        <f>IFERROR(__xludf.DUMMYFUNCTION("""COMPUTED_VALUE"""),8.0)</f>
        <v>8</v>
      </c>
      <c r="C247" s="11">
        <f>IFERROR(__xludf.DUMMYFUNCTION("""COMPUTED_VALUE"""),87273.0)</f>
        <v>87273</v>
      </c>
      <c r="D247" s="11">
        <f>IFERROR(__xludf.DUMMYFUNCTION("""COMPUTED_VALUE"""),734.0)</f>
        <v>734</v>
      </c>
      <c r="E247" s="9"/>
    </row>
    <row r="248">
      <c r="A248" s="11">
        <f>IFERROR(__xludf.DUMMYFUNCTION("""COMPUTED_VALUE"""),2021.0)</f>
        <v>2021</v>
      </c>
      <c r="B248" s="11">
        <f>IFERROR(__xludf.DUMMYFUNCTION("""COMPUTED_VALUE"""),11.0)</f>
        <v>11</v>
      </c>
      <c r="C248" s="11">
        <f>IFERROR(__xludf.DUMMYFUNCTION("""COMPUTED_VALUE"""),5537.0)</f>
        <v>5537</v>
      </c>
      <c r="D248" s="11">
        <f>IFERROR(__xludf.DUMMYFUNCTION("""COMPUTED_VALUE"""),1102.0)</f>
        <v>1102</v>
      </c>
      <c r="E248" s="9"/>
    </row>
    <row r="249">
      <c r="A249" s="11">
        <f>IFERROR(__xludf.DUMMYFUNCTION("""COMPUTED_VALUE"""),2021.0)</f>
        <v>2021</v>
      </c>
      <c r="B249" s="11">
        <f>IFERROR(__xludf.DUMMYFUNCTION("""COMPUTED_VALUE"""),10.0)</f>
        <v>10</v>
      </c>
      <c r="C249" s="11">
        <f>IFERROR(__xludf.DUMMYFUNCTION("""COMPUTED_VALUE"""),87281.0)</f>
        <v>87281</v>
      </c>
      <c r="D249" s="11">
        <f>IFERROR(__xludf.DUMMYFUNCTION("""COMPUTED_VALUE"""),1674.0)</f>
        <v>1674</v>
      </c>
      <c r="E249" s="9"/>
    </row>
    <row r="250">
      <c r="A250" s="11">
        <f>IFERROR(__xludf.DUMMYFUNCTION("""COMPUTED_VALUE"""),2021.0)</f>
        <v>2021</v>
      </c>
      <c r="B250" s="11">
        <f>IFERROR(__xludf.DUMMYFUNCTION("""COMPUTED_VALUE"""),9.0)</f>
        <v>9</v>
      </c>
      <c r="C250" s="11">
        <f>IFERROR(__xludf.DUMMYFUNCTION("""COMPUTED_VALUE"""),5522.0)</f>
        <v>5522</v>
      </c>
      <c r="D250" s="11">
        <f>IFERROR(__xludf.DUMMYFUNCTION("""COMPUTED_VALUE"""),62.0)</f>
        <v>62</v>
      </c>
      <c r="E250" s="9"/>
    </row>
    <row r="251">
      <c r="A251" s="11">
        <f>IFERROR(__xludf.DUMMYFUNCTION("""COMPUTED_VALUE"""),2021.0)</f>
        <v>2021</v>
      </c>
      <c r="B251" s="11">
        <f>IFERROR(__xludf.DUMMYFUNCTION("""COMPUTED_VALUE"""),8.0)</f>
        <v>8</v>
      </c>
      <c r="C251" s="11">
        <f>IFERROR(__xludf.DUMMYFUNCTION("""COMPUTED_VALUE"""),76595.0)</f>
        <v>76595</v>
      </c>
      <c r="D251" s="11">
        <f>IFERROR(__xludf.DUMMYFUNCTION("""COMPUTED_VALUE"""),512.0)</f>
        <v>512</v>
      </c>
      <c r="E251" s="9"/>
    </row>
    <row r="252">
      <c r="A252" s="11">
        <f>IFERROR(__xludf.DUMMYFUNCTION("""COMPUTED_VALUE"""),2021.0)</f>
        <v>2021</v>
      </c>
      <c r="B252" s="11">
        <f>IFERROR(__xludf.DUMMYFUNCTION("""COMPUTED_VALUE"""),11.0)</f>
        <v>11</v>
      </c>
      <c r="C252" s="11">
        <f>IFERROR(__xludf.DUMMYFUNCTION("""COMPUTED_VALUE"""),147305.0)</f>
        <v>147305</v>
      </c>
      <c r="D252" s="11">
        <f>IFERROR(__xludf.DUMMYFUNCTION("""COMPUTED_VALUE"""),640.0)</f>
        <v>640</v>
      </c>
      <c r="E252" s="9"/>
    </row>
    <row r="253">
      <c r="A253" s="11">
        <f>IFERROR(__xludf.DUMMYFUNCTION("""COMPUTED_VALUE"""),2021.0)</f>
        <v>2021</v>
      </c>
      <c r="B253" s="11">
        <f>IFERROR(__xludf.DUMMYFUNCTION("""COMPUTED_VALUE"""),8.0)</f>
        <v>8</v>
      </c>
      <c r="C253" s="11">
        <f>IFERROR(__xludf.DUMMYFUNCTION("""COMPUTED_VALUE"""),158660.0)</f>
        <v>158660</v>
      </c>
      <c r="D253" s="11">
        <f>IFERROR(__xludf.DUMMYFUNCTION("""COMPUTED_VALUE"""),813.0)</f>
        <v>813</v>
      </c>
      <c r="E253" s="9"/>
    </row>
    <row r="254">
      <c r="A254" s="11">
        <f>IFERROR(__xludf.DUMMYFUNCTION("""COMPUTED_VALUE"""),2021.0)</f>
        <v>2021</v>
      </c>
      <c r="B254" s="11">
        <f>IFERROR(__xludf.DUMMYFUNCTION("""COMPUTED_VALUE"""),11.0)</f>
        <v>11</v>
      </c>
      <c r="C254" s="11">
        <f>IFERROR(__xludf.DUMMYFUNCTION("""COMPUTED_VALUE"""),77371.0)</f>
        <v>77371</v>
      </c>
      <c r="D254" s="11">
        <f>IFERROR(__xludf.DUMMYFUNCTION("""COMPUTED_VALUE"""),491.0)</f>
        <v>491</v>
      </c>
      <c r="E254" s="9"/>
    </row>
    <row r="255">
      <c r="A255" s="11">
        <f>IFERROR(__xludf.DUMMYFUNCTION("""COMPUTED_VALUE"""),2021.0)</f>
        <v>2021</v>
      </c>
      <c r="B255" s="11">
        <f>IFERROR(__xludf.DUMMYFUNCTION("""COMPUTED_VALUE"""),9.0)</f>
        <v>9</v>
      </c>
      <c r="C255" s="11">
        <f>IFERROR(__xludf.DUMMYFUNCTION("""COMPUTED_VALUE"""),77366.0)</f>
        <v>77366</v>
      </c>
      <c r="D255" s="11">
        <f>IFERROR(__xludf.DUMMYFUNCTION("""COMPUTED_VALUE"""),769.0)</f>
        <v>769</v>
      </c>
      <c r="E255" s="9"/>
    </row>
    <row r="256">
      <c r="A256" s="11">
        <f>IFERROR(__xludf.DUMMYFUNCTION("""COMPUTED_VALUE"""),2021.0)</f>
        <v>2021</v>
      </c>
      <c r="B256" s="11">
        <f>IFERROR(__xludf.DUMMYFUNCTION("""COMPUTED_VALUE"""),10.0)</f>
        <v>10</v>
      </c>
      <c r="C256" s="11">
        <f>IFERROR(__xludf.DUMMYFUNCTION("""COMPUTED_VALUE"""),87282.0)</f>
        <v>87282</v>
      </c>
      <c r="D256" s="11">
        <f>IFERROR(__xludf.DUMMYFUNCTION("""COMPUTED_VALUE"""),1840.0)</f>
        <v>1840</v>
      </c>
      <c r="E256" s="9"/>
    </row>
    <row r="257">
      <c r="A257" s="11">
        <f>IFERROR(__xludf.DUMMYFUNCTION("""COMPUTED_VALUE"""),2021.0)</f>
        <v>2021</v>
      </c>
      <c r="B257" s="11">
        <f>IFERROR(__xludf.DUMMYFUNCTION("""COMPUTED_VALUE"""),9.0)</f>
        <v>9</v>
      </c>
      <c r="C257" s="11">
        <f>IFERROR(__xludf.DUMMYFUNCTION("""COMPUTED_VALUE"""),80402.0)</f>
        <v>80402</v>
      </c>
      <c r="D257" s="11">
        <f>IFERROR(__xludf.DUMMYFUNCTION("""COMPUTED_VALUE"""),1481.0)</f>
        <v>1481</v>
      </c>
      <c r="E257" s="9"/>
    </row>
    <row r="258">
      <c r="A258" s="11">
        <f>IFERROR(__xludf.DUMMYFUNCTION("""COMPUTED_VALUE"""),2021.0)</f>
        <v>2021</v>
      </c>
      <c r="B258" s="11">
        <f>IFERROR(__xludf.DUMMYFUNCTION("""COMPUTED_VALUE"""),10.0)</f>
        <v>10</v>
      </c>
      <c r="C258" s="11">
        <f>IFERROR(__xludf.DUMMYFUNCTION("""COMPUTED_VALUE"""),120504.0)</f>
        <v>120504</v>
      </c>
      <c r="D258" s="11">
        <f>IFERROR(__xludf.DUMMYFUNCTION("""COMPUTED_VALUE"""),1067.0)</f>
        <v>1067</v>
      </c>
      <c r="E258" s="9"/>
    </row>
    <row r="259">
      <c r="A259" s="11">
        <f>IFERROR(__xludf.DUMMYFUNCTION("""COMPUTED_VALUE"""),2021.0)</f>
        <v>2021</v>
      </c>
      <c r="B259" s="11">
        <f>IFERROR(__xludf.DUMMYFUNCTION("""COMPUTED_VALUE"""),11.0)</f>
        <v>11</v>
      </c>
      <c r="C259" s="11">
        <f>IFERROR(__xludf.DUMMYFUNCTION("""COMPUTED_VALUE"""),72833.0)</f>
        <v>72833</v>
      </c>
      <c r="D259" s="11">
        <f>IFERROR(__xludf.DUMMYFUNCTION("""COMPUTED_VALUE"""),1055.0)</f>
        <v>1055</v>
      </c>
      <c r="E259" s="9"/>
    </row>
    <row r="260">
      <c r="A260" s="11">
        <f>IFERROR(__xludf.DUMMYFUNCTION("""COMPUTED_VALUE"""),2021.0)</f>
        <v>2021</v>
      </c>
      <c r="B260" s="11">
        <f>IFERROR(__xludf.DUMMYFUNCTION("""COMPUTED_VALUE"""),8.0)</f>
        <v>8</v>
      </c>
      <c r="C260" s="11">
        <f>IFERROR(__xludf.DUMMYFUNCTION("""COMPUTED_VALUE"""),72831.0)</f>
        <v>72831</v>
      </c>
      <c r="D260" s="11">
        <f>IFERROR(__xludf.DUMMYFUNCTION("""COMPUTED_VALUE"""),508.0)</f>
        <v>508</v>
      </c>
      <c r="E260" s="9"/>
    </row>
    <row r="261">
      <c r="A261" s="11">
        <f>IFERROR(__xludf.DUMMYFUNCTION("""COMPUTED_VALUE"""),2021.0)</f>
        <v>2021</v>
      </c>
      <c r="B261" s="11">
        <f>IFERROR(__xludf.DUMMYFUNCTION("""COMPUTED_VALUE"""),9.0)</f>
        <v>9</v>
      </c>
      <c r="C261" s="11">
        <f>IFERROR(__xludf.DUMMYFUNCTION("""COMPUTED_VALUE"""),112547.0)</f>
        <v>112547</v>
      </c>
      <c r="D261" s="11">
        <f>IFERROR(__xludf.DUMMYFUNCTION("""COMPUTED_VALUE"""),480.0)</f>
        <v>480</v>
      </c>
      <c r="E261" s="9"/>
    </row>
    <row r="262">
      <c r="A262" s="11">
        <f>IFERROR(__xludf.DUMMYFUNCTION("""COMPUTED_VALUE"""),2021.0)</f>
        <v>2021</v>
      </c>
      <c r="B262" s="11">
        <f>IFERROR(__xludf.DUMMYFUNCTION("""COMPUTED_VALUE"""),9.0)</f>
        <v>9</v>
      </c>
      <c r="C262" s="11">
        <f>IFERROR(__xludf.DUMMYFUNCTION("""COMPUTED_VALUE"""),149598.0)</f>
        <v>149598</v>
      </c>
      <c r="D262" s="11">
        <f>IFERROR(__xludf.DUMMYFUNCTION("""COMPUTED_VALUE"""),1667.0)</f>
        <v>1667</v>
      </c>
      <c r="E262" s="9"/>
    </row>
    <row r="263">
      <c r="A263" s="11">
        <f>IFERROR(__xludf.DUMMYFUNCTION("""COMPUTED_VALUE"""),2021.0)</f>
        <v>2021</v>
      </c>
      <c r="B263" s="11">
        <f>IFERROR(__xludf.DUMMYFUNCTION("""COMPUTED_VALUE"""),10.0)</f>
        <v>10</v>
      </c>
      <c r="C263" s="11">
        <f>IFERROR(__xludf.DUMMYFUNCTION("""COMPUTED_VALUE"""),98129.0)</f>
        <v>98129</v>
      </c>
      <c r="D263" s="11">
        <f>IFERROR(__xludf.DUMMYFUNCTION("""COMPUTED_VALUE"""),1627.0)</f>
        <v>1627</v>
      </c>
      <c r="E263" s="9"/>
    </row>
    <row r="264">
      <c r="A264" s="11">
        <f>IFERROR(__xludf.DUMMYFUNCTION("""COMPUTED_VALUE"""),2021.0)</f>
        <v>2021</v>
      </c>
      <c r="B264" s="11">
        <f>IFERROR(__xludf.DUMMYFUNCTION("""COMPUTED_VALUE"""),8.0)</f>
        <v>8</v>
      </c>
      <c r="C264" s="11">
        <f>IFERROR(__xludf.DUMMYFUNCTION("""COMPUTED_VALUE"""),72825.0)</f>
        <v>72825</v>
      </c>
      <c r="D264" s="11">
        <f>IFERROR(__xludf.DUMMYFUNCTION("""COMPUTED_VALUE"""),1907.0)</f>
        <v>1907</v>
      </c>
      <c r="E264" s="9"/>
    </row>
    <row r="265">
      <c r="A265" s="11">
        <f>IFERROR(__xludf.DUMMYFUNCTION("""COMPUTED_VALUE"""),2021.0)</f>
        <v>2021</v>
      </c>
      <c r="B265" s="11">
        <f>IFERROR(__xludf.DUMMYFUNCTION("""COMPUTED_VALUE"""),11.0)</f>
        <v>11</v>
      </c>
      <c r="C265" s="11">
        <f>IFERROR(__xludf.DUMMYFUNCTION("""COMPUTED_VALUE"""),72820.0)</f>
        <v>72820</v>
      </c>
      <c r="D265" s="11">
        <f>IFERROR(__xludf.DUMMYFUNCTION("""COMPUTED_VALUE"""),1499.0)</f>
        <v>1499</v>
      </c>
      <c r="E265" s="9"/>
    </row>
    <row r="266">
      <c r="A266" s="11">
        <f>IFERROR(__xludf.DUMMYFUNCTION("""COMPUTED_VALUE"""),2021.0)</f>
        <v>2021</v>
      </c>
      <c r="B266" s="11">
        <f>IFERROR(__xludf.DUMMYFUNCTION("""COMPUTED_VALUE"""),8.0)</f>
        <v>8</v>
      </c>
      <c r="C266" s="11">
        <f>IFERROR(__xludf.DUMMYFUNCTION("""COMPUTED_VALUE"""),81939.0)</f>
        <v>81939</v>
      </c>
      <c r="D266" s="11">
        <f>IFERROR(__xludf.DUMMYFUNCTION("""COMPUTED_VALUE"""),1754.0)</f>
        <v>1754</v>
      </c>
      <c r="E266" s="9"/>
    </row>
    <row r="267">
      <c r="A267" s="11">
        <f>IFERROR(__xludf.DUMMYFUNCTION("""COMPUTED_VALUE"""),2021.0)</f>
        <v>2021</v>
      </c>
      <c r="B267" s="11">
        <f>IFERROR(__xludf.DUMMYFUNCTION("""COMPUTED_VALUE"""),8.0)</f>
        <v>8</v>
      </c>
      <c r="C267" s="11">
        <f>IFERROR(__xludf.DUMMYFUNCTION("""COMPUTED_VALUE"""),114382.0)</f>
        <v>114382</v>
      </c>
      <c r="D267" s="11">
        <f>IFERROR(__xludf.DUMMYFUNCTION("""COMPUTED_VALUE"""),1174.0)</f>
        <v>1174</v>
      </c>
      <c r="E267" s="9"/>
    </row>
    <row r="268">
      <c r="A268" s="11">
        <f>IFERROR(__xludf.DUMMYFUNCTION("""COMPUTED_VALUE"""),2021.0)</f>
        <v>2021</v>
      </c>
      <c r="B268" s="11">
        <f>IFERROR(__xludf.DUMMYFUNCTION("""COMPUTED_VALUE"""),11.0)</f>
        <v>11</v>
      </c>
      <c r="C268" s="11">
        <f>IFERROR(__xludf.DUMMYFUNCTION("""COMPUTED_VALUE"""),111427.0)</f>
        <v>111427</v>
      </c>
      <c r="D268" s="11">
        <f>IFERROR(__xludf.DUMMYFUNCTION("""COMPUTED_VALUE"""),1605.0)</f>
        <v>1605</v>
      </c>
      <c r="E268" s="9"/>
    </row>
    <row r="269">
      <c r="A269" s="11">
        <f>IFERROR(__xludf.DUMMYFUNCTION("""COMPUTED_VALUE"""),2021.0)</f>
        <v>2021</v>
      </c>
      <c r="B269" s="11">
        <f>IFERROR(__xludf.DUMMYFUNCTION("""COMPUTED_VALUE"""),10.0)</f>
        <v>10</v>
      </c>
      <c r="C269" s="11">
        <f>IFERROR(__xludf.DUMMYFUNCTION("""COMPUTED_VALUE"""),81937.0)</f>
        <v>81937</v>
      </c>
      <c r="D269" s="11">
        <f>IFERROR(__xludf.DUMMYFUNCTION("""COMPUTED_VALUE"""),1180.0)</f>
        <v>1180</v>
      </c>
      <c r="E269" s="9"/>
    </row>
    <row r="270">
      <c r="A270" s="11">
        <f>IFERROR(__xludf.DUMMYFUNCTION("""COMPUTED_VALUE"""),2021.0)</f>
        <v>2021</v>
      </c>
      <c r="B270" s="11">
        <f>IFERROR(__xludf.DUMMYFUNCTION("""COMPUTED_VALUE"""),8.0)</f>
        <v>8</v>
      </c>
      <c r="C270" s="11">
        <f>IFERROR(__xludf.DUMMYFUNCTION("""COMPUTED_VALUE"""),72824.0)</f>
        <v>72824</v>
      </c>
      <c r="D270" s="11">
        <f>IFERROR(__xludf.DUMMYFUNCTION("""COMPUTED_VALUE"""),1403.0)</f>
        <v>1403</v>
      </c>
      <c r="E270" s="9"/>
    </row>
    <row r="271">
      <c r="A271" s="11">
        <f>IFERROR(__xludf.DUMMYFUNCTION("""COMPUTED_VALUE"""),2021.0)</f>
        <v>2021</v>
      </c>
      <c r="B271" s="11">
        <f>IFERROR(__xludf.DUMMYFUNCTION("""COMPUTED_VALUE"""),9.0)</f>
        <v>9</v>
      </c>
      <c r="C271" s="11">
        <f>IFERROR(__xludf.DUMMYFUNCTION("""COMPUTED_VALUE"""),112188.0)</f>
        <v>112188</v>
      </c>
      <c r="D271" s="11">
        <f>IFERROR(__xludf.DUMMYFUNCTION("""COMPUTED_VALUE"""),600.0)</f>
        <v>600</v>
      </c>
      <c r="E271" s="9"/>
    </row>
    <row r="272">
      <c r="A272" s="11">
        <f>IFERROR(__xludf.DUMMYFUNCTION("""COMPUTED_VALUE"""),2021.0)</f>
        <v>2021</v>
      </c>
      <c r="B272" s="11">
        <f>IFERROR(__xludf.DUMMYFUNCTION("""COMPUTED_VALUE"""),8.0)</f>
        <v>8</v>
      </c>
      <c r="C272" s="11">
        <f>IFERROR(__xludf.DUMMYFUNCTION("""COMPUTED_VALUE"""),98186.0)</f>
        <v>98186</v>
      </c>
      <c r="D272" s="11">
        <f>IFERROR(__xludf.DUMMYFUNCTION("""COMPUTED_VALUE"""),46.0)</f>
        <v>46</v>
      </c>
      <c r="E272" s="9"/>
    </row>
    <row r="273">
      <c r="A273" s="11">
        <f>IFERROR(__xludf.DUMMYFUNCTION("""COMPUTED_VALUE"""),2021.0)</f>
        <v>2021</v>
      </c>
      <c r="B273" s="11">
        <f>IFERROR(__xludf.DUMMYFUNCTION("""COMPUTED_VALUE"""),9.0)</f>
        <v>9</v>
      </c>
      <c r="C273" s="11">
        <f>IFERROR(__xludf.DUMMYFUNCTION("""COMPUTED_VALUE"""),72822.0)</f>
        <v>72822</v>
      </c>
      <c r="D273" s="11">
        <f>IFERROR(__xludf.DUMMYFUNCTION("""COMPUTED_VALUE"""),1444.0)</f>
        <v>1444</v>
      </c>
      <c r="E273" s="9"/>
    </row>
    <row r="274">
      <c r="A274" s="11">
        <f>IFERROR(__xludf.DUMMYFUNCTION("""COMPUTED_VALUE"""),2021.0)</f>
        <v>2021</v>
      </c>
      <c r="B274" s="11">
        <f>IFERROR(__xludf.DUMMYFUNCTION("""COMPUTED_VALUE"""),9.0)</f>
        <v>9</v>
      </c>
      <c r="C274" s="11">
        <f>IFERROR(__xludf.DUMMYFUNCTION("""COMPUTED_VALUE"""),122601.0)</f>
        <v>122601</v>
      </c>
      <c r="D274" s="11">
        <f>IFERROR(__xludf.DUMMYFUNCTION("""COMPUTED_VALUE"""),1786.0)</f>
        <v>1786</v>
      </c>
      <c r="E274" s="9"/>
    </row>
    <row r="275">
      <c r="A275" s="11">
        <f>IFERROR(__xludf.DUMMYFUNCTION("""COMPUTED_VALUE"""),2021.0)</f>
        <v>2021</v>
      </c>
      <c r="B275" s="11">
        <f>IFERROR(__xludf.DUMMYFUNCTION("""COMPUTED_VALUE"""),8.0)</f>
        <v>8</v>
      </c>
      <c r="C275" s="11">
        <f>IFERROR(__xludf.DUMMYFUNCTION("""COMPUTED_VALUE"""),106779.0)</f>
        <v>106779</v>
      </c>
      <c r="D275" s="11">
        <f>IFERROR(__xludf.DUMMYFUNCTION("""COMPUTED_VALUE"""),581.0)</f>
        <v>581</v>
      </c>
      <c r="E275" s="9"/>
    </row>
    <row r="276">
      <c r="A276" s="11">
        <f>IFERROR(__xludf.DUMMYFUNCTION("""COMPUTED_VALUE"""),2021.0)</f>
        <v>2021</v>
      </c>
      <c r="B276" s="11">
        <f>IFERROR(__xludf.DUMMYFUNCTION("""COMPUTED_VALUE"""),8.0)</f>
        <v>8</v>
      </c>
      <c r="C276" s="11">
        <f>IFERROR(__xludf.DUMMYFUNCTION("""COMPUTED_VALUE"""),106785.0)</f>
        <v>106785</v>
      </c>
      <c r="D276" s="11">
        <f>IFERROR(__xludf.DUMMYFUNCTION("""COMPUTED_VALUE"""),329.0)</f>
        <v>329</v>
      </c>
      <c r="E276" s="9"/>
    </row>
    <row r="277">
      <c r="A277" s="11">
        <f>IFERROR(__xludf.DUMMYFUNCTION("""COMPUTED_VALUE"""),2021.0)</f>
        <v>2021</v>
      </c>
      <c r="B277" s="11">
        <f>IFERROR(__xludf.DUMMYFUNCTION("""COMPUTED_VALUE"""),9.0)</f>
        <v>9</v>
      </c>
      <c r="C277" s="11">
        <f>IFERROR(__xludf.DUMMYFUNCTION("""COMPUTED_VALUE"""),122602.0)</f>
        <v>122602</v>
      </c>
      <c r="D277" s="11">
        <f>IFERROR(__xludf.DUMMYFUNCTION("""COMPUTED_VALUE"""),668.0)</f>
        <v>668</v>
      </c>
      <c r="E277" s="9"/>
    </row>
    <row r="278">
      <c r="A278" s="11">
        <f>IFERROR(__xludf.DUMMYFUNCTION("""COMPUTED_VALUE"""),2021.0)</f>
        <v>2021</v>
      </c>
      <c r="B278" s="11">
        <f>IFERROR(__xludf.DUMMYFUNCTION("""COMPUTED_VALUE"""),11.0)</f>
        <v>11</v>
      </c>
      <c r="C278" s="11">
        <f>IFERROR(__xludf.DUMMYFUNCTION("""COMPUTED_VALUE"""),45574.0)</f>
        <v>45574</v>
      </c>
      <c r="D278" s="11">
        <f>IFERROR(__xludf.DUMMYFUNCTION("""COMPUTED_VALUE"""),1176.0)</f>
        <v>1176</v>
      </c>
      <c r="E278" s="9"/>
    </row>
    <row r="279">
      <c r="A279" s="11">
        <f>IFERROR(__xludf.DUMMYFUNCTION("""COMPUTED_VALUE"""),2021.0)</f>
        <v>2021</v>
      </c>
      <c r="B279" s="11">
        <f>IFERROR(__xludf.DUMMYFUNCTION("""COMPUTED_VALUE"""),9.0)</f>
        <v>9</v>
      </c>
      <c r="C279" s="11">
        <f>IFERROR(__xludf.DUMMYFUNCTION("""COMPUTED_VALUE"""),80808.0)</f>
        <v>80808</v>
      </c>
      <c r="D279" s="11">
        <f>IFERROR(__xludf.DUMMYFUNCTION("""COMPUTED_VALUE"""),528.0)</f>
        <v>528</v>
      </c>
      <c r="E279" s="9"/>
    </row>
    <row r="280">
      <c r="A280" s="11">
        <f>IFERROR(__xludf.DUMMYFUNCTION("""COMPUTED_VALUE"""),2021.0)</f>
        <v>2021</v>
      </c>
      <c r="B280" s="11">
        <f>IFERROR(__xludf.DUMMYFUNCTION("""COMPUTED_VALUE"""),11.0)</f>
        <v>11</v>
      </c>
      <c r="C280" s="11">
        <f>IFERROR(__xludf.DUMMYFUNCTION("""COMPUTED_VALUE"""),80802.0)</f>
        <v>80802</v>
      </c>
      <c r="D280" s="11">
        <f>IFERROR(__xludf.DUMMYFUNCTION("""COMPUTED_VALUE"""),1552.0)</f>
        <v>1552</v>
      </c>
      <c r="E280" s="9"/>
    </row>
    <row r="281">
      <c r="A281" s="11">
        <f>IFERROR(__xludf.DUMMYFUNCTION("""COMPUTED_VALUE"""),2021.0)</f>
        <v>2021</v>
      </c>
      <c r="B281" s="11">
        <f>IFERROR(__xludf.DUMMYFUNCTION("""COMPUTED_VALUE"""),8.0)</f>
        <v>8</v>
      </c>
      <c r="C281" s="11">
        <f>IFERROR(__xludf.DUMMYFUNCTION("""COMPUTED_VALUE"""),110385.0)</f>
        <v>110385</v>
      </c>
      <c r="D281" s="11">
        <f>IFERROR(__xludf.DUMMYFUNCTION("""COMPUTED_VALUE"""),141.0)</f>
        <v>141</v>
      </c>
      <c r="E281" s="9"/>
    </row>
    <row r="282">
      <c r="A282" s="11">
        <f>IFERROR(__xludf.DUMMYFUNCTION("""COMPUTED_VALUE"""),2021.0)</f>
        <v>2021</v>
      </c>
      <c r="B282" s="11">
        <f>IFERROR(__xludf.DUMMYFUNCTION("""COMPUTED_VALUE"""),10.0)</f>
        <v>10</v>
      </c>
      <c r="C282" s="11">
        <f>IFERROR(__xludf.DUMMYFUNCTION("""COMPUTED_VALUE"""),80633.0)</f>
        <v>80633</v>
      </c>
      <c r="D282" s="11">
        <f>IFERROR(__xludf.DUMMYFUNCTION("""COMPUTED_VALUE"""),1690.0)</f>
        <v>1690</v>
      </c>
      <c r="E282" s="9"/>
    </row>
    <row r="283">
      <c r="A283" s="11">
        <f>IFERROR(__xludf.DUMMYFUNCTION("""COMPUTED_VALUE"""),2021.0)</f>
        <v>2021</v>
      </c>
      <c r="B283" s="11">
        <f>IFERROR(__xludf.DUMMYFUNCTION("""COMPUTED_VALUE"""),8.0)</f>
        <v>8</v>
      </c>
      <c r="C283" s="11">
        <f>IFERROR(__xludf.DUMMYFUNCTION("""COMPUTED_VALUE"""),120700.0)</f>
        <v>120700</v>
      </c>
      <c r="D283" s="11">
        <f>IFERROR(__xludf.DUMMYFUNCTION("""COMPUTED_VALUE"""),1872.0)</f>
        <v>1872</v>
      </c>
      <c r="E283" s="9"/>
    </row>
    <row r="284">
      <c r="A284" s="11">
        <f>IFERROR(__xludf.DUMMYFUNCTION("""COMPUTED_VALUE"""),2021.0)</f>
        <v>2021</v>
      </c>
      <c r="B284" s="11">
        <f>IFERROR(__xludf.DUMMYFUNCTION("""COMPUTED_VALUE"""),8.0)</f>
        <v>8</v>
      </c>
      <c r="C284" s="11">
        <f>IFERROR(__xludf.DUMMYFUNCTION("""COMPUTED_VALUE"""),112853.0)</f>
        <v>112853</v>
      </c>
      <c r="D284" s="11">
        <f>IFERROR(__xludf.DUMMYFUNCTION("""COMPUTED_VALUE"""),1457.0)</f>
        <v>1457</v>
      </c>
      <c r="E284" s="9"/>
    </row>
    <row r="285">
      <c r="A285" s="11">
        <f>IFERROR(__xludf.DUMMYFUNCTION("""COMPUTED_VALUE"""),2021.0)</f>
        <v>2021</v>
      </c>
      <c r="B285" s="11">
        <f>IFERROR(__xludf.DUMMYFUNCTION("""COMPUTED_VALUE"""),9.0)</f>
        <v>9</v>
      </c>
      <c r="C285" s="11">
        <f>IFERROR(__xludf.DUMMYFUNCTION("""COMPUTED_VALUE"""),120699.0)</f>
        <v>120699</v>
      </c>
      <c r="D285" s="11">
        <f>IFERROR(__xludf.DUMMYFUNCTION("""COMPUTED_VALUE"""),779.0)</f>
        <v>779</v>
      </c>
      <c r="E285" s="9"/>
    </row>
    <row r="286">
      <c r="A286" s="11">
        <f>IFERROR(__xludf.DUMMYFUNCTION("""COMPUTED_VALUE"""),2021.0)</f>
        <v>2021</v>
      </c>
      <c r="B286" s="11">
        <f>IFERROR(__xludf.DUMMYFUNCTION("""COMPUTED_VALUE"""),8.0)</f>
        <v>8</v>
      </c>
      <c r="C286" s="11">
        <f>IFERROR(__xludf.DUMMYFUNCTION("""COMPUTED_VALUE"""),20195.0)</f>
        <v>20195</v>
      </c>
      <c r="D286" s="11">
        <f>IFERROR(__xludf.DUMMYFUNCTION("""COMPUTED_VALUE"""),661.0)</f>
        <v>661</v>
      </c>
      <c r="E286" s="9"/>
    </row>
    <row r="287">
      <c r="A287" s="11">
        <f>IFERROR(__xludf.DUMMYFUNCTION("""COMPUTED_VALUE"""),2021.0)</f>
        <v>2021</v>
      </c>
      <c r="B287" s="11">
        <f>IFERROR(__xludf.DUMMYFUNCTION("""COMPUTED_VALUE"""),8.0)</f>
        <v>8</v>
      </c>
      <c r="C287" s="11">
        <f>IFERROR(__xludf.DUMMYFUNCTION("""COMPUTED_VALUE"""),11422.0)</f>
        <v>11422</v>
      </c>
      <c r="D287" s="11">
        <f>IFERROR(__xludf.DUMMYFUNCTION("""COMPUTED_VALUE"""),911.0)</f>
        <v>911</v>
      </c>
      <c r="E287" s="9"/>
    </row>
    <row r="288">
      <c r="A288" s="11">
        <f>IFERROR(__xludf.DUMMYFUNCTION("""COMPUTED_VALUE"""),2021.0)</f>
        <v>2021</v>
      </c>
      <c r="B288" s="11">
        <f>IFERROR(__xludf.DUMMYFUNCTION("""COMPUTED_VALUE"""),11.0)</f>
        <v>11</v>
      </c>
      <c r="C288" s="11">
        <f>IFERROR(__xludf.DUMMYFUNCTION("""COMPUTED_VALUE"""),4492.0)</f>
        <v>4492</v>
      </c>
      <c r="D288" s="11">
        <f>IFERROR(__xludf.DUMMYFUNCTION("""COMPUTED_VALUE"""),1303.0)</f>
        <v>1303</v>
      </c>
      <c r="E288" s="9"/>
    </row>
    <row r="289">
      <c r="A289" s="11">
        <f>IFERROR(__xludf.DUMMYFUNCTION("""COMPUTED_VALUE"""),2021.0)</f>
        <v>2021</v>
      </c>
      <c r="B289" s="11">
        <f>IFERROR(__xludf.DUMMYFUNCTION("""COMPUTED_VALUE"""),10.0)</f>
        <v>10</v>
      </c>
      <c r="C289" s="11">
        <f>IFERROR(__xludf.DUMMYFUNCTION("""COMPUTED_VALUE"""),4560.0)</f>
        <v>4560</v>
      </c>
      <c r="D289" s="11">
        <f>IFERROR(__xludf.DUMMYFUNCTION("""COMPUTED_VALUE"""),1494.0)</f>
        <v>1494</v>
      </c>
      <c r="E289" s="9"/>
    </row>
    <row r="290">
      <c r="A290" s="11">
        <f>IFERROR(__xludf.DUMMYFUNCTION("""COMPUTED_VALUE"""),2021.0)</f>
        <v>2021</v>
      </c>
      <c r="B290" s="11">
        <f>IFERROR(__xludf.DUMMYFUNCTION("""COMPUTED_VALUE"""),11.0)</f>
        <v>11</v>
      </c>
      <c r="C290" s="11">
        <f>IFERROR(__xludf.DUMMYFUNCTION("""COMPUTED_VALUE"""),110383.0)</f>
        <v>110383</v>
      </c>
      <c r="D290" s="11">
        <f>IFERROR(__xludf.DUMMYFUNCTION("""COMPUTED_VALUE"""),1438.0)</f>
        <v>1438</v>
      </c>
      <c r="E290" s="9"/>
    </row>
    <row r="291">
      <c r="A291" s="11">
        <f>IFERROR(__xludf.DUMMYFUNCTION("""COMPUTED_VALUE"""),2021.0)</f>
        <v>2021</v>
      </c>
      <c r="B291" s="11">
        <f>IFERROR(__xludf.DUMMYFUNCTION("""COMPUTED_VALUE"""),10.0)</f>
        <v>10</v>
      </c>
      <c r="C291" s="11">
        <f>IFERROR(__xludf.DUMMYFUNCTION("""COMPUTED_VALUE"""),112850.0)</f>
        <v>112850</v>
      </c>
      <c r="D291" s="11">
        <f>IFERROR(__xludf.DUMMYFUNCTION("""COMPUTED_VALUE"""),368.0)</f>
        <v>368</v>
      </c>
      <c r="E291" s="9"/>
    </row>
    <row r="292">
      <c r="A292" s="11">
        <f>IFERROR(__xludf.DUMMYFUNCTION("""COMPUTED_VALUE"""),2021.0)</f>
        <v>2021</v>
      </c>
      <c r="B292" s="11">
        <f>IFERROR(__xludf.DUMMYFUNCTION("""COMPUTED_VALUE"""),11.0)</f>
        <v>11</v>
      </c>
      <c r="C292" s="11">
        <f>IFERROR(__xludf.DUMMYFUNCTION("""COMPUTED_VALUE"""),120702.0)</f>
        <v>120702</v>
      </c>
      <c r="D292" s="11">
        <f>IFERROR(__xludf.DUMMYFUNCTION("""COMPUTED_VALUE"""),40.0)</f>
        <v>40</v>
      </c>
      <c r="E292" s="9"/>
    </row>
    <row r="293">
      <c r="A293" s="11">
        <f>IFERROR(__xludf.DUMMYFUNCTION("""COMPUTED_VALUE"""),2021.0)</f>
        <v>2021</v>
      </c>
      <c r="B293" s="11">
        <f>IFERROR(__xludf.DUMMYFUNCTION("""COMPUTED_VALUE"""),9.0)</f>
        <v>9</v>
      </c>
      <c r="C293" s="11">
        <f>IFERROR(__xludf.DUMMYFUNCTION("""COMPUTED_VALUE"""),91860.0)</f>
        <v>91860</v>
      </c>
      <c r="D293" s="11">
        <f>IFERROR(__xludf.DUMMYFUNCTION("""COMPUTED_VALUE"""),1710.0)</f>
        <v>1710</v>
      </c>
      <c r="E293" s="9"/>
    </row>
    <row r="294">
      <c r="A294" s="11">
        <f>IFERROR(__xludf.DUMMYFUNCTION("""COMPUTED_VALUE"""),2021.0)</f>
        <v>2021</v>
      </c>
      <c r="B294" s="11">
        <f>IFERROR(__xludf.DUMMYFUNCTION("""COMPUTED_VALUE"""),9.0)</f>
        <v>9</v>
      </c>
      <c r="C294" s="11">
        <f>IFERROR(__xludf.DUMMYFUNCTION("""COMPUTED_VALUE"""),9716.0)</f>
        <v>9716</v>
      </c>
      <c r="D294" s="11">
        <f>IFERROR(__xludf.DUMMYFUNCTION("""COMPUTED_VALUE"""),459.0)</f>
        <v>459</v>
      </c>
      <c r="E294" s="9"/>
    </row>
    <row r="295">
      <c r="A295" s="11">
        <f>IFERROR(__xludf.DUMMYFUNCTION("""COMPUTED_VALUE"""),2021.0)</f>
        <v>2021</v>
      </c>
      <c r="B295" s="11">
        <f>IFERROR(__xludf.DUMMYFUNCTION("""COMPUTED_VALUE"""),8.0)</f>
        <v>8</v>
      </c>
      <c r="C295" s="11">
        <f>IFERROR(__xludf.DUMMYFUNCTION("""COMPUTED_VALUE"""),77135.0)</f>
        <v>77135</v>
      </c>
      <c r="D295" s="11">
        <f>IFERROR(__xludf.DUMMYFUNCTION("""COMPUTED_VALUE"""),1762.0)</f>
        <v>1762</v>
      </c>
      <c r="E295" s="9"/>
    </row>
    <row r="296">
      <c r="A296" s="11">
        <f>IFERROR(__xludf.DUMMYFUNCTION("""COMPUTED_VALUE"""),2021.0)</f>
        <v>2021</v>
      </c>
      <c r="B296" s="11">
        <f>IFERROR(__xludf.DUMMYFUNCTION("""COMPUTED_VALUE"""),8.0)</f>
        <v>8</v>
      </c>
      <c r="C296" s="11">
        <f>IFERROR(__xludf.DUMMYFUNCTION("""COMPUTED_VALUE"""),91857.0)</f>
        <v>91857</v>
      </c>
      <c r="D296" s="11">
        <f>IFERROR(__xludf.DUMMYFUNCTION("""COMPUTED_VALUE"""),1508.0)</f>
        <v>1508</v>
      </c>
      <c r="E296" s="9"/>
    </row>
    <row r="297">
      <c r="A297" s="11">
        <f>IFERROR(__xludf.DUMMYFUNCTION("""COMPUTED_VALUE"""),2021.0)</f>
        <v>2021</v>
      </c>
      <c r="B297" s="11">
        <f>IFERROR(__xludf.DUMMYFUNCTION("""COMPUTED_VALUE"""),8.0)</f>
        <v>8</v>
      </c>
      <c r="C297" s="11">
        <f>IFERROR(__xludf.DUMMYFUNCTION("""COMPUTED_VALUE"""),76429.0)</f>
        <v>76429</v>
      </c>
      <c r="D297" s="11">
        <f>IFERROR(__xludf.DUMMYFUNCTION("""COMPUTED_VALUE"""),1498.0)</f>
        <v>1498</v>
      </c>
      <c r="E297" s="9"/>
    </row>
    <row r="298">
      <c r="A298" s="11">
        <f>IFERROR(__xludf.DUMMYFUNCTION("""COMPUTED_VALUE"""),2021.0)</f>
        <v>2021</v>
      </c>
      <c r="B298" s="11">
        <f>IFERROR(__xludf.DUMMYFUNCTION("""COMPUTED_VALUE"""),8.0)</f>
        <v>8</v>
      </c>
      <c r="C298" s="11">
        <f>IFERROR(__xludf.DUMMYFUNCTION("""COMPUTED_VALUE"""),122507.0)</f>
        <v>122507</v>
      </c>
      <c r="D298" s="11">
        <f>IFERROR(__xludf.DUMMYFUNCTION("""COMPUTED_VALUE"""),346.0)</f>
        <v>346</v>
      </c>
      <c r="E298" s="9"/>
    </row>
    <row r="299">
      <c r="A299" s="11">
        <f>IFERROR(__xludf.DUMMYFUNCTION("""COMPUTED_VALUE"""),2021.0)</f>
        <v>2021</v>
      </c>
      <c r="B299" s="11">
        <f>IFERROR(__xludf.DUMMYFUNCTION("""COMPUTED_VALUE"""),11.0)</f>
        <v>11</v>
      </c>
      <c r="C299" s="11">
        <f>IFERROR(__xludf.DUMMYFUNCTION("""COMPUTED_VALUE"""),77844.0)</f>
        <v>77844</v>
      </c>
      <c r="D299" s="11">
        <f>IFERROR(__xludf.DUMMYFUNCTION("""COMPUTED_VALUE"""),1878.0)</f>
        <v>1878</v>
      </c>
      <c r="E299" s="9"/>
    </row>
    <row r="300">
      <c r="A300" s="11">
        <f>IFERROR(__xludf.DUMMYFUNCTION("""COMPUTED_VALUE"""),2021.0)</f>
        <v>2021</v>
      </c>
      <c r="B300" s="11">
        <f>IFERROR(__xludf.DUMMYFUNCTION("""COMPUTED_VALUE"""),10.0)</f>
        <v>10</v>
      </c>
      <c r="C300" s="11">
        <f>IFERROR(__xludf.DUMMYFUNCTION("""COMPUTED_VALUE"""),100041.0)</f>
        <v>100041</v>
      </c>
      <c r="D300" s="11">
        <f>IFERROR(__xludf.DUMMYFUNCTION("""COMPUTED_VALUE"""),230.0)</f>
        <v>230</v>
      </c>
      <c r="E300" s="9"/>
    </row>
    <row r="301">
      <c r="A301" s="11">
        <f>IFERROR(__xludf.DUMMYFUNCTION("""COMPUTED_VALUE"""),2021.0)</f>
        <v>2021</v>
      </c>
      <c r="B301" s="11">
        <f>IFERROR(__xludf.DUMMYFUNCTION("""COMPUTED_VALUE"""),10.0)</f>
        <v>10</v>
      </c>
      <c r="C301" s="11">
        <f>IFERROR(__xludf.DUMMYFUNCTION("""COMPUTED_VALUE"""),111591.0)</f>
        <v>111591</v>
      </c>
      <c r="D301" s="11">
        <f>IFERROR(__xludf.DUMMYFUNCTION("""COMPUTED_VALUE"""),1172.0)</f>
        <v>1172</v>
      </c>
      <c r="E301" s="9"/>
    </row>
    <row r="302">
      <c r="A302" s="11">
        <f>IFERROR(__xludf.DUMMYFUNCTION("""COMPUTED_VALUE"""),2021.0)</f>
        <v>2021</v>
      </c>
      <c r="B302" s="11">
        <f>IFERROR(__xludf.DUMMYFUNCTION("""COMPUTED_VALUE"""),10.0)</f>
        <v>10</v>
      </c>
      <c r="C302" s="11">
        <f>IFERROR(__xludf.DUMMYFUNCTION("""COMPUTED_VALUE"""),128329.0)</f>
        <v>128329</v>
      </c>
      <c r="D302" s="11">
        <f>IFERROR(__xludf.DUMMYFUNCTION("""COMPUTED_VALUE"""),1798.0)</f>
        <v>1798</v>
      </c>
      <c r="E302" s="9"/>
    </row>
    <row r="303">
      <c r="A303" s="11">
        <f>IFERROR(__xludf.DUMMYFUNCTION("""COMPUTED_VALUE"""),2021.0)</f>
        <v>2021</v>
      </c>
      <c r="B303" s="11">
        <f>IFERROR(__xludf.DUMMYFUNCTION("""COMPUTED_VALUE"""),8.0)</f>
        <v>8</v>
      </c>
      <c r="C303" s="11">
        <f>IFERROR(__xludf.DUMMYFUNCTION("""COMPUTED_VALUE"""),147268.0)</f>
        <v>147268</v>
      </c>
      <c r="D303" s="11">
        <f>IFERROR(__xludf.DUMMYFUNCTION("""COMPUTED_VALUE"""),191.0)</f>
        <v>191</v>
      </c>
      <c r="E303" s="9"/>
    </row>
    <row r="304">
      <c r="A304" s="11">
        <f>IFERROR(__xludf.DUMMYFUNCTION("""COMPUTED_VALUE"""),2021.0)</f>
        <v>2021</v>
      </c>
      <c r="B304" s="11">
        <f>IFERROR(__xludf.DUMMYFUNCTION("""COMPUTED_VALUE"""),8.0)</f>
        <v>8</v>
      </c>
      <c r="C304" s="11">
        <f>IFERROR(__xludf.DUMMYFUNCTION("""COMPUTED_VALUE"""),48511.0)</f>
        <v>48511</v>
      </c>
      <c r="D304" s="11">
        <f>IFERROR(__xludf.DUMMYFUNCTION("""COMPUTED_VALUE"""),1558.0)</f>
        <v>1558</v>
      </c>
      <c r="E304" s="9"/>
    </row>
    <row r="305">
      <c r="A305" s="11">
        <f>IFERROR(__xludf.DUMMYFUNCTION("""COMPUTED_VALUE"""),2021.0)</f>
        <v>2021</v>
      </c>
      <c r="B305" s="11">
        <f>IFERROR(__xludf.DUMMYFUNCTION("""COMPUTED_VALUE"""),9.0)</f>
        <v>9</v>
      </c>
      <c r="C305" s="11">
        <f>IFERROR(__xludf.DUMMYFUNCTION("""COMPUTED_VALUE"""),100040.0)</f>
        <v>100040</v>
      </c>
      <c r="D305" s="11">
        <f>IFERROR(__xludf.DUMMYFUNCTION("""COMPUTED_VALUE"""),622.0)</f>
        <v>622</v>
      </c>
      <c r="E305" s="9"/>
    </row>
    <row r="306">
      <c r="A306" s="11">
        <f>IFERROR(__xludf.DUMMYFUNCTION("""COMPUTED_VALUE"""),2021.0)</f>
        <v>2021</v>
      </c>
      <c r="B306" s="11">
        <f>IFERROR(__xludf.DUMMYFUNCTION("""COMPUTED_VALUE"""),11.0)</f>
        <v>11</v>
      </c>
      <c r="C306" s="11">
        <f>IFERROR(__xludf.DUMMYFUNCTION("""COMPUTED_VALUE"""),79366.0)</f>
        <v>79366</v>
      </c>
      <c r="D306" s="11">
        <f>IFERROR(__xludf.DUMMYFUNCTION("""COMPUTED_VALUE"""),995.0)</f>
        <v>995</v>
      </c>
      <c r="E306" s="9"/>
    </row>
    <row r="307">
      <c r="A307" s="11">
        <f>IFERROR(__xludf.DUMMYFUNCTION("""COMPUTED_VALUE"""),2021.0)</f>
        <v>2021</v>
      </c>
      <c r="B307" s="11">
        <f>IFERROR(__xludf.DUMMYFUNCTION("""COMPUTED_VALUE"""),10.0)</f>
        <v>10</v>
      </c>
      <c r="C307" s="11">
        <f>IFERROR(__xludf.DUMMYFUNCTION("""COMPUTED_VALUE"""),160754.0)</f>
        <v>160754</v>
      </c>
      <c r="D307" s="11">
        <f>IFERROR(__xludf.DUMMYFUNCTION("""COMPUTED_VALUE"""),586.0)</f>
        <v>586</v>
      </c>
      <c r="E307" s="9"/>
    </row>
    <row r="308">
      <c r="A308" s="11">
        <f>IFERROR(__xludf.DUMMYFUNCTION("""COMPUTED_VALUE"""),2021.0)</f>
        <v>2021</v>
      </c>
      <c r="B308" s="11">
        <f>IFERROR(__xludf.DUMMYFUNCTION("""COMPUTED_VALUE"""),11.0)</f>
        <v>11</v>
      </c>
      <c r="C308" s="11">
        <f>IFERROR(__xludf.DUMMYFUNCTION("""COMPUTED_VALUE"""),100038.0)</f>
        <v>100038</v>
      </c>
      <c r="D308" s="11">
        <f>IFERROR(__xludf.DUMMYFUNCTION("""COMPUTED_VALUE"""),1824.0)</f>
        <v>1824</v>
      </c>
      <c r="E308" s="9"/>
    </row>
    <row r="309">
      <c r="A309" s="11">
        <f>IFERROR(__xludf.DUMMYFUNCTION("""COMPUTED_VALUE"""),2021.0)</f>
        <v>2021</v>
      </c>
      <c r="B309" s="11">
        <f>IFERROR(__xludf.DUMMYFUNCTION("""COMPUTED_VALUE"""),10.0)</f>
        <v>10</v>
      </c>
      <c r="C309" s="11">
        <f>IFERROR(__xludf.DUMMYFUNCTION("""COMPUTED_VALUE"""),100035.0)</f>
        <v>100035</v>
      </c>
      <c r="D309" s="11">
        <f>IFERROR(__xludf.DUMMYFUNCTION("""COMPUTED_VALUE"""),821.0)</f>
        <v>821</v>
      </c>
      <c r="E309" s="9"/>
    </row>
    <row r="310">
      <c r="A310" s="11">
        <f>IFERROR(__xludf.DUMMYFUNCTION("""COMPUTED_VALUE"""),2021.0)</f>
        <v>2021</v>
      </c>
      <c r="B310" s="11">
        <f>IFERROR(__xludf.DUMMYFUNCTION("""COMPUTED_VALUE"""),11.0)</f>
        <v>11</v>
      </c>
      <c r="C310" s="11">
        <f>IFERROR(__xludf.DUMMYFUNCTION("""COMPUTED_VALUE"""),29654.0)</f>
        <v>29654</v>
      </c>
      <c r="D310" s="11">
        <f>IFERROR(__xludf.DUMMYFUNCTION("""COMPUTED_VALUE"""),1271.0)</f>
        <v>1271</v>
      </c>
      <c r="E310" s="9"/>
    </row>
    <row r="311">
      <c r="A311" s="11">
        <f>IFERROR(__xludf.DUMMYFUNCTION("""COMPUTED_VALUE"""),2021.0)</f>
        <v>2021</v>
      </c>
      <c r="B311" s="11">
        <f>IFERROR(__xludf.DUMMYFUNCTION("""COMPUTED_VALUE"""),9.0)</f>
        <v>9</v>
      </c>
      <c r="C311" s="11">
        <f>IFERROR(__xludf.DUMMYFUNCTION("""COMPUTED_VALUE"""),107804.0)</f>
        <v>107804</v>
      </c>
      <c r="D311" s="11">
        <f>IFERROR(__xludf.DUMMYFUNCTION("""COMPUTED_VALUE"""),1397.0)</f>
        <v>1397</v>
      </c>
      <c r="E311" s="9"/>
    </row>
    <row r="312">
      <c r="A312" s="11">
        <f>IFERROR(__xludf.DUMMYFUNCTION("""COMPUTED_VALUE"""),2021.0)</f>
        <v>2021</v>
      </c>
      <c r="B312" s="11">
        <f>IFERROR(__xludf.DUMMYFUNCTION("""COMPUTED_VALUE"""),9.0)</f>
        <v>9</v>
      </c>
      <c r="C312" s="11">
        <f>IFERROR(__xludf.DUMMYFUNCTION("""COMPUTED_VALUE"""),75809.0)</f>
        <v>75809</v>
      </c>
      <c r="D312" s="11">
        <f>IFERROR(__xludf.DUMMYFUNCTION("""COMPUTED_VALUE"""),1839.0)</f>
        <v>1839</v>
      </c>
      <c r="E312" s="9"/>
    </row>
    <row r="313">
      <c r="A313" s="11">
        <f>IFERROR(__xludf.DUMMYFUNCTION("""COMPUTED_VALUE"""),2021.0)</f>
        <v>2021</v>
      </c>
      <c r="B313" s="11">
        <f>IFERROR(__xludf.DUMMYFUNCTION("""COMPUTED_VALUE"""),8.0)</f>
        <v>8</v>
      </c>
      <c r="C313" s="11">
        <f>IFERROR(__xludf.DUMMYFUNCTION("""COMPUTED_VALUE"""),128325.0)</f>
        <v>128325</v>
      </c>
      <c r="D313" s="11">
        <f>IFERROR(__xludf.DUMMYFUNCTION("""COMPUTED_VALUE"""),118.0)</f>
        <v>118</v>
      </c>
      <c r="E313" s="9"/>
    </row>
    <row r="314">
      <c r="A314" s="11">
        <f>IFERROR(__xludf.DUMMYFUNCTION("""COMPUTED_VALUE"""),2021.0)</f>
        <v>2021</v>
      </c>
      <c r="B314" s="11">
        <f>IFERROR(__xludf.DUMMYFUNCTION("""COMPUTED_VALUE"""),8.0)</f>
        <v>8</v>
      </c>
      <c r="C314" s="11">
        <f>IFERROR(__xludf.DUMMYFUNCTION("""COMPUTED_VALUE"""),110072.0)</f>
        <v>110072</v>
      </c>
      <c r="D314" s="11">
        <f>IFERROR(__xludf.DUMMYFUNCTION("""COMPUTED_VALUE"""),811.0)</f>
        <v>811</v>
      </c>
      <c r="E314" s="9"/>
    </row>
    <row r="315">
      <c r="A315" s="11">
        <f>IFERROR(__xludf.DUMMYFUNCTION("""COMPUTED_VALUE"""),2021.0)</f>
        <v>2021</v>
      </c>
      <c r="B315" s="11">
        <f>IFERROR(__xludf.DUMMYFUNCTION("""COMPUTED_VALUE"""),8.0)</f>
        <v>8</v>
      </c>
      <c r="C315" s="11">
        <f>IFERROR(__xludf.DUMMYFUNCTION("""COMPUTED_VALUE"""),93814.0)</f>
        <v>93814</v>
      </c>
      <c r="D315" s="11">
        <f>IFERROR(__xludf.DUMMYFUNCTION("""COMPUTED_VALUE"""),741.0)</f>
        <v>741</v>
      </c>
      <c r="E315" s="9"/>
    </row>
    <row r="316">
      <c r="A316" s="11">
        <f>IFERROR(__xludf.DUMMYFUNCTION("""COMPUTED_VALUE"""),2021.0)</f>
        <v>2021</v>
      </c>
      <c r="B316" s="11">
        <f>IFERROR(__xludf.DUMMYFUNCTION("""COMPUTED_VALUE"""),10.0)</f>
        <v>10</v>
      </c>
      <c r="C316" s="11">
        <f>IFERROR(__xludf.DUMMYFUNCTION("""COMPUTED_VALUE"""),128326.0)</f>
        <v>128326</v>
      </c>
      <c r="D316" s="11">
        <f>IFERROR(__xludf.DUMMYFUNCTION("""COMPUTED_VALUE"""),1512.0)</f>
        <v>1512</v>
      </c>
      <c r="E316" s="9"/>
    </row>
    <row r="317">
      <c r="A317" s="11">
        <f>IFERROR(__xludf.DUMMYFUNCTION("""COMPUTED_VALUE"""),2021.0)</f>
        <v>2021</v>
      </c>
      <c r="B317" s="11">
        <f>IFERROR(__xludf.DUMMYFUNCTION("""COMPUTED_VALUE"""),11.0)</f>
        <v>11</v>
      </c>
      <c r="C317" s="11">
        <f>IFERROR(__xludf.DUMMYFUNCTION("""COMPUTED_VALUE"""),48510.0)</f>
        <v>48510</v>
      </c>
      <c r="D317" s="11">
        <f>IFERROR(__xludf.DUMMYFUNCTION("""COMPUTED_VALUE"""),1330.0)</f>
        <v>1330</v>
      </c>
      <c r="E317" s="9"/>
    </row>
    <row r="318">
      <c r="A318" s="11">
        <f>IFERROR(__xludf.DUMMYFUNCTION("""COMPUTED_VALUE"""),2021.0)</f>
        <v>2021</v>
      </c>
      <c r="B318" s="11">
        <f>IFERROR(__xludf.DUMMYFUNCTION("""COMPUTED_VALUE"""),8.0)</f>
        <v>8</v>
      </c>
      <c r="C318" s="11">
        <f>IFERROR(__xludf.DUMMYFUNCTION("""COMPUTED_VALUE"""),82463.0)</f>
        <v>82463</v>
      </c>
      <c r="D318" s="11">
        <f>IFERROR(__xludf.DUMMYFUNCTION("""COMPUTED_VALUE"""),776.0)</f>
        <v>776</v>
      </c>
      <c r="E318" s="9"/>
    </row>
    <row r="319">
      <c r="A319" s="11">
        <f>IFERROR(__xludf.DUMMYFUNCTION("""COMPUTED_VALUE"""),2021.0)</f>
        <v>2021</v>
      </c>
      <c r="B319" s="11">
        <f>IFERROR(__xludf.DUMMYFUNCTION("""COMPUTED_VALUE"""),11.0)</f>
        <v>11</v>
      </c>
      <c r="C319" s="11">
        <f>IFERROR(__xludf.DUMMYFUNCTION("""COMPUTED_VALUE"""),82462.0)</f>
        <v>82462</v>
      </c>
      <c r="D319" s="11">
        <f>IFERROR(__xludf.DUMMYFUNCTION("""COMPUTED_VALUE"""),1512.0)</f>
        <v>1512</v>
      </c>
      <c r="E319" s="9"/>
    </row>
    <row r="320">
      <c r="A320" s="11">
        <f>IFERROR(__xludf.DUMMYFUNCTION("""COMPUTED_VALUE"""),2021.0)</f>
        <v>2021</v>
      </c>
      <c r="B320" s="11">
        <f>IFERROR(__xludf.DUMMYFUNCTION("""COMPUTED_VALUE"""),10.0)</f>
        <v>10</v>
      </c>
      <c r="C320" s="11">
        <f>IFERROR(__xludf.DUMMYFUNCTION("""COMPUTED_VALUE"""),110635.0)</f>
        <v>110635</v>
      </c>
      <c r="D320" s="11">
        <f>IFERROR(__xludf.DUMMYFUNCTION("""COMPUTED_VALUE"""),1045.0)</f>
        <v>1045</v>
      </c>
      <c r="E320" s="9"/>
    </row>
    <row r="321">
      <c r="A321" s="11">
        <f>IFERROR(__xludf.DUMMYFUNCTION("""COMPUTED_VALUE"""),2021.0)</f>
        <v>2021</v>
      </c>
      <c r="B321" s="11">
        <f>IFERROR(__xludf.DUMMYFUNCTION("""COMPUTED_VALUE"""),11.0)</f>
        <v>11</v>
      </c>
      <c r="C321" s="11">
        <f>IFERROR(__xludf.DUMMYFUNCTION("""COMPUTED_VALUE"""),82464.0)</f>
        <v>82464</v>
      </c>
      <c r="D321" s="11">
        <f>IFERROR(__xludf.DUMMYFUNCTION("""COMPUTED_VALUE"""),136.0)</f>
        <v>136</v>
      </c>
      <c r="E321" s="9"/>
    </row>
    <row r="322">
      <c r="A322" s="11">
        <f>IFERROR(__xludf.DUMMYFUNCTION("""COMPUTED_VALUE"""),2021.0)</f>
        <v>2021</v>
      </c>
      <c r="B322" s="11">
        <f>IFERROR(__xludf.DUMMYFUNCTION("""COMPUTED_VALUE"""),8.0)</f>
        <v>8</v>
      </c>
      <c r="C322" s="11">
        <f>IFERROR(__xludf.DUMMYFUNCTION("""COMPUTED_VALUE"""),129133.0)</f>
        <v>129133</v>
      </c>
      <c r="D322" s="11">
        <f>IFERROR(__xludf.DUMMYFUNCTION("""COMPUTED_VALUE"""),507.0)</f>
        <v>507</v>
      </c>
      <c r="E322" s="9"/>
    </row>
    <row r="323">
      <c r="A323" s="11">
        <f>IFERROR(__xludf.DUMMYFUNCTION("""COMPUTED_VALUE"""),2021.0)</f>
        <v>2021</v>
      </c>
      <c r="B323" s="11">
        <f>IFERROR(__xludf.DUMMYFUNCTION("""COMPUTED_VALUE"""),9.0)</f>
        <v>9</v>
      </c>
      <c r="C323" s="11">
        <f>IFERROR(__xludf.DUMMYFUNCTION("""COMPUTED_VALUE"""),195081.0)</f>
        <v>195081</v>
      </c>
      <c r="D323" s="11">
        <f>IFERROR(__xludf.DUMMYFUNCTION("""COMPUTED_VALUE"""),1614.0)</f>
        <v>1614</v>
      </c>
      <c r="E323" s="9"/>
    </row>
    <row r="324">
      <c r="A324" s="11">
        <f>IFERROR(__xludf.DUMMYFUNCTION("""COMPUTED_VALUE"""),2021.0)</f>
        <v>2021</v>
      </c>
      <c r="B324" s="11">
        <f>IFERROR(__xludf.DUMMYFUNCTION("""COMPUTED_VALUE"""),9.0)</f>
        <v>9</v>
      </c>
      <c r="C324" s="11">
        <f>IFERROR(__xludf.DUMMYFUNCTION("""COMPUTED_VALUE"""),92669.0)</f>
        <v>92669</v>
      </c>
      <c r="D324" s="11">
        <f>IFERROR(__xludf.DUMMYFUNCTION("""COMPUTED_VALUE"""),1389.0)</f>
        <v>1389</v>
      </c>
      <c r="E324" s="9"/>
    </row>
    <row r="325">
      <c r="A325" s="11">
        <f>IFERROR(__xludf.DUMMYFUNCTION("""COMPUTED_VALUE"""),2021.0)</f>
        <v>2021</v>
      </c>
      <c r="B325" s="11">
        <f>IFERROR(__xludf.DUMMYFUNCTION("""COMPUTED_VALUE"""),8.0)</f>
        <v>8</v>
      </c>
      <c r="C325" s="11">
        <f>IFERROR(__xludf.DUMMYFUNCTION("""COMPUTED_VALUE"""),122089.0)</f>
        <v>122089</v>
      </c>
      <c r="D325" s="11">
        <f>IFERROR(__xludf.DUMMYFUNCTION("""COMPUTED_VALUE"""),1265.0)</f>
        <v>1265</v>
      </c>
      <c r="E325" s="9"/>
    </row>
    <row r="326">
      <c r="A326" s="11">
        <f>IFERROR(__xludf.DUMMYFUNCTION("""COMPUTED_VALUE"""),2021.0)</f>
        <v>2021</v>
      </c>
      <c r="B326" s="11">
        <f>IFERROR(__xludf.DUMMYFUNCTION("""COMPUTED_VALUE"""),11.0)</f>
        <v>11</v>
      </c>
      <c r="C326" s="11">
        <f>IFERROR(__xludf.DUMMYFUNCTION("""COMPUTED_VALUE"""),95927.0)</f>
        <v>95927</v>
      </c>
      <c r="D326" s="11">
        <f>IFERROR(__xludf.DUMMYFUNCTION("""COMPUTED_VALUE"""),306.0)</f>
        <v>306</v>
      </c>
      <c r="E326" s="9"/>
    </row>
    <row r="327">
      <c r="A327" s="11">
        <f>IFERROR(__xludf.DUMMYFUNCTION("""COMPUTED_VALUE"""),2021.0)</f>
        <v>2021</v>
      </c>
      <c r="B327" s="11">
        <f>IFERROR(__xludf.DUMMYFUNCTION("""COMPUTED_VALUE"""),9.0)</f>
        <v>9</v>
      </c>
      <c r="C327" s="11">
        <f>IFERROR(__xludf.DUMMYFUNCTION("""COMPUTED_VALUE"""),160756.0)</f>
        <v>160756</v>
      </c>
      <c r="D327" s="11">
        <f>IFERROR(__xludf.DUMMYFUNCTION("""COMPUTED_VALUE"""),249.0)</f>
        <v>249</v>
      </c>
      <c r="E327" s="9"/>
    </row>
    <row r="328">
      <c r="A328" s="11">
        <f>IFERROR(__xludf.DUMMYFUNCTION("""COMPUTED_VALUE"""),2021.0)</f>
        <v>2021</v>
      </c>
      <c r="B328" s="11">
        <f>IFERROR(__xludf.DUMMYFUNCTION("""COMPUTED_VALUE"""),9.0)</f>
        <v>9</v>
      </c>
      <c r="C328" s="11">
        <f>IFERROR(__xludf.DUMMYFUNCTION("""COMPUTED_VALUE"""),147267.0)</f>
        <v>147267</v>
      </c>
      <c r="D328" s="11">
        <f>IFERROR(__xludf.DUMMYFUNCTION("""COMPUTED_VALUE"""),421.0)</f>
        <v>421</v>
      </c>
      <c r="E328" s="9"/>
    </row>
    <row r="329">
      <c r="A329" s="11">
        <f>IFERROR(__xludf.DUMMYFUNCTION("""COMPUTED_VALUE"""),2021.0)</f>
        <v>2021</v>
      </c>
      <c r="B329" s="11">
        <f>IFERROR(__xludf.DUMMYFUNCTION("""COMPUTED_VALUE"""),11.0)</f>
        <v>11</v>
      </c>
      <c r="C329" s="11">
        <f>IFERROR(__xludf.DUMMYFUNCTION("""COMPUTED_VALUE"""),160747.0)</f>
        <v>160747</v>
      </c>
      <c r="D329" s="11">
        <f>IFERROR(__xludf.DUMMYFUNCTION("""COMPUTED_VALUE"""),340.0)</f>
        <v>340</v>
      </c>
      <c r="E329" s="9"/>
    </row>
    <row r="330">
      <c r="A330" s="11">
        <f>IFERROR(__xludf.DUMMYFUNCTION("""COMPUTED_VALUE"""),2021.0)</f>
        <v>2021</v>
      </c>
      <c r="B330" s="11">
        <f>IFERROR(__xludf.DUMMYFUNCTION("""COMPUTED_VALUE"""),8.0)</f>
        <v>8</v>
      </c>
      <c r="C330" s="11">
        <f>IFERROR(__xludf.DUMMYFUNCTION("""COMPUTED_VALUE"""),79365.0)</f>
        <v>79365</v>
      </c>
      <c r="D330" s="11">
        <f>IFERROR(__xludf.DUMMYFUNCTION("""COMPUTED_VALUE"""),240.0)</f>
        <v>240</v>
      </c>
      <c r="E330" s="9"/>
    </row>
    <row r="331">
      <c r="A331" s="11">
        <f>IFERROR(__xludf.DUMMYFUNCTION("""COMPUTED_VALUE"""),2021.0)</f>
        <v>2021</v>
      </c>
      <c r="B331" s="11">
        <f>IFERROR(__xludf.DUMMYFUNCTION("""COMPUTED_VALUE"""),11.0)</f>
        <v>11</v>
      </c>
      <c r="C331" s="11">
        <f>IFERROR(__xludf.DUMMYFUNCTION("""COMPUTED_VALUE"""),110633.0)</f>
        <v>110633</v>
      </c>
      <c r="D331" s="11">
        <f>IFERROR(__xludf.DUMMYFUNCTION("""COMPUTED_VALUE"""),972.0)</f>
        <v>972</v>
      </c>
      <c r="E331" s="9"/>
    </row>
    <row r="332">
      <c r="A332" s="11">
        <f>IFERROR(__xludf.DUMMYFUNCTION("""COMPUTED_VALUE"""),2021.0)</f>
        <v>2021</v>
      </c>
      <c r="B332" s="11">
        <f>IFERROR(__xludf.DUMMYFUNCTION("""COMPUTED_VALUE"""),8.0)</f>
        <v>8</v>
      </c>
      <c r="C332" s="11">
        <f>IFERROR(__xludf.DUMMYFUNCTION("""COMPUTED_VALUE"""),160750.0)</f>
        <v>160750</v>
      </c>
      <c r="D332" s="11">
        <f>IFERROR(__xludf.DUMMYFUNCTION("""COMPUTED_VALUE"""),130.0)</f>
        <v>130</v>
      </c>
      <c r="E332" s="9"/>
    </row>
    <row r="333">
      <c r="A333" s="11">
        <f>IFERROR(__xludf.DUMMYFUNCTION("""COMPUTED_VALUE"""),2021.0)</f>
        <v>2021</v>
      </c>
      <c r="B333" s="11">
        <f>IFERROR(__xludf.DUMMYFUNCTION("""COMPUTED_VALUE"""),8.0)</f>
        <v>8</v>
      </c>
      <c r="C333" s="11">
        <f>IFERROR(__xludf.DUMMYFUNCTION("""COMPUTED_VALUE"""),128332.0)</f>
        <v>128332</v>
      </c>
      <c r="D333" s="11">
        <f>IFERROR(__xludf.DUMMYFUNCTION("""COMPUTED_VALUE"""),1715.0)</f>
        <v>1715</v>
      </c>
      <c r="E333" s="9"/>
    </row>
    <row r="334">
      <c r="A334" s="11">
        <f>IFERROR(__xludf.DUMMYFUNCTION("""COMPUTED_VALUE"""),2021.0)</f>
        <v>2021</v>
      </c>
      <c r="B334" s="11">
        <f>IFERROR(__xludf.DUMMYFUNCTION("""COMPUTED_VALUE"""),9.0)</f>
        <v>9</v>
      </c>
      <c r="C334" s="11">
        <f>IFERROR(__xludf.DUMMYFUNCTION("""COMPUTED_VALUE"""),200354.0)</f>
        <v>200354</v>
      </c>
      <c r="D334" s="11">
        <f>IFERROR(__xludf.DUMMYFUNCTION("""COMPUTED_VALUE"""),624.0)</f>
        <v>624</v>
      </c>
      <c r="E334" s="9"/>
    </row>
    <row r="335">
      <c r="A335" s="11">
        <f>IFERROR(__xludf.DUMMYFUNCTION("""COMPUTED_VALUE"""),2021.0)</f>
        <v>2021</v>
      </c>
      <c r="B335" s="11">
        <f>IFERROR(__xludf.DUMMYFUNCTION("""COMPUTED_VALUE"""),9.0)</f>
        <v>9</v>
      </c>
      <c r="C335" s="11">
        <f>IFERROR(__xludf.DUMMYFUNCTION("""COMPUTED_VALUE"""),100042.0)</f>
        <v>100042</v>
      </c>
      <c r="D335" s="11">
        <f>IFERROR(__xludf.DUMMYFUNCTION("""COMPUTED_VALUE"""),1777.0)</f>
        <v>1777</v>
      </c>
      <c r="E335" s="9"/>
    </row>
    <row r="336">
      <c r="A336" s="11">
        <f>IFERROR(__xludf.DUMMYFUNCTION("""COMPUTED_VALUE"""),2021.0)</f>
        <v>2021</v>
      </c>
      <c r="B336" s="11">
        <f>IFERROR(__xludf.DUMMYFUNCTION("""COMPUTED_VALUE"""),10.0)</f>
        <v>10</v>
      </c>
      <c r="C336" s="11">
        <f>IFERROR(__xludf.DUMMYFUNCTION("""COMPUTED_VALUE"""),122446.0)</f>
        <v>122446</v>
      </c>
      <c r="D336" s="11">
        <f>IFERROR(__xludf.DUMMYFUNCTION("""COMPUTED_VALUE"""),1342.0)</f>
        <v>1342</v>
      </c>
      <c r="E336" s="9"/>
    </row>
    <row r="337">
      <c r="A337" s="11">
        <f>IFERROR(__xludf.DUMMYFUNCTION("""COMPUTED_VALUE"""),2021.0)</f>
        <v>2021</v>
      </c>
      <c r="B337" s="11">
        <f>IFERROR(__xludf.DUMMYFUNCTION("""COMPUTED_VALUE"""),8.0)</f>
        <v>8</v>
      </c>
      <c r="C337" s="11">
        <f>IFERROR(__xludf.DUMMYFUNCTION("""COMPUTED_VALUE"""),160761.0)</f>
        <v>160761</v>
      </c>
      <c r="D337" s="11">
        <f>IFERROR(__xludf.DUMMYFUNCTION("""COMPUTED_VALUE"""),330.0)</f>
        <v>330</v>
      </c>
      <c r="E337" s="9"/>
    </row>
    <row r="338">
      <c r="A338" s="11">
        <f>IFERROR(__xludf.DUMMYFUNCTION("""COMPUTED_VALUE"""),2021.0)</f>
        <v>2021</v>
      </c>
      <c r="B338" s="11">
        <f>IFERROR(__xludf.DUMMYFUNCTION("""COMPUTED_VALUE"""),11.0)</f>
        <v>11</v>
      </c>
      <c r="C338" s="11">
        <f>IFERROR(__xludf.DUMMYFUNCTION("""COMPUTED_VALUE"""),89503.0)</f>
        <v>89503</v>
      </c>
      <c r="D338" s="11">
        <f>IFERROR(__xludf.DUMMYFUNCTION("""COMPUTED_VALUE"""),1939.0)</f>
        <v>1939</v>
      </c>
      <c r="E338" s="9"/>
    </row>
    <row r="339">
      <c r="A339" s="11">
        <f>IFERROR(__xludf.DUMMYFUNCTION("""COMPUTED_VALUE"""),2021.0)</f>
        <v>2021</v>
      </c>
      <c r="B339" s="11">
        <f>IFERROR(__xludf.DUMMYFUNCTION("""COMPUTED_VALUE"""),10.0)</f>
        <v>10</v>
      </c>
      <c r="C339" s="11">
        <f>IFERROR(__xludf.DUMMYFUNCTION("""COMPUTED_VALUE"""),160744.0)</f>
        <v>160744</v>
      </c>
      <c r="D339" s="11">
        <f>IFERROR(__xludf.DUMMYFUNCTION("""COMPUTED_VALUE"""),246.0)</f>
        <v>246</v>
      </c>
      <c r="E339" s="9"/>
    </row>
    <row r="340">
      <c r="A340" s="11">
        <f>IFERROR(__xludf.DUMMYFUNCTION("""COMPUTED_VALUE"""),2021.0)</f>
        <v>2021</v>
      </c>
      <c r="B340" s="11">
        <f>IFERROR(__xludf.DUMMYFUNCTION("""COMPUTED_VALUE"""),10.0)</f>
        <v>10</v>
      </c>
      <c r="C340" s="11">
        <f>IFERROR(__xludf.DUMMYFUNCTION("""COMPUTED_VALUE"""),111590.0)</f>
        <v>111590</v>
      </c>
      <c r="D340" s="11">
        <f>IFERROR(__xludf.DUMMYFUNCTION("""COMPUTED_VALUE"""),1561.0)</f>
        <v>1561</v>
      </c>
      <c r="E340" s="9"/>
    </row>
    <row r="341">
      <c r="A341" s="11">
        <f>IFERROR(__xludf.DUMMYFUNCTION("""COMPUTED_VALUE"""),2021.0)</f>
        <v>2021</v>
      </c>
      <c r="B341" s="11">
        <f>IFERROR(__xludf.DUMMYFUNCTION("""COMPUTED_VALUE"""),9.0)</f>
        <v>9</v>
      </c>
      <c r="C341" s="11">
        <f>IFERROR(__xludf.DUMMYFUNCTION("""COMPUTED_VALUE"""),110070.0)</f>
        <v>110070</v>
      </c>
      <c r="D341" s="11">
        <f>IFERROR(__xludf.DUMMYFUNCTION("""COMPUTED_VALUE"""),1440.0)</f>
        <v>1440</v>
      </c>
      <c r="E341" s="9"/>
    </row>
    <row r="342">
      <c r="A342" s="11">
        <f>IFERROR(__xludf.DUMMYFUNCTION("""COMPUTED_VALUE"""),2021.0)</f>
        <v>2021</v>
      </c>
      <c r="B342" s="11">
        <f>IFERROR(__xludf.DUMMYFUNCTION("""COMPUTED_VALUE"""),9.0)</f>
        <v>9</v>
      </c>
      <c r="C342" s="11">
        <f>IFERROR(__xludf.DUMMYFUNCTION("""COMPUTED_VALUE"""),101005.0)</f>
        <v>101005</v>
      </c>
      <c r="D342" s="11">
        <f>IFERROR(__xludf.DUMMYFUNCTION("""COMPUTED_VALUE"""),149.0)</f>
        <v>149</v>
      </c>
      <c r="E342" s="9"/>
    </row>
    <row r="343">
      <c r="A343" s="11">
        <f>IFERROR(__xludf.DUMMYFUNCTION("""COMPUTED_VALUE"""),2021.0)</f>
        <v>2021</v>
      </c>
      <c r="B343" s="11">
        <f>IFERROR(__xludf.DUMMYFUNCTION("""COMPUTED_VALUE"""),10.0)</f>
        <v>10</v>
      </c>
      <c r="C343" s="11">
        <f>IFERROR(__xludf.DUMMYFUNCTION("""COMPUTED_VALUE"""),160745.0)</f>
        <v>160745</v>
      </c>
      <c r="D343" s="11">
        <f>IFERROR(__xludf.DUMMYFUNCTION("""COMPUTED_VALUE"""),10.0)</f>
        <v>10</v>
      </c>
      <c r="E343" s="9"/>
    </row>
    <row r="344">
      <c r="A344" s="11">
        <f>IFERROR(__xludf.DUMMYFUNCTION("""COMPUTED_VALUE"""),2021.0)</f>
        <v>2021</v>
      </c>
      <c r="B344" s="11">
        <f>IFERROR(__xludf.DUMMYFUNCTION("""COMPUTED_VALUE"""),11.0)</f>
        <v>11</v>
      </c>
      <c r="C344" s="11">
        <f>IFERROR(__xludf.DUMMYFUNCTION("""COMPUTED_VALUE"""),23073.0)</f>
        <v>23073</v>
      </c>
      <c r="D344" s="11">
        <f>IFERROR(__xludf.DUMMYFUNCTION("""COMPUTED_VALUE"""),827.0)</f>
        <v>827</v>
      </c>
      <c r="E344" s="9"/>
    </row>
    <row r="345">
      <c r="A345" s="11">
        <f>IFERROR(__xludf.DUMMYFUNCTION("""COMPUTED_VALUE"""),2021.0)</f>
        <v>2021</v>
      </c>
      <c r="B345" s="11">
        <f>IFERROR(__xludf.DUMMYFUNCTION("""COMPUTED_VALUE"""),9.0)</f>
        <v>9</v>
      </c>
      <c r="C345" s="11">
        <f>IFERROR(__xludf.DUMMYFUNCTION("""COMPUTED_VALUE"""),70064.0)</f>
        <v>70064</v>
      </c>
      <c r="D345" s="11">
        <f>IFERROR(__xludf.DUMMYFUNCTION("""COMPUTED_VALUE"""),1531.0)</f>
        <v>1531</v>
      </c>
      <c r="E345" s="9"/>
    </row>
    <row r="346">
      <c r="A346" s="11">
        <f>IFERROR(__xludf.DUMMYFUNCTION("""COMPUTED_VALUE"""),2021.0)</f>
        <v>2021</v>
      </c>
      <c r="B346" s="11">
        <f>IFERROR(__xludf.DUMMYFUNCTION("""COMPUTED_VALUE"""),10.0)</f>
        <v>10</v>
      </c>
      <c r="C346" s="11">
        <f>IFERROR(__xludf.DUMMYFUNCTION("""COMPUTED_VALUE"""),129135.0)</f>
        <v>129135</v>
      </c>
      <c r="D346" s="11">
        <f>IFERROR(__xludf.DUMMYFUNCTION("""COMPUTED_VALUE"""),1378.0)</f>
        <v>1378</v>
      </c>
      <c r="E346" s="9"/>
    </row>
    <row r="347">
      <c r="A347" s="11">
        <f>IFERROR(__xludf.DUMMYFUNCTION("""COMPUTED_VALUE"""),2021.0)</f>
        <v>2021</v>
      </c>
      <c r="B347" s="11">
        <f>IFERROR(__xludf.DUMMYFUNCTION("""COMPUTED_VALUE"""),10.0)</f>
        <v>10</v>
      </c>
      <c r="C347" s="11">
        <f>IFERROR(__xludf.DUMMYFUNCTION("""COMPUTED_VALUE"""),104440.0)</f>
        <v>104440</v>
      </c>
      <c r="D347" s="11">
        <f>IFERROR(__xludf.DUMMYFUNCTION("""COMPUTED_VALUE"""),969.0)</f>
        <v>969</v>
      </c>
      <c r="E347" s="9"/>
    </row>
    <row r="348">
      <c r="A348" s="11">
        <f>IFERROR(__xludf.DUMMYFUNCTION("""COMPUTED_VALUE"""),2021.0)</f>
        <v>2021</v>
      </c>
      <c r="B348" s="11">
        <f>IFERROR(__xludf.DUMMYFUNCTION("""COMPUTED_VALUE"""),8.0)</f>
        <v>8</v>
      </c>
      <c r="C348" s="11">
        <f>IFERROR(__xludf.DUMMYFUNCTION("""COMPUTED_VALUE"""),70063.0)</f>
        <v>70063</v>
      </c>
      <c r="D348" s="11">
        <f>IFERROR(__xludf.DUMMYFUNCTION("""COMPUTED_VALUE"""),1310.0)</f>
        <v>1310</v>
      </c>
      <c r="E348" s="9"/>
    </row>
    <row r="349">
      <c r="A349" s="11">
        <f>IFERROR(__xludf.DUMMYFUNCTION("""COMPUTED_VALUE"""),2021.0)</f>
        <v>2021</v>
      </c>
      <c r="B349" s="11">
        <f>IFERROR(__xludf.DUMMYFUNCTION("""COMPUTED_VALUE"""),10.0)</f>
        <v>10</v>
      </c>
      <c r="C349" s="11">
        <f>IFERROR(__xludf.DUMMYFUNCTION("""COMPUTED_VALUE"""),160748.0)</f>
        <v>160748</v>
      </c>
      <c r="D349" s="11">
        <f>IFERROR(__xludf.DUMMYFUNCTION("""COMPUTED_VALUE"""),1165.0)</f>
        <v>1165</v>
      </c>
      <c r="E349" s="9"/>
    </row>
    <row r="350">
      <c r="A350" s="11">
        <f>IFERROR(__xludf.DUMMYFUNCTION("""COMPUTED_VALUE"""),2021.0)</f>
        <v>2021</v>
      </c>
      <c r="B350" s="11">
        <f>IFERROR(__xludf.DUMMYFUNCTION("""COMPUTED_VALUE"""),11.0)</f>
        <v>11</v>
      </c>
      <c r="C350" s="11">
        <f>IFERROR(__xludf.DUMMYFUNCTION("""COMPUTED_VALUE"""),181242.0)</f>
        <v>181242</v>
      </c>
      <c r="D350" s="11">
        <f>IFERROR(__xludf.DUMMYFUNCTION("""COMPUTED_VALUE"""),317.0)</f>
        <v>317</v>
      </c>
      <c r="E350" s="9"/>
    </row>
    <row r="351">
      <c r="A351" s="11">
        <f>IFERROR(__xludf.DUMMYFUNCTION("""COMPUTED_VALUE"""),2021.0)</f>
        <v>2021</v>
      </c>
      <c r="B351" s="11">
        <f>IFERROR(__xludf.DUMMYFUNCTION("""COMPUTED_VALUE"""),11.0)</f>
        <v>11</v>
      </c>
      <c r="C351" s="11">
        <f>IFERROR(__xludf.DUMMYFUNCTION("""COMPUTED_VALUE"""),200323.0)</f>
        <v>200323</v>
      </c>
      <c r="D351" s="11">
        <f>IFERROR(__xludf.DUMMYFUNCTION("""COMPUTED_VALUE"""),1836.0)</f>
        <v>1836</v>
      </c>
      <c r="E351" s="9"/>
    </row>
    <row r="352">
      <c r="A352" s="11">
        <f>IFERROR(__xludf.DUMMYFUNCTION("""COMPUTED_VALUE"""),2021.0)</f>
        <v>2021</v>
      </c>
      <c r="B352" s="11">
        <f>IFERROR(__xludf.DUMMYFUNCTION("""COMPUTED_VALUE"""),9.0)</f>
        <v>9</v>
      </c>
      <c r="C352" s="11">
        <f>IFERROR(__xludf.DUMMYFUNCTION("""COMPUTED_VALUE"""),129132.0)</f>
        <v>129132</v>
      </c>
      <c r="D352" s="11">
        <f>IFERROR(__xludf.DUMMYFUNCTION("""COMPUTED_VALUE"""),1790.0)</f>
        <v>1790</v>
      </c>
      <c r="E352" s="9"/>
    </row>
    <row r="353">
      <c r="A353" s="11">
        <f>IFERROR(__xludf.DUMMYFUNCTION("""COMPUTED_VALUE"""),2021.0)</f>
        <v>2021</v>
      </c>
      <c r="B353" s="11">
        <f>IFERROR(__xludf.DUMMYFUNCTION("""COMPUTED_VALUE"""),10.0)</f>
        <v>10</v>
      </c>
      <c r="C353" s="11">
        <f>IFERROR(__xludf.DUMMYFUNCTION("""COMPUTED_VALUE"""),160743.0)</f>
        <v>160743</v>
      </c>
      <c r="D353" s="11">
        <f>IFERROR(__xludf.DUMMYFUNCTION("""COMPUTED_VALUE"""),1000.0)</f>
        <v>1000</v>
      </c>
      <c r="E353" s="9"/>
    </row>
    <row r="354">
      <c r="A354" s="11">
        <f>IFERROR(__xludf.DUMMYFUNCTION("""COMPUTED_VALUE"""),2021.0)</f>
        <v>2021</v>
      </c>
      <c r="B354" s="11">
        <f>IFERROR(__xludf.DUMMYFUNCTION("""COMPUTED_VALUE"""),10.0)</f>
        <v>10</v>
      </c>
      <c r="C354" s="11">
        <f>IFERROR(__xludf.DUMMYFUNCTION("""COMPUTED_VALUE"""),89610.0)</f>
        <v>89610</v>
      </c>
      <c r="D354" s="11">
        <f>IFERROR(__xludf.DUMMYFUNCTION("""COMPUTED_VALUE"""),1200.0)</f>
        <v>1200</v>
      </c>
      <c r="E354" s="9"/>
    </row>
    <row r="355">
      <c r="A355" s="11">
        <f>IFERROR(__xludf.DUMMYFUNCTION("""COMPUTED_VALUE"""),2021.0)</f>
        <v>2021</v>
      </c>
      <c r="B355" s="11">
        <f>IFERROR(__xludf.DUMMYFUNCTION("""COMPUTED_VALUE"""),9.0)</f>
        <v>9</v>
      </c>
      <c r="C355" s="11">
        <f>IFERROR(__xludf.DUMMYFUNCTION("""COMPUTED_VALUE"""),112113.0)</f>
        <v>112113</v>
      </c>
      <c r="D355" s="11">
        <f>IFERROR(__xludf.DUMMYFUNCTION("""COMPUTED_VALUE"""),162.0)</f>
        <v>162</v>
      </c>
      <c r="E355" s="9"/>
    </row>
    <row r="356">
      <c r="A356" s="11">
        <f>IFERROR(__xludf.DUMMYFUNCTION("""COMPUTED_VALUE"""),2021.0)</f>
        <v>2021</v>
      </c>
      <c r="B356" s="11">
        <f>IFERROR(__xludf.DUMMYFUNCTION("""COMPUTED_VALUE"""),11.0)</f>
        <v>11</v>
      </c>
      <c r="C356" s="11">
        <f>IFERROR(__xludf.DUMMYFUNCTION("""COMPUTED_VALUE"""),107801.0)</f>
        <v>107801</v>
      </c>
      <c r="D356" s="11">
        <f>IFERROR(__xludf.DUMMYFUNCTION("""COMPUTED_VALUE"""),979.0)</f>
        <v>979</v>
      </c>
      <c r="E356" s="9"/>
    </row>
    <row r="357">
      <c r="A357" s="11">
        <f>IFERROR(__xludf.DUMMYFUNCTION("""COMPUTED_VALUE"""),2021.0)</f>
        <v>2021</v>
      </c>
      <c r="B357" s="11">
        <f>IFERROR(__xludf.DUMMYFUNCTION("""COMPUTED_VALUE"""),8.0)</f>
        <v>8</v>
      </c>
      <c r="C357" s="11">
        <f>IFERROR(__xludf.DUMMYFUNCTION("""COMPUTED_VALUE"""),70065.0)</f>
        <v>70065</v>
      </c>
      <c r="D357" s="11">
        <f>IFERROR(__xludf.DUMMYFUNCTION("""COMPUTED_VALUE"""),792.0)</f>
        <v>792</v>
      </c>
      <c r="E357" s="9"/>
    </row>
    <row r="358">
      <c r="A358" s="11">
        <f>IFERROR(__xludf.DUMMYFUNCTION("""COMPUTED_VALUE"""),2021.0)</f>
        <v>2021</v>
      </c>
      <c r="B358" s="11">
        <f>IFERROR(__xludf.DUMMYFUNCTION("""COMPUTED_VALUE"""),10.0)</f>
        <v>10</v>
      </c>
      <c r="C358" s="11">
        <f>IFERROR(__xludf.DUMMYFUNCTION("""COMPUTED_VALUE"""),539.0)</f>
        <v>539</v>
      </c>
      <c r="D358" s="11">
        <f>IFERROR(__xludf.DUMMYFUNCTION("""COMPUTED_VALUE"""),838.0)</f>
        <v>838</v>
      </c>
      <c r="E358" s="9"/>
    </row>
    <row r="359">
      <c r="A359" s="11">
        <f>IFERROR(__xludf.DUMMYFUNCTION("""COMPUTED_VALUE"""),2021.0)</f>
        <v>2021</v>
      </c>
      <c r="B359" s="11">
        <f>IFERROR(__xludf.DUMMYFUNCTION("""COMPUTED_VALUE"""),11.0)</f>
        <v>11</v>
      </c>
      <c r="C359" s="11">
        <f>IFERROR(__xludf.DUMMYFUNCTION("""COMPUTED_VALUE"""),7857.0)</f>
        <v>7857</v>
      </c>
      <c r="D359" s="11">
        <f>IFERROR(__xludf.DUMMYFUNCTION("""COMPUTED_VALUE"""),1132.0)</f>
        <v>1132</v>
      </c>
      <c r="E359" s="9"/>
    </row>
    <row r="360">
      <c r="A360" s="11">
        <f>IFERROR(__xludf.DUMMYFUNCTION("""COMPUTED_VALUE"""),2021.0)</f>
        <v>2021</v>
      </c>
      <c r="B360" s="11">
        <f>IFERROR(__xludf.DUMMYFUNCTION("""COMPUTED_VALUE"""),9.0)</f>
        <v>9</v>
      </c>
      <c r="C360" s="11">
        <f>IFERROR(__xludf.DUMMYFUNCTION("""COMPUTED_VALUE"""),111726.0)</f>
        <v>111726</v>
      </c>
      <c r="D360" s="11">
        <f>IFERROR(__xludf.DUMMYFUNCTION("""COMPUTED_VALUE"""),468.0)</f>
        <v>468</v>
      </c>
      <c r="E360" s="9"/>
    </row>
    <row r="361">
      <c r="A361" s="11">
        <f>IFERROR(__xludf.DUMMYFUNCTION("""COMPUTED_VALUE"""),2021.0)</f>
        <v>2021</v>
      </c>
      <c r="B361" s="11">
        <f>IFERROR(__xludf.DUMMYFUNCTION("""COMPUTED_VALUE"""),9.0)</f>
        <v>9</v>
      </c>
      <c r="C361" s="11">
        <f>IFERROR(__xludf.DUMMYFUNCTION("""COMPUTED_VALUE"""),120992.0)</f>
        <v>120992</v>
      </c>
      <c r="D361" s="11">
        <f>IFERROR(__xludf.DUMMYFUNCTION("""COMPUTED_VALUE"""),1371.0)</f>
        <v>1371</v>
      </c>
      <c r="E361" s="9"/>
    </row>
    <row r="362">
      <c r="A362" s="11">
        <f>IFERROR(__xludf.DUMMYFUNCTION("""COMPUTED_VALUE"""),2021.0)</f>
        <v>2021</v>
      </c>
      <c r="B362" s="11">
        <f>IFERROR(__xludf.DUMMYFUNCTION("""COMPUTED_VALUE"""),10.0)</f>
        <v>10</v>
      </c>
      <c r="C362" s="11">
        <f>IFERROR(__xludf.DUMMYFUNCTION("""COMPUTED_VALUE"""),158482.0)</f>
        <v>158482</v>
      </c>
      <c r="D362" s="11">
        <f>IFERROR(__xludf.DUMMYFUNCTION("""COMPUTED_VALUE"""),45.0)</f>
        <v>45</v>
      </c>
      <c r="E362" s="9"/>
    </row>
    <row r="363">
      <c r="A363" s="11">
        <f>IFERROR(__xludf.DUMMYFUNCTION("""COMPUTED_VALUE"""),2021.0)</f>
        <v>2021</v>
      </c>
      <c r="B363" s="11">
        <f>IFERROR(__xludf.DUMMYFUNCTION("""COMPUTED_VALUE"""),10.0)</f>
        <v>10</v>
      </c>
      <c r="C363" s="11">
        <f>IFERROR(__xludf.DUMMYFUNCTION("""COMPUTED_VALUE"""),193132.0)</f>
        <v>193132</v>
      </c>
      <c r="D363" s="11">
        <f>IFERROR(__xludf.DUMMYFUNCTION("""COMPUTED_VALUE"""),722.0)</f>
        <v>722</v>
      </c>
      <c r="E363" s="9"/>
    </row>
    <row r="364">
      <c r="A364" s="11">
        <f>IFERROR(__xludf.DUMMYFUNCTION("""COMPUTED_VALUE"""),2021.0)</f>
        <v>2021</v>
      </c>
      <c r="B364" s="11">
        <f>IFERROR(__xludf.DUMMYFUNCTION("""COMPUTED_VALUE"""),11.0)</f>
        <v>11</v>
      </c>
      <c r="C364" s="11">
        <f>IFERROR(__xludf.DUMMYFUNCTION("""COMPUTED_VALUE"""),118901.0)</f>
        <v>118901</v>
      </c>
      <c r="D364" s="11">
        <f>IFERROR(__xludf.DUMMYFUNCTION("""COMPUTED_VALUE"""),1702.0)</f>
        <v>1702</v>
      </c>
      <c r="E364" s="9"/>
    </row>
    <row r="365">
      <c r="A365" s="11">
        <f>IFERROR(__xludf.DUMMYFUNCTION("""COMPUTED_VALUE"""),2021.0)</f>
        <v>2021</v>
      </c>
      <c r="B365" s="11">
        <f>IFERROR(__xludf.DUMMYFUNCTION("""COMPUTED_VALUE"""),10.0)</f>
        <v>10</v>
      </c>
      <c r="C365" s="11">
        <f>IFERROR(__xludf.DUMMYFUNCTION("""COMPUTED_VALUE"""),193131.0)</f>
        <v>193131</v>
      </c>
      <c r="D365" s="11">
        <f>IFERROR(__xludf.DUMMYFUNCTION("""COMPUTED_VALUE"""),1299.0)</f>
        <v>1299</v>
      </c>
      <c r="E365" s="9"/>
    </row>
    <row r="366">
      <c r="A366" s="11">
        <f>IFERROR(__xludf.DUMMYFUNCTION("""COMPUTED_VALUE"""),2021.0)</f>
        <v>2021</v>
      </c>
      <c r="B366" s="11">
        <f>IFERROR(__xludf.DUMMYFUNCTION("""COMPUTED_VALUE"""),11.0)</f>
        <v>11</v>
      </c>
      <c r="C366" s="11">
        <f>IFERROR(__xludf.DUMMYFUNCTION("""COMPUTED_VALUE"""),115709.0)</f>
        <v>115709</v>
      </c>
      <c r="D366" s="11">
        <f>IFERROR(__xludf.DUMMYFUNCTION("""COMPUTED_VALUE"""),54.0)</f>
        <v>54</v>
      </c>
      <c r="E366" s="9"/>
    </row>
    <row r="367">
      <c r="A367" s="11">
        <f>IFERROR(__xludf.DUMMYFUNCTION("""COMPUTED_VALUE"""),2021.0)</f>
        <v>2021</v>
      </c>
      <c r="B367" s="11">
        <f>IFERROR(__xludf.DUMMYFUNCTION("""COMPUTED_VALUE"""),9.0)</f>
        <v>9</v>
      </c>
      <c r="C367" s="11">
        <f>IFERROR(__xludf.DUMMYFUNCTION("""COMPUTED_VALUE"""),121619.0)</f>
        <v>121619</v>
      </c>
      <c r="D367" s="11">
        <f>IFERROR(__xludf.DUMMYFUNCTION("""COMPUTED_VALUE"""),1209.0)</f>
        <v>1209</v>
      </c>
      <c r="E367" s="9"/>
    </row>
    <row r="368">
      <c r="A368" s="11">
        <f>IFERROR(__xludf.DUMMYFUNCTION("""COMPUTED_VALUE"""),2021.0)</f>
        <v>2021</v>
      </c>
      <c r="B368" s="11">
        <f>IFERROR(__xludf.DUMMYFUNCTION("""COMPUTED_VALUE"""),8.0)</f>
        <v>8</v>
      </c>
      <c r="C368" s="11">
        <f>IFERROR(__xludf.DUMMYFUNCTION("""COMPUTED_VALUE"""),103647.0)</f>
        <v>103647</v>
      </c>
      <c r="D368" s="11">
        <f>IFERROR(__xludf.DUMMYFUNCTION("""COMPUTED_VALUE"""),185.0)</f>
        <v>185</v>
      </c>
      <c r="E368" s="9"/>
    </row>
    <row r="369">
      <c r="A369" s="11">
        <f>IFERROR(__xludf.DUMMYFUNCTION("""COMPUTED_VALUE"""),2021.0)</f>
        <v>2021</v>
      </c>
      <c r="B369" s="11">
        <f>IFERROR(__xludf.DUMMYFUNCTION("""COMPUTED_VALUE"""),11.0)</f>
        <v>11</v>
      </c>
      <c r="C369" s="11">
        <f>IFERROR(__xludf.DUMMYFUNCTION("""COMPUTED_VALUE"""),121616.0)</f>
        <v>121616</v>
      </c>
      <c r="D369" s="11">
        <f>IFERROR(__xludf.DUMMYFUNCTION("""COMPUTED_VALUE"""),890.0)</f>
        <v>890</v>
      </c>
      <c r="E369" s="9"/>
    </row>
    <row r="370">
      <c r="A370" s="11">
        <f>IFERROR(__xludf.DUMMYFUNCTION("""COMPUTED_VALUE"""),2021.0)</f>
        <v>2021</v>
      </c>
      <c r="B370" s="11">
        <f>IFERROR(__xludf.DUMMYFUNCTION("""COMPUTED_VALUE"""),8.0)</f>
        <v>8</v>
      </c>
      <c r="C370" s="11">
        <f>IFERROR(__xludf.DUMMYFUNCTION("""COMPUTED_VALUE"""),121618.0)</f>
        <v>121618</v>
      </c>
      <c r="D370" s="11">
        <f>IFERROR(__xludf.DUMMYFUNCTION("""COMPUTED_VALUE"""),1717.0)</f>
        <v>1717</v>
      </c>
      <c r="E370" s="9"/>
    </row>
    <row r="371">
      <c r="A371" s="11">
        <f>IFERROR(__xludf.DUMMYFUNCTION("""COMPUTED_VALUE"""),2021.0)</f>
        <v>2021</v>
      </c>
      <c r="B371" s="11">
        <f>IFERROR(__xludf.DUMMYFUNCTION("""COMPUTED_VALUE"""),8.0)</f>
        <v>8</v>
      </c>
      <c r="C371" s="11">
        <f>IFERROR(__xludf.DUMMYFUNCTION("""COMPUTED_VALUE"""),129360.0)</f>
        <v>129360</v>
      </c>
      <c r="D371" s="11">
        <f>IFERROR(__xludf.DUMMYFUNCTION("""COMPUTED_VALUE"""),370.0)</f>
        <v>370</v>
      </c>
      <c r="E371" s="9"/>
    </row>
    <row r="372">
      <c r="A372" s="11">
        <f>IFERROR(__xludf.DUMMYFUNCTION("""COMPUTED_VALUE"""),2021.0)</f>
        <v>2021</v>
      </c>
      <c r="B372" s="11">
        <f>IFERROR(__xludf.DUMMYFUNCTION("""COMPUTED_VALUE"""),11.0)</f>
        <v>11</v>
      </c>
      <c r="C372" s="11">
        <f>IFERROR(__xludf.DUMMYFUNCTION("""COMPUTED_VALUE"""),115708.0)</f>
        <v>115708</v>
      </c>
      <c r="D372" s="11">
        <f>IFERROR(__xludf.DUMMYFUNCTION("""COMPUTED_VALUE"""),49.0)</f>
        <v>49</v>
      </c>
      <c r="E372" s="9"/>
    </row>
    <row r="373">
      <c r="A373" s="11">
        <f>IFERROR(__xludf.DUMMYFUNCTION("""COMPUTED_VALUE"""),2021.0)</f>
        <v>2021</v>
      </c>
      <c r="B373" s="11">
        <f>IFERROR(__xludf.DUMMYFUNCTION("""COMPUTED_VALUE"""),10.0)</f>
        <v>10</v>
      </c>
      <c r="C373" s="11">
        <f>IFERROR(__xludf.DUMMYFUNCTION("""COMPUTED_VALUE"""),121617.0)</f>
        <v>121617</v>
      </c>
      <c r="D373" s="11">
        <f>IFERROR(__xludf.DUMMYFUNCTION("""COMPUTED_VALUE"""),7.0)</f>
        <v>7</v>
      </c>
      <c r="E373" s="9"/>
    </row>
    <row r="374">
      <c r="A374" s="11">
        <f>IFERROR(__xludf.DUMMYFUNCTION("""COMPUTED_VALUE"""),2021.0)</f>
        <v>2021</v>
      </c>
      <c r="B374" s="11">
        <f>IFERROR(__xludf.DUMMYFUNCTION("""COMPUTED_VALUE"""),10.0)</f>
        <v>10</v>
      </c>
      <c r="C374" s="11">
        <f>IFERROR(__xludf.DUMMYFUNCTION("""COMPUTED_VALUE"""),109540.0)</f>
        <v>109540</v>
      </c>
      <c r="D374" s="11">
        <f>IFERROR(__xludf.DUMMYFUNCTION("""COMPUTED_VALUE"""),478.0)</f>
        <v>478</v>
      </c>
      <c r="E374" s="9"/>
    </row>
    <row r="375">
      <c r="A375" s="11">
        <f>IFERROR(__xludf.DUMMYFUNCTION("""COMPUTED_VALUE"""),2021.0)</f>
        <v>2021</v>
      </c>
      <c r="B375" s="11">
        <f>IFERROR(__xludf.DUMMYFUNCTION("""COMPUTED_VALUE"""),9.0)</f>
        <v>9</v>
      </c>
      <c r="C375" s="11">
        <f>IFERROR(__xludf.DUMMYFUNCTION("""COMPUTED_VALUE"""),101323.0)</f>
        <v>101323</v>
      </c>
      <c r="D375" s="11">
        <f>IFERROR(__xludf.DUMMYFUNCTION("""COMPUTED_VALUE"""),1485.0)</f>
        <v>1485</v>
      </c>
      <c r="E375" s="9"/>
    </row>
    <row r="376">
      <c r="A376" s="11">
        <f>IFERROR(__xludf.DUMMYFUNCTION("""COMPUTED_VALUE"""),2021.0)</f>
        <v>2021</v>
      </c>
      <c r="B376" s="11">
        <f>IFERROR(__xludf.DUMMYFUNCTION("""COMPUTED_VALUE"""),9.0)</f>
        <v>9</v>
      </c>
      <c r="C376" s="11">
        <f>IFERROR(__xludf.DUMMYFUNCTION("""COMPUTED_VALUE"""),120991.0)</f>
        <v>120991</v>
      </c>
      <c r="D376" s="11">
        <f>IFERROR(__xludf.DUMMYFUNCTION("""COMPUTED_VALUE"""),1137.0)</f>
        <v>1137</v>
      </c>
      <c r="E376" s="9"/>
    </row>
    <row r="377">
      <c r="A377" s="11">
        <f>IFERROR(__xludf.DUMMYFUNCTION("""COMPUTED_VALUE"""),2021.0)</f>
        <v>2021</v>
      </c>
      <c r="B377" s="11">
        <f>IFERROR(__xludf.DUMMYFUNCTION("""COMPUTED_VALUE"""),8.0)</f>
        <v>8</v>
      </c>
      <c r="C377" s="11">
        <f>IFERROR(__xludf.DUMMYFUNCTION("""COMPUTED_VALUE"""),115698.0)</f>
        <v>115698</v>
      </c>
      <c r="D377" s="11">
        <f>IFERROR(__xludf.DUMMYFUNCTION("""COMPUTED_VALUE"""),535.0)</f>
        <v>535</v>
      </c>
      <c r="E377" s="9"/>
    </row>
    <row r="378">
      <c r="A378" s="11">
        <f>IFERROR(__xludf.DUMMYFUNCTION("""COMPUTED_VALUE"""),2021.0)</f>
        <v>2021</v>
      </c>
      <c r="B378" s="11">
        <f>IFERROR(__xludf.DUMMYFUNCTION("""COMPUTED_VALUE"""),8.0)</f>
        <v>8</v>
      </c>
      <c r="C378" s="11">
        <f>IFERROR(__xludf.DUMMYFUNCTION("""COMPUTED_VALUE"""),72511.0)</f>
        <v>72511</v>
      </c>
      <c r="D378" s="11">
        <f>IFERROR(__xludf.DUMMYFUNCTION("""COMPUTED_VALUE"""),539.0)</f>
        <v>539</v>
      </c>
      <c r="E378" s="9"/>
    </row>
    <row r="379">
      <c r="A379" s="11">
        <f>IFERROR(__xludf.DUMMYFUNCTION("""COMPUTED_VALUE"""),2021.0)</f>
        <v>2021</v>
      </c>
      <c r="B379" s="11">
        <f>IFERROR(__xludf.DUMMYFUNCTION("""COMPUTED_VALUE"""),10.0)</f>
        <v>10</v>
      </c>
      <c r="C379" s="11">
        <f>IFERROR(__xludf.DUMMYFUNCTION("""COMPUTED_VALUE"""),72512.0)</f>
        <v>72512</v>
      </c>
      <c r="D379" s="11">
        <f>IFERROR(__xludf.DUMMYFUNCTION("""COMPUTED_VALUE"""),1676.0)</f>
        <v>1676</v>
      </c>
      <c r="E379" s="9"/>
    </row>
    <row r="380">
      <c r="A380" s="11">
        <f>IFERROR(__xludf.DUMMYFUNCTION("""COMPUTED_VALUE"""),2021.0)</f>
        <v>2021</v>
      </c>
      <c r="B380" s="11">
        <f>IFERROR(__xludf.DUMMYFUNCTION("""COMPUTED_VALUE"""),10.0)</f>
        <v>10</v>
      </c>
      <c r="C380" s="11">
        <f>IFERROR(__xludf.DUMMYFUNCTION("""COMPUTED_VALUE"""),120108.0)</f>
        <v>120108</v>
      </c>
      <c r="D380" s="11">
        <f>IFERROR(__xludf.DUMMYFUNCTION("""COMPUTED_VALUE"""),1878.0)</f>
        <v>1878</v>
      </c>
      <c r="E380" s="9"/>
    </row>
    <row r="381">
      <c r="A381" s="11">
        <f>IFERROR(__xludf.DUMMYFUNCTION("""COMPUTED_VALUE"""),2021.0)</f>
        <v>2021</v>
      </c>
      <c r="B381" s="11">
        <f>IFERROR(__xludf.DUMMYFUNCTION("""COMPUTED_VALUE"""),8.0)</f>
        <v>8</v>
      </c>
      <c r="C381" s="11">
        <f>IFERROR(__xludf.DUMMYFUNCTION("""COMPUTED_VALUE"""),1636.0)</f>
        <v>1636</v>
      </c>
      <c r="D381" s="11">
        <f>IFERROR(__xludf.DUMMYFUNCTION("""COMPUTED_VALUE"""),1759.0)</f>
        <v>1759</v>
      </c>
      <c r="E381" s="9"/>
    </row>
    <row r="382">
      <c r="A382" s="11">
        <f>IFERROR(__xludf.DUMMYFUNCTION("""COMPUTED_VALUE"""),2021.0)</f>
        <v>2021</v>
      </c>
      <c r="B382" s="11">
        <f>IFERROR(__xludf.DUMMYFUNCTION("""COMPUTED_VALUE"""),10.0)</f>
        <v>10</v>
      </c>
      <c r="C382" s="11">
        <f>IFERROR(__xludf.DUMMYFUNCTION("""COMPUTED_VALUE"""),106767.0)</f>
        <v>106767</v>
      </c>
      <c r="D382" s="11">
        <f>IFERROR(__xludf.DUMMYFUNCTION("""COMPUTED_VALUE"""),388.0)</f>
        <v>388</v>
      </c>
      <c r="E382" s="9"/>
    </row>
    <row r="383">
      <c r="A383" s="11">
        <f>IFERROR(__xludf.DUMMYFUNCTION("""COMPUTED_VALUE"""),2021.0)</f>
        <v>2021</v>
      </c>
      <c r="B383" s="11">
        <f>IFERROR(__xludf.DUMMYFUNCTION("""COMPUTED_VALUE"""),8.0)</f>
        <v>8</v>
      </c>
      <c r="C383" s="11">
        <f>IFERROR(__xludf.DUMMYFUNCTION("""COMPUTED_VALUE"""),117246.0)</f>
        <v>117246</v>
      </c>
      <c r="D383" s="11">
        <f>IFERROR(__xludf.DUMMYFUNCTION("""COMPUTED_VALUE"""),1903.0)</f>
        <v>1903</v>
      </c>
      <c r="E383" s="9"/>
    </row>
    <row r="384">
      <c r="A384" s="11">
        <f>IFERROR(__xludf.DUMMYFUNCTION("""COMPUTED_VALUE"""),2021.0)</f>
        <v>2021</v>
      </c>
      <c r="B384" s="11">
        <f>IFERROR(__xludf.DUMMYFUNCTION("""COMPUTED_VALUE"""),8.0)</f>
        <v>8</v>
      </c>
      <c r="C384" s="11">
        <f>IFERROR(__xludf.DUMMYFUNCTION("""COMPUTED_VALUE"""),106758.0)</f>
        <v>106758</v>
      </c>
      <c r="D384" s="11">
        <f>IFERROR(__xludf.DUMMYFUNCTION("""COMPUTED_VALUE"""),669.0)</f>
        <v>669</v>
      </c>
      <c r="E384" s="9"/>
    </row>
    <row r="385">
      <c r="A385" s="11">
        <f>IFERROR(__xludf.DUMMYFUNCTION("""COMPUTED_VALUE"""),2021.0)</f>
        <v>2021</v>
      </c>
      <c r="B385" s="11">
        <f>IFERROR(__xludf.DUMMYFUNCTION("""COMPUTED_VALUE"""),8.0)</f>
        <v>8</v>
      </c>
      <c r="C385" s="11">
        <f>IFERROR(__xludf.DUMMYFUNCTION("""COMPUTED_VALUE"""),118150.0)</f>
        <v>118150</v>
      </c>
      <c r="D385" s="11">
        <f>IFERROR(__xludf.DUMMYFUNCTION("""COMPUTED_VALUE"""),978.0)</f>
        <v>978</v>
      </c>
      <c r="E385" s="9"/>
    </row>
    <row r="386">
      <c r="A386" s="11">
        <f>IFERROR(__xludf.DUMMYFUNCTION("""COMPUTED_VALUE"""),2021.0)</f>
        <v>2021</v>
      </c>
      <c r="B386" s="11">
        <f>IFERROR(__xludf.DUMMYFUNCTION("""COMPUTED_VALUE"""),9.0)</f>
        <v>9</v>
      </c>
      <c r="C386" s="11">
        <f>IFERROR(__xludf.DUMMYFUNCTION("""COMPUTED_VALUE"""),108896.0)</f>
        <v>108896</v>
      </c>
      <c r="D386" s="11">
        <f>IFERROR(__xludf.DUMMYFUNCTION("""COMPUTED_VALUE"""),1520.0)</f>
        <v>1520</v>
      </c>
      <c r="E386" s="9"/>
    </row>
    <row r="387">
      <c r="A387" s="11">
        <f>IFERROR(__xludf.DUMMYFUNCTION("""COMPUTED_VALUE"""),2021.0)</f>
        <v>2021</v>
      </c>
      <c r="B387" s="11">
        <f>IFERROR(__xludf.DUMMYFUNCTION("""COMPUTED_VALUE"""),8.0)</f>
        <v>8</v>
      </c>
      <c r="C387" s="11">
        <f>IFERROR(__xludf.DUMMYFUNCTION("""COMPUTED_VALUE"""),92566.0)</f>
        <v>92566</v>
      </c>
      <c r="D387" s="11">
        <f>IFERROR(__xludf.DUMMYFUNCTION("""COMPUTED_VALUE"""),1830.0)</f>
        <v>1830</v>
      </c>
      <c r="E387" s="9"/>
    </row>
    <row r="388">
      <c r="A388" s="11">
        <f>IFERROR(__xludf.DUMMYFUNCTION("""COMPUTED_VALUE"""),2021.0)</f>
        <v>2021</v>
      </c>
      <c r="B388" s="11">
        <f>IFERROR(__xludf.DUMMYFUNCTION("""COMPUTED_VALUE"""),11.0)</f>
        <v>11</v>
      </c>
      <c r="C388" s="11">
        <f>IFERROR(__xludf.DUMMYFUNCTION("""COMPUTED_VALUE"""),182195.0)</f>
        <v>182195</v>
      </c>
      <c r="D388" s="11">
        <f>IFERROR(__xludf.DUMMYFUNCTION("""COMPUTED_VALUE"""),1599.0)</f>
        <v>1599</v>
      </c>
      <c r="E388" s="9"/>
    </row>
    <row r="389">
      <c r="A389" s="11">
        <f>IFERROR(__xludf.DUMMYFUNCTION("""COMPUTED_VALUE"""),2021.0)</f>
        <v>2021</v>
      </c>
      <c r="B389" s="11">
        <f>IFERROR(__xludf.DUMMYFUNCTION("""COMPUTED_VALUE"""),10.0)</f>
        <v>10</v>
      </c>
      <c r="C389" s="11">
        <f>IFERROR(__xludf.DUMMYFUNCTION("""COMPUTED_VALUE"""),101560.0)</f>
        <v>101560</v>
      </c>
      <c r="D389" s="11">
        <f>IFERROR(__xludf.DUMMYFUNCTION("""COMPUTED_VALUE"""),383.0)</f>
        <v>383</v>
      </c>
      <c r="E389" s="9"/>
    </row>
    <row r="390">
      <c r="A390" s="11">
        <f>IFERROR(__xludf.DUMMYFUNCTION("""COMPUTED_VALUE"""),2021.0)</f>
        <v>2021</v>
      </c>
      <c r="B390" s="11">
        <f>IFERROR(__xludf.DUMMYFUNCTION("""COMPUTED_VALUE"""),8.0)</f>
        <v>8</v>
      </c>
      <c r="C390" s="11">
        <f>IFERROR(__xludf.DUMMYFUNCTION("""COMPUTED_VALUE"""),96067.0)</f>
        <v>96067</v>
      </c>
      <c r="D390" s="11">
        <f>IFERROR(__xludf.DUMMYFUNCTION("""COMPUTED_VALUE"""),1953.0)</f>
        <v>1953</v>
      </c>
      <c r="E390" s="9"/>
    </row>
    <row r="391">
      <c r="A391" s="11">
        <f>IFERROR(__xludf.DUMMYFUNCTION("""COMPUTED_VALUE"""),2021.0)</f>
        <v>2021</v>
      </c>
      <c r="B391" s="11">
        <f>IFERROR(__xludf.DUMMYFUNCTION("""COMPUTED_VALUE"""),10.0)</f>
        <v>10</v>
      </c>
      <c r="C391" s="11">
        <f>IFERROR(__xludf.DUMMYFUNCTION("""COMPUTED_VALUE"""),47325.0)</f>
        <v>47325</v>
      </c>
      <c r="D391" s="11">
        <f>IFERROR(__xludf.DUMMYFUNCTION("""COMPUTED_VALUE"""),691.0)</f>
        <v>691</v>
      </c>
      <c r="E391" s="9"/>
    </row>
    <row r="392">
      <c r="A392" s="11">
        <f>IFERROR(__xludf.DUMMYFUNCTION("""COMPUTED_VALUE"""),2021.0)</f>
        <v>2021</v>
      </c>
      <c r="B392" s="11">
        <f>IFERROR(__xludf.DUMMYFUNCTION("""COMPUTED_VALUE"""),9.0)</f>
        <v>9</v>
      </c>
      <c r="C392" s="11">
        <f>IFERROR(__xludf.DUMMYFUNCTION("""COMPUTED_VALUE"""),109386.0)</f>
        <v>109386</v>
      </c>
      <c r="D392" s="11">
        <f>IFERROR(__xludf.DUMMYFUNCTION("""COMPUTED_VALUE"""),1752.0)</f>
        <v>1752</v>
      </c>
      <c r="E392" s="9"/>
    </row>
    <row r="393">
      <c r="A393" s="11">
        <f>IFERROR(__xludf.DUMMYFUNCTION("""COMPUTED_VALUE"""),2021.0)</f>
        <v>2021</v>
      </c>
      <c r="B393" s="11">
        <f>IFERROR(__xludf.DUMMYFUNCTION("""COMPUTED_VALUE"""),8.0)</f>
        <v>8</v>
      </c>
      <c r="C393" s="11">
        <f>IFERROR(__xludf.DUMMYFUNCTION("""COMPUTED_VALUE"""),118972.0)</f>
        <v>118972</v>
      </c>
      <c r="D393" s="11">
        <f>IFERROR(__xludf.DUMMYFUNCTION("""COMPUTED_VALUE"""),1883.0)</f>
        <v>1883</v>
      </c>
      <c r="E393" s="9"/>
    </row>
    <row r="394">
      <c r="A394" s="11">
        <f>IFERROR(__xludf.DUMMYFUNCTION("""COMPUTED_VALUE"""),2021.0)</f>
        <v>2021</v>
      </c>
      <c r="B394" s="11">
        <f>IFERROR(__xludf.DUMMYFUNCTION("""COMPUTED_VALUE"""),11.0)</f>
        <v>11</v>
      </c>
      <c r="C394" s="11">
        <f>IFERROR(__xludf.DUMMYFUNCTION("""COMPUTED_VALUE"""),100412.0)</f>
        <v>100412</v>
      </c>
      <c r="D394" s="11">
        <f>IFERROR(__xludf.DUMMYFUNCTION("""COMPUTED_VALUE"""),1113.0)</f>
        <v>1113</v>
      </c>
      <c r="E394" s="9"/>
    </row>
    <row r="395">
      <c r="A395" s="11">
        <f>IFERROR(__xludf.DUMMYFUNCTION("""COMPUTED_VALUE"""),2021.0)</f>
        <v>2021</v>
      </c>
      <c r="B395" s="11">
        <f>IFERROR(__xludf.DUMMYFUNCTION("""COMPUTED_VALUE"""),10.0)</f>
        <v>10</v>
      </c>
      <c r="C395" s="11">
        <f>IFERROR(__xludf.DUMMYFUNCTION("""COMPUTED_VALUE"""),73259.0)</f>
        <v>73259</v>
      </c>
      <c r="D395" s="11">
        <f>IFERROR(__xludf.DUMMYFUNCTION("""COMPUTED_VALUE"""),1727.0)</f>
        <v>1727</v>
      </c>
      <c r="E395" s="9"/>
    </row>
    <row r="396">
      <c r="A396" s="11">
        <f>IFERROR(__xludf.DUMMYFUNCTION("""COMPUTED_VALUE"""),2021.0)</f>
        <v>2021</v>
      </c>
      <c r="B396" s="11">
        <f>IFERROR(__xludf.DUMMYFUNCTION("""COMPUTED_VALUE"""),11.0)</f>
        <v>11</v>
      </c>
      <c r="C396" s="11">
        <f>IFERROR(__xludf.DUMMYFUNCTION("""COMPUTED_VALUE"""),116888.0)</f>
        <v>116888</v>
      </c>
      <c r="D396" s="11">
        <f>IFERROR(__xludf.DUMMYFUNCTION("""COMPUTED_VALUE"""),296.0)</f>
        <v>296</v>
      </c>
      <c r="E396" s="9"/>
    </row>
    <row r="397">
      <c r="A397" s="11">
        <f>IFERROR(__xludf.DUMMYFUNCTION("""COMPUTED_VALUE"""),2021.0)</f>
        <v>2021</v>
      </c>
      <c r="B397" s="11">
        <f>IFERROR(__xludf.DUMMYFUNCTION("""COMPUTED_VALUE"""),9.0)</f>
        <v>9</v>
      </c>
      <c r="C397" s="11">
        <f>IFERROR(__xludf.DUMMYFUNCTION("""COMPUTED_VALUE"""),102086.0)</f>
        <v>102086</v>
      </c>
      <c r="D397" s="11">
        <f>IFERROR(__xludf.DUMMYFUNCTION("""COMPUTED_VALUE"""),1017.0)</f>
        <v>1017</v>
      </c>
      <c r="E397" s="9"/>
    </row>
    <row r="398">
      <c r="A398" s="11">
        <f>IFERROR(__xludf.DUMMYFUNCTION("""COMPUTED_VALUE"""),2021.0)</f>
        <v>2021</v>
      </c>
      <c r="B398" s="11">
        <f>IFERROR(__xludf.DUMMYFUNCTION("""COMPUTED_VALUE"""),11.0)</f>
        <v>11</v>
      </c>
      <c r="C398" s="11">
        <f>IFERROR(__xludf.DUMMYFUNCTION("""COMPUTED_VALUE"""),108892.0)</f>
        <v>108892</v>
      </c>
      <c r="D398" s="11">
        <f>IFERROR(__xludf.DUMMYFUNCTION("""COMPUTED_VALUE"""),104.0)</f>
        <v>104</v>
      </c>
      <c r="E398" s="9"/>
    </row>
    <row r="399">
      <c r="A399" s="11">
        <f>IFERROR(__xludf.DUMMYFUNCTION("""COMPUTED_VALUE"""),2021.0)</f>
        <v>2021</v>
      </c>
      <c r="B399" s="11">
        <f>IFERROR(__xludf.DUMMYFUNCTION("""COMPUTED_VALUE"""),11.0)</f>
        <v>11</v>
      </c>
      <c r="C399" s="11">
        <f>IFERROR(__xludf.DUMMYFUNCTION("""COMPUTED_VALUE"""),110935.0)</f>
        <v>110935</v>
      </c>
      <c r="D399" s="11">
        <f>IFERROR(__xludf.DUMMYFUNCTION("""COMPUTED_VALUE"""),761.0)</f>
        <v>761</v>
      </c>
      <c r="E399" s="9"/>
    </row>
    <row r="400">
      <c r="A400" s="11">
        <f>IFERROR(__xludf.DUMMYFUNCTION("""COMPUTED_VALUE"""),2021.0)</f>
        <v>2021</v>
      </c>
      <c r="B400" s="11">
        <f>IFERROR(__xludf.DUMMYFUNCTION("""COMPUTED_VALUE"""),8.0)</f>
        <v>8</v>
      </c>
      <c r="C400" s="11">
        <f>IFERROR(__xludf.DUMMYFUNCTION("""COMPUTED_VALUE"""),103599.0)</f>
        <v>103599</v>
      </c>
      <c r="D400" s="11">
        <f>IFERROR(__xludf.DUMMYFUNCTION("""COMPUTED_VALUE"""),404.0)</f>
        <v>404</v>
      </c>
      <c r="E400" s="9"/>
    </row>
    <row r="401">
      <c r="A401" s="11">
        <f>IFERROR(__xludf.DUMMYFUNCTION("""COMPUTED_VALUE"""),2021.0)</f>
        <v>2021</v>
      </c>
      <c r="B401" s="11">
        <f>IFERROR(__xludf.DUMMYFUNCTION("""COMPUTED_VALUE"""),8.0)</f>
        <v>8</v>
      </c>
      <c r="C401" s="11">
        <f>IFERROR(__xludf.DUMMYFUNCTION("""COMPUTED_VALUE"""),108811.0)</f>
        <v>108811</v>
      </c>
      <c r="D401" s="11">
        <f>IFERROR(__xludf.DUMMYFUNCTION("""COMPUTED_VALUE"""),809.0)</f>
        <v>809</v>
      </c>
      <c r="E401" s="9"/>
    </row>
    <row r="402">
      <c r="A402" s="11">
        <f>IFERROR(__xludf.DUMMYFUNCTION("""COMPUTED_VALUE"""),2021.0)</f>
        <v>2021</v>
      </c>
      <c r="B402" s="11">
        <f>IFERROR(__xludf.DUMMYFUNCTION("""COMPUTED_VALUE"""),10.0)</f>
        <v>10</v>
      </c>
      <c r="C402" s="11">
        <f>IFERROR(__xludf.DUMMYFUNCTION("""COMPUTED_VALUE"""),2202.0)</f>
        <v>2202</v>
      </c>
      <c r="D402" s="11">
        <f>IFERROR(__xludf.DUMMYFUNCTION("""COMPUTED_VALUE"""),1868.0)</f>
        <v>1868</v>
      </c>
      <c r="E402" s="9"/>
    </row>
    <row r="403">
      <c r="A403" s="11">
        <f>IFERROR(__xludf.DUMMYFUNCTION("""COMPUTED_VALUE"""),2021.0)</f>
        <v>2021</v>
      </c>
      <c r="B403" s="11">
        <f>IFERROR(__xludf.DUMMYFUNCTION("""COMPUTED_VALUE"""),11.0)</f>
        <v>11</v>
      </c>
      <c r="C403" s="11">
        <f>IFERROR(__xludf.DUMMYFUNCTION("""COMPUTED_VALUE"""),122789.0)</f>
        <v>122789</v>
      </c>
      <c r="D403" s="11">
        <f>IFERROR(__xludf.DUMMYFUNCTION("""COMPUTED_VALUE"""),1857.0)</f>
        <v>1857</v>
      </c>
      <c r="E403" s="9"/>
    </row>
    <row r="404">
      <c r="A404" s="11">
        <f>IFERROR(__xludf.DUMMYFUNCTION("""COMPUTED_VALUE"""),2021.0)</f>
        <v>2021</v>
      </c>
      <c r="B404" s="11">
        <f>IFERROR(__xludf.DUMMYFUNCTION("""COMPUTED_VALUE"""),9.0)</f>
        <v>9</v>
      </c>
      <c r="C404" s="11">
        <f>IFERROR(__xludf.DUMMYFUNCTION("""COMPUTED_VALUE"""),101563.0)</f>
        <v>101563</v>
      </c>
      <c r="D404" s="11">
        <f>IFERROR(__xludf.DUMMYFUNCTION("""COMPUTED_VALUE"""),1346.0)</f>
        <v>1346</v>
      </c>
      <c r="E404" s="9"/>
    </row>
    <row r="405">
      <c r="A405" s="11">
        <f>IFERROR(__xludf.DUMMYFUNCTION("""COMPUTED_VALUE"""),2021.0)</f>
        <v>2021</v>
      </c>
      <c r="B405" s="11">
        <f>IFERROR(__xludf.DUMMYFUNCTION("""COMPUTED_VALUE"""),10.0)</f>
        <v>10</v>
      </c>
      <c r="C405" s="11">
        <f>IFERROR(__xludf.DUMMYFUNCTION("""COMPUTED_VALUE"""),110934.0)</f>
        <v>110934</v>
      </c>
      <c r="D405" s="11">
        <f>IFERROR(__xludf.DUMMYFUNCTION("""COMPUTED_VALUE"""),1405.0)</f>
        <v>1405</v>
      </c>
      <c r="E405" s="9"/>
    </row>
    <row r="406">
      <c r="A406" s="11">
        <f>IFERROR(__xludf.DUMMYFUNCTION("""COMPUTED_VALUE"""),2021.0)</f>
        <v>2021</v>
      </c>
      <c r="B406" s="11">
        <f>IFERROR(__xludf.DUMMYFUNCTION("""COMPUTED_VALUE"""),9.0)</f>
        <v>9</v>
      </c>
      <c r="C406" s="11">
        <f>IFERROR(__xludf.DUMMYFUNCTION("""COMPUTED_VALUE"""),110147.0)</f>
        <v>110147</v>
      </c>
      <c r="D406" s="11">
        <f>IFERROR(__xludf.DUMMYFUNCTION("""COMPUTED_VALUE"""),1237.0)</f>
        <v>1237</v>
      </c>
      <c r="E406" s="9"/>
    </row>
    <row r="407">
      <c r="A407" s="11">
        <f>IFERROR(__xludf.DUMMYFUNCTION("""COMPUTED_VALUE"""),2021.0)</f>
        <v>2021</v>
      </c>
      <c r="B407" s="11">
        <f>IFERROR(__xludf.DUMMYFUNCTION("""COMPUTED_VALUE"""),11.0)</f>
        <v>11</v>
      </c>
      <c r="C407" s="11">
        <f>IFERROR(__xludf.DUMMYFUNCTION("""COMPUTED_VALUE"""),104135.0)</f>
        <v>104135</v>
      </c>
      <c r="D407" s="11">
        <f>IFERROR(__xludf.DUMMYFUNCTION("""COMPUTED_VALUE"""),1309.0)</f>
        <v>1309</v>
      </c>
      <c r="E407" s="9"/>
    </row>
    <row r="408">
      <c r="A408" s="11">
        <f>IFERROR(__xludf.DUMMYFUNCTION("""COMPUTED_VALUE"""),2021.0)</f>
        <v>2021</v>
      </c>
      <c r="B408" s="11">
        <f>IFERROR(__xludf.DUMMYFUNCTION("""COMPUTED_VALUE"""),9.0)</f>
        <v>9</v>
      </c>
      <c r="C408" s="11">
        <f>IFERROR(__xludf.DUMMYFUNCTION("""COMPUTED_VALUE"""),101559.0)</f>
        <v>101559</v>
      </c>
      <c r="D408" s="11">
        <f>IFERROR(__xludf.DUMMYFUNCTION("""COMPUTED_VALUE"""),1747.0)</f>
        <v>1747</v>
      </c>
      <c r="E408" s="9"/>
    </row>
    <row r="409">
      <c r="A409" s="11">
        <f>IFERROR(__xludf.DUMMYFUNCTION("""COMPUTED_VALUE"""),2021.0)</f>
        <v>2021</v>
      </c>
      <c r="B409" s="11">
        <f>IFERROR(__xludf.DUMMYFUNCTION("""COMPUTED_VALUE"""),8.0)</f>
        <v>8</v>
      </c>
      <c r="C409" s="11">
        <f>IFERROR(__xludf.DUMMYFUNCTION("""COMPUTED_VALUE"""),129340.0)</f>
        <v>129340</v>
      </c>
      <c r="D409" s="11">
        <f>IFERROR(__xludf.DUMMYFUNCTION("""COMPUTED_VALUE"""),1249.0)</f>
        <v>1249</v>
      </c>
      <c r="E409" s="9"/>
    </row>
    <row r="410">
      <c r="A410" s="11">
        <f>IFERROR(__xludf.DUMMYFUNCTION("""COMPUTED_VALUE"""),2021.0)</f>
        <v>2021</v>
      </c>
      <c r="B410" s="11">
        <f>IFERROR(__xludf.DUMMYFUNCTION("""COMPUTED_VALUE"""),8.0)</f>
        <v>8</v>
      </c>
      <c r="C410" s="11">
        <f>IFERROR(__xludf.DUMMYFUNCTION("""COMPUTED_VALUE"""),103609.0)</f>
        <v>103609</v>
      </c>
      <c r="D410" s="11">
        <f>IFERROR(__xludf.DUMMYFUNCTION("""COMPUTED_VALUE"""),1487.0)</f>
        <v>1487</v>
      </c>
      <c r="E410" s="9"/>
    </row>
    <row r="411">
      <c r="A411" s="11">
        <f>IFERROR(__xludf.DUMMYFUNCTION("""COMPUTED_VALUE"""),2021.0)</f>
        <v>2021</v>
      </c>
      <c r="B411" s="11">
        <f>IFERROR(__xludf.DUMMYFUNCTION("""COMPUTED_VALUE"""),8.0)</f>
        <v>8</v>
      </c>
      <c r="C411" s="11">
        <f>IFERROR(__xludf.DUMMYFUNCTION("""COMPUTED_VALUE"""),122499.0)</f>
        <v>122499</v>
      </c>
      <c r="D411" s="11">
        <f>IFERROR(__xludf.DUMMYFUNCTION("""COMPUTED_VALUE"""),65.0)</f>
        <v>65</v>
      </c>
      <c r="E411" s="9"/>
    </row>
    <row r="412">
      <c r="A412" s="11">
        <f>IFERROR(__xludf.DUMMYFUNCTION("""COMPUTED_VALUE"""),2021.0)</f>
        <v>2021</v>
      </c>
      <c r="B412" s="11">
        <f>IFERROR(__xludf.DUMMYFUNCTION("""COMPUTED_VALUE"""),8.0)</f>
        <v>8</v>
      </c>
      <c r="C412" s="11">
        <f>IFERROR(__xludf.DUMMYFUNCTION("""COMPUTED_VALUE"""),117311.0)</f>
        <v>117311</v>
      </c>
      <c r="D412" s="11">
        <f>IFERROR(__xludf.DUMMYFUNCTION("""COMPUTED_VALUE"""),1100.0)</f>
        <v>1100</v>
      </c>
      <c r="E412" s="9"/>
    </row>
    <row r="413">
      <c r="A413" s="11">
        <f>IFERROR(__xludf.DUMMYFUNCTION("""COMPUTED_VALUE"""),2021.0)</f>
        <v>2021</v>
      </c>
      <c r="B413" s="11">
        <f>IFERROR(__xludf.DUMMYFUNCTION("""COMPUTED_VALUE"""),8.0)</f>
        <v>8</v>
      </c>
      <c r="C413" s="11">
        <f>IFERROR(__xludf.DUMMYFUNCTION("""COMPUTED_VALUE"""),116670.0)</f>
        <v>116670</v>
      </c>
      <c r="D413" s="11">
        <f>IFERROR(__xludf.DUMMYFUNCTION("""COMPUTED_VALUE"""),1746.0)</f>
        <v>1746</v>
      </c>
      <c r="E413" s="9"/>
    </row>
    <row r="414">
      <c r="A414" s="11">
        <f>IFERROR(__xludf.DUMMYFUNCTION("""COMPUTED_VALUE"""),2021.0)</f>
        <v>2021</v>
      </c>
      <c r="B414" s="11">
        <f>IFERROR(__xludf.DUMMYFUNCTION("""COMPUTED_VALUE"""),8.0)</f>
        <v>8</v>
      </c>
      <c r="C414" s="11">
        <f>IFERROR(__xludf.DUMMYFUNCTION("""COMPUTED_VALUE"""),2204.0)</f>
        <v>2204</v>
      </c>
      <c r="D414" s="11">
        <f>IFERROR(__xludf.DUMMYFUNCTION("""COMPUTED_VALUE"""),1674.0)</f>
        <v>1674</v>
      </c>
      <c r="E414" s="9"/>
    </row>
    <row r="415">
      <c r="A415" s="11">
        <f>IFERROR(__xludf.DUMMYFUNCTION("""COMPUTED_VALUE"""),2021.0)</f>
        <v>2021</v>
      </c>
      <c r="B415" s="11">
        <f>IFERROR(__xludf.DUMMYFUNCTION("""COMPUTED_VALUE"""),8.0)</f>
        <v>8</v>
      </c>
      <c r="C415" s="11">
        <f>IFERROR(__xludf.DUMMYFUNCTION("""COMPUTED_VALUE"""),104128.0)</f>
        <v>104128</v>
      </c>
      <c r="D415" s="11">
        <f>IFERROR(__xludf.DUMMYFUNCTION("""COMPUTED_VALUE"""),710.0)</f>
        <v>710</v>
      </c>
      <c r="E415" s="9"/>
    </row>
    <row r="416">
      <c r="A416" s="11">
        <f>IFERROR(__xludf.DUMMYFUNCTION("""COMPUTED_VALUE"""),2021.0)</f>
        <v>2021</v>
      </c>
      <c r="B416" s="11">
        <f>IFERROR(__xludf.DUMMYFUNCTION("""COMPUTED_VALUE"""),8.0)</f>
        <v>8</v>
      </c>
      <c r="C416" s="11">
        <f>IFERROR(__xludf.DUMMYFUNCTION("""COMPUTED_VALUE"""),103600.0)</f>
        <v>103600</v>
      </c>
      <c r="D416" s="11">
        <f>IFERROR(__xludf.DUMMYFUNCTION("""COMPUTED_VALUE"""),1097.0)</f>
        <v>1097</v>
      </c>
      <c r="E416" s="9"/>
    </row>
    <row r="417">
      <c r="A417" s="11">
        <f>IFERROR(__xludf.DUMMYFUNCTION("""COMPUTED_VALUE"""),2021.0)</f>
        <v>2021</v>
      </c>
      <c r="B417" s="11">
        <f>IFERROR(__xludf.DUMMYFUNCTION("""COMPUTED_VALUE"""),10.0)</f>
        <v>10</v>
      </c>
      <c r="C417" s="11">
        <f>IFERROR(__xludf.DUMMYFUNCTION("""COMPUTED_VALUE"""),108802.0)</f>
        <v>108802</v>
      </c>
      <c r="D417" s="11">
        <f>IFERROR(__xludf.DUMMYFUNCTION("""COMPUTED_VALUE"""),638.0)</f>
        <v>638</v>
      </c>
      <c r="E417" s="9"/>
    </row>
    <row r="418">
      <c r="A418" s="11">
        <f>IFERROR(__xludf.DUMMYFUNCTION("""COMPUTED_VALUE"""),2021.0)</f>
        <v>2021</v>
      </c>
      <c r="B418" s="11">
        <f>IFERROR(__xludf.DUMMYFUNCTION("""COMPUTED_VALUE"""),9.0)</f>
        <v>9</v>
      </c>
      <c r="C418" s="11">
        <f>IFERROR(__xludf.DUMMYFUNCTION("""COMPUTED_VALUE"""),201034.0)</f>
        <v>201034</v>
      </c>
      <c r="D418" s="11">
        <f>IFERROR(__xludf.DUMMYFUNCTION("""COMPUTED_VALUE"""),1146.0)</f>
        <v>1146</v>
      </c>
      <c r="E418" s="9"/>
    </row>
    <row r="419">
      <c r="A419" s="11">
        <f>IFERROR(__xludf.DUMMYFUNCTION("""COMPUTED_VALUE"""),2021.0)</f>
        <v>2021</v>
      </c>
      <c r="B419" s="11">
        <f>IFERROR(__xludf.DUMMYFUNCTION("""COMPUTED_VALUE"""),8.0)</f>
        <v>8</v>
      </c>
      <c r="C419" s="11">
        <f>IFERROR(__xludf.DUMMYFUNCTION("""COMPUTED_VALUE"""),6522.0)</f>
        <v>6522</v>
      </c>
      <c r="D419" s="11">
        <f>IFERROR(__xludf.DUMMYFUNCTION("""COMPUTED_VALUE"""),821.0)</f>
        <v>821</v>
      </c>
      <c r="E419" s="9"/>
    </row>
    <row r="420">
      <c r="A420" s="11">
        <f>IFERROR(__xludf.DUMMYFUNCTION("""COMPUTED_VALUE"""),2021.0)</f>
        <v>2021</v>
      </c>
      <c r="B420" s="11">
        <f>IFERROR(__xludf.DUMMYFUNCTION("""COMPUTED_VALUE"""),11.0)</f>
        <v>11</v>
      </c>
      <c r="C420" s="11">
        <f>IFERROR(__xludf.DUMMYFUNCTION("""COMPUTED_VALUE"""),77644.0)</f>
        <v>77644</v>
      </c>
      <c r="D420" s="11">
        <f>IFERROR(__xludf.DUMMYFUNCTION("""COMPUTED_VALUE"""),521.0)</f>
        <v>521</v>
      </c>
      <c r="E420" s="9"/>
    </row>
    <row r="421">
      <c r="A421" s="11">
        <f>IFERROR(__xludf.DUMMYFUNCTION("""COMPUTED_VALUE"""),2021.0)</f>
        <v>2021</v>
      </c>
      <c r="B421" s="11">
        <f>IFERROR(__xludf.DUMMYFUNCTION("""COMPUTED_VALUE"""),11.0)</f>
        <v>11</v>
      </c>
      <c r="C421" s="11">
        <f>IFERROR(__xludf.DUMMYFUNCTION("""COMPUTED_VALUE"""),3225.0)</f>
        <v>3225</v>
      </c>
      <c r="D421" s="11">
        <f>IFERROR(__xludf.DUMMYFUNCTION("""COMPUTED_VALUE"""),1417.0)</f>
        <v>1417</v>
      </c>
      <c r="E421" s="9"/>
    </row>
    <row r="422">
      <c r="A422" s="11">
        <f>IFERROR(__xludf.DUMMYFUNCTION("""COMPUTED_VALUE"""),2021.0)</f>
        <v>2021</v>
      </c>
      <c r="B422" s="11">
        <f>IFERROR(__xludf.DUMMYFUNCTION("""COMPUTED_VALUE"""),11.0)</f>
        <v>11</v>
      </c>
      <c r="C422" s="11">
        <f>IFERROR(__xludf.DUMMYFUNCTION("""COMPUTED_VALUE"""),158447.0)</f>
        <v>158447</v>
      </c>
      <c r="D422" s="11">
        <f>IFERROR(__xludf.DUMMYFUNCTION("""COMPUTED_VALUE"""),1414.0)</f>
        <v>1414</v>
      </c>
      <c r="E422" s="9"/>
    </row>
    <row r="423">
      <c r="A423" s="11">
        <f>IFERROR(__xludf.DUMMYFUNCTION("""COMPUTED_VALUE"""),2021.0)</f>
        <v>2021</v>
      </c>
      <c r="B423" s="11">
        <f>IFERROR(__xludf.DUMMYFUNCTION("""COMPUTED_VALUE"""),9.0)</f>
        <v>9</v>
      </c>
      <c r="C423" s="11">
        <f>IFERROR(__xludf.DUMMYFUNCTION("""COMPUTED_VALUE"""),9737.0)</f>
        <v>9737</v>
      </c>
      <c r="D423" s="11">
        <f>IFERROR(__xludf.DUMMYFUNCTION("""COMPUTED_VALUE"""),6.0)</f>
        <v>6</v>
      </c>
      <c r="E423" s="9"/>
    </row>
    <row r="424">
      <c r="A424" s="11">
        <f>IFERROR(__xludf.DUMMYFUNCTION("""COMPUTED_VALUE"""),2021.0)</f>
        <v>2021</v>
      </c>
      <c r="B424" s="11">
        <f>IFERROR(__xludf.DUMMYFUNCTION("""COMPUTED_VALUE"""),10.0)</f>
        <v>10</v>
      </c>
      <c r="C424" s="11">
        <f>IFERROR(__xludf.DUMMYFUNCTION("""COMPUTED_VALUE"""),73260.0)</f>
        <v>73260</v>
      </c>
      <c r="D424" s="11">
        <f>IFERROR(__xludf.DUMMYFUNCTION("""COMPUTED_VALUE"""),393.0)</f>
        <v>393</v>
      </c>
      <c r="E424" s="9"/>
    </row>
    <row r="425">
      <c r="A425" s="11">
        <f>IFERROR(__xludf.DUMMYFUNCTION("""COMPUTED_VALUE"""),2021.0)</f>
        <v>2021</v>
      </c>
      <c r="B425" s="11">
        <f>IFERROR(__xludf.DUMMYFUNCTION("""COMPUTED_VALUE"""),10.0)</f>
        <v>10</v>
      </c>
      <c r="C425" s="11">
        <f>IFERROR(__xludf.DUMMYFUNCTION("""COMPUTED_VALUE"""),158467.0)</f>
        <v>158467</v>
      </c>
      <c r="D425" s="11">
        <f>IFERROR(__xludf.DUMMYFUNCTION("""COMPUTED_VALUE"""),189.0)</f>
        <v>189</v>
      </c>
      <c r="E425" s="9"/>
    </row>
    <row r="426">
      <c r="A426" s="11">
        <f>IFERROR(__xludf.DUMMYFUNCTION("""COMPUTED_VALUE"""),2021.0)</f>
        <v>2021</v>
      </c>
      <c r="B426" s="11">
        <f>IFERROR(__xludf.DUMMYFUNCTION("""COMPUTED_VALUE"""),9.0)</f>
        <v>9</v>
      </c>
      <c r="C426" s="11">
        <f>IFERROR(__xludf.DUMMYFUNCTION("""COMPUTED_VALUE"""),117319.0)</f>
        <v>117319</v>
      </c>
      <c r="D426" s="11">
        <f>IFERROR(__xludf.DUMMYFUNCTION("""COMPUTED_VALUE"""),47.0)</f>
        <v>47</v>
      </c>
      <c r="E426" s="9"/>
    </row>
    <row r="427">
      <c r="A427" s="11">
        <f>IFERROR(__xludf.DUMMYFUNCTION("""COMPUTED_VALUE"""),2021.0)</f>
        <v>2021</v>
      </c>
      <c r="B427" s="11">
        <f>IFERROR(__xludf.DUMMYFUNCTION("""COMPUTED_VALUE"""),9.0)</f>
        <v>9</v>
      </c>
      <c r="C427" s="11">
        <f>IFERROR(__xludf.DUMMYFUNCTION("""COMPUTED_VALUE"""),108893.0)</f>
        <v>108893</v>
      </c>
      <c r="D427" s="11">
        <f>IFERROR(__xludf.DUMMYFUNCTION("""COMPUTED_VALUE"""),1072.0)</f>
        <v>1072</v>
      </c>
      <c r="E427" s="9"/>
    </row>
    <row r="428">
      <c r="A428" s="11">
        <f>IFERROR(__xludf.DUMMYFUNCTION("""COMPUTED_VALUE"""),2021.0)</f>
        <v>2021</v>
      </c>
      <c r="B428" s="11">
        <f>IFERROR(__xludf.DUMMYFUNCTION("""COMPUTED_VALUE"""),9.0)</f>
        <v>9</v>
      </c>
      <c r="C428" s="11">
        <f>IFERROR(__xludf.DUMMYFUNCTION("""COMPUTED_VALUE"""),111734.0)</f>
        <v>111734</v>
      </c>
      <c r="D428" s="11">
        <f>IFERROR(__xludf.DUMMYFUNCTION("""COMPUTED_VALUE"""),1420.0)</f>
        <v>1420</v>
      </c>
      <c r="E428" s="9"/>
    </row>
    <row r="429">
      <c r="A429" s="11">
        <f>IFERROR(__xludf.DUMMYFUNCTION("""COMPUTED_VALUE"""),2021.0)</f>
        <v>2021</v>
      </c>
      <c r="B429" s="11">
        <f>IFERROR(__xludf.DUMMYFUNCTION("""COMPUTED_VALUE"""),9.0)</f>
        <v>9</v>
      </c>
      <c r="C429" s="11">
        <f>IFERROR(__xludf.DUMMYFUNCTION("""COMPUTED_VALUE"""),96066.0)</f>
        <v>96066</v>
      </c>
      <c r="D429" s="11">
        <f>IFERROR(__xludf.DUMMYFUNCTION("""COMPUTED_VALUE"""),178.0)</f>
        <v>178</v>
      </c>
      <c r="E429" s="9"/>
    </row>
    <row r="430">
      <c r="A430" s="11">
        <f>IFERROR(__xludf.DUMMYFUNCTION("""COMPUTED_VALUE"""),2021.0)</f>
        <v>2021</v>
      </c>
      <c r="B430" s="11">
        <f>IFERROR(__xludf.DUMMYFUNCTION("""COMPUTED_VALUE"""),11.0)</f>
        <v>11</v>
      </c>
      <c r="C430" s="11">
        <f>IFERROR(__xludf.DUMMYFUNCTION("""COMPUTED_VALUE"""),3222.0)</f>
        <v>3222</v>
      </c>
      <c r="D430" s="11">
        <f>IFERROR(__xludf.DUMMYFUNCTION("""COMPUTED_VALUE"""),1740.0)</f>
        <v>1740</v>
      </c>
      <c r="E430" s="9"/>
    </row>
    <row r="431">
      <c r="A431" s="11">
        <f>IFERROR(__xludf.DUMMYFUNCTION("""COMPUTED_VALUE"""),2021.0)</f>
        <v>2021</v>
      </c>
      <c r="B431" s="11">
        <f>IFERROR(__xludf.DUMMYFUNCTION("""COMPUTED_VALUE"""),11.0)</f>
        <v>11</v>
      </c>
      <c r="C431" s="11">
        <f>IFERROR(__xludf.DUMMYFUNCTION("""COMPUTED_VALUE"""),117312.0)</f>
        <v>117312</v>
      </c>
      <c r="D431" s="11">
        <f>IFERROR(__xludf.DUMMYFUNCTION("""COMPUTED_VALUE"""),731.0)</f>
        <v>731</v>
      </c>
      <c r="E431" s="9"/>
    </row>
    <row r="432">
      <c r="A432" s="11">
        <f>IFERROR(__xludf.DUMMYFUNCTION("""COMPUTED_VALUE"""),2021.0)</f>
        <v>2021</v>
      </c>
      <c r="B432" s="11">
        <f>IFERROR(__xludf.DUMMYFUNCTION("""COMPUTED_VALUE"""),8.0)</f>
        <v>8</v>
      </c>
      <c r="C432" s="11">
        <f>IFERROR(__xludf.DUMMYFUNCTION("""COMPUTED_VALUE"""),104791.0)</f>
        <v>104791</v>
      </c>
      <c r="D432" s="11">
        <f>IFERROR(__xludf.DUMMYFUNCTION("""COMPUTED_VALUE"""),1261.0)</f>
        <v>1261</v>
      </c>
      <c r="E432" s="9"/>
    </row>
    <row r="433">
      <c r="A433" s="11">
        <f>IFERROR(__xludf.DUMMYFUNCTION("""COMPUTED_VALUE"""),2021.0)</f>
        <v>2021</v>
      </c>
      <c r="B433" s="11">
        <f>IFERROR(__xludf.DUMMYFUNCTION("""COMPUTED_VALUE"""),11.0)</f>
        <v>11</v>
      </c>
      <c r="C433" s="11">
        <f>IFERROR(__xludf.DUMMYFUNCTION("""COMPUTED_VALUE"""),10051.0)</f>
        <v>10051</v>
      </c>
      <c r="D433" s="11">
        <f>IFERROR(__xludf.DUMMYFUNCTION("""COMPUTED_VALUE"""),534.0)</f>
        <v>534</v>
      </c>
      <c r="E433" s="9"/>
    </row>
    <row r="434">
      <c r="A434" s="11">
        <f>IFERROR(__xludf.DUMMYFUNCTION("""COMPUTED_VALUE"""),2021.0)</f>
        <v>2021</v>
      </c>
      <c r="B434" s="11">
        <f>IFERROR(__xludf.DUMMYFUNCTION("""COMPUTED_VALUE"""),8.0)</f>
        <v>8</v>
      </c>
      <c r="C434" s="11">
        <f>IFERROR(__xludf.DUMMYFUNCTION("""COMPUTED_VALUE"""),29318.0)</f>
        <v>29318</v>
      </c>
      <c r="D434" s="11">
        <f>IFERROR(__xludf.DUMMYFUNCTION("""COMPUTED_VALUE"""),508.0)</f>
        <v>508</v>
      </c>
      <c r="E434" s="9"/>
    </row>
    <row r="435">
      <c r="A435" s="11">
        <f>IFERROR(__xludf.DUMMYFUNCTION("""COMPUTED_VALUE"""),2021.0)</f>
        <v>2021</v>
      </c>
      <c r="B435" s="11">
        <f>IFERROR(__xludf.DUMMYFUNCTION("""COMPUTED_VALUE"""),10.0)</f>
        <v>10</v>
      </c>
      <c r="C435" s="11">
        <f>IFERROR(__xludf.DUMMYFUNCTION("""COMPUTED_VALUE"""),116885.0)</f>
        <v>116885</v>
      </c>
      <c r="D435" s="11">
        <f>IFERROR(__xludf.DUMMYFUNCTION("""COMPUTED_VALUE"""),548.0)</f>
        <v>548</v>
      </c>
      <c r="E435" s="9"/>
    </row>
    <row r="436">
      <c r="A436" s="11">
        <f>IFERROR(__xludf.DUMMYFUNCTION("""COMPUTED_VALUE"""),2021.0)</f>
        <v>2021</v>
      </c>
      <c r="B436" s="11">
        <f>IFERROR(__xludf.DUMMYFUNCTION("""COMPUTED_VALUE"""),10.0)</f>
        <v>10</v>
      </c>
      <c r="C436" s="11">
        <f>IFERROR(__xludf.DUMMYFUNCTION("""COMPUTED_VALUE"""),121614.0)</f>
        <v>121614</v>
      </c>
      <c r="D436" s="11">
        <f>IFERROR(__xludf.DUMMYFUNCTION("""COMPUTED_VALUE"""),447.0)</f>
        <v>447</v>
      </c>
      <c r="E436" s="9"/>
    </row>
    <row r="437">
      <c r="A437" s="11">
        <f>IFERROR(__xludf.DUMMYFUNCTION("""COMPUTED_VALUE"""),2021.0)</f>
        <v>2021</v>
      </c>
      <c r="B437" s="11">
        <f>IFERROR(__xludf.DUMMYFUNCTION("""COMPUTED_VALUE"""),9.0)</f>
        <v>9</v>
      </c>
      <c r="C437" s="11">
        <f>IFERROR(__xludf.DUMMYFUNCTION("""COMPUTED_VALUE"""),10048.0)</f>
        <v>10048</v>
      </c>
      <c r="D437" s="11">
        <f>IFERROR(__xludf.DUMMYFUNCTION("""COMPUTED_VALUE"""),421.0)</f>
        <v>421</v>
      </c>
      <c r="E437" s="9"/>
    </row>
    <row r="438">
      <c r="A438" s="11">
        <f>IFERROR(__xludf.DUMMYFUNCTION("""COMPUTED_VALUE"""),2021.0)</f>
        <v>2021</v>
      </c>
      <c r="B438" s="11">
        <f>IFERROR(__xludf.DUMMYFUNCTION("""COMPUTED_VALUE"""),10.0)</f>
        <v>10</v>
      </c>
      <c r="C438" s="11">
        <f>IFERROR(__xludf.DUMMYFUNCTION("""COMPUTED_VALUE"""),109534.0)</f>
        <v>109534</v>
      </c>
      <c r="D438" s="11">
        <f>IFERROR(__xludf.DUMMYFUNCTION("""COMPUTED_VALUE"""),451.0)</f>
        <v>451</v>
      </c>
      <c r="E438" s="9"/>
    </row>
    <row r="439">
      <c r="A439" s="11">
        <f>IFERROR(__xludf.DUMMYFUNCTION("""COMPUTED_VALUE"""),2021.0)</f>
        <v>2021</v>
      </c>
      <c r="B439" s="11">
        <f>IFERROR(__xludf.DUMMYFUNCTION("""COMPUTED_VALUE"""),11.0)</f>
        <v>11</v>
      </c>
      <c r="C439" s="11">
        <f>IFERROR(__xludf.DUMMYFUNCTION("""COMPUTED_VALUE"""),111802.0)</f>
        <v>111802</v>
      </c>
      <c r="D439" s="11">
        <f>IFERROR(__xludf.DUMMYFUNCTION("""COMPUTED_VALUE"""),1078.0)</f>
        <v>1078</v>
      </c>
      <c r="E439" s="9"/>
    </row>
    <row r="440">
      <c r="A440" s="11">
        <f>IFERROR(__xludf.DUMMYFUNCTION("""COMPUTED_VALUE"""),2021.0)</f>
        <v>2021</v>
      </c>
      <c r="B440" s="11">
        <f>IFERROR(__xludf.DUMMYFUNCTION("""COMPUTED_VALUE"""),10.0)</f>
        <v>10</v>
      </c>
      <c r="C440" s="11">
        <f>IFERROR(__xludf.DUMMYFUNCTION("""COMPUTED_VALUE"""),108801.0)</f>
        <v>108801</v>
      </c>
      <c r="D440" s="11">
        <f>IFERROR(__xludf.DUMMYFUNCTION("""COMPUTED_VALUE"""),876.0)</f>
        <v>876</v>
      </c>
      <c r="E440" s="9"/>
    </row>
    <row r="441">
      <c r="A441" s="11">
        <f>IFERROR(__xludf.DUMMYFUNCTION("""COMPUTED_VALUE"""),2021.0)</f>
        <v>2021</v>
      </c>
      <c r="B441" s="11">
        <f>IFERROR(__xludf.DUMMYFUNCTION("""COMPUTED_VALUE"""),9.0)</f>
        <v>9</v>
      </c>
      <c r="C441" s="11">
        <f>IFERROR(__xludf.DUMMYFUNCTION("""COMPUTED_VALUE"""),9735.0)</f>
        <v>9735</v>
      </c>
      <c r="D441" s="11">
        <f>IFERROR(__xludf.DUMMYFUNCTION("""COMPUTED_VALUE"""),521.0)</f>
        <v>521</v>
      </c>
      <c r="E441" s="9"/>
    </row>
    <row r="442">
      <c r="A442" s="11">
        <f>IFERROR(__xludf.DUMMYFUNCTION("""COMPUTED_VALUE"""),2021.0)</f>
        <v>2021</v>
      </c>
      <c r="B442" s="11">
        <f>IFERROR(__xludf.DUMMYFUNCTION("""COMPUTED_VALUE"""),10.0)</f>
        <v>10</v>
      </c>
      <c r="C442" s="11">
        <f>IFERROR(__xludf.DUMMYFUNCTION("""COMPUTED_VALUE"""),109531.0)</f>
        <v>109531</v>
      </c>
      <c r="D442" s="11">
        <f>IFERROR(__xludf.DUMMYFUNCTION("""COMPUTED_VALUE"""),1309.0)</f>
        <v>1309</v>
      </c>
      <c r="E442" s="9"/>
    </row>
    <row r="443">
      <c r="A443" s="11">
        <f>IFERROR(__xludf.DUMMYFUNCTION("""COMPUTED_VALUE"""),2021.0)</f>
        <v>2021</v>
      </c>
      <c r="B443" s="11">
        <f>IFERROR(__xludf.DUMMYFUNCTION("""COMPUTED_VALUE"""),11.0)</f>
        <v>11</v>
      </c>
      <c r="C443" s="11">
        <f>IFERROR(__xludf.DUMMYFUNCTION("""COMPUTED_VALUE"""),44533.0)</f>
        <v>44533</v>
      </c>
      <c r="D443" s="11">
        <f>IFERROR(__xludf.DUMMYFUNCTION("""COMPUTED_VALUE"""),610.0)</f>
        <v>610</v>
      </c>
      <c r="E443" s="9"/>
    </row>
    <row r="444">
      <c r="A444" s="11">
        <f>IFERROR(__xludf.DUMMYFUNCTION("""COMPUTED_VALUE"""),2021.0)</f>
        <v>2021</v>
      </c>
      <c r="B444" s="11">
        <f>IFERROR(__xludf.DUMMYFUNCTION("""COMPUTED_VALUE"""),10.0)</f>
        <v>10</v>
      </c>
      <c r="C444" s="11">
        <f>IFERROR(__xludf.DUMMYFUNCTION("""COMPUTED_VALUE"""),158465.0)</f>
        <v>158465</v>
      </c>
      <c r="D444" s="11">
        <f>IFERROR(__xludf.DUMMYFUNCTION("""COMPUTED_VALUE"""),347.0)</f>
        <v>347</v>
      </c>
      <c r="E444" s="9"/>
    </row>
    <row r="445">
      <c r="A445" s="11">
        <f>IFERROR(__xludf.DUMMYFUNCTION("""COMPUTED_VALUE"""),2021.0)</f>
        <v>2021</v>
      </c>
      <c r="B445" s="11">
        <f>IFERROR(__xludf.DUMMYFUNCTION("""COMPUTED_VALUE"""),11.0)</f>
        <v>11</v>
      </c>
      <c r="C445" s="11">
        <f>IFERROR(__xludf.DUMMYFUNCTION("""COMPUTED_VALUE"""),79107.0)</f>
        <v>79107</v>
      </c>
      <c r="D445" s="11">
        <f>IFERROR(__xludf.DUMMYFUNCTION("""COMPUTED_VALUE"""),1605.0)</f>
        <v>1605</v>
      </c>
      <c r="E445" s="9"/>
    </row>
    <row r="446">
      <c r="A446" s="11">
        <f>IFERROR(__xludf.DUMMYFUNCTION("""COMPUTED_VALUE"""),2021.0)</f>
        <v>2021</v>
      </c>
      <c r="B446" s="11">
        <f>IFERROR(__xludf.DUMMYFUNCTION("""COMPUTED_VALUE"""),11.0)</f>
        <v>11</v>
      </c>
      <c r="C446" s="11">
        <f>IFERROR(__xludf.DUMMYFUNCTION("""COMPUTED_VALUE"""),78631.0)</f>
        <v>78631</v>
      </c>
      <c r="D446" s="11">
        <f>IFERROR(__xludf.DUMMYFUNCTION("""COMPUTED_VALUE"""),929.0)</f>
        <v>929</v>
      </c>
      <c r="E446" s="9"/>
    </row>
    <row r="447">
      <c r="A447" s="11">
        <f>IFERROR(__xludf.DUMMYFUNCTION("""COMPUTED_VALUE"""),2021.0)</f>
        <v>2021</v>
      </c>
      <c r="B447" s="11">
        <f>IFERROR(__xludf.DUMMYFUNCTION("""COMPUTED_VALUE"""),10.0)</f>
        <v>10</v>
      </c>
      <c r="C447" s="11">
        <f>IFERROR(__xludf.DUMMYFUNCTION("""COMPUTED_VALUE"""),120469.0)</f>
        <v>120469</v>
      </c>
      <c r="D447" s="11">
        <f>IFERROR(__xludf.DUMMYFUNCTION("""COMPUTED_VALUE"""),817.0)</f>
        <v>817</v>
      </c>
      <c r="E447" s="9"/>
    </row>
    <row r="448">
      <c r="A448" s="11">
        <f>IFERROR(__xludf.DUMMYFUNCTION("""COMPUTED_VALUE"""),2021.0)</f>
        <v>2021</v>
      </c>
      <c r="B448" s="11">
        <f>IFERROR(__xludf.DUMMYFUNCTION("""COMPUTED_VALUE"""),11.0)</f>
        <v>11</v>
      </c>
      <c r="C448" s="11">
        <f>IFERROR(__xludf.DUMMYFUNCTION("""COMPUTED_VALUE"""),6523.0)</f>
        <v>6523</v>
      </c>
      <c r="D448" s="11">
        <f>IFERROR(__xludf.DUMMYFUNCTION("""COMPUTED_VALUE"""),1569.0)</f>
        <v>1569</v>
      </c>
      <c r="E448" s="9"/>
    </row>
    <row r="449">
      <c r="A449" s="11">
        <f>IFERROR(__xludf.DUMMYFUNCTION("""COMPUTED_VALUE"""),2021.0)</f>
        <v>2021</v>
      </c>
      <c r="B449" s="11">
        <f>IFERROR(__xludf.DUMMYFUNCTION("""COMPUTED_VALUE"""),9.0)</f>
        <v>9</v>
      </c>
      <c r="C449" s="11">
        <f>IFERROR(__xludf.DUMMYFUNCTION("""COMPUTED_VALUE"""),41819.0)</f>
        <v>41819</v>
      </c>
      <c r="D449" s="11">
        <f>IFERROR(__xludf.DUMMYFUNCTION("""COMPUTED_VALUE"""),1374.0)</f>
        <v>1374</v>
      </c>
      <c r="E449" s="9"/>
    </row>
    <row r="450">
      <c r="A450" s="11">
        <f>IFERROR(__xludf.DUMMYFUNCTION("""COMPUTED_VALUE"""),2021.0)</f>
        <v>2021</v>
      </c>
      <c r="B450" s="11">
        <f>IFERROR(__xludf.DUMMYFUNCTION("""COMPUTED_VALUE"""),11.0)</f>
        <v>11</v>
      </c>
      <c r="C450" s="11">
        <f>IFERROR(__xludf.DUMMYFUNCTION("""COMPUTED_VALUE"""),108889.0)</f>
        <v>108889</v>
      </c>
      <c r="D450" s="11">
        <f>IFERROR(__xludf.DUMMYFUNCTION("""COMPUTED_VALUE"""),672.0)</f>
        <v>672</v>
      </c>
      <c r="E450" s="9"/>
    </row>
    <row r="451">
      <c r="A451" s="11">
        <f>IFERROR(__xludf.DUMMYFUNCTION("""COMPUTED_VALUE"""),2021.0)</f>
        <v>2021</v>
      </c>
      <c r="B451" s="11">
        <f>IFERROR(__xludf.DUMMYFUNCTION("""COMPUTED_VALUE"""),9.0)</f>
        <v>9</v>
      </c>
      <c r="C451" s="11">
        <f>IFERROR(__xludf.DUMMYFUNCTION("""COMPUTED_VALUE"""),92564.0)</f>
        <v>92564</v>
      </c>
      <c r="D451" s="11">
        <f>IFERROR(__xludf.DUMMYFUNCTION("""COMPUTED_VALUE"""),1289.0)</f>
        <v>1289</v>
      </c>
      <c r="E451" s="9"/>
    </row>
    <row r="452">
      <c r="A452" s="11">
        <f>IFERROR(__xludf.DUMMYFUNCTION("""COMPUTED_VALUE"""),2021.0)</f>
        <v>2021</v>
      </c>
      <c r="B452" s="11">
        <f>IFERROR(__xludf.DUMMYFUNCTION("""COMPUTED_VALUE"""),8.0)</f>
        <v>8</v>
      </c>
      <c r="C452" s="11">
        <f>IFERROR(__xludf.DUMMYFUNCTION("""COMPUTED_VALUE"""),158456.0)</f>
        <v>158456</v>
      </c>
      <c r="D452" s="11">
        <f>IFERROR(__xludf.DUMMYFUNCTION("""COMPUTED_VALUE"""),1645.0)</f>
        <v>1645</v>
      </c>
      <c r="E452" s="9"/>
    </row>
    <row r="453">
      <c r="A453" s="11">
        <f>IFERROR(__xludf.DUMMYFUNCTION("""COMPUTED_VALUE"""),2021.0)</f>
        <v>2021</v>
      </c>
      <c r="B453" s="11">
        <f>IFERROR(__xludf.DUMMYFUNCTION("""COMPUTED_VALUE"""),10.0)</f>
        <v>10</v>
      </c>
      <c r="C453" s="11">
        <f>IFERROR(__xludf.DUMMYFUNCTION("""COMPUTED_VALUE"""),111735.0)</f>
        <v>111735</v>
      </c>
      <c r="D453" s="11">
        <f>IFERROR(__xludf.DUMMYFUNCTION("""COMPUTED_VALUE"""),92.0)</f>
        <v>92</v>
      </c>
      <c r="E453" s="9"/>
    </row>
    <row r="454">
      <c r="A454" s="11">
        <f>IFERROR(__xludf.DUMMYFUNCTION("""COMPUTED_VALUE"""),2021.0)</f>
        <v>2021</v>
      </c>
      <c r="B454" s="11">
        <f>IFERROR(__xludf.DUMMYFUNCTION("""COMPUTED_VALUE"""),8.0)</f>
        <v>8</v>
      </c>
      <c r="C454" s="11">
        <f>IFERROR(__xludf.DUMMYFUNCTION("""COMPUTED_VALUE"""),109537.0)</f>
        <v>109537</v>
      </c>
      <c r="D454" s="11">
        <f>IFERROR(__xludf.DUMMYFUNCTION("""COMPUTED_VALUE"""),765.0)</f>
        <v>765</v>
      </c>
      <c r="E454" s="9"/>
    </row>
    <row r="455">
      <c r="A455" s="11">
        <f>IFERROR(__xludf.DUMMYFUNCTION("""COMPUTED_VALUE"""),2021.0)</f>
        <v>2021</v>
      </c>
      <c r="B455" s="11">
        <f>IFERROR(__xludf.DUMMYFUNCTION("""COMPUTED_VALUE"""),11.0)</f>
        <v>11</v>
      </c>
      <c r="C455" s="11">
        <f>IFERROR(__xludf.DUMMYFUNCTION("""COMPUTED_VALUE"""),109381.0)</f>
        <v>109381</v>
      </c>
      <c r="D455" s="11">
        <f>IFERROR(__xludf.DUMMYFUNCTION("""COMPUTED_VALUE"""),345.0)</f>
        <v>345</v>
      </c>
      <c r="E455" s="9"/>
    </row>
    <row r="456">
      <c r="A456" s="11">
        <f>IFERROR(__xludf.DUMMYFUNCTION("""COMPUTED_VALUE"""),2021.0)</f>
        <v>2021</v>
      </c>
      <c r="B456" s="11">
        <f>IFERROR(__xludf.DUMMYFUNCTION("""COMPUTED_VALUE"""),11.0)</f>
        <v>11</v>
      </c>
      <c r="C456" s="11">
        <f>IFERROR(__xludf.DUMMYFUNCTION("""COMPUTED_VALUE"""),120944.0)</f>
        <v>120944</v>
      </c>
      <c r="D456" s="11">
        <f>IFERROR(__xludf.DUMMYFUNCTION("""COMPUTED_VALUE"""),498.0)</f>
        <v>498</v>
      </c>
      <c r="E456" s="9"/>
    </row>
    <row r="457">
      <c r="A457" s="11">
        <f>IFERROR(__xludf.DUMMYFUNCTION("""COMPUTED_VALUE"""),2021.0)</f>
        <v>2021</v>
      </c>
      <c r="B457" s="11">
        <f>IFERROR(__xludf.DUMMYFUNCTION("""COMPUTED_VALUE"""),11.0)</f>
        <v>11</v>
      </c>
      <c r="C457" s="11">
        <f>IFERROR(__xludf.DUMMYFUNCTION("""COMPUTED_VALUE"""),29320.0)</f>
        <v>29320</v>
      </c>
      <c r="D457" s="11">
        <f>IFERROR(__xludf.DUMMYFUNCTION("""COMPUTED_VALUE"""),1223.0)</f>
        <v>1223</v>
      </c>
      <c r="E457" s="9"/>
    </row>
    <row r="458">
      <c r="A458" s="11">
        <f>IFERROR(__xludf.DUMMYFUNCTION("""COMPUTED_VALUE"""),2021.0)</f>
        <v>2021</v>
      </c>
      <c r="B458" s="11">
        <f>IFERROR(__xludf.DUMMYFUNCTION("""COMPUTED_VALUE"""),10.0)</f>
        <v>10</v>
      </c>
      <c r="C458" s="11">
        <f>IFERROR(__xludf.DUMMYFUNCTION("""COMPUTED_VALUE"""),118222.0)</f>
        <v>118222</v>
      </c>
      <c r="D458" s="11">
        <f>IFERROR(__xludf.DUMMYFUNCTION("""COMPUTED_VALUE"""),1305.0)</f>
        <v>1305</v>
      </c>
      <c r="E458" s="9"/>
    </row>
    <row r="459">
      <c r="A459" s="11">
        <f>IFERROR(__xludf.DUMMYFUNCTION("""COMPUTED_VALUE"""),2021.0)</f>
        <v>2021</v>
      </c>
      <c r="B459" s="11">
        <f>IFERROR(__xludf.DUMMYFUNCTION("""COMPUTED_VALUE"""),10.0)</f>
        <v>10</v>
      </c>
      <c r="C459" s="11">
        <f>IFERROR(__xludf.DUMMYFUNCTION("""COMPUTED_VALUE"""),108897.0)</f>
        <v>108897</v>
      </c>
      <c r="D459" s="11">
        <f>IFERROR(__xludf.DUMMYFUNCTION("""COMPUTED_VALUE"""),782.0)</f>
        <v>782</v>
      </c>
      <c r="E459" s="9"/>
    </row>
    <row r="460">
      <c r="A460" s="11">
        <f>IFERROR(__xludf.DUMMYFUNCTION("""COMPUTED_VALUE"""),2021.0)</f>
        <v>2021</v>
      </c>
      <c r="B460" s="11">
        <f>IFERROR(__xludf.DUMMYFUNCTION("""COMPUTED_VALUE"""),11.0)</f>
        <v>11</v>
      </c>
      <c r="C460" s="11">
        <f>IFERROR(__xludf.DUMMYFUNCTION("""COMPUTED_VALUE"""),101565.0)</f>
        <v>101565</v>
      </c>
      <c r="D460" s="11">
        <f>IFERROR(__xludf.DUMMYFUNCTION("""COMPUTED_VALUE"""),1143.0)</f>
        <v>1143</v>
      </c>
      <c r="E460" s="9"/>
    </row>
    <row r="461">
      <c r="A461" s="11">
        <f>IFERROR(__xludf.DUMMYFUNCTION("""COMPUTED_VALUE"""),2021.0)</f>
        <v>2021</v>
      </c>
      <c r="B461" s="11">
        <f>IFERROR(__xludf.DUMMYFUNCTION("""COMPUTED_VALUE"""),11.0)</f>
        <v>11</v>
      </c>
      <c r="C461" s="11">
        <f>IFERROR(__xludf.DUMMYFUNCTION("""COMPUTED_VALUE"""),29319.0)</f>
        <v>29319</v>
      </c>
      <c r="D461" s="11">
        <f>IFERROR(__xludf.DUMMYFUNCTION("""COMPUTED_VALUE"""),252.0)</f>
        <v>252</v>
      </c>
      <c r="E461" s="9"/>
    </row>
    <row r="462">
      <c r="A462" s="11">
        <f>IFERROR(__xludf.DUMMYFUNCTION("""COMPUTED_VALUE"""),2021.0)</f>
        <v>2021</v>
      </c>
      <c r="B462" s="11">
        <f>IFERROR(__xludf.DUMMYFUNCTION("""COMPUTED_VALUE"""),11.0)</f>
        <v>11</v>
      </c>
      <c r="C462" s="11">
        <f>IFERROR(__xludf.DUMMYFUNCTION("""COMPUTED_VALUE"""),96444.0)</f>
        <v>96444</v>
      </c>
      <c r="D462" s="11">
        <f>IFERROR(__xludf.DUMMYFUNCTION("""COMPUTED_VALUE"""),668.0)</f>
        <v>668</v>
      </c>
      <c r="E462" s="9"/>
    </row>
    <row r="463">
      <c r="A463" s="11">
        <f>IFERROR(__xludf.DUMMYFUNCTION("""COMPUTED_VALUE"""),2021.0)</f>
        <v>2021</v>
      </c>
      <c r="B463" s="11">
        <f>IFERROR(__xludf.DUMMYFUNCTION("""COMPUTED_VALUE"""),9.0)</f>
        <v>9</v>
      </c>
      <c r="C463" s="11">
        <f>IFERROR(__xludf.DUMMYFUNCTION("""COMPUTED_VALUE"""),101557.0)</f>
        <v>101557</v>
      </c>
      <c r="D463" s="11">
        <f>IFERROR(__xludf.DUMMYFUNCTION("""COMPUTED_VALUE"""),1331.0)</f>
        <v>1331</v>
      </c>
      <c r="E463" s="9"/>
    </row>
    <row r="464">
      <c r="A464" s="11">
        <f>IFERROR(__xludf.DUMMYFUNCTION("""COMPUTED_VALUE"""),2021.0)</f>
        <v>2021</v>
      </c>
      <c r="B464" s="11">
        <f>IFERROR(__xludf.DUMMYFUNCTION("""COMPUTED_VALUE"""),11.0)</f>
        <v>11</v>
      </c>
      <c r="C464" s="11">
        <f>IFERROR(__xludf.DUMMYFUNCTION("""COMPUTED_VALUE"""),103610.0)</f>
        <v>103610</v>
      </c>
      <c r="D464" s="11">
        <f>IFERROR(__xludf.DUMMYFUNCTION("""COMPUTED_VALUE"""),745.0)</f>
        <v>745</v>
      </c>
      <c r="E464" s="9"/>
    </row>
    <row r="465">
      <c r="A465" s="11">
        <f>IFERROR(__xludf.DUMMYFUNCTION("""COMPUTED_VALUE"""),2021.0)</f>
        <v>2021</v>
      </c>
      <c r="B465" s="11">
        <f>IFERROR(__xludf.DUMMYFUNCTION("""COMPUTED_VALUE"""),10.0)</f>
        <v>10</v>
      </c>
      <c r="C465" s="11">
        <f>IFERROR(__xludf.DUMMYFUNCTION("""COMPUTED_VALUE"""),181195.0)</f>
        <v>181195</v>
      </c>
      <c r="D465" s="11">
        <f>IFERROR(__xludf.DUMMYFUNCTION("""COMPUTED_VALUE"""),833.0)</f>
        <v>833</v>
      </c>
      <c r="E465" s="9"/>
    </row>
    <row r="466">
      <c r="A466" s="11">
        <f>IFERROR(__xludf.DUMMYFUNCTION("""COMPUTED_VALUE"""),2021.0)</f>
        <v>2021</v>
      </c>
      <c r="B466" s="11">
        <f>IFERROR(__xludf.DUMMYFUNCTION("""COMPUTED_VALUE"""),10.0)</f>
        <v>10</v>
      </c>
      <c r="C466" s="11">
        <f>IFERROR(__xludf.DUMMYFUNCTION("""COMPUTED_VALUE"""),12639.0)</f>
        <v>12639</v>
      </c>
      <c r="D466" s="11">
        <f>IFERROR(__xludf.DUMMYFUNCTION("""COMPUTED_VALUE"""),645.0)</f>
        <v>645</v>
      </c>
      <c r="E466" s="9"/>
    </row>
    <row r="467">
      <c r="A467" s="11">
        <f>IFERROR(__xludf.DUMMYFUNCTION("""COMPUTED_VALUE"""),2021.0)</f>
        <v>2021</v>
      </c>
      <c r="B467" s="11">
        <f>IFERROR(__xludf.DUMMYFUNCTION("""COMPUTED_VALUE"""),8.0)</f>
        <v>8</v>
      </c>
      <c r="C467" s="11">
        <f>IFERROR(__xludf.DUMMYFUNCTION("""COMPUTED_VALUE"""),158464.0)</f>
        <v>158464</v>
      </c>
      <c r="D467" s="11">
        <f>IFERROR(__xludf.DUMMYFUNCTION("""COMPUTED_VALUE"""),205.0)</f>
        <v>205</v>
      </c>
      <c r="E467" s="9"/>
    </row>
    <row r="468">
      <c r="A468" s="11">
        <f>IFERROR(__xludf.DUMMYFUNCTION("""COMPUTED_VALUE"""),2021.0)</f>
        <v>2021</v>
      </c>
      <c r="B468" s="11">
        <f>IFERROR(__xludf.DUMMYFUNCTION("""COMPUTED_VALUE"""),9.0)</f>
        <v>9</v>
      </c>
      <c r="C468" s="11">
        <f>IFERROR(__xludf.DUMMYFUNCTION("""COMPUTED_VALUE"""),116525.0)</f>
        <v>116525</v>
      </c>
      <c r="D468" s="11">
        <f>IFERROR(__xludf.DUMMYFUNCTION("""COMPUTED_VALUE"""),571.0)</f>
        <v>571</v>
      </c>
      <c r="E468" s="9"/>
    </row>
    <row r="469">
      <c r="A469" s="11">
        <f>IFERROR(__xludf.DUMMYFUNCTION("""COMPUTED_VALUE"""),2021.0)</f>
        <v>2021</v>
      </c>
      <c r="B469" s="11">
        <f>IFERROR(__xludf.DUMMYFUNCTION("""COMPUTED_VALUE"""),11.0)</f>
        <v>11</v>
      </c>
      <c r="C469" s="11">
        <f>IFERROR(__xludf.DUMMYFUNCTION("""COMPUTED_VALUE"""),116295.0)</f>
        <v>116295</v>
      </c>
      <c r="D469" s="11">
        <f>IFERROR(__xludf.DUMMYFUNCTION("""COMPUTED_VALUE"""),32.0)</f>
        <v>32</v>
      </c>
      <c r="E469" s="9"/>
    </row>
    <row r="470">
      <c r="A470" s="11">
        <f>IFERROR(__xludf.DUMMYFUNCTION("""COMPUTED_VALUE"""),2021.0)</f>
        <v>2021</v>
      </c>
      <c r="B470" s="11">
        <f>IFERROR(__xludf.DUMMYFUNCTION("""COMPUTED_VALUE"""),10.0)</f>
        <v>10</v>
      </c>
      <c r="C470" s="11">
        <f>IFERROR(__xludf.DUMMYFUNCTION("""COMPUTED_VALUE"""),116297.0)</f>
        <v>116297</v>
      </c>
      <c r="D470" s="11">
        <f>IFERROR(__xludf.DUMMYFUNCTION("""COMPUTED_VALUE"""),376.0)</f>
        <v>376</v>
      </c>
      <c r="E470" s="9"/>
    </row>
    <row r="471">
      <c r="A471" s="11">
        <f>IFERROR(__xludf.DUMMYFUNCTION("""COMPUTED_VALUE"""),2021.0)</f>
        <v>2021</v>
      </c>
      <c r="B471" s="11">
        <f>IFERROR(__xludf.DUMMYFUNCTION("""COMPUTED_VALUE"""),8.0)</f>
        <v>8</v>
      </c>
      <c r="C471" s="11">
        <f>IFERROR(__xludf.DUMMYFUNCTION("""COMPUTED_VALUE"""),11421.0)</f>
        <v>11421</v>
      </c>
      <c r="D471" s="11">
        <f>IFERROR(__xludf.DUMMYFUNCTION("""COMPUTED_VALUE"""),1199.0)</f>
        <v>1199</v>
      </c>
      <c r="E471" s="9"/>
    </row>
    <row r="472">
      <c r="A472" s="11">
        <f>IFERROR(__xludf.DUMMYFUNCTION("""COMPUTED_VALUE"""),2021.0)</f>
        <v>2021</v>
      </c>
      <c r="B472" s="11">
        <f>IFERROR(__xludf.DUMMYFUNCTION("""COMPUTED_VALUE"""),9.0)</f>
        <v>9</v>
      </c>
      <c r="C472" s="11">
        <f>IFERROR(__xludf.DUMMYFUNCTION("""COMPUTED_VALUE"""),101549.0)</f>
        <v>101549</v>
      </c>
      <c r="D472" s="11">
        <f>IFERROR(__xludf.DUMMYFUNCTION("""COMPUTED_VALUE"""),1330.0)</f>
        <v>1330</v>
      </c>
      <c r="E472" s="9"/>
    </row>
    <row r="473">
      <c r="A473" s="11">
        <f>IFERROR(__xludf.DUMMYFUNCTION("""COMPUTED_VALUE"""),2021.0)</f>
        <v>2021</v>
      </c>
      <c r="B473" s="11">
        <f>IFERROR(__xludf.DUMMYFUNCTION("""COMPUTED_VALUE"""),10.0)</f>
        <v>10</v>
      </c>
      <c r="C473" s="11">
        <f>IFERROR(__xludf.DUMMYFUNCTION("""COMPUTED_VALUE"""),109543.0)</f>
        <v>109543</v>
      </c>
      <c r="D473" s="11">
        <f>IFERROR(__xludf.DUMMYFUNCTION("""COMPUTED_VALUE"""),638.0)</f>
        <v>638</v>
      </c>
      <c r="E473" s="9"/>
    </row>
    <row r="474">
      <c r="A474" s="11">
        <f>IFERROR(__xludf.DUMMYFUNCTION("""COMPUTED_VALUE"""),2021.0)</f>
        <v>2021</v>
      </c>
      <c r="B474" s="11">
        <f>IFERROR(__xludf.DUMMYFUNCTION("""COMPUTED_VALUE"""),11.0)</f>
        <v>11</v>
      </c>
      <c r="C474" s="11">
        <f>IFERROR(__xludf.DUMMYFUNCTION("""COMPUTED_VALUE"""),79318.0)</f>
        <v>79318</v>
      </c>
      <c r="D474" s="11">
        <f>IFERROR(__xludf.DUMMYFUNCTION("""COMPUTED_VALUE"""),887.0)</f>
        <v>887</v>
      </c>
      <c r="E474" s="9"/>
    </row>
    <row r="475">
      <c r="A475" s="11">
        <f>IFERROR(__xludf.DUMMYFUNCTION("""COMPUTED_VALUE"""),2021.0)</f>
        <v>2021</v>
      </c>
      <c r="B475" s="11">
        <f>IFERROR(__xludf.DUMMYFUNCTION("""COMPUTED_VALUE"""),11.0)</f>
        <v>11</v>
      </c>
      <c r="C475" s="11">
        <f>IFERROR(__xludf.DUMMYFUNCTION("""COMPUTED_VALUE"""),2203.0)</f>
        <v>2203</v>
      </c>
      <c r="D475" s="11">
        <f>IFERROR(__xludf.DUMMYFUNCTION("""COMPUTED_VALUE"""),1199.0)</f>
        <v>1199</v>
      </c>
      <c r="E475" s="9"/>
    </row>
    <row r="476">
      <c r="A476" s="11">
        <f>IFERROR(__xludf.DUMMYFUNCTION("""COMPUTED_VALUE"""),2021.0)</f>
        <v>2021</v>
      </c>
      <c r="B476" s="11">
        <f>IFERROR(__xludf.DUMMYFUNCTION("""COMPUTED_VALUE"""),11.0)</f>
        <v>11</v>
      </c>
      <c r="C476" s="11">
        <f>IFERROR(__xludf.DUMMYFUNCTION("""COMPUTED_VALUE"""),111727.0)</f>
        <v>111727</v>
      </c>
      <c r="D476" s="11">
        <f>IFERROR(__xludf.DUMMYFUNCTION("""COMPUTED_VALUE"""),1786.0)</f>
        <v>1786</v>
      </c>
      <c r="E476" s="9"/>
    </row>
    <row r="477">
      <c r="A477" s="11">
        <f>IFERROR(__xludf.DUMMYFUNCTION("""COMPUTED_VALUE"""),2021.0)</f>
        <v>2021</v>
      </c>
      <c r="B477" s="11">
        <f>IFERROR(__xludf.DUMMYFUNCTION("""COMPUTED_VALUE"""),10.0)</f>
        <v>10</v>
      </c>
      <c r="C477" s="11">
        <f>IFERROR(__xludf.DUMMYFUNCTION("""COMPUTED_VALUE"""),118151.0)</f>
        <v>118151</v>
      </c>
      <c r="D477" s="11">
        <f>IFERROR(__xludf.DUMMYFUNCTION("""COMPUTED_VALUE"""),984.0)</f>
        <v>984</v>
      </c>
      <c r="E477" s="9"/>
    </row>
    <row r="478">
      <c r="A478" s="11">
        <f>IFERROR(__xludf.DUMMYFUNCTION("""COMPUTED_VALUE"""),2021.0)</f>
        <v>2021</v>
      </c>
      <c r="B478" s="11">
        <f>IFERROR(__xludf.DUMMYFUNCTION("""COMPUTED_VALUE"""),10.0)</f>
        <v>10</v>
      </c>
      <c r="C478" s="11">
        <f>IFERROR(__xludf.DUMMYFUNCTION("""COMPUTED_VALUE"""),108888.0)</f>
        <v>108888</v>
      </c>
      <c r="D478" s="11">
        <f>IFERROR(__xludf.DUMMYFUNCTION("""COMPUTED_VALUE"""),1677.0)</f>
        <v>1677</v>
      </c>
      <c r="E478" s="9"/>
    </row>
    <row r="479">
      <c r="A479" s="11">
        <f>IFERROR(__xludf.DUMMYFUNCTION("""COMPUTED_VALUE"""),2021.0)</f>
        <v>2021</v>
      </c>
      <c r="B479" s="11">
        <f>IFERROR(__xludf.DUMMYFUNCTION("""COMPUTED_VALUE"""),11.0)</f>
        <v>11</v>
      </c>
      <c r="C479" s="11">
        <f>IFERROR(__xludf.DUMMYFUNCTION("""COMPUTED_VALUE"""),120465.0)</f>
        <v>120465</v>
      </c>
      <c r="D479" s="11">
        <f>IFERROR(__xludf.DUMMYFUNCTION("""COMPUTED_VALUE"""),1666.0)</f>
        <v>1666</v>
      </c>
      <c r="E479" s="9"/>
    </row>
    <row r="480">
      <c r="A480" s="11">
        <f>IFERROR(__xludf.DUMMYFUNCTION("""COMPUTED_VALUE"""),2021.0)</f>
        <v>2021</v>
      </c>
      <c r="B480" s="11">
        <f>IFERROR(__xludf.DUMMYFUNCTION("""COMPUTED_VALUE"""),10.0)</f>
        <v>10</v>
      </c>
      <c r="C480" s="11">
        <f>IFERROR(__xludf.DUMMYFUNCTION("""COMPUTED_VALUE"""),92561.0)</f>
        <v>92561</v>
      </c>
      <c r="D480" s="11">
        <f>IFERROR(__xludf.DUMMYFUNCTION("""COMPUTED_VALUE"""),630.0)</f>
        <v>630</v>
      </c>
      <c r="E480" s="9"/>
    </row>
    <row r="481">
      <c r="A481" s="11">
        <f>IFERROR(__xludf.DUMMYFUNCTION("""COMPUTED_VALUE"""),2021.0)</f>
        <v>2021</v>
      </c>
      <c r="B481" s="11">
        <f>IFERROR(__xludf.DUMMYFUNCTION("""COMPUTED_VALUE"""),8.0)</f>
        <v>8</v>
      </c>
      <c r="C481" s="11">
        <f>IFERROR(__xludf.DUMMYFUNCTION("""COMPUTED_VALUE"""),150294.0)</f>
        <v>150294</v>
      </c>
      <c r="D481" s="11">
        <f>IFERROR(__xludf.DUMMYFUNCTION("""COMPUTED_VALUE"""),1077.0)</f>
        <v>1077</v>
      </c>
      <c r="E481" s="9"/>
    </row>
    <row r="482">
      <c r="A482" s="11">
        <f>IFERROR(__xludf.DUMMYFUNCTION("""COMPUTED_VALUE"""),2021.0)</f>
        <v>2021</v>
      </c>
      <c r="B482" s="11">
        <f>IFERROR(__xludf.DUMMYFUNCTION("""COMPUTED_VALUE"""),10.0)</f>
        <v>10</v>
      </c>
      <c r="C482" s="11">
        <f>IFERROR(__xludf.DUMMYFUNCTION("""COMPUTED_VALUE"""),108895.0)</f>
        <v>108895</v>
      </c>
      <c r="D482" s="11">
        <f>IFERROR(__xludf.DUMMYFUNCTION("""COMPUTED_VALUE"""),1344.0)</f>
        <v>1344</v>
      </c>
      <c r="E482" s="9"/>
    </row>
    <row r="483">
      <c r="A483" s="11">
        <f>IFERROR(__xludf.DUMMYFUNCTION("""COMPUTED_VALUE"""),2021.0)</f>
        <v>2021</v>
      </c>
      <c r="B483" s="11">
        <f>IFERROR(__xludf.DUMMYFUNCTION("""COMPUTED_VALUE"""),10.0)</f>
        <v>10</v>
      </c>
      <c r="C483" s="11">
        <f>IFERROR(__xludf.DUMMYFUNCTION("""COMPUTED_VALUE"""),41666.0)</f>
        <v>41666</v>
      </c>
      <c r="D483" s="11">
        <f>IFERROR(__xludf.DUMMYFUNCTION("""COMPUTED_VALUE"""),172.0)</f>
        <v>172</v>
      </c>
      <c r="E483" s="9"/>
    </row>
    <row r="484">
      <c r="A484" s="11">
        <f>IFERROR(__xludf.DUMMYFUNCTION("""COMPUTED_VALUE"""),2021.0)</f>
        <v>2021</v>
      </c>
      <c r="B484" s="11">
        <f>IFERROR(__xludf.DUMMYFUNCTION("""COMPUTED_VALUE"""),8.0)</f>
        <v>8</v>
      </c>
      <c r="C484" s="11">
        <f>IFERROR(__xludf.DUMMYFUNCTION("""COMPUTED_VALUE"""),41816.0)</f>
        <v>41816</v>
      </c>
      <c r="D484" s="11">
        <f>IFERROR(__xludf.DUMMYFUNCTION("""COMPUTED_VALUE"""),681.0)</f>
        <v>681</v>
      </c>
      <c r="E484" s="9"/>
    </row>
    <row r="485">
      <c r="A485" s="11">
        <f>IFERROR(__xludf.DUMMYFUNCTION("""COMPUTED_VALUE"""),2021.0)</f>
        <v>2021</v>
      </c>
      <c r="B485" s="11">
        <f>IFERROR(__xludf.DUMMYFUNCTION("""COMPUTED_VALUE"""),11.0)</f>
        <v>11</v>
      </c>
      <c r="C485" s="11">
        <f>IFERROR(__xludf.DUMMYFUNCTION("""COMPUTED_VALUE"""),99779.0)</f>
        <v>99779</v>
      </c>
      <c r="D485" s="11">
        <f>IFERROR(__xludf.DUMMYFUNCTION("""COMPUTED_VALUE"""),1051.0)</f>
        <v>1051</v>
      </c>
      <c r="E485" s="9"/>
    </row>
    <row r="486">
      <c r="A486" s="11">
        <f>IFERROR(__xludf.DUMMYFUNCTION("""COMPUTED_VALUE"""),2021.0)</f>
        <v>2021</v>
      </c>
      <c r="B486" s="11">
        <f>IFERROR(__xludf.DUMMYFUNCTION("""COMPUTED_VALUE"""),10.0)</f>
        <v>10</v>
      </c>
      <c r="C486" s="11">
        <f>IFERROR(__xludf.DUMMYFUNCTION("""COMPUTED_VALUE"""),111716.0)</f>
        <v>111716</v>
      </c>
      <c r="D486" s="11">
        <f>IFERROR(__xludf.DUMMYFUNCTION("""COMPUTED_VALUE"""),1942.0)</f>
        <v>1942</v>
      </c>
      <c r="E486" s="9"/>
    </row>
    <row r="487">
      <c r="A487" s="11">
        <f>IFERROR(__xludf.DUMMYFUNCTION("""COMPUTED_VALUE"""),2021.0)</f>
        <v>2021</v>
      </c>
      <c r="B487" s="11">
        <f>IFERROR(__xludf.DUMMYFUNCTION("""COMPUTED_VALUE"""),9.0)</f>
        <v>9</v>
      </c>
      <c r="C487" s="11">
        <f>IFERROR(__xludf.DUMMYFUNCTION("""COMPUTED_VALUE"""),96443.0)</f>
        <v>96443</v>
      </c>
      <c r="D487" s="11">
        <f>IFERROR(__xludf.DUMMYFUNCTION("""COMPUTED_VALUE"""),1024.0)</f>
        <v>1024</v>
      </c>
      <c r="E487" s="9"/>
    </row>
    <row r="488">
      <c r="A488" s="11">
        <f>IFERROR(__xludf.DUMMYFUNCTION("""COMPUTED_VALUE"""),2021.0)</f>
        <v>2021</v>
      </c>
      <c r="B488" s="11">
        <f>IFERROR(__xludf.DUMMYFUNCTION("""COMPUTED_VALUE"""),11.0)</f>
        <v>11</v>
      </c>
      <c r="C488" s="11">
        <f>IFERROR(__xludf.DUMMYFUNCTION("""COMPUTED_VALUE"""),193187.0)</f>
        <v>193187</v>
      </c>
      <c r="D488" s="11">
        <f>IFERROR(__xludf.DUMMYFUNCTION("""COMPUTED_VALUE"""),1107.0)</f>
        <v>1107</v>
      </c>
      <c r="E488" s="9"/>
    </row>
    <row r="489">
      <c r="A489" s="11">
        <f>IFERROR(__xludf.DUMMYFUNCTION("""COMPUTED_VALUE"""),2021.0)</f>
        <v>2021</v>
      </c>
      <c r="B489" s="11">
        <f>IFERROR(__xludf.DUMMYFUNCTION("""COMPUTED_VALUE"""),11.0)</f>
        <v>11</v>
      </c>
      <c r="C489" s="11">
        <f>IFERROR(__xludf.DUMMYFUNCTION("""COMPUTED_VALUE"""),96068.0)</f>
        <v>96068</v>
      </c>
      <c r="D489" s="11">
        <f>IFERROR(__xludf.DUMMYFUNCTION("""COMPUTED_VALUE"""),1058.0)</f>
        <v>1058</v>
      </c>
      <c r="E489" s="9"/>
    </row>
    <row r="490">
      <c r="A490" s="11">
        <f>IFERROR(__xludf.DUMMYFUNCTION("""COMPUTED_VALUE"""),2021.0)</f>
        <v>2021</v>
      </c>
      <c r="B490" s="11">
        <f>IFERROR(__xludf.DUMMYFUNCTION("""COMPUTED_VALUE"""),11.0)</f>
        <v>11</v>
      </c>
      <c r="C490" s="11">
        <f>IFERROR(__xludf.DUMMYFUNCTION("""COMPUTED_VALUE"""),3227.0)</f>
        <v>3227</v>
      </c>
      <c r="D490" s="11">
        <f>IFERROR(__xludf.DUMMYFUNCTION("""COMPUTED_VALUE"""),872.0)</f>
        <v>872</v>
      </c>
      <c r="E490" s="9"/>
    </row>
    <row r="491">
      <c r="A491" s="11">
        <f>IFERROR(__xludf.DUMMYFUNCTION("""COMPUTED_VALUE"""),2021.0)</f>
        <v>2021</v>
      </c>
      <c r="B491" s="11">
        <f>IFERROR(__xludf.DUMMYFUNCTION("""COMPUTED_VALUE"""),11.0)</f>
        <v>11</v>
      </c>
      <c r="C491" s="11">
        <f>IFERROR(__xludf.DUMMYFUNCTION("""COMPUTED_VALUE"""),193183.0)</f>
        <v>193183</v>
      </c>
      <c r="D491" s="11">
        <f>IFERROR(__xludf.DUMMYFUNCTION("""COMPUTED_VALUE"""),1073.0)</f>
        <v>1073</v>
      </c>
      <c r="E491" s="9"/>
    </row>
    <row r="492">
      <c r="A492" s="11">
        <f>IFERROR(__xludf.DUMMYFUNCTION("""COMPUTED_VALUE"""),2021.0)</f>
        <v>2021</v>
      </c>
      <c r="B492" s="11">
        <f>IFERROR(__xludf.DUMMYFUNCTION("""COMPUTED_VALUE"""),11.0)</f>
        <v>11</v>
      </c>
      <c r="C492" s="11">
        <f>IFERROR(__xludf.DUMMYFUNCTION("""COMPUTED_VALUE"""),120945.0)</f>
        <v>120945</v>
      </c>
      <c r="D492" s="11">
        <f>IFERROR(__xludf.DUMMYFUNCTION("""COMPUTED_VALUE"""),320.0)</f>
        <v>320</v>
      </c>
      <c r="E492" s="9"/>
    </row>
    <row r="493">
      <c r="A493" s="11">
        <f>IFERROR(__xludf.DUMMYFUNCTION("""COMPUTED_VALUE"""),2021.0)</f>
        <v>2021</v>
      </c>
      <c r="B493" s="11">
        <f>IFERROR(__xludf.DUMMYFUNCTION("""COMPUTED_VALUE"""),8.0)</f>
        <v>8</v>
      </c>
      <c r="C493" s="11">
        <f>IFERROR(__xludf.DUMMYFUNCTION("""COMPUTED_VALUE"""),110940.0)</f>
        <v>110940</v>
      </c>
      <c r="D493" s="11">
        <f>IFERROR(__xludf.DUMMYFUNCTION("""COMPUTED_VALUE"""),1463.0)</f>
        <v>1463</v>
      </c>
      <c r="E493" s="9"/>
    </row>
    <row r="494">
      <c r="A494" s="11">
        <f>IFERROR(__xludf.DUMMYFUNCTION("""COMPUTED_VALUE"""),2021.0)</f>
        <v>2021</v>
      </c>
      <c r="B494" s="11">
        <f>IFERROR(__xludf.DUMMYFUNCTION("""COMPUTED_VALUE"""),11.0)</f>
        <v>11</v>
      </c>
      <c r="C494" s="11">
        <f>IFERROR(__xludf.DUMMYFUNCTION("""COMPUTED_VALUE"""),110942.0)</f>
        <v>110942</v>
      </c>
      <c r="D494" s="11">
        <f>IFERROR(__xludf.DUMMYFUNCTION("""COMPUTED_VALUE"""),1225.0)</f>
        <v>1225</v>
      </c>
      <c r="E494" s="9"/>
    </row>
    <row r="495">
      <c r="A495" s="11">
        <f>IFERROR(__xludf.DUMMYFUNCTION("""COMPUTED_VALUE"""),2021.0)</f>
        <v>2021</v>
      </c>
      <c r="B495" s="11">
        <f>IFERROR(__xludf.DUMMYFUNCTION("""COMPUTED_VALUE"""),9.0)</f>
        <v>9</v>
      </c>
      <c r="C495" s="11">
        <f>IFERROR(__xludf.DUMMYFUNCTION("""COMPUTED_VALUE"""),142301.0)</f>
        <v>142301</v>
      </c>
      <c r="D495" s="11">
        <f>IFERROR(__xludf.DUMMYFUNCTION("""COMPUTED_VALUE"""),1153.0)</f>
        <v>1153</v>
      </c>
      <c r="E495" s="9"/>
    </row>
    <row r="496">
      <c r="A496" s="11">
        <f>IFERROR(__xludf.DUMMYFUNCTION("""COMPUTED_VALUE"""),2021.0)</f>
        <v>2021</v>
      </c>
      <c r="B496" s="11">
        <f>IFERROR(__xludf.DUMMYFUNCTION("""COMPUTED_VALUE"""),9.0)</f>
        <v>9</v>
      </c>
      <c r="C496" s="11">
        <f>IFERROR(__xludf.DUMMYFUNCTION("""COMPUTED_VALUE"""),109760.0)</f>
        <v>109760</v>
      </c>
      <c r="D496" s="11">
        <f>IFERROR(__xludf.DUMMYFUNCTION("""COMPUTED_VALUE"""),1778.0)</f>
        <v>1778</v>
      </c>
      <c r="E496" s="9"/>
    </row>
    <row r="497">
      <c r="A497" s="11">
        <f>IFERROR(__xludf.DUMMYFUNCTION("""COMPUTED_VALUE"""),2021.0)</f>
        <v>2021</v>
      </c>
      <c r="B497" s="11">
        <f>IFERROR(__xludf.DUMMYFUNCTION("""COMPUTED_VALUE"""),11.0)</f>
        <v>11</v>
      </c>
      <c r="C497" s="11">
        <f>IFERROR(__xludf.DUMMYFUNCTION("""COMPUTED_VALUE"""),100392.0)</f>
        <v>100392</v>
      </c>
      <c r="D497" s="11">
        <f>IFERROR(__xludf.DUMMYFUNCTION("""COMPUTED_VALUE"""),1645.0)</f>
        <v>1645</v>
      </c>
      <c r="E497" s="9"/>
    </row>
    <row r="498">
      <c r="A498" s="11">
        <f>IFERROR(__xludf.DUMMYFUNCTION("""COMPUTED_VALUE"""),2021.0)</f>
        <v>2021</v>
      </c>
      <c r="B498" s="11">
        <f>IFERROR(__xludf.DUMMYFUNCTION("""COMPUTED_VALUE"""),11.0)</f>
        <v>11</v>
      </c>
      <c r="C498" s="11">
        <f>IFERROR(__xludf.DUMMYFUNCTION("""COMPUTED_VALUE"""),109763.0)</f>
        <v>109763</v>
      </c>
      <c r="D498" s="11">
        <f>IFERROR(__xludf.DUMMYFUNCTION("""COMPUTED_VALUE"""),1330.0)</f>
        <v>1330</v>
      </c>
      <c r="E498" s="9"/>
    </row>
    <row r="499">
      <c r="A499" s="11">
        <f>IFERROR(__xludf.DUMMYFUNCTION("""COMPUTED_VALUE"""),2021.0)</f>
        <v>2021</v>
      </c>
      <c r="B499" s="11">
        <f>IFERROR(__xludf.DUMMYFUNCTION("""COMPUTED_VALUE"""),11.0)</f>
        <v>11</v>
      </c>
      <c r="C499" s="11">
        <f>IFERROR(__xludf.DUMMYFUNCTION("""COMPUTED_VALUE"""),7271.0)</f>
        <v>7271</v>
      </c>
      <c r="D499" s="11">
        <f>IFERROR(__xludf.DUMMYFUNCTION("""COMPUTED_VALUE"""),499.0)</f>
        <v>499</v>
      </c>
      <c r="E499" s="9"/>
    </row>
    <row r="500">
      <c r="A500" s="11">
        <f>IFERROR(__xludf.DUMMYFUNCTION("""COMPUTED_VALUE"""),2021.0)</f>
        <v>2021</v>
      </c>
      <c r="B500" s="11">
        <f>IFERROR(__xludf.DUMMYFUNCTION("""COMPUTED_VALUE"""),11.0)</f>
        <v>11</v>
      </c>
      <c r="C500" s="11">
        <f>IFERROR(__xludf.DUMMYFUNCTION("""COMPUTED_VALUE"""),7267.0)</f>
        <v>7267</v>
      </c>
      <c r="D500" s="11">
        <f>IFERROR(__xludf.DUMMYFUNCTION("""COMPUTED_VALUE"""),1530.0)</f>
        <v>1530</v>
      </c>
      <c r="E500" s="9"/>
    </row>
    <row r="501">
      <c r="A501" s="11">
        <f>IFERROR(__xludf.DUMMYFUNCTION("""COMPUTED_VALUE"""),2021.0)</f>
        <v>2021</v>
      </c>
      <c r="B501" s="11">
        <f>IFERROR(__xludf.DUMMYFUNCTION("""COMPUTED_VALUE"""),9.0)</f>
        <v>9</v>
      </c>
      <c r="C501" s="11">
        <f>IFERROR(__xludf.DUMMYFUNCTION("""COMPUTED_VALUE"""),128412.0)</f>
        <v>128412</v>
      </c>
      <c r="D501" s="11">
        <f>IFERROR(__xludf.DUMMYFUNCTION("""COMPUTED_VALUE"""),764.0)</f>
        <v>764</v>
      </c>
      <c r="E501" s="9"/>
    </row>
    <row r="502">
      <c r="A502" s="11">
        <f>IFERROR(__xludf.DUMMYFUNCTION("""COMPUTED_VALUE"""),2021.0)</f>
        <v>2021</v>
      </c>
      <c r="B502" s="11">
        <f>IFERROR(__xludf.DUMMYFUNCTION("""COMPUTED_VALUE"""),10.0)</f>
        <v>10</v>
      </c>
      <c r="C502" s="11">
        <f>IFERROR(__xludf.DUMMYFUNCTION("""COMPUTED_VALUE"""),7268.0)</f>
        <v>7268</v>
      </c>
      <c r="D502" s="11">
        <f>IFERROR(__xludf.DUMMYFUNCTION("""COMPUTED_VALUE"""),1414.0)</f>
        <v>1414</v>
      </c>
      <c r="E502" s="9"/>
    </row>
    <row r="503">
      <c r="A503" s="11">
        <f>IFERROR(__xludf.DUMMYFUNCTION("""COMPUTED_VALUE"""),2021.0)</f>
        <v>2021</v>
      </c>
      <c r="B503" s="11">
        <f>IFERROR(__xludf.DUMMYFUNCTION("""COMPUTED_VALUE"""),8.0)</f>
        <v>8</v>
      </c>
      <c r="C503" s="11">
        <f>IFERROR(__xludf.DUMMYFUNCTION("""COMPUTED_VALUE"""),124701.0)</f>
        <v>124701</v>
      </c>
      <c r="D503" s="11">
        <f>IFERROR(__xludf.DUMMYFUNCTION("""COMPUTED_VALUE"""),1928.0)</f>
        <v>1928</v>
      </c>
      <c r="E503" s="9"/>
    </row>
    <row r="504">
      <c r="A504" s="11">
        <f>IFERROR(__xludf.DUMMYFUNCTION("""COMPUTED_VALUE"""),2021.0)</f>
        <v>2021</v>
      </c>
      <c r="B504" s="11">
        <f>IFERROR(__xludf.DUMMYFUNCTION("""COMPUTED_VALUE"""),10.0)</f>
        <v>10</v>
      </c>
      <c r="C504" s="11">
        <f>IFERROR(__xludf.DUMMYFUNCTION("""COMPUTED_VALUE"""),110007.0)</f>
        <v>110007</v>
      </c>
      <c r="D504" s="11">
        <f>IFERROR(__xludf.DUMMYFUNCTION("""COMPUTED_VALUE"""),643.0)</f>
        <v>643</v>
      </c>
      <c r="E504" s="9"/>
    </row>
    <row r="505">
      <c r="A505" s="11">
        <f>IFERROR(__xludf.DUMMYFUNCTION("""COMPUTED_VALUE"""),2021.0)</f>
        <v>2021</v>
      </c>
      <c r="B505" s="11">
        <f>IFERROR(__xludf.DUMMYFUNCTION("""COMPUTED_VALUE"""),9.0)</f>
        <v>9</v>
      </c>
      <c r="C505" s="11">
        <f>IFERROR(__xludf.DUMMYFUNCTION("""COMPUTED_VALUE"""),7266.0)</f>
        <v>7266</v>
      </c>
      <c r="D505" s="11">
        <f>IFERROR(__xludf.DUMMYFUNCTION("""COMPUTED_VALUE"""),953.0)</f>
        <v>953</v>
      </c>
      <c r="E505" s="9"/>
    </row>
    <row r="506">
      <c r="A506" s="11">
        <f>IFERROR(__xludf.DUMMYFUNCTION("""COMPUTED_VALUE"""),2021.0)</f>
        <v>2021</v>
      </c>
      <c r="B506" s="11">
        <f>IFERROR(__xludf.DUMMYFUNCTION("""COMPUTED_VALUE"""),9.0)</f>
        <v>9</v>
      </c>
      <c r="C506" s="11">
        <f>IFERROR(__xludf.DUMMYFUNCTION("""COMPUTED_VALUE"""),7269.0)</f>
        <v>7269</v>
      </c>
      <c r="D506" s="11">
        <f>IFERROR(__xludf.DUMMYFUNCTION("""COMPUTED_VALUE"""),1571.0)</f>
        <v>1571</v>
      </c>
      <c r="E506" s="9"/>
    </row>
    <row r="507">
      <c r="A507" s="11">
        <f>IFERROR(__xludf.DUMMYFUNCTION("""COMPUTED_VALUE"""),2021.0)</f>
        <v>2021</v>
      </c>
      <c r="B507" s="11">
        <f>IFERROR(__xludf.DUMMYFUNCTION("""COMPUTED_VALUE"""),9.0)</f>
        <v>9</v>
      </c>
      <c r="C507" s="11">
        <f>IFERROR(__xludf.DUMMYFUNCTION("""COMPUTED_VALUE"""),100393.0)</f>
        <v>100393</v>
      </c>
      <c r="D507" s="11">
        <f>IFERROR(__xludf.DUMMYFUNCTION("""COMPUTED_VALUE"""),1341.0)</f>
        <v>1341</v>
      </c>
      <c r="E507" s="9"/>
    </row>
    <row r="508">
      <c r="A508" s="11">
        <f>IFERROR(__xludf.DUMMYFUNCTION("""COMPUTED_VALUE"""),2021.0)</f>
        <v>2021</v>
      </c>
      <c r="B508" s="11">
        <f>IFERROR(__xludf.DUMMYFUNCTION("""COMPUTED_VALUE"""),8.0)</f>
        <v>8</v>
      </c>
      <c r="C508" s="11">
        <f>IFERROR(__xludf.DUMMYFUNCTION("""COMPUTED_VALUE"""),110009.0)</f>
        <v>110009</v>
      </c>
      <c r="D508" s="11">
        <f>IFERROR(__xludf.DUMMYFUNCTION("""COMPUTED_VALUE"""),304.0)</f>
        <v>304</v>
      </c>
      <c r="E508" s="9"/>
    </row>
    <row r="509">
      <c r="A509" s="11">
        <f>IFERROR(__xludf.DUMMYFUNCTION("""COMPUTED_VALUE"""),2021.0)</f>
        <v>2021</v>
      </c>
      <c r="B509" s="11">
        <f>IFERROR(__xludf.DUMMYFUNCTION("""COMPUTED_VALUE"""),11.0)</f>
        <v>11</v>
      </c>
      <c r="C509" s="11">
        <f>IFERROR(__xludf.DUMMYFUNCTION("""COMPUTED_VALUE"""),100394.0)</f>
        <v>100394</v>
      </c>
      <c r="D509" s="11">
        <f>IFERROR(__xludf.DUMMYFUNCTION("""COMPUTED_VALUE"""),447.0)</f>
        <v>447</v>
      </c>
      <c r="E509" s="9"/>
    </row>
    <row r="510">
      <c r="A510" s="11">
        <f>IFERROR(__xludf.DUMMYFUNCTION("""COMPUTED_VALUE"""),2021.0)</f>
        <v>2021</v>
      </c>
      <c r="B510" s="11">
        <f>IFERROR(__xludf.DUMMYFUNCTION("""COMPUTED_VALUE"""),8.0)</f>
        <v>8</v>
      </c>
      <c r="C510" s="11">
        <f>IFERROR(__xludf.DUMMYFUNCTION("""COMPUTED_VALUE"""),118248.0)</f>
        <v>118248</v>
      </c>
      <c r="D510" s="11">
        <f>IFERROR(__xludf.DUMMYFUNCTION("""COMPUTED_VALUE"""),1875.0)</f>
        <v>1875</v>
      </c>
      <c r="E510" s="9"/>
    </row>
    <row r="511">
      <c r="A511" s="11">
        <f>IFERROR(__xludf.DUMMYFUNCTION("""COMPUTED_VALUE"""),2021.0)</f>
        <v>2021</v>
      </c>
      <c r="B511" s="11">
        <f>IFERROR(__xludf.DUMMYFUNCTION("""COMPUTED_VALUE"""),9.0)</f>
        <v>9</v>
      </c>
      <c r="C511" s="11">
        <f>IFERROR(__xludf.DUMMYFUNCTION("""COMPUTED_VALUE"""),118467.0)</f>
        <v>118467</v>
      </c>
      <c r="D511" s="11">
        <f>IFERROR(__xludf.DUMMYFUNCTION("""COMPUTED_VALUE"""),1229.0)</f>
        <v>1229</v>
      </c>
      <c r="E511" s="9"/>
    </row>
    <row r="512">
      <c r="A512" s="11">
        <f>IFERROR(__xludf.DUMMYFUNCTION("""COMPUTED_VALUE"""),2021.0)</f>
        <v>2021</v>
      </c>
      <c r="B512" s="11">
        <f>IFERROR(__xludf.DUMMYFUNCTION("""COMPUTED_VALUE"""),11.0)</f>
        <v>11</v>
      </c>
      <c r="C512" s="11">
        <f>IFERROR(__xludf.DUMMYFUNCTION("""COMPUTED_VALUE"""),118465.0)</f>
        <v>118465</v>
      </c>
      <c r="D512" s="11">
        <f>IFERROR(__xludf.DUMMYFUNCTION("""COMPUTED_VALUE"""),384.0)</f>
        <v>384</v>
      </c>
      <c r="E512" s="9"/>
    </row>
    <row r="513">
      <c r="A513" s="11">
        <f>IFERROR(__xludf.DUMMYFUNCTION("""COMPUTED_VALUE"""),2021.0)</f>
        <v>2021</v>
      </c>
      <c r="B513" s="11">
        <f>IFERROR(__xludf.DUMMYFUNCTION("""COMPUTED_VALUE"""),9.0)</f>
        <v>9</v>
      </c>
      <c r="C513" s="11">
        <f>IFERROR(__xludf.DUMMYFUNCTION("""COMPUTED_VALUE"""),118450.0)</f>
        <v>118450</v>
      </c>
      <c r="D513" s="11">
        <f>IFERROR(__xludf.DUMMYFUNCTION("""COMPUTED_VALUE"""),105.0)</f>
        <v>105</v>
      </c>
      <c r="E513" s="9"/>
    </row>
    <row r="514">
      <c r="A514" s="11">
        <f>IFERROR(__xludf.DUMMYFUNCTION("""COMPUTED_VALUE"""),2021.0)</f>
        <v>2021</v>
      </c>
      <c r="B514" s="11">
        <f>IFERROR(__xludf.DUMMYFUNCTION("""COMPUTED_VALUE"""),10.0)</f>
        <v>10</v>
      </c>
      <c r="C514" s="11">
        <f>IFERROR(__xludf.DUMMYFUNCTION("""COMPUTED_VALUE"""),118457.0)</f>
        <v>118457</v>
      </c>
      <c r="D514" s="11">
        <f>IFERROR(__xludf.DUMMYFUNCTION("""COMPUTED_VALUE"""),1362.0)</f>
        <v>1362</v>
      </c>
      <c r="E514" s="9"/>
    </row>
    <row r="515">
      <c r="A515" s="11">
        <f>IFERROR(__xludf.DUMMYFUNCTION("""COMPUTED_VALUE"""),2021.0)</f>
        <v>2021</v>
      </c>
      <c r="B515" s="11">
        <f>IFERROR(__xludf.DUMMYFUNCTION("""COMPUTED_VALUE"""),8.0)</f>
        <v>8</v>
      </c>
      <c r="C515" s="11">
        <f>IFERROR(__xludf.DUMMYFUNCTION("""COMPUTED_VALUE"""),118463.0)</f>
        <v>118463</v>
      </c>
      <c r="D515" s="11">
        <f>IFERROR(__xludf.DUMMYFUNCTION("""COMPUTED_VALUE"""),1893.0)</f>
        <v>1893</v>
      </c>
      <c r="E515" s="9"/>
    </row>
    <row r="516">
      <c r="A516" s="11">
        <f>IFERROR(__xludf.DUMMYFUNCTION("""COMPUTED_VALUE"""),2021.0)</f>
        <v>2021</v>
      </c>
      <c r="B516" s="11">
        <f>IFERROR(__xludf.DUMMYFUNCTION("""COMPUTED_VALUE"""),8.0)</f>
        <v>8</v>
      </c>
      <c r="C516" s="11">
        <f>IFERROR(__xludf.DUMMYFUNCTION("""COMPUTED_VALUE"""),118460.0)</f>
        <v>118460</v>
      </c>
      <c r="D516" s="11">
        <f>IFERROR(__xludf.DUMMYFUNCTION("""COMPUTED_VALUE"""),229.0)</f>
        <v>229</v>
      </c>
      <c r="E516" s="9"/>
    </row>
    <row r="517">
      <c r="A517" s="11">
        <f>IFERROR(__xludf.DUMMYFUNCTION("""COMPUTED_VALUE"""),2021.0)</f>
        <v>2021</v>
      </c>
      <c r="B517" s="11">
        <f>IFERROR(__xludf.DUMMYFUNCTION("""COMPUTED_VALUE"""),9.0)</f>
        <v>9</v>
      </c>
      <c r="C517" s="11">
        <f>IFERROR(__xludf.DUMMYFUNCTION("""COMPUTED_VALUE"""),121035.0)</f>
        <v>121035</v>
      </c>
      <c r="D517" s="11">
        <f>IFERROR(__xludf.DUMMYFUNCTION("""COMPUTED_VALUE"""),130.0)</f>
        <v>130</v>
      </c>
      <c r="E517" s="9"/>
    </row>
    <row r="518">
      <c r="A518" s="11">
        <f>IFERROR(__xludf.DUMMYFUNCTION("""COMPUTED_VALUE"""),2021.0)</f>
        <v>2021</v>
      </c>
      <c r="B518" s="11">
        <f>IFERROR(__xludf.DUMMYFUNCTION("""COMPUTED_VALUE"""),9.0)</f>
        <v>9</v>
      </c>
      <c r="C518" s="11">
        <f>IFERROR(__xludf.DUMMYFUNCTION("""COMPUTED_VALUE"""),122623.0)</f>
        <v>122623</v>
      </c>
      <c r="D518" s="11">
        <f>IFERROR(__xludf.DUMMYFUNCTION("""COMPUTED_VALUE"""),452.0)</f>
        <v>452</v>
      </c>
      <c r="E518" s="9"/>
    </row>
    <row r="519">
      <c r="A519" s="11">
        <f>IFERROR(__xludf.DUMMYFUNCTION("""COMPUTED_VALUE"""),2021.0)</f>
        <v>2021</v>
      </c>
      <c r="B519" s="11">
        <f>IFERROR(__xludf.DUMMYFUNCTION("""COMPUTED_VALUE"""),11.0)</f>
        <v>11</v>
      </c>
      <c r="C519" s="11">
        <f>IFERROR(__xludf.DUMMYFUNCTION("""COMPUTED_VALUE"""),118469.0)</f>
        <v>118469</v>
      </c>
      <c r="D519" s="11">
        <f>IFERROR(__xludf.DUMMYFUNCTION("""COMPUTED_VALUE"""),1659.0)</f>
        <v>1659</v>
      </c>
      <c r="E519" s="9"/>
    </row>
    <row r="520">
      <c r="A520" s="11">
        <f>IFERROR(__xludf.DUMMYFUNCTION("""COMPUTED_VALUE"""),2021.0)</f>
        <v>2021</v>
      </c>
      <c r="B520" s="11">
        <f>IFERROR(__xludf.DUMMYFUNCTION("""COMPUTED_VALUE"""),11.0)</f>
        <v>11</v>
      </c>
      <c r="C520" s="11">
        <f>IFERROR(__xludf.DUMMYFUNCTION("""COMPUTED_VALUE"""),184629.0)</f>
        <v>184629</v>
      </c>
      <c r="D520" s="11">
        <f>IFERROR(__xludf.DUMMYFUNCTION("""COMPUTED_VALUE"""),1297.0)</f>
        <v>1297</v>
      </c>
      <c r="E520" s="9"/>
    </row>
    <row r="521">
      <c r="A521" s="11">
        <f>IFERROR(__xludf.DUMMYFUNCTION("""COMPUTED_VALUE"""),2021.0)</f>
        <v>2021</v>
      </c>
      <c r="B521" s="11">
        <f>IFERROR(__xludf.DUMMYFUNCTION("""COMPUTED_VALUE"""),10.0)</f>
        <v>10</v>
      </c>
      <c r="C521" s="11">
        <f>IFERROR(__xludf.DUMMYFUNCTION("""COMPUTED_VALUE"""),44469.0)</f>
        <v>44469</v>
      </c>
      <c r="D521" s="11">
        <f>IFERROR(__xludf.DUMMYFUNCTION("""COMPUTED_VALUE"""),1339.0)</f>
        <v>1339</v>
      </c>
      <c r="E521" s="9"/>
    </row>
    <row r="522">
      <c r="A522" s="11">
        <f>IFERROR(__xludf.DUMMYFUNCTION("""COMPUTED_VALUE"""),2021.0)</f>
        <v>2021</v>
      </c>
      <c r="B522" s="11">
        <f>IFERROR(__xludf.DUMMYFUNCTION("""COMPUTED_VALUE"""),11.0)</f>
        <v>11</v>
      </c>
      <c r="C522" s="11">
        <f>IFERROR(__xludf.DUMMYFUNCTION("""COMPUTED_VALUE"""),98421.0)</f>
        <v>98421</v>
      </c>
      <c r="D522" s="11">
        <f>IFERROR(__xludf.DUMMYFUNCTION("""COMPUTED_VALUE"""),1809.0)</f>
        <v>1809</v>
      </c>
      <c r="E522" s="9"/>
    </row>
    <row r="523">
      <c r="A523" s="11">
        <f>IFERROR(__xludf.DUMMYFUNCTION("""COMPUTED_VALUE"""),2021.0)</f>
        <v>2021</v>
      </c>
      <c r="B523" s="11">
        <f>IFERROR(__xludf.DUMMYFUNCTION("""COMPUTED_VALUE"""),8.0)</f>
        <v>8</v>
      </c>
      <c r="C523" s="11">
        <f>IFERROR(__xludf.DUMMYFUNCTION("""COMPUTED_VALUE"""),149512.0)</f>
        <v>149512</v>
      </c>
      <c r="D523" s="11">
        <f>IFERROR(__xludf.DUMMYFUNCTION("""COMPUTED_VALUE"""),1939.0)</f>
        <v>1939</v>
      </c>
      <c r="E523" s="9"/>
    </row>
    <row r="524">
      <c r="A524" s="11">
        <f>IFERROR(__xludf.DUMMYFUNCTION("""COMPUTED_VALUE"""),2021.0)</f>
        <v>2021</v>
      </c>
      <c r="B524" s="11">
        <f>IFERROR(__xludf.DUMMYFUNCTION("""COMPUTED_VALUE"""),9.0)</f>
        <v>9</v>
      </c>
      <c r="C524" s="11">
        <f>IFERROR(__xludf.DUMMYFUNCTION("""COMPUTED_VALUE"""),101489.0)</f>
        <v>101489</v>
      </c>
      <c r="D524" s="11">
        <f>IFERROR(__xludf.DUMMYFUNCTION("""COMPUTED_VALUE"""),1658.0)</f>
        <v>1658</v>
      </c>
      <c r="E524" s="9"/>
    </row>
    <row r="525">
      <c r="A525" s="11">
        <f>IFERROR(__xludf.DUMMYFUNCTION("""COMPUTED_VALUE"""),2021.0)</f>
        <v>2021</v>
      </c>
      <c r="B525" s="11">
        <f>IFERROR(__xludf.DUMMYFUNCTION("""COMPUTED_VALUE"""),11.0)</f>
        <v>11</v>
      </c>
      <c r="C525" s="11">
        <f>IFERROR(__xludf.DUMMYFUNCTION("""COMPUTED_VALUE"""),7263.0)</f>
        <v>7263</v>
      </c>
      <c r="D525" s="11">
        <f>IFERROR(__xludf.DUMMYFUNCTION("""COMPUTED_VALUE"""),1839.0)</f>
        <v>1839</v>
      </c>
      <c r="E525" s="9"/>
    </row>
    <row r="526">
      <c r="A526" s="11">
        <f>IFERROR(__xludf.DUMMYFUNCTION("""COMPUTED_VALUE"""),2021.0)</f>
        <v>2021</v>
      </c>
      <c r="B526" s="11">
        <f>IFERROR(__xludf.DUMMYFUNCTION("""COMPUTED_VALUE"""),9.0)</f>
        <v>9</v>
      </c>
      <c r="C526" s="11">
        <f>IFERROR(__xludf.DUMMYFUNCTION("""COMPUTED_VALUE"""),149510.0)</f>
        <v>149510</v>
      </c>
      <c r="D526" s="11">
        <f>IFERROR(__xludf.DUMMYFUNCTION("""COMPUTED_VALUE"""),1339.0)</f>
        <v>1339</v>
      </c>
      <c r="E526" s="9"/>
    </row>
    <row r="527">
      <c r="A527" s="11">
        <f>IFERROR(__xludf.DUMMYFUNCTION("""COMPUTED_VALUE"""),2021.0)</f>
        <v>2021</v>
      </c>
      <c r="B527" s="11">
        <f>IFERROR(__xludf.DUMMYFUNCTION("""COMPUTED_VALUE"""),10.0)</f>
        <v>10</v>
      </c>
      <c r="C527" s="11">
        <f>IFERROR(__xludf.DUMMYFUNCTION("""COMPUTED_VALUE"""),124692.0)</f>
        <v>124692</v>
      </c>
      <c r="D527" s="11">
        <f>IFERROR(__xludf.DUMMYFUNCTION("""COMPUTED_VALUE"""),43.0)</f>
        <v>43</v>
      </c>
      <c r="E527" s="9"/>
    </row>
    <row r="528">
      <c r="A528" s="11">
        <f>IFERROR(__xludf.DUMMYFUNCTION("""COMPUTED_VALUE"""),2021.0)</f>
        <v>2021</v>
      </c>
      <c r="B528" s="11">
        <f>IFERROR(__xludf.DUMMYFUNCTION("""COMPUTED_VALUE"""),8.0)</f>
        <v>8</v>
      </c>
      <c r="C528" s="11">
        <f>IFERROR(__xludf.DUMMYFUNCTION("""COMPUTED_VALUE"""),7253.0)</f>
        <v>7253</v>
      </c>
      <c r="D528" s="11">
        <f>IFERROR(__xludf.DUMMYFUNCTION("""COMPUTED_VALUE"""),1247.0)</f>
        <v>1247</v>
      </c>
      <c r="E528" s="9"/>
    </row>
    <row r="529">
      <c r="A529" s="11">
        <f>IFERROR(__xludf.DUMMYFUNCTION("""COMPUTED_VALUE"""),2021.0)</f>
        <v>2021</v>
      </c>
      <c r="B529" s="11">
        <f>IFERROR(__xludf.DUMMYFUNCTION("""COMPUTED_VALUE"""),8.0)</f>
        <v>8</v>
      </c>
      <c r="C529" s="11">
        <f>IFERROR(__xludf.DUMMYFUNCTION("""COMPUTED_VALUE"""),109999.0)</f>
        <v>109999</v>
      </c>
      <c r="D529" s="11">
        <f>IFERROR(__xludf.DUMMYFUNCTION("""COMPUTED_VALUE"""),1438.0)</f>
        <v>1438</v>
      </c>
      <c r="E529" s="9"/>
    </row>
    <row r="530">
      <c r="A530" s="11">
        <f>IFERROR(__xludf.DUMMYFUNCTION("""COMPUTED_VALUE"""),2021.0)</f>
        <v>2021</v>
      </c>
      <c r="B530" s="11">
        <f>IFERROR(__xludf.DUMMYFUNCTION("""COMPUTED_VALUE"""),8.0)</f>
        <v>8</v>
      </c>
      <c r="C530" s="11">
        <f>IFERROR(__xludf.DUMMYFUNCTION("""COMPUTED_VALUE"""),101535.0)</f>
        <v>101535</v>
      </c>
      <c r="D530" s="11">
        <f>IFERROR(__xludf.DUMMYFUNCTION("""COMPUTED_VALUE"""),1071.0)</f>
        <v>1071</v>
      </c>
      <c r="E530" s="9"/>
    </row>
    <row r="531">
      <c r="A531" s="11">
        <f>IFERROR(__xludf.DUMMYFUNCTION("""COMPUTED_VALUE"""),2021.0)</f>
        <v>2021</v>
      </c>
      <c r="B531" s="11">
        <f>IFERROR(__xludf.DUMMYFUNCTION("""COMPUTED_VALUE"""),10.0)</f>
        <v>10</v>
      </c>
      <c r="C531" s="11">
        <f>IFERROR(__xludf.DUMMYFUNCTION("""COMPUTED_VALUE"""),181795.0)</f>
        <v>181795</v>
      </c>
      <c r="D531" s="11">
        <f>IFERROR(__xludf.DUMMYFUNCTION("""COMPUTED_VALUE"""),1170.0)</f>
        <v>1170</v>
      </c>
      <c r="E531" s="9"/>
    </row>
    <row r="532">
      <c r="A532" s="11">
        <f>IFERROR(__xludf.DUMMYFUNCTION("""COMPUTED_VALUE"""),2021.0)</f>
        <v>2021</v>
      </c>
      <c r="B532" s="11">
        <f>IFERROR(__xludf.DUMMYFUNCTION("""COMPUTED_VALUE"""),11.0)</f>
        <v>11</v>
      </c>
      <c r="C532" s="11">
        <f>IFERROR(__xludf.DUMMYFUNCTION("""COMPUTED_VALUE"""),124686.0)</f>
        <v>124686</v>
      </c>
      <c r="D532" s="11">
        <f>IFERROR(__xludf.DUMMYFUNCTION("""COMPUTED_VALUE"""),351.0)</f>
        <v>351</v>
      </c>
      <c r="E532" s="9"/>
    </row>
    <row r="533">
      <c r="A533" s="11">
        <f>IFERROR(__xludf.DUMMYFUNCTION("""COMPUTED_VALUE"""),2021.0)</f>
        <v>2021</v>
      </c>
      <c r="B533" s="11">
        <f>IFERROR(__xludf.DUMMYFUNCTION("""COMPUTED_VALUE"""),10.0)</f>
        <v>10</v>
      </c>
      <c r="C533" s="11">
        <f>IFERROR(__xludf.DUMMYFUNCTION("""COMPUTED_VALUE"""),110003.0)</f>
        <v>110003</v>
      </c>
      <c r="D533" s="11">
        <f>IFERROR(__xludf.DUMMYFUNCTION("""COMPUTED_VALUE"""),353.0)</f>
        <v>353</v>
      </c>
      <c r="E533" s="9"/>
    </row>
    <row r="534">
      <c r="A534" s="11">
        <f>IFERROR(__xludf.DUMMYFUNCTION("""COMPUTED_VALUE"""),2021.0)</f>
        <v>2021</v>
      </c>
      <c r="B534" s="11">
        <f>IFERROR(__xludf.DUMMYFUNCTION("""COMPUTED_VALUE"""),11.0)</f>
        <v>11</v>
      </c>
      <c r="C534" s="11">
        <f>IFERROR(__xludf.DUMMYFUNCTION("""COMPUTED_VALUE"""),124691.0)</f>
        <v>124691</v>
      </c>
      <c r="D534" s="11">
        <f>IFERROR(__xludf.DUMMYFUNCTION("""COMPUTED_VALUE"""),435.0)</f>
        <v>435</v>
      </c>
      <c r="E534" s="9"/>
    </row>
    <row r="535">
      <c r="A535" s="11">
        <f>IFERROR(__xludf.DUMMYFUNCTION("""COMPUTED_VALUE"""),2021.0)</f>
        <v>2021</v>
      </c>
      <c r="B535" s="11">
        <f>IFERROR(__xludf.DUMMYFUNCTION("""COMPUTED_VALUE"""),11.0)</f>
        <v>11</v>
      </c>
      <c r="C535" s="11">
        <f>IFERROR(__xludf.DUMMYFUNCTION("""COMPUTED_VALUE"""),98444.0)</f>
        <v>98444</v>
      </c>
      <c r="D535" s="11">
        <f>IFERROR(__xludf.DUMMYFUNCTION("""COMPUTED_VALUE"""),974.0)</f>
        <v>974</v>
      </c>
      <c r="E535" s="9"/>
    </row>
    <row r="536">
      <c r="A536" s="11">
        <f>IFERROR(__xludf.DUMMYFUNCTION("""COMPUTED_VALUE"""),2021.0)</f>
        <v>2021</v>
      </c>
      <c r="B536" s="11">
        <f>IFERROR(__xludf.DUMMYFUNCTION("""COMPUTED_VALUE"""),9.0)</f>
        <v>9</v>
      </c>
      <c r="C536" s="11">
        <f>IFERROR(__xludf.DUMMYFUNCTION("""COMPUTED_VALUE"""),110393.0)</f>
        <v>110393</v>
      </c>
      <c r="D536" s="11">
        <f>IFERROR(__xludf.DUMMYFUNCTION("""COMPUTED_VALUE"""),1318.0)</f>
        <v>1318</v>
      </c>
      <c r="E536" s="9"/>
    </row>
    <row r="537">
      <c r="A537" s="11">
        <f>IFERROR(__xludf.DUMMYFUNCTION("""COMPUTED_VALUE"""),2021.0)</f>
        <v>2021</v>
      </c>
      <c r="B537" s="11">
        <f>IFERROR(__xludf.DUMMYFUNCTION("""COMPUTED_VALUE"""),11.0)</f>
        <v>11</v>
      </c>
      <c r="C537" s="11">
        <f>IFERROR(__xludf.DUMMYFUNCTION("""COMPUTED_VALUE"""),7254.0)</f>
        <v>7254</v>
      </c>
      <c r="D537" s="11">
        <f>IFERROR(__xludf.DUMMYFUNCTION("""COMPUTED_VALUE"""),1773.0)</f>
        <v>1773</v>
      </c>
      <c r="E537" s="9"/>
    </row>
    <row r="538">
      <c r="A538" s="11">
        <f>IFERROR(__xludf.DUMMYFUNCTION("""COMPUTED_VALUE"""),2021.0)</f>
        <v>2021</v>
      </c>
      <c r="B538" s="11">
        <f>IFERROR(__xludf.DUMMYFUNCTION("""COMPUTED_VALUE"""),11.0)</f>
        <v>11</v>
      </c>
      <c r="C538" s="11">
        <f>IFERROR(__xludf.DUMMYFUNCTION("""COMPUTED_VALUE"""),86502.0)</f>
        <v>86502</v>
      </c>
      <c r="D538" s="11">
        <f>IFERROR(__xludf.DUMMYFUNCTION("""COMPUTED_VALUE"""),376.0)</f>
        <v>376</v>
      </c>
      <c r="E538" s="9"/>
    </row>
    <row r="539">
      <c r="A539" s="11">
        <f>IFERROR(__xludf.DUMMYFUNCTION("""COMPUTED_VALUE"""),2021.0)</f>
        <v>2021</v>
      </c>
      <c r="B539" s="11">
        <f>IFERROR(__xludf.DUMMYFUNCTION("""COMPUTED_VALUE"""),8.0)</f>
        <v>8</v>
      </c>
      <c r="C539" s="11">
        <f>IFERROR(__xludf.DUMMYFUNCTION("""COMPUTED_VALUE"""),98442.0)</f>
        <v>98442</v>
      </c>
      <c r="D539" s="11">
        <f>IFERROR(__xludf.DUMMYFUNCTION("""COMPUTED_VALUE"""),1057.0)</f>
        <v>1057</v>
      </c>
      <c r="E539" s="9"/>
    </row>
    <row r="540">
      <c r="A540" s="11">
        <f>IFERROR(__xludf.DUMMYFUNCTION("""COMPUTED_VALUE"""),2021.0)</f>
        <v>2021</v>
      </c>
      <c r="B540" s="11">
        <f>IFERROR(__xludf.DUMMYFUNCTION("""COMPUTED_VALUE"""),8.0)</f>
        <v>8</v>
      </c>
      <c r="C540" s="11">
        <f>IFERROR(__xludf.DUMMYFUNCTION("""COMPUTED_VALUE"""),7256.0)</f>
        <v>7256</v>
      </c>
      <c r="D540" s="11">
        <f>IFERROR(__xludf.DUMMYFUNCTION("""COMPUTED_VALUE"""),1407.0)</f>
        <v>1407</v>
      </c>
      <c r="E540" s="9"/>
    </row>
    <row r="541">
      <c r="A541" s="11">
        <f>IFERROR(__xludf.DUMMYFUNCTION("""COMPUTED_VALUE"""),2021.0)</f>
        <v>2021</v>
      </c>
      <c r="B541" s="11">
        <f>IFERROR(__xludf.DUMMYFUNCTION("""COMPUTED_VALUE"""),10.0)</f>
        <v>10</v>
      </c>
      <c r="C541" s="11">
        <f>IFERROR(__xludf.DUMMYFUNCTION("""COMPUTED_VALUE"""),110394.0)</f>
        <v>110394</v>
      </c>
      <c r="D541" s="11">
        <f>IFERROR(__xludf.DUMMYFUNCTION("""COMPUTED_VALUE"""),1738.0)</f>
        <v>1738</v>
      </c>
      <c r="E541" s="9"/>
    </row>
    <row r="542">
      <c r="A542" s="11">
        <f>IFERROR(__xludf.DUMMYFUNCTION("""COMPUTED_VALUE"""),2021.0)</f>
        <v>2021</v>
      </c>
      <c r="B542" s="11">
        <f>IFERROR(__xludf.DUMMYFUNCTION("""COMPUTED_VALUE"""),8.0)</f>
        <v>8</v>
      </c>
      <c r="C542" s="11">
        <f>IFERROR(__xludf.DUMMYFUNCTION("""COMPUTED_VALUE"""),120998.0)</f>
        <v>120998</v>
      </c>
      <c r="D542" s="11">
        <f>IFERROR(__xludf.DUMMYFUNCTION("""COMPUTED_VALUE"""),1671.0)</f>
        <v>1671</v>
      </c>
      <c r="E542" s="9"/>
    </row>
    <row r="543">
      <c r="A543" s="11">
        <f>IFERROR(__xludf.DUMMYFUNCTION("""COMPUTED_VALUE"""),2021.0)</f>
        <v>2021</v>
      </c>
      <c r="B543" s="11">
        <f>IFERROR(__xludf.DUMMYFUNCTION("""COMPUTED_VALUE"""),10.0)</f>
        <v>10</v>
      </c>
      <c r="C543" s="11">
        <f>IFERROR(__xludf.DUMMYFUNCTION("""COMPUTED_VALUE"""),17674.0)</f>
        <v>17674</v>
      </c>
      <c r="D543" s="11">
        <f>IFERROR(__xludf.DUMMYFUNCTION("""COMPUTED_VALUE"""),103.0)</f>
        <v>103</v>
      </c>
      <c r="E543" s="9"/>
    </row>
    <row r="544">
      <c r="A544" s="11">
        <f>IFERROR(__xludf.DUMMYFUNCTION("""COMPUTED_VALUE"""),2021.0)</f>
        <v>2021</v>
      </c>
      <c r="B544" s="11">
        <f>IFERROR(__xludf.DUMMYFUNCTION("""COMPUTED_VALUE"""),9.0)</f>
        <v>9</v>
      </c>
      <c r="C544" s="11">
        <f>IFERROR(__xludf.DUMMYFUNCTION("""COMPUTED_VALUE"""),102946.0)</f>
        <v>102946</v>
      </c>
      <c r="D544" s="11">
        <f>IFERROR(__xludf.DUMMYFUNCTION("""COMPUTED_VALUE"""),674.0)</f>
        <v>674</v>
      </c>
      <c r="E544" s="9"/>
    </row>
    <row r="545">
      <c r="A545" s="11">
        <f>IFERROR(__xludf.DUMMYFUNCTION("""COMPUTED_VALUE"""),2021.0)</f>
        <v>2021</v>
      </c>
      <c r="B545" s="11">
        <f>IFERROR(__xludf.DUMMYFUNCTION("""COMPUTED_VALUE"""),9.0)</f>
        <v>9</v>
      </c>
      <c r="C545" s="11">
        <f>IFERROR(__xludf.DUMMYFUNCTION("""COMPUTED_VALUE"""),102947.0)</f>
        <v>102947</v>
      </c>
      <c r="D545" s="11">
        <f>IFERROR(__xludf.DUMMYFUNCTION("""COMPUTED_VALUE"""),1859.0)</f>
        <v>1859</v>
      </c>
      <c r="E545" s="9"/>
    </row>
    <row r="546">
      <c r="A546" s="11">
        <f>IFERROR(__xludf.DUMMYFUNCTION("""COMPUTED_VALUE"""),2021.0)</f>
        <v>2021</v>
      </c>
      <c r="B546" s="11">
        <f>IFERROR(__xludf.DUMMYFUNCTION("""COMPUTED_VALUE"""),9.0)</f>
        <v>9</v>
      </c>
      <c r="C546" s="11">
        <f>IFERROR(__xludf.DUMMYFUNCTION("""COMPUTED_VALUE"""),98445.0)</f>
        <v>98445</v>
      </c>
      <c r="D546" s="11">
        <f>IFERROR(__xludf.DUMMYFUNCTION("""COMPUTED_VALUE"""),517.0)</f>
        <v>517</v>
      </c>
      <c r="E546" s="9"/>
    </row>
    <row r="547">
      <c r="A547" s="11">
        <f>IFERROR(__xludf.DUMMYFUNCTION("""COMPUTED_VALUE"""),2021.0)</f>
        <v>2021</v>
      </c>
      <c r="B547" s="11">
        <f>IFERROR(__xludf.DUMMYFUNCTION("""COMPUTED_VALUE"""),9.0)</f>
        <v>9</v>
      </c>
      <c r="C547" s="11">
        <f>IFERROR(__xludf.DUMMYFUNCTION("""COMPUTED_VALUE"""),109273.0)</f>
        <v>109273</v>
      </c>
      <c r="D547" s="11">
        <f>IFERROR(__xludf.DUMMYFUNCTION("""COMPUTED_VALUE"""),220.0)</f>
        <v>220</v>
      </c>
      <c r="E547" s="9"/>
    </row>
    <row r="548">
      <c r="A548" s="11">
        <f>IFERROR(__xludf.DUMMYFUNCTION("""COMPUTED_VALUE"""),2021.0)</f>
        <v>2021</v>
      </c>
      <c r="B548" s="11">
        <f>IFERROR(__xludf.DUMMYFUNCTION("""COMPUTED_VALUE"""),11.0)</f>
        <v>11</v>
      </c>
      <c r="C548" s="11">
        <f>IFERROR(__xludf.DUMMYFUNCTION("""COMPUTED_VALUE"""),44465.0)</f>
        <v>44465</v>
      </c>
      <c r="D548" s="11">
        <f>IFERROR(__xludf.DUMMYFUNCTION("""COMPUTED_VALUE"""),1823.0)</f>
        <v>1823</v>
      </c>
      <c r="E548" s="9"/>
    </row>
    <row r="549">
      <c r="A549" s="11">
        <f>IFERROR(__xludf.DUMMYFUNCTION("""COMPUTED_VALUE"""),2021.0)</f>
        <v>2021</v>
      </c>
      <c r="B549" s="11">
        <f>IFERROR(__xludf.DUMMYFUNCTION("""COMPUTED_VALUE"""),9.0)</f>
        <v>9</v>
      </c>
      <c r="C549" s="11">
        <f>IFERROR(__xludf.DUMMYFUNCTION("""COMPUTED_VALUE"""),44451.0)</f>
        <v>44451</v>
      </c>
      <c r="D549" s="11">
        <f>IFERROR(__xludf.DUMMYFUNCTION("""COMPUTED_VALUE"""),923.0)</f>
        <v>923</v>
      </c>
      <c r="E549" s="9"/>
    </row>
    <row r="550">
      <c r="A550" s="11">
        <f>IFERROR(__xludf.DUMMYFUNCTION("""COMPUTED_VALUE"""),2021.0)</f>
        <v>2021</v>
      </c>
      <c r="B550" s="11">
        <f>IFERROR(__xludf.DUMMYFUNCTION("""COMPUTED_VALUE"""),11.0)</f>
        <v>11</v>
      </c>
      <c r="C550" s="11">
        <f>IFERROR(__xludf.DUMMYFUNCTION("""COMPUTED_VALUE"""),17664.0)</f>
        <v>17664</v>
      </c>
      <c r="D550" s="11">
        <f>IFERROR(__xludf.DUMMYFUNCTION("""COMPUTED_VALUE"""),607.0)</f>
        <v>607</v>
      </c>
      <c r="E550" s="9"/>
    </row>
    <row r="551">
      <c r="A551" s="11">
        <f>IFERROR(__xludf.DUMMYFUNCTION("""COMPUTED_VALUE"""),2021.0)</f>
        <v>2021</v>
      </c>
      <c r="B551" s="11">
        <f>IFERROR(__xludf.DUMMYFUNCTION("""COMPUTED_VALUE"""),11.0)</f>
        <v>11</v>
      </c>
      <c r="C551" s="11">
        <f>IFERROR(__xludf.DUMMYFUNCTION("""COMPUTED_VALUE"""),44459.0)</f>
        <v>44459</v>
      </c>
      <c r="D551" s="11">
        <f>IFERROR(__xludf.DUMMYFUNCTION("""COMPUTED_VALUE"""),1004.0)</f>
        <v>1004</v>
      </c>
      <c r="E551" s="9"/>
    </row>
    <row r="552">
      <c r="A552" s="11">
        <f>IFERROR(__xludf.DUMMYFUNCTION("""COMPUTED_VALUE"""),2021.0)</f>
        <v>2021</v>
      </c>
      <c r="B552" s="11">
        <f>IFERROR(__xludf.DUMMYFUNCTION("""COMPUTED_VALUE"""),11.0)</f>
        <v>11</v>
      </c>
      <c r="C552" s="11">
        <f>IFERROR(__xludf.DUMMYFUNCTION("""COMPUTED_VALUE"""),110398.0)</f>
        <v>110398</v>
      </c>
      <c r="D552" s="11">
        <f>IFERROR(__xludf.DUMMYFUNCTION("""COMPUTED_VALUE"""),1841.0)</f>
        <v>1841</v>
      </c>
      <c r="E552" s="9"/>
    </row>
    <row r="553">
      <c r="A553" s="11">
        <f>IFERROR(__xludf.DUMMYFUNCTION("""COMPUTED_VALUE"""),2021.0)</f>
        <v>2021</v>
      </c>
      <c r="B553" s="11">
        <f>IFERROR(__xludf.DUMMYFUNCTION("""COMPUTED_VALUE"""),8.0)</f>
        <v>8</v>
      </c>
      <c r="C553" s="11">
        <f>IFERROR(__xludf.DUMMYFUNCTION("""COMPUTED_VALUE"""),149495.0)</f>
        <v>149495</v>
      </c>
      <c r="D553" s="11">
        <f>IFERROR(__xludf.DUMMYFUNCTION("""COMPUTED_VALUE"""),661.0)</f>
        <v>661</v>
      </c>
      <c r="E553" s="9"/>
    </row>
    <row r="554">
      <c r="A554" s="11">
        <f>IFERROR(__xludf.DUMMYFUNCTION("""COMPUTED_VALUE"""),2021.0)</f>
        <v>2021</v>
      </c>
      <c r="B554" s="11">
        <f>IFERROR(__xludf.DUMMYFUNCTION("""COMPUTED_VALUE"""),10.0)</f>
        <v>10</v>
      </c>
      <c r="C554" s="11">
        <f>IFERROR(__xludf.DUMMYFUNCTION("""COMPUTED_VALUE"""),124685.0)</f>
        <v>124685</v>
      </c>
      <c r="D554" s="11">
        <f>IFERROR(__xludf.DUMMYFUNCTION("""COMPUTED_VALUE"""),874.0)</f>
        <v>874</v>
      </c>
      <c r="E554" s="9"/>
    </row>
    <row r="555">
      <c r="A555" s="11">
        <f>IFERROR(__xludf.DUMMYFUNCTION("""COMPUTED_VALUE"""),2021.0)</f>
        <v>2021</v>
      </c>
      <c r="B555" s="11">
        <f>IFERROR(__xludf.DUMMYFUNCTION("""COMPUTED_VALUE"""),9.0)</f>
        <v>9</v>
      </c>
      <c r="C555" s="11">
        <f>IFERROR(__xludf.DUMMYFUNCTION("""COMPUTED_VALUE"""),110004.0)</f>
        <v>110004</v>
      </c>
      <c r="D555" s="11">
        <f>IFERROR(__xludf.DUMMYFUNCTION("""COMPUTED_VALUE"""),1311.0)</f>
        <v>1311</v>
      </c>
      <c r="E555" s="9"/>
    </row>
    <row r="556">
      <c r="A556" s="11">
        <f>IFERROR(__xludf.DUMMYFUNCTION("""COMPUTED_VALUE"""),2021.0)</f>
        <v>2021</v>
      </c>
      <c r="B556" s="11">
        <f>IFERROR(__xludf.DUMMYFUNCTION("""COMPUTED_VALUE"""),8.0)</f>
        <v>8</v>
      </c>
      <c r="C556" s="11">
        <f>IFERROR(__xludf.DUMMYFUNCTION("""COMPUTED_VALUE"""),111052.0)</f>
        <v>111052</v>
      </c>
      <c r="D556" s="11">
        <f>IFERROR(__xludf.DUMMYFUNCTION("""COMPUTED_VALUE"""),1395.0)</f>
        <v>1395</v>
      </c>
      <c r="E556" s="9"/>
    </row>
    <row r="557">
      <c r="A557" s="11">
        <f>IFERROR(__xludf.DUMMYFUNCTION("""COMPUTED_VALUE"""),2021.0)</f>
        <v>2021</v>
      </c>
      <c r="B557" s="11">
        <f>IFERROR(__xludf.DUMMYFUNCTION("""COMPUTED_VALUE"""),8.0)</f>
        <v>8</v>
      </c>
      <c r="C557" s="11">
        <f>IFERROR(__xludf.DUMMYFUNCTION("""COMPUTED_VALUE"""),102948.0)</f>
        <v>102948</v>
      </c>
      <c r="D557" s="11">
        <f>IFERROR(__xludf.DUMMYFUNCTION("""COMPUTED_VALUE"""),659.0)</f>
        <v>659</v>
      </c>
      <c r="E557" s="9"/>
    </row>
    <row r="558">
      <c r="A558" s="11">
        <f>IFERROR(__xludf.DUMMYFUNCTION("""COMPUTED_VALUE"""),2021.0)</f>
        <v>2021</v>
      </c>
      <c r="B558" s="11">
        <f>IFERROR(__xludf.DUMMYFUNCTION("""COMPUTED_VALUE"""),11.0)</f>
        <v>11</v>
      </c>
      <c r="C558" s="11">
        <f>IFERROR(__xludf.DUMMYFUNCTION("""COMPUTED_VALUE"""),110000.0)</f>
        <v>110000</v>
      </c>
      <c r="D558" s="11">
        <f>IFERROR(__xludf.DUMMYFUNCTION("""COMPUTED_VALUE"""),1522.0)</f>
        <v>1522</v>
      </c>
      <c r="E558" s="9"/>
    </row>
    <row r="559">
      <c r="A559" s="11">
        <f>IFERROR(__xludf.DUMMYFUNCTION("""COMPUTED_VALUE"""),2021.0)</f>
        <v>2021</v>
      </c>
      <c r="B559" s="11">
        <f>IFERROR(__xludf.DUMMYFUNCTION("""COMPUTED_VALUE"""),9.0)</f>
        <v>9</v>
      </c>
      <c r="C559" s="11">
        <f>IFERROR(__xludf.DUMMYFUNCTION("""COMPUTED_VALUE"""),7264.0)</f>
        <v>7264</v>
      </c>
      <c r="D559" s="11">
        <f>IFERROR(__xludf.DUMMYFUNCTION("""COMPUTED_VALUE"""),502.0)</f>
        <v>502</v>
      </c>
      <c r="E559" s="9"/>
    </row>
    <row r="560">
      <c r="A560" s="11">
        <f>IFERROR(__xludf.DUMMYFUNCTION("""COMPUTED_VALUE"""),2021.0)</f>
        <v>2021</v>
      </c>
      <c r="B560" s="11">
        <f>IFERROR(__xludf.DUMMYFUNCTION("""COMPUTED_VALUE"""),9.0)</f>
        <v>9</v>
      </c>
      <c r="C560" s="11">
        <f>IFERROR(__xludf.DUMMYFUNCTION("""COMPUTED_VALUE"""),110005.0)</f>
        <v>110005</v>
      </c>
      <c r="D560" s="11">
        <f>IFERROR(__xludf.DUMMYFUNCTION("""COMPUTED_VALUE"""),1112.0)</f>
        <v>1112</v>
      </c>
      <c r="E560" s="9"/>
    </row>
    <row r="561">
      <c r="A561" s="11">
        <f>IFERROR(__xludf.DUMMYFUNCTION("""COMPUTED_VALUE"""),2021.0)</f>
        <v>2021</v>
      </c>
      <c r="B561" s="11">
        <f>IFERROR(__xludf.DUMMYFUNCTION("""COMPUTED_VALUE"""),9.0)</f>
        <v>9</v>
      </c>
      <c r="C561" s="11">
        <f>IFERROR(__xludf.DUMMYFUNCTION("""COMPUTED_VALUE"""),124693.0)</f>
        <v>124693</v>
      </c>
      <c r="D561" s="11">
        <f>IFERROR(__xludf.DUMMYFUNCTION("""COMPUTED_VALUE"""),970.0)</f>
        <v>970</v>
      </c>
      <c r="E561" s="9"/>
    </row>
    <row r="562">
      <c r="A562" s="11">
        <f>IFERROR(__xludf.DUMMYFUNCTION("""COMPUTED_VALUE"""),2021.0)</f>
        <v>2021</v>
      </c>
      <c r="B562" s="11">
        <f>IFERROR(__xludf.DUMMYFUNCTION("""COMPUTED_VALUE"""),9.0)</f>
        <v>9</v>
      </c>
      <c r="C562" s="11">
        <f>IFERROR(__xludf.DUMMYFUNCTION("""COMPUTED_VALUE"""),86501.0)</f>
        <v>86501</v>
      </c>
      <c r="D562" s="11">
        <f>IFERROR(__xludf.DUMMYFUNCTION("""COMPUTED_VALUE"""),1730.0)</f>
        <v>1730</v>
      </c>
      <c r="E562" s="9"/>
    </row>
    <row r="563">
      <c r="A563" s="11">
        <f>IFERROR(__xludf.DUMMYFUNCTION("""COMPUTED_VALUE"""),2021.0)</f>
        <v>2021</v>
      </c>
      <c r="B563" s="11">
        <f>IFERROR(__xludf.DUMMYFUNCTION("""COMPUTED_VALUE"""),8.0)</f>
        <v>8</v>
      </c>
      <c r="C563" s="11">
        <f>IFERROR(__xludf.DUMMYFUNCTION("""COMPUTED_VALUE"""),101536.0)</f>
        <v>101536</v>
      </c>
      <c r="D563" s="11">
        <f>IFERROR(__xludf.DUMMYFUNCTION("""COMPUTED_VALUE"""),796.0)</f>
        <v>796</v>
      </c>
      <c r="E563" s="9"/>
    </row>
    <row r="564">
      <c r="A564" s="11">
        <f>IFERROR(__xludf.DUMMYFUNCTION("""COMPUTED_VALUE"""),2021.0)</f>
        <v>2021</v>
      </c>
      <c r="B564" s="11">
        <f>IFERROR(__xludf.DUMMYFUNCTION("""COMPUTED_VALUE"""),8.0)</f>
        <v>8</v>
      </c>
      <c r="C564" s="11">
        <f>IFERROR(__xludf.DUMMYFUNCTION("""COMPUTED_VALUE"""),101534.0)</f>
        <v>101534</v>
      </c>
      <c r="D564" s="11">
        <f>IFERROR(__xludf.DUMMYFUNCTION("""COMPUTED_VALUE"""),230.0)</f>
        <v>230</v>
      </c>
      <c r="E564" s="9"/>
    </row>
    <row r="565">
      <c r="A565" s="11">
        <f>IFERROR(__xludf.DUMMYFUNCTION("""COMPUTED_VALUE"""),2021.0)</f>
        <v>2021</v>
      </c>
      <c r="B565" s="11">
        <f>IFERROR(__xludf.DUMMYFUNCTION("""COMPUTED_VALUE"""),8.0)</f>
        <v>8</v>
      </c>
      <c r="C565" s="11">
        <f>IFERROR(__xludf.DUMMYFUNCTION("""COMPUTED_VALUE"""),110002.0)</f>
        <v>110002</v>
      </c>
      <c r="D565" s="11">
        <f>IFERROR(__xludf.DUMMYFUNCTION("""COMPUTED_VALUE"""),1735.0)</f>
        <v>1735</v>
      </c>
      <c r="E565" s="9"/>
    </row>
    <row r="566">
      <c r="A566" s="11">
        <f>IFERROR(__xludf.DUMMYFUNCTION("""COMPUTED_VALUE"""),2021.0)</f>
        <v>2021</v>
      </c>
      <c r="B566" s="11">
        <f>IFERROR(__xludf.DUMMYFUNCTION("""COMPUTED_VALUE"""),10.0)</f>
        <v>10</v>
      </c>
      <c r="C566" s="11">
        <f>IFERROR(__xludf.DUMMYFUNCTION("""COMPUTED_VALUE"""),110001.0)</f>
        <v>110001</v>
      </c>
      <c r="D566" s="11">
        <f>IFERROR(__xludf.DUMMYFUNCTION("""COMPUTED_VALUE"""),1359.0)</f>
        <v>1359</v>
      </c>
      <c r="E566" s="9"/>
    </row>
    <row r="567">
      <c r="A567" s="11">
        <f>IFERROR(__xludf.DUMMYFUNCTION("""COMPUTED_VALUE"""),2021.0)</f>
        <v>2021</v>
      </c>
      <c r="B567" s="11">
        <f>IFERROR(__xludf.DUMMYFUNCTION("""COMPUTED_VALUE"""),10.0)</f>
        <v>10</v>
      </c>
      <c r="C567" s="11">
        <f>IFERROR(__xludf.DUMMYFUNCTION("""COMPUTED_VALUE"""),111051.0)</f>
        <v>111051</v>
      </c>
      <c r="D567" s="11">
        <f>IFERROR(__xludf.DUMMYFUNCTION("""COMPUTED_VALUE"""),1395.0)</f>
        <v>1395</v>
      </c>
      <c r="E567" s="9"/>
    </row>
    <row r="568">
      <c r="A568" s="11">
        <f>IFERROR(__xludf.DUMMYFUNCTION("""COMPUTED_VALUE"""),2021.0)</f>
        <v>2021</v>
      </c>
      <c r="B568" s="11">
        <f>IFERROR(__xludf.DUMMYFUNCTION("""COMPUTED_VALUE"""),8.0)</f>
        <v>8</v>
      </c>
      <c r="C568" s="11">
        <f>IFERROR(__xludf.DUMMYFUNCTION("""COMPUTED_VALUE"""),7258.0)</f>
        <v>7258</v>
      </c>
      <c r="D568" s="11">
        <f>IFERROR(__xludf.DUMMYFUNCTION("""COMPUTED_VALUE"""),1957.0)</f>
        <v>1957</v>
      </c>
      <c r="E568" s="9"/>
    </row>
    <row r="569">
      <c r="A569" s="11">
        <f>IFERROR(__xludf.DUMMYFUNCTION("""COMPUTED_VALUE"""),2021.0)</f>
        <v>2021</v>
      </c>
      <c r="B569" s="11">
        <f>IFERROR(__xludf.DUMMYFUNCTION("""COMPUTED_VALUE"""),10.0)</f>
        <v>10</v>
      </c>
      <c r="C569" s="11">
        <f>IFERROR(__xludf.DUMMYFUNCTION("""COMPUTED_VALUE"""),111053.0)</f>
        <v>111053</v>
      </c>
      <c r="D569" s="11">
        <f>IFERROR(__xludf.DUMMYFUNCTION("""COMPUTED_VALUE"""),891.0)</f>
        <v>891</v>
      </c>
      <c r="E569" s="9"/>
    </row>
    <row r="570">
      <c r="A570" s="11">
        <f>IFERROR(__xludf.DUMMYFUNCTION("""COMPUTED_VALUE"""),2021.0)</f>
        <v>2021</v>
      </c>
      <c r="B570" s="11">
        <f>IFERROR(__xludf.DUMMYFUNCTION("""COMPUTED_VALUE"""),8.0)</f>
        <v>8</v>
      </c>
      <c r="C570" s="11">
        <f>IFERROR(__xludf.DUMMYFUNCTION("""COMPUTED_VALUE"""),120996.0)</f>
        <v>120996</v>
      </c>
      <c r="D570" s="11">
        <f>IFERROR(__xludf.DUMMYFUNCTION("""COMPUTED_VALUE"""),1361.0)</f>
        <v>1361</v>
      </c>
      <c r="E570" s="9"/>
    </row>
    <row r="571">
      <c r="A571" s="11">
        <f>IFERROR(__xludf.DUMMYFUNCTION("""COMPUTED_VALUE"""),2021.0)</f>
        <v>2021</v>
      </c>
      <c r="B571" s="11">
        <f>IFERROR(__xludf.DUMMYFUNCTION("""COMPUTED_VALUE"""),11.0)</f>
        <v>11</v>
      </c>
      <c r="C571" s="11">
        <f>IFERROR(__xludf.DUMMYFUNCTION("""COMPUTED_VALUE"""),109746.0)</f>
        <v>109746</v>
      </c>
      <c r="D571" s="11">
        <f>IFERROR(__xludf.DUMMYFUNCTION("""COMPUTED_VALUE"""),258.0)</f>
        <v>258</v>
      </c>
      <c r="E571" s="9"/>
    </row>
    <row r="572">
      <c r="A572" s="11">
        <f>IFERROR(__xludf.DUMMYFUNCTION("""COMPUTED_VALUE"""),2021.0)</f>
        <v>2021</v>
      </c>
      <c r="B572" s="11">
        <f>IFERROR(__xludf.DUMMYFUNCTION("""COMPUTED_VALUE"""),8.0)</f>
        <v>8</v>
      </c>
      <c r="C572" s="11">
        <f>IFERROR(__xludf.DUMMYFUNCTION("""COMPUTED_VALUE"""),147288.0)</f>
        <v>147288</v>
      </c>
      <c r="D572" s="11">
        <f>IFERROR(__xludf.DUMMYFUNCTION("""COMPUTED_VALUE"""),403.0)</f>
        <v>403</v>
      </c>
      <c r="E572" s="9"/>
    </row>
    <row r="573">
      <c r="A573" s="11">
        <f>IFERROR(__xludf.DUMMYFUNCTION("""COMPUTED_VALUE"""),2021.0)</f>
        <v>2021</v>
      </c>
      <c r="B573" s="11">
        <f>IFERROR(__xludf.DUMMYFUNCTION("""COMPUTED_VALUE"""),11.0)</f>
        <v>11</v>
      </c>
      <c r="C573" s="11">
        <f>IFERROR(__xludf.DUMMYFUNCTION("""COMPUTED_VALUE"""),120997.0)</f>
        <v>120997</v>
      </c>
      <c r="D573" s="11">
        <f>IFERROR(__xludf.DUMMYFUNCTION("""COMPUTED_VALUE"""),702.0)</f>
        <v>702</v>
      </c>
      <c r="E573" s="9"/>
    </row>
    <row r="574">
      <c r="A574" s="11">
        <f>IFERROR(__xludf.DUMMYFUNCTION("""COMPUTED_VALUE"""),2021.0)</f>
        <v>2021</v>
      </c>
      <c r="B574" s="11">
        <f>IFERROR(__xludf.DUMMYFUNCTION("""COMPUTED_VALUE"""),9.0)</f>
        <v>9</v>
      </c>
      <c r="C574" s="11">
        <f>IFERROR(__xludf.DUMMYFUNCTION("""COMPUTED_VALUE"""),109742.0)</f>
        <v>109742</v>
      </c>
      <c r="D574" s="11">
        <f>IFERROR(__xludf.DUMMYFUNCTION("""COMPUTED_VALUE"""),1857.0)</f>
        <v>1857</v>
      </c>
      <c r="E574" s="9"/>
    </row>
    <row r="575">
      <c r="A575" s="11">
        <f>IFERROR(__xludf.DUMMYFUNCTION("""COMPUTED_VALUE"""),2021.0)</f>
        <v>2021</v>
      </c>
      <c r="B575" s="11">
        <f>IFERROR(__xludf.DUMMYFUNCTION("""COMPUTED_VALUE"""),11.0)</f>
        <v>11</v>
      </c>
      <c r="C575" s="11">
        <f>IFERROR(__xludf.DUMMYFUNCTION("""COMPUTED_VALUE"""),156013.0)</f>
        <v>156013</v>
      </c>
      <c r="D575" s="11">
        <f>IFERROR(__xludf.DUMMYFUNCTION("""COMPUTED_VALUE"""),225.0)</f>
        <v>225</v>
      </c>
      <c r="E575" s="9"/>
    </row>
    <row r="576">
      <c r="A576" s="11">
        <f>IFERROR(__xludf.DUMMYFUNCTION("""COMPUTED_VALUE"""),2021.0)</f>
        <v>2021</v>
      </c>
      <c r="B576" s="11">
        <f>IFERROR(__xludf.DUMMYFUNCTION("""COMPUTED_VALUE"""),9.0)</f>
        <v>9</v>
      </c>
      <c r="C576" s="11">
        <f>IFERROR(__xludf.DUMMYFUNCTION("""COMPUTED_VALUE"""),98426.0)</f>
        <v>98426</v>
      </c>
      <c r="D576" s="11">
        <f>IFERROR(__xludf.DUMMYFUNCTION("""COMPUTED_VALUE"""),1610.0)</f>
        <v>1610</v>
      </c>
      <c r="E576" s="9"/>
    </row>
    <row r="577">
      <c r="A577" s="11">
        <f>IFERROR(__xludf.DUMMYFUNCTION("""COMPUTED_VALUE"""),2021.0)</f>
        <v>2021</v>
      </c>
      <c r="B577" s="11">
        <f>IFERROR(__xludf.DUMMYFUNCTION("""COMPUTED_VALUE"""),11.0)</f>
        <v>11</v>
      </c>
      <c r="C577" s="11">
        <f>IFERROR(__xludf.DUMMYFUNCTION("""COMPUTED_VALUE"""),110006.0)</f>
        <v>110006</v>
      </c>
      <c r="D577" s="11">
        <f>IFERROR(__xludf.DUMMYFUNCTION("""COMPUTED_VALUE"""),123.0)</f>
        <v>123</v>
      </c>
      <c r="E577" s="9"/>
    </row>
    <row r="578">
      <c r="A578" s="11">
        <f>IFERROR(__xludf.DUMMYFUNCTION("""COMPUTED_VALUE"""),2021.0)</f>
        <v>2021</v>
      </c>
      <c r="B578" s="11">
        <f>IFERROR(__xludf.DUMMYFUNCTION("""COMPUTED_VALUE"""),8.0)</f>
        <v>8</v>
      </c>
      <c r="C578" s="11">
        <f>IFERROR(__xludf.DUMMYFUNCTION("""COMPUTED_VALUE"""),110409.0)</f>
        <v>110409</v>
      </c>
      <c r="D578" s="11">
        <f>IFERROR(__xludf.DUMMYFUNCTION("""COMPUTED_VALUE"""),1393.0)</f>
        <v>1393</v>
      </c>
      <c r="E578" s="9"/>
    </row>
    <row r="579">
      <c r="A579" s="11">
        <f>IFERROR(__xludf.DUMMYFUNCTION("""COMPUTED_VALUE"""),2021.0)</f>
        <v>2021</v>
      </c>
      <c r="B579" s="11">
        <f>IFERROR(__xludf.DUMMYFUNCTION("""COMPUTED_VALUE"""),11.0)</f>
        <v>11</v>
      </c>
      <c r="C579" s="11">
        <f>IFERROR(__xludf.DUMMYFUNCTION("""COMPUTED_VALUE"""),117774.0)</f>
        <v>117774</v>
      </c>
      <c r="D579" s="11">
        <f>IFERROR(__xludf.DUMMYFUNCTION("""COMPUTED_VALUE"""),1787.0)</f>
        <v>1787</v>
      </c>
      <c r="E579" s="9"/>
    </row>
    <row r="580">
      <c r="A580" s="11">
        <f>IFERROR(__xludf.DUMMYFUNCTION("""COMPUTED_VALUE"""),2021.0)</f>
        <v>2021</v>
      </c>
      <c r="B580" s="11">
        <f>IFERROR(__xludf.DUMMYFUNCTION("""COMPUTED_VALUE"""),10.0)</f>
        <v>10</v>
      </c>
      <c r="C580" s="11">
        <f>IFERROR(__xludf.DUMMYFUNCTION("""COMPUTED_VALUE"""),110411.0)</f>
        <v>110411</v>
      </c>
      <c r="D580" s="11">
        <f>IFERROR(__xludf.DUMMYFUNCTION("""COMPUTED_VALUE"""),430.0)</f>
        <v>430</v>
      </c>
      <c r="E580" s="9"/>
    </row>
    <row r="581">
      <c r="A581" s="11">
        <f>IFERROR(__xludf.DUMMYFUNCTION("""COMPUTED_VALUE"""),2021.0)</f>
        <v>2021</v>
      </c>
      <c r="B581" s="11">
        <f>IFERROR(__xludf.DUMMYFUNCTION("""COMPUTED_VALUE"""),9.0)</f>
        <v>9</v>
      </c>
      <c r="C581" s="11">
        <f>IFERROR(__xludf.DUMMYFUNCTION("""COMPUTED_VALUE"""),86743.0)</f>
        <v>86743</v>
      </c>
      <c r="D581" s="11">
        <f>IFERROR(__xludf.DUMMYFUNCTION("""COMPUTED_VALUE"""),473.0)</f>
        <v>473</v>
      </c>
      <c r="E581" s="9"/>
    </row>
    <row r="582">
      <c r="A582" s="11">
        <f>IFERROR(__xludf.DUMMYFUNCTION("""COMPUTED_VALUE"""),2021.0)</f>
        <v>2021</v>
      </c>
      <c r="B582" s="11">
        <f>IFERROR(__xludf.DUMMYFUNCTION("""COMPUTED_VALUE"""),10.0)</f>
        <v>10</v>
      </c>
      <c r="C582" s="11">
        <f>IFERROR(__xludf.DUMMYFUNCTION("""COMPUTED_VALUE"""),86691.0)</f>
        <v>86691</v>
      </c>
      <c r="D582" s="11">
        <f>IFERROR(__xludf.DUMMYFUNCTION("""COMPUTED_VALUE"""),1840.0)</f>
        <v>1840</v>
      </c>
      <c r="E582" s="9"/>
    </row>
    <row r="583">
      <c r="A583" s="11">
        <f>IFERROR(__xludf.DUMMYFUNCTION("""COMPUTED_VALUE"""),2021.0)</f>
        <v>2021</v>
      </c>
      <c r="B583" s="11">
        <f>IFERROR(__xludf.DUMMYFUNCTION("""COMPUTED_VALUE"""),11.0)</f>
        <v>11</v>
      </c>
      <c r="C583" s="11">
        <f>IFERROR(__xludf.DUMMYFUNCTION("""COMPUTED_VALUE"""),7257.0)</f>
        <v>7257</v>
      </c>
      <c r="D583" s="11">
        <f>IFERROR(__xludf.DUMMYFUNCTION("""COMPUTED_VALUE"""),190.0)</f>
        <v>190</v>
      </c>
      <c r="E583" s="9"/>
    </row>
    <row r="584">
      <c r="A584" s="11">
        <f>IFERROR(__xludf.DUMMYFUNCTION("""COMPUTED_VALUE"""),2021.0)</f>
        <v>2021</v>
      </c>
      <c r="B584" s="11">
        <f>IFERROR(__xludf.DUMMYFUNCTION("""COMPUTED_VALUE"""),9.0)</f>
        <v>9</v>
      </c>
      <c r="C584" s="11">
        <f>IFERROR(__xludf.DUMMYFUNCTION("""COMPUTED_VALUE"""),77706.0)</f>
        <v>77706</v>
      </c>
      <c r="D584" s="11">
        <f>IFERROR(__xludf.DUMMYFUNCTION("""COMPUTED_VALUE"""),1482.0)</f>
        <v>1482</v>
      </c>
      <c r="E584" s="9"/>
    </row>
    <row r="585">
      <c r="A585" s="11">
        <f>IFERROR(__xludf.DUMMYFUNCTION("""COMPUTED_VALUE"""),2021.0)</f>
        <v>2021</v>
      </c>
      <c r="B585" s="11">
        <f>IFERROR(__xludf.DUMMYFUNCTION("""COMPUTED_VALUE"""),9.0)</f>
        <v>9</v>
      </c>
      <c r="C585" s="11">
        <f>IFERROR(__xludf.DUMMYFUNCTION("""COMPUTED_VALUE"""),122599.0)</f>
        <v>122599</v>
      </c>
      <c r="D585" s="11">
        <f>IFERROR(__xludf.DUMMYFUNCTION("""COMPUTED_VALUE"""),172.0)</f>
        <v>172</v>
      </c>
      <c r="E585" s="9"/>
    </row>
    <row r="586">
      <c r="A586" s="11">
        <f>IFERROR(__xludf.DUMMYFUNCTION("""COMPUTED_VALUE"""),2021.0)</f>
        <v>2021</v>
      </c>
      <c r="B586" s="11">
        <f>IFERROR(__xludf.DUMMYFUNCTION("""COMPUTED_VALUE"""),10.0)</f>
        <v>10</v>
      </c>
      <c r="C586" s="11">
        <f>IFERROR(__xludf.DUMMYFUNCTION("""COMPUTED_VALUE"""),109741.0)</f>
        <v>109741</v>
      </c>
      <c r="D586" s="11">
        <f>IFERROR(__xludf.DUMMYFUNCTION("""COMPUTED_VALUE"""),1119.0)</f>
        <v>1119</v>
      </c>
      <c r="E586" s="9"/>
    </row>
    <row r="587">
      <c r="A587" s="11">
        <f>IFERROR(__xludf.DUMMYFUNCTION("""COMPUTED_VALUE"""),2021.0)</f>
        <v>2021</v>
      </c>
      <c r="B587" s="11">
        <f>IFERROR(__xludf.DUMMYFUNCTION("""COMPUTED_VALUE"""),11.0)</f>
        <v>11</v>
      </c>
      <c r="C587" s="11">
        <f>IFERROR(__xludf.DUMMYFUNCTION("""COMPUTED_VALUE"""),69064.0)</f>
        <v>69064</v>
      </c>
      <c r="D587" s="11">
        <f>IFERROR(__xludf.DUMMYFUNCTION("""COMPUTED_VALUE"""),1543.0)</f>
        <v>1543</v>
      </c>
      <c r="E587" s="9"/>
    </row>
    <row r="588">
      <c r="A588" s="11">
        <f>IFERROR(__xludf.DUMMYFUNCTION("""COMPUTED_VALUE"""),2021.0)</f>
        <v>2021</v>
      </c>
      <c r="B588" s="11">
        <f>IFERROR(__xludf.DUMMYFUNCTION("""COMPUTED_VALUE"""),11.0)</f>
        <v>11</v>
      </c>
      <c r="C588" s="11">
        <f>IFERROR(__xludf.DUMMYFUNCTION("""COMPUTED_VALUE"""),119447.0)</f>
        <v>119447</v>
      </c>
      <c r="D588" s="11">
        <f>IFERROR(__xludf.DUMMYFUNCTION("""COMPUTED_VALUE"""),1077.0)</f>
        <v>1077</v>
      </c>
      <c r="E588" s="9"/>
    </row>
    <row r="589">
      <c r="A589" s="11">
        <f>IFERROR(__xludf.DUMMYFUNCTION("""COMPUTED_VALUE"""),2021.0)</f>
        <v>2021</v>
      </c>
      <c r="B589" s="11">
        <f>IFERROR(__xludf.DUMMYFUNCTION("""COMPUTED_VALUE"""),11.0)</f>
        <v>11</v>
      </c>
      <c r="C589" s="11">
        <f>IFERROR(__xludf.DUMMYFUNCTION("""COMPUTED_VALUE"""),111730.0)</f>
        <v>111730</v>
      </c>
      <c r="D589" s="11">
        <f>IFERROR(__xludf.DUMMYFUNCTION("""COMPUTED_VALUE"""),448.0)</f>
        <v>448</v>
      </c>
      <c r="E589" s="9"/>
    </row>
    <row r="590">
      <c r="A590" s="11">
        <f>IFERROR(__xludf.DUMMYFUNCTION("""COMPUTED_VALUE"""),2021.0)</f>
        <v>2021</v>
      </c>
      <c r="B590" s="11">
        <f>IFERROR(__xludf.DUMMYFUNCTION("""COMPUTED_VALUE"""),11.0)</f>
        <v>11</v>
      </c>
      <c r="C590" s="11">
        <f>IFERROR(__xludf.DUMMYFUNCTION("""COMPUTED_VALUE"""),100437.0)</f>
        <v>100437</v>
      </c>
      <c r="D590" s="11">
        <f>IFERROR(__xludf.DUMMYFUNCTION("""COMPUTED_VALUE"""),617.0)</f>
        <v>617</v>
      </c>
      <c r="E590" s="9"/>
    </row>
    <row r="591">
      <c r="A591" s="11">
        <f>IFERROR(__xludf.DUMMYFUNCTION("""COMPUTED_VALUE"""),2021.0)</f>
        <v>2021</v>
      </c>
      <c r="B591" s="11">
        <f>IFERROR(__xludf.DUMMYFUNCTION("""COMPUTED_VALUE"""),10.0)</f>
        <v>10</v>
      </c>
      <c r="C591" s="11">
        <f>IFERROR(__xludf.DUMMYFUNCTION("""COMPUTED_VALUE"""),92304.0)</f>
        <v>92304</v>
      </c>
      <c r="D591" s="11">
        <f>IFERROR(__xludf.DUMMYFUNCTION("""COMPUTED_VALUE"""),1738.0)</f>
        <v>1738</v>
      </c>
      <c r="E591" s="9"/>
    </row>
    <row r="592">
      <c r="A592" s="11">
        <f>IFERROR(__xludf.DUMMYFUNCTION("""COMPUTED_VALUE"""),2021.0)</f>
        <v>2021</v>
      </c>
      <c r="B592" s="11">
        <f>IFERROR(__xludf.DUMMYFUNCTION("""COMPUTED_VALUE"""),9.0)</f>
        <v>9</v>
      </c>
      <c r="C592" s="11">
        <f>IFERROR(__xludf.DUMMYFUNCTION("""COMPUTED_VALUE"""),103655.0)</f>
        <v>103655</v>
      </c>
      <c r="D592" s="11">
        <f>IFERROR(__xludf.DUMMYFUNCTION("""COMPUTED_VALUE"""),387.0)</f>
        <v>387</v>
      </c>
      <c r="E592" s="9"/>
    </row>
    <row r="593">
      <c r="A593" s="11">
        <f>IFERROR(__xludf.DUMMYFUNCTION("""COMPUTED_VALUE"""),2021.0)</f>
        <v>2021</v>
      </c>
      <c r="B593" s="11">
        <f>IFERROR(__xludf.DUMMYFUNCTION("""COMPUTED_VALUE"""),9.0)</f>
        <v>9</v>
      </c>
      <c r="C593" s="11">
        <f>IFERROR(__xludf.DUMMYFUNCTION("""COMPUTED_VALUE"""),103656.0)</f>
        <v>103656</v>
      </c>
      <c r="D593" s="11">
        <f>IFERROR(__xludf.DUMMYFUNCTION("""COMPUTED_VALUE"""),1658.0)</f>
        <v>1658</v>
      </c>
      <c r="E593" s="9"/>
    </row>
    <row r="594">
      <c r="A594" s="11">
        <f>IFERROR(__xludf.DUMMYFUNCTION("""COMPUTED_VALUE"""),2021.0)</f>
        <v>2021</v>
      </c>
      <c r="B594" s="11">
        <f>IFERROR(__xludf.DUMMYFUNCTION("""COMPUTED_VALUE"""),9.0)</f>
        <v>9</v>
      </c>
      <c r="C594" s="11">
        <f>IFERROR(__xludf.DUMMYFUNCTION("""COMPUTED_VALUE"""),103704.0)</f>
        <v>103704</v>
      </c>
      <c r="D594" s="11">
        <f>IFERROR(__xludf.DUMMYFUNCTION("""COMPUTED_VALUE"""),1155.0)</f>
        <v>1155</v>
      </c>
      <c r="E594" s="9"/>
    </row>
    <row r="595">
      <c r="A595" s="11">
        <f>IFERROR(__xludf.DUMMYFUNCTION("""COMPUTED_VALUE"""),2021.0)</f>
        <v>2021</v>
      </c>
      <c r="B595" s="11">
        <f>IFERROR(__xludf.DUMMYFUNCTION("""COMPUTED_VALUE"""),9.0)</f>
        <v>9</v>
      </c>
      <c r="C595" s="11">
        <f>IFERROR(__xludf.DUMMYFUNCTION("""COMPUTED_VALUE"""),46759.0)</f>
        <v>46759</v>
      </c>
      <c r="D595" s="11">
        <f>IFERROR(__xludf.DUMMYFUNCTION("""COMPUTED_VALUE"""),1932.0)</f>
        <v>1932</v>
      </c>
      <c r="E595" s="9"/>
    </row>
    <row r="596">
      <c r="A596" s="11">
        <f>IFERROR(__xludf.DUMMYFUNCTION("""COMPUTED_VALUE"""),2021.0)</f>
        <v>2021</v>
      </c>
      <c r="B596" s="11">
        <f>IFERROR(__xludf.DUMMYFUNCTION("""COMPUTED_VALUE"""),9.0)</f>
        <v>9</v>
      </c>
      <c r="C596" s="11">
        <f>IFERROR(__xludf.DUMMYFUNCTION("""COMPUTED_VALUE"""),113594.0)</f>
        <v>113594</v>
      </c>
      <c r="D596" s="11">
        <f>IFERROR(__xludf.DUMMYFUNCTION("""COMPUTED_VALUE"""),373.0)</f>
        <v>373</v>
      </c>
      <c r="E596" s="9"/>
    </row>
    <row r="597">
      <c r="A597" s="11">
        <f>IFERROR(__xludf.DUMMYFUNCTION("""COMPUTED_VALUE"""),2021.0)</f>
        <v>2021</v>
      </c>
      <c r="B597" s="11">
        <f>IFERROR(__xludf.DUMMYFUNCTION("""COMPUTED_VALUE"""),10.0)</f>
        <v>10</v>
      </c>
      <c r="C597" s="11">
        <f>IFERROR(__xludf.DUMMYFUNCTION("""COMPUTED_VALUE"""),111791.0)</f>
        <v>111791</v>
      </c>
      <c r="D597" s="11">
        <f>IFERROR(__xludf.DUMMYFUNCTION("""COMPUTED_VALUE"""),1917.0)</f>
        <v>1917</v>
      </c>
      <c r="E597" s="9"/>
    </row>
    <row r="598">
      <c r="A598" s="11">
        <f>IFERROR(__xludf.DUMMYFUNCTION("""COMPUTED_VALUE"""),2021.0)</f>
        <v>2021</v>
      </c>
      <c r="B598" s="11">
        <f>IFERROR(__xludf.DUMMYFUNCTION("""COMPUTED_VALUE"""),11.0)</f>
        <v>11</v>
      </c>
      <c r="C598" s="11">
        <f>IFERROR(__xludf.DUMMYFUNCTION("""COMPUTED_VALUE"""),44674.0)</f>
        <v>44674</v>
      </c>
      <c r="D598" s="11">
        <f>IFERROR(__xludf.DUMMYFUNCTION("""COMPUTED_VALUE"""),736.0)</f>
        <v>736</v>
      </c>
      <c r="E598" s="9"/>
    </row>
    <row r="599">
      <c r="A599" s="11">
        <f>IFERROR(__xludf.DUMMYFUNCTION("""COMPUTED_VALUE"""),2021.0)</f>
        <v>2021</v>
      </c>
      <c r="B599" s="11">
        <f>IFERROR(__xludf.DUMMYFUNCTION("""COMPUTED_VALUE"""),9.0)</f>
        <v>9</v>
      </c>
      <c r="C599" s="11">
        <f>IFERROR(__xludf.DUMMYFUNCTION("""COMPUTED_VALUE"""),48639.0)</f>
        <v>48639</v>
      </c>
      <c r="D599" s="11">
        <f>IFERROR(__xludf.DUMMYFUNCTION("""COMPUTED_VALUE"""),383.0)</f>
        <v>383</v>
      </c>
      <c r="E599" s="9"/>
    </row>
    <row r="600">
      <c r="A600" s="11">
        <f>IFERROR(__xludf.DUMMYFUNCTION("""COMPUTED_VALUE"""),2021.0)</f>
        <v>2021</v>
      </c>
      <c r="B600" s="11">
        <f>IFERROR(__xludf.DUMMYFUNCTION("""COMPUTED_VALUE"""),10.0)</f>
        <v>10</v>
      </c>
      <c r="C600" s="11">
        <f>IFERROR(__xludf.DUMMYFUNCTION("""COMPUTED_VALUE"""),76559.0)</f>
        <v>76559</v>
      </c>
      <c r="D600" s="11">
        <f>IFERROR(__xludf.DUMMYFUNCTION("""COMPUTED_VALUE"""),635.0)</f>
        <v>635</v>
      </c>
      <c r="E600" s="9"/>
    </row>
    <row r="601">
      <c r="A601" s="11">
        <f>IFERROR(__xludf.DUMMYFUNCTION("""COMPUTED_VALUE"""),2021.0)</f>
        <v>2021</v>
      </c>
      <c r="B601" s="11">
        <f>IFERROR(__xludf.DUMMYFUNCTION("""COMPUTED_VALUE"""),9.0)</f>
        <v>9</v>
      </c>
      <c r="C601" s="11">
        <f>IFERROR(__xludf.DUMMYFUNCTION("""COMPUTED_VALUE"""),22112.0)</f>
        <v>22112</v>
      </c>
      <c r="D601" s="11">
        <f>IFERROR(__xludf.DUMMYFUNCTION("""COMPUTED_VALUE"""),413.0)</f>
        <v>413</v>
      </c>
      <c r="E601" s="9"/>
    </row>
    <row r="602">
      <c r="A602" s="11">
        <f>IFERROR(__xludf.DUMMYFUNCTION("""COMPUTED_VALUE"""),2021.0)</f>
        <v>2021</v>
      </c>
      <c r="B602" s="11">
        <f>IFERROR(__xludf.DUMMYFUNCTION("""COMPUTED_VALUE"""),8.0)</f>
        <v>8</v>
      </c>
      <c r="C602" s="11">
        <f>IFERROR(__xludf.DUMMYFUNCTION("""COMPUTED_VALUE"""),84390.0)</f>
        <v>84390</v>
      </c>
      <c r="D602" s="11">
        <f>IFERROR(__xludf.DUMMYFUNCTION("""COMPUTED_VALUE"""),44.0)</f>
        <v>44</v>
      </c>
      <c r="E602" s="9"/>
    </row>
    <row r="603">
      <c r="A603" s="11">
        <f>IFERROR(__xludf.DUMMYFUNCTION("""COMPUTED_VALUE"""),2021.0)</f>
        <v>2021</v>
      </c>
      <c r="B603" s="11">
        <f>IFERROR(__xludf.DUMMYFUNCTION("""COMPUTED_VALUE"""),9.0)</f>
        <v>9</v>
      </c>
      <c r="C603" s="11">
        <f>IFERROR(__xludf.DUMMYFUNCTION("""COMPUTED_VALUE"""),100327.0)</f>
        <v>100327</v>
      </c>
      <c r="D603" s="11">
        <f>IFERROR(__xludf.DUMMYFUNCTION("""COMPUTED_VALUE"""),585.0)</f>
        <v>585</v>
      </c>
      <c r="E603" s="9"/>
    </row>
    <row r="604">
      <c r="A604" s="11">
        <f>IFERROR(__xludf.DUMMYFUNCTION("""COMPUTED_VALUE"""),2021.0)</f>
        <v>2021</v>
      </c>
      <c r="B604" s="11">
        <f>IFERROR(__xludf.DUMMYFUNCTION("""COMPUTED_VALUE"""),11.0)</f>
        <v>11</v>
      </c>
      <c r="C604" s="11">
        <f>IFERROR(__xludf.DUMMYFUNCTION("""COMPUTED_VALUE"""),81427.0)</f>
        <v>81427</v>
      </c>
      <c r="D604" s="11">
        <f>IFERROR(__xludf.DUMMYFUNCTION("""COMPUTED_VALUE"""),1274.0)</f>
        <v>1274</v>
      </c>
      <c r="E604" s="9"/>
    </row>
    <row r="605">
      <c r="A605" s="11">
        <f>IFERROR(__xludf.DUMMYFUNCTION("""COMPUTED_VALUE"""),2021.0)</f>
        <v>2021</v>
      </c>
      <c r="B605" s="11">
        <f>IFERROR(__xludf.DUMMYFUNCTION("""COMPUTED_VALUE"""),10.0)</f>
        <v>10</v>
      </c>
      <c r="C605" s="11">
        <f>IFERROR(__xludf.DUMMYFUNCTION("""COMPUTED_VALUE"""),19847.0)</f>
        <v>19847</v>
      </c>
      <c r="D605" s="11">
        <f>IFERROR(__xludf.DUMMYFUNCTION("""COMPUTED_VALUE"""),297.0)</f>
        <v>297</v>
      </c>
      <c r="E605" s="9"/>
    </row>
    <row r="606">
      <c r="A606" s="11">
        <f>IFERROR(__xludf.DUMMYFUNCTION("""COMPUTED_VALUE"""),2021.0)</f>
        <v>2021</v>
      </c>
      <c r="B606" s="11">
        <f>IFERROR(__xludf.DUMMYFUNCTION("""COMPUTED_VALUE"""),8.0)</f>
        <v>8</v>
      </c>
      <c r="C606" s="11">
        <f>IFERROR(__xludf.DUMMYFUNCTION("""COMPUTED_VALUE"""),121989.0)</f>
        <v>121989</v>
      </c>
      <c r="D606" s="11">
        <f>IFERROR(__xludf.DUMMYFUNCTION("""COMPUTED_VALUE"""),840.0)</f>
        <v>840</v>
      </c>
      <c r="E606" s="9"/>
    </row>
    <row r="607">
      <c r="A607" s="11">
        <f>IFERROR(__xludf.DUMMYFUNCTION("""COMPUTED_VALUE"""),2021.0)</f>
        <v>2021</v>
      </c>
      <c r="B607" s="11">
        <f>IFERROR(__xludf.DUMMYFUNCTION("""COMPUTED_VALUE"""),9.0)</f>
        <v>9</v>
      </c>
      <c r="C607" s="11">
        <f>IFERROR(__xludf.DUMMYFUNCTION("""COMPUTED_VALUE"""),3431.0)</f>
        <v>3431</v>
      </c>
      <c r="D607" s="11">
        <f>IFERROR(__xludf.DUMMYFUNCTION("""COMPUTED_VALUE"""),144.0)</f>
        <v>144</v>
      </c>
      <c r="E607" s="9"/>
    </row>
    <row r="608">
      <c r="A608" s="11">
        <f>IFERROR(__xludf.DUMMYFUNCTION("""COMPUTED_VALUE"""),2021.0)</f>
        <v>2021</v>
      </c>
      <c r="B608" s="11">
        <f>IFERROR(__xludf.DUMMYFUNCTION("""COMPUTED_VALUE"""),9.0)</f>
        <v>9</v>
      </c>
      <c r="C608" s="11">
        <f>IFERROR(__xludf.DUMMYFUNCTION("""COMPUTED_VALUE"""),68858.0)</f>
        <v>68858</v>
      </c>
      <c r="D608" s="11">
        <f>IFERROR(__xludf.DUMMYFUNCTION("""COMPUTED_VALUE"""),696.0)</f>
        <v>696</v>
      </c>
      <c r="E608" s="9"/>
    </row>
    <row r="609">
      <c r="A609" s="11">
        <f>IFERROR(__xludf.DUMMYFUNCTION("""COMPUTED_VALUE"""),2021.0)</f>
        <v>2021</v>
      </c>
      <c r="B609" s="11">
        <f>IFERROR(__xludf.DUMMYFUNCTION("""COMPUTED_VALUE"""),10.0)</f>
        <v>10</v>
      </c>
      <c r="C609" s="11">
        <f>IFERROR(__xludf.DUMMYFUNCTION("""COMPUTED_VALUE"""),147279.0)</f>
        <v>147279</v>
      </c>
      <c r="D609" s="11">
        <f>IFERROR(__xludf.DUMMYFUNCTION("""COMPUTED_VALUE"""),231.0)</f>
        <v>231</v>
      </c>
      <c r="E609" s="9"/>
    </row>
    <row r="610">
      <c r="A610" s="11">
        <f>IFERROR(__xludf.DUMMYFUNCTION("""COMPUTED_VALUE"""),2021.0)</f>
        <v>2021</v>
      </c>
      <c r="B610" s="11">
        <f>IFERROR(__xludf.DUMMYFUNCTION("""COMPUTED_VALUE"""),10.0)</f>
        <v>10</v>
      </c>
      <c r="C610" s="11">
        <f>IFERROR(__xludf.DUMMYFUNCTION("""COMPUTED_VALUE"""),19853.0)</f>
        <v>19853</v>
      </c>
      <c r="D610" s="11">
        <f>IFERROR(__xludf.DUMMYFUNCTION("""COMPUTED_VALUE"""),1257.0)</f>
        <v>1257</v>
      </c>
      <c r="E610" s="9"/>
    </row>
    <row r="611">
      <c r="A611" s="11">
        <f>IFERROR(__xludf.DUMMYFUNCTION("""COMPUTED_VALUE"""),2021.0)</f>
        <v>2021</v>
      </c>
      <c r="B611" s="11">
        <f>IFERROR(__xludf.DUMMYFUNCTION("""COMPUTED_VALUE"""),8.0)</f>
        <v>8</v>
      </c>
      <c r="C611" s="11">
        <f>IFERROR(__xludf.DUMMYFUNCTION("""COMPUTED_VALUE"""),84315.0)</f>
        <v>84315</v>
      </c>
      <c r="D611" s="11">
        <f>IFERROR(__xludf.DUMMYFUNCTION("""COMPUTED_VALUE"""),1088.0)</f>
        <v>1088</v>
      </c>
      <c r="E611" s="9"/>
    </row>
    <row r="612">
      <c r="A612" s="11">
        <f>IFERROR(__xludf.DUMMYFUNCTION("""COMPUTED_VALUE"""),2021.0)</f>
        <v>2021</v>
      </c>
      <c r="B612" s="11">
        <f>IFERROR(__xludf.DUMMYFUNCTION("""COMPUTED_VALUE"""),8.0)</f>
        <v>8</v>
      </c>
      <c r="C612" s="11">
        <f>IFERROR(__xludf.DUMMYFUNCTION("""COMPUTED_VALUE"""),3433.0)</f>
        <v>3433</v>
      </c>
      <c r="D612" s="11">
        <f>IFERROR(__xludf.DUMMYFUNCTION("""COMPUTED_VALUE"""),998.0)</f>
        <v>998</v>
      </c>
      <c r="E612" s="9"/>
    </row>
    <row r="613">
      <c r="A613" s="11">
        <f>IFERROR(__xludf.DUMMYFUNCTION("""COMPUTED_VALUE"""),2021.0)</f>
        <v>2021</v>
      </c>
      <c r="B613" s="11">
        <f>IFERROR(__xludf.DUMMYFUNCTION("""COMPUTED_VALUE"""),8.0)</f>
        <v>8</v>
      </c>
      <c r="C613" s="11">
        <f>IFERROR(__xludf.DUMMYFUNCTION("""COMPUTED_VALUE"""),48640.0)</f>
        <v>48640</v>
      </c>
      <c r="D613" s="11">
        <f>IFERROR(__xludf.DUMMYFUNCTION("""COMPUTED_VALUE"""),936.0)</f>
        <v>936</v>
      </c>
      <c r="E613" s="9"/>
    </row>
    <row r="614">
      <c r="A614" s="11">
        <f>IFERROR(__xludf.DUMMYFUNCTION("""COMPUTED_VALUE"""),2021.0)</f>
        <v>2021</v>
      </c>
      <c r="B614" s="11">
        <f>IFERROR(__xludf.DUMMYFUNCTION("""COMPUTED_VALUE"""),10.0)</f>
        <v>10</v>
      </c>
      <c r="C614" s="11">
        <f>IFERROR(__xludf.DUMMYFUNCTION("""COMPUTED_VALUE"""),81678.0)</f>
        <v>81678</v>
      </c>
      <c r="D614" s="11">
        <f>IFERROR(__xludf.DUMMYFUNCTION("""COMPUTED_VALUE"""),1196.0)</f>
        <v>1196</v>
      </c>
      <c r="E614" s="9"/>
    </row>
    <row r="615">
      <c r="A615" s="11">
        <f>IFERROR(__xludf.DUMMYFUNCTION("""COMPUTED_VALUE"""),2021.0)</f>
        <v>2021</v>
      </c>
      <c r="B615" s="11">
        <f>IFERROR(__xludf.DUMMYFUNCTION("""COMPUTED_VALUE"""),11.0)</f>
        <v>11</v>
      </c>
      <c r="C615" s="11">
        <f>IFERROR(__xludf.DUMMYFUNCTION("""COMPUTED_VALUE"""),117528.0)</f>
        <v>117528</v>
      </c>
      <c r="D615" s="11">
        <f>IFERROR(__xludf.DUMMYFUNCTION("""COMPUTED_VALUE"""),570.0)</f>
        <v>570</v>
      </c>
      <c r="E615" s="9"/>
    </row>
    <row r="616">
      <c r="A616" s="11">
        <f>IFERROR(__xludf.DUMMYFUNCTION("""COMPUTED_VALUE"""),2021.0)</f>
        <v>2021</v>
      </c>
      <c r="B616" s="11">
        <f>IFERROR(__xludf.DUMMYFUNCTION("""COMPUTED_VALUE"""),11.0)</f>
        <v>11</v>
      </c>
      <c r="C616" s="11">
        <f>IFERROR(__xludf.DUMMYFUNCTION("""COMPUTED_VALUE"""),84324.0)</f>
        <v>84324</v>
      </c>
      <c r="D616" s="11">
        <f>IFERROR(__xludf.DUMMYFUNCTION("""COMPUTED_VALUE"""),1538.0)</f>
        <v>1538</v>
      </c>
      <c r="E616" s="9"/>
    </row>
    <row r="617">
      <c r="A617" s="11">
        <f>IFERROR(__xludf.DUMMYFUNCTION("""COMPUTED_VALUE"""),2021.0)</f>
        <v>2021</v>
      </c>
      <c r="B617" s="11">
        <f>IFERROR(__xludf.DUMMYFUNCTION("""COMPUTED_VALUE"""),9.0)</f>
        <v>9</v>
      </c>
      <c r="C617" s="11">
        <f>IFERROR(__xludf.DUMMYFUNCTION("""COMPUTED_VALUE"""),3420.0)</f>
        <v>3420</v>
      </c>
      <c r="D617" s="11">
        <f>IFERROR(__xludf.DUMMYFUNCTION("""COMPUTED_VALUE"""),1821.0)</f>
        <v>1821</v>
      </c>
      <c r="E617" s="9"/>
    </row>
    <row r="618">
      <c r="A618" s="11">
        <f>IFERROR(__xludf.DUMMYFUNCTION("""COMPUTED_VALUE"""),2021.0)</f>
        <v>2021</v>
      </c>
      <c r="B618" s="11">
        <f>IFERROR(__xludf.DUMMYFUNCTION("""COMPUTED_VALUE"""),9.0)</f>
        <v>9</v>
      </c>
      <c r="C618" s="11">
        <f>IFERROR(__xludf.DUMMYFUNCTION("""COMPUTED_VALUE"""),19837.0)</f>
        <v>19837</v>
      </c>
      <c r="D618" s="11">
        <f>IFERROR(__xludf.DUMMYFUNCTION("""COMPUTED_VALUE"""),1456.0)</f>
        <v>1456</v>
      </c>
      <c r="E618" s="9"/>
    </row>
    <row r="619">
      <c r="A619" s="11">
        <f>IFERROR(__xludf.DUMMYFUNCTION("""COMPUTED_VALUE"""),2021.0)</f>
        <v>2021</v>
      </c>
      <c r="B619" s="11">
        <f>IFERROR(__xludf.DUMMYFUNCTION("""COMPUTED_VALUE"""),8.0)</f>
        <v>8</v>
      </c>
      <c r="C619" s="11">
        <f>IFERROR(__xludf.DUMMYFUNCTION("""COMPUTED_VALUE"""),19835.0)</f>
        <v>19835</v>
      </c>
      <c r="D619" s="11">
        <f>IFERROR(__xludf.DUMMYFUNCTION("""COMPUTED_VALUE"""),708.0)</f>
        <v>708</v>
      </c>
      <c r="E619" s="9"/>
    </row>
    <row r="620">
      <c r="A620" s="11">
        <f>IFERROR(__xludf.DUMMYFUNCTION("""COMPUTED_VALUE"""),2021.0)</f>
        <v>2021</v>
      </c>
      <c r="B620" s="11">
        <f>IFERROR(__xludf.DUMMYFUNCTION("""COMPUTED_VALUE"""),9.0)</f>
        <v>9</v>
      </c>
      <c r="C620" s="11">
        <f>IFERROR(__xludf.DUMMYFUNCTION("""COMPUTED_VALUE"""),69109.0)</f>
        <v>69109</v>
      </c>
      <c r="D620" s="11">
        <f>IFERROR(__xludf.DUMMYFUNCTION("""COMPUTED_VALUE"""),205.0)</f>
        <v>205</v>
      </c>
      <c r="E620" s="9"/>
    </row>
    <row r="621">
      <c r="A621" s="11">
        <f>IFERROR(__xludf.DUMMYFUNCTION("""COMPUTED_VALUE"""),2021.0)</f>
        <v>2021</v>
      </c>
      <c r="B621" s="11">
        <f>IFERROR(__xludf.DUMMYFUNCTION("""COMPUTED_VALUE"""),11.0)</f>
        <v>11</v>
      </c>
      <c r="C621" s="11">
        <f>IFERROR(__xludf.DUMMYFUNCTION("""COMPUTED_VALUE"""),104387.0)</f>
        <v>104387</v>
      </c>
      <c r="D621" s="11">
        <f>IFERROR(__xludf.DUMMYFUNCTION("""COMPUTED_VALUE"""),1603.0)</f>
        <v>1603</v>
      </c>
      <c r="E621" s="9"/>
    </row>
    <row r="622">
      <c r="A622" s="11">
        <f>IFERROR(__xludf.DUMMYFUNCTION("""COMPUTED_VALUE"""),2021.0)</f>
        <v>2021</v>
      </c>
      <c r="B622" s="11">
        <f>IFERROR(__xludf.DUMMYFUNCTION("""COMPUTED_VALUE"""),11.0)</f>
        <v>11</v>
      </c>
      <c r="C622" s="11">
        <f>IFERROR(__xludf.DUMMYFUNCTION("""COMPUTED_VALUE"""),19843.0)</f>
        <v>19843</v>
      </c>
      <c r="D622" s="11">
        <f>IFERROR(__xludf.DUMMYFUNCTION("""COMPUTED_VALUE"""),1846.0)</f>
        <v>1846</v>
      </c>
      <c r="E622" s="9"/>
    </row>
    <row r="623">
      <c r="A623" s="11">
        <f>IFERROR(__xludf.DUMMYFUNCTION("""COMPUTED_VALUE"""),2021.0)</f>
        <v>2021</v>
      </c>
      <c r="B623" s="11">
        <f>IFERROR(__xludf.DUMMYFUNCTION("""COMPUTED_VALUE"""),8.0)</f>
        <v>8</v>
      </c>
      <c r="C623" s="11">
        <f>IFERROR(__xludf.DUMMYFUNCTION("""COMPUTED_VALUE"""),117523.0)</f>
        <v>117523</v>
      </c>
      <c r="D623" s="11">
        <f>IFERROR(__xludf.DUMMYFUNCTION("""COMPUTED_VALUE"""),90.0)</f>
        <v>90</v>
      </c>
      <c r="E623" s="9"/>
    </row>
    <row r="624">
      <c r="A624" s="11">
        <f>IFERROR(__xludf.DUMMYFUNCTION("""COMPUTED_VALUE"""),2021.0)</f>
        <v>2021</v>
      </c>
      <c r="B624" s="11">
        <f>IFERROR(__xludf.DUMMYFUNCTION("""COMPUTED_VALUE"""),8.0)</f>
        <v>8</v>
      </c>
      <c r="C624" s="11">
        <f>IFERROR(__xludf.DUMMYFUNCTION("""COMPUTED_VALUE"""),121981.0)</f>
        <v>121981</v>
      </c>
      <c r="D624" s="11">
        <f>IFERROR(__xludf.DUMMYFUNCTION("""COMPUTED_VALUE"""),1334.0)</f>
        <v>1334</v>
      </c>
      <c r="E624" s="9"/>
    </row>
    <row r="625">
      <c r="A625" s="11">
        <f>IFERROR(__xludf.DUMMYFUNCTION("""COMPUTED_VALUE"""),2021.0)</f>
        <v>2021</v>
      </c>
      <c r="B625" s="11">
        <f>IFERROR(__xludf.DUMMYFUNCTION("""COMPUTED_VALUE"""),8.0)</f>
        <v>8</v>
      </c>
      <c r="C625" s="11">
        <f>IFERROR(__xludf.DUMMYFUNCTION("""COMPUTED_VALUE"""),121993.0)</f>
        <v>121993</v>
      </c>
      <c r="D625" s="11">
        <f>IFERROR(__xludf.DUMMYFUNCTION("""COMPUTED_VALUE"""),518.0)</f>
        <v>518</v>
      </c>
      <c r="E625" s="9"/>
    </row>
    <row r="626">
      <c r="A626" s="11">
        <f>IFERROR(__xludf.DUMMYFUNCTION("""COMPUTED_VALUE"""),2021.0)</f>
        <v>2021</v>
      </c>
      <c r="B626" s="11">
        <f>IFERROR(__xludf.DUMMYFUNCTION("""COMPUTED_VALUE"""),9.0)</f>
        <v>9</v>
      </c>
      <c r="C626" s="11">
        <f>IFERROR(__xludf.DUMMYFUNCTION("""COMPUTED_VALUE"""),81389.0)</f>
        <v>81389</v>
      </c>
      <c r="D626" s="11">
        <f>IFERROR(__xludf.DUMMYFUNCTION("""COMPUTED_VALUE"""),13.0)</f>
        <v>13</v>
      </c>
      <c r="E626" s="9"/>
    </row>
    <row r="627">
      <c r="A627" s="11">
        <f>IFERROR(__xludf.DUMMYFUNCTION("""COMPUTED_VALUE"""),2021.0)</f>
        <v>2021</v>
      </c>
      <c r="B627" s="11">
        <f>IFERROR(__xludf.DUMMYFUNCTION("""COMPUTED_VALUE"""),8.0)</f>
        <v>8</v>
      </c>
      <c r="C627" s="11">
        <f>IFERROR(__xludf.DUMMYFUNCTION("""COMPUTED_VALUE"""),99473.0)</f>
        <v>99473</v>
      </c>
      <c r="D627" s="11">
        <f>IFERROR(__xludf.DUMMYFUNCTION("""COMPUTED_VALUE"""),1059.0)</f>
        <v>1059</v>
      </c>
      <c r="E627" s="9"/>
    </row>
    <row r="628">
      <c r="A628" s="11">
        <f>IFERROR(__xludf.DUMMYFUNCTION("""COMPUTED_VALUE"""),2021.0)</f>
        <v>2021</v>
      </c>
      <c r="B628" s="11">
        <f>IFERROR(__xludf.DUMMYFUNCTION("""COMPUTED_VALUE"""),11.0)</f>
        <v>11</v>
      </c>
      <c r="C628" s="11">
        <f>IFERROR(__xludf.DUMMYFUNCTION("""COMPUTED_VALUE"""),81393.0)</f>
        <v>81393</v>
      </c>
      <c r="D628" s="11">
        <f>IFERROR(__xludf.DUMMYFUNCTION("""COMPUTED_VALUE"""),49.0)</f>
        <v>49</v>
      </c>
      <c r="E628" s="9"/>
    </row>
    <row r="629">
      <c r="A629" s="11">
        <f>IFERROR(__xludf.DUMMYFUNCTION("""COMPUTED_VALUE"""),2021.0)</f>
        <v>2021</v>
      </c>
      <c r="B629" s="11">
        <f>IFERROR(__xludf.DUMMYFUNCTION("""COMPUTED_VALUE"""),9.0)</f>
        <v>9</v>
      </c>
      <c r="C629" s="11">
        <f>IFERROR(__xludf.DUMMYFUNCTION("""COMPUTED_VALUE"""),104364.0)</f>
        <v>104364</v>
      </c>
      <c r="D629" s="11">
        <f>IFERROR(__xludf.DUMMYFUNCTION("""COMPUTED_VALUE"""),948.0)</f>
        <v>948</v>
      </c>
      <c r="E629" s="9"/>
    </row>
    <row r="630">
      <c r="A630" s="11">
        <f>IFERROR(__xludf.DUMMYFUNCTION("""COMPUTED_VALUE"""),2021.0)</f>
        <v>2021</v>
      </c>
      <c r="B630" s="11">
        <f>IFERROR(__xludf.DUMMYFUNCTION("""COMPUTED_VALUE"""),9.0)</f>
        <v>9</v>
      </c>
      <c r="C630" s="11">
        <f>IFERROR(__xludf.DUMMYFUNCTION("""COMPUTED_VALUE"""),76602.0)</f>
        <v>76602</v>
      </c>
      <c r="D630" s="11">
        <f>IFERROR(__xludf.DUMMYFUNCTION("""COMPUTED_VALUE"""),1264.0)</f>
        <v>1264</v>
      </c>
      <c r="E630" s="9"/>
    </row>
    <row r="631">
      <c r="A631" s="11">
        <f>IFERROR(__xludf.DUMMYFUNCTION("""COMPUTED_VALUE"""),2021.0)</f>
        <v>2021</v>
      </c>
      <c r="B631" s="11">
        <f>IFERROR(__xludf.DUMMYFUNCTION("""COMPUTED_VALUE"""),8.0)</f>
        <v>8</v>
      </c>
      <c r="C631" s="11">
        <f>IFERROR(__xludf.DUMMYFUNCTION("""COMPUTED_VALUE"""),119824.0)</f>
        <v>119824</v>
      </c>
      <c r="D631" s="11">
        <f>IFERROR(__xludf.DUMMYFUNCTION("""COMPUTED_VALUE"""),101.0)</f>
        <v>101</v>
      </c>
      <c r="E631" s="9"/>
    </row>
    <row r="632">
      <c r="A632" s="11">
        <f>IFERROR(__xludf.DUMMYFUNCTION("""COMPUTED_VALUE"""),2021.0)</f>
        <v>2021</v>
      </c>
      <c r="B632" s="11">
        <f>IFERROR(__xludf.DUMMYFUNCTION("""COMPUTED_VALUE"""),10.0)</f>
        <v>10</v>
      </c>
      <c r="C632" s="11">
        <f>IFERROR(__xludf.DUMMYFUNCTION("""COMPUTED_VALUE"""),112618.0)</f>
        <v>112618</v>
      </c>
      <c r="D632" s="11">
        <f>IFERROR(__xludf.DUMMYFUNCTION("""COMPUTED_VALUE"""),736.0)</f>
        <v>736</v>
      </c>
      <c r="E632" s="9"/>
    </row>
    <row r="633">
      <c r="A633" s="11">
        <f>IFERROR(__xludf.DUMMYFUNCTION("""COMPUTED_VALUE"""),2021.0)</f>
        <v>2021</v>
      </c>
      <c r="B633" s="11">
        <f>IFERROR(__xludf.DUMMYFUNCTION("""COMPUTED_VALUE"""),9.0)</f>
        <v>9</v>
      </c>
      <c r="C633" s="11">
        <f>IFERROR(__xludf.DUMMYFUNCTION("""COMPUTED_VALUE"""),112617.0)</f>
        <v>112617</v>
      </c>
      <c r="D633" s="11">
        <f>IFERROR(__xludf.DUMMYFUNCTION("""COMPUTED_VALUE"""),346.0)</f>
        <v>346</v>
      </c>
      <c r="E633" s="9"/>
    </row>
    <row r="634">
      <c r="A634" s="11">
        <f>IFERROR(__xludf.DUMMYFUNCTION("""COMPUTED_VALUE"""),2021.0)</f>
        <v>2021</v>
      </c>
      <c r="B634" s="11">
        <f>IFERROR(__xludf.DUMMYFUNCTION("""COMPUTED_VALUE"""),10.0)</f>
        <v>10</v>
      </c>
      <c r="C634" s="11">
        <f>IFERROR(__xludf.DUMMYFUNCTION("""COMPUTED_VALUE"""),113963.0)</f>
        <v>113963</v>
      </c>
      <c r="D634" s="11">
        <f>IFERROR(__xludf.DUMMYFUNCTION("""COMPUTED_VALUE"""),1637.0)</f>
        <v>1637</v>
      </c>
      <c r="E634" s="9"/>
    </row>
    <row r="635">
      <c r="A635" s="11">
        <f>IFERROR(__xludf.DUMMYFUNCTION("""COMPUTED_VALUE"""),2021.0)</f>
        <v>2021</v>
      </c>
      <c r="B635" s="11">
        <f>IFERROR(__xludf.DUMMYFUNCTION("""COMPUTED_VALUE"""),11.0)</f>
        <v>11</v>
      </c>
      <c r="C635" s="11">
        <f>IFERROR(__xludf.DUMMYFUNCTION("""COMPUTED_VALUE"""),104359.0)</f>
        <v>104359</v>
      </c>
      <c r="D635" s="11">
        <f>IFERROR(__xludf.DUMMYFUNCTION("""COMPUTED_VALUE"""),1843.0)</f>
        <v>1843</v>
      </c>
      <c r="E635" s="9"/>
    </row>
    <row r="636">
      <c r="A636" s="11">
        <f>IFERROR(__xludf.DUMMYFUNCTION("""COMPUTED_VALUE"""),2021.0)</f>
        <v>2021</v>
      </c>
      <c r="B636" s="11">
        <f>IFERROR(__xludf.DUMMYFUNCTION("""COMPUTED_VALUE"""),9.0)</f>
        <v>9</v>
      </c>
      <c r="C636" s="11">
        <f>IFERROR(__xludf.DUMMYFUNCTION("""COMPUTED_VALUE"""),81675.0)</f>
        <v>81675</v>
      </c>
      <c r="D636" s="11">
        <f>IFERROR(__xludf.DUMMYFUNCTION("""COMPUTED_VALUE"""),763.0)</f>
        <v>763</v>
      </c>
      <c r="E636" s="9"/>
    </row>
    <row r="637">
      <c r="A637" s="11">
        <f>IFERROR(__xludf.DUMMYFUNCTION("""COMPUTED_VALUE"""),2021.0)</f>
        <v>2021</v>
      </c>
      <c r="B637" s="11">
        <f>IFERROR(__xludf.DUMMYFUNCTION("""COMPUTED_VALUE"""),9.0)</f>
        <v>9</v>
      </c>
      <c r="C637" s="11">
        <f>IFERROR(__xludf.DUMMYFUNCTION("""COMPUTED_VALUE"""),84835.0)</f>
        <v>84835</v>
      </c>
      <c r="D637" s="11">
        <f>IFERROR(__xludf.DUMMYFUNCTION("""COMPUTED_VALUE"""),572.0)</f>
        <v>572</v>
      </c>
      <c r="E637" s="9"/>
    </row>
    <row r="638">
      <c r="A638" s="11">
        <f>IFERROR(__xludf.DUMMYFUNCTION("""COMPUTED_VALUE"""),2021.0)</f>
        <v>2021</v>
      </c>
      <c r="B638" s="11">
        <f>IFERROR(__xludf.DUMMYFUNCTION("""COMPUTED_VALUE"""),8.0)</f>
        <v>8</v>
      </c>
      <c r="C638" s="11">
        <f>IFERROR(__xludf.DUMMYFUNCTION("""COMPUTED_VALUE"""),81680.0)</f>
        <v>81680</v>
      </c>
      <c r="D638" s="11">
        <f>IFERROR(__xludf.DUMMYFUNCTION("""COMPUTED_VALUE"""),1917.0)</f>
        <v>1917</v>
      </c>
      <c r="E638" s="9"/>
    </row>
    <row r="639">
      <c r="A639" s="11">
        <f>IFERROR(__xludf.DUMMYFUNCTION("""COMPUTED_VALUE"""),2021.0)</f>
        <v>2021</v>
      </c>
      <c r="B639" s="11">
        <f>IFERROR(__xludf.DUMMYFUNCTION("""COMPUTED_VALUE"""),11.0)</f>
        <v>11</v>
      </c>
      <c r="C639" s="11">
        <f>IFERROR(__xludf.DUMMYFUNCTION("""COMPUTED_VALUE"""),104361.0)</f>
        <v>104361</v>
      </c>
      <c r="D639" s="11">
        <f>IFERROR(__xludf.DUMMYFUNCTION("""COMPUTED_VALUE"""),589.0)</f>
        <v>589</v>
      </c>
      <c r="E639" s="9"/>
    </row>
    <row r="640">
      <c r="A640" s="11">
        <f>IFERROR(__xludf.DUMMYFUNCTION("""COMPUTED_VALUE"""),2021.0)</f>
        <v>2021</v>
      </c>
      <c r="B640" s="11">
        <f>IFERROR(__xludf.DUMMYFUNCTION("""COMPUTED_VALUE"""),8.0)</f>
        <v>8</v>
      </c>
      <c r="C640" s="11">
        <f>IFERROR(__xludf.DUMMYFUNCTION("""COMPUTED_VALUE"""),83080.0)</f>
        <v>83080</v>
      </c>
      <c r="D640" s="11">
        <f>IFERROR(__xludf.DUMMYFUNCTION("""COMPUTED_VALUE"""),254.0)</f>
        <v>254</v>
      </c>
      <c r="E640" s="9"/>
    </row>
    <row r="641">
      <c r="A641" s="11">
        <f>IFERROR(__xludf.DUMMYFUNCTION("""COMPUTED_VALUE"""),2021.0)</f>
        <v>2021</v>
      </c>
      <c r="B641" s="11">
        <f>IFERROR(__xludf.DUMMYFUNCTION("""COMPUTED_VALUE"""),8.0)</f>
        <v>8</v>
      </c>
      <c r="C641" s="11">
        <f>IFERROR(__xludf.DUMMYFUNCTION("""COMPUTED_VALUE"""),84930.0)</f>
        <v>84930</v>
      </c>
      <c r="D641" s="11">
        <f>IFERROR(__xludf.DUMMYFUNCTION("""COMPUTED_VALUE"""),1505.0)</f>
        <v>1505</v>
      </c>
      <c r="E641" s="9"/>
    </row>
    <row r="642">
      <c r="A642" s="11">
        <f>IFERROR(__xludf.DUMMYFUNCTION("""COMPUTED_VALUE"""),2021.0)</f>
        <v>2021</v>
      </c>
      <c r="B642" s="11">
        <f>IFERROR(__xludf.DUMMYFUNCTION("""COMPUTED_VALUE"""),11.0)</f>
        <v>11</v>
      </c>
      <c r="C642" s="11">
        <f>IFERROR(__xludf.DUMMYFUNCTION("""COMPUTED_VALUE"""),19848.0)</f>
        <v>19848</v>
      </c>
      <c r="D642" s="11">
        <f>IFERROR(__xludf.DUMMYFUNCTION("""COMPUTED_VALUE"""),131.0)</f>
        <v>131</v>
      </c>
      <c r="E642" s="9"/>
    </row>
    <row r="643">
      <c r="A643" s="11">
        <f>IFERROR(__xludf.DUMMYFUNCTION("""COMPUTED_VALUE"""),2021.0)</f>
        <v>2021</v>
      </c>
      <c r="B643" s="11">
        <f>IFERROR(__xludf.DUMMYFUNCTION("""COMPUTED_VALUE"""),8.0)</f>
        <v>8</v>
      </c>
      <c r="C643" s="11">
        <f>IFERROR(__xludf.DUMMYFUNCTION("""COMPUTED_VALUE"""),104362.0)</f>
        <v>104362</v>
      </c>
      <c r="D643" s="11">
        <f>IFERROR(__xludf.DUMMYFUNCTION("""COMPUTED_VALUE"""),1061.0)</f>
        <v>1061</v>
      </c>
      <c r="E643" s="9"/>
    </row>
    <row r="644">
      <c r="A644" s="11">
        <f>IFERROR(__xludf.DUMMYFUNCTION("""COMPUTED_VALUE"""),2021.0)</f>
        <v>2021</v>
      </c>
      <c r="B644" s="11">
        <f>IFERROR(__xludf.DUMMYFUNCTION("""COMPUTED_VALUE"""),9.0)</f>
        <v>9</v>
      </c>
      <c r="C644" s="11">
        <f>IFERROR(__xludf.DUMMYFUNCTION("""COMPUTED_VALUE"""),92122.0)</f>
        <v>92122</v>
      </c>
      <c r="D644" s="11">
        <f>IFERROR(__xludf.DUMMYFUNCTION("""COMPUTED_VALUE"""),212.0)</f>
        <v>212</v>
      </c>
      <c r="E644" s="9"/>
    </row>
    <row r="645">
      <c r="A645" s="11">
        <f>IFERROR(__xludf.DUMMYFUNCTION("""COMPUTED_VALUE"""),2021.0)</f>
        <v>2021</v>
      </c>
      <c r="B645" s="11">
        <f>IFERROR(__xludf.DUMMYFUNCTION("""COMPUTED_VALUE"""),9.0)</f>
        <v>9</v>
      </c>
      <c r="C645" s="11">
        <f>IFERROR(__xludf.DUMMYFUNCTION("""COMPUTED_VALUE"""),15854.0)</f>
        <v>15854</v>
      </c>
      <c r="D645" s="11">
        <f>IFERROR(__xludf.DUMMYFUNCTION("""COMPUTED_VALUE"""),172.0)</f>
        <v>172</v>
      </c>
      <c r="E645" s="9"/>
    </row>
    <row r="646">
      <c r="A646" s="11">
        <f>IFERROR(__xludf.DUMMYFUNCTION("""COMPUTED_VALUE"""),2021.0)</f>
        <v>2021</v>
      </c>
      <c r="B646" s="11">
        <f>IFERROR(__xludf.DUMMYFUNCTION("""COMPUTED_VALUE"""),11.0)</f>
        <v>11</v>
      </c>
      <c r="C646" s="11">
        <f>IFERROR(__xludf.DUMMYFUNCTION("""COMPUTED_VALUE"""),81383.0)</f>
        <v>81383</v>
      </c>
      <c r="D646" s="11">
        <f>IFERROR(__xludf.DUMMYFUNCTION("""COMPUTED_VALUE"""),233.0)</f>
        <v>233</v>
      </c>
      <c r="E646" s="9"/>
    </row>
    <row r="647">
      <c r="A647" s="11">
        <f>IFERROR(__xludf.DUMMYFUNCTION("""COMPUTED_VALUE"""),2021.0)</f>
        <v>2021</v>
      </c>
      <c r="B647" s="11">
        <f>IFERROR(__xludf.DUMMYFUNCTION("""COMPUTED_VALUE"""),10.0)</f>
        <v>10</v>
      </c>
      <c r="C647" s="11">
        <f>IFERROR(__xludf.DUMMYFUNCTION("""COMPUTED_VALUE"""),81430.0)</f>
        <v>81430</v>
      </c>
      <c r="D647" s="11">
        <f>IFERROR(__xludf.DUMMYFUNCTION("""COMPUTED_VALUE"""),106.0)</f>
        <v>106</v>
      </c>
      <c r="E647" s="9"/>
    </row>
    <row r="648">
      <c r="A648" s="11">
        <f>IFERROR(__xludf.DUMMYFUNCTION("""COMPUTED_VALUE"""),2021.0)</f>
        <v>2021</v>
      </c>
      <c r="B648" s="11">
        <f>IFERROR(__xludf.DUMMYFUNCTION("""COMPUTED_VALUE"""),11.0)</f>
        <v>11</v>
      </c>
      <c r="C648" s="11">
        <f>IFERROR(__xludf.DUMMYFUNCTION("""COMPUTED_VALUE"""),84325.0)</f>
        <v>84325</v>
      </c>
      <c r="D648" s="11">
        <f>IFERROR(__xludf.DUMMYFUNCTION("""COMPUTED_VALUE"""),1192.0)</f>
        <v>1192</v>
      </c>
      <c r="E648" s="9"/>
    </row>
    <row r="649">
      <c r="A649" s="11">
        <f>IFERROR(__xludf.DUMMYFUNCTION("""COMPUTED_VALUE"""),2021.0)</f>
        <v>2021</v>
      </c>
      <c r="B649" s="11">
        <f>IFERROR(__xludf.DUMMYFUNCTION("""COMPUTED_VALUE"""),8.0)</f>
        <v>8</v>
      </c>
      <c r="C649" s="11">
        <f>IFERROR(__xludf.DUMMYFUNCTION("""COMPUTED_VALUE"""),127244.0)</f>
        <v>127244</v>
      </c>
      <c r="D649" s="11">
        <f>IFERROR(__xludf.DUMMYFUNCTION("""COMPUTED_VALUE"""),1215.0)</f>
        <v>1215</v>
      </c>
      <c r="E649" s="9"/>
    </row>
    <row r="650">
      <c r="A650" s="11">
        <f>IFERROR(__xludf.DUMMYFUNCTION("""COMPUTED_VALUE"""),2021.0)</f>
        <v>2021</v>
      </c>
      <c r="B650" s="11">
        <f>IFERROR(__xludf.DUMMYFUNCTION("""COMPUTED_VALUE"""),9.0)</f>
        <v>9</v>
      </c>
      <c r="C650" s="11">
        <f>IFERROR(__xludf.DUMMYFUNCTION("""COMPUTED_VALUE"""),15865.0)</f>
        <v>15865</v>
      </c>
      <c r="D650" s="11">
        <f>IFERROR(__xludf.DUMMYFUNCTION("""COMPUTED_VALUE"""),434.0)</f>
        <v>434</v>
      </c>
      <c r="E650" s="9"/>
    </row>
    <row r="651">
      <c r="A651" s="11">
        <f>IFERROR(__xludf.DUMMYFUNCTION("""COMPUTED_VALUE"""),2021.0)</f>
        <v>2021</v>
      </c>
      <c r="B651" s="11">
        <f>IFERROR(__xludf.DUMMYFUNCTION("""COMPUTED_VALUE"""),10.0)</f>
        <v>10</v>
      </c>
      <c r="C651" s="11">
        <f>IFERROR(__xludf.DUMMYFUNCTION("""COMPUTED_VALUE"""),121996.0)</f>
        <v>121996</v>
      </c>
      <c r="D651" s="11">
        <f>IFERROR(__xludf.DUMMYFUNCTION("""COMPUTED_VALUE"""),67.0)</f>
        <v>67</v>
      </c>
      <c r="E651" s="9"/>
    </row>
    <row r="652">
      <c r="A652" s="11">
        <f>IFERROR(__xludf.DUMMYFUNCTION("""COMPUTED_VALUE"""),2021.0)</f>
        <v>2021</v>
      </c>
      <c r="B652" s="11">
        <f>IFERROR(__xludf.DUMMYFUNCTION("""COMPUTED_VALUE"""),9.0)</f>
        <v>9</v>
      </c>
      <c r="C652" s="11">
        <f>IFERROR(__xludf.DUMMYFUNCTION("""COMPUTED_VALUE"""),93083.0)</f>
        <v>93083</v>
      </c>
      <c r="D652" s="11">
        <f>IFERROR(__xludf.DUMMYFUNCTION("""COMPUTED_VALUE"""),1159.0)</f>
        <v>1159</v>
      </c>
      <c r="E652" s="9"/>
    </row>
    <row r="653">
      <c r="A653" s="11">
        <f>IFERROR(__xludf.DUMMYFUNCTION("""COMPUTED_VALUE"""),2021.0)</f>
        <v>2021</v>
      </c>
      <c r="B653" s="11">
        <f>IFERROR(__xludf.DUMMYFUNCTION("""COMPUTED_VALUE"""),9.0)</f>
        <v>9</v>
      </c>
      <c r="C653" s="11">
        <f>IFERROR(__xludf.DUMMYFUNCTION("""COMPUTED_VALUE"""),3426.0)</f>
        <v>3426</v>
      </c>
      <c r="D653" s="11">
        <f>IFERROR(__xludf.DUMMYFUNCTION("""COMPUTED_VALUE"""),1442.0)</f>
        <v>1442</v>
      </c>
      <c r="E653" s="9"/>
    </row>
    <row r="654">
      <c r="A654" s="11">
        <f>IFERROR(__xludf.DUMMYFUNCTION("""COMPUTED_VALUE"""),2021.0)</f>
        <v>2021</v>
      </c>
      <c r="B654" s="11">
        <f>IFERROR(__xludf.DUMMYFUNCTION("""COMPUTED_VALUE"""),11.0)</f>
        <v>11</v>
      </c>
      <c r="C654" s="11">
        <f>IFERROR(__xludf.DUMMYFUNCTION("""COMPUTED_VALUE"""),111349.0)</f>
        <v>111349</v>
      </c>
      <c r="D654" s="11">
        <f>IFERROR(__xludf.DUMMYFUNCTION("""COMPUTED_VALUE"""),1694.0)</f>
        <v>1694</v>
      </c>
      <c r="E654" s="9"/>
    </row>
    <row r="655">
      <c r="A655" s="11">
        <f>IFERROR(__xludf.DUMMYFUNCTION("""COMPUTED_VALUE"""),2021.0)</f>
        <v>2021</v>
      </c>
      <c r="B655" s="11">
        <f>IFERROR(__xludf.DUMMYFUNCTION("""COMPUTED_VALUE"""),10.0)</f>
        <v>10</v>
      </c>
      <c r="C655" s="11">
        <f>IFERROR(__xludf.DUMMYFUNCTION("""COMPUTED_VALUE"""),74917.0)</f>
        <v>74917</v>
      </c>
      <c r="D655" s="11">
        <f>IFERROR(__xludf.DUMMYFUNCTION("""COMPUTED_VALUE"""),1705.0)</f>
        <v>1705</v>
      </c>
      <c r="E655" s="9"/>
    </row>
    <row r="656">
      <c r="A656" s="11">
        <f>IFERROR(__xludf.DUMMYFUNCTION("""COMPUTED_VALUE"""),2021.0)</f>
        <v>2021</v>
      </c>
      <c r="B656" s="11">
        <f>IFERROR(__xludf.DUMMYFUNCTION("""COMPUTED_VALUE"""),9.0)</f>
        <v>9</v>
      </c>
      <c r="C656" s="11">
        <f>IFERROR(__xludf.DUMMYFUNCTION("""COMPUTED_VALUE"""),69127.0)</f>
        <v>69127</v>
      </c>
      <c r="D656" s="11">
        <f>IFERROR(__xludf.DUMMYFUNCTION("""COMPUTED_VALUE"""),471.0)</f>
        <v>471</v>
      </c>
      <c r="E656" s="9"/>
    </row>
    <row r="657">
      <c r="A657" s="11">
        <f>IFERROR(__xludf.DUMMYFUNCTION("""COMPUTED_VALUE"""),2021.0)</f>
        <v>2021</v>
      </c>
      <c r="B657" s="11">
        <f>IFERROR(__xludf.DUMMYFUNCTION("""COMPUTED_VALUE"""),11.0)</f>
        <v>11</v>
      </c>
      <c r="C657" s="11">
        <f>IFERROR(__xludf.DUMMYFUNCTION("""COMPUTED_VALUE"""),84819.0)</f>
        <v>84819</v>
      </c>
      <c r="D657" s="11">
        <f>IFERROR(__xludf.DUMMYFUNCTION("""COMPUTED_VALUE"""),1281.0)</f>
        <v>1281</v>
      </c>
      <c r="E657" s="9"/>
    </row>
    <row r="658">
      <c r="A658" s="11">
        <f>IFERROR(__xludf.DUMMYFUNCTION("""COMPUTED_VALUE"""),2021.0)</f>
        <v>2021</v>
      </c>
      <c r="B658" s="11">
        <f>IFERROR(__xludf.DUMMYFUNCTION("""COMPUTED_VALUE"""),10.0)</f>
        <v>10</v>
      </c>
      <c r="C658" s="11">
        <f>IFERROR(__xludf.DUMMYFUNCTION("""COMPUTED_VALUE"""),104367.0)</f>
        <v>104367</v>
      </c>
      <c r="D658" s="11">
        <f>IFERROR(__xludf.DUMMYFUNCTION("""COMPUTED_VALUE"""),1287.0)</f>
        <v>1287</v>
      </c>
      <c r="E658" s="9"/>
    </row>
    <row r="659">
      <c r="A659" s="11">
        <f>IFERROR(__xludf.DUMMYFUNCTION("""COMPUTED_VALUE"""),2021.0)</f>
        <v>2021</v>
      </c>
      <c r="B659" s="11">
        <f>IFERROR(__xludf.DUMMYFUNCTION("""COMPUTED_VALUE"""),11.0)</f>
        <v>11</v>
      </c>
      <c r="C659" s="11">
        <f>IFERROR(__xludf.DUMMYFUNCTION("""COMPUTED_VALUE"""),121997.0)</f>
        <v>121997</v>
      </c>
      <c r="D659" s="11">
        <f>IFERROR(__xludf.DUMMYFUNCTION("""COMPUTED_VALUE"""),586.0)</f>
        <v>586</v>
      </c>
      <c r="E659" s="9"/>
    </row>
    <row r="660">
      <c r="A660" s="11">
        <f>IFERROR(__xludf.DUMMYFUNCTION("""COMPUTED_VALUE"""),2021.0)</f>
        <v>2021</v>
      </c>
      <c r="B660" s="11">
        <f>IFERROR(__xludf.DUMMYFUNCTION("""COMPUTED_VALUE"""),8.0)</f>
        <v>8</v>
      </c>
      <c r="C660" s="11">
        <f>IFERROR(__xludf.DUMMYFUNCTION("""COMPUTED_VALUE"""),117499.0)</f>
        <v>117499</v>
      </c>
      <c r="D660" s="11">
        <f>IFERROR(__xludf.DUMMYFUNCTION("""COMPUTED_VALUE"""),1171.0)</f>
        <v>1171</v>
      </c>
      <c r="E660" s="9"/>
    </row>
    <row r="661">
      <c r="A661" s="11">
        <f>IFERROR(__xludf.DUMMYFUNCTION("""COMPUTED_VALUE"""),2021.0)</f>
        <v>2021</v>
      </c>
      <c r="B661" s="11">
        <f>IFERROR(__xludf.DUMMYFUNCTION("""COMPUTED_VALUE"""),8.0)</f>
        <v>8</v>
      </c>
      <c r="C661" s="11">
        <f>IFERROR(__xludf.DUMMYFUNCTION("""COMPUTED_VALUE"""),69125.0)</f>
        <v>69125</v>
      </c>
      <c r="D661" s="11">
        <f>IFERROR(__xludf.DUMMYFUNCTION("""COMPUTED_VALUE"""),1581.0)</f>
        <v>1581</v>
      </c>
      <c r="E661" s="9"/>
    </row>
    <row r="662">
      <c r="A662" s="11">
        <f>IFERROR(__xludf.DUMMYFUNCTION("""COMPUTED_VALUE"""),2021.0)</f>
        <v>2021</v>
      </c>
      <c r="B662" s="11">
        <f>IFERROR(__xludf.DUMMYFUNCTION("""COMPUTED_VALUE"""),8.0)</f>
        <v>8</v>
      </c>
      <c r="C662" s="11">
        <f>IFERROR(__xludf.DUMMYFUNCTION("""COMPUTED_VALUE"""),19850.0)</f>
        <v>19850</v>
      </c>
      <c r="D662" s="11">
        <f>IFERROR(__xludf.DUMMYFUNCTION("""COMPUTED_VALUE"""),308.0)</f>
        <v>308</v>
      </c>
      <c r="E662" s="9"/>
    </row>
    <row r="663">
      <c r="A663" s="11">
        <f>IFERROR(__xludf.DUMMYFUNCTION("""COMPUTED_VALUE"""),2021.0)</f>
        <v>2021</v>
      </c>
      <c r="B663" s="11">
        <f>IFERROR(__xludf.DUMMYFUNCTION("""COMPUTED_VALUE"""),8.0)</f>
        <v>8</v>
      </c>
      <c r="C663" s="11">
        <f>IFERROR(__xludf.DUMMYFUNCTION("""COMPUTED_VALUE"""),3425.0)</f>
        <v>3425</v>
      </c>
      <c r="D663" s="11">
        <f>IFERROR(__xludf.DUMMYFUNCTION("""COMPUTED_VALUE"""),1369.0)</f>
        <v>1369</v>
      </c>
      <c r="E663" s="9"/>
    </row>
    <row r="664">
      <c r="A664" s="11">
        <f>IFERROR(__xludf.DUMMYFUNCTION("""COMPUTED_VALUE"""),2021.0)</f>
        <v>2021</v>
      </c>
      <c r="B664" s="11">
        <f>IFERROR(__xludf.DUMMYFUNCTION("""COMPUTED_VALUE"""),11.0)</f>
        <v>11</v>
      </c>
      <c r="C664" s="11">
        <f>IFERROR(__xludf.DUMMYFUNCTION("""COMPUTED_VALUE"""),84913.0)</f>
        <v>84913</v>
      </c>
      <c r="D664" s="11">
        <f>IFERROR(__xludf.DUMMYFUNCTION("""COMPUTED_VALUE"""),1581.0)</f>
        <v>1581</v>
      </c>
      <c r="E664" s="9"/>
    </row>
    <row r="665">
      <c r="A665" s="11">
        <f>IFERROR(__xludf.DUMMYFUNCTION("""COMPUTED_VALUE"""),2021.0)</f>
        <v>2021</v>
      </c>
      <c r="B665" s="11">
        <f>IFERROR(__xludf.DUMMYFUNCTION("""COMPUTED_VALUE"""),9.0)</f>
        <v>9</v>
      </c>
      <c r="C665" s="11">
        <f>IFERROR(__xludf.DUMMYFUNCTION("""COMPUTED_VALUE"""),120378.0)</f>
        <v>120378</v>
      </c>
      <c r="D665" s="11">
        <f>IFERROR(__xludf.DUMMYFUNCTION("""COMPUTED_VALUE"""),526.0)</f>
        <v>526</v>
      </c>
      <c r="E665" s="9"/>
    </row>
    <row r="666">
      <c r="A666" s="11">
        <f>IFERROR(__xludf.DUMMYFUNCTION("""COMPUTED_VALUE"""),2021.0)</f>
        <v>2021</v>
      </c>
      <c r="B666" s="11">
        <f>IFERROR(__xludf.DUMMYFUNCTION("""COMPUTED_VALUE"""),8.0)</f>
        <v>8</v>
      </c>
      <c r="C666" s="11">
        <f>IFERROR(__xludf.DUMMYFUNCTION("""COMPUTED_VALUE"""),5905.0)</f>
        <v>5905</v>
      </c>
      <c r="D666" s="11">
        <f>IFERROR(__xludf.DUMMYFUNCTION("""COMPUTED_VALUE"""),563.0)</f>
        <v>563</v>
      </c>
      <c r="E666" s="9"/>
    </row>
    <row r="667">
      <c r="A667" s="11">
        <f>IFERROR(__xludf.DUMMYFUNCTION("""COMPUTED_VALUE"""),2021.0)</f>
        <v>2021</v>
      </c>
      <c r="B667" s="11">
        <f>IFERROR(__xludf.DUMMYFUNCTION("""COMPUTED_VALUE"""),11.0)</f>
        <v>11</v>
      </c>
      <c r="C667" s="11">
        <f>IFERROR(__xludf.DUMMYFUNCTION("""COMPUTED_VALUE"""),23213.0)</f>
        <v>23213</v>
      </c>
      <c r="D667" s="11">
        <f>IFERROR(__xludf.DUMMYFUNCTION("""COMPUTED_VALUE"""),894.0)</f>
        <v>894</v>
      </c>
      <c r="E667" s="9"/>
    </row>
    <row r="668">
      <c r="A668" s="11">
        <f>IFERROR(__xludf.DUMMYFUNCTION("""COMPUTED_VALUE"""),2021.0)</f>
        <v>2021</v>
      </c>
      <c r="B668" s="11">
        <f>IFERROR(__xludf.DUMMYFUNCTION("""COMPUTED_VALUE"""),11.0)</f>
        <v>11</v>
      </c>
      <c r="C668" s="11">
        <f>IFERROR(__xludf.DUMMYFUNCTION("""COMPUTED_VALUE"""),47168.0)</f>
        <v>47168</v>
      </c>
      <c r="D668" s="11">
        <f>IFERROR(__xludf.DUMMYFUNCTION("""COMPUTED_VALUE"""),389.0)</f>
        <v>389</v>
      </c>
      <c r="E668" s="9"/>
    </row>
    <row r="669">
      <c r="A669" s="11">
        <f>IFERROR(__xludf.DUMMYFUNCTION("""COMPUTED_VALUE"""),2021.0)</f>
        <v>2021</v>
      </c>
      <c r="B669" s="11">
        <f>IFERROR(__xludf.DUMMYFUNCTION("""COMPUTED_VALUE"""),11.0)</f>
        <v>11</v>
      </c>
      <c r="C669" s="11">
        <f>IFERROR(__xludf.DUMMYFUNCTION("""COMPUTED_VALUE"""),102990.0)</f>
        <v>102990</v>
      </c>
      <c r="D669" s="11">
        <f>IFERROR(__xludf.DUMMYFUNCTION("""COMPUTED_VALUE"""),898.0)</f>
        <v>898</v>
      </c>
      <c r="E669" s="9"/>
    </row>
    <row r="670">
      <c r="A670" s="11">
        <f>IFERROR(__xludf.DUMMYFUNCTION("""COMPUTED_VALUE"""),2021.0)</f>
        <v>2021</v>
      </c>
      <c r="B670" s="11">
        <f>IFERROR(__xludf.DUMMYFUNCTION("""COMPUTED_VALUE"""),10.0)</f>
        <v>10</v>
      </c>
      <c r="C670" s="11">
        <f>IFERROR(__xludf.DUMMYFUNCTION("""COMPUTED_VALUE"""),46441.0)</f>
        <v>46441</v>
      </c>
      <c r="D670" s="11">
        <f>IFERROR(__xludf.DUMMYFUNCTION("""COMPUTED_VALUE"""),1422.0)</f>
        <v>1422</v>
      </c>
      <c r="E670" s="9"/>
    </row>
    <row r="671">
      <c r="A671" s="11">
        <f>IFERROR(__xludf.DUMMYFUNCTION("""COMPUTED_VALUE"""),2021.0)</f>
        <v>2021</v>
      </c>
      <c r="B671" s="11">
        <f>IFERROR(__xludf.DUMMYFUNCTION("""COMPUTED_VALUE"""),8.0)</f>
        <v>8</v>
      </c>
      <c r="C671" s="11">
        <f>IFERROR(__xludf.DUMMYFUNCTION("""COMPUTED_VALUE"""),11085.0)</f>
        <v>11085</v>
      </c>
      <c r="D671" s="11">
        <f>IFERROR(__xludf.DUMMYFUNCTION("""COMPUTED_VALUE"""),730.0)</f>
        <v>730</v>
      </c>
      <c r="E671" s="9"/>
    </row>
    <row r="672">
      <c r="A672" s="11">
        <f>IFERROR(__xludf.DUMMYFUNCTION("""COMPUTED_VALUE"""),2021.0)</f>
        <v>2021</v>
      </c>
      <c r="B672" s="11">
        <f>IFERROR(__xludf.DUMMYFUNCTION("""COMPUTED_VALUE"""),8.0)</f>
        <v>8</v>
      </c>
      <c r="C672" s="11">
        <f>IFERROR(__xludf.DUMMYFUNCTION("""COMPUTED_VALUE"""),96441.0)</f>
        <v>96441</v>
      </c>
      <c r="D672" s="11">
        <f>IFERROR(__xludf.DUMMYFUNCTION("""COMPUTED_VALUE"""),1615.0)</f>
        <v>1615</v>
      </c>
      <c r="E672" s="9"/>
    </row>
    <row r="673">
      <c r="A673" s="11">
        <f>IFERROR(__xludf.DUMMYFUNCTION("""COMPUTED_VALUE"""),2021.0)</f>
        <v>2021</v>
      </c>
      <c r="B673" s="11">
        <f>IFERROR(__xludf.DUMMYFUNCTION("""COMPUTED_VALUE"""),9.0)</f>
        <v>9</v>
      </c>
      <c r="C673" s="11">
        <f>IFERROR(__xludf.DUMMYFUNCTION("""COMPUTED_VALUE"""),82131.0)</f>
        <v>82131</v>
      </c>
      <c r="D673" s="11">
        <f>IFERROR(__xludf.DUMMYFUNCTION("""COMPUTED_VALUE"""),1750.0)</f>
        <v>1750</v>
      </c>
      <c r="E673" s="9"/>
    </row>
    <row r="674">
      <c r="A674" s="11">
        <f>IFERROR(__xludf.DUMMYFUNCTION("""COMPUTED_VALUE"""),2021.0)</f>
        <v>2021</v>
      </c>
      <c r="B674" s="11">
        <f>IFERROR(__xludf.DUMMYFUNCTION("""COMPUTED_VALUE"""),11.0)</f>
        <v>11</v>
      </c>
      <c r="C674" s="11">
        <f>IFERROR(__xludf.DUMMYFUNCTION("""COMPUTED_VALUE"""),46440.0)</f>
        <v>46440</v>
      </c>
      <c r="D674" s="11">
        <f>IFERROR(__xludf.DUMMYFUNCTION("""COMPUTED_VALUE"""),1501.0)</f>
        <v>1501</v>
      </c>
      <c r="E674" s="9"/>
    </row>
    <row r="675">
      <c r="A675" s="11">
        <f>IFERROR(__xludf.DUMMYFUNCTION("""COMPUTED_VALUE"""),2021.0)</f>
        <v>2021</v>
      </c>
      <c r="B675" s="11">
        <f>IFERROR(__xludf.DUMMYFUNCTION("""COMPUTED_VALUE"""),10.0)</f>
        <v>10</v>
      </c>
      <c r="C675" s="11">
        <f>IFERROR(__xludf.DUMMYFUNCTION("""COMPUTED_VALUE"""),23214.0)</f>
        <v>23214</v>
      </c>
      <c r="D675" s="11">
        <f>IFERROR(__xludf.DUMMYFUNCTION("""COMPUTED_VALUE"""),827.0)</f>
        <v>827</v>
      </c>
      <c r="E675" s="9"/>
    </row>
    <row r="676">
      <c r="A676" s="11">
        <f>IFERROR(__xludf.DUMMYFUNCTION("""COMPUTED_VALUE"""),2021.0)</f>
        <v>2021</v>
      </c>
      <c r="B676" s="11">
        <f>IFERROR(__xludf.DUMMYFUNCTION("""COMPUTED_VALUE"""),9.0)</f>
        <v>9</v>
      </c>
      <c r="C676" s="11">
        <f>IFERROR(__xludf.DUMMYFUNCTION("""COMPUTED_VALUE"""),82134.0)</f>
        <v>82134</v>
      </c>
      <c r="D676" s="11">
        <f>IFERROR(__xludf.DUMMYFUNCTION("""COMPUTED_VALUE"""),100.0)</f>
        <v>100</v>
      </c>
      <c r="E676" s="9"/>
    </row>
    <row r="677">
      <c r="A677" s="11">
        <f>IFERROR(__xludf.DUMMYFUNCTION("""COMPUTED_VALUE"""),2021.0)</f>
        <v>2021</v>
      </c>
      <c r="B677" s="11">
        <f>IFERROR(__xludf.DUMMYFUNCTION("""COMPUTED_VALUE"""),10.0)</f>
        <v>10</v>
      </c>
      <c r="C677" s="11">
        <f>IFERROR(__xludf.DUMMYFUNCTION("""COMPUTED_VALUE"""),46439.0)</f>
        <v>46439</v>
      </c>
      <c r="D677" s="11">
        <f>IFERROR(__xludf.DUMMYFUNCTION("""COMPUTED_VALUE"""),467.0)</f>
        <v>467</v>
      </c>
      <c r="E677" s="9"/>
    </row>
    <row r="678">
      <c r="A678" s="11">
        <f>IFERROR(__xludf.DUMMYFUNCTION("""COMPUTED_VALUE"""),2021.0)</f>
        <v>2021</v>
      </c>
      <c r="B678" s="11">
        <f>IFERROR(__xludf.DUMMYFUNCTION("""COMPUTED_VALUE"""),10.0)</f>
        <v>10</v>
      </c>
      <c r="C678" s="11">
        <f>IFERROR(__xludf.DUMMYFUNCTION("""COMPUTED_VALUE"""),116451.0)</f>
        <v>116451</v>
      </c>
      <c r="D678" s="11">
        <f>IFERROR(__xludf.DUMMYFUNCTION("""COMPUTED_VALUE"""),655.0)</f>
        <v>655</v>
      </c>
      <c r="E678" s="9"/>
    </row>
    <row r="679">
      <c r="A679" s="11">
        <f>IFERROR(__xludf.DUMMYFUNCTION("""COMPUTED_VALUE"""),2021.0)</f>
        <v>2021</v>
      </c>
      <c r="B679" s="11">
        <f>IFERROR(__xludf.DUMMYFUNCTION("""COMPUTED_VALUE"""),11.0)</f>
        <v>11</v>
      </c>
      <c r="C679" s="11">
        <f>IFERROR(__xludf.DUMMYFUNCTION("""COMPUTED_VALUE"""),147340.0)</f>
        <v>147340</v>
      </c>
      <c r="D679" s="11">
        <f>IFERROR(__xludf.DUMMYFUNCTION("""COMPUTED_VALUE"""),38.0)</f>
        <v>38</v>
      </c>
      <c r="E679" s="9"/>
    </row>
    <row r="680">
      <c r="A680" s="11">
        <f>IFERROR(__xludf.DUMMYFUNCTION("""COMPUTED_VALUE"""),2021.0)</f>
        <v>2021</v>
      </c>
      <c r="B680" s="11">
        <f>IFERROR(__xludf.DUMMYFUNCTION("""COMPUTED_VALUE"""),11.0)</f>
        <v>11</v>
      </c>
      <c r="C680" s="11">
        <f>IFERROR(__xludf.DUMMYFUNCTION("""COMPUTED_VALUE"""),140602.0)</f>
        <v>140602</v>
      </c>
      <c r="D680" s="11">
        <f>IFERROR(__xludf.DUMMYFUNCTION("""COMPUTED_VALUE"""),1120.0)</f>
        <v>1120</v>
      </c>
      <c r="E680" s="9"/>
    </row>
    <row r="681">
      <c r="A681" s="11">
        <f>IFERROR(__xludf.DUMMYFUNCTION("""COMPUTED_VALUE"""),2021.0)</f>
        <v>2021</v>
      </c>
      <c r="B681" s="11">
        <f>IFERROR(__xludf.DUMMYFUNCTION("""COMPUTED_VALUE"""),11.0)</f>
        <v>11</v>
      </c>
      <c r="C681" s="11">
        <f>IFERROR(__xludf.DUMMYFUNCTION("""COMPUTED_VALUE"""),109174.0)</f>
        <v>109174</v>
      </c>
      <c r="D681" s="11">
        <f>IFERROR(__xludf.DUMMYFUNCTION("""COMPUTED_VALUE"""),572.0)</f>
        <v>572</v>
      </c>
      <c r="E681" s="9"/>
    </row>
    <row r="682">
      <c r="A682" s="11">
        <f>IFERROR(__xludf.DUMMYFUNCTION("""COMPUTED_VALUE"""),2021.0)</f>
        <v>2021</v>
      </c>
      <c r="B682" s="11">
        <f>IFERROR(__xludf.DUMMYFUNCTION("""COMPUTED_VALUE"""),9.0)</f>
        <v>9</v>
      </c>
      <c r="C682" s="11">
        <f>IFERROR(__xludf.DUMMYFUNCTION("""COMPUTED_VALUE"""),2795.0)</f>
        <v>2795</v>
      </c>
      <c r="D682" s="11">
        <f>IFERROR(__xludf.DUMMYFUNCTION("""COMPUTED_VALUE"""),509.0)</f>
        <v>509</v>
      </c>
      <c r="E682" s="9"/>
    </row>
    <row r="683">
      <c r="A683" s="11">
        <f>IFERROR(__xludf.DUMMYFUNCTION("""COMPUTED_VALUE"""),2021.0)</f>
        <v>2021</v>
      </c>
      <c r="B683" s="11">
        <f>IFERROR(__xludf.DUMMYFUNCTION("""COMPUTED_VALUE"""),9.0)</f>
        <v>9</v>
      </c>
      <c r="C683" s="11">
        <f>IFERROR(__xludf.DUMMYFUNCTION("""COMPUTED_VALUE"""),141867.0)</f>
        <v>141867</v>
      </c>
      <c r="D683" s="11">
        <f>IFERROR(__xludf.DUMMYFUNCTION("""COMPUTED_VALUE"""),263.0)</f>
        <v>263</v>
      </c>
      <c r="E683" s="9"/>
    </row>
    <row r="684">
      <c r="A684" s="11">
        <f>IFERROR(__xludf.DUMMYFUNCTION("""COMPUTED_VALUE"""),2021.0)</f>
        <v>2021</v>
      </c>
      <c r="B684" s="11">
        <f>IFERROR(__xludf.DUMMYFUNCTION("""COMPUTED_VALUE"""),10.0)</f>
        <v>10</v>
      </c>
      <c r="C684" s="11">
        <f>IFERROR(__xludf.DUMMYFUNCTION("""COMPUTED_VALUE"""),118152.0)</f>
        <v>118152</v>
      </c>
      <c r="D684" s="11">
        <f>IFERROR(__xludf.DUMMYFUNCTION("""COMPUTED_VALUE"""),862.0)</f>
        <v>862</v>
      </c>
      <c r="E684" s="9"/>
    </row>
    <row r="685">
      <c r="A685" s="11">
        <f>IFERROR(__xludf.DUMMYFUNCTION("""COMPUTED_VALUE"""),2021.0)</f>
        <v>2021</v>
      </c>
      <c r="B685" s="11">
        <f>IFERROR(__xludf.DUMMYFUNCTION("""COMPUTED_VALUE"""),10.0)</f>
        <v>10</v>
      </c>
      <c r="C685" s="11">
        <f>IFERROR(__xludf.DUMMYFUNCTION("""COMPUTED_VALUE"""),1607.0)</f>
        <v>1607</v>
      </c>
      <c r="D685" s="11">
        <f>IFERROR(__xludf.DUMMYFUNCTION("""COMPUTED_VALUE"""),1578.0)</f>
        <v>1578</v>
      </c>
      <c r="E685" s="9"/>
    </row>
    <row r="686">
      <c r="A686" s="11">
        <f>IFERROR(__xludf.DUMMYFUNCTION("""COMPUTED_VALUE"""),2021.0)</f>
        <v>2021</v>
      </c>
      <c r="B686" s="11">
        <f>IFERROR(__xludf.DUMMYFUNCTION("""COMPUTED_VALUE"""),9.0)</f>
        <v>9</v>
      </c>
      <c r="C686" s="11">
        <f>IFERROR(__xludf.DUMMYFUNCTION("""COMPUTED_VALUE"""),71322.0)</f>
        <v>71322</v>
      </c>
      <c r="D686" s="11">
        <f>IFERROR(__xludf.DUMMYFUNCTION("""COMPUTED_VALUE"""),862.0)</f>
        <v>862</v>
      </c>
      <c r="E686" s="9"/>
    </row>
    <row r="687">
      <c r="A687" s="11">
        <f>IFERROR(__xludf.DUMMYFUNCTION("""COMPUTED_VALUE"""),2021.0)</f>
        <v>2021</v>
      </c>
      <c r="B687" s="11">
        <f>IFERROR(__xludf.DUMMYFUNCTION("""COMPUTED_VALUE"""),11.0)</f>
        <v>11</v>
      </c>
      <c r="C687" s="11">
        <f>IFERROR(__xludf.DUMMYFUNCTION("""COMPUTED_VALUE"""),88773.0)</f>
        <v>88773</v>
      </c>
      <c r="D687" s="11">
        <f>IFERROR(__xludf.DUMMYFUNCTION("""COMPUTED_VALUE"""),413.0)</f>
        <v>413</v>
      </c>
      <c r="E687" s="9"/>
    </row>
    <row r="688">
      <c r="A688" s="11">
        <f>IFERROR(__xludf.DUMMYFUNCTION("""COMPUTED_VALUE"""),2021.0)</f>
        <v>2021</v>
      </c>
      <c r="B688" s="11">
        <f>IFERROR(__xludf.DUMMYFUNCTION("""COMPUTED_VALUE"""),9.0)</f>
        <v>9</v>
      </c>
      <c r="C688" s="11">
        <f>IFERROR(__xludf.DUMMYFUNCTION("""COMPUTED_VALUE"""),46964.0)</f>
        <v>46964</v>
      </c>
      <c r="D688" s="11">
        <f>IFERROR(__xludf.DUMMYFUNCTION("""COMPUTED_VALUE"""),1629.0)</f>
        <v>1629</v>
      </c>
      <c r="E688" s="9"/>
    </row>
    <row r="689">
      <c r="A689" s="11">
        <f>IFERROR(__xludf.DUMMYFUNCTION("""COMPUTED_VALUE"""),2021.0)</f>
        <v>2021</v>
      </c>
      <c r="B689" s="11">
        <f>IFERROR(__xludf.DUMMYFUNCTION("""COMPUTED_VALUE"""),11.0)</f>
        <v>11</v>
      </c>
      <c r="C689" s="11">
        <f>IFERROR(__xludf.DUMMYFUNCTION("""COMPUTED_VALUE"""),104454.0)</f>
        <v>104454</v>
      </c>
      <c r="D689" s="11">
        <f>IFERROR(__xludf.DUMMYFUNCTION("""COMPUTED_VALUE"""),508.0)</f>
        <v>508</v>
      </c>
      <c r="E689" s="9"/>
    </row>
    <row r="690">
      <c r="A690" s="11">
        <f>IFERROR(__xludf.DUMMYFUNCTION("""COMPUTED_VALUE"""),2021.0)</f>
        <v>2021</v>
      </c>
      <c r="B690" s="11">
        <f>IFERROR(__xludf.DUMMYFUNCTION("""COMPUTED_VALUE"""),11.0)</f>
        <v>11</v>
      </c>
      <c r="C690" s="11">
        <f>IFERROR(__xludf.DUMMYFUNCTION("""COMPUTED_VALUE"""),8003.0)</f>
        <v>8003</v>
      </c>
      <c r="D690" s="11">
        <f>IFERROR(__xludf.DUMMYFUNCTION("""COMPUTED_VALUE"""),446.0)</f>
        <v>446</v>
      </c>
      <c r="E690" s="9"/>
    </row>
    <row r="691">
      <c r="A691" s="11">
        <f>IFERROR(__xludf.DUMMYFUNCTION("""COMPUTED_VALUE"""),2021.0)</f>
        <v>2021</v>
      </c>
      <c r="B691" s="11">
        <f>IFERROR(__xludf.DUMMYFUNCTION("""COMPUTED_VALUE"""),9.0)</f>
        <v>9</v>
      </c>
      <c r="C691" s="11">
        <f>IFERROR(__xludf.DUMMYFUNCTION("""COMPUTED_VALUE"""),90183.0)</f>
        <v>90183</v>
      </c>
      <c r="D691" s="11">
        <f>IFERROR(__xludf.DUMMYFUNCTION("""COMPUTED_VALUE"""),1736.0)</f>
        <v>1736</v>
      </c>
      <c r="E691" s="9"/>
    </row>
    <row r="692">
      <c r="A692" s="11">
        <f>IFERROR(__xludf.DUMMYFUNCTION("""COMPUTED_VALUE"""),2021.0)</f>
        <v>2021</v>
      </c>
      <c r="B692" s="11">
        <f>IFERROR(__xludf.DUMMYFUNCTION("""COMPUTED_VALUE"""),9.0)</f>
        <v>9</v>
      </c>
      <c r="C692" s="11">
        <f>IFERROR(__xludf.DUMMYFUNCTION("""COMPUTED_VALUE"""),45489.0)</f>
        <v>45489</v>
      </c>
      <c r="D692" s="11">
        <f>IFERROR(__xludf.DUMMYFUNCTION("""COMPUTED_VALUE"""),1567.0)</f>
        <v>1567</v>
      </c>
      <c r="E692" s="9"/>
    </row>
    <row r="693">
      <c r="A693" s="11">
        <f>IFERROR(__xludf.DUMMYFUNCTION("""COMPUTED_VALUE"""),2021.0)</f>
        <v>2021</v>
      </c>
      <c r="B693" s="11">
        <f>IFERROR(__xludf.DUMMYFUNCTION("""COMPUTED_VALUE"""),8.0)</f>
        <v>8</v>
      </c>
      <c r="C693" s="11">
        <f>IFERROR(__xludf.DUMMYFUNCTION("""COMPUTED_VALUE"""),147337.0)</f>
        <v>147337</v>
      </c>
      <c r="D693" s="11">
        <f>IFERROR(__xludf.DUMMYFUNCTION("""COMPUTED_VALUE"""),1571.0)</f>
        <v>1571</v>
      </c>
      <c r="E693" s="9"/>
    </row>
    <row r="694">
      <c r="A694" s="11">
        <f>IFERROR(__xludf.DUMMYFUNCTION("""COMPUTED_VALUE"""),2021.0)</f>
        <v>2021</v>
      </c>
      <c r="B694" s="11">
        <f>IFERROR(__xludf.DUMMYFUNCTION("""COMPUTED_VALUE"""),9.0)</f>
        <v>9</v>
      </c>
      <c r="C694" s="11">
        <f>IFERROR(__xludf.DUMMYFUNCTION("""COMPUTED_VALUE"""),116446.0)</f>
        <v>116446</v>
      </c>
      <c r="D694" s="11">
        <f>IFERROR(__xludf.DUMMYFUNCTION("""COMPUTED_VALUE"""),487.0)</f>
        <v>487</v>
      </c>
      <c r="E694" s="9"/>
    </row>
    <row r="695">
      <c r="A695" s="11">
        <f>IFERROR(__xludf.DUMMYFUNCTION("""COMPUTED_VALUE"""),2021.0)</f>
        <v>2021</v>
      </c>
      <c r="B695" s="11">
        <f>IFERROR(__xludf.DUMMYFUNCTION("""COMPUTED_VALUE"""),9.0)</f>
        <v>9</v>
      </c>
      <c r="C695" s="11">
        <f>IFERROR(__xludf.DUMMYFUNCTION("""COMPUTED_VALUE"""),44760.0)</f>
        <v>44760</v>
      </c>
      <c r="D695" s="11">
        <f>IFERROR(__xludf.DUMMYFUNCTION("""COMPUTED_VALUE"""),1754.0)</f>
        <v>1754</v>
      </c>
      <c r="E695" s="9"/>
    </row>
    <row r="696">
      <c r="A696" s="11">
        <f>IFERROR(__xludf.DUMMYFUNCTION("""COMPUTED_VALUE"""),2021.0)</f>
        <v>2021</v>
      </c>
      <c r="B696" s="11">
        <f>IFERROR(__xludf.DUMMYFUNCTION("""COMPUTED_VALUE"""),9.0)</f>
        <v>9</v>
      </c>
      <c r="C696" s="11">
        <f>IFERROR(__xludf.DUMMYFUNCTION("""COMPUTED_VALUE"""),44764.0)</f>
        <v>44764</v>
      </c>
      <c r="D696" s="11">
        <f>IFERROR(__xludf.DUMMYFUNCTION("""COMPUTED_VALUE"""),1324.0)</f>
        <v>1324</v>
      </c>
      <c r="E696" s="9"/>
    </row>
    <row r="697">
      <c r="A697" s="11">
        <f>IFERROR(__xludf.DUMMYFUNCTION("""COMPUTED_VALUE"""),2021.0)</f>
        <v>2021</v>
      </c>
      <c r="B697" s="11">
        <f>IFERROR(__xludf.DUMMYFUNCTION("""COMPUTED_VALUE"""),11.0)</f>
        <v>11</v>
      </c>
      <c r="C697" s="11">
        <f>IFERROR(__xludf.DUMMYFUNCTION("""COMPUTED_VALUE"""),72801.0)</f>
        <v>72801</v>
      </c>
      <c r="D697" s="11">
        <f>IFERROR(__xludf.DUMMYFUNCTION("""COMPUTED_VALUE"""),1070.0)</f>
        <v>1070</v>
      </c>
      <c r="E697" s="9"/>
    </row>
    <row r="698">
      <c r="A698" s="11">
        <f>IFERROR(__xludf.DUMMYFUNCTION("""COMPUTED_VALUE"""),2021.0)</f>
        <v>2021</v>
      </c>
      <c r="B698" s="11">
        <f>IFERROR(__xludf.DUMMYFUNCTION("""COMPUTED_VALUE"""),9.0)</f>
        <v>9</v>
      </c>
      <c r="C698" s="11">
        <f>IFERROR(__xludf.DUMMYFUNCTION("""COMPUTED_VALUE"""),86573.0)</f>
        <v>86573</v>
      </c>
      <c r="D698" s="11">
        <f>IFERROR(__xludf.DUMMYFUNCTION("""COMPUTED_VALUE"""),1635.0)</f>
        <v>1635</v>
      </c>
      <c r="E698" s="9"/>
    </row>
    <row r="699">
      <c r="A699" s="11">
        <f>IFERROR(__xludf.DUMMYFUNCTION("""COMPUTED_VALUE"""),2021.0)</f>
        <v>2021</v>
      </c>
      <c r="B699" s="11">
        <f>IFERROR(__xludf.DUMMYFUNCTION("""COMPUTED_VALUE"""),8.0)</f>
        <v>8</v>
      </c>
      <c r="C699" s="11">
        <f>IFERROR(__xludf.DUMMYFUNCTION("""COMPUTED_VALUE"""),107784.0)</f>
        <v>107784</v>
      </c>
      <c r="D699" s="11">
        <f>IFERROR(__xludf.DUMMYFUNCTION("""COMPUTED_VALUE"""),844.0)</f>
        <v>844</v>
      </c>
      <c r="E699" s="9"/>
    </row>
    <row r="700">
      <c r="A700" s="11">
        <f>IFERROR(__xludf.DUMMYFUNCTION("""COMPUTED_VALUE"""),2021.0)</f>
        <v>2021</v>
      </c>
      <c r="B700" s="11">
        <f>IFERROR(__xludf.DUMMYFUNCTION("""COMPUTED_VALUE"""),11.0)</f>
        <v>11</v>
      </c>
      <c r="C700" s="11">
        <f>IFERROR(__xludf.DUMMYFUNCTION("""COMPUTED_VALUE"""),103388.0)</f>
        <v>103388</v>
      </c>
      <c r="D700" s="11">
        <f>IFERROR(__xludf.DUMMYFUNCTION("""COMPUTED_VALUE"""),1312.0)</f>
        <v>1312</v>
      </c>
      <c r="E700" s="9"/>
    </row>
    <row r="701">
      <c r="A701" s="11">
        <f>IFERROR(__xludf.DUMMYFUNCTION("""COMPUTED_VALUE"""),2021.0)</f>
        <v>2021</v>
      </c>
      <c r="B701" s="11">
        <f>IFERROR(__xludf.DUMMYFUNCTION("""COMPUTED_VALUE"""),9.0)</f>
        <v>9</v>
      </c>
      <c r="C701" s="11">
        <f>IFERROR(__xludf.DUMMYFUNCTION("""COMPUTED_VALUE"""),8004.0)</f>
        <v>8004</v>
      </c>
      <c r="D701" s="11">
        <f>IFERROR(__xludf.DUMMYFUNCTION("""COMPUTED_VALUE"""),727.0)</f>
        <v>727</v>
      </c>
      <c r="E701" s="9"/>
    </row>
    <row r="702">
      <c r="A702" s="11">
        <f>IFERROR(__xludf.DUMMYFUNCTION("""COMPUTED_VALUE"""),2021.0)</f>
        <v>2021</v>
      </c>
      <c r="B702" s="11">
        <f>IFERROR(__xludf.DUMMYFUNCTION("""COMPUTED_VALUE"""),11.0)</f>
        <v>11</v>
      </c>
      <c r="C702" s="11">
        <f>IFERROR(__xludf.DUMMYFUNCTION("""COMPUTED_VALUE"""),103387.0)</f>
        <v>103387</v>
      </c>
      <c r="D702" s="11">
        <f>IFERROR(__xludf.DUMMYFUNCTION("""COMPUTED_VALUE"""),905.0)</f>
        <v>905</v>
      </c>
      <c r="E702" s="9"/>
    </row>
    <row r="703">
      <c r="A703" s="11">
        <f>IFERROR(__xludf.DUMMYFUNCTION("""COMPUTED_VALUE"""),2021.0)</f>
        <v>2021</v>
      </c>
      <c r="B703" s="11">
        <f>IFERROR(__xludf.DUMMYFUNCTION("""COMPUTED_VALUE"""),9.0)</f>
        <v>9</v>
      </c>
      <c r="C703" s="11">
        <f>IFERROR(__xludf.DUMMYFUNCTION("""COMPUTED_VALUE"""),76731.0)</f>
        <v>76731</v>
      </c>
      <c r="D703" s="11">
        <f>IFERROR(__xludf.DUMMYFUNCTION("""COMPUTED_VALUE"""),805.0)</f>
        <v>805</v>
      </c>
      <c r="E703" s="9"/>
    </row>
    <row r="704">
      <c r="A704" s="11">
        <f>IFERROR(__xludf.DUMMYFUNCTION("""COMPUTED_VALUE"""),2021.0)</f>
        <v>2021</v>
      </c>
      <c r="B704" s="11">
        <f>IFERROR(__xludf.DUMMYFUNCTION("""COMPUTED_VALUE"""),10.0)</f>
        <v>10</v>
      </c>
      <c r="C704" s="11">
        <f>IFERROR(__xludf.DUMMYFUNCTION("""COMPUTED_VALUE"""),116449.0)</f>
        <v>116449</v>
      </c>
      <c r="D704" s="11">
        <f>IFERROR(__xludf.DUMMYFUNCTION("""COMPUTED_VALUE"""),1753.0)</f>
        <v>1753</v>
      </c>
      <c r="E704" s="9"/>
    </row>
    <row r="705">
      <c r="A705" s="11">
        <f>IFERROR(__xludf.DUMMYFUNCTION("""COMPUTED_VALUE"""),2021.0)</f>
        <v>2021</v>
      </c>
      <c r="B705" s="11">
        <f>IFERROR(__xludf.DUMMYFUNCTION("""COMPUTED_VALUE"""),11.0)</f>
        <v>11</v>
      </c>
      <c r="C705" s="11">
        <f>IFERROR(__xludf.DUMMYFUNCTION("""COMPUTED_VALUE"""),95211.0)</f>
        <v>95211</v>
      </c>
      <c r="D705" s="11">
        <f>IFERROR(__xludf.DUMMYFUNCTION("""COMPUTED_VALUE"""),287.0)</f>
        <v>287</v>
      </c>
      <c r="E705" s="9"/>
    </row>
    <row r="706">
      <c r="A706" s="11">
        <f>IFERROR(__xludf.DUMMYFUNCTION("""COMPUTED_VALUE"""),2021.0)</f>
        <v>2021</v>
      </c>
      <c r="B706" s="11">
        <f>IFERROR(__xludf.DUMMYFUNCTION("""COMPUTED_VALUE"""),10.0)</f>
        <v>10</v>
      </c>
      <c r="C706" s="11">
        <f>IFERROR(__xludf.DUMMYFUNCTION("""COMPUTED_VALUE"""),118255.0)</f>
        <v>118255</v>
      </c>
      <c r="D706" s="11">
        <f>IFERROR(__xludf.DUMMYFUNCTION("""COMPUTED_VALUE"""),1761.0)</f>
        <v>1761</v>
      </c>
      <c r="E706" s="9"/>
    </row>
    <row r="707">
      <c r="A707" s="11">
        <f>IFERROR(__xludf.DUMMYFUNCTION("""COMPUTED_VALUE"""),2021.0)</f>
        <v>2021</v>
      </c>
      <c r="B707" s="11">
        <f>IFERROR(__xludf.DUMMYFUNCTION("""COMPUTED_VALUE"""),11.0)</f>
        <v>11</v>
      </c>
      <c r="C707" s="11">
        <f>IFERROR(__xludf.DUMMYFUNCTION("""COMPUTED_VALUE"""),8010.0)</f>
        <v>8010</v>
      </c>
      <c r="D707" s="11">
        <f>IFERROR(__xludf.DUMMYFUNCTION("""COMPUTED_VALUE"""),1565.0)</f>
        <v>1565</v>
      </c>
      <c r="E707" s="9"/>
    </row>
    <row r="708">
      <c r="A708" s="11">
        <f>IFERROR(__xludf.DUMMYFUNCTION("""COMPUTED_VALUE"""),2021.0)</f>
        <v>2021</v>
      </c>
      <c r="B708" s="11">
        <f>IFERROR(__xludf.DUMMYFUNCTION("""COMPUTED_VALUE"""),10.0)</f>
        <v>10</v>
      </c>
      <c r="C708" s="11">
        <f>IFERROR(__xludf.DUMMYFUNCTION("""COMPUTED_VALUE"""),128351.0)</f>
        <v>128351</v>
      </c>
      <c r="D708" s="11">
        <f>IFERROR(__xludf.DUMMYFUNCTION("""COMPUTED_VALUE"""),573.0)</f>
        <v>573</v>
      </c>
      <c r="E708" s="9"/>
    </row>
    <row r="709">
      <c r="A709" s="11">
        <f>IFERROR(__xludf.DUMMYFUNCTION("""COMPUTED_VALUE"""),2021.0)</f>
        <v>2021</v>
      </c>
      <c r="B709" s="11">
        <f>IFERROR(__xludf.DUMMYFUNCTION("""COMPUTED_VALUE"""),8.0)</f>
        <v>8</v>
      </c>
      <c r="C709" s="11">
        <f>IFERROR(__xludf.DUMMYFUNCTION("""COMPUTED_VALUE"""),12452.0)</f>
        <v>12452</v>
      </c>
      <c r="D709" s="11">
        <f>IFERROR(__xludf.DUMMYFUNCTION("""COMPUTED_VALUE"""),107.0)</f>
        <v>107</v>
      </c>
      <c r="E709" s="9"/>
    </row>
    <row r="710">
      <c r="A710" s="11">
        <f>IFERROR(__xludf.DUMMYFUNCTION("""COMPUTED_VALUE"""),2021.0)</f>
        <v>2021</v>
      </c>
      <c r="B710" s="11">
        <f>IFERROR(__xludf.DUMMYFUNCTION("""COMPUTED_VALUE"""),9.0)</f>
        <v>9</v>
      </c>
      <c r="C710" s="11">
        <f>IFERROR(__xludf.DUMMYFUNCTION("""COMPUTED_VALUE"""),108996.0)</f>
        <v>108996</v>
      </c>
      <c r="D710" s="11">
        <f>IFERROR(__xludf.DUMMYFUNCTION("""COMPUTED_VALUE"""),426.0)</f>
        <v>426</v>
      </c>
      <c r="E710" s="9"/>
    </row>
    <row r="711">
      <c r="A711" s="11">
        <f>IFERROR(__xludf.DUMMYFUNCTION("""COMPUTED_VALUE"""),2021.0)</f>
        <v>2021</v>
      </c>
      <c r="B711" s="11">
        <f>IFERROR(__xludf.DUMMYFUNCTION("""COMPUTED_VALUE"""),8.0)</f>
        <v>8</v>
      </c>
      <c r="C711" s="11">
        <f>IFERROR(__xludf.DUMMYFUNCTION("""COMPUTED_VALUE"""),15638.0)</f>
        <v>15638</v>
      </c>
      <c r="D711" s="11">
        <f>IFERROR(__xludf.DUMMYFUNCTION("""COMPUTED_VALUE"""),281.0)</f>
        <v>281</v>
      </c>
      <c r="E711" s="9"/>
    </row>
    <row r="712">
      <c r="A712" s="11">
        <f>IFERROR(__xludf.DUMMYFUNCTION("""COMPUTED_VALUE"""),2021.0)</f>
        <v>2021</v>
      </c>
      <c r="B712" s="11">
        <f>IFERROR(__xludf.DUMMYFUNCTION("""COMPUTED_VALUE"""),10.0)</f>
        <v>10</v>
      </c>
      <c r="C712" s="11">
        <f>IFERROR(__xludf.DUMMYFUNCTION("""COMPUTED_VALUE"""),118109.0)</f>
        <v>118109</v>
      </c>
      <c r="D712" s="11">
        <f>IFERROR(__xludf.DUMMYFUNCTION("""COMPUTED_VALUE"""),1720.0)</f>
        <v>1720</v>
      </c>
      <c r="E712" s="9"/>
    </row>
    <row r="713">
      <c r="A713" s="11">
        <f>IFERROR(__xludf.DUMMYFUNCTION("""COMPUTED_VALUE"""),2021.0)</f>
        <v>2021</v>
      </c>
      <c r="B713" s="11">
        <f>IFERROR(__xludf.DUMMYFUNCTION("""COMPUTED_VALUE"""),9.0)</f>
        <v>9</v>
      </c>
      <c r="C713" s="11">
        <f>IFERROR(__xludf.DUMMYFUNCTION("""COMPUTED_VALUE"""),15634.0)</f>
        <v>15634</v>
      </c>
      <c r="D713" s="11">
        <f>IFERROR(__xludf.DUMMYFUNCTION("""COMPUTED_VALUE"""),594.0)</f>
        <v>594</v>
      </c>
      <c r="E713" s="9"/>
    </row>
    <row r="714">
      <c r="A714" s="11">
        <f>IFERROR(__xludf.DUMMYFUNCTION("""COMPUTED_VALUE"""),2021.0)</f>
        <v>2021</v>
      </c>
      <c r="B714" s="11">
        <f>IFERROR(__xludf.DUMMYFUNCTION("""COMPUTED_VALUE"""),9.0)</f>
        <v>9</v>
      </c>
      <c r="C714" s="11">
        <f>IFERROR(__xludf.DUMMYFUNCTION("""COMPUTED_VALUE"""),2802.0)</f>
        <v>2802</v>
      </c>
      <c r="D714" s="11">
        <f>IFERROR(__xludf.DUMMYFUNCTION("""COMPUTED_VALUE"""),1033.0)</f>
        <v>1033</v>
      </c>
      <c r="E714" s="9"/>
    </row>
    <row r="715">
      <c r="A715" s="11">
        <f>IFERROR(__xludf.DUMMYFUNCTION("""COMPUTED_VALUE"""),2021.0)</f>
        <v>2021</v>
      </c>
      <c r="B715" s="11">
        <f>IFERROR(__xludf.DUMMYFUNCTION("""COMPUTED_VALUE"""),9.0)</f>
        <v>9</v>
      </c>
      <c r="C715" s="11">
        <f>IFERROR(__xludf.DUMMYFUNCTION("""COMPUTED_VALUE"""),46962.0)</f>
        <v>46962</v>
      </c>
      <c r="D715" s="11">
        <f>IFERROR(__xludf.DUMMYFUNCTION("""COMPUTED_VALUE"""),1928.0)</f>
        <v>1928</v>
      </c>
      <c r="E715" s="9"/>
    </row>
    <row r="716">
      <c r="A716" s="11">
        <f>IFERROR(__xludf.DUMMYFUNCTION("""COMPUTED_VALUE"""),2021.0)</f>
        <v>2021</v>
      </c>
      <c r="B716" s="11">
        <f>IFERROR(__xludf.DUMMYFUNCTION("""COMPUTED_VALUE"""),9.0)</f>
        <v>9</v>
      </c>
      <c r="C716" s="11">
        <f>IFERROR(__xludf.DUMMYFUNCTION("""COMPUTED_VALUE"""),128348.0)</f>
        <v>128348</v>
      </c>
      <c r="D716" s="11">
        <f>IFERROR(__xludf.DUMMYFUNCTION("""COMPUTED_VALUE"""),605.0)</f>
        <v>605</v>
      </c>
      <c r="E716" s="9"/>
    </row>
    <row r="717">
      <c r="A717" s="11">
        <f>IFERROR(__xludf.DUMMYFUNCTION("""COMPUTED_VALUE"""),2021.0)</f>
        <v>2021</v>
      </c>
      <c r="B717" s="11">
        <f>IFERROR(__xludf.DUMMYFUNCTION("""COMPUTED_VALUE"""),9.0)</f>
        <v>9</v>
      </c>
      <c r="C717" s="11">
        <f>IFERROR(__xludf.DUMMYFUNCTION("""COMPUTED_VALUE"""),108963.0)</f>
        <v>108963</v>
      </c>
      <c r="D717" s="11">
        <f>IFERROR(__xludf.DUMMYFUNCTION("""COMPUTED_VALUE"""),104.0)</f>
        <v>104</v>
      </c>
      <c r="E717" s="9"/>
    </row>
    <row r="718">
      <c r="A718" s="11">
        <f>IFERROR(__xludf.DUMMYFUNCTION("""COMPUTED_VALUE"""),2021.0)</f>
        <v>2021</v>
      </c>
      <c r="B718" s="11">
        <f>IFERROR(__xludf.DUMMYFUNCTION("""COMPUTED_VALUE"""),9.0)</f>
        <v>9</v>
      </c>
      <c r="C718" s="11">
        <f>IFERROR(__xludf.DUMMYFUNCTION("""COMPUTED_VALUE"""),2800.0)</f>
        <v>2800</v>
      </c>
      <c r="D718" s="11">
        <f>IFERROR(__xludf.DUMMYFUNCTION("""COMPUTED_VALUE"""),11.0)</f>
        <v>11</v>
      </c>
      <c r="E718" s="9"/>
    </row>
    <row r="719">
      <c r="A719" s="11">
        <f>IFERROR(__xludf.DUMMYFUNCTION("""COMPUTED_VALUE"""),2021.0)</f>
        <v>2021</v>
      </c>
      <c r="B719" s="11">
        <f>IFERROR(__xludf.DUMMYFUNCTION("""COMPUTED_VALUE"""),10.0)</f>
        <v>10</v>
      </c>
      <c r="C719" s="11">
        <f>IFERROR(__xludf.DUMMYFUNCTION("""COMPUTED_VALUE"""),12451.0)</f>
        <v>12451</v>
      </c>
      <c r="D719" s="11">
        <f>IFERROR(__xludf.DUMMYFUNCTION("""COMPUTED_VALUE"""),1190.0)</f>
        <v>1190</v>
      </c>
      <c r="E719" s="9"/>
    </row>
    <row r="720">
      <c r="A720" s="11">
        <f>IFERROR(__xludf.DUMMYFUNCTION("""COMPUTED_VALUE"""),2021.0)</f>
        <v>2021</v>
      </c>
      <c r="B720" s="11">
        <f>IFERROR(__xludf.DUMMYFUNCTION("""COMPUTED_VALUE"""),9.0)</f>
        <v>9</v>
      </c>
      <c r="C720" s="11">
        <f>IFERROR(__xludf.DUMMYFUNCTION("""COMPUTED_VALUE"""),19024.0)</f>
        <v>19024</v>
      </c>
      <c r="D720" s="11">
        <f>IFERROR(__xludf.DUMMYFUNCTION("""COMPUTED_VALUE"""),92.0)</f>
        <v>92</v>
      </c>
      <c r="E720" s="9"/>
    </row>
    <row r="721">
      <c r="A721" s="11">
        <f>IFERROR(__xludf.DUMMYFUNCTION("""COMPUTED_VALUE"""),2021.0)</f>
        <v>2021</v>
      </c>
      <c r="B721" s="11">
        <f>IFERROR(__xludf.DUMMYFUNCTION("""COMPUTED_VALUE"""),9.0)</f>
        <v>9</v>
      </c>
      <c r="C721" s="11">
        <f>IFERROR(__xludf.DUMMYFUNCTION("""COMPUTED_VALUE"""),9472.0)</f>
        <v>9472</v>
      </c>
      <c r="D721" s="11">
        <f>IFERROR(__xludf.DUMMYFUNCTION("""COMPUTED_VALUE"""),1647.0)</f>
        <v>1647</v>
      </c>
      <c r="E721" s="9"/>
    </row>
    <row r="722">
      <c r="A722" s="11">
        <f>IFERROR(__xludf.DUMMYFUNCTION("""COMPUTED_VALUE"""),2021.0)</f>
        <v>2021</v>
      </c>
      <c r="B722" s="11">
        <f>IFERROR(__xludf.DUMMYFUNCTION("""COMPUTED_VALUE"""),11.0)</f>
        <v>11</v>
      </c>
      <c r="C722" s="11">
        <f>IFERROR(__xludf.DUMMYFUNCTION("""COMPUTED_VALUE"""),1587.0)</f>
        <v>1587</v>
      </c>
      <c r="D722" s="11">
        <f>IFERROR(__xludf.DUMMYFUNCTION("""COMPUTED_VALUE"""),1603.0)</f>
        <v>1603</v>
      </c>
      <c r="E722" s="9"/>
    </row>
    <row r="723">
      <c r="A723" s="11">
        <f>IFERROR(__xludf.DUMMYFUNCTION("""COMPUTED_VALUE"""),2021.0)</f>
        <v>2021</v>
      </c>
      <c r="B723" s="11">
        <f>IFERROR(__xludf.DUMMYFUNCTION("""COMPUTED_VALUE"""),11.0)</f>
        <v>11</v>
      </c>
      <c r="C723" s="11">
        <f>IFERROR(__xludf.DUMMYFUNCTION("""COMPUTED_VALUE"""),118262.0)</f>
        <v>118262</v>
      </c>
      <c r="D723" s="11">
        <f>IFERROR(__xludf.DUMMYFUNCTION("""COMPUTED_VALUE"""),1845.0)</f>
        <v>1845</v>
      </c>
      <c r="E723" s="9"/>
    </row>
    <row r="724">
      <c r="A724" s="11">
        <f>IFERROR(__xludf.DUMMYFUNCTION("""COMPUTED_VALUE"""),2021.0)</f>
        <v>2021</v>
      </c>
      <c r="B724" s="11">
        <f>IFERROR(__xludf.DUMMYFUNCTION("""COMPUTED_VALUE"""),8.0)</f>
        <v>8</v>
      </c>
      <c r="C724" s="11">
        <f>IFERROR(__xludf.DUMMYFUNCTION("""COMPUTED_VALUE"""),44739.0)</f>
        <v>44739</v>
      </c>
      <c r="D724" s="11">
        <f>IFERROR(__xludf.DUMMYFUNCTION("""COMPUTED_VALUE"""),503.0)</f>
        <v>503</v>
      </c>
      <c r="E724" s="9"/>
    </row>
    <row r="725">
      <c r="A725" s="11">
        <f>IFERROR(__xludf.DUMMYFUNCTION("""COMPUTED_VALUE"""),2021.0)</f>
        <v>2021</v>
      </c>
      <c r="B725" s="11">
        <f>IFERROR(__xludf.DUMMYFUNCTION("""COMPUTED_VALUE"""),10.0)</f>
        <v>10</v>
      </c>
      <c r="C725" s="11">
        <f>IFERROR(__xludf.DUMMYFUNCTION("""COMPUTED_VALUE"""),199855.0)</f>
        <v>199855</v>
      </c>
      <c r="D725" s="11">
        <f>IFERROR(__xludf.DUMMYFUNCTION("""COMPUTED_VALUE"""),198.0)</f>
        <v>198</v>
      </c>
      <c r="E725" s="9"/>
    </row>
    <row r="726">
      <c r="A726" s="11">
        <f>IFERROR(__xludf.DUMMYFUNCTION("""COMPUTED_VALUE"""),2021.0)</f>
        <v>2021</v>
      </c>
      <c r="B726" s="11">
        <f>IFERROR(__xludf.DUMMYFUNCTION("""COMPUTED_VALUE"""),8.0)</f>
        <v>8</v>
      </c>
      <c r="C726" s="11">
        <f>IFERROR(__xludf.DUMMYFUNCTION("""COMPUTED_VALUE"""),71674.0)</f>
        <v>71674</v>
      </c>
      <c r="D726" s="11">
        <f>IFERROR(__xludf.DUMMYFUNCTION("""COMPUTED_VALUE"""),1128.0)</f>
        <v>1128</v>
      </c>
      <c r="E726" s="9"/>
    </row>
    <row r="727">
      <c r="A727" s="11">
        <f>IFERROR(__xludf.DUMMYFUNCTION("""COMPUTED_VALUE"""),2021.0)</f>
        <v>2021</v>
      </c>
      <c r="B727" s="11">
        <f>IFERROR(__xludf.DUMMYFUNCTION("""COMPUTED_VALUE"""),9.0)</f>
        <v>9</v>
      </c>
      <c r="C727" s="11">
        <f>IFERROR(__xludf.DUMMYFUNCTION("""COMPUTED_VALUE"""),101357.0)</f>
        <v>101357</v>
      </c>
      <c r="D727" s="11">
        <f>IFERROR(__xludf.DUMMYFUNCTION("""COMPUTED_VALUE"""),41.0)</f>
        <v>41</v>
      </c>
      <c r="E727" s="9"/>
    </row>
    <row r="728">
      <c r="A728" s="11">
        <f>IFERROR(__xludf.DUMMYFUNCTION("""COMPUTED_VALUE"""),2021.0)</f>
        <v>2021</v>
      </c>
      <c r="B728" s="11">
        <f>IFERROR(__xludf.DUMMYFUNCTION("""COMPUTED_VALUE"""),11.0)</f>
        <v>11</v>
      </c>
      <c r="C728" s="11">
        <f>IFERROR(__xludf.DUMMYFUNCTION("""COMPUTED_VALUE"""),121066.0)</f>
        <v>121066</v>
      </c>
      <c r="D728" s="11">
        <f>IFERROR(__xludf.DUMMYFUNCTION("""COMPUTED_VALUE"""),328.0)</f>
        <v>328</v>
      </c>
      <c r="E728" s="9"/>
    </row>
    <row r="729">
      <c r="A729" s="11">
        <f>IFERROR(__xludf.DUMMYFUNCTION("""COMPUTED_VALUE"""),2021.0)</f>
        <v>2021</v>
      </c>
      <c r="B729" s="11">
        <f>IFERROR(__xludf.DUMMYFUNCTION("""COMPUTED_VALUE"""),9.0)</f>
        <v>9</v>
      </c>
      <c r="C729" s="11">
        <f>IFERROR(__xludf.DUMMYFUNCTION("""COMPUTED_VALUE"""),72818.0)</f>
        <v>72818</v>
      </c>
      <c r="D729" s="11">
        <f>IFERROR(__xludf.DUMMYFUNCTION("""COMPUTED_VALUE"""),1359.0)</f>
        <v>1359</v>
      </c>
      <c r="E729" s="9"/>
    </row>
    <row r="730">
      <c r="A730" s="11">
        <f>IFERROR(__xludf.DUMMYFUNCTION("""COMPUTED_VALUE"""),2021.0)</f>
        <v>2021</v>
      </c>
      <c r="B730" s="11">
        <f>IFERROR(__xludf.DUMMYFUNCTION("""COMPUTED_VALUE"""),9.0)</f>
        <v>9</v>
      </c>
      <c r="C730" s="11">
        <f>IFERROR(__xludf.DUMMYFUNCTION("""COMPUTED_VALUE"""),109178.0)</f>
        <v>109178</v>
      </c>
      <c r="D730" s="11">
        <f>IFERROR(__xludf.DUMMYFUNCTION("""COMPUTED_VALUE"""),548.0)</f>
        <v>548</v>
      </c>
      <c r="E730" s="9"/>
    </row>
    <row r="731">
      <c r="A731" s="11">
        <f>IFERROR(__xludf.DUMMYFUNCTION("""COMPUTED_VALUE"""),2021.0)</f>
        <v>2021</v>
      </c>
      <c r="B731" s="11">
        <f>IFERROR(__xludf.DUMMYFUNCTION("""COMPUTED_VALUE"""),8.0)</f>
        <v>8</v>
      </c>
      <c r="C731" s="11">
        <f>IFERROR(__xludf.DUMMYFUNCTION("""COMPUTED_VALUE"""),114876.0)</f>
        <v>114876</v>
      </c>
      <c r="D731" s="11">
        <f>IFERROR(__xludf.DUMMYFUNCTION("""COMPUTED_VALUE"""),1107.0)</f>
        <v>1107</v>
      </c>
      <c r="E731" s="9"/>
    </row>
    <row r="732">
      <c r="A732" s="11">
        <f>IFERROR(__xludf.DUMMYFUNCTION("""COMPUTED_VALUE"""),2021.0)</f>
        <v>2021</v>
      </c>
      <c r="B732" s="11">
        <f>IFERROR(__xludf.DUMMYFUNCTION("""COMPUTED_VALUE"""),11.0)</f>
        <v>11</v>
      </c>
      <c r="C732" s="11">
        <f>IFERROR(__xludf.DUMMYFUNCTION("""COMPUTED_VALUE"""),9471.0)</f>
        <v>9471</v>
      </c>
      <c r="D732" s="11">
        <f>IFERROR(__xludf.DUMMYFUNCTION("""COMPUTED_VALUE"""),1642.0)</f>
        <v>1642</v>
      </c>
      <c r="E732" s="9"/>
    </row>
    <row r="733">
      <c r="A733" s="11">
        <f>IFERROR(__xludf.DUMMYFUNCTION("""COMPUTED_VALUE"""),2021.0)</f>
        <v>2021</v>
      </c>
      <c r="B733" s="11">
        <f>IFERROR(__xludf.DUMMYFUNCTION("""COMPUTED_VALUE"""),9.0)</f>
        <v>9</v>
      </c>
      <c r="C733" s="11">
        <f>IFERROR(__xludf.DUMMYFUNCTION("""COMPUTED_VALUE"""),87840.0)</f>
        <v>87840</v>
      </c>
      <c r="D733" s="11">
        <f>IFERROR(__xludf.DUMMYFUNCTION("""COMPUTED_VALUE"""),843.0)</f>
        <v>843</v>
      </c>
      <c r="E733" s="9"/>
    </row>
    <row r="734">
      <c r="A734" s="11">
        <f>IFERROR(__xludf.DUMMYFUNCTION("""COMPUTED_VALUE"""),2021.0)</f>
        <v>2021</v>
      </c>
      <c r="B734" s="11">
        <f>IFERROR(__xludf.DUMMYFUNCTION("""COMPUTED_VALUE"""),10.0)</f>
        <v>10</v>
      </c>
      <c r="C734" s="11">
        <f>IFERROR(__xludf.DUMMYFUNCTION("""COMPUTED_VALUE"""),72816.0)</f>
        <v>72816</v>
      </c>
      <c r="D734" s="11">
        <f>IFERROR(__xludf.DUMMYFUNCTION("""COMPUTED_VALUE"""),184.0)</f>
        <v>184</v>
      </c>
      <c r="E734" s="9"/>
    </row>
    <row r="735">
      <c r="A735" s="11">
        <f>IFERROR(__xludf.DUMMYFUNCTION("""COMPUTED_VALUE"""),2021.0)</f>
        <v>2021</v>
      </c>
      <c r="B735" s="11">
        <f>IFERROR(__xludf.DUMMYFUNCTION("""COMPUTED_VALUE"""),8.0)</f>
        <v>8</v>
      </c>
      <c r="C735" s="11">
        <f>IFERROR(__xludf.DUMMYFUNCTION("""COMPUTED_VALUE"""),122354.0)</f>
        <v>122354</v>
      </c>
      <c r="D735" s="11">
        <f>IFERROR(__xludf.DUMMYFUNCTION("""COMPUTED_VALUE"""),1318.0)</f>
        <v>1318</v>
      </c>
      <c r="E735" s="9"/>
    </row>
    <row r="736">
      <c r="A736" s="11">
        <f>IFERROR(__xludf.DUMMYFUNCTION("""COMPUTED_VALUE"""),2021.0)</f>
        <v>2021</v>
      </c>
      <c r="B736" s="11">
        <f>IFERROR(__xludf.DUMMYFUNCTION("""COMPUTED_VALUE"""),9.0)</f>
        <v>9</v>
      </c>
      <c r="C736" s="11">
        <f>IFERROR(__xludf.DUMMYFUNCTION("""COMPUTED_VALUE"""),109188.0)</f>
        <v>109188</v>
      </c>
      <c r="D736" s="11">
        <f>IFERROR(__xludf.DUMMYFUNCTION("""COMPUTED_VALUE"""),225.0)</f>
        <v>225</v>
      </c>
      <c r="E736" s="9"/>
    </row>
    <row r="737">
      <c r="A737" s="11">
        <f>IFERROR(__xludf.DUMMYFUNCTION("""COMPUTED_VALUE"""),2021.0)</f>
        <v>2021</v>
      </c>
      <c r="B737" s="11">
        <f>IFERROR(__xludf.DUMMYFUNCTION("""COMPUTED_VALUE"""),8.0)</f>
        <v>8</v>
      </c>
      <c r="C737" s="11">
        <f>IFERROR(__xludf.DUMMYFUNCTION("""COMPUTED_VALUE"""),7999.0)</f>
        <v>7999</v>
      </c>
      <c r="D737" s="11">
        <f>IFERROR(__xludf.DUMMYFUNCTION("""COMPUTED_VALUE"""),1465.0)</f>
        <v>1465</v>
      </c>
      <c r="E737" s="9"/>
    </row>
    <row r="738">
      <c r="A738" s="11">
        <f>IFERROR(__xludf.DUMMYFUNCTION("""COMPUTED_VALUE"""),2021.0)</f>
        <v>2021</v>
      </c>
      <c r="B738" s="11">
        <f>IFERROR(__xludf.DUMMYFUNCTION("""COMPUTED_VALUE"""),10.0)</f>
        <v>10</v>
      </c>
      <c r="C738" s="11">
        <f>IFERROR(__xludf.DUMMYFUNCTION("""COMPUTED_VALUE"""),9469.0)</f>
        <v>9469</v>
      </c>
      <c r="D738" s="11">
        <f>IFERROR(__xludf.DUMMYFUNCTION("""COMPUTED_VALUE"""),1706.0)</f>
        <v>1706</v>
      </c>
      <c r="E738" s="9"/>
    </row>
    <row r="739">
      <c r="A739" s="11">
        <f>IFERROR(__xludf.DUMMYFUNCTION("""COMPUTED_VALUE"""),2021.0)</f>
        <v>2021</v>
      </c>
      <c r="B739" s="11">
        <f>IFERROR(__xludf.DUMMYFUNCTION("""COMPUTED_VALUE"""),8.0)</f>
        <v>8</v>
      </c>
      <c r="C739" s="11">
        <f>IFERROR(__xludf.DUMMYFUNCTION("""COMPUTED_VALUE"""),46955.0)</f>
        <v>46955</v>
      </c>
      <c r="D739" s="11">
        <f>IFERROR(__xludf.DUMMYFUNCTION("""COMPUTED_VALUE"""),1118.0)</f>
        <v>1118</v>
      </c>
      <c r="E739" s="9"/>
    </row>
    <row r="740">
      <c r="A740" s="11">
        <f>IFERROR(__xludf.DUMMYFUNCTION("""COMPUTED_VALUE"""),2021.0)</f>
        <v>2021</v>
      </c>
      <c r="B740" s="11">
        <f>IFERROR(__xludf.DUMMYFUNCTION("""COMPUTED_VALUE"""),9.0)</f>
        <v>9</v>
      </c>
      <c r="C740" s="11">
        <f>IFERROR(__xludf.DUMMYFUNCTION("""COMPUTED_VALUE"""),9464.0)</f>
        <v>9464</v>
      </c>
      <c r="D740" s="11">
        <f>IFERROR(__xludf.DUMMYFUNCTION("""COMPUTED_VALUE"""),286.0)</f>
        <v>286</v>
      </c>
      <c r="E740" s="9"/>
    </row>
    <row r="741">
      <c r="A741" s="11">
        <f>IFERROR(__xludf.DUMMYFUNCTION("""COMPUTED_VALUE"""),2021.0)</f>
        <v>2021</v>
      </c>
      <c r="B741" s="11">
        <f>IFERROR(__xludf.DUMMYFUNCTION("""COMPUTED_VALUE"""),9.0)</f>
        <v>9</v>
      </c>
      <c r="C741" s="11">
        <f>IFERROR(__xludf.DUMMYFUNCTION("""COMPUTED_VALUE"""),79485.0)</f>
        <v>79485</v>
      </c>
      <c r="D741" s="11">
        <f>IFERROR(__xludf.DUMMYFUNCTION("""COMPUTED_VALUE"""),1120.0)</f>
        <v>1120</v>
      </c>
      <c r="E741" s="9"/>
    </row>
    <row r="742">
      <c r="A742" s="11">
        <f>IFERROR(__xludf.DUMMYFUNCTION("""COMPUTED_VALUE"""),2021.0)</f>
        <v>2021</v>
      </c>
      <c r="B742" s="11">
        <f>IFERROR(__xludf.DUMMYFUNCTION("""COMPUTED_VALUE"""),8.0)</f>
        <v>8</v>
      </c>
      <c r="C742" s="11">
        <f>IFERROR(__xludf.DUMMYFUNCTION("""COMPUTED_VALUE"""),118224.0)</f>
        <v>118224</v>
      </c>
      <c r="D742" s="11">
        <f>IFERROR(__xludf.DUMMYFUNCTION("""COMPUTED_VALUE"""),185.0)</f>
        <v>185</v>
      </c>
      <c r="E742" s="9"/>
    </row>
    <row r="743">
      <c r="A743" s="11">
        <f>IFERROR(__xludf.DUMMYFUNCTION("""COMPUTED_VALUE"""),2021.0)</f>
        <v>2021</v>
      </c>
      <c r="B743" s="11">
        <f>IFERROR(__xludf.DUMMYFUNCTION("""COMPUTED_VALUE"""),9.0)</f>
        <v>9</v>
      </c>
      <c r="C743" s="11">
        <f>IFERROR(__xludf.DUMMYFUNCTION("""COMPUTED_VALUE"""),122353.0)</f>
        <v>122353</v>
      </c>
      <c r="D743" s="11">
        <f>IFERROR(__xludf.DUMMYFUNCTION("""COMPUTED_VALUE"""),1199.0)</f>
        <v>1199</v>
      </c>
      <c r="E743" s="9"/>
    </row>
    <row r="744">
      <c r="A744" s="11">
        <f>IFERROR(__xludf.DUMMYFUNCTION("""COMPUTED_VALUE"""),2021.0)</f>
        <v>2021</v>
      </c>
      <c r="B744" s="11">
        <f>IFERROR(__xludf.DUMMYFUNCTION("""COMPUTED_VALUE"""),8.0)</f>
        <v>8</v>
      </c>
      <c r="C744" s="11">
        <f>IFERROR(__xludf.DUMMYFUNCTION("""COMPUTED_VALUE"""),1584.0)</f>
        <v>1584</v>
      </c>
      <c r="D744" s="11">
        <f>IFERROR(__xludf.DUMMYFUNCTION("""COMPUTED_VALUE"""),1836.0)</f>
        <v>1836</v>
      </c>
      <c r="E744" s="9"/>
    </row>
    <row r="745">
      <c r="A745" s="11">
        <f>IFERROR(__xludf.DUMMYFUNCTION("""COMPUTED_VALUE"""),2021.0)</f>
        <v>2021</v>
      </c>
      <c r="B745" s="11">
        <f>IFERROR(__xludf.DUMMYFUNCTION("""COMPUTED_VALUE"""),10.0)</f>
        <v>10</v>
      </c>
      <c r="C745" s="11">
        <f>IFERROR(__xludf.DUMMYFUNCTION("""COMPUTED_VALUE"""),2792.0)</f>
        <v>2792</v>
      </c>
      <c r="D745" s="11">
        <f>IFERROR(__xludf.DUMMYFUNCTION("""COMPUTED_VALUE"""),680.0)</f>
        <v>680</v>
      </c>
      <c r="E745" s="9"/>
    </row>
    <row r="746">
      <c r="A746" s="11">
        <f>IFERROR(__xludf.DUMMYFUNCTION("""COMPUTED_VALUE"""),2021.0)</f>
        <v>2021</v>
      </c>
      <c r="B746" s="11">
        <f>IFERROR(__xludf.DUMMYFUNCTION("""COMPUTED_VALUE"""),9.0)</f>
        <v>9</v>
      </c>
      <c r="C746" s="11">
        <f>IFERROR(__xludf.DUMMYFUNCTION("""COMPUTED_VALUE"""),109187.0)</f>
        <v>109187</v>
      </c>
      <c r="D746" s="11">
        <f>IFERROR(__xludf.DUMMYFUNCTION("""COMPUTED_VALUE"""),1546.0)</f>
        <v>1546</v>
      </c>
      <c r="E746" s="9"/>
    </row>
    <row r="747">
      <c r="A747" s="11">
        <f>IFERROR(__xludf.DUMMYFUNCTION("""COMPUTED_VALUE"""),2021.0)</f>
        <v>2021</v>
      </c>
      <c r="B747" s="11">
        <f>IFERROR(__xludf.DUMMYFUNCTION("""COMPUTED_VALUE"""),8.0)</f>
        <v>8</v>
      </c>
      <c r="C747" s="11">
        <f>IFERROR(__xludf.DUMMYFUNCTION("""COMPUTED_VALUE"""),118257.0)</f>
        <v>118257</v>
      </c>
      <c r="D747" s="11">
        <f>IFERROR(__xludf.DUMMYFUNCTION("""COMPUTED_VALUE"""),901.0)</f>
        <v>901</v>
      </c>
      <c r="E747" s="9"/>
    </row>
    <row r="748">
      <c r="A748" s="11">
        <f>IFERROR(__xludf.DUMMYFUNCTION("""COMPUTED_VALUE"""),2021.0)</f>
        <v>2021</v>
      </c>
      <c r="B748" s="11">
        <f>IFERROR(__xludf.DUMMYFUNCTION("""COMPUTED_VALUE"""),9.0)</f>
        <v>9</v>
      </c>
      <c r="C748" s="11">
        <f>IFERROR(__xludf.DUMMYFUNCTION("""COMPUTED_VALUE"""),7995.0)</f>
        <v>7995</v>
      </c>
      <c r="D748" s="11">
        <f>IFERROR(__xludf.DUMMYFUNCTION("""COMPUTED_VALUE"""),654.0)</f>
        <v>654</v>
      </c>
      <c r="E748" s="9"/>
    </row>
    <row r="749">
      <c r="A749" s="11">
        <f>IFERROR(__xludf.DUMMYFUNCTION("""COMPUTED_VALUE"""),2021.0)</f>
        <v>2021</v>
      </c>
      <c r="B749" s="11">
        <f>IFERROR(__xludf.DUMMYFUNCTION("""COMPUTED_VALUE"""),10.0)</f>
        <v>10</v>
      </c>
      <c r="C749" s="11">
        <f>IFERROR(__xludf.DUMMYFUNCTION("""COMPUTED_VALUE"""),99360.0)</f>
        <v>99360</v>
      </c>
      <c r="D749" s="11">
        <f>IFERROR(__xludf.DUMMYFUNCTION("""COMPUTED_VALUE"""),1911.0)</f>
        <v>1911</v>
      </c>
      <c r="E749" s="9"/>
    </row>
    <row r="750">
      <c r="A750" s="11">
        <f>IFERROR(__xludf.DUMMYFUNCTION("""COMPUTED_VALUE"""),2021.0)</f>
        <v>2021</v>
      </c>
      <c r="B750" s="11">
        <f>IFERROR(__xludf.DUMMYFUNCTION("""COMPUTED_VALUE"""),8.0)</f>
        <v>8</v>
      </c>
      <c r="C750" s="11">
        <f>IFERROR(__xludf.DUMMYFUNCTION("""COMPUTED_VALUE"""),118156.0)</f>
        <v>118156</v>
      </c>
      <c r="D750" s="11">
        <f>IFERROR(__xludf.DUMMYFUNCTION("""COMPUTED_VALUE"""),1893.0)</f>
        <v>1893</v>
      </c>
      <c r="E750" s="9"/>
    </row>
    <row r="751">
      <c r="A751" s="11">
        <f>IFERROR(__xludf.DUMMYFUNCTION("""COMPUTED_VALUE"""),2021.0)</f>
        <v>2021</v>
      </c>
      <c r="B751" s="11">
        <f>IFERROR(__xludf.DUMMYFUNCTION("""COMPUTED_VALUE"""),8.0)</f>
        <v>8</v>
      </c>
      <c r="C751" s="11">
        <f>IFERROR(__xludf.DUMMYFUNCTION("""COMPUTED_VALUE"""),44943.0)</f>
        <v>44943</v>
      </c>
      <c r="D751" s="11">
        <f>IFERROR(__xludf.DUMMYFUNCTION("""COMPUTED_VALUE"""),969.0)</f>
        <v>969</v>
      </c>
      <c r="E751" s="9"/>
    </row>
    <row r="752">
      <c r="A752" s="11">
        <f>IFERROR(__xludf.DUMMYFUNCTION("""COMPUTED_VALUE"""),2021.0)</f>
        <v>2021</v>
      </c>
      <c r="B752" s="11">
        <f>IFERROR(__xludf.DUMMYFUNCTION("""COMPUTED_VALUE"""),11.0)</f>
        <v>11</v>
      </c>
      <c r="C752" s="11">
        <f>IFERROR(__xludf.DUMMYFUNCTION("""COMPUTED_VALUE"""),9462.0)</f>
        <v>9462</v>
      </c>
      <c r="D752" s="11">
        <f>IFERROR(__xludf.DUMMYFUNCTION("""COMPUTED_VALUE"""),563.0)</f>
        <v>563</v>
      </c>
      <c r="E752" s="9"/>
    </row>
    <row r="753">
      <c r="A753" s="11">
        <f>IFERROR(__xludf.DUMMYFUNCTION("""COMPUTED_VALUE"""),2021.0)</f>
        <v>2021</v>
      </c>
      <c r="B753" s="11">
        <f>IFERROR(__xludf.DUMMYFUNCTION("""COMPUTED_VALUE"""),10.0)</f>
        <v>10</v>
      </c>
      <c r="C753" s="11">
        <f>IFERROR(__xludf.DUMMYFUNCTION("""COMPUTED_VALUE"""),79501.0)</f>
        <v>79501</v>
      </c>
      <c r="D753" s="11">
        <f>IFERROR(__xludf.DUMMYFUNCTION("""COMPUTED_VALUE"""),168.0)</f>
        <v>168</v>
      </c>
      <c r="E753" s="9"/>
    </row>
    <row r="754">
      <c r="A754" s="11">
        <f>IFERROR(__xludf.DUMMYFUNCTION("""COMPUTED_VALUE"""),2021.0)</f>
        <v>2021</v>
      </c>
      <c r="B754" s="11">
        <f>IFERROR(__xludf.DUMMYFUNCTION("""COMPUTED_VALUE"""),9.0)</f>
        <v>9</v>
      </c>
      <c r="C754" s="11">
        <f>IFERROR(__xludf.DUMMYFUNCTION("""COMPUTED_VALUE"""),97161.0)</f>
        <v>97161</v>
      </c>
      <c r="D754" s="11">
        <f>IFERROR(__xludf.DUMMYFUNCTION("""COMPUTED_VALUE"""),825.0)</f>
        <v>825</v>
      </c>
      <c r="E754" s="9"/>
    </row>
    <row r="755">
      <c r="A755" s="11">
        <f>IFERROR(__xludf.DUMMYFUNCTION("""COMPUTED_VALUE"""),2021.0)</f>
        <v>2021</v>
      </c>
      <c r="B755" s="11">
        <f>IFERROR(__xludf.DUMMYFUNCTION("""COMPUTED_VALUE"""),10.0)</f>
        <v>10</v>
      </c>
      <c r="C755" s="11">
        <f>IFERROR(__xludf.DUMMYFUNCTION("""COMPUTED_VALUE"""),112842.0)</f>
        <v>112842</v>
      </c>
      <c r="D755" s="11">
        <f>IFERROR(__xludf.DUMMYFUNCTION("""COMPUTED_VALUE"""),1955.0)</f>
        <v>1955</v>
      </c>
      <c r="E755" s="9"/>
    </row>
    <row r="756">
      <c r="A756" s="11">
        <f>IFERROR(__xludf.DUMMYFUNCTION("""COMPUTED_VALUE"""),2021.0)</f>
        <v>2021</v>
      </c>
      <c r="B756" s="11">
        <f>IFERROR(__xludf.DUMMYFUNCTION("""COMPUTED_VALUE"""),9.0)</f>
        <v>9</v>
      </c>
      <c r="C756" s="11">
        <f>IFERROR(__xludf.DUMMYFUNCTION("""COMPUTED_VALUE"""),109180.0)</f>
        <v>109180</v>
      </c>
      <c r="D756" s="11">
        <f>IFERROR(__xludf.DUMMYFUNCTION("""COMPUTED_VALUE"""),779.0)</f>
        <v>779</v>
      </c>
      <c r="E756" s="9"/>
    </row>
    <row r="757">
      <c r="A757" s="11">
        <f>IFERROR(__xludf.DUMMYFUNCTION("""COMPUTED_VALUE"""),2021.0)</f>
        <v>2021</v>
      </c>
      <c r="B757" s="11">
        <f>IFERROR(__xludf.DUMMYFUNCTION("""COMPUTED_VALUE"""),8.0)</f>
        <v>8</v>
      </c>
      <c r="C757" s="11">
        <f>IFERROR(__xludf.DUMMYFUNCTION("""COMPUTED_VALUE"""),46954.0)</f>
        <v>46954</v>
      </c>
      <c r="D757" s="11">
        <f>IFERROR(__xludf.DUMMYFUNCTION("""COMPUTED_VALUE"""),1356.0)</f>
        <v>1356</v>
      </c>
      <c r="E757" s="9"/>
    </row>
    <row r="758">
      <c r="A758" s="11">
        <f>IFERROR(__xludf.DUMMYFUNCTION("""COMPUTED_VALUE"""),2021.0)</f>
        <v>2021</v>
      </c>
      <c r="B758" s="11">
        <f>IFERROR(__xludf.DUMMYFUNCTION("""COMPUTED_VALUE"""),11.0)</f>
        <v>11</v>
      </c>
      <c r="C758" s="11">
        <f>IFERROR(__xludf.DUMMYFUNCTION("""COMPUTED_VALUE"""),79500.0)</f>
        <v>79500</v>
      </c>
      <c r="D758" s="11">
        <f>IFERROR(__xludf.DUMMYFUNCTION("""COMPUTED_VALUE"""),24.0)</f>
        <v>24</v>
      </c>
      <c r="E758" s="9"/>
    </row>
    <row r="759">
      <c r="A759" s="11">
        <f>IFERROR(__xludf.DUMMYFUNCTION("""COMPUTED_VALUE"""),2021.0)</f>
        <v>2021</v>
      </c>
      <c r="B759" s="11">
        <f>IFERROR(__xludf.DUMMYFUNCTION("""COMPUTED_VALUE"""),8.0)</f>
        <v>8</v>
      </c>
      <c r="C759" s="11">
        <f>IFERROR(__xludf.DUMMYFUNCTION("""COMPUTED_VALUE"""),99302.0)</f>
        <v>99302</v>
      </c>
      <c r="D759" s="11">
        <f>IFERROR(__xludf.DUMMYFUNCTION("""COMPUTED_VALUE"""),1191.0)</f>
        <v>1191</v>
      </c>
      <c r="E759" s="9"/>
    </row>
    <row r="760">
      <c r="A760" s="11">
        <f>IFERROR(__xludf.DUMMYFUNCTION("""COMPUTED_VALUE"""),2021.0)</f>
        <v>2021</v>
      </c>
      <c r="B760" s="11">
        <f>IFERROR(__xludf.DUMMYFUNCTION("""COMPUTED_VALUE"""),8.0)</f>
        <v>8</v>
      </c>
      <c r="C760" s="11">
        <f>IFERROR(__xludf.DUMMYFUNCTION("""COMPUTED_VALUE"""),105026.0)</f>
        <v>105026</v>
      </c>
      <c r="D760" s="11">
        <f>IFERROR(__xludf.DUMMYFUNCTION("""COMPUTED_VALUE"""),1116.0)</f>
        <v>1116</v>
      </c>
      <c r="E760" s="9"/>
    </row>
    <row r="761">
      <c r="A761" s="11">
        <f>IFERROR(__xludf.DUMMYFUNCTION("""COMPUTED_VALUE"""),2021.0)</f>
        <v>2021</v>
      </c>
      <c r="B761" s="11">
        <f>IFERROR(__xludf.DUMMYFUNCTION("""COMPUTED_VALUE"""),8.0)</f>
        <v>8</v>
      </c>
      <c r="C761" s="11">
        <f>IFERROR(__xludf.DUMMYFUNCTION("""COMPUTED_VALUE"""),19972.0)</f>
        <v>19972</v>
      </c>
      <c r="D761" s="11">
        <f>IFERROR(__xludf.DUMMYFUNCTION("""COMPUTED_VALUE"""),1472.0)</f>
        <v>1472</v>
      </c>
      <c r="E761" s="9"/>
    </row>
    <row r="762">
      <c r="A762" s="11">
        <f>IFERROR(__xludf.DUMMYFUNCTION("""COMPUTED_VALUE"""),2021.0)</f>
        <v>2021</v>
      </c>
      <c r="B762" s="11">
        <f>IFERROR(__xludf.DUMMYFUNCTION("""COMPUTED_VALUE"""),9.0)</f>
        <v>9</v>
      </c>
      <c r="C762" s="11">
        <f>IFERROR(__xludf.DUMMYFUNCTION("""COMPUTED_VALUE"""),99233.0)</f>
        <v>99233</v>
      </c>
      <c r="D762" s="11">
        <f>IFERROR(__xludf.DUMMYFUNCTION("""COMPUTED_VALUE"""),161.0)</f>
        <v>161</v>
      </c>
      <c r="E762" s="9"/>
    </row>
    <row r="763">
      <c r="A763" s="11">
        <f>IFERROR(__xludf.DUMMYFUNCTION("""COMPUTED_VALUE"""),2021.0)</f>
        <v>2021</v>
      </c>
      <c r="B763" s="11">
        <f>IFERROR(__xludf.DUMMYFUNCTION("""COMPUTED_VALUE"""),9.0)</f>
        <v>9</v>
      </c>
      <c r="C763" s="11">
        <f>IFERROR(__xludf.DUMMYFUNCTION("""COMPUTED_VALUE"""),118260.0)</f>
        <v>118260</v>
      </c>
      <c r="D763" s="11">
        <f>IFERROR(__xludf.DUMMYFUNCTION("""COMPUTED_VALUE"""),1695.0)</f>
        <v>1695</v>
      </c>
      <c r="E763" s="9"/>
    </row>
    <row r="764">
      <c r="A764" s="11">
        <f>IFERROR(__xludf.DUMMYFUNCTION("""COMPUTED_VALUE"""),2021.0)</f>
        <v>2021</v>
      </c>
      <c r="B764" s="11">
        <f>IFERROR(__xludf.DUMMYFUNCTION("""COMPUTED_VALUE"""),8.0)</f>
        <v>8</v>
      </c>
      <c r="C764" s="11">
        <f>IFERROR(__xludf.DUMMYFUNCTION("""COMPUTED_VALUE"""),128398.0)</f>
        <v>128398</v>
      </c>
      <c r="D764" s="11">
        <f>IFERROR(__xludf.DUMMYFUNCTION("""COMPUTED_VALUE"""),129.0)</f>
        <v>129</v>
      </c>
      <c r="E764" s="9"/>
    </row>
    <row r="765">
      <c r="A765" s="11">
        <f>IFERROR(__xludf.DUMMYFUNCTION("""COMPUTED_VALUE"""),2021.0)</f>
        <v>2021</v>
      </c>
      <c r="B765" s="11">
        <f>IFERROR(__xludf.DUMMYFUNCTION("""COMPUTED_VALUE"""),8.0)</f>
        <v>8</v>
      </c>
      <c r="C765" s="11">
        <f>IFERROR(__xludf.DUMMYFUNCTION("""COMPUTED_VALUE"""),8001.0)</f>
        <v>8001</v>
      </c>
      <c r="D765" s="11">
        <f>IFERROR(__xludf.DUMMYFUNCTION("""COMPUTED_VALUE"""),1180.0)</f>
        <v>1180</v>
      </c>
      <c r="E765" s="9"/>
    </row>
    <row r="766">
      <c r="A766" s="11">
        <f>IFERROR(__xludf.DUMMYFUNCTION("""COMPUTED_VALUE"""),2021.0)</f>
        <v>2021</v>
      </c>
      <c r="B766" s="11">
        <f>IFERROR(__xludf.DUMMYFUNCTION("""COMPUTED_VALUE"""),8.0)</f>
        <v>8</v>
      </c>
      <c r="C766" s="11">
        <f>IFERROR(__xludf.DUMMYFUNCTION("""COMPUTED_VALUE"""),106782.0)</f>
        <v>106782</v>
      </c>
      <c r="D766" s="11">
        <f>IFERROR(__xludf.DUMMYFUNCTION("""COMPUTED_VALUE"""),693.0)</f>
        <v>693</v>
      </c>
      <c r="E766" s="9"/>
    </row>
    <row r="767">
      <c r="A767" s="11">
        <f>IFERROR(__xludf.DUMMYFUNCTION("""COMPUTED_VALUE"""),2021.0)</f>
        <v>2021</v>
      </c>
      <c r="B767" s="11">
        <f>IFERROR(__xludf.DUMMYFUNCTION("""COMPUTED_VALUE"""),9.0)</f>
        <v>9</v>
      </c>
      <c r="C767" s="11">
        <f>IFERROR(__xludf.DUMMYFUNCTION("""COMPUTED_VALUE"""),110793.0)</f>
        <v>110793</v>
      </c>
      <c r="D767" s="11">
        <f>IFERROR(__xludf.DUMMYFUNCTION("""COMPUTED_VALUE"""),765.0)</f>
        <v>765</v>
      </c>
      <c r="E767" s="9"/>
    </row>
    <row r="768">
      <c r="A768" s="11">
        <f>IFERROR(__xludf.DUMMYFUNCTION("""COMPUTED_VALUE"""),2021.0)</f>
        <v>2021</v>
      </c>
      <c r="B768" s="11">
        <f>IFERROR(__xludf.DUMMYFUNCTION("""COMPUTED_VALUE"""),11.0)</f>
        <v>11</v>
      </c>
      <c r="C768" s="11">
        <f>IFERROR(__xludf.DUMMYFUNCTION("""COMPUTED_VALUE"""),86808.0)</f>
        <v>86808</v>
      </c>
      <c r="D768" s="11">
        <f>IFERROR(__xludf.DUMMYFUNCTION("""COMPUTED_VALUE"""),708.0)</f>
        <v>708</v>
      </c>
      <c r="E768" s="9"/>
    </row>
    <row r="769">
      <c r="A769" s="11">
        <f>IFERROR(__xludf.DUMMYFUNCTION("""COMPUTED_VALUE"""),2021.0)</f>
        <v>2021</v>
      </c>
      <c r="B769" s="11">
        <f>IFERROR(__xludf.DUMMYFUNCTION("""COMPUTED_VALUE"""),9.0)</f>
        <v>9</v>
      </c>
      <c r="C769" s="11">
        <f>IFERROR(__xludf.DUMMYFUNCTION("""COMPUTED_VALUE"""),50367.0)</f>
        <v>50367</v>
      </c>
      <c r="D769" s="11">
        <f>IFERROR(__xludf.DUMMYFUNCTION("""COMPUTED_VALUE"""),1028.0)</f>
        <v>1028</v>
      </c>
      <c r="E769" s="9"/>
    </row>
    <row r="770">
      <c r="A770" s="11">
        <f>IFERROR(__xludf.DUMMYFUNCTION("""COMPUTED_VALUE"""),2021.0)</f>
        <v>2021</v>
      </c>
      <c r="B770" s="11">
        <f>IFERROR(__xludf.DUMMYFUNCTION("""COMPUTED_VALUE"""),9.0)</f>
        <v>9</v>
      </c>
      <c r="C770" s="11">
        <f>IFERROR(__xludf.DUMMYFUNCTION("""COMPUTED_VALUE"""),102750.0)</f>
        <v>102750</v>
      </c>
      <c r="D770" s="11">
        <f>IFERROR(__xludf.DUMMYFUNCTION("""COMPUTED_VALUE"""),881.0)</f>
        <v>881</v>
      </c>
      <c r="E770" s="9"/>
    </row>
    <row r="771">
      <c r="A771" s="11">
        <f>IFERROR(__xludf.DUMMYFUNCTION("""COMPUTED_VALUE"""),2021.0)</f>
        <v>2021</v>
      </c>
      <c r="B771" s="11">
        <f>IFERROR(__xludf.DUMMYFUNCTION("""COMPUTED_VALUE"""),11.0)</f>
        <v>11</v>
      </c>
      <c r="C771" s="11">
        <f>IFERROR(__xludf.DUMMYFUNCTION("""COMPUTED_VALUE"""),102758.0)</f>
        <v>102758</v>
      </c>
      <c r="D771" s="11">
        <f>IFERROR(__xludf.DUMMYFUNCTION("""COMPUTED_VALUE"""),844.0)</f>
        <v>844</v>
      </c>
      <c r="E771" s="9"/>
    </row>
    <row r="772">
      <c r="A772" s="11">
        <f>IFERROR(__xludf.DUMMYFUNCTION("""COMPUTED_VALUE"""),2021.0)</f>
        <v>2021</v>
      </c>
      <c r="B772" s="11">
        <f>IFERROR(__xludf.DUMMYFUNCTION("""COMPUTED_VALUE"""),8.0)</f>
        <v>8</v>
      </c>
      <c r="C772" s="11">
        <f>IFERROR(__xludf.DUMMYFUNCTION("""COMPUTED_VALUE"""),86787.0)</f>
        <v>86787</v>
      </c>
      <c r="D772" s="11">
        <f>IFERROR(__xludf.DUMMYFUNCTION("""COMPUTED_VALUE"""),1926.0)</f>
        <v>1926</v>
      </c>
      <c r="E772" s="9"/>
    </row>
    <row r="773">
      <c r="A773" s="11">
        <f>IFERROR(__xludf.DUMMYFUNCTION("""COMPUTED_VALUE"""),2021.0)</f>
        <v>2021</v>
      </c>
      <c r="B773" s="11">
        <f>IFERROR(__xludf.DUMMYFUNCTION("""COMPUTED_VALUE"""),9.0)</f>
        <v>9</v>
      </c>
      <c r="C773" s="11">
        <f>IFERROR(__xludf.DUMMYFUNCTION("""COMPUTED_VALUE"""),102740.0)</f>
        <v>102740</v>
      </c>
      <c r="D773" s="11">
        <f>IFERROR(__xludf.DUMMYFUNCTION("""COMPUTED_VALUE"""),1827.0)</f>
        <v>1827</v>
      </c>
      <c r="E773" s="9"/>
    </row>
    <row r="774">
      <c r="A774" s="11">
        <f>IFERROR(__xludf.DUMMYFUNCTION("""COMPUTED_VALUE"""),2021.0)</f>
        <v>2021</v>
      </c>
      <c r="B774" s="11">
        <f>IFERROR(__xludf.DUMMYFUNCTION("""COMPUTED_VALUE"""),10.0)</f>
        <v>10</v>
      </c>
      <c r="C774" s="11">
        <f>IFERROR(__xludf.DUMMYFUNCTION("""COMPUTED_VALUE"""),102734.0)</f>
        <v>102734</v>
      </c>
      <c r="D774" s="11">
        <f>IFERROR(__xludf.DUMMYFUNCTION("""COMPUTED_VALUE"""),345.0)</f>
        <v>345</v>
      </c>
      <c r="E774" s="9"/>
    </row>
    <row r="775">
      <c r="A775" s="11">
        <f>IFERROR(__xludf.DUMMYFUNCTION("""COMPUTED_VALUE"""),2021.0)</f>
        <v>2021</v>
      </c>
      <c r="B775" s="11">
        <f>IFERROR(__xludf.DUMMYFUNCTION("""COMPUTED_VALUE"""),9.0)</f>
        <v>9</v>
      </c>
      <c r="C775" s="11">
        <f>IFERROR(__xludf.DUMMYFUNCTION("""COMPUTED_VALUE"""),102751.0)</f>
        <v>102751</v>
      </c>
      <c r="D775" s="11">
        <f>IFERROR(__xludf.DUMMYFUNCTION("""COMPUTED_VALUE"""),1945.0)</f>
        <v>1945</v>
      </c>
      <c r="E775" s="9"/>
    </row>
    <row r="776">
      <c r="A776" s="11">
        <f>IFERROR(__xludf.DUMMYFUNCTION("""COMPUTED_VALUE"""),2021.0)</f>
        <v>2021</v>
      </c>
      <c r="B776" s="11">
        <f>IFERROR(__xludf.DUMMYFUNCTION("""COMPUTED_VALUE"""),8.0)</f>
        <v>8</v>
      </c>
      <c r="C776" s="11">
        <f>IFERROR(__xludf.DUMMYFUNCTION("""COMPUTED_VALUE"""),102752.0)</f>
        <v>102752</v>
      </c>
      <c r="D776" s="11">
        <f>IFERROR(__xludf.DUMMYFUNCTION("""COMPUTED_VALUE"""),1895.0)</f>
        <v>1895</v>
      </c>
      <c r="E776" s="9"/>
    </row>
    <row r="777">
      <c r="A777" s="11">
        <f>IFERROR(__xludf.DUMMYFUNCTION("""COMPUTED_VALUE"""),2021.0)</f>
        <v>2021</v>
      </c>
      <c r="B777" s="11">
        <f>IFERROR(__xludf.DUMMYFUNCTION("""COMPUTED_VALUE"""),9.0)</f>
        <v>9</v>
      </c>
      <c r="C777" s="11">
        <f>IFERROR(__xludf.DUMMYFUNCTION("""COMPUTED_VALUE"""),102735.0)</f>
        <v>102735</v>
      </c>
      <c r="D777" s="11">
        <f>IFERROR(__xludf.DUMMYFUNCTION("""COMPUTED_VALUE"""),1582.0)</f>
        <v>1582</v>
      </c>
      <c r="E777" s="9"/>
    </row>
    <row r="778">
      <c r="A778" s="11">
        <f>IFERROR(__xludf.DUMMYFUNCTION("""COMPUTED_VALUE"""),2021.0)</f>
        <v>2021</v>
      </c>
      <c r="B778" s="11">
        <f>IFERROR(__xludf.DUMMYFUNCTION("""COMPUTED_VALUE"""),11.0)</f>
        <v>11</v>
      </c>
      <c r="C778" s="11">
        <f>IFERROR(__xludf.DUMMYFUNCTION("""COMPUTED_VALUE"""),86793.0)</f>
        <v>86793</v>
      </c>
      <c r="D778" s="11">
        <f>IFERROR(__xludf.DUMMYFUNCTION("""COMPUTED_VALUE"""),1631.0)</f>
        <v>1631</v>
      </c>
      <c r="E778" s="9"/>
    </row>
    <row r="779">
      <c r="A779" s="11">
        <f>IFERROR(__xludf.DUMMYFUNCTION("""COMPUTED_VALUE"""),2021.0)</f>
        <v>2021</v>
      </c>
      <c r="B779" s="11">
        <f>IFERROR(__xludf.DUMMYFUNCTION("""COMPUTED_VALUE"""),8.0)</f>
        <v>8</v>
      </c>
      <c r="C779" s="11">
        <f>IFERROR(__xludf.DUMMYFUNCTION("""COMPUTED_VALUE"""),86792.0)</f>
        <v>86792</v>
      </c>
      <c r="D779" s="11">
        <f>IFERROR(__xludf.DUMMYFUNCTION("""COMPUTED_VALUE"""),1576.0)</f>
        <v>1576</v>
      </c>
      <c r="E779" s="9"/>
    </row>
    <row r="780">
      <c r="A780" s="11">
        <f>IFERROR(__xludf.DUMMYFUNCTION("""COMPUTED_VALUE"""),2021.0)</f>
        <v>2021</v>
      </c>
      <c r="B780" s="11">
        <f>IFERROR(__xludf.DUMMYFUNCTION("""COMPUTED_VALUE"""),9.0)</f>
        <v>9</v>
      </c>
      <c r="C780" s="11">
        <f>IFERROR(__xludf.DUMMYFUNCTION("""COMPUTED_VALUE"""),86785.0)</f>
        <v>86785</v>
      </c>
      <c r="D780" s="11">
        <f>IFERROR(__xludf.DUMMYFUNCTION("""COMPUTED_VALUE"""),1248.0)</f>
        <v>1248</v>
      </c>
      <c r="E780" s="9"/>
    </row>
    <row r="781">
      <c r="A781" s="11">
        <f>IFERROR(__xludf.DUMMYFUNCTION("""COMPUTED_VALUE"""),2021.0)</f>
        <v>2021</v>
      </c>
      <c r="B781" s="11">
        <f>IFERROR(__xludf.DUMMYFUNCTION("""COMPUTED_VALUE"""),8.0)</f>
        <v>8</v>
      </c>
      <c r="C781" s="11">
        <f>IFERROR(__xludf.DUMMYFUNCTION("""COMPUTED_VALUE"""),102773.0)</f>
        <v>102773</v>
      </c>
      <c r="D781" s="11">
        <f>IFERROR(__xludf.DUMMYFUNCTION("""COMPUTED_VALUE"""),84.0)</f>
        <v>84</v>
      </c>
      <c r="E781" s="9"/>
    </row>
    <row r="782">
      <c r="A782" s="11">
        <f>IFERROR(__xludf.DUMMYFUNCTION("""COMPUTED_VALUE"""),2021.0)</f>
        <v>2021</v>
      </c>
      <c r="B782" s="11">
        <f>IFERROR(__xludf.DUMMYFUNCTION("""COMPUTED_VALUE"""),10.0)</f>
        <v>10</v>
      </c>
      <c r="C782" s="11">
        <f>IFERROR(__xludf.DUMMYFUNCTION("""COMPUTED_VALUE"""),42807.0)</f>
        <v>42807</v>
      </c>
      <c r="D782" s="11">
        <f>IFERROR(__xludf.DUMMYFUNCTION("""COMPUTED_VALUE"""),233.0)</f>
        <v>233</v>
      </c>
      <c r="E782" s="9"/>
    </row>
    <row r="783">
      <c r="A783" s="11">
        <f>IFERROR(__xludf.DUMMYFUNCTION("""COMPUTED_VALUE"""),2021.0)</f>
        <v>2021</v>
      </c>
      <c r="B783" s="11">
        <f>IFERROR(__xludf.DUMMYFUNCTION("""COMPUTED_VALUE"""),8.0)</f>
        <v>8</v>
      </c>
      <c r="C783" s="11">
        <f>IFERROR(__xludf.DUMMYFUNCTION("""COMPUTED_VALUE"""),42809.0)</f>
        <v>42809</v>
      </c>
      <c r="D783" s="11">
        <f>IFERROR(__xludf.DUMMYFUNCTION("""COMPUTED_VALUE"""),1324.0)</f>
        <v>1324</v>
      </c>
      <c r="E783" s="9"/>
    </row>
    <row r="784">
      <c r="A784" s="11">
        <f>IFERROR(__xludf.DUMMYFUNCTION("""COMPUTED_VALUE"""),2021.0)</f>
        <v>2021</v>
      </c>
      <c r="B784" s="11">
        <f>IFERROR(__xludf.DUMMYFUNCTION("""COMPUTED_VALUE"""),8.0)</f>
        <v>8</v>
      </c>
      <c r="C784" s="11">
        <f>IFERROR(__xludf.DUMMYFUNCTION("""COMPUTED_VALUE"""),86821.0)</f>
        <v>86821</v>
      </c>
      <c r="D784" s="11">
        <f>IFERROR(__xludf.DUMMYFUNCTION("""COMPUTED_VALUE"""),320.0)</f>
        <v>320</v>
      </c>
      <c r="E784" s="9"/>
    </row>
    <row r="785">
      <c r="A785" s="11">
        <f>IFERROR(__xludf.DUMMYFUNCTION("""COMPUTED_VALUE"""),2021.0)</f>
        <v>2021</v>
      </c>
      <c r="B785" s="11">
        <f>IFERROR(__xludf.DUMMYFUNCTION("""COMPUTED_VALUE"""),8.0)</f>
        <v>8</v>
      </c>
      <c r="C785" s="11">
        <f>IFERROR(__xludf.DUMMYFUNCTION("""COMPUTED_VALUE"""),110719.0)</f>
        <v>110719</v>
      </c>
      <c r="D785" s="11">
        <f>IFERROR(__xludf.DUMMYFUNCTION("""COMPUTED_VALUE"""),561.0)</f>
        <v>561</v>
      </c>
      <c r="E785" s="9"/>
    </row>
    <row r="786">
      <c r="A786" s="11">
        <f>IFERROR(__xludf.DUMMYFUNCTION("""COMPUTED_VALUE"""),2021.0)</f>
        <v>2021</v>
      </c>
      <c r="B786" s="11">
        <f>IFERROR(__xludf.DUMMYFUNCTION("""COMPUTED_VALUE"""),8.0)</f>
        <v>8</v>
      </c>
      <c r="C786" s="11">
        <f>IFERROR(__xludf.DUMMYFUNCTION("""COMPUTED_VALUE"""),86818.0)</f>
        <v>86818</v>
      </c>
      <c r="D786" s="11">
        <f>IFERROR(__xludf.DUMMYFUNCTION("""COMPUTED_VALUE"""),1310.0)</f>
        <v>1310</v>
      </c>
      <c r="E786" s="9"/>
    </row>
    <row r="787">
      <c r="A787" s="11">
        <f>IFERROR(__xludf.DUMMYFUNCTION("""COMPUTED_VALUE"""),2021.0)</f>
        <v>2021</v>
      </c>
      <c r="B787" s="11">
        <f>IFERROR(__xludf.DUMMYFUNCTION("""COMPUTED_VALUE"""),9.0)</f>
        <v>9</v>
      </c>
      <c r="C787" s="11">
        <f>IFERROR(__xludf.DUMMYFUNCTION("""COMPUTED_VALUE"""),71318.0)</f>
        <v>71318</v>
      </c>
      <c r="D787" s="11">
        <f>IFERROR(__xludf.DUMMYFUNCTION("""COMPUTED_VALUE"""),1168.0)</f>
        <v>1168</v>
      </c>
      <c r="E787" s="9"/>
    </row>
    <row r="788">
      <c r="A788" s="11">
        <f>IFERROR(__xludf.DUMMYFUNCTION("""COMPUTED_VALUE"""),2021.0)</f>
        <v>2021</v>
      </c>
      <c r="B788" s="11">
        <f>IFERROR(__xludf.DUMMYFUNCTION("""COMPUTED_VALUE"""),8.0)</f>
        <v>8</v>
      </c>
      <c r="C788" s="11">
        <f>IFERROR(__xludf.DUMMYFUNCTION("""COMPUTED_VALUE"""),122303.0)</f>
        <v>122303</v>
      </c>
      <c r="D788" s="11">
        <f>IFERROR(__xludf.DUMMYFUNCTION("""COMPUTED_VALUE"""),1504.0)</f>
        <v>1504</v>
      </c>
      <c r="E788" s="9"/>
    </row>
    <row r="789">
      <c r="A789" s="11">
        <f>IFERROR(__xludf.DUMMYFUNCTION("""COMPUTED_VALUE"""),2021.0)</f>
        <v>2021</v>
      </c>
      <c r="B789" s="11">
        <f>IFERROR(__xludf.DUMMYFUNCTION("""COMPUTED_VALUE"""),8.0)</f>
        <v>8</v>
      </c>
      <c r="C789" s="11">
        <f>IFERROR(__xludf.DUMMYFUNCTION("""COMPUTED_VALUE"""),110716.0)</f>
        <v>110716</v>
      </c>
      <c r="D789" s="11">
        <f>IFERROR(__xludf.DUMMYFUNCTION("""COMPUTED_VALUE"""),1444.0)</f>
        <v>1444</v>
      </c>
      <c r="E789" s="9"/>
    </row>
    <row r="790">
      <c r="A790" s="11">
        <f>IFERROR(__xludf.DUMMYFUNCTION("""COMPUTED_VALUE"""),2021.0)</f>
        <v>2021</v>
      </c>
      <c r="B790" s="11">
        <f>IFERROR(__xludf.DUMMYFUNCTION("""COMPUTED_VALUE"""),8.0)</f>
        <v>8</v>
      </c>
      <c r="C790" s="11">
        <f>IFERROR(__xludf.DUMMYFUNCTION("""COMPUTED_VALUE"""),9480.0)</f>
        <v>9480</v>
      </c>
      <c r="D790" s="11">
        <f>IFERROR(__xludf.DUMMYFUNCTION("""COMPUTED_VALUE"""),1566.0)</f>
        <v>1566</v>
      </c>
      <c r="E790" s="9"/>
    </row>
    <row r="791">
      <c r="A791" s="11">
        <f>IFERROR(__xludf.DUMMYFUNCTION("""COMPUTED_VALUE"""),2021.0)</f>
        <v>2021</v>
      </c>
      <c r="B791" s="11">
        <f>IFERROR(__xludf.DUMMYFUNCTION("""COMPUTED_VALUE"""),8.0)</f>
        <v>8</v>
      </c>
      <c r="C791" s="11">
        <f>IFERROR(__xludf.DUMMYFUNCTION("""COMPUTED_VALUE"""),113920.0)</f>
        <v>113920</v>
      </c>
      <c r="D791" s="11">
        <f>IFERROR(__xludf.DUMMYFUNCTION("""COMPUTED_VALUE"""),216.0)</f>
        <v>216</v>
      </c>
      <c r="E791" s="9"/>
    </row>
    <row r="792">
      <c r="A792" s="11">
        <f>IFERROR(__xludf.DUMMYFUNCTION("""COMPUTED_VALUE"""),2021.0)</f>
        <v>2021</v>
      </c>
      <c r="B792" s="11">
        <f>IFERROR(__xludf.DUMMYFUNCTION("""COMPUTED_VALUE"""),9.0)</f>
        <v>9</v>
      </c>
      <c r="C792" s="11">
        <f>IFERROR(__xludf.DUMMYFUNCTION("""COMPUTED_VALUE"""),166088.0)</f>
        <v>166088</v>
      </c>
      <c r="D792" s="11">
        <f>IFERROR(__xludf.DUMMYFUNCTION("""COMPUTED_VALUE"""),961.0)</f>
        <v>961</v>
      </c>
      <c r="E792" s="9"/>
    </row>
    <row r="793">
      <c r="A793" s="11">
        <f>IFERROR(__xludf.DUMMYFUNCTION("""COMPUTED_VALUE"""),2021.0)</f>
        <v>2021</v>
      </c>
      <c r="B793" s="11">
        <f>IFERROR(__xludf.DUMMYFUNCTION("""COMPUTED_VALUE"""),9.0)</f>
        <v>9</v>
      </c>
      <c r="C793" s="11">
        <f>IFERROR(__xludf.DUMMYFUNCTION("""COMPUTED_VALUE"""),122712.0)</f>
        <v>122712</v>
      </c>
      <c r="D793" s="11">
        <f>IFERROR(__xludf.DUMMYFUNCTION("""COMPUTED_VALUE"""),193.0)</f>
        <v>193</v>
      </c>
      <c r="E793" s="9"/>
    </row>
    <row r="794">
      <c r="A794" s="11">
        <f>IFERROR(__xludf.DUMMYFUNCTION("""COMPUTED_VALUE"""),2021.0)</f>
        <v>2021</v>
      </c>
      <c r="B794" s="11">
        <f>IFERROR(__xludf.DUMMYFUNCTION("""COMPUTED_VALUE"""),10.0)</f>
        <v>10</v>
      </c>
      <c r="C794" s="11">
        <f>IFERROR(__xludf.DUMMYFUNCTION("""COMPUTED_VALUE"""),86523.0)</f>
        <v>86523</v>
      </c>
      <c r="D794" s="11">
        <f>IFERROR(__xludf.DUMMYFUNCTION("""COMPUTED_VALUE"""),1769.0)</f>
        <v>1769</v>
      </c>
      <c r="E794" s="9"/>
    </row>
    <row r="795">
      <c r="A795" s="11">
        <f>IFERROR(__xludf.DUMMYFUNCTION("""COMPUTED_VALUE"""),2021.0)</f>
        <v>2021</v>
      </c>
      <c r="B795" s="11">
        <f>IFERROR(__xludf.DUMMYFUNCTION("""COMPUTED_VALUE"""),8.0)</f>
        <v>8</v>
      </c>
      <c r="C795" s="11">
        <f>IFERROR(__xludf.DUMMYFUNCTION("""COMPUTED_VALUE"""),106773.0)</f>
        <v>106773</v>
      </c>
      <c r="D795" s="11">
        <f>IFERROR(__xludf.DUMMYFUNCTION("""COMPUTED_VALUE"""),139.0)</f>
        <v>139</v>
      </c>
      <c r="E795" s="9"/>
    </row>
    <row r="796">
      <c r="A796" s="11">
        <f>IFERROR(__xludf.DUMMYFUNCTION("""COMPUTED_VALUE"""),2021.0)</f>
        <v>2021</v>
      </c>
      <c r="B796" s="11">
        <f>IFERROR(__xludf.DUMMYFUNCTION("""COMPUTED_VALUE"""),11.0)</f>
        <v>11</v>
      </c>
      <c r="C796" s="11">
        <f>IFERROR(__xludf.DUMMYFUNCTION("""COMPUTED_VALUE"""),128356.0)</f>
        <v>128356</v>
      </c>
      <c r="D796" s="11">
        <f>IFERROR(__xludf.DUMMYFUNCTION("""COMPUTED_VALUE"""),341.0)</f>
        <v>341</v>
      </c>
      <c r="E796" s="9"/>
    </row>
    <row r="797">
      <c r="A797" s="11">
        <f>IFERROR(__xludf.DUMMYFUNCTION("""COMPUTED_VALUE"""),2021.0)</f>
        <v>2021</v>
      </c>
      <c r="B797" s="11">
        <f>IFERROR(__xludf.DUMMYFUNCTION("""COMPUTED_VALUE"""),9.0)</f>
        <v>9</v>
      </c>
      <c r="C797" s="11">
        <f>IFERROR(__xludf.DUMMYFUNCTION("""COMPUTED_VALUE"""),28897.0)</f>
        <v>28897</v>
      </c>
      <c r="D797" s="11">
        <f>IFERROR(__xludf.DUMMYFUNCTION("""COMPUTED_VALUE"""),1093.0)</f>
        <v>1093</v>
      </c>
      <c r="E797" s="9"/>
    </row>
    <row r="798">
      <c r="A798" s="11">
        <f>IFERROR(__xludf.DUMMYFUNCTION("""COMPUTED_VALUE"""),2021.0)</f>
        <v>2021</v>
      </c>
      <c r="B798" s="11">
        <f>IFERROR(__xludf.DUMMYFUNCTION("""COMPUTED_VALUE"""),8.0)</f>
        <v>8</v>
      </c>
      <c r="C798" s="11">
        <f>IFERROR(__xludf.DUMMYFUNCTION("""COMPUTED_VALUE"""),181502.0)</f>
        <v>181502</v>
      </c>
      <c r="D798" s="11">
        <f>IFERROR(__xludf.DUMMYFUNCTION("""COMPUTED_VALUE"""),1479.0)</f>
        <v>1479</v>
      </c>
      <c r="E798" s="9"/>
    </row>
    <row r="799">
      <c r="A799" s="11">
        <f>IFERROR(__xludf.DUMMYFUNCTION("""COMPUTED_VALUE"""),2021.0)</f>
        <v>2021</v>
      </c>
      <c r="B799" s="11">
        <f>IFERROR(__xludf.DUMMYFUNCTION("""COMPUTED_VALUE"""),10.0)</f>
        <v>10</v>
      </c>
      <c r="C799" s="11">
        <f>IFERROR(__xludf.DUMMYFUNCTION("""COMPUTED_VALUE"""),13368.0)</f>
        <v>13368</v>
      </c>
      <c r="D799" s="11">
        <f>IFERROR(__xludf.DUMMYFUNCTION("""COMPUTED_VALUE"""),1697.0)</f>
        <v>1697</v>
      </c>
      <c r="E799" s="9"/>
    </row>
    <row r="800">
      <c r="A800" s="11">
        <f>IFERROR(__xludf.DUMMYFUNCTION("""COMPUTED_VALUE"""),2021.0)</f>
        <v>2021</v>
      </c>
      <c r="B800" s="11">
        <f>IFERROR(__xludf.DUMMYFUNCTION("""COMPUTED_VALUE"""),9.0)</f>
        <v>9</v>
      </c>
      <c r="C800" s="11">
        <f>IFERROR(__xludf.DUMMYFUNCTION("""COMPUTED_VALUE"""),105178.0)</f>
        <v>105178</v>
      </c>
      <c r="D800" s="11">
        <f>IFERROR(__xludf.DUMMYFUNCTION("""COMPUTED_VALUE"""),1267.0)</f>
        <v>1267</v>
      </c>
      <c r="E800" s="9"/>
    </row>
    <row r="801">
      <c r="A801" s="11">
        <f>IFERROR(__xludf.DUMMYFUNCTION("""COMPUTED_VALUE"""),2021.0)</f>
        <v>2021</v>
      </c>
      <c r="B801" s="11">
        <f>IFERROR(__xludf.DUMMYFUNCTION("""COMPUTED_VALUE"""),8.0)</f>
        <v>8</v>
      </c>
      <c r="C801" s="11">
        <f>IFERROR(__xludf.DUMMYFUNCTION("""COMPUTED_VALUE"""),158445.0)</f>
        <v>158445</v>
      </c>
      <c r="D801" s="11">
        <f>IFERROR(__xludf.DUMMYFUNCTION("""COMPUTED_VALUE"""),407.0)</f>
        <v>407</v>
      </c>
      <c r="E801" s="9"/>
    </row>
    <row r="802">
      <c r="A802" s="11">
        <f>IFERROR(__xludf.DUMMYFUNCTION("""COMPUTED_VALUE"""),2021.0)</f>
        <v>2021</v>
      </c>
      <c r="B802" s="11">
        <f>IFERROR(__xludf.DUMMYFUNCTION("""COMPUTED_VALUE"""),10.0)</f>
        <v>10</v>
      </c>
      <c r="C802" s="11">
        <f>IFERROR(__xludf.DUMMYFUNCTION("""COMPUTED_VALUE"""),105861.0)</f>
        <v>105861</v>
      </c>
      <c r="D802" s="11">
        <f>IFERROR(__xludf.DUMMYFUNCTION("""COMPUTED_VALUE"""),250.0)</f>
        <v>250</v>
      </c>
      <c r="E802" s="9"/>
    </row>
    <row r="803">
      <c r="A803" s="11">
        <f>IFERROR(__xludf.DUMMYFUNCTION("""COMPUTED_VALUE"""),2021.0)</f>
        <v>2021</v>
      </c>
      <c r="B803" s="11">
        <f>IFERROR(__xludf.DUMMYFUNCTION("""COMPUTED_VALUE"""),10.0)</f>
        <v>10</v>
      </c>
      <c r="C803" s="11">
        <f>IFERROR(__xludf.DUMMYFUNCTION("""COMPUTED_VALUE"""),28668.0)</f>
        <v>28668</v>
      </c>
      <c r="D803" s="11">
        <f>IFERROR(__xludf.DUMMYFUNCTION("""COMPUTED_VALUE"""),1205.0)</f>
        <v>1205</v>
      </c>
      <c r="E803" s="9"/>
    </row>
    <row r="804">
      <c r="A804" s="11">
        <f>IFERROR(__xludf.DUMMYFUNCTION("""COMPUTED_VALUE"""),2021.0)</f>
        <v>2021</v>
      </c>
      <c r="B804" s="11">
        <f>IFERROR(__xludf.DUMMYFUNCTION("""COMPUTED_VALUE"""),8.0)</f>
        <v>8</v>
      </c>
      <c r="C804" s="11">
        <f>IFERROR(__xludf.DUMMYFUNCTION("""COMPUTED_VALUE"""),28661.0)</f>
        <v>28661</v>
      </c>
      <c r="D804" s="11">
        <f>IFERROR(__xludf.DUMMYFUNCTION("""COMPUTED_VALUE"""),324.0)</f>
        <v>324</v>
      </c>
      <c r="E804" s="9"/>
    </row>
    <row r="805">
      <c r="A805" s="11">
        <f>IFERROR(__xludf.DUMMYFUNCTION("""COMPUTED_VALUE"""),2021.0)</f>
        <v>2021</v>
      </c>
      <c r="B805" s="11">
        <f>IFERROR(__xludf.DUMMYFUNCTION("""COMPUTED_VALUE"""),11.0)</f>
        <v>11</v>
      </c>
      <c r="C805" s="11">
        <f>IFERROR(__xludf.DUMMYFUNCTION("""COMPUTED_VALUE"""),13349.0)</f>
        <v>13349</v>
      </c>
      <c r="D805" s="11">
        <f>IFERROR(__xludf.DUMMYFUNCTION("""COMPUTED_VALUE"""),1644.0)</f>
        <v>1644</v>
      </c>
      <c r="E805" s="9"/>
    </row>
    <row r="806">
      <c r="A806" s="11">
        <f>IFERROR(__xludf.DUMMYFUNCTION("""COMPUTED_VALUE"""),2021.0)</f>
        <v>2021</v>
      </c>
      <c r="B806" s="11">
        <f>IFERROR(__xludf.DUMMYFUNCTION("""COMPUTED_VALUE"""),9.0)</f>
        <v>9</v>
      </c>
      <c r="C806" s="11">
        <f>IFERROR(__xludf.DUMMYFUNCTION("""COMPUTED_VALUE"""),1634.0)</f>
        <v>1634</v>
      </c>
      <c r="D806" s="11">
        <f>IFERROR(__xludf.DUMMYFUNCTION("""COMPUTED_VALUE"""),643.0)</f>
        <v>643</v>
      </c>
      <c r="E806" s="9"/>
    </row>
    <row r="807">
      <c r="A807" s="11">
        <f>IFERROR(__xludf.DUMMYFUNCTION("""COMPUTED_VALUE"""),2021.0)</f>
        <v>2021</v>
      </c>
      <c r="B807" s="11">
        <f>IFERROR(__xludf.DUMMYFUNCTION("""COMPUTED_VALUE"""),11.0)</f>
        <v>11</v>
      </c>
      <c r="C807" s="11">
        <f>IFERROR(__xludf.DUMMYFUNCTION("""COMPUTED_VALUE"""),86524.0)</f>
        <v>86524</v>
      </c>
      <c r="D807" s="11">
        <f>IFERROR(__xludf.DUMMYFUNCTION("""COMPUTED_VALUE"""),1251.0)</f>
        <v>1251</v>
      </c>
      <c r="E807" s="9"/>
    </row>
    <row r="808">
      <c r="A808" s="11">
        <f>IFERROR(__xludf.DUMMYFUNCTION("""COMPUTED_VALUE"""),2021.0)</f>
        <v>2021</v>
      </c>
      <c r="B808" s="11">
        <f>IFERROR(__xludf.DUMMYFUNCTION("""COMPUTED_VALUE"""),10.0)</f>
        <v>10</v>
      </c>
      <c r="C808" s="11">
        <f>IFERROR(__xludf.DUMMYFUNCTION("""COMPUTED_VALUE"""),86531.0)</f>
        <v>86531</v>
      </c>
      <c r="D808" s="11">
        <f>IFERROR(__xludf.DUMMYFUNCTION("""COMPUTED_VALUE"""),1644.0)</f>
        <v>1644</v>
      </c>
      <c r="E808" s="9"/>
    </row>
    <row r="809">
      <c r="A809" s="11">
        <f>IFERROR(__xludf.DUMMYFUNCTION("""COMPUTED_VALUE"""),2021.0)</f>
        <v>2021</v>
      </c>
      <c r="B809" s="11">
        <f>IFERROR(__xludf.DUMMYFUNCTION("""COMPUTED_VALUE"""),11.0)</f>
        <v>11</v>
      </c>
      <c r="C809" s="11">
        <f>IFERROR(__xludf.DUMMYFUNCTION("""COMPUTED_VALUE"""),95210.0)</f>
        <v>95210</v>
      </c>
      <c r="D809" s="11">
        <f>IFERROR(__xludf.DUMMYFUNCTION("""COMPUTED_VALUE"""),715.0)</f>
        <v>715</v>
      </c>
      <c r="E809" s="9"/>
    </row>
    <row r="810">
      <c r="A810" s="11">
        <f>IFERROR(__xludf.DUMMYFUNCTION("""COMPUTED_VALUE"""),2021.0)</f>
        <v>2021</v>
      </c>
      <c r="B810" s="11">
        <f>IFERROR(__xludf.DUMMYFUNCTION("""COMPUTED_VALUE"""),8.0)</f>
        <v>8</v>
      </c>
      <c r="C810" s="11">
        <f>IFERROR(__xludf.DUMMYFUNCTION("""COMPUTED_VALUE"""),158450.0)</f>
        <v>158450</v>
      </c>
      <c r="D810" s="11">
        <f>IFERROR(__xludf.DUMMYFUNCTION("""COMPUTED_VALUE"""),1259.0)</f>
        <v>1259</v>
      </c>
      <c r="E810" s="9"/>
    </row>
    <row r="811">
      <c r="A811" s="11">
        <f>IFERROR(__xludf.DUMMYFUNCTION("""COMPUTED_VALUE"""),2021.0)</f>
        <v>2021</v>
      </c>
      <c r="B811" s="11">
        <f>IFERROR(__xludf.DUMMYFUNCTION("""COMPUTED_VALUE"""),9.0)</f>
        <v>9</v>
      </c>
      <c r="C811" s="11">
        <f>IFERROR(__xludf.DUMMYFUNCTION("""COMPUTED_VALUE"""),103080.0)</f>
        <v>103080</v>
      </c>
      <c r="D811" s="11">
        <f>IFERROR(__xludf.DUMMYFUNCTION("""COMPUTED_VALUE"""),1336.0)</f>
        <v>1336</v>
      </c>
      <c r="E811" s="9"/>
    </row>
    <row r="812">
      <c r="A812" s="11">
        <f>IFERROR(__xludf.DUMMYFUNCTION("""COMPUTED_VALUE"""),2021.0)</f>
        <v>2021</v>
      </c>
      <c r="B812" s="11">
        <f>IFERROR(__xludf.DUMMYFUNCTION("""COMPUTED_VALUE"""),8.0)</f>
        <v>8</v>
      </c>
      <c r="C812" s="11">
        <f>IFERROR(__xludf.DUMMYFUNCTION("""COMPUTED_VALUE"""),121067.0)</f>
        <v>121067</v>
      </c>
      <c r="D812" s="11">
        <f>IFERROR(__xludf.DUMMYFUNCTION("""COMPUTED_VALUE"""),154.0)</f>
        <v>154</v>
      </c>
      <c r="E812" s="9"/>
    </row>
    <row r="813">
      <c r="A813" s="11">
        <f>IFERROR(__xludf.DUMMYFUNCTION("""COMPUTED_VALUE"""),2021.0)</f>
        <v>2021</v>
      </c>
      <c r="B813" s="11">
        <f>IFERROR(__xludf.DUMMYFUNCTION("""COMPUTED_VALUE"""),11.0)</f>
        <v>11</v>
      </c>
      <c r="C813" s="11">
        <f>IFERROR(__xludf.DUMMYFUNCTION("""COMPUTED_VALUE"""),41513.0)</f>
        <v>41513</v>
      </c>
      <c r="D813" s="11">
        <f>IFERROR(__xludf.DUMMYFUNCTION("""COMPUTED_VALUE"""),928.0)</f>
        <v>928</v>
      </c>
      <c r="E813" s="9"/>
    </row>
    <row r="814">
      <c r="A814" s="11">
        <f>IFERROR(__xludf.DUMMYFUNCTION("""COMPUTED_VALUE"""),2021.0)</f>
        <v>2021</v>
      </c>
      <c r="B814" s="11">
        <f>IFERROR(__xludf.DUMMYFUNCTION("""COMPUTED_VALUE"""),9.0)</f>
        <v>9</v>
      </c>
      <c r="C814" s="11">
        <f>IFERROR(__xludf.DUMMYFUNCTION("""COMPUTED_VALUE"""),166089.0)</f>
        <v>166089</v>
      </c>
      <c r="D814" s="11">
        <f>IFERROR(__xludf.DUMMYFUNCTION("""COMPUTED_VALUE"""),483.0)</f>
        <v>483</v>
      </c>
      <c r="E814" s="9"/>
    </row>
    <row r="815">
      <c r="A815" s="11">
        <f>IFERROR(__xludf.DUMMYFUNCTION("""COMPUTED_VALUE"""),2021.0)</f>
        <v>2021</v>
      </c>
      <c r="B815" s="11">
        <f>IFERROR(__xludf.DUMMYFUNCTION("""COMPUTED_VALUE"""),8.0)</f>
        <v>8</v>
      </c>
      <c r="C815" s="11">
        <f>IFERROR(__xludf.DUMMYFUNCTION("""COMPUTED_VALUE"""),26446.0)</f>
        <v>26446</v>
      </c>
      <c r="D815" s="11">
        <f>IFERROR(__xludf.DUMMYFUNCTION("""COMPUTED_VALUE"""),66.0)</f>
        <v>66</v>
      </c>
      <c r="E815" s="9"/>
    </row>
    <row r="816">
      <c r="A816" s="11">
        <f>IFERROR(__xludf.DUMMYFUNCTION("""COMPUTED_VALUE"""),2021.0)</f>
        <v>2021</v>
      </c>
      <c r="B816" s="11">
        <f>IFERROR(__xludf.DUMMYFUNCTION("""COMPUTED_VALUE"""),10.0)</f>
        <v>10</v>
      </c>
      <c r="C816" s="11">
        <f>IFERROR(__xludf.DUMMYFUNCTION("""COMPUTED_VALUE"""),13350.0)</f>
        <v>13350</v>
      </c>
      <c r="D816" s="11">
        <f>IFERROR(__xludf.DUMMYFUNCTION("""COMPUTED_VALUE"""),317.0)</f>
        <v>317</v>
      </c>
      <c r="E816" s="9"/>
    </row>
    <row r="817">
      <c r="A817" s="11">
        <f>IFERROR(__xludf.DUMMYFUNCTION("""COMPUTED_VALUE"""),2021.0)</f>
        <v>2021</v>
      </c>
      <c r="B817" s="11">
        <f>IFERROR(__xludf.DUMMYFUNCTION("""COMPUTED_VALUE"""),9.0)</f>
        <v>9</v>
      </c>
      <c r="C817" s="11">
        <f>IFERROR(__xludf.DUMMYFUNCTION("""COMPUTED_VALUE"""),111728.0)</f>
        <v>111728</v>
      </c>
      <c r="D817" s="11">
        <f>IFERROR(__xludf.DUMMYFUNCTION("""COMPUTED_VALUE"""),492.0)</f>
        <v>492</v>
      </c>
      <c r="E817" s="9"/>
    </row>
    <row r="818">
      <c r="A818" s="11">
        <f>IFERROR(__xludf.DUMMYFUNCTION("""COMPUTED_VALUE"""),2021.0)</f>
        <v>2021</v>
      </c>
      <c r="B818" s="11">
        <f>IFERROR(__xludf.DUMMYFUNCTION("""COMPUTED_VALUE"""),11.0)</f>
        <v>11</v>
      </c>
      <c r="C818" s="11">
        <f>IFERROR(__xludf.DUMMYFUNCTION("""COMPUTED_VALUE"""),28883.0)</f>
        <v>28883</v>
      </c>
      <c r="D818" s="11">
        <f>IFERROR(__xludf.DUMMYFUNCTION("""COMPUTED_VALUE"""),1599.0)</f>
        <v>1599</v>
      </c>
      <c r="E818" s="9"/>
    </row>
    <row r="819">
      <c r="A819" s="11">
        <f>IFERROR(__xludf.DUMMYFUNCTION("""COMPUTED_VALUE"""),2021.0)</f>
        <v>2021</v>
      </c>
      <c r="B819" s="11">
        <f>IFERROR(__xludf.DUMMYFUNCTION("""COMPUTED_VALUE"""),8.0)</f>
        <v>8</v>
      </c>
      <c r="C819" s="11">
        <f>IFERROR(__xludf.DUMMYFUNCTION("""COMPUTED_VALUE"""),121068.0)</f>
        <v>121068</v>
      </c>
      <c r="D819" s="11">
        <f>IFERROR(__xludf.DUMMYFUNCTION("""COMPUTED_VALUE"""),1302.0)</f>
        <v>1302</v>
      </c>
      <c r="E819" s="9"/>
    </row>
    <row r="820">
      <c r="A820" s="11">
        <f>IFERROR(__xludf.DUMMYFUNCTION("""COMPUTED_VALUE"""),2021.0)</f>
        <v>2021</v>
      </c>
      <c r="B820" s="11">
        <f>IFERROR(__xludf.DUMMYFUNCTION("""COMPUTED_VALUE"""),11.0)</f>
        <v>11</v>
      </c>
      <c r="C820" s="11">
        <f>IFERROR(__xludf.DUMMYFUNCTION("""COMPUTED_VALUE"""),181499.0)</f>
        <v>181499</v>
      </c>
      <c r="D820" s="11">
        <f>IFERROR(__xludf.DUMMYFUNCTION("""COMPUTED_VALUE"""),1172.0)</f>
        <v>1172</v>
      </c>
      <c r="E820" s="9"/>
    </row>
    <row r="821">
      <c r="A821" s="11">
        <f>IFERROR(__xludf.DUMMYFUNCTION("""COMPUTED_VALUE"""),2021.0)</f>
        <v>2021</v>
      </c>
      <c r="B821" s="11">
        <f>IFERROR(__xludf.DUMMYFUNCTION("""COMPUTED_VALUE"""),8.0)</f>
        <v>8</v>
      </c>
      <c r="C821" s="11">
        <f>IFERROR(__xludf.DUMMYFUNCTION("""COMPUTED_VALUE"""),16097.0)</f>
        <v>16097</v>
      </c>
      <c r="D821" s="11">
        <f>IFERROR(__xludf.DUMMYFUNCTION("""COMPUTED_VALUE"""),1281.0)</f>
        <v>1281</v>
      </c>
      <c r="E821" s="9"/>
    </row>
    <row r="822">
      <c r="A822" s="11">
        <f>IFERROR(__xludf.DUMMYFUNCTION("""COMPUTED_VALUE"""),2021.0)</f>
        <v>2021</v>
      </c>
      <c r="B822" s="11">
        <f>IFERROR(__xludf.DUMMYFUNCTION("""COMPUTED_VALUE"""),9.0)</f>
        <v>9</v>
      </c>
      <c r="C822" s="11">
        <f>IFERROR(__xludf.DUMMYFUNCTION("""COMPUTED_VALUE"""),117247.0)</f>
        <v>117247</v>
      </c>
      <c r="D822" s="11">
        <f>IFERROR(__xludf.DUMMYFUNCTION("""COMPUTED_VALUE"""),1826.0)</f>
        <v>1826</v>
      </c>
      <c r="E822" s="9"/>
    </row>
    <row r="823">
      <c r="A823" s="11">
        <f>IFERROR(__xludf.DUMMYFUNCTION("""COMPUTED_VALUE"""),2021.0)</f>
        <v>2021</v>
      </c>
      <c r="B823" s="11">
        <f>IFERROR(__xludf.DUMMYFUNCTION("""COMPUTED_VALUE"""),10.0)</f>
        <v>10</v>
      </c>
      <c r="C823" s="11">
        <f>IFERROR(__xludf.DUMMYFUNCTION("""COMPUTED_VALUE"""),1732.0)</f>
        <v>1732</v>
      </c>
      <c r="D823" s="11">
        <f>IFERROR(__xludf.DUMMYFUNCTION("""COMPUTED_VALUE"""),1848.0)</f>
        <v>1848</v>
      </c>
      <c r="E823" s="9"/>
    </row>
    <row r="824">
      <c r="A824" s="11">
        <f>IFERROR(__xludf.DUMMYFUNCTION("""COMPUTED_VALUE"""),2021.0)</f>
        <v>2021</v>
      </c>
      <c r="B824" s="11">
        <f>IFERROR(__xludf.DUMMYFUNCTION("""COMPUTED_VALUE"""),11.0)</f>
        <v>11</v>
      </c>
      <c r="C824" s="11">
        <f>IFERROR(__xludf.DUMMYFUNCTION("""COMPUTED_VALUE"""),105174.0)</f>
        <v>105174</v>
      </c>
      <c r="D824" s="11">
        <f>IFERROR(__xludf.DUMMYFUNCTION("""COMPUTED_VALUE"""),665.0)</f>
        <v>665</v>
      </c>
      <c r="E824" s="9"/>
    </row>
    <row r="825">
      <c r="A825" s="11">
        <f>IFERROR(__xludf.DUMMYFUNCTION("""COMPUTED_VALUE"""),2021.0)</f>
        <v>2021</v>
      </c>
      <c r="B825" s="11">
        <f>IFERROR(__xludf.DUMMYFUNCTION("""COMPUTED_VALUE"""),11.0)</f>
        <v>11</v>
      </c>
      <c r="C825" s="11">
        <f>IFERROR(__xludf.DUMMYFUNCTION("""COMPUTED_VALUE"""),128357.0)</f>
        <v>128357</v>
      </c>
      <c r="D825" s="11">
        <f>IFERROR(__xludf.DUMMYFUNCTION("""COMPUTED_VALUE"""),1339.0)</f>
        <v>1339</v>
      </c>
      <c r="E825" s="9"/>
    </row>
    <row r="826">
      <c r="A826" s="11">
        <f>IFERROR(__xludf.DUMMYFUNCTION("""COMPUTED_VALUE"""),2021.0)</f>
        <v>2021</v>
      </c>
      <c r="B826" s="11">
        <f>IFERROR(__xludf.DUMMYFUNCTION("""COMPUTED_VALUE"""),10.0)</f>
        <v>10</v>
      </c>
      <c r="C826" s="11">
        <f>IFERROR(__xludf.DUMMYFUNCTION("""COMPUTED_VALUE"""),166090.0)</f>
        <v>166090</v>
      </c>
      <c r="D826" s="11">
        <f>IFERROR(__xludf.DUMMYFUNCTION("""COMPUTED_VALUE"""),799.0)</f>
        <v>799</v>
      </c>
      <c r="E826" s="9"/>
    </row>
    <row r="827">
      <c r="A827" s="11">
        <f>IFERROR(__xludf.DUMMYFUNCTION("""COMPUTED_VALUE"""),2021.0)</f>
        <v>2021</v>
      </c>
      <c r="B827" s="11">
        <f>IFERROR(__xludf.DUMMYFUNCTION("""COMPUTED_VALUE"""),9.0)</f>
        <v>9</v>
      </c>
      <c r="C827" s="11">
        <f>IFERROR(__xludf.DUMMYFUNCTION("""COMPUTED_VALUE"""),121070.0)</f>
        <v>121070</v>
      </c>
      <c r="D827" s="11">
        <f>IFERROR(__xludf.DUMMYFUNCTION("""COMPUTED_VALUE"""),686.0)</f>
        <v>686</v>
      </c>
      <c r="E827" s="9"/>
    </row>
    <row r="828">
      <c r="A828" s="11">
        <f>IFERROR(__xludf.DUMMYFUNCTION("""COMPUTED_VALUE"""),2021.0)</f>
        <v>2021</v>
      </c>
      <c r="B828" s="11">
        <f>IFERROR(__xludf.DUMMYFUNCTION("""COMPUTED_VALUE"""),9.0)</f>
        <v>9</v>
      </c>
      <c r="C828" s="11">
        <f>IFERROR(__xludf.DUMMYFUNCTION("""COMPUTED_VALUE"""),80818.0)</f>
        <v>80818</v>
      </c>
      <c r="D828" s="11">
        <f>IFERROR(__xludf.DUMMYFUNCTION("""COMPUTED_VALUE"""),1600.0)</f>
        <v>1600</v>
      </c>
      <c r="E828" s="9"/>
    </row>
    <row r="829">
      <c r="A829" s="11">
        <f>IFERROR(__xludf.DUMMYFUNCTION("""COMPUTED_VALUE"""),2021.0)</f>
        <v>2021</v>
      </c>
      <c r="B829" s="11">
        <f>IFERROR(__xludf.DUMMYFUNCTION("""COMPUTED_VALUE"""),11.0)</f>
        <v>11</v>
      </c>
      <c r="C829" s="11">
        <f>IFERROR(__xludf.DUMMYFUNCTION("""COMPUTED_VALUE"""),13367.0)</f>
        <v>13367</v>
      </c>
      <c r="D829" s="11">
        <f>IFERROR(__xludf.DUMMYFUNCTION("""COMPUTED_VALUE"""),119.0)</f>
        <v>119</v>
      </c>
      <c r="E829" s="9"/>
    </row>
    <row r="830">
      <c r="A830" s="11">
        <f>IFERROR(__xludf.DUMMYFUNCTION("""COMPUTED_VALUE"""),2021.0)</f>
        <v>2021</v>
      </c>
      <c r="B830" s="11">
        <f>IFERROR(__xludf.DUMMYFUNCTION("""COMPUTED_VALUE"""),11.0)</f>
        <v>11</v>
      </c>
      <c r="C830" s="11">
        <f>IFERROR(__xludf.DUMMYFUNCTION("""COMPUTED_VALUE"""),44329.0)</f>
        <v>44329</v>
      </c>
      <c r="D830" s="11">
        <f>IFERROR(__xludf.DUMMYFUNCTION("""COMPUTED_VALUE"""),1573.0)</f>
        <v>1573</v>
      </c>
      <c r="E830" s="9"/>
    </row>
    <row r="831">
      <c r="A831" s="11">
        <f>IFERROR(__xludf.DUMMYFUNCTION("""COMPUTED_VALUE"""),2021.0)</f>
        <v>2021</v>
      </c>
      <c r="B831" s="11">
        <f>IFERROR(__xludf.DUMMYFUNCTION("""COMPUTED_VALUE"""),10.0)</f>
        <v>10</v>
      </c>
      <c r="C831" s="11">
        <f>IFERROR(__xludf.DUMMYFUNCTION("""COMPUTED_VALUE"""),70879.0)</f>
        <v>70879</v>
      </c>
      <c r="D831" s="11">
        <f>IFERROR(__xludf.DUMMYFUNCTION("""COMPUTED_VALUE"""),1580.0)</f>
        <v>1580</v>
      </c>
      <c r="E831" s="9"/>
    </row>
    <row r="832">
      <c r="A832" s="11">
        <f>IFERROR(__xludf.DUMMYFUNCTION("""COMPUTED_VALUE"""),2021.0)</f>
        <v>2021</v>
      </c>
      <c r="B832" s="11">
        <f>IFERROR(__xludf.DUMMYFUNCTION("""COMPUTED_VALUE"""),9.0)</f>
        <v>9</v>
      </c>
      <c r="C832" s="11">
        <f>IFERROR(__xludf.DUMMYFUNCTION("""COMPUTED_VALUE"""),99266.0)</f>
        <v>99266</v>
      </c>
      <c r="D832" s="11">
        <f>IFERROR(__xludf.DUMMYFUNCTION("""COMPUTED_VALUE"""),800.0)</f>
        <v>800</v>
      </c>
      <c r="E832" s="9"/>
    </row>
    <row r="833">
      <c r="A833" s="11">
        <f>IFERROR(__xludf.DUMMYFUNCTION("""COMPUTED_VALUE"""),2021.0)</f>
        <v>2021</v>
      </c>
      <c r="B833" s="11">
        <f>IFERROR(__xludf.DUMMYFUNCTION("""COMPUTED_VALUE"""),10.0)</f>
        <v>10</v>
      </c>
      <c r="C833" s="11">
        <f>IFERROR(__xludf.DUMMYFUNCTION("""COMPUTED_VALUE"""),88216.0)</f>
        <v>88216</v>
      </c>
      <c r="D833" s="11">
        <f>IFERROR(__xludf.DUMMYFUNCTION("""COMPUTED_VALUE"""),1917.0)</f>
        <v>1917</v>
      </c>
      <c r="E833" s="9"/>
    </row>
    <row r="834">
      <c r="A834" s="11">
        <f>IFERROR(__xludf.DUMMYFUNCTION("""COMPUTED_VALUE"""),2021.0)</f>
        <v>2021</v>
      </c>
      <c r="B834" s="11">
        <f>IFERROR(__xludf.DUMMYFUNCTION("""COMPUTED_VALUE"""),11.0)</f>
        <v>11</v>
      </c>
      <c r="C834" s="11">
        <f>IFERROR(__xludf.DUMMYFUNCTION("""COMPUTED_VALUE"""),28590.0)</f>
        <v>28590</v>
      </c>
      <c r="D834" s="11">
        <f>IFERROR(__xludf.DUMMYFUNCTION("""COMPUTED_VALUE"""),1442.0)</f>
        <v>1442</v>
      </c>
      <c r="E834" s="9"/>
    </row>
    <row r="835">
      <c r="A835" s="11">
        <f>IFERROR(__xludf.DUMMYFUNCTION("""COMPUTED_VALUE"""),2021.0)</f>
        <v>2021</v>
      </c>
      <c r="B835" s="11">
        <f>IFERROR(__xludf.DUMMYFUNCTION("""COMPUTED_VALUE"""),9.0)</f>
        <v>9</v>
      </c>
      <c r="C835" s="11">
        <f>IFERROR(__xludf.DUMMYFUNCTION("""COMPUTED_VALUE"""),88215.0)</f>
        <v>88215</v>
      </c>
      <c r="D835" s="11">
        <f>IFERROR(__xludf.DUMMYFUNCTION("""COMPUTED_VALUE"""),1757.0)</f>
        <v>1757</v>
      </c>
      <c r="E835" s="9"/>
    </row>
    <row r="836">
      <c r="A836" s="11">
        <f>IFERROR(__xludf.DUMMYFUNCTION("""COMPUTED_VALUE"""),2021.0)</f>
        <v>2021</v>
      </c>
      <c r="B836" s="11">
        <f>IFERROR(__xludf.DUMMYFUNCTION("""COMPUTED_VALUE"""),11.0)</f>
        <v>11</v>
      </c>
      <c r="C836" s="11">
        <f>IFERROR(__xludf.DUMMYFUNCTION("""COMPUTED_VALUE"""),81771.0)</f>
        <v>81771</v>
      </c>
      <c r="D836" s="11">
        <f>IFERROR(__xludf.DUMMYFUNCTION("""COMPUTED_VALUE"""),488.0)</f>
        <v>488</v>
      </c>
      <c r="E836" s="9"/>
    </row>
    <row r="837">
      <c r="A837" s="11">
        <f>IFERROR(__xludf.DUMMYFUNCTION("""COMPUTED_VALUE"""),2021.0)</f>
        <v>2021</v>
      </c>
      <c r="B837" s="11">
        <f>IFERROR(__xludf.DUMMYFUNCTION("""COMPUTED_VALUE"""),11.0)</f>
        <v>11</v>
      </c>
      <c r="C837" s="11">
        <f>IFERROR(__xludf.DUMMYFUNCTION("""COMPUTED_VALUE"""),194520.0)</f>
        <v>194520</v>
      </c>
      <c r="D837" s="11">
        <f>IFERROR(__xludf.DUMMYFUNCTION("""COMPUTED_VALUE"""),500.0)</f>
        <v>500</v>
      </c>
      <c r="E837" s="9"/>
    </row>
    <row r="838">
      <c r="A838" s="11">
        <f>IFERROR(__xludf.DUMMYFUNCTION("""COMPUTED_VALUE"""),2021.0)</f>
        <v>2021</v>
      </c>
      <c r="B838" s="11">
        <f>IFERROR(__xludf.DUMMYFUNCTION("""COMPUTED_VALUE"""),10.0)</f>
        <v>10</v>
      </c>
      <c r="C838" s="11">
        <f>IFERROR(__xludf.DUMMYFUNCTION("""COMPUTED_VALUE"""),5901.0)</f>
        <v>5901</v>
      </c>
      <c r="D838" s="11">
        <f>IFERROR(__xludf.DUMMYFUNCTION("""COMPUTED_VALUE"""),179.0)</f>
        <v>179</v>
      </c>
      <c r="E838" s="9"/>
    </row>
    <row r="839">
      <c r="A839" s="11">
        <f>IFERROR(__xludf.DUMMYFUNCTION("""COMPUTED_VALUE"""),2021.0)</f>
        <v>2021</v>
      </c>
      <c r="B839" s="11">
        <f>IFERROR(__xludf.DUMMYFUNCTION("""COMPUTED_VALUE"""),9.0)</f>
        <v>9</v>
      </c>
      <c r="C839" s="11">
        <f>IFERROR(__xludf.DUMMYFUNCTION("""COMPUTED_VALUE"""),156054.0)</f>
        <v>156054</v>
      </c>
      <c r="D839" s="11">
        <f>IFERROR(__xludf.DUMMYFUNCTION("""COMPUTED_VALUE"""),667.0)</f>
        <v>667</v>
      </c>
      <c r="E839" s="9"/>
    </row>
    <row r="840">
      <c r="A840" s="11">
        <f>IFERROR(__xludf.DUMMYFUNCTION("""COMPUTED_VALUE"""),2021.0)</f>
        <v>2021</v>
      </c>
      <c r="B840" s="11">
        <f>IFERROR(__xludf.DUMMYFUNCTION("""COMPUTED_VALUE"""),11.0)</f>
        <v>11</v>
      </c>
      <c r="C840" s="11">
        <f>IFERROR(__xludf.DUMMYFUNCTION("""COMPUTED_VALUE"""),5869.0)</f>
        <v>5869</v>
      </c>
      <c r="D840" s="11">
        <f>IFERROR(__xludf.DUMMYFUNCTION("""COMPUTED_VALUE"""),350.0)</f>
        <v>350</v>
      </c>
      <c r="E840" s="9"/>
    </row>
    <row r="841">
      <c r="A841" s="11">
        <f>IFERROR(__xludf.DUMMYFUNCTION("""COMPUTED_VALUE"""),2021.0)</f>
        <v>2021</v>
      </c>
      <c r="B841" s="11">
        <f>IFERROR(__xludf.DUMMYFUNCTION("""COMPUTED_VALUE"""),8.0)</f>
        <v>8</v>
      </c>
      <c r="C841" s="11">
        <f>IFERROR(__xludf.DUMMYFUNCTION("""COMPUTED_VALUE"""),7343.0)</f>
        <v>7343</v>
      </c>
      <c r="D841" s="11">
        <f>IFERROR(__xludf.DUMMYFUNCTION("""COMPUTED_VALUE"""),1676.0)</f>
        <v>1676</v>
      </c>
      <c r="E841" s="9"/>
    </row>
    <row r="842">
      <c r="A842" s="11">
        <f>IFERROR(__xludf.DUMMYFUNCTION("""COMPUTED_VALUE"""),2021.0)</f>
        <v>2021</v>
      </c>
      <c r="B842" s="11">
        <f>IFERROR(__xludf.DUMMYFUNCTION("""COMPUTED_VALUE"""),9.0)</f>
        <v>9</v>
      </c>
      <c r="C842" s="11">
        <f>IFERROR(__xludf.DUMMYFUNCTION("""COMPUTED_VALUE"""),88218.0)</f>
        <v>88218</v>
      </c>
      <c r="D842" s="11">
        <f>IFERROR(__xludf.DUMMYFUNCTION("""COMPUTED_VALUE"""),1629.0)</f>
        <v>1629</v>
      </c>
      <c r="E842" s="9"/>
    </row>
    <row r="843">
      <c r="A843" s="11">
        <f>IFERROR(__xludf.DUMMYFUNCTION("""COMPUTED_VALUE"""),2021.0)</f>
        <v>2021</v>
      </c>
      <c r="B843" s="11">
        <f>IFERROR(__xludf.DUMMYFUNCTION("""COMPUTED_VALUE"""),10.0)</f>
        <v>10</v>
      </c>
      <c r="C843" s="11">
        <f>IFERROR(__xludf.DUMMYFUNCTION("""COMPUTED_VALUE"""),99263.0)</f>
        <v>99263</v>
      </c>
      <c r="D843" s="11">
        <f>IFERROR(__xludf.DUMMYFUNCTION("""COMPUTED_VALUE"""),959.0)</f>
        <v>959</v>
      </c>
      <c r="E843" s="9"/>
    </row>
    <row r="844">
      <c r="A844" s="11">
        <f>IFERROR(__xludf.DUMMYFUNCTION("""COMPUTED_VALUE"""),2021.0)</f>
        <v>2021</v>
      </c>
      <c r="B844" s="11">
        <f>IFERROR(__xludf.DUMMYFUNCTION("""COMPUTED_VALUE"""),9.0)</f>
        <v>9</v>
      </c>
      <c r="C844" s="11">
        <f>IFERROR(__xludf.DUMMYFUNCTION("""COMPUTED_VALUE"""),7357.0)</f>
        <v>7357</v>
      </c>
      <c r="D844" s="11">
        <f>IFERROR(__xludf.DUMMYFUNCTION("""COMPUTED_VALUE"""),519.0)</f>
        <v>519</v>
      </c>
      <c r="E844" s="9"/>
    </row>
    <row r="845">
      <c r="A845" s="11">
        <f>IFERROR(__xludf.DUMMYFUNCTION("""COMPUTED_VALUE"""),2021.0)</f>
        <v>2021</v>
      </c>
      <c r="B845" s="11">
        <f>IFERROR(__xludf.DUMMYFUNCTION("""COMPUTED_VALUE"""),11.0)</f>
        <v>11</v>
      </c>
      <c r="C845" s="11">
        <f>IFERROR(__xludf.DUMMYFUNCTION("""COMPUTED_VALUE"""),28591.0)</f>
        <v>28591</v>
      </c>
      <c r="D845" s="11">
        <f>IFERROR(__xludf.DUMMYFUNCTION("""COMPUTED_VALUE"""),465.0)</f>
        <v>465</v>
      </c>
      <c r="E845" s="9"/>
    </row>
    <row r="846">
      <c r="A846" s="11">
        <f>IFERROR(__xludf.DUMMYFUNCTION("""COMPUTED_VALUE"""),2021.0)</f>
        <v>2021</v>
      </c>
      <c r="B846" s="11">
        <f>IFERROR(__xludf.DUMMYFUNCTION("""COMPUTED_VALUE"""),10.0)</f>
        <v>10</v>
      </c>
      <c r="C846" s="11">
        <f>IFERROR(__xludf.DUMMYFUNCTION("""COMPUTED_VALUE"""),5871.0)</f>
        <v>5871</v>
      </c>
      <c r="D846" s="11">
        <f>IFERROR(__xludf.DUMMYFUNCTION("""COMPUTED_VALUE"""),1847.0)</f>
        <v>1847</v>
      </c>
      <c r="E846" s="9"/>
    </row>
    <row r="847">
      <c r="A847" s="11">
        <f>IFERROR(__xludf.DUMMYFUNCTION("""COMPUTED_VALUE"""),2021.0)</f>
        <v>2021</v>
      </c>
      <c r="B847" s="11">
        <f>IFERROR(__xludf.DUMMYFUNCTION("""COMPUTED_VALUE"""),9.0)</f>
        <v>9</v>
      </c>
      <c r="C847" s="11">
        <f>IFERROR(__xludf.DUMMYFUNCTION("""COMPUTED_VALUE"""),81772.0)</f>
        <v>81772</v>
      </c>
      <c r="D847" s="11">
        <f>IFERROR(__xludf.DUMMYFUNCTION("""COMPUTED_VALUE"""),983.0)</f>
        <v>983</v>
      </c>
      <c r="E847" s="9"/>
    </row>
    <row r="848">
      <c r="A848" s="11">
        <f>IFERROR(__xludf.DUMMYFUNCTION("""COMPUTED_VALUE"""),2021.0)</f>
        <v>2021</v>
      </c>
      <c r="B848" s="11">
        <f>IFERROR(__xludf.DUMMYFUNCTION("""COMPUTED_VALUE"""),11.0)</f>
        <v>11</v>
      </c>
      <c r="C848" s="11">
        <f>IFERROR(__xludf.DUMMYFUNCTION("""COMPUTED_VALUE"""),110587.0)</f>
        <v>110587</v>
      </c>
      <c r="D848" s="11">
        <f>IFERROR(__xludf.DUMMYFUNCTION("""COMPUTED_VALUE"""),1089.0)</f>
        <v>1089</v>
      </c>
      <c r="E848" s="9"/>
    </row>
    <row r="849">
      <c r="A849" s="11">
        <f>IFERROR(__xludf.DUMMYFUNCTION("""COMPUTED_VALUE"""),2021.0)</f>
        <v>2021</v>
      </c>
      <c r="B849" s="11">
        <f>IFERROR(__xludf.DUMMYFUNCTION("""COMPUTED_VALUE"""),11.0)</f>
        <v>11</v>
      </c>
      <c r="C849" s="11">
        <f>IFERROR(__xludf.DUMMYFUNCTION("""COMPUTED_VALUE"""),5870.0)</f>
        <v>5870</v>
      </c>
      <c r="D849" s="11">
        <f>IFERROR(__xludf.DUMMYFUNCTION("""COMPUTED_VALUE"""),936.0)</f>
        <v>936</v>
      </c>
      <c r="E849" s="9"/>
    </row>
    <row r="850">
      <c r="A850" s="11">
        <f>IFERROR(__xludf.DUMMYFUNCTION("""COMPUTED_VALUE"""),2021.0)</f>
        <v>2021</v>
      </c>
      <c r="B850" s="11">
        <f>IFERROR(__xludf.DUMMYFUNCTION("""COMPUTED_VALUE"""),11.0)</f>
        <v>11</v>
      </c>
      <c r="C850" s="11">
        <f>IFERROR(__xludf.DUMMYFUNCTION("""COMPUTED_VALUE"""),158444.0)</f>
        <v>158444</v>
      </c>
      <c r="D850" s="11">
        <f>IFERROR(__xludf.DUMMYFUNCTION("""COMPUTED_VALUE"""),1930.0)</f>
        <v>1930</v>
      </c>
      <c r="E850" s="9"/>
    </row>
    <row r="851">
      <c r="A851" s="11">
        <f>IFERROR(__xludf.DUMMYFUNCTION("""COMPUTED_VALUE"""),2021.0)</f>
        <v>2021</v>
      </c>
      <c r="B851" s="11">
        <f>IFERROR(__xludf.DUMMYFUNCTION("""COMPUTED_VALUE"""),10.0)</f>
        <v>10</v>
      </c>
      <c r="C851" s="11">
        <f>IFERROR(__xludf.DUMMYFUNCTION("""COMPUTED_VALUE"""),80785.0)</f>
        <v>80785</v>
      </c>
      <c r="D851" s="11">
        <f>IFERROR(__xludf.DUMMYFUNCTION("""COMPUTED_VALUE"""),262.0)</f>
        <v>262</v>
      </c>
      <c r="E851" s="9"/>
    </row>
    <row r="852">
      <c r="A852" s="11">
        <f>IFERROR(__xludf.DUMMYFUNCTION("""COMPUTED_VALUE"""),2021.0)</f>
        <v>2021</v>
      </c>
      <c r="B852" s="11">
        <f>IFERROR(__xludf.DUMMYFUNCTION("""COMPUTED_VALUE"""),11.0)</f>
        <v>11</v>
      </c>
      <c r="C852" s="11">
        <f>IFERROR(__xludf.DUMMYFUNCTION("""COMPUTED_VALUE"""),110586.0)</f>
        <v>110586</v>
      </c>
      <c r="D852" s="11">
        <f>IFERROR(__xludf.DUMMYFUNCTION("""COMPUTED_VALUE"""),1227.0)</f>
        <v>1227</v>
      </c>
      <c r="E852" s="9"/>
    </row>
    <row r="853">
      <c r="A853" s="11">
        <f>IFERROR(__xludf.DUMMYFUNCTION("""COMPUTED_VALUE"""),2021.0)</f>
        <v>2021</v>
      </c>
      <c r="B853" s="11">
        <f>IFERROR(__xludf.DUMMYFUNCTION("""COMPUTED_VALUE"""),10.0)</f>
        <v>10</v>
      </c>
      <c r="C853" s="11">
        <f>IFERROR(__xludf.DUMMYFUNCTION("""COMPUTED_VALUE"""),99264.0)</f>
        <v>99264</v>
      </c>
      <c r="D853" s="11">
        <f>IFERROR(__xludf.DUMMYFUNCTION("""COMPUTED_VALUE"""),857.0)</f>
        <v>857</v>
      </c>
      <c r="E853" s="9"/>
    </row>
    <row r="854">
      <c r="A854" s="11">
        <f>IFERROR(__xludf.DUMMYFUNCTION("""COMPUTED_VALUE"""),2021.0)</f>
        <v>2021</v>
      </c>
      <c r="B854" s="11">
        <f>IFERROR(__xludf.DUMMYFUNCTION("""COMPUTED_VALUE"""),11.0)</f>
        <v>11</v>
      </c>
      <c r="C854" s="11">
        <f>IFERROR(__xludf.DUMMYFUNCTION("""COMPUTED_VALUE"""),110977.0)</f>
        <v>110977</v>
      </c>
      <c r="D854" s="11">
        <f>IFERROR(__xludf.DUMMYFUNCTION("""COMPUTED_VALUE"""),1595.0)</f>
        <v>1595</v>
      </c>
      <c r="E854" s="9"/>
    </row>
    <row r="855">
      <c r="A855" s="11">
        <f>IFERROR(__xludf.DUMMYFUNCTION("""COMPUTED_VALUE"""),2021.0)</f>
        <v>2021</v>
      </c>
      <c r="B855" s="11">
        <f>IFERROR(__xludf.DUMMYFUNCTION("""COMPUTED_VALUE"""),11.0)</f>
        <v>11</v>
      </c>
      <c r="C855" s="11">
        <f>IFERROR(__xludf.DUMMYFUNCTION("""COMPUTED_VALUE"""),45529.0)</f>
        <v>45529</v>
      </c>
      <c r="D855" s="11">
        <f>IFERROR(__xludf.DUMMYFUNCTION("""COMPUTED_VALUE"""),1470.0)</f>
        <v>1470</v>
      </c>
      <c r="E855" s="9"/>
    </row>
    <row r="856">
      <c r="A856" s="11">
        <f>IFERROR(__xludf.DUMMYFUNCTION("""COMPUTED_VALUE"""),2021.0)</f>
        <v>2021</v>
      </c>
      <c r="B856" s="11">
        <f>IFERROR(__xludf.DUMMYFUNCTION("""COMPUTED_VALUE"""),8.0)</f>
        <v>8</v>
      </c>
      <c r="C856" s="11">
        <f>IFERROR(__xludf.DUMMYFUNCTION("""COMPUTED_VALUE"""),84030.0)</f>
        <v>84030</v>
      </c>
      <c r="D856" s="11">
        <f>IFERROR(__xludf.DUMMYFUNCTION("""COMPUTED_VALUE"""),90.0)</f>
        <v>90</v>
      </c>
      <c r="E856" s="9"/>
    </row>
    <row r="857">
      <c r="A857" s="11">
        <f>IFERROR(__xludf.DUMMYFUNCTION("""COMPUTED_VALUE"""),2021.0)</f>
        <v>2021</v>
      </c>
      <c r="B857" s="11">
        <f>IFERROR(__xludf.DUMMYFUNCTION("""COMPUTED_VALUE"""),8.0)</f>
        <v>8</v>
      </c>
      <c r="C857" s="11">
        <f>IFERROR(__xludf.DUMMYFUNCTION("""COMPUTED_VALUE"""),99262.0)</f>
        <v>99262</v>
      </c>
      <c r="D857" s="11">
        <f>IFERROR(__xludf.DUMMYFUNCTION("""COMPUTED_VALUE"""),987.0)</f>
        <v>987</v>
      </c>
      <c r="E857" s="9"/>
    </row>
    <row r="858">
      <c r="A858" s="11">
        <f>IFERROR(__xludf.DUMMYFUNCTION("""COMPUTED_VALUE"""),2021.0)</f>
        <v>2021</v>
      </c>
      <c r="B858" s="11">
        <f>IFERROR(__xludf.DUMMYFUNCTION("""COMPUTED_VALUE"""),8.0)</f>
        <v>8</v>
      </c>
      <c r="C858" s="11">
        <f>IFERROR(__xludf.DUMMYFUNCTION("""COMPUTED_VALUE"""),110722.0)</f>
        <v>110722</v>
      </c>
      <c r="D858" s="11">
        <f>IFERROR(__xludf.DUMMYFUNCTION("""COMPUTED_VALUE"""),632.0)</f>
        <v>632</v>
      </c>
      <c r="E858" s="9"/>
    </row>
    <row r="859">
      <c r="A859" s="11">
        <f>IFERROR(__xludf.DUMMYFUNCTION("""COMPUTED_VALUE"""),2021.0)</f>
        <v>2021</v>
      </c>
      <c r="B859" s="11">
        <f>IFERROR(__xludf.DUMMYFUNCTION("""COMPUTED_VALUE"""),8.0)</f>
        <v>8</v>
      </c>
      <c r="C859" s="11">
        <f>IFERROR(__xludf.DUMMYFUNCTION("""COMPUTED_VALUE"""),80781.0)</f>
        <v>80781</v>
      </c>
      <c r="D859" s="11">
        <f>IFERROR(__xludf.DUMMYFUNCTION("""COMPUTED_VALUE"""),436.0)</f>
        <v>436</v>
      </c>
      <c r="E859" s="9"/>
    </row>
    <row r="860">
      <c r="A860" s="11">
        <f>IFERROR(__xludf.DUMMYFUNCTION("""COMPUTED_VALUE"""),2021.0)</f>
        <v>2021</v>
      </c>
      <c r="B860" s="11">
        <f>IFERROR(__xludf.DUMMYFUNCTION("""COMPUTED_VALUE"""),9.0)</f>
        <v>9</v>
      </c>
      <c r="C860" s="11">
        <f>IFERROR(__xludf.DUMMYFUNCTION("""COMPUTED_VALUE"""),122700.0)</f>
        <v>122700</v>
      </c>
      <c r="D860" s="11">
        <f>IFERROR(__xludf.DUMMYFUNCTION("""COMPUTED_VALUE"""),218.0)</f>
        <v>218</v>
      </c>
      <c r="E860" s="9"/>
    </row>
    <row r="861">
      <c r="A861" s="11">
        <f>IFERROR(__xludf.DUMMYFUNCTION("""COMPUTED_VALUE"""),2021.0)</f>
        <v>2021</v>
      </c>
      <c r="B861" s="11">
        <f>IFERROR(__xludf.DUMMYFUNCTION("""COMPUTED_VALUE"""),8.0)</f>
        <v>8</v>
      </c>
      <c r="C861" s="11">
        <f>IFERROR(__xludf.DUMMYFUNCTION("""COMPUTED_VALUE"""),111783.0)</f>
        <v>111783</v>
      </c>
      <c r="D861" s="11">
        <f>IFERROR(__xludf.DUMMYFUNCTION("""COMPUTED_VALUE"""),1186.0)</f>
        <v>1186</v>
      </c>
      <c r="E861" s="9"/>
    </row>
    <row r="862">
      <c r="A862" s="11">
        <f>IFERROR(__xludf.DUMMYFUNCTION("""COMPUTED_VALUE"""),2021.0)</f>
        <v>2021</v>
      </c>
      <c r="B862" s="11">
        <f>IFERROR(__xludf.DUMMYFUNCTION("""COMPUTED_VALUE"""),9.0)</f>
        <v>9</v>
      </c>
      <c r="C862" s="11">
        <f>IFERROR(__xludf.DUMMYFUNCTION("""COMPUTED_VALUE"""),110724.0)</f>
        <v>110724</v>
      </c>
      <c r="D862" s="11">
        <f>IFERROR(__xludf.DUMMYFUNCTION("""COMPUTED_VALUE"""),884.0)</f>
        <v>884</v>
      </c>
      <c r="E862" s="9"/>
    </row>
    <row r="863">
      <c r="A863" s="11">
        <f>IFERROR(__xludf.DUMMYFUNCTION("""COMPUTED_VALUE"""),2021.0)</f>
        <v>2021</v>
      </c>
      <c r="B863" s="11">
        <f>IFERROR(__xludf.DUMMYFUNCTION("""COMPUTED_VALUE"""),8.0)</f>
        <v>8</v>
      </c>
      <c r="C863" s="11">
        <f>IFERROR(__xludf.DUMMYFUNCTION("""COMPUTED_VALUE"""),13348.0)</f>
        <v>13348</v>
      </c>
      <c r="D863" s="11">
        <f>IFERROR(__xludf.DUMMYFUNCTION("""COMPUTED_VALUE"""),1803.0)</f>
        <v>1803</v>
      </c>
      <c r="E863" s="9"/>
    </row>
    <row r="864">
      <c r="A864" s="11">
        <f>IFERROR(__xludf.DUMMYFUNCTION("""COMPUTED_VALUE"""),2021.0)</f>
        <v>2021</v>
      </c>
      <c r="B864" s="11">
        <f>IFERROR(__xludf.DUMMYFUNCTION("""COMPUTED_VALUE"""),9.0)</f>
        <v>9</v>
      </c>
      <c r="C864" s="11">
        <f>IFERROR(__xludf.DUMMYFUNCTION("""COMPUTED_VALUE"""),28595.0)</f>
        <v>28595</v>
      </c>
      <c r="D864" s="11">
        <f>IFERROR(__xludf.DUMMYFUNCTION("""COMPUTED_VALUE"""),87.0)</f>
        <v>87</v>
      </c>
      <c r="E864" s="9"/>
    </row>
    <row r="865">
      <c r="A865" s="11">
        <f>IFERROR(__xludf.DUMMYFUNCTION("""COMPUTED_VALUE"""),2021.0)</f>
        <v>2021</v>
      </c>
      <c r="B865" s="11">
        <f>IFERROR(__xludf.DUMMYFUNCTION("""COMPUTED_VALUE"""),11.0)</f>
        <v>11</v>
      </c>
      <c r="C865" s="11">
        <f>IFERROR(__xludf.DUMMYFUNCTION("""COMPUTED_VALUE"""),81770.0)</f>
        <v>81770</v>
      </c>
      <c r="D865" s="11">
        <f>IFERROR(__xludf.DUMMYFUNCTION("""COMPUTED_VALUE"""),499.0)</f>
        <v>499</v>
      </c>
      <c r="E865" s="9"/>
    </row>
    <row r="866">
      <c r="A866" s="11">
        <f>IFERROR(__xludf.DUMMYFUNCTION("""COMPUTED_VALUE"""),2021.0)</f>
        <v>2021</v>
      </c>
      <c r="B866" s="11">
        <f>IFERROR(__xludf.DUMMYFUNCTION("""COMPUTED_VALUE"""),10.0)</f>
        <v>10</v>
      </c>
      <c r="C866" s="11">
        <f>IFERROR(__xludf.DUMMYFUNCTION("""COMPUTED_VALUE"""),85059.0)</f>
        <v>85059</v>
      </c>
      <c r="D866" s="11">
        <f>IFERROR(__xludf.DUMMYFUNCTION("""COMPUTED_VALUE"""),603.0)</f>
        <v>603</v>
      </c>
      <c r="E866" s="9"/>
    </row>
    <row r="867">
      <c r="A867" s="11">
        <f>IFERROR(__xludf.DUMMYFUNCTION("""COMPUTED_VALUE"""),2021.0)</f>
        <v>2021</v>
      </c>
      <c r="B867" s="11">
        <f>IFERROR(__xludf.DUMMYFUNCTION("""COMPUTED_VALUE"""),8.0)</f>
        <v>8</v>
      </c>
      <c r="C867" s="11">
        <f>IFERROR(__xludf.DUMMYFUNCTION("""COMPUTED_VALUE"""),110597.0)</f>
        <v>110597</v>
      </c>
      <c r="D867" s="11">
        <f>IFERROR(__xludf.DUMMYFUNCTION("""COMPUTED_VALUE"""),1634.0)</f>
        <v>1634</v>
      </c>
      <c r="E867" s="9"/>
    </row>
    <row r="868">
      <c r="A868" s="11">
        <f>IFERROR(__xludf.DUMMYFUNCTION("""COMPUTED_VALUE"""),2021.0)</f>
        <v>2021</v>
      </c>
      <c r="B868" s="11">
        <f>IFERROR(__xludf.DUMMYFUNCTION("""COMPUTED_VALUE"""),9.0)</f>
        <v>9</v>
      </c>
      <c r="C868" s="11">
        <f>IFERROR(__xludf.DUMMYFUNCTION("""COMPUTED_VALUE"""),7358.0)</f>
        <v>7358</v>
      </c>
      <c r="D868" s="11">
        <f>IFERROR(__xludf.DUMMYFUNCTION("""COMPUTED_VALUE"""),818.0)</f>
        <v>818</v>
      </c>
      <c r="E868" s="9"/>
    </row>
    <row r="869">
      <c r="A869" s="11">
        <f>IFERROR(__xludf.DUMMYFUNCTION("""COMPUTED_VALUE"""),2021.0)</f>
        <v>2021</v>
      </c>
      <c r="B869" s="11">
        <f>IFERROR(__xludf.DUMMYFUNCTION("""COMPUTED_VALUE"""),10.0)</f>
        <v>10</v>
      </c>
      <c r="C869" s="11">
        <f>IFERROR(__xludf.DUMMYFUNCTION("""COMPUTED_VALUE"""),86583.0)</f>
        <v>86583</v>
      </c>
      <c r="D869" s="11">
        <f>IFERROR(__xludf.DUMMYFUNCTION("""COMPUTED_VALUE"""),690.0)</f>
        <v>690</v>
      </c>
      <c r="E869" s="9"/>
    </row>
    <row r="870">
      <c r="A870" s="11">
        <f>IFERROR(__xludf.DUMMYFUNCTION("""COMPUTED_VALUE"""),2021.0)</f>
        <v>2021</v>
      </c>
      <c r="B870" s="11">
        <f>IFERROR(__xludf.DUMMYFUNCTION("""COMPUTED_VALUE"""),9.0)</f>
        <v>9</v>
      </c>
      <c r="C870" s="11">
        <f>IFERROR(__xludf.DUMMYFUNCTION("""COMPUTED_VALUE"""),98100.0)</f>
        <v>98100</v>
      </c>
      <c r="D870" s="11">
        <f>IFERROR(__xludf.DUMMYFUNCTION("""COMPUTED_VALUE"""),1869.0)</f>
        <v>1869</v>
      </c>
      <c r="E870" s="9"/>
    </row>
    <row r="871">
      <c r="A871" s="11">
        <f>IFERROR(__xludf.DUMMYFUNCTION("""COMPUTED_VALUE"""),2021.0)</f>
        <v>2021</v>
      </c>
      <c r="B871" s="11">
        <f>IFERROR(__xludf.DUMMYFUNCTION("""COMPUTED_VALUE"""),10.0)</f>
        <v>10</v>
      </c>
      <c r="C871" s="11">
        <f>IFERROR(__xludf.DUMMYFUNCTION("""COMPUTED_VALUE"""),118154.0)</f>
        <v>118154</v>
      </c>
      <c r="D871" s="11">
        <f>IFERROR(__xludf.DUMMYFUNCTION("""COMPUTED_VALUE"""),457.0)</f>
        <v>457</v>
      </c>
      <c r="E871" s="9"/>
    </row>
    <row r="872">
      <c r="A872" s="11">
        <f>IFERROR(__xludf.DUMMYFUNCTION("""COMPUTED_VALUE"""),2021.0)</f>
        <v>2021</v>
      </c>
      <c r="B872" s="11">
        <f>IFERROR(__xludf.DUMMYFUNCTION("""COMPUTED_VALUE"""),9.0)</f>
        <v>9</v>
      </c>
      <c r="C872" s="11">
        <f>IFERROR(__xludf.DUMMYFUNCTION("""COMPUTED_VALUE"""),42840.0)</f>
        <v>42840</v>
      </c>
      <c r="D872" s="11">
        <f>IFERROR(__xludf.DUMMYFUNCTION("""COMPUTED_VALUE"""),1400.0)</f>
        <v>1400</v>
      </c>
      <c r="E872" s="9"/>
    </row>
    <row r="873">
      <c r="A873" s="11">
        <f>IFERROR(__xludf.DUMMYFUNCTION("""COMPUTED_VALUE"""),2021.0)</f>
        <v>2021</v>
      </c>
      <c r="B873" s="11">
        <f>IFERROR(__xludf.DUMMYFUNCTION("""COMPUTED_VALUE"""),10.0)</f>
        <v>10</v>
      </c>
      <c r="C873" s="11">
        <f>IFERROR(__xludf.DUMMYFUNCTION("""COMPUTED_VALUE"""),47175.0)</f>
        <v>47175</v>
      </c>
      <c r="D873" s="11">
        <f>IFERROR(__xludf.DUMMYFUNCTION("""COMPUTED_VALUE"""),730.0)</f>
        <v>730</v>
      </c>
      <c r="E873" s="9"/>
    </row>
    <row r="874">
      <c r="A874" s="11">
        <f>IFERROR(__xludf.DUMMYFUNCTION("""COMPUTED_VALUE"""),2021.0)</f>
        <v>2021</v>
      </c>
      <c r="B874" s="11">
        <f>IFERROR(__xludf.DUMMYFUNCTION("""COMPUTED_VALUE"""),11.0)</f>
        <v>11</v>
      </c>
      <c r="C874" s="11">
        <f>IFERROR(__xludf.DUMMYFUNCTION("""COMPUTED_VALUE"""),112013.0)</f>
        <v>112013</v>
      </c>
      <c r="D874" s="11">
        <f>IFERROR(__xludf.DUMMYFUNCTION("""COMPUTED_VALUE"""),611.0)</f>
        <v>611</v>
      </c>
      <c r="E874" s="9"/>
    </row>
    <row r="875">
      <c r="A875" s="11">
        <f>IFERROR(__xludf.DUMMYFUNCTION("""COMPUTED_VALUE"""),2021.0)</f>
        <v>2021</v>
      </c>
      <c r="B875" s="11">
        <f>IFERROR(__xludf.DUMMYFUNCTION("""COMPUTED_VALUE"""),10.0)</f>
        <v>10</v>
      </c>
      <c r="C875" s="11">
        <f>IFERROR(__xludf.DUMMYFUNCTION("""COMPUTED_VALUE"""),107953.0)</f>
        <v>107953</v>
      </c>
      <c r="D875" s="11">
        <f>IFERROR(__xludf.DUMMYFUNCTION("""COMPUTED_VALUE"""),1801.0)</f>
        <v>1801</v>
      </c>
      <c r="E875" s="9"/>
    </row>
    <row r="876">
      <c r="A876" s="11">
        <f>IFERROR(__xludf.DUMMYFUNCTION("""COMPUTED_VALUE"""),2021.0)</f>
        <v>2021</v>
      </c>
      <c r="B876" s="11">
        <f>IFERROR(__xludf.DUMMYFUNCTION("""COMPUTED_VALUE"""),8.0)</f>
        <v>8</v>
      </c>
      <c r="C876" s="11">
        <f>IFERROR(__xludf.DUMMYFUNCTION("""COMPUTED_VALUE"""),44738.0)</f>
        <v>44738</v>
      </c>
      <c r="D876" s="11">
        <f>IFERROR(__xludf.DUMMYFUNCTION("""COMPUTED_VALUE"""),1567.0)</f>
        <v>1567</v>
      </c>
      <c r="E876" s="9"/>
    </row>
    <row r="877">
      <c r="A877" s="11">
        <f>IFERROR(__xludf.DUMMYFUNCTION("""COMPUTED_VALUE"""),2021.0)</f>
        <v>2021</v>
      </c>
      <c r="B877" s="11">
        <f>IFERROR(__xludf.DUMMYFUNCTION("""COMPUTED_VALUE"""),10.0)</f>
        <v>10</v>
      </c>
      <c r="C877" s="11">
        <f>IFERROR(__xludf.DUMMYFUNCTION("""COMPUTED_VALUE"""),103386.0)</f>
        <v>103386</v>
      </c>
      <c r="D877" s="11">
        <f>IFERROR(__xludf.DUMMYFUNCTION("""COMPUTED_VALUE"""),631.0)</f>
        <v>631</v>
      </c>
      <c r="E877" s="9"/>
    </row>
    <row r="878">
      <c r="A878" s="11">
        <f>IFERROR(__xludf.DUMMYFUNCTION("""COMPUTED_VALUE"""),2021.0)</f>
        <v>2021</v>
      </c>
      <c r="B878" s="11">
        <f>IFERROR(__xludf.DUMMYFUNCTION("""COMPUTED_VALUE"""),10.0)</f>
        <v>10</v>
      </c>
      <c r="C878" s="11">
        <f>IFERROR(__xludf.DUMMYFUNCTION("""COMPUTED_VALUE"""),86815.0)</f>
        <v>86815</v>
      </c>
      <c r="D878" s="11">
        <f>IFERROR(__xludf.DUMMYFUNCTION("""COMPUTED_VALUE"""),1367.0)</f>
        <v>1367</v>
      </c>
      <c r="E878" s="9"/>
    </row>
    <row r="879">
      <c r="A879" s="11">
        <f>IFERROR(__xludf.DUMMYFUNCTION("""COMPUTED_VALUE"""),2021.0)</f>
        <v>2021</v>
      </c>
      <c r="B879" s="11">
        <f>IFERROR(__xludf.DUMMYFUNCTION("""COMPUTED_VALUE"""),11.0)</f>
        <v>11</v>
      </c>
      <c r="C879" s="11">
        <f>IFERROR(__xludf.DUMMYFUNCTION("""COMPUTED_VALUE"""),46953.0)</f>
        <v>46953</v>
      </c>
      <c r="D879" s="11">
        <f>IFERROR(__xludf.DUMMYFUNCTION("""COMPUTED_VALUE"""),531.0)</f>
        <v>531</v>
      </c>
      <c r="E879" s="9"/>
    </row>
    <row r="880">
      <c r="A880" s="11">
        <f>IFERROR(__xludf.DUMMYFUNCTION("""COMPUTED_VALUE"""),2021.0)</f>
        <v>2021</v>
      </c>
      <c r="B880" s="11">
        <f>IFERROR(__xludf.DUMMYFUNCTION("""COMPUTED_VALUE"""),11.0)</f>
        <v>11</v>
      </c>
      <c r="C880" s="11">
        <f>IFERROR(__xludf.DUMMYFUNCTION("""COMPUTED_VALUE"""),108732.0)</f>
        <v>108732</v>
      </c>
      <c r="D880" s="11">
        <f>IFERROR(__xludf.DUMMYFUNCTION("""COMPUTED_VALUE"""),1105.0)</f>
        <v>1105</v>
      </c>
      <c r="E880" s="9"/>
    </row>
    <row r="881">
      <c r="A881" s="11">
        <f>IFERROR(__xludf.DUMMYFUNCTION("""COMPUTED_VALUE"""),2021.0)</f>
        <v>2021</v>
      </c>
      <c r="B881" s="11">
        <f>IFERROR(__xludf.DUMMYFUNCTION("""COMPUTED_VALUE"""),9.0)</f>
        <v>9</v>
      </c>
      <c r="C881" s="11">
        <f>IFERROR(__xludf.DUMMYFUNCTION("""COMPUTED_VALUE"""),118227.0)</f>
        <v>118227</v>
      </c>
      <c r="D881" s="11">
        <f>IFERROR(__xludf.DUMMYFUNCTION("""COMPUTED_VALUE"""),1117.0)</f>
        <v>1117</v>
      </c>
      <c r="E881" s="9"/>
    </row>
    <row r="882">
      <c r="A882" s="11">
        <f>IFERROR(__xludf.DUMMYFUNCTION("""COMPUTED_VALUE"""),2021.0)</f>
        <v>2021</v>
      </c>
      <c r="B882" s="11">
        <f>IFERROR(__xludf.DUMMYFUNCTION("""COMPUTED_VALUE"""),8.0)</f>
        <v>8</v>
      </c>
      <c r="C882" s="11">
        <f>IFERROR(__xludf.DUMMYFUNCTION("""COMPUTED_VALUE"""),122484.0)</f>
        <v>122484</v>
      </c>
      <c r="D882" s="11">
        <f>IFERROR(__xludf.DUMMYFUNCTION("""COMPUTED_VALUE"""),1276.0)</f>
        <v>1276</v>
      </c>
      <c r="E882" s="9"/>
    </row>
    <row r="883">
      <c r="A883" s="11">
        <f>IFERROR(__xludf.DUMMYFUNCTION("""COMPUTED_VALUE"""),2021.0)</f>
        <v>2021</v>
      </c>
      <c r="B883" s="11">
        <f>IFERROR(__xludf.DUMMYFUNCTION("""COMPUTED_VALUE"""),8.0)</f>
        <v>8</v>
      </c>
      <c r="C883" s="11">
        <f>IFERROR(__xludf.DUMMYFUNCTION("""COMPUTED_VALUE"""),71326.0)</f>
        <v>71326</v>
      </c>
      <c r="D883" s="11">
        <f>IFERROR(__xludf.DUMMYFUNCTION("""COMPUTED_VALUE"""),1599.0)</f>
        <v>1599</v>
      </c>
      <c r="E883" s="9"/>
    </row>
    <row r="884">
      <c r="A884" s="11">
        <f>IFERROR(__xludf.DUMMYFUNCTION("""COMPUTED_VALUE"""),2021.0)</f>
        <v>2021</v>
      </c>
      <c r="B884" s="11">
        <f>IFERROR(__xludf.DUMMYFUNCTION("""COMPUTED_VALUE"""),10.0)</f>
        <v>10</v>
      </c>
      <c r="C884" s="11">
        <f>IFERROR(__xludf.DUMMYFUNCTION("""COMPUTED_VALUE"""),110794.0)</f>
        <v>110794</v>
      </c>
      <c r="D884" s="11">
        <f>IFERROR(__xludf.DUMMYFUNCTION("""COMPUTED_VALUE"""),306.0)</f>
        <v>306</v>
      </c>
      <c r="E884" s="9"/>
    </row>
    <row r="885">
      <c r="A885" s="11">
        <f>IFERROR(__xludf.DUMMYFUNCTION("""COMPUTED_VALUE"""),2021.0)</f>
        <v>2021</v>
      </c>
      <c r="B885" s="11">
        <f>IFERROR(__xludf.DUMMYFUNCTION("""COMPUTED_VALUE"""),8.0)</f>
        <v>8</v>
      </c>
      <c r="C885" s="11">
        <f>IFERROR(__xludf.DUMMYFUNCTION("""COMPUTED_VALUE"""),80066.0)</f>
        <v>80066</v>
      </c>
      <c r="D885" s="11">
        <f>IFERROR(__xludf.DUMMYFUNCTION("""COMPUTED_VALUE"""),463.0)</f>
        <v>463</v>
      </c>
      <c r="E885" s="9"/>
    </row>
    <row r="886">
      <c r="A886" s="11">
        <f>IFERROR(__xludf.DUMMYFUNCTION("""COMPUTED_VALUE"""),2021.0)</f>
        <v>2021</v>
      </c>
      <c r="B886" s="11">
        <f>IFERROR(__xludf.DUMMYFUNCTION("""COMPUTED_VALUE"""),11.0)</f>
        <v>11</v>
      </c>
      <c r="C886" s="11">
        <f>IFERROR(__xludf.DUMMYFUNCTION("""COMPUTED_VALUE"""),106776.0)</f>
        <v>106776</v>
      </c>
      <c r="D886" s="11">
        <f>IFERROR(__xludf.DUMMYFUNCTION("""COMPUTED_VALUE"""),289.0)</f>
        <v>289</v>
      </c>
      <c r="E886" s="9"/>
    </row>
    <row r="887">
      <c r="A887" s="11">
        <f>IFERROR(__xludf.DUMMYFUNCTION("""COMPUTED_VALUE"""),2021.0)</f>
        <v>2021</v>
      </c>
      <c r="B887" s="11">
        <f>IFERROR(__xludf.DUMMYFUNCTION("""COMPUTED_VALUE"""),10.0)</f>
        <v>10</v>
      </c>
      <c r="C887" s="11">
        <f>IFERROR(__xludf.DUMMYFUNCTION("""COMPUTED_VALUE"""),113608.0)</f>
        <v>113608</v>
      </c>
      <c r="D887" s="11">
        <f>IFERROR(__xludf.DUMMYFUNCTION("""COMPUTED_VALUE"""),1845.0)</f>
        <v>1845</v>
      </c>
      <c r="E887" s="9"/>
    </row>
    <row r="888">
      <c r="A888" s="11">
        <f>IFERROR(__xludf.DUMMYFUNCTION("""COMPUTED_VALUE"""),2021.0)</f>
        <v>2021</v>
      </c>
      <c r="B888" s="11">
        <f>IFERROR(__xludf.DUMMYFUNCTION("""COMPUTED_VALUE"""),9.0)</f>
        <v>9</v>
      </c>
      <c r="C888" s="11">
        <f>IFERROR(__xludf.DUMMYFUNCTION("""COMPUTED_VALUE"""),116454.0)</f>
        <v>116454</v>
      </c>
      <c r="D888" s="11">
        <f>IFERROR(__xludf.DUMMYFUNCTION("""COMPUTED_VALUE"""),70.0)</f>
        <v>70</v>
      </c>
      <c r="E888" s="9"/>
    </row>
    <row r="889">
      <c r="A889" s="11">
        <f>IFERROR(__xludf.DUMMYFUNCTION("""COMPUTED_VALUE"""),2021.0)</f>
        <v>2021</v>
      </c>
      <c r="B889" s="11">
        <f>IFERROR(__xludf.DUMMYFUNCTION("""COMPUTED_VALUE"""),8.0)</f>
        <v>8</v>
      </c>
      <c r="C889" s="11">
        <f>IFERROR(__xludf.DUMMYFUNCTION("""COMPUTED_VALUE"""),108724.0)</f>
        <v>108724</v>
      </c>
      <c r="D889" s="11">
        <f>IFERROR(__xludf.DUMMYFUNCTION("""COMPUTED_VALUE"""),666.0)</f>
        <v>666</v>
      </c>
      <c r="E889" s="9"/>
    </row>
    <row r="890">
      <c r="A890" s="11">
        <f>IFERROR(__xludf.DUMMYFUNCTION("""COMPUTED_VALUE"""),2021.0)</f>
        <v>2021</v>
      </c>
      <c r="B890" s="11">
        <f>IFERROR(__xludf.DUMMYFUNCTION("""COMPUTED_VALUE"""),8.0)</f>
        <v>8</v>
      </c>
      <c r="C890" s="11">
        <f>IFERROR(__xludf.DUMMYFUNCTION("""COMPUTED_VALUE"""),118253.0)</f>
        <v>118253</v>
      </c>
      <c r="D890" s="11">
        <f>IFERROR(__xludf.DUMMYFUNCTION("""COMPUTED_VALUE"""),1432.0)</f>
        <v>1432</v>
      </c>
      <c r="E890" s="9"/>
    </row>
    <row r="891">
      <c r="A891" s="11">
        <f>IFERROR(__xludf.DUMMYFUNCTION("""COMPUTED_VALUE"""),2021.0)</f>
        <v>2021</v>
      </c>
      <c r="B891" s="11">
        <f>IFERROR(__xludf.DUMMYFUNCTION("""COMPUTED_VALUE"""),11.0)</f>
        <v>11</v>
      </c>
      <c r="C891" s="11">
        <f>IFERROR(__xludf.DUMMYFUNCTION("""COMPUTED_VALUE"""),110567.0)</f>
        <v>110567</v>
      </c>
      <c r="D891" s="11">
        <f>IFERROR(__xludf.DUMMYFUNCTION("""COMPUTED_VALUE"""),1470.0)</f>
        <v>1470</v>
      </c>
      <c r="E891" s="9"/>
    </row>
    <row r="892">
      <c r="A892" s="11">
        <f>IFERROR(__xludf.DUMMYFUNCTION("""COMPUTED_VALUE"""),2021.0)</f>
        <v>2021</v>
      </c>
      <c r="B892" s="11">
        <f>IFERROR(__xludf.DUMMYFUNCTION("""COMPUTED_VALUE"""),10.0)</f>
        <v>10</v>
      </c>
      <c r="C892" s="11">
        <f>IFERROR(__xludf.DUMMYFUNCTION("""COMPUTED_VALUE"""),122697.0)</f>
        <v>122697</v>
      </c>
      <c r="D892" s="11">
        <f>IFERROR(__xludf.DUMMYFUNCTION("""COMPUTED_VALUE"""),1030.0)</f>
        <v>1030</v>
      </c>
      <c r="E892" s="9"/>
    </row>
    <row r="893">
      <c r="A893" s="11">
        <f>IFERROR(__xludf.DUMMYFUNCTION("""COMPUTED_VALUE"""),2021.0)</f>
        <v>2021</v>
      </c>
      <c r="B893" s="11">
        <f>IFERROR(__xludf.DUMMYFUNCTION("""COMPUTED_VALUE"""),8.0)</f>
        <v>8</v>
      </c>
      <c r="C893" s="11">
        <f>IFERROR(__xludf.DUMMYFUNCTION("""COMPUTED_VALUE"""),109190.0)</f>
        <v>109190</v>
      </c>
      <c r="D893" s="11">
        <f>IFERROR(__xludf.DUMMYFUNCTION("""COMPUTED_VALUE"""),591.0)</f>
        <v>591</v>
      </c>
      <c r="E893" s="9"/>
    </row>
    <row r="894">
      <c r="A894" s="11">
        <f>IFERROR(__xludf.DUMMYFUNCTION("""COMPUTED_VALUE"""),2021.0)</f>
        <v>2021</v>
      </c>
      <c r="B894" s="11">
        <f>IFERROR(__xludf.DUMMYFUNCTION("""COMPUTED_VALUE"""),9.0)</f>
        <v>9</v>
      </c>
      <c r="C894" s="11">
        <f>IFERROR(__xludf.DUMMYFUNCTION("""COMPUTED_VALUE"""),109191.0)</f>
        <v>109191</v>
      </c>
      <c r="D894" s="11">
        <f>IFERROR(__xludf.DUMMYFUNCTION("""COMPUTED_VALUE"""),1591.0)</f>
        <v>1591</v>
      </c>
      <c r="E894" s="9"/>
    </row>
    <row r="895">
      <c r="A895" s="11">
        <f>IFERROR(__xludf.DUMMYFUNCTION("""COMPUTED_VALUE"""),2021.0)</f>
        <v>2021</v>
      </c>
      <c r="B895" s="11">
        <f>IFERROR(__xludf.DUMMYFUNCTION("""COMPUTED_VALUE"""),11.0)</f>
        <v>11</v>
      </c>
      <c r="C895" s="11">
        <f>IFERROR(__xludf.DUMMYFUNCTION("""COMPUTED_VALUE"""),44759.0)</f>
        <v>44759</v>
      </c>
      <c r="D895" s="11">
        <f>IFERROR(__xludf.DUMMYFUNCTION("""COMPUTED_VALUE"""),1476.0)</f>
        <v>1476</v>
      </c>
      <c r="E895" s="9"/>
    </row>
    <row r="896">
      <c r="A896" s="11">
        <f>IFERROR(__xludf.DUMMYFUNCTION("""COMPUTED_VALUE"""),2021.0)</f>
        <v>2021</v>
      </c>
      <c r="B896" s="11">
        <f>IFERROR(__xludf.DUMMYFUNCTION("""COMPUTED_VALUE"""),8.0)</f>
        <v>8</v>
      </c>
      <c r="C896" s="11">
        <f>IFERROR(__xludf.DUMMYFUNCTION("""COMPUTED_VALUE"""),109192.0)</f>
        <v>109192</v>
      </c>
      <c r="D896" s="11">
        <f>IFERROR(__xludf.DUMMYFUNCTION("""COMPUTED_VALUE"""),1371.0)</f>
        <v>1371</v>
      </c>
      <c r="E896" s="9"/>
    </row>
    <row r="897">
      <c r="A897" s="11">
        <f>IFERROR(__xludf.DUMMYFUNCTION("""COMPUTED_VALUE"""),2021.0)</f>
        <v>2021</v>
      </c>
      <c r="B897" s="11">
        <f>IFERROR(__xludf.DUMMYFUNCTION("""COMPUTED_VALUE"""),11.0)</f>
        <v>11</v>
      </c>
      <c r="C897" s="11">
        <f>IFERROR(__xludf.DUMMYFUNCTION("""COMPUTED_VALUE"""),113605.0)</f>
        <v>113605</v>
      </c>
      <c r="D897" s="11">
        <f>IFERROR(__xludf.DUMMYFUNCTION("""COMPUTED_VALUE"""),1457.0)</f>
        <v>1457</v>
      </c>
      <c r="E897" s="9"/>
    </row>
    <row r="898">
      <c r="A898" s="11">
        <f>IFERROR(__xludf.DUMMYFUNCTION("""COMPUTED_VALUE"""),2021.0)</f>
        <v>2021</v>
      </c>
      <c r="B898" s="11">
        <f>IFERROR(__xludf.DUMMYFUNCTION("""COMPUTED_VALUE"""),8.0)</f>
        <v>8</v>
      </c>
      <c r="C898" s="11">
        <f>IFERROR(__xludf.DUMMYFUNCTION("""COMPUTED_VALUE"""),147339.0)</f>
        <v>147339</v>
      </c>
      <c r="D898" s="11">
        <f>IFERROR(__xludf.DUMMYFUNCTION("""COMPUTED_VALUE"""),383.0)</f>
        <v>383</v>
      </c>
      <c r="E898" s="9"/>
    </row>
    <row r="899">
      <c r="A899" s="11">
        <f>IFERROR(__xludf.DUMMYFUNCTION("""COMPUTED_VALUE"""),2021.0)</f>
        <v>2021</v>
      </c>
      <c r="B899" s="11">
        <f>IFERROR(__xludf.DUMMYFUNCTION("""COMPUTED_VALUE"""),9.0)</f>
        <v>9</v>
      </c>
      <c r="C899" s="11">
        <f>IFERROR(__xludf.DUMMYFUNCTION("""COMPUTED_VALUE"""),118068.0)</f>
        <v>118068</v>
      </c>
      <c r="D899" s="11">
        <f>IFERROR(__xludf.DUMMYFUNCTION("""COMPUTED_VALUE"""),526.0)</f>
        <v>526</v>
      </c>
      <c r="E899" s="9"/>
    </row>
    <row r="900">
      <c r="A900" s="11">
        <f>IFERROR(__xludf.DUMMYFUNCTION("""COMPUTED_VALUE"""),2021.0)</f>
        <v>2021</v>
      </c>
      <c r="B900" s="11">
        <f>IFERROR(__xludf.DUMMYFUNCTION("""COMPUTED_VALUE"""),9.0)</f>
        <v>9</v>
      </c>
      <c r="C900" s="11">
        <f>IFERROR(__xludf.DUMMYFUNCTION("""COMPUTED_VALUE"""),44758.0)</f>
        <v>44758</v>
      </c>
      <c r="D900" s="11">
        <f>IFERROR(__xludf.DUMMYFUNCTION("""COMPUTED_VALUE"""),349.0)</f>
        <v>349</v>
      </c>
      <c r="E900" s="9"/>
    </row>
    <row r="901">
      <c r="A901" s="11">
        <f>IFERROR(__xludf.DUMMYFUNCTION("""COMPUTED_VALUE"""),2021.0)</f>
        <v>2021</v>
      </c>
      <c r="B901" s="11">
        <f>IFERROR(__xludf.DUMMYFUNCTION("""COMPUTED_VALUE"""),9.0)</f>
        <v>9</v>
      </c>
      <c r="C901" s="11">
        <f>IFERROR(__xludf.DUMMYFUNCTION("""COMPUTED_VALUE"""),110579.0)</f>
        <v>110579</v>
      </c>
      <c r="D901" s="11">
        <f>IFERROR(__xludf.DUMMYFUNCTION("""COMPUTED_VALUE"""),1398.0)</f>
        <v>1398</v>
      </c>
      <c r="E901" s="9"/>
    </row>
    <row r="902">
      <c r="A902" s="11">
        <f>IFERROR(__xludf.DUMMYFUNCTION("""COMPUTED_VALUE"""),2021.0)</f>
        <v>2021</v>
      </c>
      <c r="B902" s="11">
        <f>IFERROR(__xludf.DUMMYFUNCTION("""COMPUTED_VALUE"""),9.0)</f>
        <v>9</v>
      </c>
      <c r="C902" s="11">
        <f>IFERROR(__xludf.DUMMYFUNCTION("""COMPUTED_VALUE"""),116437.0)</f>
        <v>116437</v>
      </c>
      <c r="D902" s="11">
        <f>IFERROR(__xludf.DUMMYFUNCTION("""COMPUTED_VALUE"""),1701.0)</f>
        <v>1701</v>
      </c>
      <c r="E902" s="9"/>
    </row>
    <row r="903">
      <c r="A903" s="11">
        <f>IFERROR(__xludf.DUMMYFUNCTION("""COMPUTED_VALUE"""),2021.0)</f>
        <v>2021</v>
      </c>
      <c r="B903" s="11">
        <f>IFERROR(__xludf.DUMMYFUNCTION("""COMPUTED_VALUE"""),8.0)</f>
        <v>8</v>
      </c>
      <c r="C903" s="11">
        <f>IFERROR(__xludf.DUMMYFUNCTION("""COMPUTED_VALUE"""),9519.0)</f>
        <v>9519</v>
      </c>
      <c r="D903" s="11">
        <f>IFERROR(__xludf.DUMMYFUNCTION("""COMPUTED_VALUE"""),1852.0)</f>
        <v>1852</v>
      </c>
      <c r="E903" s="9"/>
    </row>
    <row r="904">
      <c r="A904" s="11">
        <f>IFERROR(__xludf.DUMMYFUNCTION("""COMPUTED_VALUE"""),2021.0)</f>
        <v>2021</v>
      </c>
      <c r="B904" s="11">
        <f>IFERROR(__xludf.DUMMYFUNCTION("""COMPUTED_VALUE"""),10.0)</f>
        <v>10</v>
      </c>
      <c r="C904" s="11">
        <f>IFERROR(__xludf.DUMMYFUNCTION("""COMPUTED_VALUE"""),147338.0)</f>
        <v>147338</v>
      </c>
      <c r="D904" s="11">
        <f>IFERROR(__xludf.DUMMYFUNCTION("""COMPUTED_VALUE"""),1713.0)</f>
        <v>1713</v>
      </c>
      <c r="E904" s="9"/>
    </row>
    <row r="905">
      <c r="A905" s="11">
        <f>IFERROR(__xludf.DUMMYFUNCTION("""COMPUTED_VALUE"""),2021.0)</f>
        <v>2021</v>
      </c>
      <c r="B905" s="11">
        <f>IFERROR(__xludf.DUMMYFUNCTION("""COMPUTED_VALUE"""),8.0)</f>
        <v>8</v>
      </c>
      <c r="C905" s="11">
        <f>IFERROR(__xludf.DUMMYFUNCTION("""COMPUTED_VALUE"""),118250.0)</f>
        <v>118250</v>
      </c>
      <c r="D905" s="11">
        <f>IFERROR(__xludf.DUMMYFUNCTION("""COMPUTED_VALUE"""),1234.0)</f>
        <v>1234</v>
      </c>
      <c r="E905" s="9"/>
    </row>
    <row r="906">
      <c r="A906" s="11">
        <f>IFERROR(__xludf.DUMMYFUNCTION("""COMPUTED_VALUE"""),2021.0)</f>
        <v>2021</v>
      </c>
      <c r="B906" s="11">
        <f>IFERROR(__xludf.DUMMYFUNCTION("""COMPUTED_VALUE"""),8.0)</f>
        <v>8</v>
      </c>
      <c r="C906" s="11">
        <f>IFERROR(__xludf.DUMMYFUNCTION("""COMPUTED_VALUE"""),20053.0)</f>
        <v>20053</v>
      </c>
      <c r="D906" s="11">
        <f>IFERROR(__xludf.DUMMYFUNCTION("""COMPUTED_VALUE"""),445.0)</f>
        <v>445</v>
      </c>
      <c r="E906" s="9"/>
    </row>
    <row r="907">
      <c r="A907" s="11">
        <f>IFERROR(__xludf.DUMMYFUNCTION("""COMPUTED_VALUE"""),2021.0)</f>
        <v>2021</v>
      </c>
      <c r="B907" s="11">
        <f>IFERROR(__xludf.DUMMYFUNCTION("""COMPUTED_VALUE"""),10.0)</f>
        <v>10</v>
      </c>
      <c r="C907" s="11">
        <f>IFERROR(__xludf.DUMMYFUNCTION("""COMPUTED_VALUE"""),71321.0)</f>
        <v>71321</v>
      </c>
      <c r="D907" s="11">
        <f>IFERROR(__xludf.DUMMYFUNCTION("""COMPUTED_VALUE"""),1495.0)</f>
        <v>1495</v>
      </c>
      <c r="E907" s="9"/>
    </row>
    <row r="908">
      <c r="A908" s="11">
        <f>IFERROR(__xludf.DUMMYFUNCTION("""COMPUTED_VALUE"""),2021.0)</f>
        <v>2021</v>
      </c>
      <c r="B908" s="11">
        <f>IFERROR(__xludf.DUMMYFUNCTION("""COMPUTED_VALUE"""),10.0)</f>
        <v>10</v>
      </c>
      <c r="C908" s="11">
        <f>IFERROR(__xludf.DUMMYFUNCTION("""COMPUTED_VALUE"""),79503.0)</f>
        <v>79503</v>
      </c>
      <c r="D908" s="11">
        <f>IFERROR(__xludf.DUMMYFUNCTION("""COMPUTED_VALUE"""),1551.0)</f>
        <v>1551</v>
      </c>
      <c r="E908" s="9"/>
    </row>
    <row r="909">
      <c r="A909" s="11">
        <f>IFERROR(__xludf.DUMMYFUNCTION("""COMPUTED_VALUE"""),2021.0)</f>
        <v>2021</v>
      </c>
      <c r="B909" s="11">
        <f>IFERROR(__xludf.DUMMYFUNCTION("""COMPUTED_VALUE"""),11.0)</f>
        <v>11</v>
      </c>
      <c r="C909" s="11">
        <f>IFERROR(__xludf.DUMMYFUNCTION("""COMPUTED_VALUE"""),99270.0)</f>
        <v>99270</v>
      </c>
      <c r="D909" s="11">
        <f>IFERROR(__xludf.DUMMYFUNCTION("""COMPUTED_VALUE"""),484.0)</f>
        <v>484</v>
      </c>
      <c r="E909" s="9"/>
    </row>
    <row r="910">
      <c r="A910" s="11">
        <f>IFERROR(__xludf.DUMMYFUNCTION("""COMPUTED_VALUE"""),2021.0)</f>
        <v>2021</v>
      </c>
      <c r="B910" s="11">
        <f>IFERROR(__xludf.DUMMYFUNCTION("""COMPUTED_VALUE"""),8.0)</f>
        <v>8</v>
      </c>
      <c r="C910" s="11">
        <f>IFERROR(__xludf.DUMMYFUNCTION("""COMPUTED_VALUE"""),112848.0)</f>
        <v>112848</v>
      </c>
      <c r="D910" s="11">
        <f>IFERROR(__xludf.DUMMYFUNCTION("""COMPUTED_VALUE"""),454.0)</f>
        <v>454</v>
      </c>
      <c r="E910" s="9"/>
    </row>
    <row r="911">
      <c r="A911" s="11">
        <f>IFERROR(__xludf.DUMMYFUNCTION("""COMPUTED_VALUE"""),2021.0)</f>
        <v>2021</v>
      </c>
      <c r="B911" s="11">
        <f>IFERROR(__xludf.DUMMYFUNCTION("""COMPUTED_VALUE"""),10.0)</f>
        <v>10</v>
      </c>
      <c r="C911" s="11">
        <f>IFERROR(__xludf.DUMMYFUNCTION("""COMPUTED_VALUE"""),13369.0)</f>
        <v>13369</v>
      </c>
      <c r="D911" s="11">
        <f>IFERROR(__xludf.DUMMYFUNCTION("""COMPUTED_VALUE"""),522.0)</f>
        <v>522</v>
      </c>
      <c r="E911" s="9"/>
    </row>
    <row r="912">
      <c r="A912" s="11">
        <f>IFERROR(__xludf.DUMMYFUNCTION("""COMPUTED_VALUE"""),2021.0)</f>
        <v>2021</v>
      </c>
      <c r="B912" s="11">
        <f>IFERROR(__xludf.DUMMYFUNCTION("""COMPUTED_VALUE"""),11.0)</f>
        <v>11</v>
      </c>
      <c r="C912" s="11">
        <f>IFERROR(__xludf.DUMMYFUNCTION("""COMPUTED_VALUE"""),147336.0)</f>
        <v>147336</v>
      </c>
      <c r="D912" s="11">
        <f>IFERROR(__xludf.DUMMYFUNCTION("""COMPUTED_VALUE"""),1499.0)</f>
        <v>1499</v>
      </c>
      <c r="E912" s="9"/>
    </row>
    <row r="913">
      <c r="A913" s="11">
        <f>IFERROR(__xludf.DUMMYFUNCTION("""COMPUTED_VALUE"""),2021.0)</f>
        <v>2021</v>
      </c>
      <c r="B913" s="11">
        <f>IFERROR(__xludf.DUMMYFUNCTION("""COMPUTED_VALUE"""),8.0)</f>
        <v>8</v>
      </c>
      <c r="C913" s="11">
        <f>IFERROR(__xludf.DUMMYFUNCTION("""COMPUTED_VALUE"""),114899.0)</f>
        <v>114899</v>
      </c>
      <c r="D913" s="11">
        <f>IFERROR(__xludf.DUMMYFUNCTION("""COMPUTED_VALUE"""),1781.0)</f>
        <v>1781</v>
      </c>
      <c r="E913" s="9"/>
    </row>
    <row r="914">
      <c r="A914" s="11">
        <f>IFERROR(__xludf.DUMMYFUNCTION("""COMPUTED_VALUE"""),2021.0)</f>
        <v>2021</v>
      </c>
      <c r="B914" s="11">
        <f>IFERROR(__xludf.DUMMYFUNCTION("""COMPUTED_VALUE"""),9.0)</f>
        <v>9</v>
      </c>
      <c r="C914" s="11">
        <f>IFERROR(__xludf.DUMMYFUNCTION("""COMPUTED_VALUE"""),113607.0)</f>
        <v>113607</v>
      </c>
      <c r="D914" s="11">
        <f>IFERROR(__xludf.DUMMYFUNCTION("""COMPUTED_VALUE"""),752.0)</f>
        <v>752</v>
      </c>
      <c r="E914" s="9"/>
    </row>
    <row r="915">
      <c r="A915" s="11">
        <f>IFERROR(__xludf.DUMMYFUNCTION("""COMPUTED_VALUE"""),2021.0)</f>
        <v>2021</v>
      </c>
      <c r="B915" s="11">
        <f>IFERROR(__xludf.DUMMYFUNCTION("""COMPUTED_VALUE"""),9.0)</f>
        <v>9</v>
      </c>
      <c r="C915" s="11">
        <f>IFERROR(__xludf.DUMMYFUNCTION("""COMPUTED_VALUE"""),47183.0)</f>
        <v>47183</v>
      </c>
      <c r="D915" s="11">
        <f>IFERROR(__xludf.DUMMYFUNCTION("""COMPUTED_VALUE"""),1018.0)</f>
        <v>1018</v>
      </c>
      <c r="E915" s="9"/>
    </row>
    <row r="916">
      <c r="A916" s="11">
        <f>IFERROR(__xludf.DUMMYFUNCTION("""COMPUTED_VALUE"""),2021.0)</f>
        <v>2021</v>
      </c>
      <c r="B916" s="11">
        <f>IFERROR(__xludf.DUMMYFUNCTION("""COMPUTED_VALUE"""),9.0)</f>
        <v>9</v>
      </c>
      <c r="C916" s="11">
        <f>IFERROR(__xludf.DUMMYFUNCTION("""COMPUTED_VALUE"""),78338.0)</f>
        <v>78338</v>
      </c>
      <c r="D916" s="11">
        <f>IFERROR(__xludf.DUMMYFUNCTION("""COMPUTED_VALUE"""),754.0)</f>
        <v>754</v>
      </c>
      <c r="E916" s="9"/>
    </row>
    <row r="917">
      <c r="A917" s="11">
        <f>IFERROR(__xludf.DUMMYFUNCTION("""COMPUTED_VALUE"""),2021.0)</f>
        <v>2021</v>
      </c>
      <c r="B917" s="11">
        <f>IFERROR(__xludf.DUMMYFUNCTION("""COMPUTED_VALUE"""),10.0)</f>
        <v>10</v>
      </c>
      <c r="C917" s="11">
        <f>IFERROR(__xludf.DUMMYFUNCTION("""COMPUTED_VALUE"""),9526.0)</f>
        <v>9526</v>
      </c>
      <c r="D917" s="11">
        <f>IFERROR(__xludf.DUMMYFUNCTION("""COMPUTED_VALUE"""),352.0)</f>
        <v>352</v>
      </c>
      <c r="E917" s="9"/>
    </row>
    <row r="918">
      <c r="A918" s="11">
        <f>IFERROR(__xludf.DUMMYFUNCTION("""COMPUTED_VALUE"""),2021.0)</f>
        <v>2021</v>
      </c>
      <c r="B918" s="11">
        <f>IFERROR(__xludf.DUMMYFUNCTION("""COMPUTED_VALUE"""),9.0)</f>
        <v>9</v>
      </c>
      <c r="C918" s="11">
        <f>IFERROR(__xludf.DUMMYFUNCTION("""COMPUTED_VALUE"""),107910.0)</f>
        <v>107910</v>
      </c>
      <c r="D918" s="11">
        <f>IFERROR(__xludf.DUMMYFUNCTION("""COMPUTED_VALUE"""),158.0)</f>
        <v>158</v>
      </c>
      <c r="E918" s="9"/>
    </row>
    <row r="919">
      <c r="A919" s="11">
        <f>IFERROR(__xludf.DUMMYFUNCTION("""COMPUTED_VALUE"""),2021.0)</f>
        <v>2021</v>
      </c>
      <c r="B919" s="11">
        <f>IFERROR(__xludf.DUMMYFUNCTION("""COMPUTED_VALUE"""),10.0)</f>
        <v>10</v>
      </c>
      <c r="C919" s="11">
        <f>IFERROR(__xludf.DUMMYFUNCTION("""COMPUTED_VALUE"""),20056.0)</f>
        <v>20056</v>
      </c>
      <c r="D919" s="11">
        <f>IFERROR(__xludf.DUMMYFUNCTION("""COMPUTED_VALUE"""),913.0)</f>
        <v>913</v>
      </c>
      <c r="E919" s="9"/>
    </row>
    <row r="920">
      <c r="A920" s="11">
        <f>IFERROR(__xludf.DUMMYFUNCTION("""COMPUTED_VALUE"""),2021.0)</f>
        <v>2021</v>
      </c>
      <c r="B920" s="11">
        <f>IFERROR(__xludf.DUMMYFUNCTION("""COMPUTED_VALUE"""),11.0)</f>
        <v>11</v>
      </c>
      <c r="C920" s="11">
        <f>IFERROR(__xludf.DUMMYFUNCTION("""COMPUTED_VALUE"""),108951.0)</f>
        <v>108951</v>
      </c>
      <c r="D920" s="11">
        <f>IFERROR(__xludf.DUMMYFUNCTION("""COMPUTED_VALUE"""),885.0)</f>
        <v>885</v>
      </c>
      <c r="E920" s="9"/>
    </row>
    <row r="921">
      <c r="A921" s="11">
        <f>IFERROR(__xludf.DUMMYFUNCTION("""COMPUTED_VALUE"""),2021.0)</f>
        <v>2021</v>
      </c>
      <c r="B921" s="11">
        <f>IFERROR(__xludf.DUMMYFUNCTION("""COMPUTED_VALUE"""),8.0)</f>
        <v>8</v>
      </c>
      <c r="C921" s="11">
        <f>IFERROR(__xludf.DUMMYFUNCTION("""COMPUTED_VALUE"""),107783.0)</f>
        <v>107783</v>
      </c>
      <c r="D921" s="11">
        <f>IFERROR(__xludf.DUMMYFUNCTION("""COMPUTED_VALUE"""),1445.0)</f>
        <v>1445</v>
      </c>
      <c r="E921" s="9"/>
    </row>
    <row r="922">
      <c r="A922" s="11">
        <f>IFERROR(__xludf.DUMMYFUNCTION("""COMPUTED_VALUE"""),2021.0)</f>
        <v>2021</v>
      </c>
      <c r="B922" s="11">
        <f>IFERROR(__xludf.DUMMYFUNCTION("""COMPUTED_VALUE"""),9.0)</f>
        <v>9</v>
      </c>
      <c r="C922" s="11">
        <f>IFERROR(__xludf.DUMMYFUNCTION("""COMPUTED_VALUE"""),80798.0)</f>
        <v>80798</v>
      </c>
      <c r="D922" s="11">
        <f>IFERROR(__xludf.DUMMYFUNCTION("""COMPUTED_VALUE"""),1229.0)</f>
        <v>1229</v>
      </c>
      <c r="E922" s="9"/>
    </row>
    <row r="923">
      <c r="A923" s="11">
        <f>IFERROR(__xludf.DUMMYFUNCTION("""COMPUTED_VALUE"""),2021.0)</f>
        <v>2021</v>
      </c>
      <c r="B923" s="11">
        <f>IFERROR(__xludf.DUMMYFUNCTION("""COMPUTED_VALUE"""),11.0)</f>
        <v>11</v>
      </c>
      <c r="C923" s="11">
        <f>IFERROR(__xludf.DUMMYFUNCTION("""COMPUTED_VALUE"""),108950.0)</f>
        <v>108950</v>
      </c>
      <c r="D923" s="11">
        <f>IFERROR(__xludf.DUMMYFUNCTION("""COMPUTED_VALUE"""),1905.0)</f>
        <v>1905</v>
      </c>
      <c r="E923" s="9"/>
    </row>
    <row r="924">
      <c r="A924" s="11">
        <f>IFERROR(__xludf.DUMMYFUNCTION("""COMPUTED_VALUE"""),2021.0)</f>
        <v>2021</v>
      </c>
      <c r="B924" s="11">
        <f>IFERROR(__xludf.DUMMYFUNCTION("""COMPUTED_VALUE"""),9.0)</f>
        <v>9</v>
      </c>
      <c r="C924" s="11">
        <f>IFERROR(__xludf.DUMMYFUNCTION("""COMPUTED_VALUE"""),112847.0)</f>
        <v>112847</v>
      </c>
      <c r="D924" s="11">
        <f>IFERROR(__xludf.DUMMYFUNCTION("""COMPUTED_VALUE"""),1959.0)</f>
        <v>1959</v>
      </c>
      <c r="E924" s="9"/>
    </row>
    <row r="925">
      <c r="A925" s="11">
        <f>IFERROR(__xludf.DUMMYFUNCTION("""COMPUTED_VALUE"""),2021.0)</f>
        <v>2021</v>
      </c>
      <c r="B925" s="11">
        <f>IFERROR(__xludf.DUMMYFUNCTION("""COMPUTED_VALUE"""),11.0)</f>
        <v>11</v>
      </c>
      <c r="C925" s="11">
        <f>IFERROR(__xludf.DUMMYFUNCTION("""COMPUTED_VALUE"""),109202.0)</f>
        <v>109202</v>
      </c>
      <c r="D925" s="11">
        <f>IFERROR(__xludf.DUMMYFUNCTION("""COMPUTED_VALUE"""),33.0)</f>
        <v>33</v>
      </c>
      <c r="E925" s="9"/>
    </row>
    <row r="926">
      <c r="A926" s="11">
        <f>IFERROR(__xludf.DUMMYFUNCTION("""COMPUTED_VALUE"""),2021.0)</f>
        <v>2021</v>
      </c>
      <c r="B926" s="11">
        <f>IFERROR(__xludf.DUMMYFUNCTION("""COMPUTED_VALUE"""),11.0)</f>
        <v>11</v>
      </c>
      <c r="C926" s="11">
        <f>IFERROR(__xludf.DUMMYFUNCTION("""COMPUTED_VALUE"""),109198.0)</f>
        <v>109198</v>
      </c>
      <c r="D926" s="11">
        <f>IFERROR(__xludf.DUMMYFUNCTION("""COMPUTED_VALUE"""),213.0)</f>
        <v>213</v>
      </c>
      <c r="E926" s="9"/>
    </row>
    <row r="927">
      <c r="A927" s="11">
        <f>IFERROR(__xludf.DUMMYFUNCTION("""COMPUTED_VALUE"""),2021.0)</f>
        <v>2021</v>
      </c>
      <c r="B927" s="11">
        <f>IFERROR(__xludf.DUMMYFUNCTION("""COMPUTED_VALUE"""),10.0)</f>
        <v>10</v>
      </c>
      <c r="C927" s="11">
        <f>IFERROR(__xludf.DUMMYFUNCTION("""COMPUTED_VALUE"""),108990.0)</f>
        <v>108990</v>
      </c>
      <c r="D927" s="11">
        <f>IFERROR(__xludf.DUMMYFUNCTION("""COMPUTED_VALUE"""),1536.0)</f>
        <v>1536</v>
      </c>
      <c r="E927" s="9"/>
    </row>
    <row r="928">
      <c r="A928" s="11">
        <f>IFERROR(__xludf.DUMMYFUNCTION("""COMPUTED_VALUE"""),2021.0)</f>
        <v>2021</v>
      </c>
      <c r="B928" s="11">
        <f>IFERROR(__xludf.DUMMYFUNCTION("""COMPUTED_VALUE"""),10.0)</f>
        <v>10</v>
      </c>
      <c r="C928" s="11">
        <f>IFERROR(__xludf.DUMMYFUNCTION("""COMPUTED_VALUE"""),72815.0)</f>
        <v>72815</v>
      </c>
      <c r="D928" s="11">
        <f>IFERROR(__xludf.DUMMYFUNCTION("""COMPUTED_VALUE"""),588.0)</f>
        <v>588</v>
      </c>
      <c r="E928" s="9"/>
    </row>
    <row r="929">
      <c r="A929" s="11">
        <f>IFERROR(__xludf.DUMMYFUNCTION("""COMPUTED_VALUE"""),2021.0)</f>
        <v>2021</v>
      </c>
      <c r="B929" s="11">
        <f>IFERROR(__xludf.DUMMYFUNCTION("""COMPUTED_VALUE"""),9.0)</f>
        <v>9</v>
      </c>
      <c r="C929" s="11">
        <f>IFERROR(__xludf.DUMMYFUNCTION("""COMPUTED_VALUE"""),9479.0)</f>
        <v>9479</v>
      </c>
      <c r="D929" s="11">
        <f>IFERROR(__xludf.DUMMYFUNCTION("""COMPUTED_VALUE"""),1429.0)</f>
        <v>1429</v>
      </c>
      <c r="E929" s="9"/>
    </row>
    <row r="930">
      <c r="A930" s="11">
        <f>IFERROR(__xludf.DUMMYFUNCTION("""COMPUTED_VALUE"""),2021.0)</f>
        <v>2021</v>
      </c>
      <c r="B930" s="11">
        <f>IFERROR(__xludf.DUMMYFUNCTION("""COMPUTED_VALUE"""),9.0)</f>
        <v>9</v>
      </c>
      <c r="C930" s="11">
        <f>IFERROR(__xludf.DUMMYFUNCTION("""COMPUTED_VALUE"""),46961.0)</f>
        <v>46961</v>
      </c>
      <c r="D930" s="11">
        <f>IFERROR(__xludf.DUMMYFUNCTION("""COMPUTED_VALUE"""),847.0)</f>
        <v>847</v>
      </c>
      <c r="E930" s="9"/>
    </row>
    <row r="931">
      <c r="A931" s="11">
        <f>IFERROR(__xludf.DUMMYFUNCTION("""COMPUTED_VALUE"""),2021.0)</f>
        <v>2021</v>
      </c>
      <c r="B931" s="11">
        <f>IFERROR(__xludf.DUMMYFUNCTION("""COMPUTED_VALUE"""),9.0)</f>
        <v>9</v>
      </c>
      <c r="C931" s="11">
        <f>IFERROR(__xludf.DUMMYFUNCTION("""COMPUTED_VALUE"""),122352.0)</f>
        <v>122352</v>
      </c>
      <c r="D931" s="11">
        <f>IFERROR(__xludf.DUMMYFUNCTION("""COMPUTED_VALUE"""),143.0)</f>
        <v>143</v>
      </c>
      <c r="E931" s="9"/>
    </row>
    <row r="932">
      <c r="A932" s="11">
        <f>IFERROR(__xludf.DUMMYFUNCTION("""COMPUTED_VALUE"""),2021.0)</f>
        <v>2021</v>
      </c>
      <c r="B932" s="11">
        <f>IFERROR(__xludf.DUMMYFUNCTION("""COMPUTED_VALUE"""),9.0)</f>
        <v>9</v>
      </c>
      <c r="C932" s="11">
        <f>IFERROR(__xludf.DUMMYFUNCTION("""COMPUTED_VALUE"""),44750.0)</f>
        <v>44750</v>
      </c>
      <c r="D932" s="11">
        <f>IFERROR(__xludf.DUMMYFUNCTION("""COMPUTED_VALUE"""),597.0)</f>
        <v>597</v>
      </c>
      <c r="E932" s="9"/>
    </row>
    <row r="933">
      <c r="A933" s="11">
        <f>IFERROR(__xludf.DUMMYFUNCTION("""COMPUTED_VALUE"""),2021.0)</f>
        <v>2021</v>
      </c>
      <c r="B933" s="11">
        <f>IFERROR(__xludf.DUMMYFUNCTION("""COMPUTED_VALUE"""),8.0)</f>
        <v>8</v>
      </c>
      <c r="C933" s="11">
        <f>IFERROR(__xludf.DUMMYFUNCTION("""COMPUTED_VALUE"""),114405.0)</f>
        <v>114405</v>
      </c>
      <c r="D933" s="11">
        <f>IFERROR(__xludf.DUMMYFUNCTION("""COMPUTED_VALUE"""),1527.0)</f>
        <v>1527</v>
      </c>
      <c r="E933" s="9"/>
    </row>
    <row r="934">
      <c r="A934" s="11">
        <f>IFERROR(__xludf.DUMMYFUNCTION("""COMPUTED_VALUE"""),2021.0)</f>
        <v>2021</v>
      </c>
      <c r="B934" s="11">
        <f>IFERROR(__xludf.DUMMYFUNCTION("""COMPUTED_VALUE"""),9.0)</f>
        <v>9</v>
      </c>
      <c r="C934" s="11">
        <f>IFERROR(__xludf.DUMMYFUNCTION("""COMPUTED_VALUE"""),2797.0)</f>
        <v>2797</v>
      </c>
      <c r="D934" s="11">
        <f>IFERROR(__xludf.DUMMYFUNCTION("""COMPUTED_VALUE"""),50.0)</f>
        <v>50</v>
      </c>
      <c r="E934" s="9"/>
    </row>
    <row r="935">
      <c r="A935" s="11">
        <f>IFERROR(__xludf.DUMMYFUNCTION("""COMPUTED_VALUE"""),2021.0)</f>
        <v>2021</v>
      </c>
      <c r="B935" s="11">
        <f>IFERROR(__xludf.DUMMYFUNCTION("""COMPUTED_VALUE"""),8.0)</f>
        <v>8</v>
      </c>
      <c r="C935" s="11">
        <f>IFERROR(__xludf.DUMMYFUNCTION("""COMPUTED_VALUE"""),79499.0)</f>
        <v>79499</v>
      </c>
      <c r="D935" s="11">
        <f>IFERROR(__xludf.DUMMYFUNCTION("""COMPUTED_VALUE"""),3.0)</f>
        <v>3</v>
      </c>
      <c r="E935" s="9"/>
    </row>
    <row r="936">
      <c r="A936" s="11">
        <f>IFERROR(__xludf.DUMMYFUNCTION("""COMPUTED_VALUE"""),2021.0)</f>
        <v>2021</v>
      </c>
      <c r="B936" s="11">
        <f>IFERROR(__xludf.DUMMYFUNCTION("""COMPUTED_VALUE"""),11.0)</f>
        <v>11</v>
      </c>
      <c r="C936" s="11">
        <f>IFERROR(__xludf.DUMMYFUNCTION("""COMPUTED_VALUE"""),5902.0)</f>
        <v>5902</v>
      </c>
      <c r="D936" s="11">
        <f>IFERROR(__xludf.DUMMYFUNCTION("""COMPUTED_VALUE"""),1244.0)</f>
        <v>1244</v>
      </c>
      <c r="E936" s="9"/>
    </row>
    <row r="937">
      <c r="A937" s="11">
        <f>IFERROR(__xludf.DUMMYFUNCTION("""COMPUTED_VALUE"""),2021.0)</f>
        <v>2021</v>
      </c>
      <c r="B937" s="11">
        <f>IFERROR(__xludf.DUMMYFUNCTION("""COMPUTED_VALUE"""),10.0)</f>
        <v>10</v>
      </c>
      <c r="C937" s="11">
        <f>IFERROR(__xludf.DUMMYFUNCTION("""COMPUTED_VALUE"""),46956.0)</f>
        <v>46956</v>
      </c>
      <c r="D937" s="11">
        <f>IFERROR(__xludf.DUMMYFUNCTION("""COMPUTED_VALUE"""),1097.0)</f>
        <v>1097</v>
      </c>
      <c r="E937" s="9"/>
    </row>
    <row r="938">
      <c r="A938" s="11">
        <f>IFERROR(__xludf.DUMMYFUNCTION("""COMPUTED_VALUE"""),2021.0)</f>
        <v>2021</v>
      </c>
      <c r="B938" s="11">
        <f>IFERROR(__xludf.DUMMYFUNCTION("""COMPUTED_VALUE"""),8.0)</f>
        <v>8</v>
      </c>
      <c r="C938" s="11">
        <f>IFERROR(__xludf.DUMMYFUNCTION("""COMPUTED_VALUE"""),11490.0)</f>
        <v>11490</v>
      </c>
      <c r="D938" s="11">
        <f>IFERROR(__xludf.DUMMYFUNCTION("""COMPUTED_VALUE"""),244.0)</f>
        <v>244</v>
      </c>
      <c r="E938" s="9"/>
    </row>
    <row r="939">
      <c r="A939" s="11">
        <f>IFERROR(__xludf.DUMMYFUNCTION("""COMPUTED_VALUE"""),2021.0)</f>
        <v>2021</v>
      </c>
      <c r="B939" s="11">
        <f>IFERROR(__xludf.DUMMYFUNCTION("""COMPUTED_VALUE"""),11.0)</f>
        <v>11</v>
      </c>
      <c r="C939" s="11">
        <f>IFERROR(__xludf.DUMMYFUNCTION("""COMPUTED_VALUE"""),8027.0)</f>
        <v>8027</v>
      </c>
      <c r="D939" s="11">
        <f>IFERROR(__xludf.DUMMYFUNCTION("""COMPUTED_VALUE"""),1911.0)</f>
        <v>1911</v>
      </c>
      <c r="E939" s="9"/>
    </row>
    <row r="940">
      <c r="A940" s="11">
        <f>IFERROR(__xludf.DUMMYFUNCTION("""COMPUTED_VALUE"""),2021.0)</f>
        <v>2021</v>
      </c>
      <c r="B940" s="11">
        <f>IFERROR(__xludf.DUMMYFUNCTION("""COMPUTED_VALUE"""),8.0)</f>
        <v>8</v>
      </c>
      <c r="C940" s="11">
        <f>IFERROR(__xludf.DUMMYFUNCTION("""COMPUTED_VALUE"""),121588.0)</f>
        <v>121588</v>
      </c>
      <c r="D940" s="11">
        <f>IFERROR(__xludf.DUMMYFUNCTION("""COMPUTED_VALUE"""),1191.0)</f>
        <v>1191</v>
      </c>
      <c r="E940" s="9"/>
    </row>
    <row r="941">
      <c r="A941" s="11">
        <f>IFERROR(__xludf.DUMMYFUNCTION("""COMPUTED_VALUE"""),2021.0)</f>
        <v>2021</v>
      </c>
      <c r="B941" s="11">
        <f>IFERROR(__xludf.DUMMYFUNCTION("""COMPUTED_VALUE"""),10.0)</f>
        <v>10</v>
      </c>
      <c r="C941" s="11">
        <f>IFERROR(__xludf.DUMMYFUNCTION("""COMPUTED_VALUE"""),1279.0)</f>
        <v>1279</v>
      </c>
      <c r="D941" s="11">
        <f>IFERROR(__xludf.DUMMYFUNCTION("""COMPUTED_VALUE"""),1615.0)</f>
        <v>1615</v>
      </c>
      <c r="E941" s="9"/>
    </row>
    <row r="942">
      <c r="A942" s="11">
        <f>IFERROR(__xludf.DUMMYFUNCTION("""COMPUTED_VALUE"""),2021.0)</f>
        <v>2021</v>
      </c>
      <c r="B942" s="11">
        <f>IFERROR(__xludf.DUMMYFUNCTION("""COMPUTED_VALUE"""),11.0)</f>
        <v>11</v>
      </c>
      <c r="C942" s="11">
        <f>IFERROR(__xludf.DUMMYFUNCTION("""COMPUTED_VALUE"""),5978.0)</f>
        <v>5978</v>
      </c>
      <c r="D942" s="11">
        <f>IFERROR(__xludf.DUMMYFUNCTION("""COMPUTED_VALUE"""),152.0)</f>
        <v>152</v>
      </c>
      <c r="E942" s="9"/>
    </row>
    <row r="943">
      <c r="A943" s="11">
        <f>IFERROR(__xludf.DUMMYFUNCTION("""COMPUTED_VALUE"""),2021.0)</f>
        <v>2021</v>
      </c>
      <c r="B943" s="11">
        <f>IFERROR(__xludf.DUMMYFUNCTION("""COMPUTED_VALUE"""),8.0)</f>
        <v>8</v>
      </c>
      <c r="C943" s="11">
        <f>IFERROR(__xludf.DUMMYFUNCTION("""COMPUTED_VALUE"""),72813.0)</f>
        <v>72813</v>
      </c>
      <c r="D943" s="11">
        <f>IFERROR(__xludf.DUMMYFUNCTION("""COMPUTED_VALUE"""),1675.0)</f>
        <v>1675</v>
      </c>
      <c r="E943" s="9"/>
    </row>
    <row r="944">
      <c r="A944" s="11">
        <f>IFERROR(__xludf.DUMMYFUNCTION("""COMPUTED_VALUE"""),2021.0)</f>
        <v>2021</v>
      </c>
      <c r="B944" s="11">
        <f>IFERROR(__xludf.DUMMYFUNCTION("""COMPUTED_VALUE"""),10.0)</f>
        <v>10</v>
      </c>
      <c r="C944" s="11">
        <f>IFERROR(__xludf.DUMMYFUNCTION("""COMPUTED_VALUE"""),9486.0)</f>
        <v>9486</v>
      </c>
      <c r="D944" s="11">
        <f>IFERROR(__xludf.DUMMYFUNCTION("""COMPUTED_VALUE"""),1482.0)</f>
        <v>1482</v>
      </c>
      <c r="E944" s="9"/>
    </row>
    <row r="945">
      <c r="A945" s="11">
        <f>IFERROR(__xludf.DUMMYFUNCTION("""COMPUTED_VALUE"""),2021.0)</f>
        <v>2021</v>
      </c>
      <c r="B945" s="11">
        <f>IFERROR(__xludf.DUMMYFUNCTION("""COMPUTED_VALUE"""),9.0)</f>
        <v>9</v>
      </c>
      <c r="C945" s="11">
        <f>IFERROR(__xludf.DUMMYFUNCTION("""COMPUTED_VALUE"""),2791.0)</f>
        <v>2791</v>
      </c>
      <c r="D945" s="11">
        <f>IFERROR(__xludf.DUMMYFUNCTION("""COMPUTED_VALUE"""),1115.0)</f>
        <v>1115</v>
      </c>
      <c r="E945" s="9"/>
    </row>
    <row r="946">
      <c r="A946" s="11">
        <f>IFERROR(__xludf.DUMMYFUNCTION("""COMPUTED_VALUE"""),2021.0)</f>
        <v>2021</v>
      </c>
      <c r="B946" s="11">
        <f>IFERROR(__xludf.DUMMYFUNCTION("""COMPUTED_VALUE"""),8.0)</f>
        <v>8</v>
      </c>
      <c r="C946" s="11">
        <f>IFERROR(__xludf.DUMMYFUNCTION("""COMPUTED_VALUE"""),109206.0)</f>
        <v>109206</v>
      </c>
      <c r="D946" s="11">
        <f>IFERROR(__xludf.DUMMYFUNCTION("""COMPUTED_VALUE"""),1635.0)</f>
        <v>1635</v>
      </c>
      <c r="E946" s="9"/>
    </row>
    <row r="947">
      <c r="A947" s="11">
        <f>IFERROR(__xludf.DUMMYFUNCTION("""COMPUTED_VALUE"""),2021.0)</f>
        <v>2021</v>
      </c>
      <c r="B947" s="11">
        <f>IFERROR(__xludf.DUMMYFUNCTION("""COMPUTED_VALUE"""),8.0)</f>
        <v>8</v>
      </c>
      <c r="C947" s="11">
        <f>IFERROR(__xludf.DUMMYFUNCTION("""COMPUTED_VALUE"""),9478.0)</f>
        <v>9478</v>
      </c>
      <c r="D947" s="11">
        <f>IFERROR(__xludf.DUMMYFUNCTION("""COMPUTED_VALUE"""),837.0)</f>
        <v>837</v>
      </c>
      <c r="E947" s="9"/>
    </row>
    <row r="948">
      <c r="A948" s="11">
        <f>IFERROR(__xludf.DUMMYFUNCTION("""COMPUTED_VALUE"""),2021.0)</f>
        <v>2021</v>
      </c>
      <c r="B948" s="11">
        <f>IFERROR(__xludf.DUMMYFUNCTION("""COMPUTED_VALUE"""),9.0)</f>
        <v>9</v>
      </c>
      <c r="C948" s="11">
        <f>IFERROR(__xludf.DUMMYFUNCTION("""COMPUTED_VALUE"""),122699.0)</f>
        <v>122699</v>
      </c>
      <c r="D948" s="11">
        <f>IFERROR(__xludf.DUMMYFUNCTION("""COMPUTED_VALUE"""),1882.0)</f>
        <v>1882</v>
      </c>
      <c r="E948" s="9"/>
    </row>
    <row r="949">
      <c r="A949" s="11">
        <f>IFERROR(__xludf.DUMMYFUNCTION("""COMPUTED_VALUE"""),2021.0)</f>
        <v>2021</v>
      </c>
      <c r="B949" s="11">
        <f>IFERROR(__xludf.DUMMYFUNCTION("""COMPUTED_VALUE"""),11.0)</f>
        <v>11</v>
      </c>
      <c r="C949" s="11">
        <f>IFERROR(__xludf.DUMMYFUNCTION("""COMPUTED_VALUE"""),2794.0)</f>
        <v>2794</v>
      </c>
      <c r="D949" s="11">
        <f>IFERROR(__xludf.DUMMYFUNCTION("""COMPUTED_VALUE"""),879.0)</f>
        <v>879</v>
      </c>
      <c r="E949" s="9"/>
    </row>
    <row r="950">
      <c r="A950" s="11">
        <f>IFERROR(__xludf.DUMMYFUNCTION("""COMPUTED_VALUE"""),2021.0)</f>
        <v>2021</v>
      </c>
      <c r="B950" s="11">
        <f>IFERROR(__xludf.DUMMYFUNCTION("""COMPUTED_VALUE"""),11.0)</f>
        <v>11</v>
      </c>
      <c r="C950" s="11">
        <f>IFERROR(__xludf.DUMMYFUNCTION("""COMPUTED_VALUE"""),109200.0)</f>
        <v>109200</v>
      </c>
      <c r="D950" s="11">
        <f>IFERROR(__xludf.DUMMYFUNCTION("""COMPUTED_VALUE"""),1182.0)</f>
        <v>1182</v>
      </c>
      <c r="E950" s="9"/>
    </row>
    <row r="951">
      <c r="A951" s="11">
        <f>IFERROR(__xludf.DUMMYFUNCTION("""COMPUTED_VALUE"""),2021.0)</f>
        <v>2021</v>
      </c>
      <c r="B951" s="11">
        <f>IFERROR(__xludf.DUMMYFUNCTION("""COMPUTED_VALUE"""),8.0)</f>
        <v>8</v>
      </c>
      <c r="C951" s="11">
        <f>IFERROR(__xludf.DUMMYFUNCTION("""COMPUTED_VALUE"""),118263.0)</f>
        <v>118263</v>
      </c>
      <c r="D951" s="11">
        <f>IFERROR(__xludf.DUMMYFUNCTION("""COMPUTED_VALUE"""),1652.0)</f>
        <v>1652</v>
      </c>
      <c r="E951" s="9"/>
    </row>
    <row r="952">
      <c r="A952" s="11">
        <f>IFERROR(__xludf.DUMMYFUNCTION("""COMPUTED_VALUE"""),2021.0)</f>
        <v>2021</v>
      </c>
      <c r="B952" s="11">
        <f>IFERROR(__xludf.DUMMYFUNCTION("""COMPUTED_VALUE"""),11.0)</f>
        <v>11</v>
      </c>
      <c r="C952" s="11">
        <f>IFERROR(__xludf.DUMMYFUNCTION("""COMPUTED_VALUE"""),71320.0)</f>
        <v>71320</v>
      </c>
      <c r="D952" s="11">
        <f>IFERROR(__xludf.DUMMYFUNCTION("""COMPUTED_VALUE"""),1237.0)</f>
        <v>1237</v>
      </c>
      <c r="E952" s="9"/>
    </row>
    <row r="953">
      <c r="A953" s="11">
        <f>IFERROR(__xludf.DUMMYFUNCTION("""COMPUTED_VALUE"""),2021.0)</f>
        <v>2021</v>
      </c>
      <c r="B953" s="11">
        <f>IFERROR(__xludf.DUMMYFUNCTION("""COMPUTED_VALUE"""),11.0)</f>
        <v>11</v>
      </c>
      <c r="C953" s="11">
        <f>IFERROR(__xludf.DUMMYFUNCTION("""COMPUTED_VALUE"""),108944.0)</f>
        <v>108944</v>
      </c>
      <c r="D953" s="11">
        <f>IFERROR(__xludf.DUMMYFUNCTION("""COMPUTED_VALUE"""),458.0)</f>
        <v>458</v>
      </c>
      <c r="E953" s="9"/>
    </row>
    <row r="954">
      <c r="A954" s="11">
        <f>IFERROR(__xludf.DUMMYFUNCTION("""COMPUTED_VALUE"""),2021.0)</f>
        <v>2021</v>
      </c>
      <c r="B954" s="11">
        <f>IFERROR(__xludf.DUMMYFUNCTION("""COMPUTED_VALUE"""),11.0)</f>
        <v>11</v>
      </c>
      <c r="C954" s="11">
        <f>IFERROR(__xludf.DUMMYFUNCTION("""COMPUTED_VALUE"""),122693.0)</f>
        <v>122693</v>
      </c>
      <c r="D954" s="11">
        <f>IFERROR(__xludf.DUMMYFUNCTION("""COMPUTED_VALUE"""),1410.0)</f>
        <v>1410</v>
      </c>
      <c r="E954" s="9"/>
    </row>
    <row r="955">
      <c r="A955" s="11">
        <f>IFERROR(__xludf.DUMMYFUNCTION("""COMPUTED_VALUE"""),2021.0)</f>
        <v>2021</v>
      </c>
      <c r="B955" s="11">
        <f>IFERROR(__xludf.DUMMYFUNCTION("""COMPUTED_VALUE"""),9.0)</f>
        <v>9</v>
      </c>
      <c r="C955" s="11">
        <f>IFERROR(__xludf.DUMMYFUNCTION("""COMPUTED_VALUE"""),20049.0)</f>
        <v>20049</v>
      </c>
      <c r="D955" s="11">
        <f>IFERROR(__xludf.DUMMYFUNCTION("""COMPUTED_VALUE"""),1147.0)</f>
        <v>1147</v>
      </c>
      <c r="E955" s="9"/>
    </row>
    <row r="956">
      <c r="A956" s="11">
        <f>IFERROR(__xludf.DUMMYFUNCTION("""COMPUTED_VALUE"""),2021.0)</f>
        <v>2021</v>
      </c>
      <c r="B956" s="11">
        <f>IFERROR(__xludf.DUMMYFUNCTION("""COMPUTED_VALUE"""),9.0)</f>
        <v>9</v>
      </c>
      <c r="C956" s="11">
        <f>IFERROR(__xludf.DUMMYFUNCTION("""COMPUTED_VALUE"""),20055.0)</f>
        <v>20055</v>
      </c>
      <c r="D956" s="11">
        <f>IFERROR(__xludf.DUMMYFUNCTION("""COMPUTED_VALUE"""),644.0)</f>
        <v>644</v>
      </c>
      <c r="E956" s="9"/>
    </row>
    <row r="957">
      <c r="A957" s="11">
        <f>IFERROR(__xludf.DUMMYFUNCTION("""COMPUTED_VALUE"""),2021.0)</f>
        <v>2021</v>
      </c>
      <c r="B957" s="11">
        <f>IFERROR(__xludf.DUMMYFUNCTION("""COMPUTED_VALUE"""),11.0)</f>
        <v>11</v>
      </c>
      <c r="C957" s="11">
        <f>IFERROR(__xludf.DUMMYFUNCTION("""COMPUTED_VALUE"""),112845.0)</f>
        <v>112845</v>
      </c>
      <c r="D957" s="11">
        <f>IFERROR(__xludf.DUMMYFUNCTION("""COMPUTED_VALUE"""),1492.0)</f>
        <v>1492</v>
      </c>
      <c r="E957" s="9"/>
    </row>
    <row r="958">
      <c r="A958" s="11">
        <f>IFERROR(__xludf.DUMMYFUNCTION("""COMPUTED_VALUE"""),2021.0)</f>
        <v>2021</v>
      </c>
      <c r="B958" s="11">
        <f>IFERROR(__xludf.DUMMYFUNCTION("""COMPUTED_VALUE"""),8.0)</f>
        <v>8</v>
      </c>
      <c r="C958" s="11">
        <f>IFERROR(__xludf.DUMMYFUNCTION("""COMPUTED_VALUE"""),9490.0)</f>
        <v>9490</v>
      </c>
      <c r="D958" s="11">
        <f>IFERROR(__xludf.DUMMYFUNCTION("""COMPUTED_VALUE"""),1747.0)</f>
        <v>1747</v>
      </c>
      <c r="E958" s="9"/>
    </row>
    <row r="959">
      <c r="A959" s="11">
        <f>IFERROR(__xludf.DUMMYFUNCTION("""COMPUTED_VALUE"""),2021.0)</f>
        <v>2021</v>
      </c>
      <c r="B959" s="11">
        <f>IFERROR(__xludf.DUMMYFUNCTION("""COMPUTED_VALUE"""),9.0)</f>
        <v>9</v>
      </c>
      <c r="C959" s="11">
        <f>IFERROR(__xludf.DUMMYFUNCTION("""COMPUTED_VALUE"""),105034.0)</f>
        <v>105034</v>
      </c>
      <c r="D959" s="11">
        <f>IFERROR(__xludf.DUMMYFUNCTION("""COMPUTED_VALUE"""),1492.0)</f>
        <v>1492</v>
      </c>
      <c r="E959" s="9"/>
    </row>
    <row r="960">
      <c r="A960" s="11">
        <f>IFERROR(__xludf.DUMMYFUNCTION("""COMPUTED_VALUE"""),2021.0)</f>
        <v>2021</v>
      </c>
      <c r="B960" s="11">
        <f>IFERROR(__xludf.DUMMYFUNCTION("""COMPUTED_VALUE"""),10.0)</f>
        <v>10</v>
      </c>
      <c r="C960" s="11">
        <f>IFERROR(__xludf.DUMMYFUNCTION("""COMPUTED_VALUE"""),122680.0)</f>
        <v>122680</v>
      </c>
      <c r="D960" s="11">
        <f>IFERROR(__xludf.DUMMYFUNCTION("""COMPUTED_VALUE"""),1652.0)</f>
        <v>1652</v>
      </c>
      <c r="E960" s="9"/>
    </row>
    <row r="961">
      <c r="A961" s="11">
        <f>IFERROR(__xludf.DUMMYFUNCTION("""COMPUTED_VALUE"""),2021.0)</f>
        <v>2021</v>
      </c>
      <c r="B961" s="11">
        <f>IFERROR(__xludf.DUMMYFUNCTION("""COMPUTED_VALUE"""),10.0)</f>
        <v>10</v>
      </c>
      <c r="C961" s="11">
        <f>IFERROR(__xludf.DUMMYFUNCTION("""COMPUTED_VALUE"""),112846.0)</f>
        <v>112846</v>
      </c>
      <c r="D961" s="11">
        <f>IFERROR(__xludf.DUMMYFUNCTION("""COMPUTED_VALUE"""),1216.0)</f>
        <v>1216</v>
      </c>
      <c r="E961" s="9"/>
    </row>
    <row r="962">
      <c r="A962" s="11">
        <f>IFERROR(__xludf.DUMMYFUNCTION("""COMPUTED_VALUE"""),2021.0)</f>
        <v>2021</v>
      </c>
      <c r="B962" s="11">
        <f>IFERROR(__xludf.DUMMYFUNCTION("""COMPUTED_VALUE"""),10.0)</f>
        <v>10</v>
      </c>
      <c r="C962" s="11">
        <f>IFERROR(__xludf.DUMMYFUNCTION("""COMPUTED_VALUE"""),80816.0)</f>
        <v>80816</v>
      </c>
      <c r="D962" s="11">
        <f>IFERROR(__xludf.DUMMYFUNCTION("""COMPUTED_VALUE"""),682.0)</f>
        <v>682</v>
      </c>
      <c r="E962" s="9"/>
    </row>
    <row r="963">
      <c r="A963" s="11">
        <f>IFERROR(__xludf.DUMMYFUNCTION("""COMPUTED_VALUE"""),2021.0)</f>
        <v>2021</v>
      </c>
      <c r="B963" s="11">
        <f>IFERROR(__xludf.DUMMYFUNCTION("""COMPUTED_VALUE"""),8.0)</f>
        <v>8</v>
      </c>
      <c r="C963" s="11">
        <f>IFERROR(__xludf.DUMMYFUNCTION("""COMPUTED_VALUE"""),44749.0)</f>
        <v>44749</v>
      </c>
      <c r="D963" s="11">
        <f>IFERROR(__xludf.DUMMYFUNCTION("""COMPUTED_VALUE"""),285.0)</f>
        <v>285</v>
      </c>
      <c r="E963" s="9"/>
    </row>
    <row r="964">
      <c r="A964" s="11">
        <f>IFERROR(__xludf.DUMMYFUNCTION("""COMPUTED_VALUE"""),2021.0)</f>
        <v>2021</v>
      </c>
      <c r="B964" s="11">
        <f>IFERROR(__xludf.DUMMYFUNCTION("""COMPUTED_VALUE"""),10.0)</f>
        <v>10</v>
      </c>
      <c r="C964" s="11">
        <f>IFERROR(__xludf.DUMMYFUNCTION("""COMPUTED_VALUE"""),79498.0)</f>
        <v>79498</v>
      </c>
      <c r="D964" s="11">
        <f>IFERROR(__xludf.DUMMYFUNCTION("""COMPUTED_VALUE"""),54.0)</f>
        <v>54</v>
      </c>
      <c r="E964" s="9"/>
    </row>
    <row r="965">
      <c r="A965" s="11">
        <f>IFERROR(__xludf.DUMMYFUNCTION("""COMPUTED_VALUE"""),2021.0)</f>
        <v>2021</v>
      </c>
      <c r="B965" s="11">
        <f>IFERROR(__xludf.DUMMYFUNCTION("""COMPUTED_VALUE"""),10.0)</f>
        <v>10</v>
      </c>
      <c r="C965" s="11">
        <f>IFERROR(__xludf.DUMMYFUNCTION("""COMPUTED_VALUE"""),2799.0)</f>
        <v>2799</v>
      </c>
      <c r="D965" s="11">
        <f>IFERROR(__xludf.DUMMYFUNCTION("""COMPUTED_VALUE"""),1085.0)</f>
        <v>1085</v>
      </c>
      <c r="E965" s="9"/>
    </row>
    <row r="966">
      <c r="A966" s="11">
        <f>IFERROR(__xludf.DUMMYFUNCTION("""COMPUTED_VALUE"""),2021.0)</f>
        <v>2021</v>
      </c>
      <c r="B966" s="11">
        <f>IFERROR(__xludf.DUMMYFUNCTION("""COMPUTED_VALUE"""),8.0)</f>
        <v>8</v>
      </c>
      <c r="C966" s="11">
        <f>IFERROR(__xludf.DUMMYFUNCTION("""COMPUTED_VALUE"""),194401.0)</f>
        <v>194401</v>
      </c>
      <c r="D966" s="11">
        <f>IFERROR(__xludf.DUMMYFUNCTION("""COMPUTED_VALUE"""),1718.0)</f>
        <v>1718</v>
      </c>
      <c r="E966" s="9"/>
    </row>
    <row r="967">
      <c r="A967" s="11">
        <f>IFERROR(__xludf.DUMMYFUNCTION("""COMPUTED_VALUE"""),2021.0)</f>
        <v>2021</v>
      </c>
      <c r="B967" s="11">
        <f>IFERROR(__xludf.DUMMYFUNCTION("""COMPUTED_VALUE"""),8.0)</f>
        <v>8</v>
      </c>
      <c r="C967" s="11">
        <f>IFERROR(__xludf.DUMMYFUNCTION("""COMPUTED_VALUE"""),5291.0)</f>
        <v>5291</v>
      </c>
      <c r="D967" s="11">
        <f>IFERROR(__xludf.DUMMYFUNCTION("""COMPUTED_VALUE"""),949.0)</f>
        <v>949</v>
      </c>
      <c r="E967" s="9"/>
    </row>
    <row r="968">
      <c r="A968" s="11">
        <f>IFERROR(__xludf.DUMMYFUNCTION("""COMPUTED_VALUE"""),2021.0)</f>
        <v>2021</v>
      </c>
      <c r="B968" s="11">
        <f>IFERROR(__xludf.DUMMYFUNCTION("""COMPUTED_VALUE"""),8.0)</f>
        <v>8</v>
      </c>
      <c r="C968" s="11">
        <f>IFERROR(__xludf.DUMMYFUNCTION("""COMPUTED_VALUE"""),2796.0)</f>
        <v>2796</v>
      </c>
      <c r="D968" s="11">
        <f>IFERROR(__xludf.DUMMYFUNCTION("""COMPUTED_VALUE"""),1222.0)</f>
        <v>1222</v>
      </c>
      <c r="E968" s="9"/>
    </row>
    <row r="969">
      <c r="A969" s="11">
        <f>IFERROR(__xludf.DUMMYFUNCTION("""COMPUTED_VALUE"""),2021.0)</f>
        <v>2021</v>
      </c>
      <c r="B969" s="11">
        <f>IFERROR(__xludf.DUMMYFUNCTION("""COMPUTED_VALUE"""),11.0)</f>
        <v>11</v>
      </c>
      <c r="C969" s="11">
        <f>IFERROR(__xludf.DUMMYFUNCTION("""COMPUTED_VALUE"""),71325.0)</f>
        <v>71325</v>
      </c>
      <c r="D969" s="11">
        <f>IFERROR(__xludf.DUMMYFUNCTION("""COMPUTED_VALUE"""),348.0)</f>
        <v>348</v>
      </c>
      <c r="E969" s="9"/>
    </row>
    <row r="970">
      <c r="A970" s="11">
        <f>IFERROR(__xludf.DUMMYFUNCTION("""COMPUTED_VALUE"""),2021.0)</f>
        <v>2021</v>
      </c>
      <c r="B970" s="11">
        <f>IFERROR(__xludf.DUMMYFUNCTION("""COMPUTED_VALUE"""),8.0)</f>
        <v>8</v>
      </c>
      <c r="C970" s="11">
        <f>IFERROR(__xludf.DUMMYFUNCTION("""COMPUTED_VALUE"""),2793.0)</f>
        <v>2793</v>
      </c>
      <c r="D970" s="11">
        <f>IFERROR(__xludf.DUMMYFUNCTION("""COMPUTED_VALUE"""),754.0)</f>
        <v>754</v>
      </c>
      <c r="E970" s="9"/>
    </row>
    <row r="971">
      <c r="A971" s="11">
        <f>IFERROR(__xludf.DUMMYFUNCTION("""COMPUTED_VALUE"""),2021.0)</f>
        <v>2021</v>
      </c>
      <c r="B971" s="11">
        <f>IFERROR(__xludf.DUMMYFUNCTION("""COMPUTED_VALUE"""),10.0)</f>
        <v>10</v>
      </c>
      <c r="C971" s="11">
        <f>IFERROR(__xludf.DUMMYFUNCTION("""COMPUTED_VALUE"""),102781.0)</f>
        <v>102781</v>
      </c>
      <c r="D971" s="11">
        <f>IFERROR(__xludf.DUMMYFUNCTION("""COMPUTED_VALUE"""),1926.0)</f>
        <v>1926</v>
      </c>
      <c r="E971" s="9"/>
    </row>
    <row r="972">
      <c r="A972" s="11">
        <f>IFERROR(__xludf.DUMMYFUNCTION("""COMPUTED_VALUE"""),2021.0)</f>
        <v>2021</v>
      </c>
      <c r="B972" s="11">
        <f>IFERROR(__xludf.DUMMYFUNCTION("""COMPUTED_VALUE"""),8.0)</f>
        <v>8</v>
      </c>
      <c r="C972" s="11">
        <f>IFERROR(__xludf.DUMMYFUNCTION("""COMPUTED_VALUE"""),109201.0)</f>
        <v>109201</v>
      </c>
      <c r="D972" s="11">
        <f>IFERROR(__xludf.DUMMYFUNCTION("""COMPUTED_VALUE"""),1727.0)</f>
        <v>1727</v>
      </c>
      <c r="E972" s="9"/>
    </row>
    <row r="973">
      <c r="A973" s="11">
        <f>IFERROR(__xludf.DUMMYFUNCTION("""COMPUTED_VALUE"""),2021.0)</f>
        <v>2021</v>
      </c>
      <c r="B973" s="11">
        <f>IFERROR(__xludf.DUMMYFUNCTION("""COMPUTED_VALUE"""),10.0)</f>
        <v>10</v>
      </c>
      <c r="C973" s="11">
        <f>IFERROR(__xludf.DUMMYFUNCTION("""COMPUTED_VALUE"""),72814.0)</f>
        <v>72814</v>
      </c>
      <c r="D973" s="11">
        <f>IFERROR(__xludf.DUMMYFUNCTION("""COMPUTED_VALUE"""),331.0)</f>
        <v>331</v>
      </c>
      <c r="E973" s="9"/>
    </row>
    <row r="974">
      <c r="A974" s="11">
        <f>IFERROR(__xludf.DUMMYFUNCTION("""COMPUTED_VALUE"""),2021.0)</f>
        <v>2021</v>
      </c>
      <c r="B974" s="11">
        <f>IFERROR(__xludf.DUMMYFUNCTION("""COMPUTED_VALUE"""),8.0)</f>
        <v>8</v>
      </c>
      <c r="C974" s="11">
        <f>IFERROR(__xludf.DUMMYFUNCTION("""COMPUTED_VALUE"""),122351.0)</f>
        <v>122351</v>
      </c>
      <c r="D974" s="11">
        <f>IFERROR(__xludf.DUMMYFUNCTION("""COMPUTED_VALUE"""),813.0)</f>
        <v>813</v>
      </c>
      <c r="E974" s="9"/>
    </row>
    <row r="975">
      <c r="A975" s="11">
        <f>IFERROR(__xludf.DUMMYFUNCTION("""COMPUTED_VALUE"""),2021.0)</f>
        <v>2021</v>
      </c>
      <c r="B975" s="11">
        <f>IFERROR(__xludf.DUMMYFUNCTION("""COMPUTED_VALUE"""),8.0)</f>
        <v>8</v>
      </c>
      <c r="C975" s="11">
        <f>IFERROR(__xludf.DUMMYFUNCTION("""COMPUTED_VALUE"""),99298.0)</f>
        <v>99298</v>
      </c>
      <c r="D975" s="11">
        <f>IFERROR(__xludf.DUMMYFUNCTION("""COMPUTED_VALUE"""),1595.0)</f>
        <v>1595</v>
      </c>
      <c r="E975" s="9"/>
    </row>
    <row r="976">
      <c r="A976" s="11">
        <f>IFERROR(__xludf.DUMMYFUNCTION("""COMPUTED_VALUE"""),2021.0)</f>
        <v>2021</v>
      </c>
      <c r="B976" s="11">
        <f>IFERROR(__xludf.DUMMYFUNCTION("""COMPUTED_VALUE"""),8.0)</f>
        <v>8</v>
      </c>
      <c r="C976" s="11">
        <f>IFERROR(__xludf.DUMMYFUNCTION("""COMPUTED_VALUE"""),3731.0)</f>
        <v>3731</v>
      </c>
      <c r="D976" s="11">
        <f>IFERROR(__xludf.DUMMYFUNCTION("""COMPUTED_VALUE"""),127.0)</f>
        <v>127</v>
      </c>
      <c r="E976" s="9"/>
    </row>
    <row r="977">
      <c r="A977" s="11">
        <f>IFERROR(__xludf.DUMMYFUNCTION("""COMPUTED_VALUE"""),2021.0)</f>
        <v>2021</v>
      </c>
      <c r="B977" s="11">
        <f>IFERROR(__xludf.DUMMYFUNCTION("""COMPUTED_VALUE"""),11.0)</f>
        <v>11</v>
      </c>
      <c r="C977" s="11">
        <f>IFERROR(__xludf.DUMMYFUNCTION("""COMPUTED_VALUE"""),11489.0)</f>
        <v>11489</v>
      </c>
      <c r="D977" s="11">
        <f>IFERROR(__xludf.DUMMYFUNCTION("""COMPUTED_VALUE"""),961.0)</f>
        <v>961</v>
      </c>
      <c r="E977" s="9"/>
    </row>
    <row r="978">
      <c r="A978" s="11">
        <f>IFERROR(__xludf.DUMMYFUNCTION("""COMPUTED_VALUE"""),2021.0)</f>
        <v>2021</v>
      </c>
      <c r="B978" s="11">
        <f>IFERROR(__xludf.DUMMYFUNCTION("""COMPUTED_VALUE"""),9.0)</f>
        <v>9</v>
      </c>
      <c r="C978" s="11">
        <f>IFERROR(__xludf.DUMMYFUNCTION("""COMPUTED_VALUE"""),122302.0)</f>
        <v>122302</v>
      </c>
      <c r="D978" s="11">
        <f>IFERROR(__xludf.DUMMYFUNCTION("""COMPUTED_VALUE"""),1914.0)</f>
        <v>1914</v>
      </c>
      <c r="E978" s="9"/>
    </row>
    <row r="979">
      <c r="A979" s="11">
        <f>IFERROR(__xludf.DUMMYFUNCTION("""COMPUTED_VALUE"""),2021.0)</f>
        <v>2021</v>
      </c>
      <c r="B979" s="11">
        <f>IFERROR(__xludf.DUMMYFUNCTION("""COMPUTED_VALUE"""),8.0)</f>
        <v>8</v>
      </c>
      <c r="C979" s="11">
        <f>IFERROR(__xludf.DUMMYFUNCTION("""COMPUTED_VALUE"""),28838.0)</f>
        <v>28838</v>
      </c>
      <c r="D979" s="11">
        <f>IFERROR(__xludf.DUMMYFUNCTION("""COMPUTED_VALUE"""),1402.0)</f>
        <v>1402</v>
      </c>
      <c r="E979" s="9"/>
    </row>
    <row r="980">
      <c r="A980" s="11">
        <f>IFERROR(__xludf.DUMMYFUNCTION("""COMPUTED_VALUE"""),2021.0)</f>
        <v>2021</v>
      </c>
      <c r="B980" s="11">
        <f>IFERROR(__xludf.DUMMYFUNCTION("""COMPUTED_VALUE"""),11.0)</f>
        <v>11</v>
      </c>
      <c r="C980" s="11">
        <f>IFERROR(__xludf.DUMMYFUNCTION("""COMPUTED_VALUE"""),72843.0)</f>
        <v>72843</v>
      </c>
      <c r="D980" s="11">
        <f>IFERROR(__xludf.DUMMYFUNCTION("""COMPUTED_VALUE"""),1580.0)</f>
        <v>1580</v>
      </c>
      <c r="E980" s="9"/>
    </row>
    <row r="981">
      <c r="A981" s="11">
        <f>IFERROR(__xludf.DUMMYFUNCTION("""COMPUTED_VALUE"""),2021.0)</f>
        <v>2021</v>
      </c>
      <c r="B981" s="11">
        <f>IFERROR(__xludf.DUMMYFUNCTION("""COMPUTED_VALUE"""),9.0)</f>
        <v>9</v>
      </c>
      <c r="C981" s="11">
        <f>IFERROR(__xludf.DUMMYFUNCTION("""COMPUTED_VALUE"""),80809.0)</f>
        <v>80809</v>
      </c>
      <c r="D981" s="11">
        <f>IFERROR(__xludf.DUMMYFUNCTION("""COMPUTED_VALUE"""),1183.0)</f>
        <v>1183</v>
      </c>
      <c r="E981" s="9"/>
    </row>
    <row r="982">
      <c r="A982" s="11">
        <f>IFERROR(__xludf.DUMMYFUNCTION("""COMPUTED_VALUE"""),2021.0)</f>
        <v>2021</v>
      </c>
      <c r="B982" s="11">
        <f>IFERROR(__xludf.DUMMYFUNCTION("""COMPUTED_VALUE"""),11.0)</f>
        <v>11</v>
      </c>
      <c r="C982" s="11">
        <f>IFERROR(__xludf.DUMMYFUNCTION("""COMPUTED_VALUE"""),127006.0)</f>
        <v>127006</v>
      </c>
      <c r="D982" s="11">
        <f>IFERROR(__xludf.DUMMYFUNCTION("""COMPUTED_VALUE"""),371.0)</f>
        <v>371</v>
      </c>
      <c r="E982" s="9"/>
    </row>
    <row r="983">
      <c r="A983" s="11">
        <f>IFERROR(__xludf.DUMMYFUNCTION("""COMPUTED_VALUE"""),2021.0)</f>
        <v>2021</v>
      </c>
      <c r="B983" s="11">
        <f>IFERROR(__xludf.DUMMYFUNCTION("""COMPUTED_VALUE"""),11.0)</f>
        <v>11</v>
      </c>
      <c r="C983" s="11">
        <f>IFERROR(__xludf.DUMMYFUNCTION("""COMPUTED_VALUE"""),82448.0)</f>
        <v>82448</v>
      </c>
      <c r="D983" s="11">
        <f>IFERROR(__xludf.DUMMYFUNCTION("""COMPUTED_VALUE"""),855.0)</f>
        <v>855</v>
      </c>
      <c r="E983" s="9"/>
    </row>
    <row r="984">
      <c r="A984" s="11">
        <f>IFERROR(__xludf.DUMMYFUNCTION("""COMPUTED_VALUE"""),2021.0)</f>
        <v>2021</v>
      </c>
      <c r="B984" s="11">
        <f>IFERROR(__xludf.DUMMYFUNCTION("""COMPUTED_VALUE"""),10.0)</f>
        <v>10</v>
      </c>
      <c r="C984" s="11">
        <f>IFERROR(__xludf.DUMMYFUNCTION("""COMPUTED_VALUE"""),13028.0)</f>
        <v>13028</v>
      </c>
      <c r="D984" s="11">
        <f>IFERROR(__xludf.DUMMYFUNCTION("""COMPUTED_VALUE"""),1619.0)</f>
        <v>1619</v>
      </c>
      <c r="E984" s="9"/>
    </row>
    <row r="985">
      <c r="A985" s="11">
        <f>IFERROR(__xludf.DUMMYFUNCTION("""COMPUTED_VALUE"""),2021.0)</f>
        <v>2021</v>
      </c>
      <c r="B985" s="11">
        <f>IFERROR(__xludf.DUMMYFUNCTION("""COMPUTED_VALUE"""),8.0)</f>
        <v>8</v>
      </c>
      <c r="C985" s="11">
        <f>IFERROR(__xludf.DUMMYFUNCTION("""COMPUTED_VALUE"""),118577.0)</f>
        <v>118577</v>
      </c>
      <c r="D985" s="11">
        <f>IFERROR(__xludf.DUMMYFUNCTION("""COMPUTED_VALUE"""),1658.0)</f>
        <v>1658</v>
      </c>
      <c r="E985" s="9"/>
    </row>
    <row r="986">
      <c r="A986" s="11">
        <f>IFERROR(__xludf.DUMMYFUNCTION("""COMPUTED_VALUE"""),2021.0)</f>
        <v>2021</v>
      </c>
      <c r="B986" s="11">
        <f>IFERROR(__xludf.DUMMYFUNCTION("""COMPUTED_VALUE"""),9.0)</f>
        <v>9</v>
      </c>
      <c r="C986" s="11">
        <f>IFERROR(__xludf.DUMMYFUNCTION("""COMPUTED_VALUE"""),117890.0)</f>
        <v>117890</v>
      </c>
      <c r="D986" s="11">
        <f>IFERROR(__xludf.DUMMYFUNCTION("""COMPUTED_VALUE"""),941.0)</f>
        <v>941</v>
      </c>
      <c r="E986" s="9"/>
    </row>
    <row r="987">
      <c r="A987" s="11">
        <f>IFERROR(__xludf.DUMMYFUNCTION("""COMPUTED_VALUE"""),2021.0)</f>
        <v>2021</v>
      </c>
      <c r="B987" s="11">
        <f>IFERROR(__xludf.DUMMYFUNCTION("""COMPUTED_VALUE"""),11.0)</f>
        <v>11</v>
      </c>
      <c r="C987" s="11">
        <f>IFERROR(__xludf.DUMMYFUNCTION("""COMPUTED_VALUE"""),118617.0)</f>
        <v>118617</v>
      </c>
      <c r="D987" s="11">
        <f>IFERROR(__xludf.DUMMYFUNCTION("""COMPUTED_VALUE"""),1734.0)</f>
        <v>1734</v>
      </c>
      <c r="E987" s="9"/>
    </row>
    <row r="988">
      <c r="A988" s="11">
        <f>IFERROR(__xludf.DUMMYFUNCTION("""COMPUTED_VALUE"""),2021.0)</f>
        <v>2021</v>
      </c>
      <c r="B988" s="11">
        <f>IFERROR(__xludf.DUMMYFUNCTION("""COMPUTED_VALUE"""),8.0)</f>
        <v>8</v>
      </c>
      <c r="C988" s="11">
        <f>IFERROR(__xludf.DUMMYFUNCTION("""COMPUTED_VALUE"""),109995.0)</f>
        <v>109995</v>
      </c>
      <c r="D988" s="11">
        <f>IFERROR(__xludf.DUMMYFUNCTION("""COMPUTED_VALUE"""),1557.0)</f>
        <v>1557</v>
      </c>
      <c r="E988" s="9"/>
    </row>
    <row r="989">
      <c r="A989" s="11">
        <f>IFERROR(__xludf.DUMMYFUNCTION("""COMPUTED_VALUE"""),2021.0)</f>
        <v>2021</v>
      </c>
      <c r="B989" s="11">
        <f>IFERROR(__xludf.DUMMYFUNCTION("""COMPUTED_VALUE"""),11.0)</f>
        <v>11</v>
      </c>
      <c r="C989" s="11">
        <f>IFERROR(__xludf.DUMMYFUNCTION("""COMPUTED_VALUE"""),109996.0)</f>
        <v>109996</v>
      </c>
      <c r="D989" s="11">
        <f>IFERROR(__xludf.DUMMYFUNCTION("""COMPUTED_VALUE"""),635.0)</f>
        <v>635</v>
      </c>
      <c r="E989" s="9"/>
    </row>
    <row r="990">
      <c r="A990" s="11">
        <f>IFERROR(__xludf.DUMMYFUNCTION("""COMPUTED_VALUE"""),2021.0)</f>
        <v>2021</v>
      </c>
      <c r="B990" s="11">
        <f>IFERROR(__xludf.DUMMYFUNCTION("""COMPUTED_VALUE"""),9.0)</f>
        <v>9</v>
      </c>
      <c r="C990" s="11">
        <f>IFERROR(__xludf.DUMMYFUNCTION("""COMPUTED_VALUE"""),49107.0)</f>
        <v>49107</v>
      </c>
      <c r="D990" s="11">
        <f>IFERROR(__xludf.DUMMYFUNCTION("""COMPUTED_VALUE"""),957.0)</f>
        <v>957</v>
      </c>
      <c r="E990" s="9"/>
    </row>
    <row r="991">
      <c r="A991" s="11">
        <f>IFERROR(__xludf.DUMMYFUNCTION("""COMPUTED_VALUE"""),2021.0)</f>
        <v>2021</v>
      </c>
      <c r="B991" s="11">
        <f>IFERROR(__xludf.DUMMYFUNCTION("""COMPUTED_VALUE"""),10.0)</f>
        <v>10</v>
      </c>
      <c r="C991" s="11">
        <f>IFERROR(__xludf.DUMMYFUNCTION("""COMPUTED_VALUE"""),29585.0)</f>
        <v>29585</v>
      </c>
      <c r="D991" s="11">
        <f>IFERROR(__xludf.DUMMYFUNCTION("""COMPUTED_VALUE"""),579.0)</f>
        <v>579</v>
      </c>
      <c r="E991" s="9"/>
    </row>
    <row r="992">
      <c r="A992" s="11">
        <f>IFERROR(__xludf.DUMMYFUNCTION("""COMPUTED_VALUE"""),2021.0)</f>
        <v>2021</v>
      </c>
      <c r="B992" s="11">
        <f>IFERROR(__xludf.DUMMYFUNCTION("""COMPUTED_VALUE"""),11.0)</f>
        <v>11</v>
      </c>
      <c r="C992" s="11">
        <f>IFERROR(__xludf.DUMMYFUNCTION("""COMPUTED_VALUE"""),111677.0)</f>
        <v>111677</v>
      </c>
      <c r="D992" s="11">
        <f>IFERROR(__xludf.DUMMYFUNCTION("""COMPUTED_VALUE"""),1817.0)</f>
        <v>1817</v>
      </c>
      <c r="E992" s="9"/>
    </row>
    <row r="993">
      <c r="A993" s="11">
        <f>IFERROR(__xludf.DUMMYFUNCTION("""COMPUTED_VALUE"""),2021.0)</f>
        <v>2021</v>
      </c>
      <c r="B993" s="11">
        <f>IFERROR(__xludf.DUMMYFUNCTION("""COMPUTED_VALUE"""),9.0)</f>
        <v>9</v>
      </c>
      <c r="C993" s="11">
        <f>IFERROR(__xludf.DUMMYFUNCTION("""COMPUTED_VALUE"""),93102.0)</f>
        <v>93102</v>
      </c>
      <c r="D993" s="11">
        <f>IFERROR(__xludf.DUMMYFUNCTION("""COMPUTED_VALUE"""),1454.0)</f>
        <v>1454</v>
      </c>
      <c r="E993" s="9"/>
    </row>
    <row r="994">
      <c r="A994" s="11">
        <f>IFERROR(__xludf.DUMMYFUNCTION("""COMPUTED_VALUE"""),2021.0)</f>
        <v>2021</v>
      </c>
      <c r="B994" s="11">
        <f>IFERROR(__xludf.DUMMYFUNCTION("""COMPUTED_VALUE"""),11.0)</f>
        <v>11</v>
      </c>
      <c r="C994" s="11">
        <f>IFERROR(__xludf.DUMMYFUNCTION("""COMPUTED_VALUE"""),30712.0)</f>
        <v>30712</v>
      </c>
      <c r="D994" s="11">
        <f>IFERROR(__xludf.DUMMYFUNCTION("""COMPUTED_VALUE"""),847.0)</f>
        <v>847</v>
      </c>
      <c r="E994" s="9"/>
    </row>
    <row r="995">
      <c r="A995" s="11">
        <f>IFERROR(__xludf.DUMMYFUNCTION("""COMPUTED_VALUE"""),2021.0)</f>
        <v>2021</v>
      </c>
      <c r="B995" s="11">
        <f>IFERROR(__xludf.DUMMYFUNCTION("""COMPUTED_VALUE"""),10.0)</f>
        <v>10</v>
      </c>
      <c r="C995" s="11">
        <f>IFERROR(__xludf.DUMMYFUNCTION("""COMPUTED_VALUE"""),89128.0)</f>
        <v>89128</v>
      </c>
      <c r="D995" s="11">
        <f>IFERROR(__xludf.DUMMYFUNCTION("""COMPUTED_VALUE"""),1290.0)</f>
        <v>1290</v>
      </c>
      <c r="E995" s="9"/>
    </row>
    <row r="996">
      <c r="A996" s="11">
        <f>IFERROR(__xludf.DUMMYFUNCTION("""COMPUTED_VALUE"""),2021.0)</f>
        <v>2021</v>
      </c>
      <c r="B996" s="11">
        <f>IFERROR(__xludf.DUMMYFUNCTION("""COMPUTED_VALUE"""),11.0)</f>
        <v>11</v>
      </c>
      <c r="C996" s="11">
        <f>IFERROR(__xludf.DUMMYFUNCTION("""COMPUTED_VALUE"""),29587.0)</f>
        <v>29587</v>
      </c>
      <c r="D996" s="11">
        <f>IFERROR(__xludf.DUMMYFUNCTION("""COMPUTED_VALUE"""),939.0)</f>
        <v>939</v>
      </c>
      <c r="E996" s="9"/>
    </row>
    <row r="997">
      <c r="A997" s="11">
        <f>IFERROR(__xludf.DUMMYFUNCTION("""COMPUTED_VALUE"""),2021.0)</f>
        <v>2021</v>
      </c>
      <c r="B997" s="11">
        <f>IFERROR(__xludf.DUMMYFUNCTION("""COMPUTED_VALUE"""),8.0)</f>
        <v>8</v>
      </c>
      <c r="C997" s="11">
        <f>IFERROR(__xludf.DUMMYFUNCTION("""COMPUTED_VALUE"""),30711.0)</f>
        <v>30711</v>
      </c>
      <c r="D997" s="11">
        <f>IFERROR(__xludf.DUMMYFUNCTION("""COMPUTED_VALUE"""),1075.0)</f>
        <v>1075</v>
      </c>
      <c r="E997" s="9"/>
    </row>
    <row r="998">
      <c r="A998" s="11">
        <f>IFERROR(__xludf.DUMMYFUNCTION("""COMPUTED_VALUE"""),2021.0)</f>
        <v>2021</v>
      </c>
      <c r="B998" s="11">
        <f>IFERROR(__xludf.DUMMYFUNCTION("""COMPUTED_VALUE"""),8.0)</f>
        <v>8</v>
      </c>
      <c r="C998" s="11">
        <f>IFERROR(__xludf.DUMMYFUNCTION("""COMPUTED_VALUE"""),45306.0)</f>
        <v>45306</v>
      </c>
      <c r="D998" s="11">
        <f>IFERROR(__xludf.DUMMYFUNCTION("""COMPUTED_VALUE"""),775.0)</f>
        <v>775</v>
      </c>
      <c r="E998" s="9"/>
    </row>
    <row r="999">
      <c r="A999" s="11">
        <f>IFERROR(__xludf.DUMMYFUNCTION("""COMPUTED_VALUE"""),2021.0)</f>
        <v>2021</v>
      </c>
      <c r="B999" s="11">
        <f>IFERROR(__xludf.DUMMYFUNCTION("""COMPUTED_VALUE"""),9.0)</f>
        <v>9</v>
      </c>
      <c r="C999" s="11">
        <f>IFERROR(__xludf.DUMMYFUNCTION("""COMPUTED_VALUE"""),120803.0)</f>
        <v>120803</v>
      </c>
      <c r="D999" s="11">
        <f>IFERROR(__xludf.DUMMYFUNCTION("""COMPUTED_VALUE"""),1814.0)</f>
        <v>1814</v>
      </c>
      <c r="E999" s="9"/>
    </row>
    <row r="1000">
      <c r="A1000" s="11">
        <f>IFERROR(__xludf.DUMMYFUNCTION("""COMPUTED_VALUE"""),2021.0)</f>
        <v>2021</v>
      </c>
      <c r="B1000" s="11">
        <f>IFERROR(__xludf.DUMMYFUNCTION("""COMPUTED_VALUE"""),8.0)</f>
        <v>8</v>
      </c>
      <c r="C1000" s="11">
        <f>IFERROR(__xludf.DUMMYFUNCTION("""COMPUTED_VALUE"""),108004.0)</f>
        <v>108004</v>
      </c>
      <c r="D1000" s="11">
        <f>IFERROR(__xludf.DUMMYFUNCTION("""COMPUTED_VALUE"""),907.0)</f>
        <v>907</v>
      </c>
      <c r="E1000" s="9"/>
    </row>
    <row r="1001">
      <c r="A1001" s="11">
        <f>IFERROR(__xludf.DUMMYFUNCTION("""COMPUTED_VALUE"""),2021.0)</f>
        <v>2021</v>
      </c>
      <c r="B1001" s="11">
        <f>IFERROR(__xludf.DUMMYFUNCTION("""COMPUTED_VALUE"""),10.0)</f>
        <v>10</v>
      </c>
      <c r="C1001" s="11">
        <f>IFERROR(__xludf.DUMMYFUNCTION("""COMPUTED_VALUE"""),92205.0)</f>
        <v>92205</v>
      </c>
      <c r="D1001" s="11">
        <f>IFERROR(__xludf.DUMMYFUNCTION("""COMPUTED_VALUE"""),1340.0)</f>
        <v>1340</v>
      </c>
      <c r="E1001" s="9"/>
    </row>
    <row r="1002">
      <c r="A1002" s="11">
        <f>IFERROR(__xludf.DUMMYFUNCTION("""COMPUTED_VALUE"""),2021.0)</f>
        <v>2021</v>
      </c>
      <c r="B1002" s="11">
        <f>IFERROR(__xludf.DUMMYFUNCTION("""COMPUTED_VALUE"""),11.0)</f>
        <v>11</v>
      </c>
      <c r="C1002" s="11">
        <f>IFERROR(__xludf.DUMMYFUNCTION("""COMPUTED_VALUE"""),119509.0)</f>
        <v>119509</v>
      </c>
      <c r="D1002" s="11">
        <f>IFERROR(__xludf.DUMMYFUNCTION("""COMPUTED_VALUE"""),1759.0)</f>
        <v>1759</v>
      </c>
      <c r="E1002" s="9"/>
    </row>
    <row r="1003">
      <c r="A1003" s="11">
        <f>IFERROR(__xludf.DUMMYFUNCTION("""COMPUTED_VALUE"""),2021.0)</f>
        <v>2021</v>
      </c>
      <c r="B1003" s="11">
        <f>IFERROR(__xludf.DUMMYFUNCTION("""COMPUTED_VALUE"""),9.0)</f>
        <v>9</v>
      </c>
      <c r="C1003" s="11">
        <f>IFERROR(__xludf.DUMMYFUNCTION("""COMPUTED_VALUE"""),109056.0)</f>
        <v>109056</v>
      </c>
      <c r="D1003" s="11">
        <f>IFERROR(__xludf.DUMMYFUNCTION("""COMPUTED_VALUE"""),473.0)</f>
        <v>473</v>
      </c>
      <c r="E1003" s="9"/>
    </row>
    <row r="1004">
      <c r="A1004" s="11">
        <f>IFERROR(__xludf.DUMMYFUNCTION("""COMPUTED_VALUE"""),2021.0)</f>
        <v>2021</v>
      </c>
      <c r="B1004" s="11">
        <f>IFERROR(__xludf.DUMMYFUNCTION("""COMPUTED_VALUE"""),9.0)</f>
        <v>9</v>
      </c>
      <c r="C1004" s="11">
        <f>IFERROR(__xludf.DUMMYFUNCTION("""COMPUTED_VALUE"""),45305.0)</f>
        <v>45305</v>
      </c>
      <c r="D1004" s="11">
        <f>IFERROR(__xludf.DUMMYFUNCTION("""COMPUTED_VALUE"""),1491.0)</f>
        <v>1491</v>
      </c>
      <c r="E1004" s="9"/>
    </row>
    <row r="1005">
      <c r="A1005" s="11">
        <f>IFERROR(__xludf.DUMMYFUNCTION("""COMPUTED_VALUE"""),2021.0)</f>
        <v>2021</v>
      </c>
      <c r="B1005" s="11">
        <f>IFERROR(__xludf.DUMMYFUNCTION("""COMPUTED_VALUE"""),8.0)</f>
        <v>8</v>
      </c>
      <c r="C1005" s="11">
        <f>IFERROR(__xludf.DUMMYFUNCTION("""COMPUTED_VALUE"""),29582.0)</f>
        <v>29582</v>
      </c>
      <c r="D1005" s="11">
        <f>IFERROR(__xludf.DUMMYFUNCTION("""COMPUTED_VALUE"""),1899.0)</f>
        <v>1899</v>
      </c>
      <c r="E1005" s="9"/>
    </row>
    <row r="1006">
      <c r="A1006" s="11">
        <f>IFERROR(__xludf.DUMMYFUNCTION("""COMPUTED_VALUE"""),2021.0)</f>
        <v>2021</v>
      </c>
      <c r="B1006" s="11">
        <f>IFERROR(__xludf.DUMMYFUNCTION("""COMPUTED_VALUE"""),10.0)</f>
        <v>10</v>
      </c>
      <c r="C1006" s="11">
        <f>IFERROR(__xludf.DUMMYFUNCTION("""COMPUTED_VALUE"""),111676.0)</f>
        <v>111676</v>
      </c>
      <c r="D1006" s="11">
        <f>IFERROR(__xludf.DUMMYFUNCTION("""COMPUTED_VALUE"""),292.0)</f>
        <v>292</v>
      </c>
      <c r="E1006" s="9"/>
    </row>
    <row r="1007">
      <c r="A1007" s="11">
        <f>IFERROR(__xludf.DUMMYFUNCTION("""COMPUTED_VALUE"""),2021.0)</f>
        <v>2021</v>
      </c>
      <c r="B1007" s="11">
        <f>IFERROR(__xludf.DUMMYFUNCTION("""COMPUTED_VALUE"""),9.0)</f>
        <v>9</v>
      </c>
      <c r="C1007" s="11">
        <f>IFERROR(__xludf.DUMMYFUNCTION("""COMPUTED_VALUE"""),30578.0)</f>
        <v>30578</v>
      </c>
      <c r="D1007" s="11">
        <f>IFERROR(__xludf.DUMMYFUNCTION("""COMPUTED_VALUE"""),1074.0)</f>
        <v>1074</v>
      </c>
      <c r="E1007" s="9"/>
    </row>
    <row r="1008">
      <c r="A1008" s="11">
        <f>IFERROR(__xludf.DUMMYFUNCTION("""COMPUTED_VALUE"""),2021.0)</f>
        <v>2021</v>
      </c>
      <c r="B1008" s="11">
        <f>IFERROR(__xludf.DUMMYFUNCTION("""COMPUTED_VALUE"""),9.0)</f>
        <v>9</v>
      </c>
      <c r="C1008" s="11">
        <f>IFERROR(__xludf.DUMMYFUNCTION("""COMPUTED_VALUE"""),93095.0)</f>
        <v>93095</v>
      </c>
      <c r="D1008" s="11">
        <f>IFERROR(__xludf.DUMMYFUNCTION("""COMPUTED_VALUE"""),612.0)</f>
        <v>612</v>
      </c>
      <c r="E1008" s="9"/>
    </row>
    <row r="1009">
      <c r="A1009" s="11">
        <f>IFERROR(__xludf.DUMMYFUNCTION("""COMPUTED_VALUE"""),2021.0)</f>
        <v>2021</v>
      </c>
      <c r="B1009" s="11">
        <f>IFERROR(__xludf.DUMMYFUNCTION("""COMPUTED_VALUE"""),9.0)</f>
        <v>9</v>
      </c>
      <c r="C1009" s="11">
        <f>IFERROR(__xludf.DUMMYFUNCTION("""COMPUTED_VALUE"""),70036.0)</f>
        <v>70036</v>
      </c>
      <c r="D1009" s="11">
        <f>IFERROR(__xludf.DUMMYFUNCTION("""COMPUTED_VALUE"""),1754.0)</f>
        <v>1754</v>
      </c>
      <c r="E1009" s="9"/>
    </row>
    <row r="1010">
      <c r="A1010" s="11">
        <f>IFERROR(__xludf.DUMMYFUNCTION("""COMPUTED_VALUE"""),2021.0)</f>
        <v>2021</v>
      </c>
      <c r="B1010" s="11">
        <f>IFERROR(__xludf.DUMMYFUNCTION("""COMPUTED_VALUE"""),9.0)</f>
        <v>9</v>
      </c>
      <c r="C1010" s="11">
        <f>IFERROR(__xludf.DUMMYFUNCTION("""COMPUTED_VALUE"""),90498.0)</f>
        <v>90498</v>
      </c>
      <c r="D1010" s="11">
        <f>IFERROR(__xludf.DUMMYFUNCTION("""COMPUTED_VALUE"""),1166.0)</f>
        <v>1166</v>
      </c>
      <c r="E1010" s="9"/>
    </row>
    <row r="1011">
      <c r="A1011" s="11">
        <f>IFERROR(__xludf.DUMMYFUNCTION("""COMPUTED_VALUE"""),2021.0)</f>
        <v>2021</v>
      </c>
      <c r="B1011" s="11">
        <f>IFERROR(__xludf.DUMMYFUNCTION("""COMPUTED_VALUE"""),9.0)</f>
        <v>9</v>
      </c>
      <c r="C1011" s="11">
        <f>IFERROR(__xludf.DUMMYFUNCTION("""COMPUTED_VALUE"""),89127.0)</f>
        <v>89127</v>
      </c>
      <c r="D1011" s="11">
        <f>IFERROR(__xludf.DUMMYFUNCTION("""COMPUTED_VALUE"""),835.0)</f>
        <v>835</v>
      </c>
      <c r="E1011" s="9"/>
    </row>
    <row r="1012">
      <c r="A1012" s="11">
        <f>IFERROR(__xludf.DUMMYFUNCTION("""COMPUTED_VALUE"""),2021.0)</f>
        <v>2021</v>
      </c>
      <c r="B1012" s="11">
        <f>IFERROR(__xludf.DUMMYFUNCTION("""COMPUTED_VALUE"""),9.0)</f>
        <v>9</v>
      </c>
      <c r="C1012" s="11">
        <f>IFERROR(__xludf.DUMMYFUNCTION("""COMPUTED_VALUE"""),75215.0)</f>
        <v>75215</v>
      </c>
      <c r="D1012" s="11">
        <f>IFERROR(__xludf.DUMMYFUNCTION("""COMPUTED_VALUE"""),363.0)</f>
        <v>363</v>
      </c>
      <c r="E1012" s="9"/>
    </row>
    <row r="1013">
      <c r="A1013" s="11">
        <f>IFERROR(__xludf.DUMMYFUNCTION("""COMPUTED_VALUE"""),2021.0)</f>
        <v>2021</v>
      </c>
      <c r="B1013" s="11">
        <f>IFERROR(__xludf.DUMMYFUNCTION("""COMPUTED_VALUE"""),9.0)</f>
        <v>9</v>
      </c>
      <c r="C1013" s="11">
        <f>IFERROR(__xludf.DUMMYFUNCTION("""COMPUTED_VALUE"""),119566.0)</f>
        <v>119566</v>
      </c>
      <c r="D1013" s="11">
        <f>IFERROR(__xludf.DUMMYFUNCTION("""COMPUTED_VALUE"""),313.0)</f>
        <v>313</v>
      </c>
      <c r="E1013" s="9"/>
    </row>
    <row r="1014">
      <c r="A1014" s="11">
        <f>IFERROR(__xludf.DUMMYFUNCTION("""COMPUTED_VALUE"""),2021.0)</f>
        <v>2021</v>
      </c>
      <c r="B1014" s="11">
        <f>IFERROR(__xludf.DUMMYFUNCTION("""COMPUTED_VALUE"""),9.0)</f>
        <v>9</v>
      </c>
      <c r="C1014" s="11">
        <f>IFERROR(__xludf.DUMMYFUNCTION("""COMPUTED_VALUE"""),92208.0)</f>
        <v>92208</v>
      </c>
      <c r="D1014" s="11">
        <f>IFERROR(__xludf.DUMMYFUNCTION("""COMPUTED_VALUE"""),1369.0)</f>
        <v>1369</v>
      </c>
      <c r="E1014" s="9"/>
    </row>
    <row r="1015">
      <c r="A1015" s="11">
        <f>IFERROR(__xludf.DUMMYFUNCTION("""COMPUTED_VALUE"""),2021.0)</f>
        <v>2021</v>
      </c>
      <c r="B1015" s="11">
        <f>IFERROR(__xludf.DUMMYFUNCTION("""COMPUTED_VALUE"""),9.0)</f>
        <v>9</v>
      </c>
      <c r="C1015" s="11">
        <f>IFERROR(__xludf.DUMMYFUNCTION("""COMPUTED_VALUE"""),119579.0)</f>
        <v>119579</v>
      </c>
      <c r="D1015" s="11">
        <f>IFERROR(__xludf.DUMMYFUNCTION("""COMPUTED_VALUE"""),1938.0)</f>
        <v>1938</v>
      </c>
      <c r="E1015" s="9"/>
    </row>
    <row r="1016">
      <c r="A1016" s="11">
        <f>IFERROR(__xludf.DUMMYFUNCTION("""COMPUTED_VALUE"""),2021.0)</f>
        <v>2021</v>
      </c>
      <c r="B1016" s="11">
        <f>IFERROR(__xludf.DUMMYFUNCTION("""COMPUTED_VALUE"""),10.0)</f>
        <v>10</v>
      </c>
      <c r="C1016" s="11">
        <f>IFERROR(__xludf.DUMMYFUNCTION("""COMPUTED_VALUE"""),45309.0)</f>
        <v>45309</v>
      </c>
      <c r="D1016" s="11">
        <f>IFERROR(__xludf.DUMMYFUNCTION("""COMPUTED_VALUE"""),350.0)</f>
        <v>350</v>
      </c>
      <c r="E1016" s="9"/>
    </row>
    <row r="1017">
      <c r="A1017" s="11">
        <f>IFERROR(__xludf.DUMMYFUNCTION("""COMPUTED_VALUE"""),2021.0)</f>
        <v>2021</v>
      </c>
      <c r="B1017" s="11">
        <f>IFERROR(__xludf.DUMMYFUNCTION("""COMPUTED_VALUE"""),9.0)</f>
        <v>9</v>
      </c>
      <c r="C1017" s="11">
        <f>IFERROR(__xludf.DUMMYFUNCTION("""COMPUTED_VALUE"""),30743.0)</f>
        <v>30743</v>
      </c>
      <c r="D1017" s="11">
        <f>IFERROR(__xludf.DUMMYFUNCTION("""COMPUTED_VALUE"""),1562.0)</f>
        <v>1562</v>
      </c>
      <c r="E1017" s="9"/>
    </row>
    <row r="1018">
      <c r="A1018" s="11">
        <f>IFERROR(__xludf.DUMMYFUNCTION("""COMPUTED_VALUE"""),2021.0)</f>
        <v>2021</v>
      </c>
      <c r="B1018" s="11">
        <f>IFERROR(__xludf.DUMMYFUNCTION("""COMPUTED_VALUE"""),11.0)</f>
        <v>11</v>
      </c>
      <c r="C1018" s="11">
        <f>IFERROR(__xludf.DUMMYFUNCTION("""COMPUTED_VALUE"""),49108.0)</f>
        <v>49108</v>
      </c>
      <c r="D1018" s="11">
        <f>IFERROR(__xludf.DUMMYFUNCTION("""COMPUTED_VALUE"""),878.0)</f>
        <v>878</v>
      </c>
      <c r="E1018" s="9"/>
    </row>
    <row r="1019">
      <c r="A1019" s="11">
        <f>IFERROR(__xludf.DUMMYFUNCTION("""COMPUTED_VALUE"""),2021.0)</f>
        <v>2021</v>
      </c>
      <c r="B1019" s="11">
        <f>IFERROR(__xludf.DUMMYFUNCTION("""COMPUTED_VALUE"""),8.0)</f>
        <v>8</v>
      </c>
      <c r="C1019" s="11">
        <f>IFERROR(__xludf.DUMMYFUNCTION("""COMPUTED_VALUE"""),29584.0)</f>
        <v>29584</v>
      </c>
      <c r="D1019" s="11">
        <f>IFERROR(__xludf.DUMMYFUNCTION("""COMPUTED_VALUE"""),1848.0)</f>
        <v>1848</v>
      </c>
      <c r="E1019" s="9"/>
    </row>
    <row r="1020">
      <c r="A1020" s="11">
        <f>IFERROR(__xludf.DUMMYFUNCTION("""COMPUTED_VALUE"""),2021.0)</f>
        <v>2021</v>
      </c>
      <c r="B1020" s="11">
        <f>IFERROR(__xludf.DUMMYFUNCTION("""COMPUTED_VALUE"""),8.0)</f>
        <v>8</v>
      </c>
      <c r="C1020" s="11">
        <f>IFERROR(__xludf.DUMMYFUNCTION("""COMPUTED_VALUE"""),119501.0)</f>
        <v>119501</v>
      </c>
      <c r="D1020" s="11">
        <f>IFERROR(__xludf.DUMMYFUNCTION("""COMPUTED_VALUE"""),82.0)</f>
        <v>82</v>
      </c>
      <c r="E1020" s="9"/>
    </row>
    <row r="1021">
      <c r="A1021" s="11">
        <f>IFERROR(__xludf.DUMMYFUNCTION("""COMPUTED_VALUE"""),2021.0)</f>
        <v>2021</v>
      </c>
      <c r="B1021" s="11">
        <f>IFERROR(__xludf.DUMMYFUNCTION("""COMPUTED_VALUE"""),11.0)</f>
        <v>11</v>
      </c>
      <c r="C1021" s="11">
        <f>IFERROR(__xludf.DUMMYFUNCTION("""COMPUTED_VALUE"""),30504.0)</f>
        <v>30504</v>
      </c>
      <c r="D1021" s="11">
        <f>IFERROR(__xludf.DUMMYFUNCTION("""COMPUTED_VALUE"""),323.0)</f>
        <v>323</v>
      </c>
      <c r="E1021" s="9"/>
    </row>
    <row r="1022">
      <c r="A1022" s="11">
        <f>IFERROR(__xludf.DUMMYFUNCTION("""COMPUTED_VALUE"""),2021.0)</f>
        <v>2021</v>
      </c>
      <c r="B1022" s="11">
        <f>IFERROR(__xludf.DUMMYFUNCTION("""COMPUTED_VALUE"""),10.0)</f>
        <v>10</v>
      </c>
      <c r="C1022" s="11">
        <f>IFERROR(__xludf.DUMMYFUNCTION("""COMPUTED_VALUE"""),93101.0)</f>
        <v>93101</v>
      </c>
      <c r="D1022" s="11">
        <f>IFERROR(__xludf.DUMMYFUNCTION("""COMPUTED_VALUE"""),1407.0)</f>
        <v>1407</v>
      </c>
      <c r="E1022" s="9"/>
    </row>
    <row r="1023">
      <c r="A1023" s="11">
        <f>IFERROR(__xludf.DUMMYFUNCTION("""COMPUTED_VALUE"""),2021.0)</f>
        <v>2021</v>
      </c>
      <c r="B1023" s="11">
        <f>IFERROR(__xludf.DUMMYFUNCTION("""COMPUTED_VALUE"""),8.0)</f>
        <v>8</v>
      </c>
      <c r="C1023" s="11">
        <f>IFERROR(__xludf.DUMMYFUNCTION("""COMPUTED_VALUE"""),30749.0)</f>
        <v>30749</v>
      </c>
      <c r="D1023" s="11">
        <f>IFERROR(__xludf.DUMMYFUNCTION("""COMPUTED_VALUE"""),1375.0)</f>
        <v>1375</v>
      </c>
      <c r="E1023" s="9"/>
    </row>
    <row r="1024">
      <c r="A1024" s="11">
        <f>IFERROR(__xludf.DUMMYFUNCTION("""COMPUTED_VALUE"""),2021.0)</f>
        <v>2021</v>
      </c>
      <c r="B1024" s="11">
        <f>IFERROR(__xludf.DUMMYFUNCTION("""COMPUTED_VALUE"""),10.0)</f>
        <v>10</v>
      </c>
      <c r="C1024" s="11">
        <f>IFERROR(__xludf.DUMMYFUNCTION("""COMPUTED_VALUE"""),120813.0)</f>
        <v>120813</v>
      </c>
      <c r="D1024" s="11">
        <f>IFERROR(__xludf.DUMMYFUNCTION("""COMPUTED_VALUE"""),1067.0)</f>
        <v>1067</v>
      </c>
      <c r="E1024" s="9"/>
    </row>
    <row r="1025">
      <c r="A1025" s="11">
        <f>IFERROR(__xludf.DUMMYFUNCTION("""COMPUTED_VALUE"""),2021.0)</f>
        <v>2021</v>
      </c>
      <c r="B1025" s="11">
        <f>IFERROR(__xludf.DUMMYFUNCTION("""COMPUTED_VALUE"""),10.0)</f>
        <v>10</v>
      </c>
      <c r="C1025" s="11">
        <f>IFERROR(__xludf.DUMMYFUNCTION("""COMPUTED_VALUE"""),29590.0)</f>
        <v>29590</v>
      </c>
      <c r="D1025" s="11">
        <f>IFERROR(__xludf.DUMMYFUNCTION("""COMPUTED_VALUE"""),745.0)</f>
        <v>745</v>
      </c>
      <c r="E1025" s="9"/>
    </row>
    <row r="1026">
      <c r="A1026" s="11">
        <f>IFERROR(__xludf.DUMMYFUNCTION("""COMPUTED_VALUE"""),2021.0)</f>
        <v>2021</v>
      </c>
      <c r="B1026" s="11">
        <f>IFERROR(__xludf.DUMMYFUNCTION("""COMPUTED_VALUE"""),8.0)</f>
        <v>8</v>
      </c>
      <c r="C1026" s="11">
        <f>IFERROR(__xludf.DUMMYFUNCTION("""COMPUTED_VALUE"""),118662.0)</f>
        <v>118662</v>
      </c>
      <c r="D1026" s="11">
        <f>IFERROR(__xludf.DUMMYFUNCTION("""COMPUTED_VALUE"""),882.0)</f>
        <v>882</v>
      </c>
      <c r="E1026" s="9"/>
    </row>
    <row r="1027">
      <c r="A1027" s="11">
        <f>IFERROR(__xludf.DUMMYFUNCTION("""COMPUTED_VALUE"""),2021.0)</f>
        <v>2021</v>
      </c>
      <c r="B1027" s="11">
        <f>IFERROR(__xludf.DUMMYFUNCTION("""COMPUTED_VALUE"""),9.0)</f>
        <v>9</v>
      </c>
      <c r="C1027" s="11">
        <f>IFERROR(__xludf.DUMMYFUNCTION("""COMPUTED_VALUE"""),30478.0)</f>
        <v>30478</v>
      </c>
      <c r="D1027" s="11">
        <f>IFERROR(__xludf.DUMMYFUNCTION("""COMPUTED_VALUE"""),1085.0)</f>
        <v>1085</v>
      </c>
      <c r="E1027" s="9"/>
    </row>
    <row r="1028">
      <c r="A1028" s="11">
        <f>IFERROR(__xludf.DUMMYFUNCTION("""COMPUTED_VALUE"""),2021.0)</f>
        <v>2021</v>
      </c>
      <c r="B1028" s="11">
        <f>IFERROR(__xludf.DUMMYFUNCTION("""COMPUTED_VALUE"""),10.0)</f>
        <v>10</v>
      </c>
      <c r="C1028" s="11">
        <f>IFERROR(__xludf.DUMMYFUNCTION("""COMPUTED_VALUE"""),90475.0)</f>
        <v>90475</v>
      </c>
      <c r="D1028" s="11">
        <f>IFERROR(__xludf.DUMMYFUNCTION("""COMPUTED_VALUE"""),750.0)</f>
        <v>750</v>
      </c>
      <c r="E1028" s="9"/>
    </row>
    <row r="1029">
      <c r="A1029" s="11">
        <f>IFERROR(__xludf.DUMMYFUNCTION("""COMPUTED_VALUE"""),2021.0)</f>
        <v>2021</v>
      </c>
      <c r="B1029" s="11">
        <f>IFERROR(__xludf.DUMMYFUNCTION("""COMPUTED_VALUE"""),11.0)</f>
        <v>11</v>
      </c>
      <c r="C1029" s="11">
        <f>IFERROR(__xludf.DUMMYFUNCTION("""COMPUTED_VALUE"""),29530.0)</f>
        <v>29530</v>
      </c>
      <c r="D1029" s="11">
        <f>IFERROR(__xludf.DUMMYFUNCTION("""COMPUTED_VALUE"""),1938.0)</f>
        <v>1938</v>
      </c>
      <c r="E1029" s="9"/>
    </row>
    <row r="1030">
      <c r="A1030" s="11">
        <f>IFERROR(__xludf.DUMMYFUNCTION("""COMPUTED_VALUE"""),2021.0)</f>
        <v>2021</v>
      </c>
      <c r="B1030" s="11">
        <f>IFERROR(__xludf.DUMMYFUNCTION("""COMPUTED_VALUE"""),11.0)</f>
        <v>11</v>
      </c>
      <c r="C1030" s="11">
        <f>IFERROR(__xludf.DUMMYFUNCTION("""COMPUTED_VALUE"""),81528.0)</f>
        <v>81528</v>
      </c>
      <c r="D1030" s="11">
        <f>IFERROR(__xludf.DUMMYFUNCTION("""COMPUTED_VALUE"""),1194.0)</f>
        <v>1194</v>
      </c>
      <c r="E1030" s="9"/>
    </row>
    <row r="1031">
      <c r="A1031" s="11">
        <f>IFERROR(__xludf.DUMMYFUNCTION("""COMPUTED_VALUE"""),2021.0)</f>
        <v>2021</v>
      </c>
      <c r="B1031" s="11">
        <f>IFERROR(__xludf.DUMMYFUNCTION("""COMPUTED_VALUE"""),11.0)</f>
        <v>11</v>
      </c>
      <c r="C1031" s="11">
        <f>IFERROR(__xludf.DUMMYFUNCTION("""COMPUTED_VALUE"""),100436.0)</f>
        <v>100436</v>
      </c>
      <c r="D1031" s="11">
        <f>IFERROR(__xludf.DUMMYFUNCTION("""COMPUTED_VALUE"""),917.0)</f>
        <v>917</v>
      </c>
      <c r="E1031" s="9"/>
    </row>
    <row r="1032">
      <c r="A1032" s="11">
        <f>IFERROR(__xludf.DUMMYFUNCTION("""COMPUTED_VALUE"""),2021.0)</f>
        <v>2021</v>
      </c>
      <c r="B1032" s="11">
        <f>IFERROR(__xludf.DUMMYFUNCTION("""COMPUTED_VALUE"""),8.0)</f>
        <v>8</v>
      </c>
      <c r="C1032" s="11">
        <f>IFERROR(__xludf.DUMMYFUNCTION("""COMPUTED_VALUE"""),29499.0)</f>
        <v>29499</v>
      </c>
      <c r="D1032" s="11">
        <f>IFERROR(__xludf.DUMMYFUNCTION("""COMPUTED_VALUE"""),725.0)</f>
        <v>725</v>
      </c>
      <c r="E1032" s="9"/>
    </row>
    <row r="1033">
      <c r="A1033" s="11">
        <f>IFERROR(__xludf.DUMMYFUNCTION("""COMPUTED_VALUE"""),2021.0)</f>
        <v>2021</v>
      </c>
      <c r="B1033" s="11">
        <f>IFERROR(__xludf.DUMMYFUNCTION("""COMPUTED_VALUE"""),9.0)</f>
        <v>9</v>
      </c>
      <c r="C1033" s="11">
        <f>IFERROR(__xludf.DUMMYFUNCTION("""COMPUTED_VALUE"""),30683.0)</f>
        <v>30683</v>
      </c>
      <c r="D1033" s="11">
        <f>IFERROR(__xludf.DUMMYFUNCTION("""COMPUTED_VALUE"""),1608.0)</f>
        <v>1608</v>
      </c>
      <c r="E1033" s="9"/>
    </row>
    <row r="1034">
      <c r="A1034" s="11">
        <f>IFERROR(__xludf.DUMMYFUNCTION("""COMPUTED_VALUE"""),2021.0)</f>
        <v>2021</v>
      </c>
      <c r="B1034" s="11">
        <f>IFERROR(__xludf.DUMMYFUNCTION("""COMPUTED_VALUE"""),11.0)</f>
        <v>11</v>
      </c>
      <c r="C1034" s="11">
        <f>IFERROR(__xludf.DUMMYFUNCTION("""COMPUTED_VALUE"""),69906.0)</f>
        <v>69906</v>
      </c>
      <c r="D1034" s="11">
        <f>IFERROR(__xludf.DUMMYFUNCTION("""COMPUTED_VALUE"""),1937.0)</f>
        <v>1937</v>
      </c>
      <c r="E1034" s="9"/>
    </row>
    <row r="1035">
      <c r="A1035" s="11">
        <f>IFERROR(__xludf.DUMMYFUNCTION("""COMPUTED_VALUE"""),2021.0)</f>
        <v>2021</v>
      </c>
      <c r="B1035" s="11">
        <f>IFERROR(__xludf.DUMMYFUNCTION("""COMPUTED_VALUE"""),9.0)</f>
        <v>9</v>
      </c>
      <c r="C1035" s="11">
        <f>IFERROR(__xludf.DUMMYFUNCTION("""COMPUTED_VALUE"""),90174.0)</f>
        <v>90174</v>
      </c>
      <c r="D1035" s="11">
        <f>IFERROR(__xludf.DUMMYFUNCTION("""COMPUTED_VALUE"""),98.0)</f>
        <v>98</v>
      </c>
      <c r="E1035" s="9"/>
    </row>
    <row r="1036">
      <c r="A1036" s="11">
        <f>IFERROR(__xludf.DUMMYFUNCTION("""COMPUTED_VALUE"""),2021.0)</f>
        <v>2021</v>
      </c>
      <c r="B1036" s="11">
        <f>IFERROR(__xludf.DUMMYFUNCTION("""COMPUTED_VALUE"""),9.0)</f>
        <v>9</v>
      </c>
      <c r="C1036" s="11">
        <f>IFERROR(__xludf.DUMMYFUNCTION("""COMPUTED_VALUE"""),90168.0)</f>
        <v>90168</v>
      </c>
      <c r="D1036" s="11">
        <f>IFERROR(__xludf.DUMMYFUNCTION("""COMPUTED_VALUE"""),826.0)</f>
        <v>826</v>
      </c>
      <c r="E1036" s="9"/>
    </row>
    <row r="1037">
      <c r="A1037" s="11">
        <f>IFERROR(__xludf.DUMMYFUNCTION("""COMPUTED_VALUE"""),2021.0)</f>
        <v>2021</v>
      </c>
      <c r="B1037" s="11">
        <f>IFERROR(__xludf.DUMMYFUNCTION("""COMPUTED_VALUE"""),11.0)</f>
        <v>11</v>
      </c>
      <c r="C1037" s="11">
        <f>IFERROR(__xludf.DUMMYFUNCTION("""COMPUTED_VALUE"""),79488.0)</f>
        <v>79488</v>
      </c>
      <c r="D1037" s="11">
        <f>IFERROR(__xludf.DUMMYFUNCTION("""COMPUTED_VALUE"""),1939.0)</f>
        <v>1939</v>
      </c>
      <c r="E1037" s="9"/>
    </row>
    <row r="1038">
      <c r="A1038" s="11">
        <f>IFERROR(__xludf.DUMMYFUNCTION("""COMPUTED_VALUE"""),2021.0)</f>
        <v>2021</v>
      </c>
      <c r="B1038" s="11">
        <f>IFERROR(__xludf.DUMMYFUNCTION("""COMPUTED_VALUE"""),8.0)</f>
        <v>8</v>
      </c>
      <c r="C1038" s="11">
        <f>IFERROR(__xludf.DUMMYFUNCTION("""COMPUTED_VALUE"""),119640.0)</f>
        <v>119640</v>
      </c>
      <c r="D1038" s="11">
        <f>IFERROR(__xludf.DUMMYFUNCTION("""COMPUTED_VALUE"""),488.0)</f>
        <v>488</v>
      </c>
      <c r="E1038" s="9"/>
    </row>
    <row r="1039">
      <c r="A1039" s="11">
        <f>IFERROR(__xludf.DUMMYFUNCTION("""COMPUTED_VALUE"""),2021.0)</f>
        <v>2021</v>
      </c>
      <c r="B1039" s="11">
        <f>IFERROR(__xludf.DUMMYFUNCTION("""COMPUTED_VALUE"""),9.0)</f>
        <v>9</v>
      </c>
      <c r="C1039" s="11">
        <f>IFERROR(__xludf.DUMMYFUNCTION("""COMPUTED_VALUE"""),119515.0)</f>
        <v>119515</v>
      </c>
      <c r="D1039" s="11">
        <f>IFERROR(__xludf.DUMMYFUNCTION("""COMPUTED_VALUE"""),1085.0)</f>
        <v>1085</v>
      </c>
      <c r="E1039" s="9"/>
    </row>
    <row r="1040">
      <c r="A1040" s="11">
        <f>IFERROR(__xludf.DUMMYFUNCTION("""COMPUTED_VALUE"""),2021.0)</f>
        <v>2021</v>
      </c>
      <c r="B1040" s="11">
        <f>IFERROR(__xludf.DUMMYFUNCTION("""COMPUTED_VALUE"""),10.0)</f>
        <v>10</v>
      </c>
      <c r="C1040" s="11">
        <f>IFERROR(__xludf.DUMMYFUNCTION("""COMPUTED_VALUE"""),103685.0)</f>
        <v>103685</v>
      </c>
      <c r="D1040" s="11">
        <f>IFERROR(__xludf.DUMMYFUNCTION("""COMPUTED_VALUE"""),1214.0)</f>
        <v>1214</v>
      </c>
      <c r="E1040" s="9"/>
    </row>
    <row r="1041">
      <c r="A1041" s="11">
        <f>IFERROR(__xludf.DUMMYFUNCTION("""COMPUTED_VALUE"""),2021.0)</f>
        <v>2021</v>
      </c>
      <c r="B1041" s="11">
        <f>IFERROR(__xludf.DUMMYFUNCTION("""COMPUTED_VALUE"""),11.0)</f>
        <v>11</v>
      </c>
      <c r="C1041" s="11">
        <f>IFERROR(__xludf.DUMMYFUNCTION("""COMPUTED_VALUE"""),111617.0)</f>
        <v>111617</v>
      </c>
      <c r="D1041" s="11">
        <f>IFERROR(__xludf.DUMMYFUNCTION("""COMPUTED_VALUE"""),1875.0)</f>
        <v>1875</v>
      </c>
      <c r="E1041" s="9"/>
    </row>
    <row r="1042">
      <c r="A1042" s="11">
        <f>IFERROR(__xludf.DUMMYFUNCTION("""COMPUTED_VALUE"""),2021.0)</f>
        <v>2021</v>
      </c>
      <c r="B1042" s="11">
        <f>IFERROR(__xludf.DUMMYFUNCTION("""COMPUTED_VALUE"""),8.0)</f>
        <v>8</v>
      </c>
      <c r="C1042" s="11">
        <f>IFERROR(__xludf.DUMMYFUNCTION("""COMPUTED_VALUE"""),98637.0)</f>
        <v>98637</v>
      </c>
      <c r="D1042" s="11">
        <f>IFERROR(__xludf.DUMMYFUNCTION("""COMPUTED_VALUE"""),48.0)</f>
        <v>48</v>
      </c>
      <c r="E1042" s="9"/>
    </row>
    <row r="1043">
      <c r="A1043" s="11">
        <f>IFERROR(__xludf.DUMMYFUNCTION("""COMPUTED_VALUE"""),2021.0)</f>
        <v>2021</v>
      </c>
      <c r="B1043" s="11">
        <f>IFERROR(__xludf.DUMMYFUNCTION("""COMPUTED_VALUE"""),10.0)</f>
        <v>10</v>
      </c>
      <c r="C1043" s="11">
        <f>IFERROR(__xludf.DUMMYFUNCTION("""COMPUTED_VALUE"""),90159.0)</f>
        <v>90159</v>
      </c>
      <c r="D1043" s="11">
        <f>IFERROR(__xludf.DUMMYFUNCTION("""COMPUTED_VALUE"""),1157.0)</f>
        <v>1157</v>
      </c>
      <c r="E1043" s="9"/>
    </row>
    <row r="1044">
      <c r="A1044" s="11">
        <f>IFERROR(__xludf.DUMMYFUNCTION("""COMPUTED_VALUE"""),2021.0)</f>
        <v>2021</v>
      </c>
      <c r="B1044" s="11">
        <f>IFERROR(__xludf.DUMMYFUNCTION("""COMPUTED_VALUE"""),8.0)</f>
        <v>8</v>
      </c>
      <c r="C1044" s="11">
        <f>IFERROR(__xludf.DUMMYFUNCTION("""COMPUTED_VALUE"""),76651.0)</f>
        <v>76651</v>
      </c>
      <c r="D1044" s="11">
        <f>IFERROR(__xludf.DUMMYFUNCTION("""COMPUTED_VALUE"""),37.0)</f>
        <v>37</v>
      </c>
      <c r="E1044" s="9"/>
    </row>
    <row r="1045">
      <c r="A1045" s="11">
        <f>IFERROR(__xludf.DUMMYFUNCTION("""COMPUTED_VALUE"""),2021.0)</f>
        <v>2021</v>
      </c>
      <c r="B1045" s="11">
        <f>IFERROR(__xludf.DUMMYFUNCTION("""COMPUTED_VALUE"""),10.0)</f>
        <v>10</v>
      </c>
      <c r="C1045" s="11">
        <f>IFERROR(__xludf.DUMMYFUNCTION("""COMPUTED_VALUE"""),119531.0)</f>
        <v>119531</v>
      </c>
      <c r="D1045" s="11">
        <f>IFERROR(__xludf.DUMMYFUNCTION("""COMPUTED_VALUE"""),808.0)</f>
        <v>808</v>
      </c>
      <c r="E1045" s="9"/>
    </row>
    <row r="1046">
      <c r="A1046" s="11">
        <f>IFERROR(__xludf.DUMMYFUNCTION("""COMPUTED_VALUE"""),2021.0)</f>
        <v>2021</v>
      </c>
      <c r="B1046" s="11">
        <f>IFERROR(__xludf.DUMMYFUNCTION("""COMPUTED_VALUE"""),8.0)</f>
        <v>8</v>
      </c>
      <c r="C1046" s="11">
        <f>IFERROR(__xludf.DUMMYFUNCTION("""COMPUTED_VALUE"""),93884.0)</f>
        <v>93884</v>
      </c>
      <c r="D1046" s="11">
        <f>IFERROR(__xludf.DUMMYFUNCTION("""COMPUTED_VALUE"""),1010.0)</f>
        <v>1010</v>
      </c>
      <c r="E1046" s="9"/>
    </row>
    <row r="1047">
      <c r="A1047" s="11">
        <f>IFERROR(__xludf.DUMMYFUNCTION("""COMPUTED_VALUE"""),2021.0)</f>
        <v>2021</v>
      </c>
      <c r="B1047" s="11">
        <f>IFERROR(__xludf.DUMMYFUNCTION("""COMPUTED_VALUE"""),9.0)</f>
        <v>9</v>
      </c>
      <c r="C1047" s="11">
        <f>IFERROR(__xludf.DUMMYFUNCTION("""COMPUTED_VALUE"""),79467.0)</f>
        <v>79467</v>
      </c>
      <c r="D1047" s="11">
        <f>IFERROR(__xludf.DUMMYFUNCTION("""COMPUTED_VALUE"""),771.0)</f>
        <v>771</v>
      </c>
      <c r="E1047" s="9"/>
    </row>
    <row r="1048">
      <c r="A1048" s="11">
        <f>IFERROR(__xludf.DUMMYFUNCTION("""COMPUTED_VALUE"""),2021.0)</f>
        <v>2021</v>
      </c>
      <c r="B1048" s="11">
        <f>IFERROR(__xludf.DUMMYFUNCTION("""COMPUTED_VALUE"""),9.0)</f>
        <v>9</v>
      </c>
      <c r="C1048" s="11">
        <f>IFERROR(__xludf.DUMMYFUNCTION("""COMPUTED_VALUE"""),29532.0)</f>
        <v>29532</v>
      </c>
      <c r="D1048" s="11">
        <f>IFERROR(__xludf.DUMMYFUNCTION("""COMPUTED_VALUE"""),1853.0)</f>
        <v>1853</v>
      </c>
      <c r="E1048" s="9"/>
    </row>
    <row r="1049">
      <c r="A1049" s="11">
        <f>IFERROR(__xludf.DUMMYFUNCTION("""COMPUTED_VALUE"""),2021.0)</f>
        <v>2021</v>
      </c>
      <c r="B1049" s="11">
        <f>IFERROR(__xludf.DUMMYFUNCTION("""COMPUTED_VALUE"""),10.0)</f>
        <v>10</v>
      </c>
      <c r="C1049" s="11">
        <f>IFERROR(__xludf.DUMMYFUNCTION("""COMPUTED_VALUE"""),104063.0)</f>
        <v>104063</v>
      </c>
      <c r="D1049" s="11">
        <f>IFERROR(__xludf.DUMMYFUNCTION("""COMPUTED_VALUE"""),979.0)</f>
        <v>979</v>
      </c>
      <c r="E1049" s="9"/>
    </row>
    <row r="1050">
      <c r="A1050" s="11">
        <f>IFERROR(__xludf.DUMMYFUNCTION("""COMPUTED_VALUE"""),2021.0)</f>
        <v>2021</v>
      </c>
      <c r="B1050" s="11">
        <f>IFERROR(__xludf.DUMMYFUNCTION("""COMPUTED_VALUE"""),8.0)</f>
        <v>8</v>
      </c>
      <c r="C1050" s="11">
        <f>IFERROR(__xludf.DUMMYFUNCTION("""COMPUTED_VALUE"""),90166.0)</f>
        <v>90166</v>
      </c>
      <c r="D1050" s="11">
        <f>IFERROR(__xludf.DUMMYFUNCTION("""COMPUTED_VALUE"""),1529.0)</f>
        <v>1529</v>
      </c>
      <c r="E1050" s="9"/>
    </row>
    <row r="1051">
      <c r="A1051" s="11">
        <f>IFERROR(__xludf.DUMMYFUNCTION("""COMPUTED_VALUE"""),2021.0)</f>
        <v>2021</v>
      </c>
      <c r="B1051" s="11">
        <f>IFERROR(__xludf.DUMMYFUNCTION("""COMPUTED_VALUE"""),10.0)</f>
        <v>10</v>
      </c>
      <c r="C1051" s="11">
        <f>IFERROR(__xludf.DUMMYFUNCTION("""COMPUTED_VALUE"""),29538.0)</f>
        <v>29538</v>
      </c>
      <c r="D1051" s="11">
        <f>IFERROR(__xludf.DUMMYFUNCTION("""COMPUTED_VALUE"""),91.0)</f>
        <v>91</v>
      </c>
      <c r="E1051" s="9"/>
    </row>
    <row r="1052">
      <c r="A1052" s="11">
        <f>IFERROR(__xludf.DUMMYFUNCTION("""COMPUTED_VALUE"""),2021.0)</f>
        <v>2021</v>
      </c>
      <c r="B1052" s="11">
        <f>IFERROR(__xludf.DUMMYFUNCTION("""COMPUTED_VALUE"""),11.0)</f>
        <v>11</v>
      </c>
      <c r="C1052" s="11">
        <f>IFERROR(__xludf.DUMMYFUNCTION("""COMPUTED_VALUE"""),70538.0)</f>
        <v>70538</v>
      </c>
      <c r="D1052" s="11">
        <f>IFERROR(__xludf.DUMMYFUNCTION("""COMPUTED_VALUE"""),418.0)</f>
        <v>418</v>
      </c>
      <c r="E1052" s="9"/>
    </row>
    <row r="1053">
      <c r="A1053" s="11">
        <f>IFERROR(__xludf.DUMMYFUNCTION("""COMPUTED_VALUE"""),2021.0)</f>
        <v>2021</v>
      </c>
      <c r="B1053" s="11">
        <f>IFERROR(__xludf.DUMMYFUNCTION("""COMPUTED_VALUE"""),9.0)</f>
        <v>9</v>
      </c>
      <c r="C1053" s="11">
        <f>IFERROR(__xludf.DUMMYFUNCTION("""COMPUTED_VALUE"""),93893.0)</f>
        <v>93893</v>
      </c>
      <c r="D1053" s="11">
        <f>IFERROR(__xludf.DUMMYFUNCTION("""COMPUTED_VALUE"""),1076.0)</f>
        <v>1076</v>
      </c>
      <c r="E1053" s="9"/>
    </row>
    <row r="1054">
      <c r="A1054" s="11">
        <f>IFERROR(__xludf.DUMMYFUNCTION("""COMPUTED_VALUE"""),2021.0)</f>
        <v>2021</v>
      </c>
      <c r="B1054" s="11">
        <f>IFERROR(__xludf.DUMMYFUNCTION("""COMPUTED_VALUE"""),8.0)</f>
        <v>8</v>
      </c>
      <c r="C1054" s="11">
        <f>IFERROR(__xludf.DUMMYFUNCTION("""COMPUTED_VALUE"""),119518.0)</f>
        <v>119518</v>
      </c>
      <c r="D1054" s="11">
        <f>IFERROR(__xludf.DUMMYFUNCTION("""COMPUTED_VALUE"""),1656.0)</f>
        <v>1656</v>
      </c>
      <c r="E1054" s="9"/>
    </row>
    <row r="1055">
      <c r="A1055" s="11">
        <f>IFERROR(__xludf.DUMMYFUNCTION("""COMPUTED_VALUE"""),2021.0)</f>
        <v>2021</v>
      </c>
      <c r="B1055" s="11">
        <f>IFERROR(__xludf.DUMMYFUNCTION("""COMPUTED_VALUE"""),9.0)</f>
        <v>9</v>
      </c>
      <c r="C1055" s="11">
        <f>IFERROR(__xludf.DUMMYFUNCTION("""COMPUTED_VALUE"""),111338.0)</f>
        <v>111338</v>
      </c>
      <c r="D1055" s="11">
        <f>IFERROR(__xludf.DUMMYFUNCTION("""COMPUTED_VALUE"""),170.0)</f>
        <v>170</v>
      </c>
      <c r="E1055" s="9"/>
    </row>
    <row r="1056">
      <c r="A1056" s="11">
        <f>IFERROR(__xludf.DUMMYFUNCTION("""COMPUTED_VALUE"""),2021.0)</f>
        <v>2021</v>
      </c>
      <c r="B1056" s="11">
        <f>IFERROR(__xludf.DUMMYFUNCTION("""COMPUTED_VALUE"""),9.0)</f>
        <v>9</v>
      </c>
      <c r="C1056" s="11">
        <f>IFERROR(__xludf.DUMMYFUNCTION("""COMPUTED_VALUE"""),100435.0)</f>
        <v>100435</v>
      </c>
      <c r="D1056" s="11">
        <f>IFERROR(__xludf.DUMMYFUNCTION("""COMPUTED_VALUE"""),223.0)</f>
        <v>223</v>
      </c>
      <c r="E1056" s="9"/>
    </row>
    <row r="1057">
      <c r="A1057" s="11">
        <f>IFERROR(__xludf.DUMMYFUNCTION("""COMPUTED_VALUE"""),2021.0)</f>
        <v>2021</v>
      </c>
      <c r="B1057" s="11">
        <f>IFERROR(__xludf.DUMMYFUNCTION("""COMPUTED_VALUE"""),9.0)</f>
        <v>9</v>
      </c>
      <c r="C1057" s="11">
        <f>IFERROR(__xludf.DUMMYFUNCTION("""COMPUTED_VALUE"""),89130.0)</f>
        <v>89130</v>
      </c>
      <c r="D1057" s="11">
        <f>IFERROR(__xludf.DUMMYFUNCTION("""COMPUTED_VALUE"""),150.0)</f>
        <v>150</v>
      </c>
      <c r="E1057" s="9"/>
    </row>
    <row r="1058">
      <c r="A1058" s="11">
        <f>IFERROR(__xludf.DUMMYFUNCTION("""COMPUTED_VALUE"""),2021.0)</f>
        <v>2021</v>
      </c>
      <c r="B1058" s="11">
        <f>IFERROR(__xludf.DUMMYFUNCTION("""COMPUTED_VALUE"""),9.0)</f>
        <v>9</v>
      </c>
      <c r="C1058" s="11">
        <f>IFERROR(__xludf.DUMMYFUNCTION("""COMPUTED_VALUE"""),103695.0)</f>
        <v>103695</v>
      </c>
      <c r="D1058" s="11">
        <f>IFERROR(__xludf.DUMMYFUNCTION("""COMPUTED_VALUE"""),1577.0)</f>
        <v>1577</v>
      </c>
      <c r="E1058" s="9"/>
    </row>
    <row r="1059">
      <c r="A1059" s="11">
        <f>IFERROR(__xludf.DUMMYFUNCTION("""COMPUTED_VALUE"""),2021.0)</f>
        <v>2021</v>
      </c>
      <c r="B1059" s="11">
        <f>IFERROR(__xludf.DUMMYFUNCTION("""COMPUTED_VALUE"""),11.0)</f>
        <v>11</v>
      </c>
      <c r="C1059" s="11">
        <f>IFERROR(__xludf.DUMMYFUNCTION("""COMPUTED_VALUE"""),90201.0)</f>
        <v>90201</v>
      </c>
      <c r="D1059" s="11">
        <f>IFERROR(__xludf.DUMMYFUNCTION("""COMPUTED_VALUE"""),575.0)</f>
        <v>575</v>
      </c>
      <c r="E1059" s="9"/>
    </row>
    <row r="1060">
      <c r="A1060" s="11">
        <f>IFERROR(__xludf.DUMMYFUNCTION("""COMPUTED_VALUE"""),2021.0)</f>
        <v>2021</v>
      </c>
      <c r="B1060" s="11">
        <f>IFERROR(__xludf.DUMMYFUNCTION("""COMPUTED_VALUE"""),9.0)</f>
        <v>9</v>
      </c>
      <c r="C1060" s="11">
        <f>IFERROR(__xludf.DUMMYFUNCTION("""COMPUTED_VALUE"""),70025.0)</f>
        <v>70025</v>
      </c>
      <c r="D1060" s="11">
        <f>IFERROR(__xludf.DUMMYFUNCTION("""COMPUTED_VALUE"""),1958.0)</f>
        <v>1958</v>
      </c>
      <c r="E1060" s="9"/>
    </row>
    <row r="1061">
      <c r="A1061" s="11">
        <f>IFERROR(__xludf.DUMMYFUNCTION("""COMPUTED_VALUE"""),2021.0)</f>
        <v>2021</v>
      </c>
      <c r="B1061" s="11">
        <f>IFERROR(__xludf.DUMMYFUNCTION("""COMPUTED_VALUE"""),10.0)</f>
        <v>10</v>
      </c>
      <c r="C1061" s="11">
        <f>IFERROR(__xludf.DUMMYFUNCTION("""COMPUTED_VALUE"""),29485.0)</f>
        <v>29485</v>
      </c>
      <c r="D1061" s="11">
        <f>IFERROR(__xludf.DUMMYFUNCTION("""COMPUTED_VALUE"""),506.0)</f>
        <v>506</v>
      </c>
      <c r="E1061" s="9"/>
    </row>
    <row r="1062">
      <c r="A1062" s="11">
        <f>IFERROR(__xludf.DUMMYFUNCTION("""COMPUTED_VALUE"""),2021.0)</f>
        <v>2021</v>
      </c>
      <c r="B1062" s="11">
        <f>IFERROR(__xludf.DUMMYFUNCTION("""COMPUTED_VALUE"""),8.0)</f>
        <v>8</v>
      </c>
      <c r="C1062" s="11">
        <f>IFERROR(__xludf.DUMMYFUNCTION("""COMPUTED_VALUE"""),119530.0)</f>
        <v>119530</v>
      </c>
      <c r="D1062" s="11">
        <f>IFERROR(__xludf.DUMMYFUNCTION("""COMPUTED_VALUE"""),709.0)</f>
        <v>709</v>
      </c>
      <c r="E1062" s="9"/>
    </row>
    <row r="1063">
      <c r="A1063" s="11">
        <f>IFERROR(__xludf.DUMMYFUNCTION("""COMPUTED_VALUE"""),2021.0)</f>
        <v>2021</v>
      </c>
      <c r="B1063" s="11">
        <f>IFERROR(__xludf.DUMMYFUNCTION("""COMPUTED_VALUE"""),8.0)</f>
        <v>8</v>
      </c>
      <c r="C1063" s="11">
        <f>IFERROR(__xludf.DUMMYFUNCTION("""COMPUTED_VALUE"""),103671.0)</f>
        <v>103671</v>
      </c>
      <c r="D1063" s="11">
        <f>IFERROR(__xludf.DUMMYFUNCTION("""COMPUTED_VALUE"""),521.0)</f>
        <v>521</v>
      </c>
      <c r="E1063" s="9"/>
    </row>
    <row r="1064">
      <c r="A1064" s="11">
        <f>IFERROR(__xludf.DUMMYFUNCTION("""COMPUTED_VALUE"""),2021.0)</f>
        <v>2021</v>
      </c>
      <c r="B1064" s="11">
        <f>IFERROR(__xludf.DUMMYFUNCTION("""COMPUTED_VALUE"""),11.0)</f>
        <v>11</v>
      </c>
      <c r="C1064" s="11">
        <f>IFERROR(__xludf.DUMMYFUNCTION("""COMPUTED_VALUE"""),102803.0)</f>
        <v>102803</v>
      </c>
      <c r="D1064" s="11">
        <f>IFERROR(__xludf.DUMMYFUNCTION("""COMPUTED_VALUE"""),14.0)</f>
        <v>14</v>
      </c>
      <c r="E1064" s="9"/>
    </row>
    <row r="1065">
      <c r="A1065" s="11">
        <f>IFERROR(__xludf.DUMMYFUNCTION("""COMPUTED_VALUE"""),2021.0)</f>
        <v>2021</v>
      </c>
      <c r="B1065" s="11">
        <f>IFERROR(__xludf.DUMMYFUNCTION("""COMPUTED_VALUE"""),9.0)</f>
        <v>9</v>
      </c>
      <c r="C1065" s="11">
        <f>IFERROR(__xludf.DUMMYFUNCTION("""COMPUTED_VALUE"""),122156.0)</f>
        <v>122156</v>
      </c>
      <c r="D1065" s="11">
        <f>IFERROR(__xludf.DUMMYFUNCTION("""COMPUTED_VALUE"""),937.0)</f>
        <v>937</v>
      </c>
      <c r="E1065" s="9"/>
    </row>
    <row r="1066">
      <c r="A1066" s="11">
        <f>IFERROR(__xludf.DUMMYFUNCTION("""COMPUTED_VALUE"""),2021.0)</f>
        <v>2021</v>
      </c>
      <c r="B1066" s="11">
        <f>IFERROR(__xludf.DUMMYFUNCTION("""COMPUTED_VALUE"""),10.0)</f>
        <v>10</v>
      </c>
      <c r="C1066" s="11">
        <f>IFERROR(__xludf.DUMMYFUNCTION("""COMPUTED_VALUE"""),103688.0)</f>
        <v>103688</v>
      </c>
      <c r="D1066" s="11">
        <f>IFERROR(__xludf.DUMMYFUNCTION("""COMPUTED_VALUE"""),1167.0)</f>
        <v>1167</v>
      </c>
      <c r="E1066" s="9"/>
    </row>
    <row r="1067">
      <c r="A1067" s="11">
        <f>IFERROR(__xludf.DUMMYFUNCTION("""COMPUTED_VALUE"""),2021.0)</f>
        <v>2021</v>
      </c>
      <c r="B1067" s="11">
        <f>IFERROR(__xludf.DUMMYFUNCTION("""COMPUTED_VALUE"""),10.0)</f>
        <v>10</v>
      </c>
      <c r="C1067" s="11">
        <f>IFERROR(__xludf.DUMMYFUNCTION("""COMPUTED_VALUE"""),128303.0)</f>
        <v>128303</v>
      </c>
      <c r="D1067" s="11">
        <f>IFERROR(__xludf.DUMMYFUNCTION("""COMPUTED_VALUE"""),1188.0)</f>
        <v>1188</v>
      </c>
      <c r="E1067" s="9"/>
    </row>
    <row r="1068">
      <c r="A1068" s="11">
        <f>IFERROR(__xludf.DUMMYFUNCTION("""COMPUTED_VALUE"""),2021.0)</f>
        <v>2021</v>
      </c>
      <c r="B1068" s="11">
        <f>IFERROR(__xludf.DUMMYFUNCTION("""COMPUTED_VALUE"""),9.0)</f>
        <v>9</v>
      </c>
      <c r="C1068" s="11">
        <f>IFERROR(__xludf.DUMMYFUNCTION("""COMPUTED_VALUE"""),122164.0)</f>
        <v>122164</v>
      </c>
      <c r="D1068" s="11">
        <f>IFERROR(__xludf.DUMMYFUNCTION("""COMPUTED_VALUE"""),1600.0)</f>
        <v>1600</v>
      </c>
      <c r="E1068" s="9"/>
    </row>
    <row r="1069">
      <c r="A1069" s="11">
        <f>IFERROR(__xludf.DUMMYFUNCTION("""COMPUTED_VALUE"""),2021.0)</f>
        <v>2021</v>
      </c>
      <c r="B1069" s="11">
        <f>IFERROR(__xludf.DUMMYFUNCTION("""COMPUTED_VALUE"""),8.0)</f>
        <v>8</v>
      </c>
      <c r="C1069" s="11">
        <f>IFERROR(__xludf.DUMMYFUNCTION("""COMPUTED_VALUE"""),119629.0)</f>
        <v>119629</v>
      </c>
      <c r="D1069" s="11">
        <f>IFERROR(__xludf.DUMMYFUNCTION("""COMPUTED_VALUE"""),1649.0)</f>
        <v>1649</v>
      </c>
      <c r="E1069" s="9"/>
    </row>
    <row r="1070">
      <c r="A1070" s="11">
        <f>IFERROR(__xludf.DUMMYFUNCTION("""COMPUTED_VALUE"""),2021.0)</f>
        <v>2021</v>
      </c>
      <c r="B1070" s="11">
        <f>IFERROR(__xludf.DUMMYFUNCTION("""COMPUTED_VALUE"""),9.0)</f>
        <v>9</v>
      </c>
      <c r="C1070" s="11">
        <f>IFERROR(__xludf.DUMMYFUNCTION("""COMPUTED_VALUE"""),122238.0)</f>
        <v>122238</v>
      </c>
      <c r="D1070" s="11">
        <f>IFERROR(__xludf.DUMMYFUNCTION("""COMPUTED_VALUE"""),644.0)</f>
        <v>644</v>
      </c>
      <c r="E1070" s="9"/>
    </row>
    <row r="1071">
      <c r="A1071" s="11">
        <f>IFERROR(__xludf.DUMMYFUNCTION("""COMPUTED_VALUE"""),2021.0)</f>
        <v>2021</v>
      </c>
      <c r="B1071" s="11">
        <f>IFERROR(__xludf.DUMMYFUNCTION("""COMPUTED_VALUE"""),10.0)</f>
        <v>10</v>
      </c>
      <c r="C1071" s="11">
        <f>IFERROR(__xludf.DUMMYFUNCTION("""COMPUTED_VALUE"""),100106.0)</f>
        <v>100106</v>
      </c>
      <c r="D1071" s="11">
        <f>IFERROR(__xludf.DUMMYFUNCTION("""COMPUTED_VALUE"""),265.0)</f>
        <v>265</v>
      </c>
      <c r="E1071" s="9"/>
    </row>
    <row r="1072">
      <c r="A1072" s="11">
        <f>IFERROR(__xludf.DUMMYFUNCTION("""COMPUTED_VALUE"""),2021.0)</f>
        <v>2021</v>
      </c>
      <c r="B1072" s="11">
        <f>IFERROR(__xludf.DUMMYFUNCTION("""COMPUTED_VALUE"""),9.0)</f>
        <v>9</v>
      </c>
      <c r="C1072" s="11">
        <f>IFERROR(__xludf.DUMMYFUNCTION("""COMPUTED_VALUE"""),74260.0)</f>
        <v>74260</v>
      </c>
      <c r="D1072" s="11">
        <f>IFERROR(__xludf.DUMMYFUNCTION("""COMPUTED_VALUE"""),535.0)</f>
        <v>535</v>
      </c>
      <c r="E1072" s="9"/>
    </row>
    <row r="1073">
      <c r="A1073" s="11">
        <f>IFERROR(__xludf.DUMMYFUNCTION("""COMPUTED_VALUE"""),2021.0)</f>
        <v>2021</v>
      </c>
      <c r="B1073" s="11">
        <f>IFERROR(__xludf.DUMMYFUNCTION("""COMPUTED_VALUE"""),10.0)</f>
        <v>10</v>
      </c>
      <c r="C1073" s="11">
        <f>IFERROR(__xludf.DUMMYFUNCTION("""COMPUTED_VALUE"""),122159.0)</f>
        <v>122159</v>
      </c>
      <c r="D1073" s="11">
        <f>IFERROR(__xludf.DUMMYFUNCTION("""COMPUTED_VALUE"""),1411.0)</f>
        <v>1411</v>
      </c>
      <c r="E1073" s="9"/>
    </row>
    <row r="1074">
      <c r="A1074" s="11">
        <f>IFERROR(__xludf.DUMMYFUNCTION("""COMPUTED_VALUE"""),2021.0)</f>
        <v>2021</v>
      </c>
      <c r="B1074" s="11">
        <f>IFERROR(__xludf.DUMMYFUNCTION("""COMPUTED_VALUE"""),9.0)</f>
        <v>9</v>
      </c>
      <c r="C1074" s="11">
        <f>IFERROR(__xludf.DUMMYFUNCTION("""COMPUTED_VALUE"""),100104.0)</f>
        <v>100104</v>
      </c>
      <c r="D1074" s="11">
        <f>IFERROR(__xludf.DUMMYFUNCTION("""COMPUTED_VALUE"""),278.0)</f>
        <v>278</v>
      </c>
      <c r="E1074" s="9"/>
    </row>
    <row r="1075">
      <c r="A1075" s="11">
        <f>IFERROR(__xludf.DUMMYFUNCTION("""COMPUTED_VALUE"""),2021.0)</f>
        <v>2021</v>
      </c>
      <c r="B1075" s="11">
        <f>IFERROR(__xludf.DUMMYFUNCTION("""COMPUTED_VALUE"""),11.0)</f>
        <v>11</v>
      </c>
      <c r="C1075" s="11">
        <f>IFERROR(__xludf.DUMMYFUNCTION("""COMPUTED_VALUE"""),103702.0)</f>
        <v>103702</v>
      </c>
      <c r="D1075" s="11">
        <f>IFERROR(__xludf.DUMMYFUNCTION("""COMPUTED_VALUE"""),1174.0)</f>
        <v>1174</v>
      </c>
      <c r="E1075" s="9"/>
    </row>
    <row r="1076">
      <c r="A1076" s="11">
        <f>IFERROR(__xludf.DUMMYFUNCTION("""COMPUTED_VALUE"""),2021.0)</f>
        <v>2021</v>
      </c>
      <c r="B1076" s="11">
        <f>IFERROR(__xludf.DUMMYFUNCTION("""COMPUTED_VALUE"""),8.0)</f>
        <v>8</v>
      </c>
      <c r="C1076" s="11">
        <f>IFERROR(__xludf.DUMMYFUNCTION("""COMPUTED_VALUE"""),103696.0)</f>
        <v>103696</v>
      </c>
      <c r="D1076" s="11">
        <f>IFERROR(__xludf.DUMMYFUNCTION("""COMPUTED_VALUE"""),889.0)</f>
        <v>889</v>
      </c>
      <c r="E1076" s="9"/>
    </row>
    <row r="1077">
      <c r="A1077" s="11">
        <f>IFERROR(__xludf.DUMMYFUNCTION("""COMPUTED_VALUE"""),2021.0)</f>
        <v>2021</v>
      </c>
      <c r="B1077" s="11">
        <f>IFERROR(__xludf.DUMMYFUNCTION("""COMPUTED_VALUE"""),8.0)</f>
        <v>8</v>
      </c>
      <c r="C1077" s="11">
        <f>IFERROR(__xludf.DUMMYFUNCTION("""COMPUTED_VALUE"""),111083.0)</f>
        <v>111083</v>
      </c>
      <c r="D1077" s="11">
        <f>IFERROR(__xludf.DUMMYFUNCTION("""COMPUTED_VALUE"""),1001.0)</f>
        <v>1001</v>
      </c>
      <c r="E1077" s="9"/>
    </row>
    <row r="1078">
      <c r="A1078" s="11">
        <f>IFERROR(__xludf.DUMMYFUNCTION("""COMPUTED_VALUE"""),2021.0)</f>
        <v>2021</v>
      </c>
      <c r="B1078" s="11">
        <f>IFERROR(__xludf.DUMMYFUNCTION("""COMPUTED_VALUE"""),10.0)</f>
        <v>10</v>
      </c>
      <c r="C1078" s="11">
        <f>IFERROR(__xludf.DUMMYFUNCTION("""COMPUTED_VALUE"""),76658.0)</f>
        <v>76658</v>
      </c>
      <c r="D1078" s="11">
        <f>IFERROR(__xludf.DUMMYFUNCTION("""COMPUTED_VALUE"""),1859.0)</f>
        <v>1859</v>
      </c>
      <c r="E1078" s="9"/>
    </row>
    <row r="1079">
      <c r="A1079" s="11">
        <f>IFERROR(__xludf.DUMMYFUNCTION("""COMPUTED_VALUE"""),2021.0)</f>
        <v>2021</v>
      </c>
      <c r="B1079" s="11">
        <f>IFERROR(__xludf.DUMMYFUNCTION("""COMPUTED_VALUE"""),8.0)</f>
        <v>8</v>
      </c>
      <c r="C1079" s="11">
        <f>IFERROR(__xludf.DUMMYFUNCTION("""COMPUTED_VALUE"""),111339.0)</f>
        <v>111339</v>
      </c>
      <c r="D1079" s="11">
        <f>IFERROR(__xludf.DUMMYFUNCTION("""COMPUTED_VALUE"""),1429.0)</f>
        <v>1429</v>
      </c>
      <c r="E1079" s="9"/>
    </row>
    <row r="1080">
      <c r="A1080" s="11">
        <f>IFERROR(__xludf.DUMMYFUNCTION("""COMPUTED_VALUE"""),2021.0)</f>
        <v>2021</v>
      </c>
      <c r="B1080" s="11">
        <f>IFERROR(__xludf.DUMMYFUNCTION("""COMPUTED_VALUE"""),9.0)</f>
        <v>9</v>
      </c>
      <c r="C1080" s="11">
        <f>IFERROR(__xludf.DUMMYFUNCTION("""COMPUTED_VALUE"""),79491.0)</f>
        <v>79491</v>
      </c>
      <c r="D1080" s="11">
        <f>IFERROR(__xludf.DUMMYFUNCTION("""COMPUTED_VALUE"""),1897.0)</f>
        <v>1897</v>
      </c>
      <c r="E1080" s="9"/>
    </row>
    <row r="1081">
      <c r="A1081" s="11">
        <f>IFERROR(__xludf.DUMMYFUNCTION("""COMPUTED_VALUE"""),2021.0)</f>
        <v>2021</v>
      </c>
      <c r="B1081" s="11">
        <f>IFERROR(__xludf.DUMMYFUNCTION("""COMPUTED_VALUE"""),11.0)</f>
        <v>11</v>
      </c>
      <c r="C1081" s="11">
        <f>IFERROR(__xludf.DUMMYFUNCTION("""COMPUTED_VALUE"""),110380.0)</f>
        <v>110380</v>
      </c>
      <c r="D1081" s="11">
        <f>IFERROR(__xludf.DUMMYFUNCTION("""COMPUTED_VALUE"""),1545.0)</f>
        <v>1545</v>
      </c>
      <c r="E1081" s="9"/>
    </row>
    <row r="1082">
      <c r="A1082" s="11">
        <f>IFERROR(__xludf.DUMMYFUNCTION("""COMPUTED_VALUE"""),2021.0)</f>
        <v>2021</v>
      </c>
      <c r="B1082" s="11">
        <f>IFERROR(__xludf.DUMMYFUNCTION("""COMPUTED_VALUE"""),8.0)</f>
        <v>8</v>
      </c>
      <c r="C1082" s="11">
        <f>IFERROR(__xludf.DUMMYFUNCTION("""COMPUTED_VALUE"""),111341.0)</f>
        <v>111341</v>
      </c>
      <c r="D1082" s="11">
        <f>IFERROR(__xludf.DUMMYFUNCTION("""COMPUTED_VALUE"""),103.0)</f>
        <v>103</v>
      </c>
      <c r="E1082" s="9"/>
    </row>
    <row r="1083">
      <c r="A1083" s="11">
        <f>IFERROR(__xludf.DUMMYFUNCTION("""COMPUTED_VALUE"""),2021.0)</f>
        <v>2021</v>
      </c>
      <c r="B1083" s="11">
        <f>IFERROR(__xludf.DUMMYFUNCTION("""COMPUTED_VALUE"""),8.0)</f>
        <v>8</v>
      </c>
      <c r="C1083" s="11">
        <f>IFERROR(__xludf.DUMMYFUNCTION("""COMPUTED_VALUE"""),81785.0)</f>
        <v>81785</v>
      </c>
      <c r="D1083" s="11">
        <f>IFERROR(__xludf.DUMMYFUNCTION("""COMPUTED_VALUE"""),748.0)</f>
        <v>748</v>
      </c>
      <c r="E1083" s="9"/>
    </row>
    <row r="1084">
      <c r="A1084" s="11">
        <f>IFERROR(__xludf.DUMMYFUNCTION("""COMPUTED_VALUE"""),2021.0)</f>
        <v>2021</v>
      </c>
      <c r="B1084" s="11">
        <f>IFERROR(__xludf.DUMMYFUNCTION("""COMPUTED_VALUE"""),8.0)</f>
        <v>8</v>
      </c>
      <c r="C1084" s="11">
        <f>IFERROR(__xludf.DUMMYFUNCTION("""COMPUTED_VALUE"""),89155.0)</f>
        <v>89155</v>
      </c>
      <c r="D1084" s="11">
        <f>IFERROR(__xludf.DUMMYFUNCTION("""COMPUTED_VALUE"""),633.0)</f>
        <v>633</v>
      </c>
      <c r="E1084" s="9"/>
    </row>
    <row r="1085">
      <c r="A1085" s="11">
        <f>IFERROR(__xludf.DUMMYFUNCTION("""COMPUTED_VALUE"""),2021.0)</f>
        <v>2021</v>
      </c>
      <c r="B1085" s="11">
        <f>IFERROR(__xludf.DUMMYFUNCTION("""COMPUTED_VALUE"""),11.0)</f>
        <v>11</v>
      </c>
      <c r="C1085" s="11">
        <f>IFERROR(__xludf.DUMMYFUNCTION("""COMPUTED_VALUE"""),90253.0)</f>
        <v>90253</v>
      </c>
      <c r="D1085" s="11">
        <f>IFERROR(__xludf.DUMMYFUNCTION("""COMPUTED_VALUE"""),1834.0)</f>
        <v>1834</v>
      </c>
      <c r="E1085" s="9"/>
    </row>
    <row r="1086">
      <c r="A1086" s="11">
        <f>IFERROR(__xludf.DUMMYFUNCTION("""COMPUTED_VALUE"""),2021.0)</f>
        <v>2021</v>
      </c>
      <c r="B1086" s="11">
        <f>IFERROR(__xludf.DUMMYFUNCTION("""COMPUTED_VALUE"""),9.0)</f>
        <v>9</v>
      </c>
      <c r="C1086" s="11">
        <f>IFERROR(__xludf.DUMMYFUNCTION("""COMPUTED_VALUE"""),119544.0)</f>
        <v>119544</v>
      </c>
      <c r="D1086" s="11">
        <f>IFERROR(__xludf.DUMMYFUNCTION("""COMPUTED_VALUE"""),1545.0)</f>
        <v>1545</v>
      </c>
      <c r="E1086" s="9"/>
    </row>
    <row r="1087">
      <c r="A1087" s="11">
        <f>IFERROR(__xludf.DUMMYFUNCTION("""COMPUTED_VALUE"""),2021.0)</f>
        <v>2021</v>
      </c>
      <c r="B1087" s="11">
        <f>IFERROR(__xludf.DUMMYFUNCTION("""COMPUTED_VALUE"""),9.0)</f>
        <v>9</v>
      </c>
      <c r="C1087" s="11">
        <f>IFERROR(__xludf.DUMMYFUNCTION("""COMPUTED_VALUE"""),108675.0)</f>
        <v>108675</v>
      </c>
      <c r="D1087" s="11">
        <f>IFERROR(__xludf.DUMMYFUNCTION("""COMPUTED_VALUE"""),1360.0)</f>
        <v>1360</v>
      </c>
      <c r="E1087" s="9"/>
    </row>
    <row r="1088">
      <c r="A1088" s="11">
        <f>IFERROR(__xludf.DUMMYFUNCTION("""COMPUTED_VALUE"""),2021.0)</f>
        <v>2021</v>
      </c>
      <c r="B1088" s="11">
        <f>IFERROR(__xludf.DUMMYFUNCTION("""COMPUTED_VALUE"""),8.0)</f>
        <v>8</v>
      </c>
      <c r="C1088" s="11">
        <f>IFERROR(__xludf.DUMMYFUNCTION("""COMPUTED_VALUE"""),119542.0)</f>
        <v>119542</v>
      </c>
      <c r="D1088" s="11">
        <f>IFERROR(__xludf.DUMMYFUNCTION("""COMPUTED_VALUE"""),1505.0)</f>
        <v>1505</v>
      </c>
      <c r="E1088" s="9"/>
    </row>
    <row r="1089">
      <c r="A1089" s="11">
        <f>IFERROR(__xludf.DUMMYFUNCTION("""COMPUTED_VALUE"""),2021.0)</f>
        <v>2021</v>
      </c>
      <c r="B1089" s="11">
        <f>IFERROR(__xludf.DUMMYFUNCTION("""COMPUTED_VALUE"""),8.0)</f>
        <v>8</v>
      </c>
      <c r="C1089" s="11">
        <f>IFERROR(__xludf.DUMMYFUNCTION("""COMPUTED_VALUE"""),30752.0)</f>
        <v>30752</v>
      </c>
      <c r="D1089" s="11">
        <f>IFERROR(__xludf.DUMMYFUNCTION("""COMPUTED_VALUE"""),337.0)</f>
        <v>337</v>
      </c>
      <c r="E1089" s="9"/>
    </row>
    <row r="1090">
      <c r="A1090" s="11">
        <f>IFERROR(__xludf.DUMMYFUNCTION("""COMPUTED_VALUE"""),2021.0)</f>
        <v>2021</v>
      </c>
      <c r="B1090" s="11">
        <f>IFERROR(__xludf.DUMMYFUNCTION("""COMPUTED_VALUE"""),9.0)</f>
        <v>9</v>
      </c>
      <c r="C1090" s="11">
        <f>IFERROR(__xludf.DUMMYFUNCTION("""COMPUTED_VALUE"""),116180.0)</f>
        <v>116180</v>
      </c>
      <c r="D1090" s="11">
        <f>IFERROR(__xludf.DUMMYFUNCTION("""COMPUTED_VALUE"""),298.0)</f>
        <v>298</v>
      </c>
      <c r="E1090" s="9"/>
    </row>
    <row r="1091">
      <c r="A1091" s="11">
        <f>IFERROR(__xludf.DUMMYFUNCTION("""COMPUTED_VALUE"""),2021.0)</f>
        <v>2021</v>
      </c>
      <c r="B1091" s="11">
        <f>IFERROR(__xludf.DUMMYFUNCTION("""COMPUTED_VALUE"""),9.0)</f>
        <v>9</v>
      </c>
      <c r="C1091" s="11">
        <f>IFERROR(__xludf.DUMMYFUNCTION("""COMPUTED_VALUE"""),96953.0)</f>
        <v>96953</v>
      </c>
      <c r="D1091" s="11">
        <f>IFERROR(__xludf.DUMMYFUNCTION("""COMPUTED_VALUE"""),1674.0)</f>
        <v>1674</v>
      </c>
      <c r="E1091" s="9"/>
    </row>
    <row r="1092">
      <c r="A1092" s="11">
        <f>IFERROR(__xludf.DUMMYFUNCTION("""COMPUTED_VALUE"""),2021.0)</f>
        <v>2021</v>
      </c>
      <c r="B1092" s="11">
        <f>IFERROR(__xludf.DUMMYFUNCTION("""COMPUTED_VALUE"""),11.0)</f>
        <v>11</v>
      </c>
      <c r="C1092" s="11">
        <f>IFERROR(__xludf.DUMMYFUNCTION("""COMPUTED_VALUE"""),118303.0)</f>
        <v>118303</v>
      </c>
      <c r="D1092" s="11">
        <f>IFERROR(__xludf.DUMMYFUNCTION("""COMPUTED_VALUE"""),614.0)</f>
        <v>614</v>
      </c>
      <c r="E1092" s="9"/>
    </row>
    <row r="1093">
      <c r="A1093" s="11">
        <f>IFERROR(__xludf.DUMMYFUNCTION("""COMPUTED_VALUE"""),2021.0)</f>
        <v>2021</v>
      </c>
      <c r="B1093" s="11">
        <f>IFERROR(__xludf.DUMMYFUNCTION("""COMPUTED_VALUE"""),10.0)</f>
        <v>10</v>
      </c>
      <c r="C1093" s="11">
        <f>IFERROR(__xludf.DUMMYFUNCTION("""COMPUTED_VALUE"""),117222.0)</f>
        <v>117222</v>
      </c>
      <c r="D1093" s="11">
        <f>IFERROR(__xludf.DUMMYFUNCTION("""COMPUTED_VALUE"""),1182.0)</f>
        <v>1182</v>
      </c>
      <c r="E1093" s="9"/>
    </row>
    <row r="1094">
      <c r="A1094" s="11">
        <f>IFERROR(__xludf.DUMMYFUNCTION("""COMPUTED_VALUE"""),2021.0)</f>
        <v>2021</v>
      </c>
      <c r="B1094" s="11">
        <f>IFERROR(__xludf.DUMMYFUNCTION("""COMPUTED_VALUE"""),10.0)</f>
        <v>10</v>
      </c>
      <c r="C1094" s="11">
        <f>IFERROR(__xludf.DUMMYFUNCTION("""COMPUTED_VALUE"""),5620.0)</f>
        <v>5620</v>
      </c>
      <c r="D1094" s="11">
        <f>IFERROR(__xludf.DUMMYFUNCTION("""COMPUTED_VALUE"""),661.0)</f>
        <v>661</v>
      </c>
      <c r="E1094" s="9"/>
    </row>
    <row r="1095">
      <c r="A1095" s="11">
        <f>IFERROR(__xludf.DUMMYFUNCTION("""COMPUTED_VALUE"""),2021.0)</f>
        <v>2021</v>
      </c>
      <c r="B1095" s="11">
        <f>IFERROR(__xludf.DUMMYFUNCTION("""COMPUTED_VALUE"""),9.0)</f>
        <v>9</v>
      </c>
      <c r="C1095" s="11">
        <f>IFERROR(__xludf.DUMMYFUNCTION("""COMPUTED_VALUE"""),122346.0)</f>
        <v>122346</v>
      </c>
      <c r="D1095" s="11">
        <f>IFERROR(__xludf.DUMMYFUNCTION("""COMPUTED_VALUE"""),274.0)</f>
        <v>274</v>
      </c>
      <c r="E1095" s="9"/>
    </row>
    <row r="1096">
      <c r="A1096" s="11">
        <f>IFERROR(__xludf.DUMMYFUNCTION("""COMPUTED_VALUE"""),2021.0)</f>
        <v>2021</v>
      </c>
      <c r="B1096" s="11">
        <f>IFERROR(__xludf.DUMMYFUNCTION("""COMPUTED_VALUE"""),8.0)</f>
        <v>8</v>
      </c>
      <c r="C1096" s="11">
        <f>IFERROR(__xludf.DUMMYFUNCTION("""COMPUTED_VALUE"""),96968.0)</f>
        <v>96968</v>
      </c>
      <c r="D1096" s="11">
        <f>IFERROR(__xludf.DUMMYFUNCTION("""COMPUTED_VALUE"""),1136.0)</f>
        <v>1136</v>
      </c>
      <c r="E1096" s="9"/>
    </row>
    <row r="1097">
      <c r="A1097" s="11">
        <f>IFERROR(__xludf.DUMMYFUNCTION("""COMPUTED_VALUE"""),2021.0)</f>
        <v>2021</v>
      </c>
      <c r="B1097" s="11">
        <f>IFERROR(__xludf.DUMMYFUNCTION("""COMPUTED_VALUE"""),9.0)</f>
        <v>9</v>
      </c>
      <c r="C1097" s="11">
        <f>IFERROR(__xludf.DUMMYFUNCTION("""COMPUTED_VALUE"""),126578.0)</f>
        <v>126578</v>
      </c>
      <c r="D1097" s="11">
        <f>IFERROR(__xludf.DUMMYFUNCTION("""COMPUTED_VALUE"""),1086.0)</f>
        <v>1086</v>
      </c>
      <c r="E1097" s="9"/>
    </row>
    <row r="1098">
      <c r="A1098" s="11">
        <f>IFERROR(__xludf.DUMMYFUNCTION("""COMPUTED_VALUE"""),2021.0)</f>
        <v>2021</v>
      </c>
      <c r="B1098" s="11">
        <f>IFERROR(__xludf.DUMMYFUNCTION("""COMPUTED_VALUE"""),10.0)</f>
        <v>10</v>
      </c>
      <c r="C1098" s="11">
        <f>IFERROR(__xludf.DUMMYFUNCTION("""COMPUTED_VALUE"""),126581.0)</f>
        <v>126581</v>
      </c>
      <c r="D1098" s="11">
        <f>IFERROR(__xludf.DUMMYFUNCTION("""COMPUTED_VALUE"""),1366.0)</f>
        <v>1366</v>
      </c>
      <c r="E1098" s="9"/>
    </row>
    <row r="1099">
      <c r="A1099" s="11">
        <f>IFERROR(__xludf.DUMMYFUNCTION("""COMPUTED_VALUE"""),2021.0)</f>
        <v>2021</v>
      </c>
      <c r="B1099" s="11">
        <f>IFERROR(__xludf.DUMMYFUNCTION("""COMPUTED_VALUE"""),11.0)</f>
        <v>11</v>
      </c>
      <c r="C1099" s="11">
        <f>IFERROR(__xludf.DUMMYFUNCTION("""COMPUTED_VALUE"""),96956.0)</f>
        <v>96956</v>
      </c>
      <c r="D1099" s="11">
        <f>IFERROR(__xludf.DUMMYFUNCTION("""COMPUTED_VALUE"""),620.0)</f>
        <v>620</v>
      </c>
      <c r="E1099" s="9"/>
    </row>
    <row r="1100">
      <c r="A1100" s="11">
        <f>IFERROR(__xludf.DUMMYFUNCTION("""COMPUTED_VALUE"""),2021.0)</f>
        <v>2021</v>
      </c>
      <c r="B1100" s="11">
        <f>IFERROR(__xludf.DUMMYFUNCTION("""COMPUTED_VALUE"""),8.0)</f>
        <v>8</v>
      </c>
      <c r="C1100" s="11">
        <f>IFERROR(__xludf.DUMMYFUNCTION("""COMPUTED_VALUE"""),116774.0)</f>
        <v>116774</v>
      </c>
      <c r="D1100" s="11">
        <f>IFERROR(__xludf.DUMMYFUNCTION("""COMPUTED_VALUE"""),1333.0)</f>
        <v>1333</v>
      </c>
      <c r="E1100" s="9"/>
    </row>
    <row r="1101">
      <c r="A1101" s="11">
        <f>IFERROR(__xludf.DUMMYFUNCTION("""COMPUTED_VALUE"""),2021.0)</f>
        <v>2021</v>
      </c>
      <c r="B1101" s="11">
        <f>IFERROR(__xludf.DUMMYFUNCTION("""COMPUTED_VALUE"""),8.0)</f>
        <v>8</v>
      </c>
      <c r="C1101" s="11">
        <f>IFERROR(__xludf.DUMMYFUNCTION("""COMPUTED_VALUE"""),147293.0)</f>
        <v>147293</v>
      </c>
      <c r="D1101" s="11">
        <f>IFERROR(__xludf.DUMMYFUNCTION("""COMPUTED_VALUE"""),1945.0)</f>
        <v>1945</v>
      </c>
      <c r="E1101" s="9"/>
    </row>
    <row r="1102">
      <c r="A1102" s="11">
        <f>IFERROR(__xludf.DUMMYFUNCTION("""COMPUTED_VALUE"""),2021.0)</f>
        <v>2021</v>
      </c>
      <c r="B1102" s="11">
        <f>IFERROR(__xludf.DUMMYFUNCTION("""COMPUTED_VALUE"""),10.0)</f>
        <v>10</v>
      </c>
      <c r="C1102" s="11">
        <f>IFERROR(__xludf.DUMMYFUNCTION("""COMPUTED_VALUE"""),119228.0)</f>
        <v>119228</v>
      </c>
      <c r="D1102" s="11">
        <f>IFERROR(__xludf.DUMMYFUNCTION("""COMPUTED_VALUE"""),935.0)</f>
        <v>935</v>
      </c>
      <c r="E1102" s="9"/>
    </row>
    <row r="1103">
      <c r="A1103" s="11">
        <f>IFERROR(__xludf.DUMMYFUNCTION("""COMPUTED_VALUE"""),2021.0)</f>
        <v>2021</v>
      </c>
      <c r="B1103" s="11">
        <f>IFERROR(__xludf.DUMMYFUNCTION("""COMPUTED_VALUE"""),11.0)</f>
        <v>11</v>
      </c>
      <c r="C1103" s="11">
        <f>IFERROR(__xludf.DUMMYFUNCTION("""COMPUTED_VALUE"""),5618.0)</f>
        <v>5618</v>
      </c>
      <c r="D1103" s="11">
        <f>IFERROR(__xludf.DUMMYFUNCTION("""COMPUTED_VALUE"""),727.0)</f>
        <v>727</v>
      </c>
      <c r="E1103" s="9"/>
    </row>
    <row r="1104">
      <c r="A1104" s="11">
        <f>IFERROR(__xludf.DUMMYFUNCTION("""COMPUTED_VALUE"""),2021.0)</f>
        <v>2021</v>
      </c>
      <c r="B1104" s="11">
        <f>IFERROR(__xludf.DUMMYFUNCTION("""COMPUTED_VALUE"""),9.0)</f>
        <v>9</v>
      </c>
      <c r="C1104" s="11">
        <f>IFERROR(__xludf.DUMMYFUNCTION("""COMPUTED_VALUE"""),126579.0)</f>
        <v>126579</v>
      </c>
      <c r="D1104" s="11">
        <f>IFERROR(__xludf.DUMMYFUNCTION("""COMPUTED_VALUE"""),1244.0)</f>
        <v>1244</v>
      </c>
      <c r="E1104" s="9"/>
    </row>
    <row r="1105">
      <c r="A1105" s="11">
        <f>IFERROR(__xludf.DUMMYFUNCTION("""COMPUTED_VALUE"""),2021.0)</f>
        <v>2021</v>
      </c>
      <c r="B1105" s="11">
        <f>IFERROR(__xludf.DUMMYFUNCTION("""COMPUTED_VALUE"""),8.0)</f>
        <v>8</v>
      </c>
      <c r="C1105" s="11">
        <f>IFERROR(__xludf.DUMMYFUNCTION("""COMPUTED_VALUE"""),117219.0)</f>
        <v>117219</v>
      </c>
      <c r="D1105" s="11">
        <f>IFERROR(__xludf.DUMMYFUNCTION("""COMPUTED_VALUE"""),528.0)</f>
        <v>528</v>
      </c>
      <c r="E1105" s="9"/>
    </row>
    <row r="1106">
      <c r="A1106" s="11">
        <f>IFERROR(__xludf.DUMMYFUNCTION("""COMPUTED_VALUE"""),2021.0)</f>
        <v>2021</v>
      </c>
      <c r="B1106" s="11">
        <f>IFERROR(__xludf.DUMMYFUNCTION("""COMPUTED_VALUE"""),9.0)</f>
        <v>9</v>
      </c>
      <c r="C1106" s="11">
        <f>IFERROR(__xludf.DUMMYFUNCTION("""COMPUTED_VALUE"""),44110.0)</f>
        <v>44110</v>
      </c>
      <c r="D1106" s="11">
        <f>IFERROR(__xludf.DUMMYFUNCTION("""COMPUTED_VALUE"""),1175.0)</f>
        <v>1175</v>
      </c>
      <c r="E1106" s="9"/>
    </row>
    <row r="1107">
      <c r="A1107" s="11">
        <f>IFERROR(__xludf.DUMMYFUNCTION("""COMPUTED_VALUE"""),2021.0)</f>
        <v>2021</v>
      </c>
      <c r="B1107" s="11">
        <f>IFERROR(__xludf.DUMMYFUNCTION("""COMPUTED_VALUE"""),11.0)</f>
        <v>11</v>
      </c>
      <c r="C1107" s="11">
        <f>IFERROR(__xludf.DUMMYFUNCTION("""COMPUTED_VALUE"""),76223.0)</f>
        <v>76223</v>
      </c>
      <c r="D1107" s="11">
        <f>IFERROR(__xludf.DUMMYFUNCTION("""COMPUTED_VALUE"""),1618.0)</f>
        <v>1618</v>
      </c>
      <c r="E1107" s="9"/>
    </row>
    <row r="1108">
      <c r="A1108" s="11">
        <f>IFERROR(__xludf.DUMMYFUNCTION("""COMPUTED_VALUE"""),2021.0)</f>
        <v>2021</v>
      </c>
      <c r="B1108" s="11">
        <f>IFERROR(__xludf.DUMMYFUNCTION("""COMPUTED_VALUE"""),11.0)</f>
        <v>11</v>
      </c>
      <c r="C1108" s="11">
        <f>IFERROR(__xludf.DUMMYFUNCTION("""COMPUTED_VALUE"""),48406.0)</f>
        <v>48406</v>
      </c>
      <c r="D1108" s="11">
        <f>IFERROR(__xludf.DUMMYFUNCTION("""COMPUTED_VALUE"""),1327.0)</f>
        <v>1327</v>
      </c>
      <c r="E1108" s="9"/>
    </row>
    <row r="1109">
      <c r="A1109" s="11">
        <f>IFERROR(__xludf.DUMMYFUNCTION("""COMPUTED_VALUE"""),2021.0)</f>
        <v>2021</v>
      </c>
      <c r="B1109" s="11">
        <f>IFERROR(__xludf.DUMMYFUNCTION("""COMPUTED_VALUE"""),10.0)</f>
        <v>10</v>
      </c>
      <c r="C1109" s="11">
        <f>IFERROR(__xludf.DUMMYFUNCTION("""COMPUTED_VALUE"""),77514.0)</f>
        <v>77514</v>
      </c>
      <c r="D1109" s="11">
        <f>IFERROR(__xludf.DUMMYFUNCTION("""COMPUTED_VALUE"""),1539.0)</f>
        <v>1539</v>
      </c>
      <c r="E1109" s="9"/>
    </row>
    <row r="1110">
      <c r="A1110" s="11">
        <f>IFERROR(__xludf.DUMMYFUNCTION("""COMPUTED_VALUE"""),2021.0)</f>
        <v>2021</v>
      </c>
      <c r="B1110" s="11">
        <f>IFERROR(__xludf.DUMMYFUNCTION("""COMPUTED_VALUE"""),8.0)</f>
        <v>8</v>
      </c>
      <c r="C1110" s="11">
        <f>IFERROR(__xludf.DUMMYFUNCTION("""COMPUTED_VALUE"""),117221.0)</f>
        <v>117221</v>
      </c>
      <c r="D1110" s="11">
        <f>IFERROR(__xludf.DUMMYFUNCTION("""COMPUTED_VALUE"""),1717.0)</f>
        <v>1717</v>
      </c>
      <c r="E1110" s="9"/>
    </row>
    <row r="1111">
      <c r="A1111" s="11">
        <f>IFERROR(__xludf.DUMMYFUNCTION("""COMPUTED_VALUE"""),2021.0)</f>
        <v>2021</v>
      </c>
      <c r="B1111" s="11">
        <f>IFERROR(__xludf.DUMMYFUNCTION("""COMPUTED_VALUE"""),10.0)</f>
        <v>10</v>
      </c>
      <c r="C1111" s="11">
        <f>IFERROR(__xludf.DUMMYFUNCTION("""COMPUTED_VALUE"""),115602.0)</f>
        <v>115602</v>
      </c>
      <c r="D1111" s="11">
        <f>IFERROR(__xludf.DUMMYFUNCTION("""COMPUTED_VALUE"""),1044.0)</f>
        <v>1044</v>
      </c>
      <c r="E1111" s="9"/>
    </row>
    <row r="1112">
      <c r="A1112" s="11">
        <f>IFERROR(__xludf.DUMMYFUNCTION("""COMPUTED_VALUE"""),2021.0)</f>
        <v>2021</v>
      </c>
      <c r="B1112" s="11">
        <f>IFERROR(__xludf.DUMMYFUNCTION("""COMPUTED_VALUE"""),10.0)</f>
        <v>10</v>
      </c>
      <c r="C1112" s="11">
        <f>IFERROR(__xludf.DUMMYFUNCTION("""COMPUTED_VALUE"""),44107.0)</f>
        <v>44107</v>
      </c>
      <c r="D1112" s="11">
        <f>IFERROR(__xludf.DUMMYFUNCTION("""COMPUTED_VALUE"""),785.0)</f>
        <v>785</v>
      </c>
      <c r="E1112" s="9"/>
    </row>
    <row r="1113">
      <c r="A1113" s="11">
        <f>IFERROR(__xludf.DUMMYFUNCTION("""COMPUTED_VALUE"""),2021.0)</f>
        <v>2021</v>
      </c>
      <c r="B1113" s="11">
        <f>IFERROR(__xludf.DUMMYFUNCTION("""COMPUTED_VALUE"""),10.0)</f>
        <v>10</v>
      </c>
      <c r="C1113" s="11">
        <f>IFERROR(__xludf.DUMMYFUNCTION("""COMPUTED_VALUE"""),115604.0)</f>
        <v>115604</v>
      </c>
      <c r="D1113" s="11">
        <f>IFERROR(__xludf.DUMMYFUNCTION("""COMPUTED_VALUE"""),780.0)</f>
        <v>780</v>
      </c>
      <c r="E1113" s="9"/>
    </row>
    <row r="1114">
      <c r="A1114" s="11">
        <f>IFERROR(__xludf.DUMMYFUNCTION("""COMPUTED_VALUE"""),2021.0)</f>
        <v>2021</v>
      </c>
      <c r="B1114" s="11">
        <f>IFERROR(__xludf.DUMMYFUNCTION("""COMPUTED_VALUE"""),11.0)</f>
        <v>11</v>
      </c>
      <c r="C1114" s="11">
        <f>IFERROR(__xludf.DUMMYFUNCTION("""COMPUTED_VALUE"""),118926.0)</f>
        <v>118926</v>
      </c>
      <c r="D1114" s="11">
        <f>IFERROR(__xludf.DUMMYFUNCTION("""COMPUTED_VALUE"""),615.0)</f>
        <v>615</v>
      </c>
      <c r="E1114" s="9"/>
    </row>
    <row r="1115">
      <c r="A1115" s="11">
        <f>IFERROR(__xludf.DUMMYFUNCTION("""COMPUTED_VALUE"""),2021.0)</f>
        <v>2021</v>
      </c>
      <c r="B1115" s="11">
        <f>IFERROR(__xludf.DUMMYFUNCTION("""COMPUTED_VALUE"""),8.0)</f>
        <v>8</v>
      </c>
      <c r="C1115" s="11">
        <f>IFERROR(__xludf.DUMMYFUNCTION("""COMPUTED_VALUE"""),118304.0)</f>
        <v>118304</v>
      </c>
      <c r="D1115" s="11">
        <f>IFERROR(__xludf.DUMMYFUNCTION("""COMPUTED_VALUE"""),1896.0)</f>
        <v>1896</v>
      </c>
      <c r="E1115" s="9"/>
    </row>
    <row r="1116">
      <c r="A1116" s="11">
        <f>IFERROR(__xludf.DUMMYFUNCTION("""COMPUTED_VALUE"""),2021.0)</f>
        <v>2021</v>
      </c>
      <c r="B1116" s="11">
        <f>IFERROR(__xludf.DUMMYFUNCTION("""COMPUTED_VALUE"""),9.0)</f>
        <v>9</v>
      </c>
      <c r="C1116" s="11">
        <f>IFERROR(__xludf.DUMMYFUNCTION("""COMPUTED_VALUE"""),5621.0)</f>
        <v>5621</v>
      </c>
      <c r="D1116" s="11">
        <f>IFERROR(__xludf.DUMMYFUNCTION("""COMPUTED_VALUE"""),1749.0)</f>
        <v>1749</v>
      </c>
      <c r="E1116" s="9"/>
    </row>
    <row r="1117">
      <c r="A1117" s="11">
        <f>IFERROR(__xludf.DUMMYFUNCTION("""COMPUTED_VALUE"""),2021.0)</f>
        <v>2021</v>
      </c>
      <c r="B1117" s="11">
        <f>IFERROR(__xludf.DUMMYFUNCTION("""COMPUTED_VALUE"""),9.0)</f>
        <v>9</v>
      </c>
      <c r="C1117" s="11">
        <f>IFERROR(__xludf.DUMMYFUNCTION("""COMPUTED_VALUE"""),44105.0)</f>
        <v>44105</v>
      </c>
      <c r="D1117" s="11">
        <f>IFERROR(__xludf.DUMMYFUNCTION("""COMPUTED_VALUE"""),1204.0)</f>
        <v>1204</v>
      </c>
      <c r="E1117" s="9"/>
    </row>
    <row r="1118">
      <c r="A1118" s="11">
        <f>IFERROR(__xludf.DUMMYFUNCTION("""COMPUTED_VALUE"""),2021.0)</f>
        <v>2021</v>
      </c>
      <c r="B1118" s="11">
        <f>IFERROR(__xludf.DUMMYFUNCTION("""COMPUTED_VALUE"""),8.0)</f>
        <v>8</v>
      </c>
      <c r="C1118" s="11">
        <f>IFERROR(__xludf.DUMMYFUNCTION("""COMPUTED_VALUE"""),126580.0)</f>
        <v>126580</v>
      </c>
      <c r="D1118" s="11">
        <f>IFERROR(__xludf.DUMMYFUNCTION("""COMPUTED_VALUE"""),1139.0)</f>
        <v>1139</v>
      </c>
      <c r="E1118" s="9"/>
    </row>
    <row r="1119">
      <c r="A1119" s="11">
        <f>IFERROR(__xludf.DUMMYFUNCTION("""COMPUTED_VALUE"""),2021.0)</f>
        <v>2021</v>
      </c>
      <c r="B1119" s="11">
        <f>IFERROR(__xludf.DUMMYFUNCTION("""COMPUTED_VALUE"""),8.0)</f>
        <v>8</v>
      </c>
      <c r="C1119" s="11">
        <f>IFERROR(__xludf.DUMMYFUNCTION("""COMPUTED_VALUE"""),5624.0)</f>
        <v>5624</v>
      </c>
      <c r="D1119" s="11">
        <f>IFERROR(__xludf.DUMMYFUNCTION("""COMPUTED_VALUE"""),960.0)</f>
        <v>960</v>
      </c>
      <c r="E1119" s="9"/>
    </row>
    <row r="1120">
      <c r="A1120" s="11">
        <f>IFERROR(__xludf.DUMMYFUNCTION("""COMPUTED_VALUE"""),2021.0)</f>
        <v>2021</v>
      </c>
      <c r="B1120" s="11">
        <f>IFERROR(__xludf.DUMMYFUNCTION("""COMPUTED_VALUE"""),10.0)</f>
        <v>10</v>
      </c>
      <c r="C1120" s="11">
        <f>IFERROR(__xludf.DUMMYFUNCTION("""COMPUTED_VALUE"""),88679.0)</f>
        <v>88679</v>
      </c>
      <c r="D1120" s="11">
        <f>IFERROR(__xludf.DUMMYFUNCTION("""COMPUTED_VALUE"""),1738.0)</f>
        <v>1738</v>
      </c>
      <c r="E1120" s="9"/>
    </row>
    <row r="1121">
      <c r="A1121" s="11">
        <f>IFERROR(__xludf.DUMMYFUNCTION("""COMPUTED_VALUE"""),2021.0)</f>
        <v>2021</v>
      </c>
      <c r="B1121" s="11">
        <f>IFERROR(__xludf.DUMMYFUNCTION("""COMPUTED_VALUE"""),10.0)</f>
        <v>10</v>
      </c>
      <c r="C1121" s="11">
        <f>IFERROR(__xludf.DUMMYFUNCTION("""COMPUTED_VALUE"""),118305.0)</f>
        <v>118305</v>
      </c>
      <c r="D1121" s="11">
        <f>IFERROR(__xludf.DUMMYFUNCTION("""COMPUTED_VALUE"""),1174.0)</f>
        <v>1174</v>
      </c>
      <c r="E1121" s="9"/>
    </row>
    <row r="1122">
      <c r="A1122" s="11">
        <f>IFERROR(__xludf.DUMMYFUNCTION("""COMPUTED_VALUE"""),2021.0)</f>
        <v>2021</v>
      </c>
      <c r="B1122" s="11">
        <f>IFERROR(__xludf.DUMMYFUNCTION("""COMPUTED_VALUE"""),10.0)</f>
        <v>10</v>
      </c>
      <c r="C1122" s="11">
        <f>IFERROR(__xludf.DUMMYFUNCTION("""COMPUTED_VALUE"""),60380.0)</f>
        <v>60380</v>
      </c>
      <c r="D1122" s="11">
        <f>IFERROR(__xludf.DUMMYFUNCTION("""COMPUTED_VALUE"""),523.0)</f>
        <v>523</v>
      </c>
      <c r="E1122" s="9"/>
    </row>
    <row r="1123">
      <c r="A1123" s="11">
        <f>IFERROR(__xludf.DUMMYFUNCTION("""COMPUTED_VALUE"""),2021.0)</f>
        <v>2021</v>
      </c>
      <c r="B1123" s="11">
        <f>IFERROR(__xludf.DUMMYFUNCTION("""COMPUTED_VALUE"""),9.0)</f>
        <v>9</v>
      </c>
      <c r="C1123" s="11">
        <f>IFERROR(__xludf.DUMMYFUNCTION("""COMPUTED_VALUE"""),77475.0)</f>
        <v>77475</v>
      </c>
      <c r="D1123" s="11">
        <f>IFERROR(__xludf.DUMMYFUNCTION("""COMPUTED_VALUE"""),1908.0)</f>
        <v>1908</v>
      </c>
      <c r="E1123" s="9"/>
    </row>
    <row r="1124">
      <c r="A1124" s="11">
        <f>IFERROR(__xludf.DUMMYFUNCTION("""COMPUTED_VALUE"""),2021.0)</f>
        <v>2021</v>
      </c>
      <c r="B1124" s="11">
        <f>IFERROR(__xludf.DUMMYFUNCTION("""COMPUTED_VALUE"""),9.0)</f>
        <v>9</v>
      </c>
      <c r="C1124" s="11">
        <f>IFERROR(__xludf.DUMMYFUNCTION("""COMPUTED_VALUE"""),110577.0)</f>
        <v>110577</v>
      </c>
      <c r="D1124" s="11">
        <f>IFERROR(__xludf.DUMMYFUNCTION("""COMPUTED_VALUE"""),949.0)</f>
        <v>949</v>
      </c>
      <c r="E1124" s="9"/>
    </row>
    <row r="1125">
      <c r="A1125" s="11">
        <f>IFERROR(__xludf.DUMMYFUNCTION("""COMPUTED_VALUE"""),2021.0)</f>
        <v>2021</v>
      </c>
      <c r="B1125" s="11">
        <f>IFERROR(__xludf.DUMMYFUNCTION("""COMPUTED_VALUE"""),11.0)</f>
        <v>11</v>
      </c>
      <c r="C1125" s="11">
        <f>IFERROR(__xludf.DUMMYFUNCTION("""COMPUTED_VALUE"""),110571.0)</f>
        <v>110571</v>
      </c>
      <c r="D1125" s="11">
        <f>IFERROR(__xludf.DUMMYFUNCTION("""COMPUTED_VALUE"""),156.0)</f>
        <v>156</v>
      </c>
      <c r="E1125" s="9"/>
    </row>
    <row r="1126">
      <c r="A1126" s="11">
        <f>IFERROR(__xludf.DUMMYFUNCTION("""COMPUTED_VALUE"""),2021.0)</f>
        <v>2021</v>
      </c>
      <c r="B1126" s="11">
        <f>IFERROR(__xludf.DUMMYFUNCTION("""COMPUTED_VALUE"""),9.0)</f>
        <v>9</v>
      </c>
      <c r="C1126" s="11">
        <f>IFERROR(__xludf.DUMMYFUNCTION("""COMPUTED_VALUE"""),103835.0)</f>
        <v>103835</v>
      </c>
      <c r="D1126" s="11">
        <f>IFERROR(__xludf.DUMMYFUNCTION("""COMPUTED_VALUE"""),648.0)</f>
        <v>648</v>
      </c>
      <c r="E1126" s="9"/>
    </row>
    <row r="1127">
      <c r="A1127" s="11">
        <f>IFERROR(__xludf.DUMMYFUNCTION("""COMPUTED_VALUE"""),2021.0)</f>
        <v>2021</v>
      </c>
      <c r="B1127" s="11">
        <f>IFERROR(__xludf.DUMMYFUNCTION("""COMPUTED_VALUE"""),9.0)</f>
        <v>9</v>
      </c>
      <c r="C1127" s="11">
        <f>IFERROR(__xludf.DUMMYFUNCTION("""COMPUTED_VALUE"""),5646.0)</f>
        <v>5646</v>
      </c>
      <c r="D1127" s="11">
        <f>IFERROR(__xludf.DUMMYFUNCTION("""COMPUTED_VALUE"""),935.0)</f>
        <v>935</v>
      </c>
      <c r="E1127" s="9"/>
    </row>
    <row r="1128">
      <c r="A1128" s="11">
        <f>IFERROR(__xludf.DUMMYFUNCTION("""COMPUTED_VALUE"""),2021.0)</f>
        <v>2021</v>
      </c>
      <c r="B1128" s="11">
        <f>IFERROR(__xludf.DUMMYFUNCTION("""COMPUTED_VALUE"""),9.0)</f>
        <v>9</v>
      </c>
      <c r="C1128" s="11">
        <f>IFERROR(__xludf.DUMMYFUNCTION("""COMPUTED_VALUE"""),5649.0)</f>
        <v>5649</v>
      </c>
      <c r="D1128" s="11">
        <f>IFERROR(__xludf.DUMMYFUNCTION("""COMPUTED_VALUE"""),356.0)</f>
        <v>356</v>
      </c>
      <c r="E1128" s="9"/>
    </row>
    <row r="1129">
      <c r="A1129" s="11">
        <f>IFERROR(__xludf.DUMMYFUNCTION("""COMPUTED_VALUE"""),2021.0)</f>
        <v>2021</v>
      </c>
      <c r="B1129" s="11">
        <f>IFERROR(__xludf.DUMMYFUNCTION("""COMPUTED_VALUE"""),8.0)</f>
        <v>8</v>
      </c>
      <c r="C1129" s="11">
        <f>IFERROR(__xludf.DUMMYFUNCTION("""COMPUTED_VALUE"""),5647.0)</f>
        <v>5647</v>
      </c>
      <c r="D1129" s="11">
        <f>IFERROR(__xludf.DUMMYFUNCTION("""COMPUTED_VALUE"""),110.0)</f>
        <v>110</v>
      </c>
      <c r="E1129" s="9"/>
    </row>
    <row r="1130">
      <c r="A1130" s="11">
        <f>IFERROR(__xludf.DUMMYFUNCTION("""COMPUTED_VALUE"""),2021.0)</f>
        <v>2021</v>
      </c>
      <c r="B1130" s="11">
        <f>IFERROR(__xludf.DUMMYFUNCTION("""COMPUTED_VALUE"""),10.0)</f>
        <v>10</v>
      </c>
      <c r="C1130" s="11">
        <f>IFERROR(__xludf.DUMMYFUNCTION("""COMPUTED_VALUE"""),5648.0)</f>
        <v>5648</v>
      </c>
      <c r="D1130" s="11">
        <f>IFERROR(__xludf.DUMMYFUNCTION("""COMPUTED_VALUE"""),1934.0)</f>
        <v>1934</v>
      </c>
      <c r="E1130" s="9"/>
    </row>
    <row r="1131">
      <c r="A1131" s="11">
        <f>IFERROR(__xludf.DUMMYFUNCTION("""COMPUTED_VALUE"""),2021.0)</f>
        <v>2021</v>
      </c>
      <c r="B1131" s="11">
        <f>IFERROR(__xludf.DUMMYFUNCTION("""COMPUTED_VALUE"""),9.0)</f>
        <v>9</v>
      </c>
      <c r="C1131" s="11">
        <f>IFERROR(__xludf.DUMMYFUNCTION("""COMPUTED_VALUE"""),108292.0)</f>
        <v>108292</v>
      </c>
      <c r="D1131" s="11">
        <f>IFERROR(__xludf.DUMMYFUNCTION("""COMPUTED_VALUE"""),700.0)</f>
        <v>700</v>
      </c>
      <c r="E1131" s="9"/>
    </row>
    <row r="1132">
      <c r="A1132" s="11">
        <f>IFERROR(__xludf.DUMMYFUNCTION("""COMPUTED_VALUE"""),2021.0)</f>
        <v>2021</v>
      </c>
      <c r="B1132" s="11">
        <f>IFERROR(__xludf.DUMMYFUNCTION("""COMPUTED_VALUE"""),11.0)</f>
        <v>11</v>
      </c>
      <c r="C1132" s="11">
        <f>IFERROR(__xludf.DUMMYFUNCTION("""COMPUTED_VALUE"""),110572.0)</f>
        <v>110572</v>
      </c>
      <c r="D1132" s="11">
        <f>IFERROR(__xludf.DUMMYFUNCTION("""COMPUTED_VALUE"""),1544.0)</f>
        <v>1544</v>
      </c>
      <c r="E1132" s="9"/>
    </row>
    <row r="1133">
      <c r="A1133" s="11">
        <f>IFERROR(__xludf.DUMMYFUNCTION("""COMPUTED_VALUE"""),2021.0)</f>
        <v>2021</v>
      </c>
      <c r="B1133" s="11">
        <f>IFERROR(__xludf.DUMMYFUNCTION("""COMPUTED_VALUE"""),9.0)</f>
        <v>9</v>
      </c>
      <c r="C1133" s="11">
        <f>IFERROR(__xludf.DUMMYFUNCTION("""COMPUTED_VALUE"""),77456.0)</f>
        <v>77456</v>
      </c>
      <c r="D1133" s="11">
        <f>IFERROR(__xludf.DUMMYFUNCTION("""COMPUTED_VALUE"""),53.0)</f>
        <v>53</v>
      </c>
      <c r="E1133" s="9"/>
    </row>
    <row r="1134">
      <c r="A1134" s="11">
        <f>IFERROR(__xludf.DUMMYFUNCTION("""COMPUTED_VALUE"""),2021.0)</f>
        <v>2021</v>
      </c>
      <c r="B1134" s="11">
        <f>IFERROR(__xludf.DUMMYFUNCTION("""COMPUTED_VALUE"""),9.0)</f>
        <v>9</v>
      </c>
      <c r="C1134" s="11">
        <f>IFERROR(__xludf.DUMMYFUNCTION("""COMPUTED_VALUE"""),77454.0)</f>
        <v>77454</v>
      </c>
      <c r="D1134" s="11">
        <f>IFERROR(__xludf.DUMMYFUNCTION("""COMPUTED_VALUE"""),680.0)</f>
        <v>680</v>
      </c>
      <c r="E1134" s="9"/>
    </row>
    <row r="1135">
      <c r="A1135" s="11">
        <f>IFERROR(__xludf.DUMMYFUNCTION("""COMPUTED_VALUE"""),2021.0)</f>
        <v>2021</v>
      </c>
      <c r="B1135" s="11">
        <f>IFERROR(__xludf.DUMMYFUNCTION("""COMPUTED_VALUE"""),10.0)</f>
        <v>10</v>
      </c>
      <c r="C1135" s="11">
        <f>IFERROR(__xludf.DUMMYFUNCTION("""COMPUTED_VALUE"""),44095.0)</f>
        <v>44095</v>
      </c>
      <c r="D1135" s="11">
        <f>IFERROR(__xludf.DUMMYFUNCTION("""COMPUTED_VALUE"""),644.0)</f>
        <v>644</v>
      </c>
      <c r="E1135" s="9"/>
    </row>
    <row r="1136">
      <c r="A1136" s="11">
        <f>IFERROR(__xludf.DUMMYFUNCTION("""COMPUTED_VALUE"""),2021.0)</f>
        <v>2021</v>
      </c>
      <c r="B1136" s="11">
        <f>IFERROR(__xludf.DUMMYFUNCTION("""COMPUTED_VALUE"""),8.0)</f>
        <v>8</v>
      </c>
      <c r="C1136" s="11">
        <f>IFERROR(__xludf.DUMMYFUNCTION("""COMPUTED_VALUE"""),87419.0)</f>
        <v>87419</v>
      </c>
      <c r="D1136" s="11">
        <f>IFERROR(__xludf.DUMMYFUNCTION("""COMPUTED_VALUE"""),591.0)</f>
        <v>591</v>
      </c>
      <c r="E1136" s="9"/>
    </row>
    <row r="1137">
      <c r="A1137" s="11">
        <f>IFERROR(__xludf.DUMMYFUNCTION("""COMPUTED_VALUE"""),2021.0)</f>
        <v>2021</v>
      </c>
      <c r="B1137" s="11">
        <f>IFERROR(__xludf.DUMMYFUNCTION("""COMPUTED_VALUE"""),9.0)</f>
        <v>9</v>
      </c>
      <c r="C1137" s="11">
        <f>IFERROR(__xludf.DUMMYFUNCTION("""COMPUTED_VALUE"""),44087.0)</f>
        <v>44087</v>
      </c>
      <c r="D1137" s="11">
        <f>IFERROR(__xludf.DUMMYFUNCTION("""COMPUTED_VALUE"""),291.0)</f>
        <v>291</v>
      </c>
      <c r="E1137" s="9"/>
    </row>
    <row r="1138">
      <c r="A1138" s="11">
        <f>IFERROR(__xludf.DUMMYFUNCTION("""COMPUTED_VALUE"""),2021.0)</f>
        <v>2021</v>
      </c>
      <c r="B1138" s="11">
        <f>IFERROR(__xludf.DUMMYFUNCTION("""COMPUTED_VALUE"""),11.0)</f>
        <v>11</v>
      </c>
      <c r="C1138" s="11">
        <f>IFERROR(__xludf.DUMMYFUNCTION("""COMPUTED_VALUE"""),44129.0)</f>
        <v>44129</v>
      </c>
      <c r="D1138" s="11">
        <f>IFERROR(__xludf.DUMMYFUNCTION("""COMPUTED_VALUE"""),627.0)</f>
        <v>627</v>
      </c>
      <c r="E1138" s="9"/>
    </row>
    <row r="1139">
      <c r="A1139" s="11">
        <f>IFERROR(__xludf.DUMMYFUNCTION("""COMPUTED_VALUE"""),2021.0)</f>
        <v>2021</v>
      </c>
      <c r="B1139" s="11">
        <f>IFERROR(__xludf.DUMMYFUNCTION("""COMPUTED_VALUE"""),10.0)</f>
        <v>10</v>
      </c>
      <c r="C1139" s="11">
        <f>IFERROR(__xludf.DUMMYFUNCTION("""COMPUTED_VALUE"""),103832.0)</f>
        <v>103832</v>
      </c>
      <c r="D1139" s="11">
        <f>IFERROR(__xludf.DUMMYFUNCTION("""COMPUTED_VALUE"""),975.0)</f>
        <v>975</v>
      </c>
      <c r="E1139" s="9"/>
    </row>
    <row r="1140">
      <c r="A1140" s="11">
        <f>IFERROR(__xludf.DUMMYFUNCTION("""COMPUTED_VALUE"""),2021.0)</f>
        <v>2021</v>
      </c>
      <c r="B1140" s="11">
        <f>IFERROR(__xludf.DUMMYFUNCTION("""COMPUTED_VALUE"""),8.0)</f>
        <v>8</v>
      </c>
      <c r="C1140" s="11">
        <f>IFERROR(__xludf.DUMMYFUNCTION("""COMPUTED_VALUE"""),103819.0)</f>
        <v>103819</v>
      </c>
      <c r="D1140" s="11">
        <f>IFERROR(__xludf.DUMMYFUNCTION("""COMPUTED_VALUE"""),1937.0)</f>
        <v>1937</v>
      </c>
      <c r="E1140" s="9"/>
    </row>
    <row r="1141">
      <c r="A1141" s="11">
        <f>IFERROR(__xludf.DUMMYFUNCTION("""COMPUTED_VALUE"""),2021.0)</f>
        <v>2021</v>
      </c>
      <c r="B1141" s="11">
        <f>IFERROR(__xludf.DUMMYFUNCTION("""COMPUTED_VALUE"""),11.0)</f>
        <v>11</v>
      </c>
      <c r="C1141" s="11">
        <f>IFERROR(__xludf.DUMMYFUNCTION("""COMPUTED_VALUE"""),88683.0)</f>
        <v>88683</v>
      </c>
      <c r="D1141" s="11">
        <f>IFERROR(__xludf.DUMMYFUNCTION("""COMPUTED_VALUE"""),625.0)</f>
        <v>625</v>
      </c>
      <c r="E1141" s="9"/>
    </row>
    <row r="1142">
      <c r="A1142" s="11">
        <f>IFERROR(__xludf.DUMMYFUNCTION("""COMPUTED_VALUE"""),2021.0)</f>
        <v>2021</v>
      </c>
      <c r="B1142" s="11">
        <f>IFERROR(__xludf.DUMMYFUNCTION("""COMPUTED_VALUE"""),10.0)</f>
        <v>10</v>
      </c>
      <c r="C1142" s="11">
        <f>IFERROR(__xludf.DUMMYFUNCTION("""COMPUTED_VALUE"""),5676.0)</f>
        <v>5676</v>
      </c>
      <c r="D1142" s="11">
        <f>IFERROR(__xludf.DUMMYFUNCTION("""COMPUTED_VALUE"""),1251.0)</f>
        <v>1251</v>
      </c>
      <c r="E1142" s="9"/>
    </row>
    <row r="1143">
      <c r="A1143" s="11">
        <f>IFERROR(__xludf.DUMMYFUNCTION("""COMPUTED_VALUE"""),2021.0)</f>
        <v>2021</v>
      </c>
      <c r="B1143" s="11">
        <f>IFERROR(__xludf.DUMMYFUNCTION("""COMPUTED_VALUE"""),8.0)</f>
        <v>8</v>
      </c>
      <c r="C1143" s="11">
        <f>IFERROR(__xludf.DUMMYFUNCTION("""COMPUTED_VALUE"""),116776.0)</f>
        <v>116776</v>
      </c>
      <c r="D1143" s="11">
        <f>IFERROR(__xludf.DUMMYFUNCTION("""COMPUTED_VALUE"""),648.0)</f>
        <v>648</v>
      </c>
      <c r="E1143" s="9"/>
    </row>
    <row r="1144">
      <c r="A1144" s="11">
        <f>IFERROR(__xludf.DUMMYFUNCTION("""COMPUTED_VALUE"""),2021.0)</f>
        <v>2021</v>
      </c>
      <c r="B1144" s="11">
        <f>IFERROR(__xludf.DUMMYFUNCTION("""COMPUTED_VALUE"""),8.0)</f>
        <v>8</v>
      </c>
      <c r="C1144" s="11">
        <f>IFERROR(__xludf.DUMMYFUNCTION("""COMPUTED_VALUE"""),5668.0)</f>
        <v>5668</v>
      </c>
      <c r="D1144" s="11">
        <f>IFERROR(__xludf.DUMMYFUNCTION("""COMPUTED_VALUE"""),1334.0)</f>
        <v>1334</v>
      </c>
      <c r="E1144" s="9"/>
    </row>
    <row r="1145">
      <c r="A1145" s="11">
        <f>IFERROR(__xludf.DUMMYFUNCTION("""COMPUTED_VALUE"""),2021.0)</f>
        <v>2021</v>
      </c>
      <c r="B1145" s="11">
        <f>IFERROR(__xludf.DUMMYFUNCTION("""COMPUTED_VALUE"""),8.0)</f>
        <v>8</v>
      </c>
      <c r="C1145" s="11">
        <f>IFERROR(__xludf.DUMMYFUNCTION("""COMPUTED_VALUE"""),119052.0)</f>
        <v>119052</v>
      </c>
      <c r="D1145" s="11">
        <f>IFERROR(__xludf.DUMMYFUNCTION("""COMPUTED_VALUE"""),1371.0)</f>
        <v>1371</v>
      </c>
      <c r="E1145" s="9"/>
    </row>
    <row r="1146">
      <c r="A1146" s="11">
        <f>IFERROR(__xludf.DUMMYFUNCTION("""COMPUTED_VALUE"""),2021.0)</f>
        <v>2021</v>
      </c>
      <c r="B1146" s="11">
        <f>IFERROR(__xludf.DUMMYFUNCTION("""COMPUTED_VALUE"""),9.0)</f>
        <v>9</v>
      </c>
      <c r="C1146" s="11">
        <f>IFERROR(__xludf.DUMMYFUNCTION("""COMPUTED_VALUE"""),118920.0)</f>
        <v>118920</v>
      </c>
      <c r="D1146" s="11">
        <f>IFERROR(__xludf.DUMMYFUNCTION("""COMPUTED_VALUE"""),756.0)</f>
        <v>756</v>
      </c>
      <c r="E1146" s="9"/>
    </row>
    <row r="1147">
      <c r="A1147" s="11">
        <f>IFERROR(__xludf.DUMMYFUNCTION("""COMPUTED_VALUE"""),2021.0)</f>
        <v>2021</v>
      </c>
      <c r="B1147" s="11">
        <f>IFERROR(__xludf.DUMMYFUNCTION("""COMPUTED_VALUE"""),11.0)</f>
        <v>11</v>
      </c>
      <c r="C1147" s="11">
        <f>IFERROR(__xludf.DUMMYFUNCTION("""COMPUTED_VALUE"""),96003.0)</f>
        <v>96003</v>
      </c>
      <c r="D1147" s="11">
        <f>IFERROR(__xludf.DUMMYFUNCTION("""COMPUTED_VALUE"""),1646.0)</f>
        <v>1646</v>
      </c>
      <c r="E1147" s="9"/>
    </row>
    <row r="1148">
      <c r="A1148" s="11">
        <f>IFERROR(__xludf.DUMMYFUNCTION("""COMPUTED_VALUE"""),2021.0)</f>
        <v>2021</v>
      </c>
      <c r="B1148" s="11">
        <f>IFERROR(__xludf.DUMMYFUNCTION("""COMPUTED_VALUE"""),9.0)</f>
        <v>9</v>
      </c>
      <c r="C1148" s="11">
        <f>IFERROR(__xludf.DUMMYFUNCTION("""COMPUTED_VALUE"""),116380.0)</f>
        <v>116380</v>
      </c>
      <c r="D1148" s="11">
        <f>IFERROR(__xludf.DUMMYFUNCTION("""COMPUTED_VALUE"""),1617.0)</f>
        <v>1617</v>
      </c>
      <c r="E1148" s="9"/>
    </row>
    <row r="1149">
      <c r="A1149" s="11">
        <f>IFERROR(__xludf.DUMMYFUNCTION("""COMPUTED_VALUE"""),2021.0)</f>
        <v>2021</v>
      </c>
      <c r="B1149" s="11">
        <f>IFERROR(__xludf.DUMMYFUNCTION("""COMPUTED_VALUE"""),9.0)</f>
        <v>9</v>
      </c>
      <c r="C1149" s="11">
        <f>IFERROR(__xludf.DUMMYFUNCTION("""COMPUTED_VALUE"""),46291.0)</f>
        <v>46291</v>
      </c>
      <c r="D1149" s="11">
        <f>IFERROR(__xludf.DUMMYFUNCTION("""COMPUTED_VALUE"""),1167.0)</f>
        <v>1167</v>
      </c>
      <c r="E1149" s="9"/>
    </row>
    <row r="1150">
      <c r="A1150" s="11">
        <f>IFERROR(__xludf.DUMMYFUNCTION("""COMPUTED_VALUE"""),2021.0)</f>
        <v>2021</v>
      </c>
      <c r="B1150" s="11">
        <f>IFERROR(__xludf.DUMMYFUNCTION("""COMPUTED_VALUE"""),10.0)</f>
        <v>10</v>
      </c>
      <c r="C1150" s="11">
        <f>IFERROR(__xludf.DUMMYFUNCTION("""COMPUTED_VALUE"""),148742.0)</f>
        <v>148742</v>
      </c>
      <c r="D1150" s="11">
        <f>IFERROR(__xludf.DUMMYFUNCTION("""COMPUTED_VALUE"""),149.0)</f>
        <v>149</v>
      </c>
      <c r="E1150" s="9"/>
    </row>
    <row r="1151">
      <c r="A1151" s="11">
        <f>IFERROR(__xludf.DUMMYFUNCTION("""COMPUTED_VALUE"""),2021.0)</f>
        <v>2021</v>
      </c>
      <c r="B1151" s="11">
        <f>IFERROR(__xludf.DUMMYFUNCTION("""COMPUTED_VALUE"""),11.0)</f>
        <v>11</v>
      </c>
      <c r="C1151" s="11">
        <f>IFERROR(__xludf.DUMMYFUNCTION("""COMPUTED_VALUE"""),83634.0)</f>
        <v>83634</v>
      </c>
      <c r="D1151" s="11">
        <f>IFERROR(__xludf.DUMMYFUNCTION("""COMPUTED_VALUE"""),18.0)</f>
        <v>18</v>
      </c>
      <c r="E1151" s="9"/>
    </row>
    <row r="1152">
      <c r="A1152" s="11">
        <f>IFERROR(__xludf.DUMMYFUNCTION("""COMPUTED_VALUE"""),2021.0)</f>
        <v>2021</v>
      </c>
      <c r="B1152" s="11">
        <f>IFERROR(__xludf.DUMMYFUNCTION("""COMPUTED_VALUE"""),11.0)</f>
        <v>11</v>
      </c>
      <c r="C1152" s="11">
        <f>IFERROR(__xludf.DUMMYFUNCTION("""COMPUTED_VALUE"""),5657.0)</f>
        <v>5657</v>
      </c>
      <c r="D1152" s="11">
        <f>IFERROR(__xludf.DUMMYFUNCTION("""COMPUTED_VALUE"""),1739.0)</f>
        <v>1739</v>
      </c>
      <c r="E1152" s="9"/>
    </row>
    <row r="1153">
      <c r="A1153" s="11">
        <f>IFERROR(__xludf.DUMMYFUNCTION("""COMPUTED_VALUE"""),2021.0)</f>
        <v>2021</v>
      </c>
      <c r="B1153" s="11">
        <f>IFERROR(__xludf.DUMMYFUNCTION("""COMPUTED_VALUE"""),9.0)</f>
        <v>9</v>
      </c>
      <c r="C1153" s="11">
        <f>IFERROR(__xludf.DUMMYFUNCTION("""COMPUTED_VALUE"""),78856.0)</f>
        <v>78856</v>
      </c>
      <c r="D1153" s="11">
        <f>IFERROR(__xludf.DUMMYFUNCTION("""COMPUTED_VALUE"""),1818.0)</f>
        <v>1818</v>
      </c>
      <c r="E1153" s="9"/>
    </row>
    <row r="1154">
      <c r="A1154" s="11">
        <f>IFERROR(__xludf.DUMMYFUNCTION("""COMPUTED_VALUE"""),2021.0)</f>
        <v>2021</v>
      </c>
      <c r="B1154" s="11">
        <f>IFERROR(__xludf.DUMMYFUNCTION("""COMPUTED_VALUE"""),9.0)</f>
        <v>9</v>
      </c>
      <c r="C1154" s="11">
        <f>IFERROR(__xludf.DUMMYFUNCTION("""COMPUTED_VALUE"""),44123.0)</f>
        <v>44123</v>
      </c>
      <c r="D1154" s="11">
        <f>IFERROR(__xludf.DUMMYFUNCTION("""COMPUTED_VALUE"""),302.0)</f>
        <v>302</v>
      </c>
      <c r="E1154" s="9"/>
    </row>
    <row r="1155">
      <c r="A1155" s="11">
        <f>IFERROR(__xludf.DUMMYFUNCTION("""COMPUTED_VALUE"""),2021.0)</f>
        <v>2021</v>
      </c>
      <c r="B1155" s="11">
        <f>IFERROR(__xludf.DUMMYFUNCTION("""COMPUTED_VALUE"""),9.0)</f>
        <v>9</v>
      </c>
      <c r="C1155" s="11">
        <f>IFERROR(__xludf.DUMMYFUNCTION("""COMPUTED_VALUE"""),78855.0)</f>
        <v>78855</v>
      </c>
      <c r="D1155" s="11">
        <f>IFERROR(__xludf.DUMMYFUNCTION("""COMPUTED_VALUE"""),1273.0)</f>
        <v>1273</v>
      </c>
      <c r="E1155" s="9"/>
    </row>
    <row r="1156">
      <c r="A1156" s="11">
        <f>IFERROR(__xludf.DUMMYFUNCTION("""COMPUTED_VALUE"""),2021.0)</f>
        <v>2021</v>
      </c>
      <c r="B1156" s="11">
        <f>IFERROR(__xludf.DUMMYFUNCTION("""COMPUTED_VALUE"""),8.0)</f>
        <v>8</v>
      </c>
      <c r="C1156" s="11">
        <f>IFERROR(__xludf.DUMMYFUNCTION("""COMPUTED_VALUE"""),48408.0)</f>
        <v>48408</v>
      </c>
      <c r="D1156" s="11">
        <f>IFERROR(__xludf.DUMMYFUNCTION("""COMPUTED_VALUE"""),1038.0)</f>
        <v>1038</v>
      </c>
      <c r="E1156" s="9"/>
    </row>
    <row r="1157">
      <c r="A1157" s="11">
        <f>IFERROR(__xludf.DUMMYFUNCTION("""COMPUTED_VALUE"""),2021.0)</f>
        <v>2021</v>
      </c>
      <c r="B1157" s="11">
        <f>IFERROR(__xludf.DUMMYFUNCTION("""COMPUTED_VALUE"""),9.0)</f>
        <v>9</v>
      </c>
      <c r="C1157" s="11">
        <f>IFERROR(__xludf.DUMMYFUNCTION("""COMPUTED_VALUE"""),46303.0)</f>
        <v>46303</v>
      </c>
      <c r="D1157" s="11">
        <f>IFERROR(__xludf.DUMMYFUNCTION("""COMPUTED_VALUE"""),1486.0)</f>
        <v>1486</v>
      </c>
      <c r="E1157" s="9"/>
    </row>
    <row r="1158">
      <c r="A1158" s="11">
        <f>IFERROR(__xludf.DUMMYFUNCTION("""COMPUTED_VALUE"""),2021.0)</f>
        <v>2021</v>
      </c>
      <c r="B1158" s="11">
        <f>IFERROR(__xludf.DUMMYFUNCTION("""COMPUTED_VALUE"""),11.0)</f>
        <v>11</v>
      </c>
      <c r="C1158" s="11">
        <f>IFERROR(__xludf.DUMMYFUNCTION("""COMPUTED_VALUE"""),147274.0)</f>
        <v>147274</v>
      </c>
      <c r="D1158" s="11">
        <f>IFERROR(__xludf.DUMMYFUNCTION("""COMPUTED_VALUE"""),1502.0)</f>
        <v>1502</v>
      </c>
      <c r="E1158" s="9"/>
    </row>
    <row r="1159">
      <c r="A1159" s="11">
        <f>IFERROR(__xludf.DUMMYFUNCTION("""COMPUTED_VALUE"""),2021.0)</f>
        <v>2021</v>
      </c>
      <c r="B1159" s="11">
        <f>IFERROR(__xludf.DUMMYFUNCTION("""COMPUTED_VALUE"""),11.0)</f>
        <v>11</v>
      </c>
      <c r="C1159" s="11">
        <f>IFERROR(__xludf.DUMMYFUNCTION("""COMPUTED_VALUE"""),44144.0)</f>
        <v>44144</v>
      </c>
      <c r="D1159" s="11">
        <f>IFERROR(__xludf.DUMMYFUNCTION("""COMPUTED_VALUE"""),759.0)</f>
        <v>759</v>
      </c>
      <c r="E1159" s="9"/>
    </row>
    <row r="1160">
      <c r="A1160" s="11">
        <f>IFERROR(__xludf.DUMMYFUNCTION("""COMPUTED_VALUE"""),2021.0)</f>
        <v>2021</v>
      </c>
      <c r="B1160" s="11">
        <f>IFERROR(__xludf.DUMMYFUNCTION("""COMPUTED_VALUE"""),9.0)</f>
        <v>9</v>
      </c>
      <c r="C1160" s="11">
        <f>IFERROR(__xludf.DUMMYFUNCTION("""COMPUTED_VALUE"""),96972.0)</f>
        <v>96972</v>
      </c>
      <c r="D1160" s="11">
        <f>IFERROR(__xludf.DUMMYFUNCTION("""COMPUTED_VALUE"""),783.0)</f>
        <v>783</v>
      </c>
      <c r="E1160" s="9"/>
    </row>
    <row r="1161">
      <c r="A1161" s="11">
        <f>IFERROR(__xludf.DUMMYFUNCTION("""COMPUTED_VALUE"""),2021.0)</f>
        <v>2021</v>
      </c>
      <c r="B1161" s="11">
        <f>IFERROR(__xludf.DUMMYFUNCTION("""COMPUTED_VALUE"""),10.0)</f>
        <v>10</v>
      </c>
      <c r="C1161" s="11">
        <f>IFERROR(__xludf.DUMMYFUNCTION("""COMPUTED_VALUE"""),5665.0)</f>
        <v>5665</v>
      </c>
      <c r="D1161" s="11">
        <f>IFERROR(__xludf.DUMMYFUNCTION("""COMPUTED_VALUE"""),904.0)</f>
        <v>904</v>
      </c>
      <c r="E1161" s="9"/>
    </row>
    <row r="1162">
      <c r="A1162" s="11">
        <f>IFERROR(__xludf.DUMMYFUNCTION("""COMPUTED_VALUE"""),2021.0)</f>
        <v>2021</v>
      </c>
      <c r="B1162" s="11">
        <f>IFERROR(__xludf.DUMMYFUNCTION("""COMPUTED_VALUE"""),8.0)</f>
        <v>8</v>
      </c>
      <c r="C1162" s="11">
        <f>IFERROR(__xludf.DUMMYFUNCTION("""COMPUTED_VALUE"""),26072.0)</f>
        <v>26072</v>
      </c>
      <c r="D1162" s="11">
        <f>IFERROR(__xludf.DUMMYFUNCTION("""COMPUTED_VALUE"""),1572.0)</f>
        <v>1572</v>
      </c>
      <c r="E1162" s="9"/>
    </row>
    <row r="1163">
      <c r="A1163" s="11">
        <f>IFERROR(__xludf.DUMMYFUNCTION("""COMPUTED_VALUE"""),2021.0)</f>
        <v>2021</v>
      </c>
      <c r="B1163" s="11">
        <f>IFERROR(__xludf.DUMMYFUNCTION("""COMPUTED_VALUE"""),11.0)</f>
        <v>11</v>
      </c>
      <c r="C1163" s="11">
        <f>IFERROR(__xludf.DUMMYFUNCTION("""COMPUTED_VALUE"""),5631.0)</f>
        <v>5631</v>
      </c>
      <c r="D1163" s="11">
        <f>IFERROR(__xludf.DUMMYFUNCTION("""COMPUTED_VALUE"""),951.0)</f>
        <v>951</v>
      </c>
      <c r="E1163" s="9"/>
    </row>
    <row r="1164">
      <c r="A1164" s="11">
        <f>IFERROR(__xludf.DUMMYFUNCTION("""COMPUTED_VALUE"""),2021.0)</f>
        <v>2021</v>
      </c>
      <c r="B1164" s="11">
        <f>IFERROR(__xludf.DUMMYFUNCTION("""COMPUTED_VALUE"""),10.0)</f>
        <v>10</v>
      </c>
      <c r="C1164" s="11">
        <f>IFERROR(__xludf.DUMMYFUNCTION("""COMPUTED_VALUE"""),104316.0)</f>
        <v>104316</v>
      </c>
      <c r="D1164" s="11">
        <f>IFERROR(__xludf.DUMMYFUNCTION("""COMPUTED_VALUE"""),895.0)</f>
        <v>895</v>
      </c>
      <c r="E1164" s="9"/>
    </row>
    <row r="1165">
      <c r="A1165" s="11">
        <f>IFERROR(__xludf.DUMMYFUNCTION("""COMPUTED_VALUE"""),2021.0)</f>
        <v>2021</v>
      </c>
      <c r="B1165" s="11">
        <f>IFERROR(__xludf.DUMMYFUNCTION("""COMPUTED_VALUE"""),8.0)</f>
        <v>8</v>
      </c>
      <c r="C1165" s="11">
        <f>IFERROR(__xludf.DUMMYFUNCTION("""COMPUTED_VALUE"""),83612.0)</f>
        <v>83612</v>
      </c>
      <c r="D1165" s="11">
        <f>IFERROR(__xludf.DUMMYFUNCTION("""COMPUTED_VALUE"""),323.0)</f>
        <v>323</v>
      </c>
      <c r="E1165" s="9"/>
    </row>
    <row r="1166">
      <c r="A1166" s="11">
        <f>IFERROR(__xludf.DUMMYFUNCTION("""COMPUTED_VALUE"""),2021.0)</f>
        <v>2021</v>
      </c>
      <c r="B1166" s="11">
        <f>IFERROR(__xludf.DUMMYFUNCTION("""COMPUTED_VALUE"""),11.0)</f>
        <v>11</v>
      </c>
      <c r="C1166" s="11">
        <f>IFERROR(__xludf.DUMMYFUNCTION("""COMPUTED_VALUE"""),87425.0)</f>
        <v>87425</v>
      </c>
      <c r="D1166" s="11">
        <f>IFERROR(__xludf.DUMMYFUNCTION("""COMPUTED_VALUE"""),945.0)</f>
        <v>945</v>
      </c>
      <c r="E1166" s="9"/>
    </row>
    <row r="1167">
      <c r="A1167" s="11">
        <f>IFERROR(__xludf.DUMMYFUNCTION("""COMPUTED_VALUE"""),2021.0)</f>
        <v>2021</v>
      </c>
      <c r="B1167" s="11">
        <f>IFERROR(__xludf.DUMMYFUNCTION("""COMPUTED_VALUE"""),10.0)</f>
        <v>10</v>
      </c>
      <c r="C1167" s="11">
        <f>IFERROR(__xludf.DUMMYFUNCTION("""COMPUTED_VALUE"""),115611.0)</f>
        <v>115611</v>
      </c>
      <c r="D1167" s="11">
        <f>IFERROR(__xludf.DUMMYFUNCTION("""COMPUTED_VALUE"""),1040.0)</f>
        <v>1040</v>
      </c>
      <c r="E1167" s="9"/>
    </row>
    <row r="1168">
      <c r="A1168" s="11">
        <f>IFERROR(__xludf.DUMMYFUNCTION("""COMPUTED_VALUE"""),2021.0)</f>
        <v>2021</v>
      </c>
      <c r="B1168" s="11">
        <f>IFERROR(__xludf.DUMMYFUNCTION("""COMPUTED_VALUE"""),8.0)</f>
        <v>8</v>
      </c>
      <c r="C1168" s="11">
        <f>IFERROR(__xludf.DUMMYFUNCTION("""COMPUTED_VALUE"""),88688.0)</f>
        <v>88688</v>
      </c>
      <c r="D1168" s="11">
        <f>IFERROR(__xludf.DUMMYFUNCTION("""COMPUTED_VALUE"""),1017.0)</f>
        <v>1017</v>
      </c>
      <c r="E1168" s="9"/>
    </row>
    <row r="1169">
      <c r="A1169" s="11">
        <f>IFERROR(__xludf.DUMMYFUNCTION("""COMPUTED_VALUE"""),2021.0)</f>
        <v>2021</v>
      </c>
      <c r="B1169" s="11">
        <f>IFERROR(__xludf.DUMMYFUNCTION("""COMPUTED_VALUE"""),11.0)</f>
        <v>11</v>
      </c>
      <c r="C1169" s="11">
        <f>IFERROR(__xludf.DUMMYFUNCTION("""COMPUTED_VALUE"""),83605.0)</f>
        <v>83605</v>
      </c>
      <c r="D1169" s="11">
        <f>IFERROR(__xludf.DUMMYFUNCTION("""COMPUTED_VALUE"""),54.0)</f>
        <v>54</v>
      </c>
      <c r="E1169" s="9"/>
    </row>
    <row r="1170">
      <c r="A1170" s="11">
        <f>IFERROR(__xludf.DUMMYFUNCTION("""COMPUTED_VALUE"""),2021.0)</f>
        <v>2021</v>
      </c>
      <c r="B1170" s="11">
        <f>IFERROR(__xludf.DUMMYFUNCTION("""COMPUTED_VALUE"""),10.0)</f>
        <v>10</v>
      </c>
      <c r="C1170" s="11">
        <f>IFERROR(__xludf.DUMMYFUNCTION("""COMPUTED_VALUE"""),44125.0)</f>
        <v>44125</v>
      </c>
      <c r="D1170" s="11">
        <f>IFERROR(__xludf.DUMMYFUNCTION("""COMPUTED_VALUE"""),457.0)</f>
        <v>457</v>
      </c>
      <c r="E1170" s="9"/>
    </row>
    <row r="1171">
      <c r="A1171" s="11">
        <f>IFERROR(__xludf.DUMMYFUNCTION("""COMPUTED_VALUE"""),2021.0)</f>
        <v>2021</v>
      </c>
      <c r="B1171" s="11">
        <f>IFERROR(__xludf.DUMMYFUNCTION("""COMPUTED_VALUE"""),8.0)</f>
        <v>8</v>
      </c>
      <c r="C1171" s="11">
        <f>IFERROR(__xludf.DUMMYFUNCTION("""COMPUTED_VALUE"""),83639.0)</f>
        <v>83639</v>
      </c>
      <c r="D1171" s="11">
        <f>IFERROR(__xludf.DUMMYFUNCTION("""COMPUTED_VALUE"""),1606.0)</f>
        <v>1606</v>
      </c>
      <c r="E1171" s="9"/>
    </row>
    <row r="1172">
      <c r="A1172" s="11">
        <f>IFERROR(__xludf.DUMMYFUNCTION("""COMPUTED_VALUE"""),2021.0)</f>
        <v>2021</v>
      </c>
      <c r="B1172" s="11">
        <f>IFERROR(__xludf.DUMMYFUNCTION("""COMPUTED_VALUE"""),8.0)</f>
        <v>8</v>
      </c>
      <c r="C1172" s="11">
        <f>IFERROR(__xludf.DUMMYFUNCTION("""COMPUTED_VALUE"""),5656.0)</f>
        <v>5656</v>
      </c>
      <c r="D1172" s="11">
        <f>IFERROR(__xludf.DUMMYFUNCTION("""COMPUTED_VALUE"""),219.0)</f>
        <v>219</v>
      </c>
      <c r="E1172" s="9"/>
    </row>
    <row r="1173">
      <c r="A1173" s="11">
        <f>IFERROR(__xludf.DUMMYFUNCTION("""COMPUTED_VALUE"""),2021.0)</f>
        <v>2021</v>
      </c>
      <c r="B1173" s="11">
        <f>IFERROR(__xludf.DUMMYFUNCTION("""COMPUTED_VALUE"""),9.0)</f>
        <v>9</v>
      </c>
      <c r="C1173" s="11">
        <f>IFERROR(__xludf.DUMMYFUNCTION("""COMPUTED_VALUE"""),88686.0)</f>
        <v>88686</v>
      </c>
      <c r="D1173" s="11">
        <f>IFERROR(__xludf.DUMMYFUNCTION("""COMPUTED_VALUE"""),1525.0)</f>
        <v>1525</v>
      </c>
      <c r="E1173" s="9"/>
    </row>
    <row r="1174">
      <c r="A1174" s="11">
        <f>IFERROR(__xludf.DUMMYFUNCTION("""COMPUTED_VALUE"""),2021.0)</f>
        <v>2021</v>
      </c>
      <c r="B1174" s="11">
        <f>IFERROR(__xludf.DUMMYFUNCTION("""COMPUTED_VALUE"""),11.0)</f>
        <v>11</v>
      </c>
      <c r="C1174" s="11">
        <f>IFERROR(__xludf.DUMMYFUNCTION("""COMPUTED_VALUE"""),83601.0)</f>
        <v>83601</v>
      </c>
      <c r="D1174" s="11">
        <f>IFERROR(__xludf.DUMMYFUNCTION("""COMPUTED_VALUE"""),367.0)</f>
        <v>367</v>
      </c>
      <c r="E1174" s="9"/>
    </row>
    <row r="1175">
      <c r="A1175" s="11">
        <f>IFERROR(__xludf.DUMMYFUNCTION("""COMPUTED_VALUE"""),2021.0)</f>
        <v>2021</v>
      </c>
      <c r="B1175" s="11">
        <f>IFERROR(__xludf.DUMMYFUNCTION("""COMPUTED_VALUE"""),8.0)</f>
        <v>8</v>
      </c>
      <c r="C1175" s="11">
        <f>IFERROR(__xludf.DUMMYFUNCTION("""COMPUTED_VALUE"""),48407.0)</f>
        <v>48407</v>
      </c>
      <c r="D1175" s="11">
        <f>IFERROR(__xludf.DUMMYFUNCTION("""COMPUTED_VALUE"""),818.0)</f>
        <v>818</v>
      </c>
      <c r="E1175" s="9"/>
    </row>
    <row r="1176">
      <c r="A1176" s="11">
        <f>IFERROR(__xludf.DUMMYFUNCTION("""COMPUTED_VALUE"""),2021.0)</f>
        <v>2021</v>
      </c>
      <c r="B1176" s="11">
        <f>IFERROR(__xludf.DUMMYFUNCTION("""COMPUTED_VALUE"""),9.0)</f>
        <v>9</v>
      </c>
      <c r="C1176" s="11">
        <f>IFERROR(__xludf.DUMMYFUNCTION("""COMPUTED_VALUE"""),5692.0)</f>
        <v>5692</v>
      </c>
      <c r="D1176" s="11">
        <f>IFERROR(__xludf.DUMMYFUNCTION("""COMPUTED_VALUE"""),1477.0)</f>
        <v>1477</v>
      </c>
      <c r="E1176" s="9"/>
    </row>
    <row r="1177">
      <c r="A1177" s="11">
        <f>IFERROR(__xludf.DUMMYFUNCTION("""COMPUTED_VALUE"""),2021.0)</f>
        <v>2021</v>
      </c>
      <c r="B1177" s="11">
        <f>IFERROR(__xludf.DUMMYFUNCTION("""COMPUTED_VALUE"""),9.0)</f>
        <v>9</v>
      </c>
      <c r="C1177" s="11">
        <f>IFERROR(__xludf.DUMMYFUNCTION("""COMPUTED_VALUE"""),112803.0)</f>
        <v>112803</v>
      </c>
      <c r="D1177" s="11">
        <f>IFERROR(__xludf.DUMMYFUNCTION("""COMPUTED_VALUE"""),1326.0)</f>
        <v>1326</v>
      </c>
      <c r="E1177" s="9"/>
    </row>
    <row r="1178">
      <c r="A1178" s="11">
        <f>IFERROR(__xludf.DUMMYFUNCTION("""COMPUTED_VALUE"""),2021.0)</f>
        <v>2021</v>
      </c>
      <c r="B1178" s="11">
        <f>IFERROR(__xludf.DUMMYFUNCTION("""COMPUTED_VALUE"""),9.0)</f>
        <v>9</v>
      </c>
      <c r="C1178" s="11">
        <f>IFERROR(__xludf.DUMMYFUNCTION("""COMPUTED_VALUE"""),83600.0)</f>
        <v>83600</v>
      </c>
      <c r="D1178" s="11">
        <f>IFERROR(__xludf.DUMMYFUNCTION("""COMPUTED_VALUE"""),813.0)</f>
        <v>813</v>
      </c>
      <c r="E1178" s="9"/>
    </row>
    <row r="1179">
      <c r="A1179" s="11">
        <f>IFERROR(__xludf.DUMMYFUNCTION("""COMPUTED_VALUE"""),2021.0)</f>
        <v>2021</v>
      </c>
      <c r="B1179" s="11">
        <f>IFERROR(__xludf.DUMMYFUNCTION("""COMPUTED_VALUE"""),8.0)</f>
        <v>8</v>
      </c>
      <c r="C1179" s="11">
        <f>IFERROR(__xludf.DUMMYFUNCTION("""COMPUTED_VALUE"""),83621.0)</f>
        <v>83621</v>
      </c>
      <c r="D1179" s="11">
        <f>IFERROR(__xludf.DUMMYFUNCTION("""COMPUTED_VALUE"""),956.0)</f>
        <v>956</v>
      </c>
      <c r="E1179" s="9"/>
    </row>
    <row r="1180">
      <c r="A1180" s="11">
        <f>IFERROR(__xludf.DUMMYFUNCTION("""COMPUTED_VALUE"""),2021.0)</f>
        <v>2021</v>
      </c>
      <c r="B1180" s="11">
        <f>IFERROR(__xludf.DUMMYFUNCTION("""COMPUTED_VALUE"""),9.0)</f>
        <v>9</v>
      </c>
      <c r="C1180" s="11">
        <f>IFERROR(__xludf.DUMMYFUNCTION("""COMPUTED_VALUE"""),115599.0)</f>
        <v>115599</v>
      </c>
      <c r="D1180" s="11">
        <f>IFERROR(__xludf.DUMMYFUNCTION("""COMPUTED_VALUE"""),1059.0)</f>
        <v>1059</v>
      </c>
      <c r="E1180" s="9"/>
    </row>
    <row r="1181">
      <c r="A1181" s="11">
        <f>IFERROR(__xludf.DUMMYFUNCTION("""COMPUTED_VALUE"""),2021.0)</f>
        <v>2021</v>
      </c>
      <c r="B1181" s="11">
        <f>IFERROR(__xludf.DUMMYFUNCTION("""COMPUTED_VALUE"""),9.0)</f>
        <v>9</v>
      </c>
      <c r="C1181" s="11">
        <f>IFERROR(__xludf.DUMMYFUNCTION("""COMPUTED_VALUE"""),83598.0)</f>
        <v>83598</v>
      </c>
      <c r="D1181" s="11">
        <f>IFERROR(__xludf.DUMMYFUNCTION("""COMPUTED_VALUE"""),1462.0)</f>
        <v>1462</v>
      </c>
      <c r="E1181" s="9"/>
    </row>
    <row r="1182">
      <c r="A1182" s="11">
        <f>IFERROR(__xludf.DUMMYFUNCTION("""COMPUTED_VALUE"""),2021.0)</f>
        <v>2021</v>
      </c>
      <c r="B1182" s="11">
        <f>IFERROR(__xludf.DUMMYFUNCTION("""COMPUTED_VALUE"""),8.0)</f>
        <v>8</v>
      </c>
      <c r="C1182" s="11">
        <f>IFERROR(__xludf.DUMMYFUNCTION("""COMPUTED_VALUE"""),5652.0)</f>
        <v>5652</v>
      </c>
      <c r="D1182" s="11">
        <f>IFERROR(__xludf.DUMMYFUNCTION("""COMPUTED_VALUE"""),1777.0)</f>
        <v>1777</v>
      </c>
      <c r="E1182" s="9"/>
    </row>
    <row r="1183">
      <c r="A1183" s="11">
        <f>IFERROR(__xludf.DUMMYFUNCTION("""COMPUTED_VALUE"""),2021.0)</f>
        <v>2021</v>
      </c>
      <c r="B1183" s="11">
        <f>IFERROR(__xludf.DUMMYFUNCTION("""COMPUTED_VALUE"""),11.0)</f>
        <v>11</v>
      </c>
      <c r="C1183" s="11">
        <f>IFERROR(__xludf.DUMMYFUNCTION("""COMPUTED_VALUE"""),122661.0)</f>
        <v>122661</v>
      </c>
      <c r="D1183" s="11">
        <f>IFERROR(__xludf.DUMMYFUNCTION("""COMPUTED_VALUE"""),869.0)</f>
        <v>869</v>
      </c>
      <c r="E1183" s="9"/>
    </row>
    <row r="1184">
      <c r="A1184" s="11">
        <f>IFERROR(__xludf.DUMMYFUNCTION("""COMPUTED_VALUE"""),2021.0)</f>
        <v>2021</v>
      </c>
      <c r="B1184" s="11">
        <f>IFERROR(__xludf.DUMMYFUNCTION("""COMPUTED_VALUE"""),11.0)</f>
        <v>11</v>
      </c>
      <c r="C1184" s="11">
        <f>IFERROR(__xludf.DUMMYFUNCTION("""COMPUTED_VALUE"""),116384.0)</f>
        <v>116384</v>
      </c>
      <c r="D1184" s="11">
        <f>IFERROR(__xludf.DUMMYFUNCTION("""COMPUTED_VALUE"""),505.0)</f>
        <v>505</v>
      </c>
      <c r="E1184" s="9"/>
    </row>
    <row r="1185">
      <c r="A1185" s="11">
        <f>IFERROR(__xludf.DUMMYFUNCTION("""COMPUTED_VALUE"""),2021.0)</f>
        <v>2021</v>
      </c>
      <c r="B1185" s="11">
        <f>IFERROR(__xludf.DUMMYFUNCTION("""COMPUTED_VALUE"""),10.0)</f>
        <v>10</v>
      </c>
      <c r="C1185" s="11">
        <f>IFERROR(__xludf.DUMMYFUNCTION("""COMPUTED_VALUE"""),78859.0)</f>
        <v>78859</v>
      </c>
      <c r="D1185" s="11">
        <f>IFERROR(__xludf.DUMMYFUNCTION("""COMPUTED_VALUE"""),1291.0)</f>
        <v>1291</v>
      </c>
      <c r="E1185" s="9"/>
    </row>
    <row r="1186">
      <c r="A1186" s="11">
        <f>IFERROR(__xludf.DUMMYFUNCTION("""COMPUTED_VALUE"""),2021.0)</f>
        <v>2021</v>
      </c>
      <c r="B1186" s="11">
        <f>IFERROR(__xludf.DUMMYFUNCTION("""COMPUTED_VALUE"""),10.0)</f>
        <v>10</v>
      </c>
      <c r="C1186" s="11">
        <f>IFERROR(__xludf.DUMMYFUNCTION("""COMPUTED_VALUE"""),87096.0)</f>
        <v>87096</v>
      </c>
      <c r="D1186" s="11">
        <f>IFERROR(__xludf.DUMMYFUNCTION("""COMPUTED_VALUE"""),814.0)</f>
        <v>814</v>
      </c>
      <c r="E1186" s="9"/>
    </row>
    <row r="1187">
      <c r="A1187" s="11">
        <f>IFERROR(__xludf.DUMMYFUNCTION("""COMPUTED_VALUE"""),2021.0)</f>
        <v>2021</v>
      </c>
      <c r="B1187" s="11">
        <f>IFERROR(__xludf.DUMMYFUNCTION("""COMPUTED_VALUE"""),8.0)</f>
        <v>8</v>
      </c>
      <c r="C1187" s="11">
        <f>IFERROR(__xludf.DUMMYFUNCTION("""COMPUTED_VALUE"""),87428.0)</f>
        <v>87428</v>
      </c>
      <c r="D1187" s="11">
        <f>IFERROR(__xludf.DUMMYFUNCTION("""COMPUTED_VALUE"""),1738.0)</f>
        <v>1738</v>
      </c>
      <c r="E1187" s="9"/>
    </row>
    <row r="1188">
      <c r="A1188" s="11">
        <f>IFERROR(__xludf.DUMMYFUNCTION("""COMPUTED_VALUE"""),2021.0)</f>
        <v>2021</v>
      </c>
      <c r="B1188" s="11">
        <f>IFERROR(__xludf.DUMMYFUNCTION("""COMPUTED_VALUE"""),9.0)</f>
        <v>9</v>
      </c>
      <c r="C1188" s="11">
        <f>IFERROR(__xludf.DUMMYFUNCTION("""COMPUTED_VALUE"""),5690.0)</f>
        <v>5690</v>
      </c>
      <c r="D1188" s="11">
        <f>IFERROR(__xludf.DUMMYFUNCTION("""COMPUTED_VALUE"""),537.0)</f>
        <v>537</v>
      </c>
      <c r="E1188" s="9"/>
    </row>
    <row r="1189">
      <c r="A1189" s="11">
        <f>IFERROR(__xludf.DUMMYFUNCTION("""COMPUTED_VALUE"""),2021.0)</f>
        <v>2021</v>
      </c>
      <c r="B1189" s="11">
        <f>IFERROR(__xludf.DUMMYFUNCTION("""COMPUTED_VALUE"""),10.0)</f>
        <v>10</v>
      </c>
      <c r="C1189" s="11">
        <f>IFERROR(__xludf.DUMMYFUNCTION("""COMPUTED_VALUE"""),5663.0)</f>
        <v>5663</v>
      </c>
      <c r="D1189" s="11">
        <f>IFERROR(__xludf.DUMMYFUNCTION("""COMPUTED_VALUE"""),327.0)</f>
        <v>327</v>
      </c>
      <c r="E1189" s="9"/>
    </row>
    <row r="1190">
      <c r="A1190" s="11">
        <f>IFERROR(__xludf.DUMMYFUNCTION("""COMPUTED_VALUE"""),2021.0)</f>
        <v>2021</v>
      </c>
      <c r="B1190" s="11">
        <f>IFERROR(__xludf.DUMMYFUNCTION("""COMPUTED_VALUE"""),11.0)</f>
        <v>11</v>
      </c>
      <c r="C1190" s="11">
        <f>IFERROR(__xludf.DUMMYFUNCTION("""COMPUTED_VALUE"""),5654.0)</f>
        <v>5654</v>
      </c>
      <c r="D1190" s="11">
        <f>IFERROR(__xludf.DUMMYFUNCTION("""COMPUTED_VALUE"""),922.0)</f>
        <v>922</v>
      </c>
      <c r="E1190" s="9"/>
    </row>
    <row r="1191">
      <c r="A1191" s="11">
        <f>IFERROR(__xludf.DUMMYFUNCTION("""COMPUTED_VALUE"""),2021.0)</f>
        <v>2021</v>
      </c>
      <c r="B1191" s="11">
        <f>IFERROR(__xludf.DUMMYFUNCTION("""COMPUTED_VALUE"""),8.0)</f>
        <v>8</v>
      </c>
      <c r="C1191" s="11">
        <f>IFERROR(__xludf.DUMMYFUNCTION("""COMPUTED_VALUE"""),44607.0)</f>
        <v>44607</v>
      </c>
      <c r="D1191" s="11">
        <f>IFERROR(__xludf.DUMMYFUNCTION("""COMPUTED_VALUE"""),206.0)</f>
        <v>206</v>
      </c>
      <c r="E1191" s="9"/>
    </row>
    <row r="1192">
      <c r="A1192" s="11">
        <f>IFERROR(__xludf.DUMMYFUNCTION("""COMPUTED_VALUE"""),2021.0)</f>
        <v>2021</v>
      </c>
      <c r="B1192" s="11">
        <f>IFERROR(__xludf.DUMMYFUNCTION("""COMPUTED_VALUE"""),10.0)</f>
        <v>10</v>
      </c>
      <c r="C1192" s="11">
        <f>IFERROR(__xludf.DUMMYFUNCTION("""COMPUTED_VALUE"""),5662.0)</f>
        <v>5662</v>
      </c>
      <c r="D1192" s="11">
        <f>IFERROR(__xludf.DUMMYFUNCTION("""COMPUTED_VALUE"""),308.0)</f>
        <v>308</v>
      </c>
      <c r="E1192" s="9"/>
    </row>
    <row r="1193">
      <c r="A1193" s="11">
        <f>IFERROR(__xludf.DUMMYFUNCTION("""COMPUTED_VALUE"""),2021.0)</f>
        <v>2021</v>
      </c>
      <c r="B1193" s="11">
        <f>IFERROR(__xludf.DUMMYFUNCTION("""COMPUTED_VALUE"""),8.0)</f>
        <v>8</v>
      </c>
      <c r="C1193" s="11">
        <f>IFERROR(__xludf.DUMMYFUNCTION("""COMPUTED_VALUE"""),87426.0)</f>
        <v>87426</v>
      </c>
      <c r="D1193" s="11">
        <f>IFERROR(__xludf.DUMMYFUNCTION("""COMPUTED_VALUE"""),628.0)</f>
        <v>628</v>
      </c>
      <c r="E1193" s="9"/>
    </row>
    <row r="1194">
      <c r="A1194" s="11">
        <f>IFERROR(__xludf.DUMMYFUNCTION("""COMPUTED_VALUE"""),2021.0)</f>
        <v>2021</v>
      </c>
      <c r="B1194" s="11">
        <f>IFERROR(__xludf.DUMMYFUNCTION("""COMPUTED_VALUE"""),11.0)</f>
        <v>11</v>
      </c>
      <c r="C1194" s="11">
        <f>IFERROR(__xludf.DUMMYFUNCTION("""COMPUTED_VALUE"""),5680.0)</f>
        <v>5680</v>
      </c>
      <c r="D1194" s="11">
        <f>IFERROR(__xludf.DUMMYFUNCTION("""COMPUTED_VALUE"""),587.0)</f>
        <v>587</v>
      </c>
      <c r="E1194" s="9"/>
    </row>
    <row r="1195">
      <c r="A1195" s="11">
        <f>IFERROR(__xludf.DUMMYFUNCTION("""COMPUTED_VALUE"""),2021.0)</f>
        <v>2021</v>
      </c>
      <c r="B1195" s="11">
        <f>IFERROR(__xludf.DUMMYFUNCTION("""COMPUTED_VALUE"""),9.0)</f>
        <v>9</v>
      </c>
      <c r="C1195" s="11">
        <f>IFERROR(__xludf.DUMMYFUNCTION("""COMPUTED_VALUE"""),5661.0)</f>
        <v>5661</v>
      </c>
      <c r="D1195" s="11">
        <f>IFERROR(__xludf.DUMMYFUNCTION("""COMPUTED_VALUE"""),181.0)</f>
        <v>181</v>
      </c>
      <c r="E1195" s="9"/>
    </row>
    <row r="1196">
      <c r="A1196" s="11">
        <f>IFERROR(__xludf.DUMMYFUNCTION("""COMPUTED_VALUE"""),2021.0)</f>
        <v>2021</v>
      </c>
      <c r="B1196" s="11">
        <f>IFERROR(__xludf.DUMMYFUNCTION("""COMPUTED_VALUE"""),9.0)</f>
        <v>9</v>
      </c>
      <c r="C1196" s="11">
        <f>IFERROR(__xludf.DUMMYFUNCTION("""COMPUTED_VALUE"""),83629.0)</f>
        <v>83629</v>
      </c>
      <c r="D1196" s="11">
        <f>IFERROR(__xludf.DUMMYFUNCTION("""COMPUTED_VALUE"""),592.0)</f>
        <v>592</v>
      </c>
      <c r="E1196" s="9"/>
    </row>
    <row r="1197">
      <c r="A1197" s="11">
        <f>IFERROR(__xludf.DUMMYFUNCTION("""COMPUTED_VALUE"""),2021.0)</f>
        <v>2021</v>
      </c>
      <c r="B1197" s="11">
        <f>IFERROR(__xludf.DUMMYFUNCTION("""COMPUTED_VALUE"""),11.0)</f>
        <v>11</v>
      </c>
      <c r="C1197" s="11">
        <f>IFERROR(__xludf.DUMMYFUNCTION("""COMPUTED_VALUE"""),83599.0)</f>
        <v>83599</v>
      </c>
      <c r="D1197" s="11">
        <f>IFERROR(__xludf.DUMMYFUNCTION("""COMPUTED_VALUE"""),35.0)</f>
        <v>35</v>
      </c>
      <c r="E1197" s="9"/>
    </row>
    <row r="1198">
      <c r="A1198" s="11">
        <f>IFERROR(__xludf.DUMMYFUNCTION("""COMPUTED_VALUE"""),2021.0)</f>
        <v>2021</v>
      </c>
      <c r="B1198" s="11">
        <f>IFERROR(__xludf.DUMMYFUNCTION("""COMPUTED_VALUE"""),11.0)</f>
        <v>11</v>
      </c>
      <c r="C1198" s="11">
        <f>IFERROR(__xludf.DUMMYFUNCTION("""COMPUTED_VALUE"""),83625.0)</f>
        <v>83625</v>
      </c>
      <c r="D1198" s="11">
        <f>IFERROR(__xludf.DUMMYFUNCTION("""COMPUTED_VALUE"""),1774.0)</f>
        <v>1774</v>
      </c>
      <c r="E1198" s="9"/>
    </row>
    <row r="1199">
      <c r="A1199" s="11">
        <f>IFERROR(__xludf.DUMMYFUNCTION("""COMPUTED_VALUE"""),2021.0)</f>
        <v>2021</v>
      </c>
      <c r="B1199" s="11">
        <f>IFERROR(__xludf.DUMMYFUNCTION("""COMPUTED_VALUE"""),10.0)</f>
        <v>10</v>
      </c>
      <c r="C1199" s="11">
        <f>IFERROR(__xludf.DUMMYFUNCTION("""COMPUTED_VALUE"""),87887.0)</f>
        <v>87887</v>
      </c>
      <c r="D1199" s="11">
        <f>IFERROR(__xludf.DUMMYFUNCTION("""COMPUTED_VALUE"""),1317.0)</f>
        <v>1317</v>
      </c>
      <c r="E1199" s="9"/>
    </row>
    <row r="1200">
      <c r="A1200" s="11">
        <f>IFERROR(__xludf.DUMMYFUNCTION("""COMPUTED_VALUE"""),2021.0)</f>
        <v>2021</v>
      </c>
      <c r="B1200" s="11">
        <f>IFERROR(__xludf.DUMMYFUNCTION("""COMPUTED_VALUE"""),11.0)</f>
        <v>11</v>
      </c>
      <c r="C1200" s="11">
        <f>IFERROR(__xludf.DUMMYFUNCTION("""COMPUTED_VALUE"""),118923.0)</f>
        <v>118923</v>
      </c>
      <c r="D1200" s="11">
        <f>IFERROR(__xludf.DUMMYFUNCTION("""COMPUTED_VALUE"""),1647.0)</f>
        <v>1647</v>
      </c>
      <c r="E1200" s="9"/>
    </row>
    <row r="1201">
      <c r="A1201" s="11">
        <f>IFERROR(__xludf.DUMMYFUNCTION("""COMPUTED_VALUE"""),2021.0)</f>
        <v>2021</v>
      </c>
      <c r="B1201" s="11">
        <f>IFERROR(__xludf.DUMMYFUNCTION("""COMPUTED_VALUE"""),11.0)</f>
        <v>11</v>
      </c>
      <c r="C1201" s="11">
        <f>IFERROR(__xludf.DUMMYFUNCTION("""COMPUTED_VALUE"""),87421.0)</f>
        <v>87421</v>
      </c>
      <c r="D1201" s="11">
        <f>IFERROR(__xludf.DUMMYFUNCTION("""COMPUTED_VALUE"""),1224.0)</f>
        <v>1224</v>
      </c>
      <c r="E1201" s="9"/>
    </row>
    <row r="1202">
      <c r="A1202" s="11">
        <f>IFERROR(__xludf.DUMMYFUNCTION("""COMPUTED_VALUE"""),2021.0)</f>
        <v>2021</v>
      </c>
      <c r="B1202" s="11">
        <f>IFERROR(__xludf.DUMMYFUNCTION("""COMPUTED_VALUE"""),8.0)</f>
        <v>8</v>
      </c>
      <c r="C1202" s="11">
        <f>IFERROR(__xludf.DUMMYFUNCTION("""COMPUTED_VALUE"""),117531.0)</f>
        <v>117531</v>
      </c>
      <c r="D1202" s="11">
        <f>IFERROR(__xludf.DUMMYFUNCTION("""COMPUTED_VALUE"""),521.0)</f>
        <v>521</v>
      </c>
      <c r="E1202" s="9"/>
    </row>
    <row r="1203">
      <c r="A1203" s="11">
        <f>IFERROR(__xludf.DUMMYFUNCTION("""COMPUTED_VALUE"""),2021.0)</f>
        <v>2021</v>
      </c>
      <c r="B1203" s="11">
        <f>IFERROR(__xludf.DUMMYFUNCTION("""COMPUTED_VALUE"""),10.0)</f>
        <v>10</v>
      </c>
      <c r="C1203" s="11">
        <f>IFERROR(__xludf.DUMMYFUNCTION("""COMPUTED_VALUE"""),122267.0)</f>
        <v>122267</v>
      </c>
      <c r="D1203" s="11">
        <f>IFERROR(__xludf.DUMMYFUNCTION("""COMPUTED_VALUE"""),674.0)</f>
        <v>674</v>
      </c>
      <c r="E1203" s="9"/>
    </row>
    <row r="1204">
      <c r="A1204" s="11">
        <f>IFERROR(__xludf.DUMMYFUNCTION("""COMPUTED_VALUE"""),2021.0)</f>
        <v>2021</v>
      </c>
      <c r="B1204" s="11">
        <f>IFERROR(__xludf.DUMMYFUNCTION("""COMPUTED_VALUE"""),11.0)</f>
        <v>11</v>
      </c>
      <c r="C1204" s="11">
        <f>IFERROR(__xludf.DUMMYFUNCTION("""COMPUTED_VALUE"""),117527.0)</f>
        <v>117527</v>
      </c>
      <c r="D1204" s="11">
        <f>IFERROR(__xludf.DUMMYFUNCTION("""COMPUTED_VALUE"""),1507.0)</f>
        <v>1507</v>
      </c>
      <c r="E1204" s="9"/>
    </row>
    <row r="1205">
      <c r="A1205" s="11">
        <f>IFERROR(__xludf.DUMMYFUNCTION("""COMPUTED_VALUE"""),2021.0)</f>
        <v>2021</v>
      </c>
      <c r="B1205" s="11">
        <f>IFERROR(__xludf.DUMMYFUNCTION("""COMPUTED_VALUE"""),11.0)</f>
        <v>11</v>
      </c>
      <c r="C1205" s="11">
        <f>IFERROR(__xludf.DUMMYFUNCTION("""COMPUTED_VALUE"""),44138.0)</f>
        <v>44138</v>
      </c>
      <c r="D1205" s="11">
        <f>IFERROR(__xludf.DUMMYFUNCTION("""COMPUTED_VALUE"""),946.0)</f>
        <v>946</v>
      </c>
      <c r="E1205" s="9"/>
    </row>
    <row r="1206">
      <c r="A1206" s="11">
        <f>IFERROR(__xludf.DUMMYFUNCTION("""COMPUTED_VALUE"""),2021.0)</f>
        <v>2021</v>
      </c>
      <c r="B1206" s="11">
        <f>IFERROR(__xludf.DUMMYFUNCTION("""COMPUTED_VALUE"""),8.0)</f>
        <v>8</v>
      </c>
      <c r="C1206" s="11">
        <f>IFERROR(__xludf.DUMMYFUNCTION("""COMPUTED_VALUE"""),117529.0)</f>
        <v>117529</v>
      </c>
      <c r="D1206" s="11">
        <f>IFERROR(__xludf.DUMMYFUNCTION("""COMPUTED_VALUE"""),940.0)</f>
        <v>940</v>
      </c>
      <c r="E1206" s="9"/>
    </row>
    <row r="1207">
      <c r="A1207" s="11">
        <f>IFERROR(__xludf.DUMMYFUNCTION("""COMPUTED_VALUE"""),2021.0)</f>
        <v>2021</v>
      </c>
      <c r="B1207" s="11">
        <f>IFERROR(__xludf.DUMMYFUNCTION("""COMPUTED_VALUE"""),8.0)</f>
        <v>8</v>
      </c>
      <c r="C1207" s="11">
        <f>IFERROR(__xludf.DUMMYFUNCTION("""COMPUTED_VALUE"""),122269.0)</f>
        <v>122269</v>
      </c>
      <c r="D1207" s="11">
        <f>IFERROR(__xludf.DUMMYFUNCTION("""COMPUTED_VALUE"""),1728.0)</f>
        <v>1728</v>
      </c>
      <c r="E1207" s="9"/>
    </row>
    <row r="1208">
      <c r="A1208" s="11">
        <f>IFERROR(__xludf.DUMMYFUNCTION("""COMPUTED_VALUE"""),2021.0)</f>
        <v>2021</v>
      </c>
      <c r="B1208" s="11">
        <f>IFERROR(__xludf.DUMMYFUNCTION("""COMPUTED_VALUE"""),9.0)</f>
        <v>9</v>
      </c>
      <c r="C1208" s="11">
        <f>IFERROR(__xludf.DUMMYFUNCTION("""COMPUTED_VALUE"""),87886.0)</f>
        <v>87886</v>
      </c>
      <c r="D1208" s="11">
        <f>IFERROR(__xludf.DUMMYFUNCTION("""COMPUTED_VALUE"""),1071.0)</f>
        <v>1071</v>
      </c>
      <c r="E1208" s="9"/>
    </row>
    <row r="1209">
      <c r="A1209" s="11">
        <f>IFERROR(__xludf.DUMMYFUNCTION("""COMPUTED_VALUE"""),2021.0)</f>
        <v>2021</v>
      </c>
      <c r="B1209" s="11">
        <f>IFERROR(__xludf.DUMMYFUNCTION("""COMPUTED_VALUE"""),11.0)</f>
        <v>11</v>
      </c>
      <c r="C1209" s="11">
        <f>IFERROR(__xludf.DUMMYFUNCTION("""COMPUTED_VALUE"""),104317.0)</f>
        <v>104317</v>
      </c>
      <c r="D1209" s="11">
        <f>IFERROR(__xludf.DUMMYFUNCTION("""COMPUTED_VALUE"""),315.0)</f>
        <v>315</v>
      </c>
      <c r="E1209" s="9"/>
    </row>
    <row r="1210">
      <c r="A1210" s="11">
        <f>IFERROR(__xludf.DUMMYFUNCTION("""COMPUTED_VALUE"""),2021.0)</f>
        <v>2021</v>
      </c>
      <c r="B1210" s="11">
        <f>IFERROR(__xludf.DUMMYFUNCTION("""COMPUTED_VALUE"""),10.0)</f>
        <v>10</v>
      </c>
      <c r="C1210" s="11">
        <f>IFERROR(__xludf.DUMMYFUNCTION("""COMPUTED_VALUE"""),114943.0)</f>
        <v>114943</v>
      </c>
      <c r="D1210" s="11">
        <f>IFERROR(__xludf.DUMMYFUNCTION("""COMPUTED_VALUE"""),1322.0)</f>
        <v>1322</v>
      </c>
      <c r="E1210" s="9"/>
    </row>
    <row r="1211">
      <c r="A1211" s="11">
        <f>IFERROR(__xludf.DUMMYFUNCTION("""COMPUTED_VALUE"""),2021.0)</f>
        <v>2021</v>
      </c>
      <c r="B1211" s="11">
        <f>IFERROR(__xludf.DUMMYFUNCTION("""COMPUTED_VALUE"""),8.0)</f>
        <v>8</v>
      </c>
      <c r="C1211" s="11">
        <f>IFERROR(__xludf.DUMMYFUNCTION("""COMPUTED_VALUE"""),44134.0)</f>
        <v>44134</v>
      </c>
      <c r="D1211" s="11">
        <f>IFERROR(__xludf.DUMMYFUNCTION("""COMPUTED_VALUE"""),1055.0)</f>
        <v>1055</v>
      </c>
      <c r="E1211" s="9"/>
    </row>
    <row r="1212">
      <c r="A1212" s="11">
        <f>IFERROR(__xludf.DUMMYFUNCTION("""COMPUTED_VALUE"""),2021.0)</f>
        <v>2021</v>
      </c>
      <c r="B1212" s="11">
        <f>IFERROR(__xludf.DUMMYFUNCTION("""COMPUTED_VALUE"""),8.0)</f>
        <v>8</v>
      </c>
      <c r="C1212" s="11">
        <f>IFERROR(__xludf.DUMMYFUNCTION("""COMPUTED_VALUE"""),5637.0)</f>
        <v>5637</v>
      </c>
      <c r="D1212" s="11">
        <f>IFERROR(__xludf.DUMMYFUNCTION("""COMPUTED_VALUE"""),689.0)</f>
        <v>689</v>
      </c>
      <c r="E1212" s="9"/>
    </row>
    <row r="1213">
      <c r="A1213" s="11">
        <f>IFERROR(__xludf.DUMMYFUNCTION("""COMPUTED_VALUE"""),2021.0)</f>
        <v>2021</v>
      </c>
      <c r="B1213" s="11">
        <f>IFERROR(__xludf.DUMMYFUNCTION("""COMPUTED_VALUE"""),11.0)</f>
        <v>11</v>
      </c>
      <c r="C1213" s="11">
        <f>IFERROR(__xludf.DUMMYFUNCTION("""COMPUTED_VALUE"""),5641.0)</f>
        <v>5641</v>
      </c>
      <c r="D1213" s="11">
        <f>IFERROR(__xludf.DUMMYFUNCTION("""COMPUTED_VALUE"""),346.0)</f>
        <v>346</v>
      </c>
      <c r="E1213" s="9"/>
    </row>
    <row r="1214">
      <c r="A1214" s="11">
        <f>IFERROR(__xludf.DUMMYFUNCTION("""COMPUTED_VALUE"""),2021.0)</f>
        <v>2021</v>
      </c>
      <c r="B1214" s="11">
        <f>IFERROR(__xludf.DUMMYFUNCTION("""COMPUTED_VALUE"""),11.0)</f>
        <v>11</v>
      </c>
      <c r="C1214" s="11">
        <f>IFERROR(__xludf.DUMMYFUNCTION("""COMPUTED_VALUE"""),147323.0)</f>
        <v>147323</v>
      </c>
      <c r="D1214" s="11">
        <f>IFERROR(__xludf.DUMMYFUNCTION("""COMPUTED_VALUE"""),1354.0)</f>
        <v>1354</v>
      </c>
      <c r="E1214" s="9"/>
    </row>
    <row r="1215">
      <c r="A1215" s="11">
        <f>IFERROR(__xludf.DUMMYFUNCTION("""COMPUTED_VALUE"""),2021.0)</f>
        <v>2021</v>
      </c>
      <c r="B1215" s="11">
        <f>IFERROR(__xludf.DUMMYFUNCTION("""COMPUTED_VALUE"""),9.0)</f>
        <v>9</v>
      </c>
      <c r="C1215" s="11">
        <f>IFERROR(__xludf.DUMMYFUNCTION("""COMPUTED_VALUE"""),44118.0)</f>
        <v>44118</v>
      </c>
      <c r="D1215" s="11">
        <f>IFERROR(__xludf.DUMMYFUNCTION("""COMPUTED_VALUE"""),1922.0)</f>
        <v>1922</v>
      </c>
      <c r="E1215" s="9"/>
    </row>
    <row r="1216">
      <c r="A1216" s="11">
        <f>IFERROR(__xludf.DUMMYFUNCTION("""COMPUTED_VALUE"""),2021.0)</f>
        <v>2021</v>
      </c>
      <c r="B1216" s="11">
        <f>IFERROR(__xludf.DUMMYFUNCTION("""COMPUTED_VALUE"""),8.0)</f>
        <v>8</v>
      </c>
      <c r="C1216" s="11">
        <f>IFERROR(__xludf.DUMMYFUNCTION("""COMPUTED_VALUE"""),115608.0)</f>
        <v>115608</v>
      </c>
      <c r="D1216" s="11">
        <f>IFERROR(__xludf.DUMMYFUNCTION("""COMPUTED_VALUE"""),1656.0)</f>
        <v>1656</v>
      </c>
      <c r="E1216" s="9"/>
    </row>
    <row r="1217">
      <c r="A1217" s="11">
        <f>IFERROR(__xludf.DUMMYFUNCTION("""COMPUTED_VALUE"""),2021.0)</f>
        <v>2021</v>
      </c>
      <c r="B1217" s="11">
        <f>IFERROR(__xludf.DUMMYFUNCTION("""COMPUTED_VALUE"""),11.0)</f>
        <v>11</v>
      </c>
      <c r="C1217" s="11">
        <f>IFERROR(__xludf.DUMMYFUNCTION("""COMPUTED_VALUE"""),44127.0)</f>
        <v>44127</v>
      </c>
      <c r="D1217" s="11">
        <f>IFERROR(__xludf.DUMMYFUNCTION("""COMPUTED_VALUE"""),1506.0)</f>
        <v>1506</v>
      </c>
      <c r="E1217" s="9"/>
    </row>
    <row r="1218">
      <c r="A1218" s="11">
        <f>IFERROR(__xludf.DUMMYFUNCTION("""COMPUTED_VALUE"""),2021.0)</f>
        <v>2021</v>
      </c>
      <c r="B1218" s="11">
        <f>IFERROR(__xludf.DUMMYFUNCTION("""COMPUTED_VALUE"""),11.0)</f>
        <v>11</v>
      </c>
      <c r="C1218" s="11">
        <f>IFERROR(__xludf.DUMMYFUNCTION("""COMPUTED_VALUE"""),122348.0)</f>
        <v>122348</v>
      </c>
      <c r="D1218" s="11">
        <f>IFERROR(__xludf.DUMMYFUNCTION("""COMPUTED_VALUE"""),1689.0)</f>
        <v>1689</v>
      </c>
      <c r="E1218" s="9"/>
    </row>
    <row r="1219">
      <c r="A1219" s="11">
        <f>IFERROR(__xludf.DUMMYFUNCTION("""COMPUTED_VALUE"""),2021.0)</f>
        <v>2021</v>
      </c>
      <c r="B1219" s="11">
        <f>IFERROR(__xludf.DUMMYFUNCTION("""COMPUTED_VALUE"""),9.0)</f>
        <v>9</v>
      </c>
      <c r="C1219" s="11">
        <f>IFERROR(__xludf.DUMMYFUNCTION("""COMPUTED_VALUE"""),147304.0)</f>
        <v>147304</v>
      </c>
      <c r="D1219" s="11">
        <f>IFERROR(__xludf.DUMMYFUNCTION("""COMPUTED_VALUE"""),1355.0)</f>
        <v>1355</v>
      </c>
      <c r="E1219" s="9"/>
    </row>
    <row r="1220">
      <c r="A1220" s="11">
        <f>IFERROR(__xludf.DUMMYFUNCTION("""COMPUTED_VALUE"""),2021.0)</f>
        <v>2021</v>
      </c>
      <c r="B1220" s="11">
        <f>IFERROR(__xludf.DUMMYFUNCTION("""COMPUTED_VALUE"""),11.0)</f>
        <v>11</v>
      </c>
      <c r="C1220" s="11">
        <f>IFERROR(__xludf.DUMMYFUNCTION("""COMPUTED_VALUE"""),118310.0)</f>
        <v>118310</v>
      </c>
      <c r="D1220" s="11">
        <f>IFERROR(__xludf.DUMMYFUNCTION("""COMPUTED_VALUE"""),1055.0)</f>
        <v>1055</v>
      </c>
      <c r="E1220" s="9"/>
    </row>
    <row r="1221">
      <c r="A1221" s="11">
        <f>IFERROR(__xludf.DUMMYFUNCTION("""COMPUTED_VALUE"""),2021.0)</f>
        <v>2021</v>
      </c>
      <c r="B1221" s="11">
        <f>IFERROR(__xludf.DUMMYFUNCTION("""COMPUTED_VALUE"""),10.0)</f>
        <v>10</v>
      </c>
      <c r="C1221" s="11">
        <f>IFERROR(__xludf.DUMMYFUNCTION("""COMPUTED_VALUE"""),77175.0)</f>
        <v>77175</v>
      </c>
      <c r="D1221" s="11">
        <f>IFERROR(__xludf.DUMMYFUNCTION("""COMPUTED_VALUE"""),1959.0)</f>
        <v>1959</v>
      </c>
      <c r="E1221" s="9"/>
    </row>
    <row r="1222">
      <c r="A1222" s="11">
        <f>IFERROR(__xludf.DUMMYFUNCTION("""COMPUTED_VALUE"""),2021.0)</f>
        <v>2021</v>
      </c>
      <c r="B1222" s="11">
        <f>IFERROR(__xludf.DUMMYFUNCTION("""COMPUTED_VALUE"""),8.0)</f>
        <v>8</v>
      </c>
      <c r="C1222" s="11">
        <f>IFERROR(__xludf.DUMMYFUNCTION("""COMPUTED_VALUE"""),5645.0)</f>
        <v>5645</v>
      </c>
      <c r="D1222" s="11">
        <f>IFERROR(__xludf.DUMMYFUNCTION("""COMPUTED_VALUE"""),1355.0)</f>
        <v>1355</v>
      </c>
      <c r="E1222" s="9"/>
    </row>
    <row r="1223">
      <c r="A1223" s="11">
        <f>IFERROR(__xludf.DUMMYFUNCTION("""COMPUTED_VALUE"""),2021.0)</f>
        <v>2021</v>
      </c>
      <c r="B1223" s="11">
        <f>IFERROR(__xludf.DUMMYFUNCTION("""COMPUTED_VALUE"""),8.0)</f>
        <v>8</v>
      </c>
      <c r="C1223" s="11">
        <f>IFERROR(__xludf.DUMMYFUNCTION("""COMPUTED_VALUE"""),76679.0)</f>
        <v>76679</v>
      </c>
      <c r="D1223" s="11">
        <f>IFERROR(__xludf.DUMMYFUNCTION("""COMPUTED_VALUE"""),1264.0)</f>
        <v>1264</v>
      </c>
      <c r="E1223" s="9"/>
    </row>
    <row r="1224">
      <c r="A1224" s="11">
        <f>IFERROR(__xludf.DUMMYFUNCTION("""COMPUTED_VALUE"""),2021.0)</f>
        <v>2021</v>
      </c>
      <c r="B1224" s="11">
        <f>IFERROR(__xludf.DUMMYFUNCTION("""COMPUTED_VALUE"""),10.0)</f>
        <v>10</v>
      </c>
      <c r="C1224" s="11">
        <f>IFERROR(__xludf.DUMMYFUNCTION("""COMPUTED_VALUE"""),5635.0)</f>
        <v>5635</v>
      </c>
      <c r="D1224" s="11">
        <f>IFERROR(__xludf.DUMMYFUNCTION("""COMPUTED_VALUE"""),1600.0)</f>
        <v>1600</v>
      </c>
      <c r="E1224" s="9"/>
    </row>
    <row r="1225">
      <c r="A1225" s="11">
        <f>IFERROR(__xludf.DUMMYFUNCTION("""COMPUTED_VALUE"""),2021.0)</f>
        <v>2021</v>
      </c>
      <c r="B1225" s="11">
        <f>IFERROR(__xludf.DUMMYFUNCTION("""COMPUTED_VALUE"""),11.0)</f>
        <v>11</v>
      </c>
      <c r="C1225" s="11">
        <f>IFERROR(__xludf.DUMMYFUNCTION("""COMPUTED_VALUE"""),110960.0)</f>
        <v>110960</v>
      </c>
      <c r="D1225" s="11">
        <f>IFERROR(__xludf.DUMMYFUNCTION("""COMPUTED_VALUE"""),225.0)</f>
        <v>225</v>
      </c>
      <c r="E1225" s="9"/>
    </row>
    <row r="1226">
      <c r="A1226" s="11">
        <f>IFERROR(__xludf.DUMMYFUNCTION("""COMPUTED_VALUE"""),2021.0)</f>
        <v>2021</v>
      </c>
      <c r="B1226" s="11">
        <f>IFERROR(__xludf.DUMMYFUNCTION("""COMPUTED_VALUE"""),9.0)</f>
        <v>9</v>
      </c>
      <c r="C1226" s="11">
        <f>IFERROR(__xludf.DUMMYFUNCTION("""COMPUTED_VALUE"""),108290.0)</f>
        <v>108290</v>
      </c>
      <c r="D1226" s="11">
        <f>IFERROR(__xludf.DUMMYFUNCTION("""COMPUTED_VALUE"""),1730.0)</f>
        <v>1730</v>
      </c>
      <c r="E1226" s="9"/>
    </row>
    <row r="1227">
      <c r="A1227" s="11">
        <f>IFERROR(__xludf.DUMMYFUNCTION("""COMPUTED_VALUE"""),2021.0)</f>
        <v>2021</v>
      </c>
      <c r="B1227" s="11">
        <f>IFERROR(__xludf.DUMMYFUNCTION("""COMPUTED_VALUE"""),10.0)</f>
        <v>10</v>
      </c>
      <c r="C1227" s="11">
        <f>IFERROR(__xludf.DUMMYFUNCTION("""COMPUTED_VALUE"""),117680.0)</f>
        <v>117680</v>
      </c>
      <c r="D1227" s="11">
        <f>IFERROR(__xludf.DUMMYFUNCTION("""COMPUTED_VALUE"""),1024.0)</f>
        <v>1024</v>
      </c>
      <c r="E1227" s="9"/>
    </row>
    <row r="1228">
      <c r="A1228" s="11">
        <f>IFERROR(__xludf.DUMMYFUNCTION("""COMPUTED_VALUE"""),2021.0)</f>
        <v>2021</v>
      </c>
      <c r="B1228" s="11">
        <f>IFERROR(__xludf.DUMMYFUNCTION("""COMPUTED_VALUE"""),11.0)</f>
        <v>11</v>
      </c>
      <c r="C1228" s="11">
        <f>IFERROR(__xludf.DUMMYFUNCTION("""COMPUTED_VALUE"""),77183.0)</f>
        <v>77183</v>
      </c>
      <c r="D1228" s="11">
        <f>IFERROR(__xludf.DUMMYFUNCTION("""COMPUTED_VALUE"""),478.0)</f>
        <v>478</v>
      </c>
      <c r="E1228" s="9"/>
    </row>
    <row r="1229">
      <c r="A1229" s="11">
        <f>IFERROR(__xludf.DUMMYFUNCTION("""COMPUTED_VALUE"""),2021.0)</f>
        <v>2021</v>
      </c>
      <c r="B1229" s="11">
        <f>IFERROR(__xludf.DUMMYFUNCTION("""COMPUTED_VALUE"""),11.0)</f>
        <v>11</v>
      </c>
      <c r="C1229" s="11">
        <f>IFERROR(__xludf.DUMMYFUNCTION("""COMPUTED_VALUE"""),147322.0)</f>
        <v>147322</v>
      </c>
      <c r="D1229" s="11">
        <f>IFERROR(__xludf.DUMMYFUNCTION("""COMPUTED_VALUE"""),1187.0)</f>
        <v>1187</v>
      </c>
      <c r="E1229" s="9"/>
    </row>
    <row r="1230">
      <c r="A1230" s="11">
        <f>IFERROR(__xludf.DUMMYFUNCTION("""COMPUTED_VALUE"""),2021.0)</f>
        <v>2021</v>
      </c>
      <c r="B1230" s="11">
        <f>IFERROR(__xludf.DUMMYFUNCTION("""COMPUTED_VALUE"""),10.0)</f>
        <v>10</v>
      </c>
      <c r="C1230" s="11">
        <f>IFERROR(__xludf.DUMMYFUNCTION("""COMPUTED_VALUE"""),44120.0)</f>
        <v>44120</v>
      </c>
      <c r="D1230" s="11">
        <f>IFERROR(__xludf.DUMMYFUNCTION("""COMPUTED_VALUE"""),1854.0)</f>
        <v>1854</v>
      </c>
      <c r="E1230" s="9"/>
    </row>
    <row r="1231">
      <c r="A1231" s="11">
        <f>IFERROR(__xludf.DUMMYFUNCTION("""COMPUTED_VALUE"""),2021.0)</f>
        <v>2021</v>
      </c>
      <c r="B1231" s="11">
        <f>IFERROR(__xludf.DUMMYFUNCTION("""COMPUTED_VALUE"""),8.0)</f>
        <v>8</v>
      </c>
      <c r="C1231" s="11">
        <f>IFERROR(__xludf.DUMMYFUNCTION("""COMPUTED_VALUE"""),44115.0)</f>
        <v>44115</v>
      </c>
      <c r="D1231" s="11">
        <f>IFERROR(__xludf.DUMMYFUNCTION("""COMPUTED_VALUE"""),1144.0)</f>
        <v>1144</v>
      </c>
      <c r="E1231" s="9"/>
    </row>
    <row r="1232">
      <c r="A1232" s="11">
        <f>IFERROR(__xludf.DUMMYFUNCTION("""COMPUTED_VALUE"""),2021.0)</f>
        <v>2021</v>
      </c>
      <c r="B1232" s="11">
        <f>IFERROR(__xludf.DUMMYFUNCTION("""COMPUTED_VALUE"""),8.0)</f>
        <v>8</v>
      </c>
      <c r="C1232" s="11">
        <f>IFERROR(__xludf.DUMMYFUNCTION("""COMPUTED_VALUE"""),44117.0)</f>
        <v>44117</v>
      </c>
      <c r="D1232" s="11">
        <f>IFERROR(__xludf.DUMMYFUNCTION("""COMPUTED_VALUE"""),74.0)</f>
        <v>74</v>
      </c>
      <c r="E1232" s="9"/>
    </row>
    <row r="1233">
      <c r="A1233" s="11">
        <f>IFERROR(__xludf.DUMMYFUNCTION("""COMPUTED_VALUE"""),2021.0)</f>
        <v>2021</v>
      </c>
      <c r="B1233" s="11">
        <f>IFERROR(__xludf.DUMMYFUNCTION("""COMPUTED_VALUE"""),10.0)</f>
        <v>10</v>
      </c>
      <c r="C1233" s="11">
        <f>IFERROR(__xludf.DUMMYFUNCTION("""COMPUTED_VALUE"""),76670.0)</f>
        <v>76670</v>
      </c>
      <c r="D1233" s="11">
        <f>IFERROR(__xludf.DUMMYFUNCTION("""COMPUTED_VALUE"""),1706.0)</f>
        <v>1706</v>
      </c>
      <c r="E1233" s="9"/>
    </row>
    <row r="1234">
      <c r="A1234" s="11">
        <f>IFERROR(__xludf.DUMMYFUNCTION("""COMPUTED_VALUE"""),2021.0)</f>
        <v>2021</v>
      </c>
      <c r="B1234" s="11">
        <f>IFERROR(__xludf.DUMMYFUNCTION("""COMPUTED_VALUE"""),8.0)</f>
        <v>8</v>
      </c>
      <c r="C1234" s="11">
        <f>IFERROR(__xludf.DUMMYFUNCTION("""COMPUTED_VALUE"""),122347.0)</f>
        <v>122347</v>
      </c>
      <c r="D1234" s="11">
        <f>IFERROR(__xludf.DUMMYFUNCTION("""COMPUTED_VALUE"""),1136.0)</f>
        <v>1136</v>
      </c>
      <c r="E1234" s="9"/>
    </row>
    <row r="1235">
      <c r="A1235" s="11">
        <f>IFERROR(__xludf.DUMMYFUNCTION("""COMPUTED_VALUE"""),2021.0)</f>
        <v>2021</v>
      </c>
      <c r="B1235" s="11">
        <f>IFERROR(__xludf.DUMMYFUNCTION("""COMPUTED_VALUE"""),8.0)</f>
        <v>8</v>
      </c>
      <c r="C1235" s="11">
        <f>IFERROR(__xludf.DUMMYFUNCTION("""COMPUTED_VALUE"""),112462.0)</f>
        <v>112462</v>
      </c>
      <c r="D1235" s="11">
        <f>IFERROR(__xludf.DUMMYFUNCTION("""COMPUTED_VALUE"""),1166.0)</f>
        <v>1166</v>
      </c>
      <c r="E1235" s="9"/>
    </row>
    <row r="1236">
      <c r="A1236" s="11">
        <f>IFERROR(__xludf.DUMMYFUNCTION("""COMPUTED_VALUE"""),2021.0)</f>
        <v>2021</v>
      </c>
      <c r="B1236" s="11">
        <f>IFERROR(__xludf.DUMMYFUNCTION("""COMPUTED_VALUE"""),8.0)</f>
        <v>8</v>
      </c>
      <c r="C1236" s="11">
        <f>IFERROR(__xludf.DUMMYFUNCTION("""COMPUTED_VALUE"""),5636.0)</f>
        <v>5636</v>
      </c>
      <c r="D1236" s="11">
        <f>IFERROR(__xludf.DUMMYFUNCTION("""COMPUTED_VALUE"""),963.0)</f>
        <v>963</v>
      </c>
      <c r="E1236" s="9"/>
    </row>
    <row r="1237">
      <c r="A1237" s="11">
        <f>IFERROR(__xludf.DUMMYFUNCTION("""COMPUTED_VALUE"""),2021.0)</f>
        <v>2021</v>
      </c>
      <c r="B1237" s="11">
        <f>IFERROR(__xludf.DUMMYFUNCTION("""COMPUTED_VALUE"""),10.0)</f>
        <v>10</v>
      </c>
      <c r="C1237" s="11">
        <f>IFERROR(__xludf.DUMMYFUNCTION("""COMPUTED_VALUE"""),112464.0)</f>
        <v>112464</v>
      </c>
      <c r="D1237" s="11">
        <f>IFERROR(__xludf.DUMMYFUNCTION("""COMPUTED_VALUE"""),1439.0)</f>
        <v>1439</v>
      </c>
      <c r="E1237" s="9"/>
    </row>
    <row r="1238">
      <c r="A1238" s="11">
        <f>IFERROR(__xludf.DUMMYFUNCTION("""COMPUTED_VALUE"""),2021.0)</f>
        <v>2021</v>
      </c>
      <c r="B1238" s="11">
        <f>IFERROR(__xludf.DUMMYFUNCTION("""COMPUTED_VALUE"""),10.0)</f>
        <v>10</v>
      </c>
      <c r="C1238" s="11">
        <f>IFERROR(__xludf.DUMMYFUNCTION("""COMPUTED_VALUE"""),5639.0)</f>
        <v>5639</v>
      </c>
      <c r="D1238" s="11">
        <f>IFERROR(__xludf.DUMMYFUNCTION("""COMPUTED_VALUE"""),238.0)</f>
        <v>238</v>
      </c>
      <c r="E1238" s="9"/>
    </row>
    <row r="1239">
      <c r="A1239" s="11">
        <f>IFERROR(__xludf.DUMMYFUNCTION("""COMPUTED_VALUE"""),2021.0)</f>
        <v>2021</v>
      </c>
      <c r="B1239" s="11">
        <f>IFERROR(__xludf.DUMMYFUNCTION("""COMPUTED_VALUE"""),9.0)</f>
        <v>9</v>
      </c>
      <c r="C1239" s="11">
        <f>IFERROR(__xludf.DUMMYFUNCTION("""COMPUTED_VALUE"""),44147.0)</f>
        <v>44147</v>
      </c>
      <c r="D1239" s="11">
        <f>IFERROR(__xludf.DUMMYFUNCTION("""COMPUTED_VALUE"""),1736.0)</f>
        <v>1736</v>
      </c>
      <c r="E1239" s="9"/>
    </row>
    <row r="1240">
      <c r="A1240" s="11">
        <f>IFERROR(__xludf.DUMMYFUNCTION("""COMPUTED_VALUE"""),2021.0)</f>
        <v>2021</v>
      </c>
      <c r="B1240" s="11">
        <f>IFERROR(__xludf.DUMMYFUNCTION("""COMPUTED_VALUE"""),9.0)</f>
        <v>9</v>
      </c>
      <c r="C1240" s="11">
        <f>IFERROR(__xludf.DUMMYFUNCTION("""COMPUTED_VALUE"""),5638.0)</f>
        <v>5638</v>
      </c>
      <c r="D1240" s="11">
        <f>IFERROR(__xludf.DUMMYFUNCTION("""COMPUTED_VALUE"""),1357.0)</f>
        <v>1357</v>
      </c>
      <c r="E1240" s="9"/>
    </row>
    <row r="1241">
      <c r="A1241" s="11">
        <f>IFERROR(__xludf.DUMMYFUNCTION("""COMPUTED_VALUE"""),2021.0)</f>
        <v>2021</v>
      </c>
      <c r="B1241" s="11">
        <f>IFERROR(__xludf.DUMMYFUNCTION("""COMPUTED_VALUE"""),10.0)</f>
        <v>10</v>
      </c>
      <c r="C1241" s="11">
        <f>IFERROR(__xludf.DUMMYFUNCTION("""COMPUTED_VALUE"""),103074.0)</f>
        <v>103074</v>
      </c>
      <c r="D1241" s="11">
        <f>IFERROR(__xludf.DUMMYFUNCTION("""COMPUTED_VALUE"""),612.0)</f>
        <v>612</v>
      </c>
      <c r="E1241" s="9"/>
    </row>
    <row r="1242">
      <c r="A1242" s="11">
        <f>IFERROR(__xludf.DUMMYFUNCTION("""COMPUTED_VALUE"""),2021.0)</f>
        <v>2021</v>
      </c>
      <c r="B1242" s="11">
        <f>IFERROR(__xludf.DUMMYFUNCTION("""COMPUTED_VALUE"""),11.0)</f>
        <v>11</v>
      </c>
      <c r="C1242" s="11">
        <f>IFERROR(__xludf.DUMMYFUNCTION("""COMPUTED_VALUE"""),45913.0)</f>
        <v>45913</v>
      </c>
      <c r="D1242" s="11">
        <f>IFERROR(__xludf.DUMMYFUNCTION("""COMPUTED_VALUE"""),1209.0)</f>
        <v>1209</v>
      </c>
      <c r="E1242" s="9"/>
    </row>
    <row r="1243">
      <c r="A1243" s="11">
        <f>IFERROR(__xludf.DUMMYFUNCTION("""COMPUTED_VALUE"""),2021.0)</f>
        <v>2021</v>
      </c>
      <c r="B1243" s="11">
        <f>IFERROR(__xludf.DUMMYFUNCTION("""COMPUTED_VALUE"""),9.0)</f>
        <v>9</v>
      </c>
      <c r="C1243" s="11">
        <f>IFERROR(__xludf.DUMMYFUNCTION("""COMPUTED_VALUE"""),120044.0)</f>
        <v>120044</v>
      </c>
      <c r="D1243" s="11">
        <f>IFERROR(__xludf.DUMMYFUNCTION("""COMPUTED_VALUE"""),1347.0)</f>
        <v>1347</v>
      </c>
      <c r="E1243" s="9"/>
    </row>
    <row r="1244">
      <c r="A1244" s="11">
        <f>IFERROR(__xludf.DUMMYFUNCTION("""COMPUTED_VALUE"""),2021.0)</f>
        <v>2021</v>
      </c>
      <c r="B1244" s="11">
        <f>IFERROR(__xludf.DUMMYFUNCTION("""COMPUTED_VALUE"""),9.0)</f>
        <v>9</v>
      </c>
      <c r="C1244" s="11">
        <f>IFERROR(__xludf.DUMMYFUNCTION("""COMPUTED_VALUE"""),90973.0)</f>
        <v>90973</v>
      </c>
      <c r="D1244" s="11">
        <f>IFERROR(__xludf.DUMMYFUNCTION("""COMPUTED_VALUE"""),190.0)</f>
        <v>190</v>
      </c>
      <c r="E1244" s="9"/>
    </row>
    <row r="1245">
      <c r="A1245" s="11">
        <f>IFERROR(__xludf.DUMMYFUNCTION("""COMPUTED_VALUE"""),2021.0)</f>
        <v>2021</v>
      </c>
      <c r="B1245" s="11">
        <f>IFERROR(__xludf.DUMMYFUNCTION("""COMPUTED_VALUE"""),10.0)</f>
        <v>10</v>
      </c>
      <c r="C1245" s="11">
        <f>IFERROR(__xludf.DUMMYFUNCTION("""COMPUTED_VALUE"""),103830.0)</f>
        <v>103830</v>
      </c>
      <c r="D1245" s="11">
        <f>IFERROR(__xludf.DUMMYFUNCTION("""COMPUTED_VALUE"""),1729.0)</f>
        <v>1729</v>
      </c>
      <c r="E1245" s="9"/>
    </row>
    <row r="1246">
      <c r="A1246" s="11">
        <f>IFERROR(__xludf.DUMMYFUNCTION("""COMPUTED_VALUE"""),2021.0)</f>
        <v>2021</v>
      </c>
      <c r="B1246" s="11">
        <f>IFERROR(__xludf.DUMMYFUNCTION("""COMPUTED_VALUE"""),11.0)</f>
        <v>11</v>
      </c>
      <c r="C1246" s="11">
        <f>IFERROR(__xludf.DUMMYFUNCTION("""COMPUTED_VALUE"""),111765.0)</f>
        <v>111765</v>
      </c>
      <c r="D1246" s="11">
        <f>IFERROR(__xludf.DUMMYFUNCTION("""COMPUTED_VALUE"""),965.0)</f>
        <v>965</v>
      </c>
      <c r="E1246" s="9"/>
    </row>
    <row r="1247">
      <c r="A1247" s="11">
        <f>IFERROR(__xludf.DUMMYFUNCTION("""COMPUTED_VALUE"""),2021.0)</f>
        <v>2021</v>
      </c>
      <c r="B1247" s="11">
        <f>IFERROR(__xludf.DUMMYFUNCTION("""COMPUTED_VALUE"""),8.0)</f>
        <v>8</v>
      </c>
      <c r="C1247" s="11">
        <f>IFERROR(__xludf.DUMMYFUNCTION("""COMPUTED_VALUE"""),45952.0)</f>
        <v>45952</v>
      </c>
      <c r="D1247" s="11">
        <f>IFERROR(__xludf.DUMMYFUNCTION("""COMPUTED_VALUE"""),782.0)</f>
        <v>782</v>
      </c>
      <c r="E1247" s="9"/>
    </row>
    <row r="1248">
      <c r="A1248" s="11">
        <f>IFERROR(__xludf.DUMMYFUNCTION("""COMPUTED_VALUE"""),2021.0)</f>
        <v>2021</v>
      </c>
      <c r="B1248" s="11">
        <f>IFERROR(__xludf.DUMMYFUNCTION("""COMPUTED_VALUE"""),8.0)</f>
        <v>8</v>
      </c>
      <c r="C1248" s="11">
        <f>IFERROR(__xludf.DUMMYFUNCTION("""COMPUTED_VALUE"""),91749.0)</f>
        <v>91749</v>
      </c>
      <c r="D1248" s="11">
        <f>IFERROR(__xludf.DUMMYFUNCTION("""COMPUTED_VALUE"""),761.0)</f>
        <v>761</v>
      </c>
      <c r="E1248" s="9"/>
    </row>
    <row r="1249">
      <c r="A1249" s="11">
        <f>IFERROR(__xludf.DUMMYFUNCTION("""COMPUTED_VALUE"""),2021.0)</f>
        <v>2021</v>
      </c>
      <c r="B1249" s="11">
        <f>IFERROR(__xludf.DUMMYFUNCTION("""COMPUTED_VALUE"""),8.0)</f>
        <v>8</v>
      </c>
      <c r="C1249" s="11">
        <f>IFERROR(__xludf.DUMMYFUNCTION("""COMPUTED_VALUE"""),120040.0)</f>
        <v>120040</v>
      </c>
      <c r="D1249" s="11">
        <f>IFERROR(__xludf.DUMMYFUNCTION("""COMPUTED_VALUE"""),981.0)</f>
        <v>981</v>
      </c>
      <c r="E1249" s="9"/>
    </row>
    <row r="1250">
      <c r="A1250" s="11">
        <f>IFERROR(__xludf.DUMMYFUNCTION("""COMPUTED_VALUE"""),2021.0)</f>
        <v>2021</v>
      </c>
      <c r="B1250" s="11">
        <f>IFERROR(__xludf.DUMMYFUNCTION("""COMPUTED_VALUE"""),11.0)</f>
        <v>11</v>
      </c>
      <c r="C1250" s="11">
        <f>IFERROR(__xludf.DUMMYFUNCTION("""COMPUTED_VALUE"""),17143.0)</f>
        <v>17143</v>
      </c>
      <c r="D1250" s="11">
        <f>IFERROR(__xludf.DUMMYFUNCTION("""COMPUTED_VALUE"""),742.0)</f>
        <v>742</v>
      </c>
      <c r="E1250" s="9"/>
    </row>
    <row r="1251">
      <c r="A1251" s="11">
        <f>IFERROR(__xludf.DUMMYFUNCTION("""COMPUTED_VALUE"""),2021.0)</f>
        <v>2021</v>
      </c>
      <c r="B1251" s="11">
        <f>IFERROR(__xludf.DUMMYFUNCTION("""COMPUTED_VALUE"""),10.0)</f>
        <v>10</v>
      </c>
      <c r="C1251" s="11">
        <f>IFERROR(__xludf.DUMMYFUNCTION("""COMPUTED_VALUE"""),120515.0)</f>
        <v>120515</v>
      </c>
      <c r="D1251" s="11">
        <f>IFERROR(__xludf.DUMMYFUNCTION("""COMPUTED_VALUE"""),630.0)</f>
        <v>630</v>
      </c>
      <c r="E1251" s="9"/>
    </row>
    <row r="1252">
      <c r="A1252" s="11">
        <f>IFERROR(__xludf.DUMMYFUNCTION("""COMPUTED_VALUE"""),2021.0)</f>
        <v>2021</v>
      </c>
      <c r="B1252" s="11">
        <f>IFERROR(__xludf.DUMMYFUNCTION("""COMPUTED_VALUE"""),9.0)</f>
        <v>9</v>
      </c>
      <c r="C1252" s="11">
        <f>IFERROR(__xludf.DUMMYFUNCTION("""COMPUTED_VALUE"""),120045.0)</f>
        <v>120045</v>
      </c>
      <c r="D1252" s="11">
        <f>IFERROR(__xludf.DUMMYFUNCTION("""COMPUTED_VALUE"""),1142.0)</f>
        <v>1142</v>
      </c>
      <c r="E1252" s="9"/>
    </row>
    <row r="1253">
      <c r="A1253" s="11">
        <f>IFERROR(__xludf.DUMMYFUNCTION("""COMPUTED_VALUE"""),2021.0)</f>
        <v>2021</v>
      </c>
      <c r="B1253" s="11">
        <f>IFERROR(__xludf.DUMMYFUNCTION("""COMPUTED_VALUE"""),8.0)</f>
        <v>8</v>
      </c>
      <c r="C1253" s="11">
        <f>IFERROR(__xludf.DUMMYFUNCTION("""COMPUTED_VALUE"""),122268.0)</f>
        <v>122268</v>
      </c>
      <c r="D1253" s="11">
        <f>IFERROR(__xludf.DUMMYFUNCTION("""COMPUTED_VALUE"""),115.0)</f>
        <v>115</v>
      </c>
      <c r="E1253" s="9"/>
    </row>
    <row r="1254">
      <c r="A1254" s="11">
        <f>IFERROR(__xludf.DUMMYFUNCTION("""COMPUTED_VALUE"""),2021.0)</f>
        <v>2021</v>
      </c>
      <c r="B1254" s="11">
        <f>IFERROR(__xludf.DUMMYFUNCTION("""COMPUTED_VALUE"""),8.0)</f>
        <v>8</v>
      </c>
      <c r="C1254" s="11">
        <f>IFERROR(__xludf.DUMMYFUNCTION("""COMPUTED_VALUE"""),195737.0)</f>
        <v>195737</v>
      </c>
      <c r="D1254" s="11">
        <f>IFERROR(__xludf.DUMMYFUNCTION("""COMPUTED_VALUE"""),722.0)</f>
        <v>722</v>
      </c>
      <c r="E1254" s="9"/>
    </row>
    <row r="1255">
      <c r="A1255" s="11">
        <f>IFERROR(__xludf.DUMMYFUNCTION("""COMPUTED_VALUE"""),2021.0)</f>
        <v>2021</v>
      </c>
      <c r="B1255" s="11">
        <f>IFERROR(__xludf.DUMMYFUNCTION("""COMPUTED_VALUE"""),11.0)</f>
        <v>11</v>
      </c>
      <c r="C1255" s="11">
        <f>IFERROR(__xludf.DUMMYFUNCTION("""COMPUTED_VALUE"""),78759.0)</f>
        <v>78759</v>
      </c>
      <c r="D1255" s="11">
        <f>IFERROR(__xludf.DUMMYFUNCTION("""COMPUTED_VALUE"""),1372.0)</f>
        <v>1372</v>
      </c>
      <c r="E1255" s="9"/>
    </row>
    <row r="1256">
      <c r="A1256" s="11">
        <f>IFERROR(__xludf.DUMMYFUNCTION("""COMPUTED_VALUE"""),2021.0)</f>
        <v>2021</v>
      </c>
      <c r="B1256" s="11">
        <f>IFERROR(__xludf.DUMMYFUNCTION("""COMPUTED_VALUE"""),9.0)</f>
        <v>9</v>
      </c>
      <c r="C1256" s="11">
        <f>IFERROR(__xludf.DUMMYFUNCTION("""COMPUTED_VALUE"""),8857.0)</f>
        <v>8857</v>
      </c>
      <c r="D1256" s="11">
        <f>IFERROR(__xludf.DUMMYFUNCTION("""COMPUTED_VALUE"""),1025.0)</f>
        <v>1025</v>
      </c>
      <c r="E1256" s="9"/>
    </row>
    <row r="1257">
      <c r="A1257" s="11">
        <f>IFERROR(__xludf.DUMMYFUNCTION("""COMPUTED_VALUE"""),2021.0)</f>
        <v>2021</v>
      </c>
      <c r="B1257" s="11">
        <f>IFERROR(__xludf.DUMMYFUNCTION("""COMPUTED_VALUE"""),8.0)</f>
        <v>8</v>
      </c>
      <c r="C1257" s="11">
        <f>IFERROR(__xludf.DUMMYFUNCTION("""COMPUTED_VALUE"""),8860.0)</f>
        <v>8860</v>
      </c>
      <c r="D1257" s="11">
        <f>IFERROR(__xludf.DUMMYFUNCTION("""COMPUTED_VALUE"""),716.0)</f>
        <v>716</v>
      </c>
      <c r="E1257" s="9"/>
    </row>
    <row r="1258">
      <c r="A1258" s="11">
        <f>IFERROR(__xludf.DUMMYFUNCTION("""COMPUTED_VALUE"""),2021.0)</f>
        <v>2021</v>
      </c>
      <c r="B1258" s="11">
        <f>IFERROR(__xludf.DUMMYFUNCTION("""COMPUTED_VALUE"""),10.0)</f>
        <v>10</v>
      </c>
      <c r="C1258" s="11">
        <f>IFERROR(__xludf.DUMMYFUNCTION("""COMPUTED_VALUE"""),182790.0)</f>
        <v>182790</v>
      </c>
      <c r="D1258" s="11">
        <f>IFERROR(__xludf.DUMMYFUNCTION("""COMPUTED_VALUE"""),1721.0)</f>
        <v>1721</v>
      </c>
      <c r="E1258" s="9"/>
    </row>
    <row r="1259">
      <c r="A1259" s="11">
        <f>IFERROR(__xludf.DUMMYFUNCTION("""COMPUTED_VALUE"""),2021.0)</f>
        <v>2021</v>
      </c>
      <c r="B1259" s="11">
        <f>IFERROR(__xludf.DUMMYFUNCTION("""COMPUTED_VALUE"""),8.0)</f>
        <v>8</v>
      </c>
      <c r="C1259" s="11">
        <f>IFERROR(__xludf.DUMMYFUNCTION("""COMPUTED_VALUE"""),120042.0)</f>
        <v>120042</v>
      </c>
      <c r="D1259" s="11">
        <f>IFERROR(__xludf.DUMMYFUNCTION("""COMPUTED_VALUE"""),1221.0)</f>
        <v>1221</v>
      </c>
      <c r="E1259" s="9"/>
    </row>
    <row r="1260">
      <c r="A1260" s="11">
        <f>IFERROR(__xludf.DUMMYFUNCTION("""COMPUTED_VALUE"""),2021.0)</f>
        <v>2021</v>
      </c>
      <c r="B1260" s="11">
        <f>IFERROR(__xludf.DUMMYFUNCTION("""COMPUTED_VALUE"""),8.0)</f>
        <v>8</v>
      </c>
      <c r="C1260" s="11">
        <f>IFERROR(__xludf.DUMMYFUNCTION("""COMPUTED_VALUE"""),114941.0)</f>
        <v>114941</v>
      </c>
      <c r="D1260" s="11">
        <f>IFERROR(__xludf.DUMMYFUNCTION("""COMPUTED_VALUE"""),1485.0)</f>
        <v>1485</v>
      </c>
      <c r="E1260" s="9"/>
    </row>
    <row r="1261">
      <c r="A1261" s="11">
        <f>IFERROR(__xludf.DUMMYFUNCTION("""COMPUTED_VALUE"""),2021.0)</f>
        <v>2021</v>
      </c>
      <c r="B1261" s="11">
        <f>IFERROR(__xludf.DUMMYFUNCTION("""COMPUTED_VALUE"""),10.0)</f>
        <v>10</v>
      </c>
      <c r="C1261" s="11">
        <f>IFERROR(__xludf.DUMMYFUNCTION("""COMPUTED_VALUE"""),108473.0)</f>
        <v>108473</v>
      </c>
      <c r="D1261" s="11">
        <f>IFERROR(__xludf.DUMMYFUNCTION("""COMPUTED_VALUE"""),1210.0)</f>
        <v>1210</v>
      </c>
      <c r="E1261" s="9"/>
    </row>
    <row r="1262">
      <c r="A1262" s="11">
        <f>IFERROR(__xludf.DUMMYFUNCTION("""COMPUTED_VALUE"""),2021.0)</f>
        <v>2021</v>
      </c>
      <c r="B1262" s="11">
        <f>IFERROR(__xludf.DUMMYFUNCTION("""COMPUTED_VALUE"""),9.0)</f>
        <v>9</v>
      </c>
      <c r="C1262" s="11">
        <f>IFERROR(__xludf.DUMMYFUNCTION("""COMPUTED_VALUE"""),90968.0)</f>
        <v>90968</v>
      </c>
      <c r="D1262" s="11">
        <f>IFERROR(__xludf.DUMMYFUNCTION("""COMPUTED_VALUE"""),644.0)</f>
        <v>644</v>
      </c>
      <c r="E1262" s="9"/>
    </row>
    <row r="1263">
      <c r="A1263" s="11">
        <f>IFERROR(__xludf.DUMMYFUNCTION("""COMPUTED_VALUE"""),2021.0)</f>
        <v>2021</v>
      </c>
      <c r="B1263" s="11">
        <f>IFERROR(__xludf.DUMMYFUNCTION("""COMPUTED_VALUE"""),10.0)</f>
        <v>10</v>
      </c>
      <c r="C1263" s="11">
        <f>IFERROR(__xludf.DUMMYFUNCTION("""COMPUTED_VALUE"""),114929.0)</f>
        <v>114929</v>
      </c>
      <c r="D1263" s="11">
        <f>IFERROR(__xludf.DUMMYFUNCTION("""COMPUTED_VALUE"""),882.0)</f>
        <v>882</v>
      </c>
      <c r="E1263" s="9"/>
    </row>
    <row r="1264">
      <c r="A1264" s="11">
        <f>IFERROR(__xludf.DUMMYFUNCTION("""COMPUTED_VALUE"""),2021.0)</f>
        <v>2021</v>
      </c>
      <c r="B1264" s="11">
        <f>IFERROR(__xludf.DUMMYFUNCTION("""COMPUTED_VALUE"""),10.0)</f>
        <v>10</v>
      </c>
      <c r="C1264" s="11">
        <f>IFERROR(__xludf.DUMMYFUNCTION("""COMPUTED_VALUE"""),68868.0)</f>
        <v>68868</v>
      </c>
      <c r="D1264" s="11">
        <f>IFERROR(__xludf.DUMMYFUNCTION("""COMPUTED_VALUE"""),521.0)</f>
        <v>521</v>
      </c>
      <c r="E1264" s="9"/>
    </row>
    <row r="1265">
      <c r="A1265" s="11">
        <f>IFERROR(__xludf.DUMMYFUNCTION("""COMPUTED_VALUE"""),2021.0)</f>
        <v>2021</v>
      </c>
      <c r="B1265" s="11">
        <f>IFERROR(__xludf.DUMMYFUNCTION("""COMPUTED_VALUE"""),10.0)</f>
        <v>10</v>
      </c>
      <c r="C1265" s="11">
        <f>IFERROR(__xludf.DUMMYFUNCTION("""COMPUTED_VALUE"""),103831.0)</f>
        <v>103831</v>
      </c>
      <c r="D1265" s="11">
        <f>IFERROR(__xludf.DUMMYFUNCTION("""COMPUTED_VALUE"""),652.0)</f>
        <v>652</v>
      </c>
      <c r="E1265" s="9"/>
    </row>
    <row r="1266">
      <c r="A1266" s="11">
        <f>IFERROR(__xludf.DUMMYFUNCTION("""COMPUTED_VALUE"""),2021.0)</f>
        <v>2021</v>
      </c>
      <c r="B1266" s="11">
        <f>IFERROR(__xludf.DUMMYFUNCTION("""COMPUTED_VALUE"""),8.0)</f>
        <v>8</v>
      </c>
      <c r="C1266" s="11">
        <f>IFERROR(__xludf.DUMMYFUNCTION("""COMPUTED_VALUE"""),83272.0)</f>
        <v>83272</v>
      </c>
      <c r="D1266" s="11">
        <f>IFERROR(__xludf.DUMMYFUNCTION("""COMPUTED_VALUE"""),124.0)</f>
        <v>124</v>
      </c>
      <c r="E1266" s="9"/>
    </row>
    <row r="1267">
      <c r="A1267" s="11">
        <f>IFERROR(__xludf.DUMMYFUNCTION("""COMPUTED_VALUE"""),2021.0)</f>
        <v>2021</v>
      </c>
      <c r="B1267" s="11">
        <f>IFERROR(__xludf.DUMMYFUNCTION("""COMPUTED_VALUE"""),9.0)</f>
        <v>9</v>
      </c>
      <c r="C1267" s="11">
        <f>IFERROR(__xludf.DUMMYFUNCTION("""COMPUTED_VALUE"""),120046.0)</f>
        <v>120046</v>
      </c>
      <c r="D1267" s="11">
        <f>IFERROR(__xludf.DUMMYFUNCTION("""COMPUTED_VALUE"""),1840.0)</f>
        <v>1840</v>
      </c>
      <c r="E1267" s="9"/>
    </row>
    <row r="1268">
      <c r="A1268" s="11">
        <f>IFERROR(__xludf.DUMMYFUNCTION("""COMPUTED_VALUE"""),2021.0)</f>
        <v>2021</v>
      </c>
      <c r="B1268" s="11">
        <f>IFERROR(__xludf.DUMMYFUNCTION("""COMPUTED_VALUE"""),10.0)</f>
        <v>10</v>
      </c>
      <c r="C1268" s="11">
        <f>IFERROR(__xludf.DUMMYFUNCTION("""COMPUTED_VALUE"""),181989.0)</f>
        <v>181989</v>
      </c>
      <c r="D1268" s="11">
        <f>IFERROR(__xludf.DUMMYFUNCTION("""COMPUTED_VALUE"""),1354.0)</f>
        <v>1354</v>
      </c>
      <c r="E1268" s="9"/>
    </row>
    <row r="1269">
      <c r="A1269" s="11">
        <f>IFERROR(__xludf.DUMMYFUNCTION("""COMPUTED_VALUE"""),2021.0)</f>
        <v>2021</v>
      </c>
      <c r="B1269" s="11">
        <f>IFERROR(__xludf.DUMMYFUNCTION("""COMPUTED_VALUE"""),9.0)</f>
        <v>9</v>
      </c>
      <c r="C1269" s="11">
        <f>IFERROR(__xludf.DUMMYFUNCTION("""COMPUTED_VALUE"""),84359.0)</f>
        <v>84359</v>
      </c>
      <c r="D1269" s="11">
        <f>IFERROR(__xludf.DUMMYFUNCTION("""COMPUTED_VALUE"""),764.0)</f>
        <v>764</v>
      </c>
      <c r="E1269" s="9"/>
    </row>
    <row r="1270">
      <c r="A1270" s="11">
        <f>IFERROR(__xludf.DUMMYFUNCTION("""COMPUTED_VALUE"""),2021.0)</f>
        <v>2021</v>
      </c>
      <c r="B1270" s="11">
        <f>IFERROR(__xludf.DUMMYFUNCTION("""COMPUTED_VALUE"""),8.0)</f>
        <v>8</v>
      </c>
      <c r="C1270" s="11">
        <f>IFERROR(__xludf.DUMMYFUNCTION("""COMPUTED_VALUE"""),102939.0)</f>
        <v>102939</v>
      </c>
      <c r="D1270" s="11">
        <f>IFERROR(__xludf.DUMMYFUNCTION("""COMPUTED_VALUE"""),522.0)</f>
        <v>522</v>
      </c>
      <c r="E1270" s="9"/>
    </row>
    <row r="1271">
      <c r="A1271" s="11">
        <f>IFERROR(__xludf.DUMMYFUNCTION("""COMPUTED_VALUE"""),2021.0)</f>
        <v>2021</v>
      </c>
      <c r="B1271" s="11">
        <f>IFERROR(__xludf.DUMMYFUNCTION("""COMPUTED_VALUE"""),8.0)</f>
        <v>8</v>
      </c>
      <c r="C1271" s="11">
        <f>IFERROR(__xludf.DUMMYFUNCTION("""COMPUTED_VALUE"""),111504.0)</f>
        <v>111504</v>
      </c>
      <c r="D1271" s="11">
        <f>IFERROR(__xludf.DUMMYFUNCTION("""COMPUTED_VALUE"""),383.0)</f>
        <v>383</v>
      </c>
      <c r="E1271" s="9"/>
    </row>
    <row r="1272">
      <c r="A1272" s="11">
        <f>IFERROR(__xludf.DUMMYFUNCTION("""COMPUTED_VALUE"""),2021.0)</f>
        <v>2021</v>
      </c>
      <c r="B1272" s="11">
        <f>IFERROR(__xludf.DUMMYFUNCTION("""COMPUTED_VALUE"""),10.0)</f>
        <v>10</v>
      </c>
      <c r="C1272" s="11">
        <f>IFERROR(__xludf.DUMMYFUNCTION("""COMPUTED_VALUE"""),75678.0)</f>
        <v>75678</v>
      </c>
      <c r="D1272" s="11">
        <f>IFERROR(__xludf.DUMMYFUNCTION("""COMPUTED_VALUE"""),983.0)</f>
        <v>983</v>
      </c>
      <c r="E1272" s="9"/>
    </row>
    <row r="1273">
      <c r="A1273" s="11">
        <f>IFERROR(__xludf.DUMMYFUNCTION("""COMPUTED_VALUE"""),2021.0)</f>
        <v>2021</v>
      </c>
      <c r="B1273" s="11">
        <f>IFERROR(__xludf.DUMMYFUNCTION("""COMPUTED_VALUE"""),11.0)</f>
        <v>11</v>
      </c>
      <c r="C1273" s="11">
        <f>IFERROR(__xludf.DUMMYFUNCTION("""COMPUTED_VALUE"""),79005.0)</f>
        <v>79005</v>
      </c>
      <c r="D1273" s="11">
        <f>IFERROR(__xludf.DUMMYFUNCTION("""COMPUTED_VALUE"""),684.0)</f>
        <v>684</v>
      </c>
      <c r="E1273" s="9"/>
    </row>
    <row r="1274">
      <c r="A1274" s="11">
        <f>IFERROR(__xludf.DUMMYFUNCTION("""COMPUTED_VALUE"""),2021.0)</f>
        <v>2021</v>
      </c>
      <c r="B1274" s="11">
        <f>IFERROR(__xludf.DUMMYFUNCTION("""COMPUTED_VALUE"""),8.0)</f>
        <v>8</v>
      </c>
      <c r="C1274" s="11">
        <f>IFERROR(__xludf.DUMMYFUNCTION("""COMPUTED_VALUE"""),188360.0)</f>
        <v>188360</v>
      </c>
      <c r="D1274" s="11">
        <f>IFERROR(__xludf.DUMMYFUNCTION("""COMPUTED_VALUE"""),343.0)</f>
        <v>343</v>
      </c>
      <c r="E1274" s="9"/>
    </row>
    <row r="1275">
      <c r="A1275" s="11">
        <f>IFERROR(__xludf.DUMMYFUNCTION("""COMPUTED_VALUE"""),2021.0)</f>
        <v>2021</v>
      </c>
      <c r="B1275" s="11">
        <f>IFERROR(__xludf.DUMMYFUNCTION("""COMPUTED_VALUE"""),10.0)</f>
        <v>10</v>
      </c>
      <c r="C1275" s="11">
        <f>IFERROR(__xludf.DUMMYFUNCTION("""COMPUTED_VALUE"""),79695.0)</f>
        <v>79695</v>
      </c>
      <c r="D1275" s="11">
        <f>IFERROR(__xludf.DUMMYFUNCTION("""COMPUTED_VALUE"""),1744.0)</f>
        <v>1744</v>
      </c>
      <c r="E1275" s="9"/>
    </row>
    <row r="1276">
      <c r="A1276" s="11">
        <f>IFERROR(__xludf.DUMMYFUNCTION("""COMPUTED_VALUE"""),2021.0)</f>
        <v>2021</v>
      </c>
      <c r="B1276" s="11">
        <f>IFERROR(__xludf.DUMMYFUNCTION("""COMPUTED_VALUE"""),9.0)</f>
        <v>9</v>
      </c>
      <c r="C1276" s="11">
        <f>IFERROR(__xludf.DUMMYFUNCTION("""COMPUTED_VALUE"""),73768.0)</f>
        <v>73768</v>
      </c>
      <c r="D1276" s="11">
        <f>IFERROR(__xludf.DUMMYFUNCTION("""COMPUTED_VALUE"""),34.0)</f>
        <v>34</v>
      </c>
      <c r="E1276" s="9"/>
    </row>
    <row r="1277">
      <c r="A1277" s="11">
        <f>IFERROR(__xludf.DUMMYFUNCTION("""COMPUTED_VALUE"""),2021.0)</f>
        <v>2021</v>
      </c>
      <c r="B1277" s="11">
        <f>IFERROR(__xludf.DUMMYFUNCTION("""COMPUTED_VALUE"""),11.0)</f>
        <v>11</v>
      </c>
      <c r="C1277" s="11">
        <f>IFERROR(__xludf.DUMMYFUNCTION("""COMPUTED_VALUE"""),44663.0)</f>
        <v>44663</v>
      </c>
      <c r="D1277" s="11">
        <f>IFERROR(__xludf.DUMMYFUNCTION("""COMPUTED_VALUE"""),1226.0)</f>
        <v>1226</v>
      </c>
      <c r="E1277" s="9"/>
    </row>
    <row r="1278">
      <c r="A1278" s="11">
        <f>IFERROR(__xludf.DUMMYFUNCTION("""COMPUTED_VALUE"""),2021.0)</f>
        <v>2021</v>
      </c>
      <c r="B1278" s="11">
        <f>IFERROR(__xludf.DUMMYFUNCTION("""COMPUTED_VALUE"""),10.0)</f>
        <v>10</v>
      </c>
      <c r="C1278" s="11">
        <f>IFERROR(__xludf.DUMMYFUNCTION("""COMPUTED_VALUE"""),766.0)</f>
        <v>766</v>
      </c>
      <c r="D1278" s="11">
        <f>IFERROR(__xludf.DUMMYFUNCTION("""COMPUTED_VALUE"""),1036.0)</f>
        <v>1036</v>
      </c>
      <c r="E1278" s="9"/>
    </row>
    <row r="1279">
      <c r="A1279" s="11">
        <f>IFERROR(__xludf.DUMMYFUNCTION("""COMPUTED_VALUE"""),2021.0)</f>
        <v>2021</v>
      </c>
      <c r="B1279" s="11">
        <f>IFERROR(__xludf.DUMMYFUNCTION("""COMPUTED_VALUE"""),10.0)</f>
        <v>10</v>
      </c>
      <c r="C1279" s="11">
        <f>IFERROR(__xludf.DUMMYFUNCTION("""COMPUTED_VALUE"""),109961.0)</f>
        <v>109961</v>
      </c>
      <c r="D1279" s="11">
        <f>IFERROR(__xludf.DUMMYFUNCTION("""COMPUTED_VALUE"""),1776.0)</f>
        <v>1776</v>
      </c>
      <c r="E1279" s="9"/>
    </row>
    <row r="1280">
      <c r="A1280" s="11">
        <f>IFERROR(__xludf.DUMMYFUNCTION("""COMPUTED_VALUE"""),2021.0)</f>
        <v>2021</v>
      </c>
      <c r="B1280" s="11">
        <f>IFERROR(__xludf.DUMMYFUNCTION("""COMPUTED_VALUE"""),11.0)</f>
        <v>11</v>
      </c>
      <c r="C1280" s="11">
        <f>IFERROR(__xludf.DUMMYFUNCTION("""COMPUTED_VALUE"""),109932.0)</f>
        <v>109932</v>
      </c>
      <c r="D1280" s="11">
        <f>IFERROR(__xludf.DUMMYFUNCTION("""COMPUTED_VALUE"""),605.0)</f>
        <v>605</v>
      </c>
      <c r="E1280" s="9"/>
    </row>
    <row r="1281">
      <c r="A1281" s="11">
        <f>IFERROR(__xludf.DUMMYFUNCTION("""COMPUTED_VALUE"""),2021.0)</f>
        <v>2021</v>
      </c>
      <c r="B1281" s="11">
        <f>IFERROR(__xludf.DUMMYFUNCTION("""COMPUTED_VALUE"""),10.0)</f>
        <v>10</v>
      </c>
      <c r="C1281" s="11">
        <f>IFERROR(__xludf.DUMMYFUNCTION("""COMPUTED_VALUE"""),109956.0)</f>
        <v>109956</v>
      </c>
      <c r="D1281" s="11">
        <f>IFERROR(__xludf.DUMMYFUNCTION("""COMPUTED_VALUE"""),808.0)</f>
        <v>808</v>
      </c>
      <c r="E1281" s="9"/>
    </row>
    <row r="1282">
      <c r="A1282" s="11">
        <f>IFERROR(__xludf.DUMMYFUNCTION("""COMPUTED_VALUE"""),2021.0)</f>
        <v>2021</v>
      </c>
      <c r="B1282" s="11">
        <f>IFERROR(__xludf.DUMMYFUNCTION("""COMPUTED_VALUE"""),8.0)</f>
        <v>8</v>
      </c>
      <c r="C1282" s="11">
        <f>IFERROR(__xludf.DUMMYFUNCTION("""COMPUTED_VALUE"""),109962.0)</f>
        <v>109962</v>
      </c>
      <c r="D1282" s="11">
        <f>IFERROR(__xludf.DUMMYFUNCTION("""COMPUTED_VALUE"""),81.0)</f>
        <v>81</v>
      </c>
      <c r="E1282" s="9"/>
    </row>
    <row r="1283">
      <c r="A1283" s="11">
        <f>IFERROR(__xludf.DUMMYFUNCTION("""COMPUTED_VALUE"""),2021.0)</f>
        <v>2021</v>
      </c>
      <c r="B1283" s="11">
        <f>IFERROR(__xludf.DUMMYFUNCTION("""COMPUTED_VALUE"""),9.0)</f>
        <v>9</v>
      </c>
      <c r="C1283" s="11">
        <f>IFERROR(__xludf.DUMMYFUNCTION("""COMPUTED_VALUE"""),101622.0)</f>
        <v>101622</v>
      </c>
      <c r="D1283" s="11">
        <f>IFERROR(__xludf.DUMMYFUNCTION("""COMPUTED_VALUE"""),1536.0)</f>
        <v>1536</v>
      </c>
      <c r="E1283" s="9"/>
    </row>
    <row r="1284">
      <c r="A1284" s="11">
        <f>IFERROR(__xludf.DUMMYFUNCTION("""COMPUTED_VALUE"""),2021.0)</f>
        <v>2021</v>
      </c>
      <c r="B1284" s="11">
        <f>IFERROR(__xludf.DUMMYFUNCTION("""COMPUTED_VALUE"""),10.0)</f>
        <v>10</v>
      </c>
      <c r="C1284" s="11">
        <f>IFERROR(__xludf.DUMMYFUNCTION("""COMPUTED_VALUE"""),101623.0)</f>
        <v>101623</v>
      </c>
      <c r="D1284" s="11">
        <f>IFERROR(__xludf.DUMMYFUNCTION("""COMPUTED_VALUE"""),1566.0)</f>
        <v>1566</v>
      </c>
      <c r="E1284" s="9"/>
    </row>
    <row r="1285">
      <c r="A1285" s="11">
        <f>IFERROR(__xludf.DUMMYFUNCTION("""COMPUTED_VALUE"""),2021.0)</f>
        <v>2021</v>
      </c>
      <c r="B1285" s="11">
        <f>IFERROR(__xludf.DUMMYFUNCTION("""COMPUTED_VALUE"""),10.0)</f>
        <v>10</v>
      </c>
      <c r="C1285" s="11">
        <f>IFERROR(__xludf.DUMMYFUNCTION("""COMPUTED_VALUE"""),4513.0)</f>
        <v>4513</v>
      </c>
      <c r="D1285" s="11">
        <f>IFERROR(__xludf.DUMMYFUNCTION("""COMPUTED_VALUE"""),907.0)</f>
        <v>907</v>
      </c>
      <c r="E1285" s="9"/>
    </row>
    <row r="1286">
      <c r="A1286" s="11">
        <f>IFERROR(__xludf.DUMMYFUNCTION("""COMPUTED_VALUE"""),2021.0)</f>
        <v>2021</v>
      </c>
      <c r="B1286" s="11">
        <f>IFERROR(__xludf.DUMMYFUNCTION("""COMPUTED_VALUE"""),11.0)</f>
        <v>11</v>
      </c>
      <c r="C1286" s="11">
        <f>IFERROR(__xludf.DUMMYFUNCTION("""COMPUTED_VALUE"""),24648.0)</f>
        <v>24648</v>
      </c>
      <c r="D1286" s="11">
        <f>IFERROR(__xludf.DUMMYFUNCTION("""COMPUTED_VALUE"""),1284.0)</f>
        <v>1284</v>
      </c>
      <c r="E1286" s="9"/>
    </row>
    <row r="1287">
      <c r="A1287" s="11">
        <f>IFERROR(__xludf.DUMMYFUNCTION("""COMPUTED_VALUE"""),2021.0)</f>
        <v>2021</v>
      </c>
      <c r="B1287" s="11">
        <f>IFERROR(__xludf.DUMMYFUNCTION("""COMPUTED_VALUE"""),10.0)</f>
        <v>10</v>
      </c>
      <c r="C1287" s="11">
        <f>IFERROR(__xludf.DUMMYFUNCTION("""COMPUTED_VALUE"""),16386.0)</f>
        <v>16386</v>
      </c>
      <c r="D1287" s="11">
        <f>IFERROR(__xludf.DUMMYFUNCTION("""COMPUTED_VALUE"""),1570.0)</f>
        <v>1570</v>
      </c>
      <c r="E1287" s="9"/>
    </row>
    <row r="1288">
      <c r="A1288" s="11">
        <f>IFERROR(__xludf.DUMMYFUNCTION("""COMPUTED_VALUE"""),2021.0)</f>
        <v>2021</v>
      </c>
      <c r="B1288" s="11">
        <f>IFERROR(__xludf.DUMMYFUNCTION("""COMPUTED_VALUE"""),10.0)</f>
        <v>10</v>
      </c>
      <c r="C1288" s="11">
        <f>IFERROR(__xludf.DUMMYFUNCTION("""COMPUTED_VALUE"""),16383.0)</f>
        <v>16383</v>
      </c>
      <c r="D1288" s="11">
        <f>IFERROR(__xludf.DUMMYFUNCTION("""COMPUTED_VALUE"""),1587.0)</f>
        <v>1587</v>
      </c>
      <c r="E1288" s="9"/>
    </row>
    <row r="1289">
      <c r="A1289" s="11">
        <f>IFERROR(__xludf.DUMMYFUNCTION("""COMPUTED_VALUE"""),2021.0)</f>
        <v>2021</v>
      </c>
      <c r="B1289" s="11">
        <f>IFERROR(__xludf.DUMMYFUNCTION("""COMPUTED_VALUE"""),11.0)</f>
        <v>11</v>
      </c>
      <c r="C1289" s="11">
        <f>IFERROR(__xludf.DUMMYFUNCTION("""COMPUTED_VALUE"""),113588.0)</f>
        <v>113588</v>
      </c>
      <c r="D1289" s="11">
        <f>IFERROR(__xludf.DUMMYFUNCTION("""COMPUTED_VALUE"""),1929.0)</f>
        <v>1929</v>
      </c>
      <c r="E1289" s="9"/>
    </row>
    <row r="1290">
      <c r="A1290" s="11">
        <f>IFERROR(__xludf.DUMMYFUNCTION("""COMPUTED_VALUE"""),2021.0)</f>
        <v>2021</v>
      </c>
      <c r="B1290" s="11">
        <f>IFERROR(__xludf.DUMMYFUNCTION("""COMPUTED_VALUE"""),11.0)</f>
        <v>11</v>
      </c>
      <c r="C1290" s="11">
        <f>IFERROR(__xludf.DUMMYFUNCTION("""COMPUTED_VALUE"""),99392.0)</f>
        <v>99392</v>
      </c>
      <c r="D1290" s="11">
        <f>IFERROR(__xludf.DUMMYFUNCTION("""COMPUTED_VALUE"""),906.0)</f>
        <v>906</v>
      </c>
      <c r="E1290" s="9"/>
    </row>
    <row r="1291">
      <c r="A1291" s="11">
        <f>IFERROR(__xludf.DUMMYFUNCTION("""COMPUTED_VALUE"""),2021.0)</f>
        <v>2021</v>
      </c>
      <c r="B1291" s="11">
        <f>IFERROR(__xludf.DUMMYFUNCTION("""COMPUTED_VALUE"""),9.0)</f>
        <v>9</v>
      </c>
      <c r="C1291" s="11">
        <f>IFERROR(__xludf.DUMMYFUNCTION("""COMPUTED_VALUE"""),99412.0)</f>
        <v>99412</v>
      </c>
      <c r="D1291" s="11">
        <f>IFERROR(__xludf.DUMMYFUNCTION("""COMPUTED_VALUE"""),1100.0)</f>
        <v>1100</v>
      </c>
      <c r="E1291" s="9"/>
    </row>
    <row r="1292">
      <c r="A1292" s="11">
        <f>IFERROR(__xludf.DUMMYFUNCTION("""COMPUTED_VALUE"""),2021.0)</f>
        <v>2021</v>
      </c>
      <c r="B1292" s="11">
        <f>IFERROR(__xludf.DUMMYFUNCTION("""COMPUTED_VALUE"""),11.0)</f>
        <v>11</v>
      </c>
      <c r="C1292" s="11">
        <f>IFERROR(__xludf.DUMMYFUNCTION("""COMPUTED_VALUE"""),25306.0)</f>
        <v>25306</v>
      </c>
      <c r="D1292" s="11">
        <f>IFERROR(__xludf.DUMMYFUNCTION("""COMPUTED_VALUE"""),749.0)</f>
        <v>749</v>
      </c>
      <c r="E1292" s="9"/>
    </row>
    <row r="1293">
      <c r="A1293" s="11">
        <f>IFERROR(__xludf.DUMMYFUNCTION("""COMPUTED_VALUE"""),2021.0)</f>
        <v>2021</v>
      </c>
      <c r="B1293" s="11">
        <f>IFERROR(__xludf.DUMMYFUNCTION("""COMPUTED_VALUE"""),8.0)</f>
        <v>8</v>
      </c>
      <c r="C1293" s="11">
        <f>IFERROR(__xludf.DUMMYFUNCTION("""COMPUTED_VALUE"""),99399.0)</f>
        <v>99399</v>
      </c>
      <c r="D1293" s="11">
        <f>IFERROR(__xludf.DUMMYFUNCTION("""COMPUTED_VALUE"""),1816.0)</f>
        <v>1816</v>
      </c>
      <c r="E1293" s="9"/>
    </row>
    <row r="1294">
      <c r="A1294" s="11">
        <f>IFERROR(__xludf.DUMMYFUNCTION("""COMPUTED_VALUE"""),2021.0)</f>
        <v>2021</v>
      </c>
      <c r="B1294" s="11">
        <f>IFERROR(__xludf.DUMMYFUNCTION("""COMPUTED_VALUE"""),8.0)</f>
        <v>8</v>
      </c>
      <c r="C1294" s="11">
        <f>IFERROR(__xludf.DUMMYFUNCTION("""COMPUTED_VALUE"""),25304.0)</f>
        <v>25304</v>
      </c>
      <c r="D1294" s="11">
        <f>IFERROR(__xludf.DUMMYFUNCTION("""COMPUTED_VALUE"""),986.0)</f>
        <v>986</v>
      </c>
      <c r="E1294" s="9"/>
    </row>
    <row r="1295">
      <c r="A1295" s="11">
        <f>IFERROR(__xludf.DUMMYFUNCTION("""COMPUTED_VALUE"""),2021.0)</f>
        <v>2021</v>
      </c>
      <c r="B1295" s="11">
        <f>IFERROR(__xludf.DUMMYFUNCTION("""COMPUTED_VALUE"""),8.0)</f>
        <v>8</v>
      </c>
      <c r="C1295" s="11">
        <f>IFERROR(__xludf.DUMMYFUNCTION("""COMPUTED_VALUE"""),99400.0)</f>
        <v>99400</v>
      </c>
      <c r="D1295" s="11">
        <f>IFERROR(__xludf.DUMMYFUNCTION("""COMPUTED_VALUE"""),536.0)</f>
        <v>536</v>
      </c>
      <c r="E1295" s="9"/>
    </row>
    <row r="1296">
      <c r="A1296" s="11">
        <f>IFERROR(__xludf.DUMMYFUNCTION("""COMPUTED_VALUE"""),2021.0)</f>
        <v>2021</v>
      </c>
      <c r="B1296" s="11">
        <f>IFERROR(__xludf.DUMMYFUNCTION("""COMPUTED_VALUE"""),9.0)</f>
        <v>9</v>
      </c>
      <c r="C1296" s="11">
        <f>IFERROR(__xludf.DUMMYFUNCTION("""COMPUTED_VALUE"""),80484.0)</f>
        <v>80484</v>
      </c>
      <c r="D1296" s="11">
        <f>IFERROR(__xludf.DUMMYFUNCTION("""COMPUTED_VALUE"""),922.0)</f>
        <v>922</v>
      </c>
      <c r="E1296" s="9"/>
    </row>
    <row r="1297">
      <c r="A1297" s="11">
        <f>IFERROR(__xludf.DUMMYFUNCTION("""COMPUTED_VALUE"""),2021.0)</f>
        <v>2021</v>
      </c>
      <c r="B1297" s="11">
        <f>IFERROR(__xludf.DUMMYFUNCTION("""COMPUTED_VALUE"""),9.0)</f>
        <v>9</v>
      </c>
      <c r="C1297" s="11">
        <f>IFERROR(__xludf.DUMMYFUNCTION("""COMPUTED_VALUE"""),14477.0)</f>
        <v>14477</v>
      </c>
      <c r="D1297" s="11">
        <f>IFERROR(__xludf.DUMMYFUNCTION("""COMPUTED_VALUE"""),1730.0)</f>
        <v>1730</v>
      </c>
      <c r="E1297" s="9"/>
    </row>
    <row r="1298">
      <c r="A1298" s="11">
        <f>IFERROR(__xludf.DUMMYFUNCTION("""COMPUTED_VALUE"""),2021.0)</f>
        <v>2021</v>
      </c>
      <c r="B1298" s="11">
        <f>IFERROR(__xludf.DUMMYFUNCTION("""COMPUTED_VALUE"""),8.0)</f>
        <v>8</v>
      </c>
      <c r="C1298" s="11">
        <f>IFERROR(__xludf.DUMMYFUNCTION("""COMPUTED_VALUE"""),95056.0)</f>
        <v>95056</v>
      </c>
      <c r="D1298" s="11">
        <f>IFERROR(__xludf.DUMMYFUNCTION("""COMPUTED_VALUE"""),134.0)</f>
        <v>134</v>
      </c>
      <c r="E1298" s="9"/>
    </row>
    <row r="1299">
      <c r="A1299" s="11">
        <f>IFERROR(__xludf.DUMMYFUNCTION("""COMPUTED_VALUE"""),2021.0)</f>
        <v>2021</v>
      </c>
      <c r="B1299" s="11">
        <f>IFERROR(__xludf.DUMMYFUNCTION("""COMPUTED_VALUE"""),10.0)</f>
        <v>10</v>
      </c>
      <c r="C1299" s="11">
        <f>IFERROR(__xludf.DUMMYFUNCTION("""COMPUTED_VALUE"""),78519.0)</f>
        <v>78519</v>
      </c>
      <c r="D1299" s="11">
        <f>IFERROR(__xludf.DUMMYFUNCTION("""COMPUTED_VALUE"""),1383.0)</f>
        <v>1383</v>
      </c>
      <c r="E1299" s="9"/>
    </row>
    <row r="1300">
      <c r="A1300" s="11">
        <f>IFERROR(__xludf.DUMMYFUNCTION("""COMPUTED_VALUE"""),2021.0)</f>
        <v>2021</v>
      </c>
      <c r="B1300" s="11">
        <f>IFERROR(__xludf.DUMMYFUNCTION("""COMPUTED_VALUE"""),9.0)</f>
        <v>9</v>
      </c>
      <c r="C1300" s="11">
        <f>IFERROR(__xludf.DUMMYFUNCTION("""COMPUTED_VALUE"""),90377.0)</f>
        <v>90377</v>
      </c>
      <c r="D1300" s="11">
        <f>IFERROR(__xludf.DUMMYFUNCTION("""COMPUTED_VALUE"""),1912.0)</f>
        <v>1912</v>
      </c>
      <c r="E1300" s="9"/>
    </row>
    <row r="1301">
      <c r="A1301" s="11">
        <f>IFERROR(__xludf.DUMMYFUNCTION("""COMPUTED_VALUE"""),2021.0)</f>
        <v>2021</v>
      </c>
      <c r="B1301" s="11">
        <f>IFERROR(__xludf.DUMMYFUNCTION("""COMPUTED_VALUE"""),11.0)</f>
        <v>11</v>
      </c>
      <c r="C1301" s="11">
        <f>IFERROR(__xludf.DUMMYFUNCTION("""COMPUTED_VALUE"""),90375.0)</f>
        <v>90375</v>
      </c>
      <c r="D1301" s="11">
        <f>IFERROR(__xludf.DUMMYFUNCTION("""COMPUTED_VALUE"""),1348.0)</f>
        <v>1348</v>
      </c>
      <c r="E1301" s="9"/>
    </row>
    <row r="1302">
      <c r="A1302" s="11">
        <f>IFERROR(__xludf.DUMMYFUNCTION("""COMPUTED_VALUE"""),2021.0)</f>
        <v>2021</v>
      </c>
      <c r="B1302" s="11">
        <f>IFERROR(__xludf.DUMMYFUNCTION("""COMPUTED_VALUE"""),11.0)</f>
        <v>11</v>
      </c>
      <c r="C1302" s="11">
        <f>IFERROR(__xludf.DUMMYFUNCTION("""COMPUTED_VALUE"""),112073.0)</f>
        <v>112073</v>
      </c>
      <c r="D1302" s="11">
        <f>IFERROR(__xludf.DUMMYFUNCTION("""COMPUTED_VALUE"""),1489.0)</f>
        <v>1489</v>
      </c>
      <c r="E1302" s="9"/>
    </row>
    <row r="1303">
      <c r="A1303" s="11">
        <f>IFERROR(__xludf.DUMMYFUNCTION("""COMPUTED_VALUE"""),2021.0)</f>
        <v>2021</v>
      </c>
      <c r="B1303" s="11">
        <f>IFERROR(__xludf.DUMMYFUNCTION("""COMPUTED_VALUE"""),8.0)</f>
        <v>8</v>
      </c>
      <c r="C1303" s="11">
        <f>IFERROR(__xludf.DUMMYFUNCTION("""COMPUTED_VALUE"""),101339.0)</f>
        <v>101339</v>
      </c>
      <c r="D1303" s="11">
        <f>IFERROR(__xludf.DUMMYFUNCTION("""COMPUTED_VALUE"""),1876.0)</f>
        <v>1876</v>
      </c>
      <c r="E1303" s="9"/>
    </row>
    <row r="1304">
      <c r="A1304" s="11">
        <f>IFERROR(__xludf.DUMMYFUNCTION("""COMPUTED_VALUE"""),2021.0)</f>
        <v>2021</v>
      </c>
      <c r="B1304" s="11">
        <f>IFERROR(__xludf.DUMMYFUNCTION("""COMPUTED_VALUE"""),9.0)</f>
        <v>9</v>
      </c>
      <c r="C1304" s="11">
        <f>IFERROR(__xludf.DUMMYFUNCTION("""COMPUTED_VALUE"""),92421.0)</f>
        <v>92421</v>
      </c>
      <c r="D1304" s="11">
        <f>IFERROR(__xludf.DUMMYFUNCTION("""COMPUTED_VALUE"""),369.0)</f>
        <v>369</v>
      </c>
      <c r="E1304" s="9"/>
    </row>
    <row r="1305">
      <c r="A1305" s="11">
        <f>IFERROR(__xludf.DUMMYFUNCTION("""COMPUTED_VALUE"""),2021.0)</f>
        <v>2021</v>
      </c>
      <c r="B1305" s="11">
        <f>IFERROR(__xludf.DUMMYFUNCTION("""COMPUTED_VALUE"""),9.0)</f>
        <v>9</v>
      </c>
      <c r="C1305" s="11">
        <f>IFERROR(__xludf.DUMMYFUNCTION("""COMPUTED_VALUE"""),112079.0)</f>
        <v>112079</v>
      </c>
      <c r="D1305" s="11">
        <f>IFERROR(__xludf.DUMMYFUNCTION("""COMPUTED_VALUE"""),1040.0)</f>
        <v>1040</v>
      </c>
      <c r="E1305" s="9"/>
    </row>
    <row r="1306">
      <c r="A1306" s="11">
        <f>IFERROR(__xludf.DUMMYFUNCTION("""COMPUTED_VALUE"""),2021.0)</f>
        <v>2021</v>
      </c>
      <c r="B1306" s="11">
        <f>IFERROR(__xludf.DUMMYFUNCTION("""COMPUTED_VALUE"""),8.0)</f>
        <v>8</v>
      </c>
      <c r="C1306" s="11">
        <f>IFERROR(__xludf.DUMMYFUNCTION("""COMPUTED_VALUE"""),44716.0)</f>
        <v>44716</v>
      </c>
      <c r="D1306" s="11">
        <f>IFERROR(__xludf.DUMMYFUNCTION("""COMPUTED_VALUE"""),614.0)</f>
        <v>614</v>
      </c>
      <c r="E1306" s="9"/>
    </row>
    <row r="1307">
      <c r="A1307" s="11">
        <f>IFERROR(__xludf.DUMMYFUNCTION("""COMPUTED_VALUE"""),2021.0)</f>
        <v>2021</v>
      </c>
      <c r="B1307" s="11">
        <f>IFERROR(__xludf.DUMMYFUNCTION("""COMPUTED_VALUE"""),10.0)</f>
        <v>10</v>
      </c>
      <c r="C1307" s="11">
        <f>IFERROR(__xludf.DUMMYFUNCTION("""COMPUTED_VALUE"""),89640.0)</f>
        <v>89640</v>
      </c>
      <c r="D1307" s="11">
        <f>IFERROR(__xludf.DUMMYFUNCTION("""COMPUTED_VALUE"""),1545.0)</f>
        <v>1545</v>
      </c>
      <c r="E1307" s="9"/>
    </row>
    <row r="1308">
      <c r="A1308" s="11">
        <f>IFERROR(__xludf.DUMMYFUNCTION("""COMPUTED_VALUE"""),2021.0)</f>
        <v>2021</v>
      </c>
      <c r="B1308" s="11">
        <f>IFERROR(__xludf.DUMMYFUNCTION("""COMPUTED_VALUE"""),8.0)</f>
        <v>8</v>
      </c>
      <c r="C1308" s="11">
        <f>IFERROR(__xludf.DUMMYFUNCTION("""COMPUTED_VALUE"""),112072.0)</f>
        <v>112072</v>
      </c>
      <c r="D1308" s="11">
        <f>IFERROR(__xludf.DUMMYFUNCTION("""COMPUTED_VALUE"""),1742.0)</f>
        <v>1742</v>
      </c>
      <c r="E1308" s="9"/>
    </row>
    <row r="1309">
      <c r="A1309" s="11">
        <f>IFERROR(__xludf.DUMMYFUNCTION("""COMPUTED_VALUE"""),2021.0)</f>
        <v>2021</v>
      </c>
      <c r="B1309" s="11">
        <f>IFERROR(__xludf.DUMMYFUNCTION("""COMPUTED_VALUE"""),11.0)</f>
        <v>11</v>
      </c>
      <c r="C1309" s="11">
        <f>IFERROR(__xludf.DUMMYFUNCTION("""COMPUTED_VALUE"""),112991.0)</f>
        <v>112991</v>
      </c>
      <c r="D1309" s="11">
        <f>IFERROR(__xludf.DUMMYFUNCTION("""COMPUTED_VALUE"""),154.0)</f>
        <v>154</v>
      </c>
      <c r="E1309" s="9"/>
    </row>
    <row r="1310">
      <c r="A1310" s="11">
        <f>IFERROR(__xludf.DUMMYFUNCTION("""COMPUTED_VALUE"""),2021.0)</f>
        <v>2021</v>
      </c>
      <c r="B1310" s="11">
        <f>IFERROR(__xludf.DUMMYFUNCTION("""COMPUTED_VALUE"""),9.0)</f>
        <v>9</v>
      </c>
      <c r="C1310" s="11">
        <f>IFERROR(__xludf.DUMMYFUNCTION("""COMPUTED_VALUE"""),101587.0)</f>
        <v>101587</v>
      </c>
      <c r="D1310" s="11">
        <f>IFERROR(__xludf.DUMMYFUNCTION("""COMPUTED_VALUE"""),248.0)</f>
        <v>248</v>
      </c>
      <c r="E1310" s="9"/>
    </row>
    <row r="1311">
      <c r="A1311" s="11">
        <f>IFERROR(__xludf.DUMMYFUNCTION("""COMPUTED_VALUE"""),2021.0)</f>
        <v>2021</v>
      </c>
      <c r="B1311" s="11">
        <f>IFERROR(__xludf.DUMMYFUNCTION("""COMPUTED_VALUE"""),10.0)</f>
        <v>10</v>
      </c>
      <c r="C1311" s="11">
        <f>IFERROR(__xludf.DUMMYFUNCTION("""COMPUTED_VALUE"""),10525.0)</f>
        <v>10525</v>
      </c>
      <c r="D1311" s="11">
        <f>IFERROR(__xludf.DUMMYFUNCTION("""COMPUTED_VALUE"""),448.0)</f>
        <v>448</v>
      </c>
      <c r="E1311" s="9"/>
    </row>
    <row r="1312">
      <c r="A1312" s="11">
        <f>IFERROR(__xludf.DUMMYFUNCTION("""COMPUTED_VALUE"""),2021.0)</f>
        <v>2021</v>
      </c>
      <c r="B1312" s="11">
        <f>IFERROR(__xludf.DUMMYFUNCTION("""COMPUTED_VALUE"""),9.0)</f>
        <v>9</v>
      </c>
      <c r="C1312" s="11">
        <f>IFERROR(__xludf.DUMMYFUNCTION("""COMPUTED_VALUE"""),121349.0)</f>
        <v>121349</v>
      </c>
      <c r="D1312" s="11">
        <f>IFERROR(__xludf.DUMMYFUNCTION("""COMPUTED_VALUE"""),1454.0)</f>
        <v>1454</v>
      </c>
      <c r="E1312" s="9"/>
    </row>
    <row r="1313">
      <c r="A1313" s="11">
        <f>IFERROR(__xludf.DUMMYFUNCTION("""COMPUTED_VALUE"""),2021.0)</f>
        <v>2021</v>
      </c>
      <c r="B1313" s="11">
        <f>IFERROR(__xludf.DUMMYFUNCTION("""COMPUTED_VALUE"""),8.0)</f>
        <v>8</v>
      </c>
      <c r="C1313" s="11">
        <f>IFERROR(__xludf.DUMMYFUNCTION("""COMPUTED_VALUE"""),127811.0)</f>
        <v>127811</v>
      </c>
      <c r="D1313" s="11">
        <f>IFERROR(__xludf.DUMMYFUNCTION("""COMPUTED_VALUE"""),1309.0)</f>
        <v>1309</v>
      </c>
      <c r="E1313" s="9"/>
    </row>
    <row r="1314">
      <c r="A1314" s="11">
        <f>IFERROR(__xludf.DUMMYFUNCTION("""COMPUTED_VALUE"""),2021.0)</f>
        <v>2021</v>
      </c>
      <c r="B1314" s="11">
        <f>IFERROR(__xludf.DUMMYFUNCTION("""COMPUTED_VALUE"""),11.0)</f>
        <v>11</v>
      </c>
      <c r="C1314" s="11">
        <f>IFERROR(__xludf.DUMMYFUNCTION("""COMPUTED_VALUE"""),81507.0)</f>
        <v>81507</v>
      </c>
      <c r="D1314" s="11">
        <f>IFERROR(__xludf.DUMMYFUNCTION("""COMPUTED_VALUE"""),936.0)</f>
        <v>936</v>
      </c>
      <c r="E1314" s="9"/>
    </row>
    <row r="1315">
      <c r="A1315" s="11">
        <f>IFERROR(__xludf.DUMMYFUNCTION("""COMPUTED_VALUE"""),2021.0)</f>
        <v>2021</v>
      </c>
      <c r="B1315" s="11">
        <f>IFERROR(__xludf.DUMMYFUNCTION("""COMPUTED_VALUE"""),9.0)</f>
        <v>9</v>
      </c>
      <c r="C1315" s="11">
        <f>IFERROR(__xludf.DUMMYFUNCTION("""COMPUTED_VALUE"""),78412.0)</f>
        <v>78412</v>
      </c>
      <c r="D1315" s="11">
        <f>IFERROR(__xludf.DUMMYFUNCTION("""COMPUTED_VALUE"""),1129.0)</f>
        <v>1129</v>
      </c>
      <c r="E1315" s="9"/>
    </row>
    <row r="1316">
      <c r="A1316" s="11">
        <f>IFERROR(__xludf.DUMMYFUNCTION("""COMPUTED_VALUE"""),2021.0)</f>
        <v>2021</v>
      </c>
      <c r="B1316" s="11">
        <f>IFERROR(__xludf.DUMMYFUNCTION("""COMPUTED_VALUE"""),10.0)</f>
        <v>10</v>
      </c>
      <c r="C1316" s="11">
        <f>IFERROR(__xludf.DUMMYFUNCTION("""COMPUTED_VALUE"""),109312.0)</f>
        <v>109312</v>
      </c>
      <c r="D1316" s="11">
        <f>IFERROR(__xludf.DUMMYFUNCTION("""COMPUTED_VALUE"""),1282.0)</f>
        <v>1282</v>
      </c>
      <c r="E1316" s="9"/>
    </row>
    <row r="1317">
      <c r="A1317" s="11">
        <f>IFERROR(__xludf.DUMMYFUNCTION("""COMPUTED_VALUE"""),2021.0)</f>
        <v>2021</v>
      </c>
      <c r="B1317" s="11">
        <f>IFERROR(__xludf.DUMMYFUNCTION("""COMPUTED_VALUE"""),8.0)</f>
        <v>8</v>
      </c>
      <c r="C1317" s="11">
        <f>IFERROR(__xludf.DUMMYFUNCTION("""COMPUTED_VALUE"""),78502.0)</f>
        <v>78502</v>
      </c>
      <c r="D1317" s="11">
        <f>IFERROR(__xludf.DUMMYFUNCTION("""COMPUTED_VALUE"""),174.0)</f>
        <v>174</v>
      </c>
      <c r="E1317" s="9"/>
    </row>
    <row r="1318">
      <c r="A1318" s="11">
        <f>IFERROR(__xludf.DUMMYFUNCTION("""COMPUTED_VALUE"""),2021.0)</f>
        <v>2021</v>
      </c>
      <c r="B1318" s="11">
        <f>IFERROR(__xludf.DUMMYFUNCTION("""COMPUTED_VALUE"""),8.0)</f>
        <v>8</v>
      </c>
      <c r="C1318" s="11">
        <f>IFERROR(__xludf.DUMMYFUNCTION("""COMPUTED_VALUE"""),111498.0)</f>
        <v>111498</v>
      </c>
      <c r="D1318" s="11">
        <f>IFERROR(__xludf.DUMMYFUNCTION("""COMPUTED_VALUE"""),1346.0)</f>
        <v>1346</v>
      </c>
      <c r="E1318" s="9"/>
    </row>
    <row r="1319">
      <c r="A1319" s="11">
        <f>IFERROR(__xludf.DUMMYFUNCTION("""COMPUTED_VALUE"""),2021.0)</f>
        <v>2021</v>
      </c>
      <c r="B1319" s="11">
        <f>IFERROR(__xludf.DUMMYFUNCTION("""COMPUTED_VALUE"""),9.0)</f>
        <v>9</v>
      </c>
      <c r="C1319" s="11">
        <f>IFERROR(__xludf.DUMMYFUNCTION("""COMPUTED_VALUE"""),87242.0)</f>
        <v>87242</v>
      </c>
      <c r="D1319" s="11">
        <f>IFERROR(__xludf.DUMMYFUNCTION("""COMPUTED_VALUE"""),1403.0)</f>
        <v>1403</v>
      </c>
      <c r="E1319" s="9"/>
    </row>
    <row r="1320">
      <c r="A1320" s="11">
        <f>IFERROR(__xludf.DUMMYFUNCTION("""COMPUTED_VALUE"""),2021.0)</f>
        <v>2021</v>
      </c>
      <c r="B1320" s="11">
        <f>IFERROR(__xludf.DUMMYFUNCTION("""COMPUTED_VALUE"""),10.0)</f>
        <v>10</v>
      </c>
      <c r="C1320" s="11">
        <f>IFERROR(__xludf.DUMMYFUNCTION("""COMPUTED_VALUE"""),139286.0)</f>
        <v>139286</v>
      </c>
      <c r="D1320" s="11">
        <f>IFERROR(__xludf.DUMMYFUNCTION("""COMPUTED_VALUE"""),860.0)</f>
        <v>860</v>
      </c>
      <c r="E1320" s="9"/>
    </row>
    <row r="1321">
      <c r="A1321" s="11">
        <f>IFERROR(__xludf.DUMMYFUNCTION("""COMPUTED_VALUE"""),2021.0)</f>
        <v>2021</v>
      </c>
      <c r="B1321" s="11">
        <f>IFERROR(__xludf.DUMMYFUNCTION("""COMPUTED_VALUE"""),8.0)</f>
        <v>8</v>
      </c>
      <c r="C1321" s="11">
        <f>IFERROR(__xludf.DUMMYFUNCTION("""COMPUTED_VALUE"""),10524.0)</f>
        <v>10524</v>
      </c>
      <c r="D1321" s="11">
        <f>IFERROR(__xludf.DUMMYFUNCTION("""COMPUTED_VALUE"""),1737.0)</f>
        <v>1737</v>
      </c>
      <c r="E1321" s="9"/>
    </row>
    <row r="1322">
      <c r="A1322" s="11">
        <f>IFERROR(__xludf.DUMMYFUNCTION("""COMPUTED_VALUE"""),2021.0)</f>
        <v>2021</v>
      </c>
      <c r="B1322" s="11">
        <f>IFERROR(__xludf.DUMMYFUNCTION("""COMPUTED_VALUE"""),11.0)</f>
        <v>11</v>
      </c>
      <c r="C1322" s="11">
        <f>IFERROR(__xludf.DUMMYFUNCTION("""COMPUTED_VALUE"""),78397.0)</f>
        <v>78397</v>
      </c>
      <c r="D1322" s="11">
        <f>IFERROR(__xludf.DUMMYFUNCTION("""COMPUTED_VALUE"""),1643.0)</f>
        <v>1643</v>
      </c>
      <c r="E1322" s="9"/>
    </row>
    <row r="1323">
      <c r="A1323" s="11">
        <f>IFERROR(__xludf.DUMMYFUNCTION("""COMPUTED_VALUE"""),2021.0)</f>
        <v>2021</v>
      </c>
      <c r="B1323" s="11">
        <f>IFERROR(__xludf.DUMMYFUNCTION("""COMPUTED_VALUE"""),11.0)</f>
        <v>11</v>
      </c>
      <c r="C1323" s="11">
        <f>IFERROR(__xludf.DUMMYFUNCTION("""COMPUTED_VALUE"""),78421.0)</f>
        <v>78421</v>
      </c>
      <c r="D1323" s="11">
        <f>IFERROR(__xludf.DUMMYFUNCTION("""COMPUTED_VALUE"""),1725.0)</f>
        <v>1725</v>
      </c>
      <c r="E1323" s="9"/>
    </row>
    <row r="1324">
      <c r="A1324" s="11">
        <f>IFERROR(__xludf.DUMMYFUNCTION("""COMPUTED_VALUE"""),2021.0)</f>
        <v>2021</v>
      </c>
      <c r="B1324" s="11">
        <f>IFERROR(__xludf.DUMMYFUNCTION("""COMPUTED_VALUE"""),9.0)</f>
        <v>9</v>
      </c>
      <c r="C1324" s="11">
        <f>IFERROR(__xludf.DUMMYFUNCTION("""COMPUTED_VALUE"""),23420.0)</f>
        <v>23420</v>
      </c>
      <c r="D1324" s="11">
        <f>IFERROR(__xludf.DUMMYFUNCTION("""COMPUTED_VALUE"""),931.0)</f>
        <v>931</v>
      </c>
      <c r="E1324" s="9"/>
    </row>
    <row r="1325">
      <c r="A1325" s="11">
        <f>IFERROR(__xludf.DUMMYFUNCTION("""COMPUTED_VALUE"""),2021.0)</f>
        <v>2021</v>
      </c>
      <c r="B1325" s="11">
        <f>IFERROR(__xludf.DUMMYFUNCTION("""COMPUTED_VALUE"""),11.0)</f>
        <v>11</v>
      </c>
      <c r="C1325" s="11">
        <f>IFERROR(__xludf.DUMMYFUNCTION("""COMPUTED_VALUE"""),78498.0)</f>
        <v>78498</v>
      </c>
      <c r="D1325" s="11">
        <f>IFERROR(__xludf.DUMMYFUNCTION("""COMPUTED_VALUE"""),684.0)</f>
        <v>684</v>
      </c>
      <c r="E1325" s="9"/>
    </row>
    <row r="1326">
      <c r="A1326" s="11">
        <f>IFERROR(__xludf.DUMMYFUNCTION("""COMPUTED_VALUE"""),2021.0)</f>
        <v>2021</v>
      </c>
      <c r="B1326" s="11">
        <f>IFERROR(__xludf.DUMMYFUNCTION("""COMPUTED_VALUE"""),8.0)</f>
        <v>8</v>
      </c>
      <c r="C1326" s="11">
        <f>IFERROR(__xludf.DUMMYFUNCTION("""COMPUTED_VALUE"""),78427.0)</f>
        <v>78427</v>
      </c>
      <c r="D1326" s="11">
        <f>IFERROR(__xludf.DUMMYFUNCTION("""COMPUTED_VALUE"""),444.0)</f>
        <v>444</v>
      </c>
      <c r="E1326" s="9"/>
    </row>
    <row r="1327">
      <c r="A1327" s="11">
        <f>IFERROR(__xludf.DUMMYFUNCTION("""COMPUTED_VALUE"""),2021.0)</f>
        <v>2021</v>
      </c>
      <c r="B1327" s="11">
        <f>IFERROR(__xludf.DUMMYFUNCTION("""COMPUTED_VALUE"""),9.0)</f>
        <v>9</v>
      </c>
      <c r="C1327" s="11">
        <f>IFERROR(__xludf.DUMMYFUNCTION("""COMPUTED_VALUE"""),119256.0)</f>
        <v>119256</v>
      </c>
      <c r="D1327" s="11">
        <f>IFERROR(__xludf.DUMMYFUNCTION("""COMPUTED_VALUE"""),1161.0)</f>
        <v>1161</v>
      </c>
      <c r="E1327" s="9"/>
    </row>
    <row r="1328">
      <c r="A1328" s="11">
        <f>IFERROR(__xludf.DUMMYFUNCTION("""COMPUTED_VALUE"""),2021.0)</f>
        <v>2021</v>
      </c>
      <c r="B1328" s="11">
        <f>IFERROR(__xludf.DUMMYFUNCTION("""COMPUTED_VALUE"""),11.0)</f>
        <v>11</v>
      </c>
      <c r="C1328" s="11">
        <f>IFERROR(__xludf.DUMMYFUNCTION("""COMPUTED_VALUE"""),44731.0)</f>
        <v>44731</v>
      </c>
      <c r="D1328" s="11">
        <f>IFERROR(__xludf.DUMMYFUNCTION("""COMPUTED_VALUE"""),96.0)</f>
        <v>96</v>
      </c>
      <c r="E1328" s="9"/>
    </row>
    <row r="1329">
      <c r="A1329" s="11">
        <f>IFERROR(__xludf.DUMMYFUNCTION("""COMPUTED_VALUE"""),2021.0)</f>
        <v>2021</v>
      </c>
      <c r="B1329" s="11">
        <f>IFERROR(__xludf.DUMMYFUNCTION("""COMPUTED_VALUE"""),11.0)</f>
        <v>11</v>
      </c>
      <c r="C1329" s="11">
        <f>IFERROR(__xludf.DUMMYFUNCTION("""COMPUTED_VALUE"""),86852.0)</f>
        <v>86852</v>
      </c>
      <c r="D1329" s="11">
        <f>IFERROR(__xludf.DUMMYFUNCTION("""COMPUTED_VALUE"""),1200.0)</f>
        <v>1200</v>
      </c>
      <c r="E1329" s="9"/>
    </row>
    <row r="1330">
      <c r="A1330" s="11">
        <f>IFERROR(__xludf.DUMMYFUNCTION("""COMPUTED_VALUE"""),2021.0)</f>
        <v>2021</v>
      </c>
      <c r="B1330" s="11">
        <f>IFERROR(__xludf.DUMMYFUNCTION("""COMPUTED_VALUE"""),11.0)</f>
        <v>11</v>
      </c>
      <c r="C1330" s="11">
        <f>IFERROR(__xludf.DUMMYFUNCTION("""COMPUTED_VALUE"""),103137.0)</f>
        <v>103137</v>
      </c>
      <c r="D1330" s="11">
        <f>IFERROR(__xludf.DUMMYFUNCTION("""COMPUTED_VALUE"""),787.0)</f>
        <v>787</v>
      </c>
      <c r="E1330" s="9"/>
    </row>
    <row r="1331">
      <c r="A1331" s="11">
        <f>IFERROR(__xludf.DUMMYFUNCTION("""COMPUTED_VALUE"""),2021.0)</f>
        <v>2021</v>
      </c>
      <c r="B1331" s="11">
        <f>IFERROR(__xludf.DUMMYFUNCTION("""COMPUTED_VALUE"""),11.0)</f>
        <v>11</v>
      </c>
      <c r="C1331" s="11">
        <f>IFERROR(__xludf.DUMMYFUNCTION("""COMPUTED_VALUE"""),95079.0)</f>
        <v>95079</v>
      </c>
      <c r="D1331" s="11">
        <f>IFERROR(__xludf.DUMMYFUNCTION("""COMPUTED_VALUE"""),1107.0)</f>
        <v>1107</v>
      </c>
      <c r="E1331" s="9"/>
    </row>
    <row r="1332">
      <c r="A1332" s="11">
        <f>IFERROR(__xludf.DUMMYFUNCTION("""COMPUTED_VALUE"""),2021.0)</f>
        <v>2021</v>
      </c>
      <c r="B1332" s="11">
        <f>IFERROR(__xludf.DUMMYFUNCTION("""COMPUTED_VALUE"""),8.0)</f>
        <v>8</v>
      </c>
      <c r="C1332" s="11">
        <f>IFERROR(__xludf.DUMMYFUNCTION("""COMPUTED_VALUE"""),121568.0)</f>
        <v>121568</v>
      </c>
      <c r="D1332" s="11">
        <f>IFERROR(__xludf.DUMMYFUNCTION("""COMPUTED_VALUE"""),1407.0)</f>
        <v>1407</v>
      </c>
      <c r="E1332" s="9"/>
    </row>
    <row r="1333">
      <c r="A1333" s="11">
        <f>IFERROR(__xludf.DUMMYFUNCTION("""COMPUTED_VALUE"""),2021.0)</f>
        <v>2021</v>
      </c>
      <c r="B1333" s="11">
        <f>IFERROR(__xludf.DUMMYFUNCTION("""COMPUTED_VALUE"""),11.0)</f>
        <v>11</v>
      </c>
      <c r="C1333" s="11">
        <f>IFERROR(__xludf.DUMMYFUNCTION("""COMPUTED_VALUE"""),89645.0)</f>
        <v>89645</v>
      </c>
      <c r="D1333" s="11">
        <f>IFERROR(__xludf.DUMMYFUNCTION("""COMPUTED_VALUE"""),633.0)</f>
        <v>633</v>
      </c>
      <c r="E1333" s="9"/>
    </row>
    <row r="1334">
      <c r="A1334" s="11">
        <f>IFERROR(__xludf.DUMMYFUNCTION("""COMPUTED_VALUE"""),2021.0)</f>
        <v>2021</v>
      </c>
      <c r="B1334" s="11">
        <f>IFERROR(__xludf.DUMMYFUNCTION("""COMPUTED_VALUE"""),11.0)</f>
        <v>11</v>
      </c>
      <c r="C1334" s="11">
        <f>IFERROR(__xludf.DUMMYFUNCTION("""COMPUTED_VALUE"""),44691.0)</f>
        <v>44691</v>
      </c>
      <c r="D1334" s="11">
        <f>IFERROR(__xludf.DUMMYFUNCTION("""COMPUTED_VALUE"""),1044.0)</f>
        <v>1044</v>
      </c>
      <c r="E1334" s="9"/>
    </row>
    <row r="1335">
      <c r="A1335" s="11">
        <f>IFERROR(__xludf.DUMMYFUNCTION("""COMPUTED_VALUE"""),2021.0)</f>
        <v>2021</v>
      </c>
      <c r="B1335" s="11">
        <f>IFERROR(__xludf.DUMMYFUNCTION("""COMPUTED_VALUE"""),9.0)</f>
        <v>9</v>
      </c>
      <c r="C1335" s="11">
        <f>IFERROR(__xludf.DUMMYFUNCTION("""COMPUTED_VALUE"""),94055.0)</f>
        <v>94055</v>
      </c>
      <c r="D1335" s="11">
        <f>IFERROR(__xludf.DUMMYFUNCTION("""COMPUTED_VALUE"""),1419.0)</f>
        <v>1419</v>
      </c>
      <c r="E1335" s="9"/>
    </row>
    <row r="1336">
      <c r="A1336" s="11">
        <f>IFERROR(__xludf.DUMMYFUNCTION("""COMPUTED_VALUE"""),2021.0)</f>
        <v>2021</v>
      </c>
      <c r="B1336" s="11">
        <f>IFERROR(__xludf.DUMMYFUNCTION("""COMPUTED_VALUE"""),9.0)</f>
        <v>9</v>
      </c>
      <c r="C1336" s="11">
        <f>IFERROR(__xludf.DUMMYFUNCTION("""COMPUTED_VALUE"""),101586.0)</f>
        <v>101586</v>
      </c>
      <c r="D1336" s="11">
        <f>IFERROR(__xludf.DUMMYFUNCTION("""COMPUTED_VALUE"""),670.0)</f>
        <v>670</v>
      </c>
      <c r="E1336" s="9"/>
    </row>
    <row r="1337">
      <c r="A1337" s="11">
        <f>IFERROR(__xludf.DUMMYFUNCTION("""COMPUTED_VALUE"""),2021.0)</f>
        <v>2021</v>
      </c>
      <c r="B1337" s="11">
        <f>IFERROR(__xludf.DUMMYFUNCTION("""COMPUTED_VALUE"""),11.0)</f>
        <v>11</v>
      </c>
      <c r="C1337" s="11">
        <f>IFERROR(__xludf.DUMMYFUNCTION("""COMPUTED_VALUE"""),106731.0)</f>
        <v>106731</v>
      </c>
      <c r="D1337" s="11">
        <f>IFERROR(__xludf.DUMMYFUNCTION("""COMPUTED_VALUE"""),765.0)</f>
        <v>765</v>
      </c>
      <c r="E1337" s="9"/>
    </row>
    <row r="1338">
      <c r="A1338" s="11">
        <f>IFERROR(__xludf.DUMMYFUNCTION("""COMPUTED_VALUE"""),2021.0)</f>
        <v>2021</v>
      </c>
      <c r="B1338" s="11">
        <f>IFERROR(__xludf.DUMMYFUNCTION("""COMPUTED_VALUE"""),8.0)</f>
        <v>8</v>
      </c>
      <c r="C1338" s="11">
        <f>IFERROR(__xludf.DUMMYFUNCTION("""COMPUTED_VALUE"""),87072.0)</f>
        <v>87072</v>
      </c>
      <c r="D1338" s="11">
        <f>IFERROR(__xludf.DUMMYFUNCTION("""COMPUTED_VALUE"""),1630.0)</f>
        <v>1630</v>
      </c>
      <c r="E1338" s="9"/>
    </row>
    <row r="1339">
      <c r="A1339" s="11">
        <f>IFERROR(__xludf.DUMMYFUNCTION("""COMPUTED_VALUE"""),2021.0)</f>
        <v>2021</v>
      </c>
      <c r="B1339" s="11">
        <f>IFERROR(__xludf.DUMMYFUNCTION("""COMPUTED_VALUE"""),9.0)</f>
        <v>9</v>
      </c>
      <c r="C1339" s="11">
        <f>IFERROR(__xludf.DUMMYFUNCTION("""COMPUTED_VALUE"""),44711.0)</f>
        <v>44711</v>
      </c>
      <c r="D1339" s="11">
        <f>IFERROR(__xludf.DUMMYFUNCTION("""COMPUTED_VALUE"""),791.0)</f>
        <v>791</v>
      </c>
      <c r="E1339" s="9"/>
    </row>
    <row r="1340">
      <c r="A1340" s="11">
        <f>IFERROR(__xludf.DUMMYFUNCTION("""COMPUTED_VALUE"""),2021.0)</f>
        <v>2021</v>
      </c>
      <c r="B1340" s="11">
        <f>IFERROR(__xludf.DUMMYFUNCTION("""COMPUTED_VALUE"""),10.0)</f>
        <v>10</v>
      </c>
      <c r="C1340" s="11">
        <f>IFERROR(__xludf.DUMMYFUNCTION("""COMPUTED_VALUE"""),78428.0)</f>
        <v>78428</v>
      </c>
      <c r="D1340" s="11">
        <f>IFERROR(__xludf.DUMMYFUNCTION("""COMPUTED_VALUE"""),784.0)</f>
        <v>784</v>
      </c>
      <c r="E1340" s="9"/>
    </row>
    <row r="1341">
      <c r="A1341" s="11">
        <f>IFERROR(__xludf.DUMMYFUNCTION("""COMPUTED_VALUE"""),2021.0)</f>
        <v>2021</v>
      </c>
      <c r="B1341" s="11">
        <f>IFERROR(__xludf.DUMMYFUNCTION("""COMPUTED_VALUE"""),9.0)</f>
        <v>9</v>
      </c>
      <c r="C1341" s="11">
        <f>IFERROR(__xludf.DUMMYFUNCTION("""COMPUTED_VALUE"""),10531.0)</f>
        <v>10531</v>
      </c>
      <c r="D1341" s="11">
        <f>IFERROR(__xludf.DUMMYFUNCTION("""COMPUTED_VALUE"""),408.0)</f>
        <v>408</v>
      </c>
      <c r="E1341" s="9"/>
    </row>
    <row r="1342">
      <c r="A1342" s="11">
        <f>IFERROR(__xludf.DUMMYFUNCTION("""COMPUTED_VALUE"""),2021.0)</f>
        <v>2021</v>
      </c>
      <c r="B1342" s="11">
        <f>IFERROR(__xludf.DUMMYFUNCTION("""COMPUTED_VALUE"""),9.0)</f>
        <v>9</v>
      </c>
      <c r="C1342" s="11">
        <f>IFERROR(__xludf.DUMMYFUNCTION("""COMPUTED_VALUE"""),158475.0)</f>
        <v>158475</v>
      </c>
      <c r="D1342" s="11">
        <f>IFERROR(__xludf.DUMMYFUNCTION("""COMPUTED_VALUE"""),1830.0)</f>
        <v>1830</v>
      </c>
      <c r="E1342" s="9"/>
    </row>
    <row r="1343">
      <c r="A1343" s="11">
        <f>IFERROR(__xludf.DUMMYFUNCTION("""COMPUTED_VALUE"""),2021.0)</f>
        <v>2021</v>
      </c>
      <c r="B1343" s="11">
        <f>IFERROR(__xludf.DUMMYFUNCTION("""COMPUTED_VALUE"""),10.0)</f>
        <v>10</v>
      </c>
      <c r="C1343" s="11">
        <f>IFERROR(__xludf.DUMMYFUNCTION("""COMPUTED_VALUE"""),89633.0)</f>
        <v>89633</v>
      </c>
      <c r="D1343" s="11">
        <f>IFERROR(__xludf.DUMMYFUNCTION("""COMPUTED_VALUE"""),1874.0)</f>
        <v>1874</v>
      </c>
      <c r="E1343" s="9"/>
    </row>
    <row r="1344">
      <c r="A1344" s="11">
        <f>IFERROR(__xludf.DUMMYFUNCTION("""COMPUTED_VALUE"""),2021.0)</f>
        <v>2021</v>
      </c>
      <c r="B1344" s="11">
        <f>IFERROR(__xludf.DUMMYFUNCTION("""COMPUTED_VALUE"""),10.0)</f>
        <v>10</v>
      </c>
      <c r="C1344" s="11">
        <f>IFERROR(__xludf.DUMMYFUNCTION("""COMPUTED_VALUE"""),86836.0)</f>
        <v>86836</v>
      </c>
      <c r="D1344" s="11">
        <f>IFERROR(__xludf.DUMMYFUNCTION("""COMPUTED_VALUE"""),1620.0)</f>
        <v>1620</v>
      </c>
      <c r="E1344" s="9"/>
    </row>
    <row r="1345">
      <c r="A1345" s="11">
        <f>IFERROR(__xludf.DUMMYFUNCTION("""COMPUTED_VALUE"""),2021.0)</f>
        <v>2021</v>
      </c>
      <c r="B1345" s="11">
        <f>IFERROR(__xludf.DUMMYFUNCTION("""COMPUTED_VALUE"""),10.0)</f>
        <v>10</v>
      </c>
      <c r="C1345" s="11">
        <f>IFERROR(__xludf.DUMMYFUNCTION("""COMPUTED_VALUE"""),44698.0)</f>
        <v>44698</v>
      </c>
      <c r="D1345" s="11">
        <f>IFERROR(__xludf.DUMMYFUNCTION("""COMPUTED_VALUE"""),1137.0)</f>
        <v>1137</v>
      </c>
      <c r="E1345" s="9"/>
    </row>
    <row r="1346">
      <c r="A1346" s="11">
        <f>IFERROR(__xludf.DUMMYFUNCTION("""COMPUTED_VALUE"""),2021.0)</f>
        <v>2021</v>
      </c>
      <c r="B1346" s="11">
        <f>IFERROR(__xludf.DUMMYFUNCTION("""COMPUTED_VALUE"""),10.0)</f>
        <v>10</v>
      </c>
      <c r="C1346" s="11">
        <f>IFERROR(__xludf.DUMMYFUNCTION("""COMPUTED_VALUE"""),127870.0)</f>
        <v>127870</v>
      </c>
      <c r="D1346" s="11">
        <f>IFERROR(__xludf.DUMMYFUNCTION("""COMPUTED_VALUE"""),943.0)</f>
        <v>943</v>
      </c>
      <c r="E1346" s="9"/>
    </row>
    <row r="1347">
      <c r="A1347" s="11">
        <f>IFERROR(__xludf.DUMMYFUNCTION("""COMPUTED_VALUE"""),2021.0)</f>
        <v>2021</v>
      </c>
      <c r="B1347" s="11">
        <f>IFERROR(__xludf.DUMMYFUNCTION("""COMPUTED_VALUE"""),9.0)</f>
        <v>9</v>
      </c>
      <c r="C1347" s="11">
        <f>IFERROR(__xludf.DUMMYFUNCTION("""COMPUTED_VALUE"""),141891.0)</f>
        <v>141891</v>
      </c>
      <c r="D1347" s="11">
        <f>IFERROR(__xludf.DUMMYFUNCTION("""COMPUTED_VALUE"""),1355.0)</f>
        <v>1355</v>
      </c>
      <c r="E1347" s="9"/>
    </row>
    <row r="1348">
      <c r="A1348" s="11">
        <f>IFERROR(__xludf.DUMMYFUNCTION("""COMPUTED_VALUE"""),2021.0)</f>
        <v>2021</v>
      </c>
      <c r="B1348" s="11">
        <f>IFERROR(__xludf.DUMMYFUNCTION("""COMPUTED_VALUE"""),11.0)</f>
        <v>11</v>
      </c>
      <c r="C1348" s="11">
        <f>IFERROR(__xludf.DUMMYFUNCTION("""COMPUTED_VALUE"""),78426.0)</f>
        <v>78426</v>
      </c>
      <c r="D1348" s="11">
        <f>IFERROR(__xludf.DUMMYFUNCTION("""COMPUTED_VALUE"""),1727.0)</f>
        <v>1727</v>
      </c>
      <c r="E1348" s="9"/>
    </row>
    <row r="1349">
      <c r="A1349" s="11">
        <f>IFERROR(__xludf.DUMMYFUNCTION("""COMPUTED_VALUE"""),2021.0)</f>
        <v>2021</v>
      </c>
      <c r="B1349" s="11">
        <f>IFERROR(__xludf.DUMMYFUNCTION("""COMPUTED_VALUE"""),11.0)</f>
        <v>11</v>
      </c>
      <c r="C1349" s="11">
        <f>IFERROR(__xludf.DUMMYFUNCTION("""COMPUTED_VALUE"""),77792.0)</f>
        <v>77792</v>
      </c>
      <c r="D1349" s="11">
        <f>IFERROR(__xludf.DUMMYFUNCTION("""COMPUTED_VALUE"""),549.0)</f>
        <v>549</v>
      </c>
      <c r="E1349" s="9"/>
    </row>
    <row r="1350">
      <c r="A1350" s="11">
        <f>IFERROR(__xludf.DUMMYFUNCTION("""COMPUTED_VALUE"""),2021.0)</f>
        <v>2021</v>
      </c>
      <c r="B1350" s="11">
        <f>IFERROR(__xludf.DUMMYFUNCTION("""COMPUTED_VALUE"""),9.0)</f>
        <v>9</v>
      </c>
      <c r="C1350" s="11">
        <f>IFERROR(__xludf.DUMMYFUNCTION("""COMPUTED_VALUE"""),21027.0)</f>
        <v>21027</v>
      </c>
      <c r="D1350" s="11">
        <f>IFERROR(__xludf.DUMMYFUNCTION("""COMPUTED_VALUE"""),1183.0)</f>
        <v>1183</v>
      </c>
      <c r="E1350" s="9"/>
    </row>
    <row r="1351">
      <c r="A1351" s="11">
        <f>IFERROR(__xludf.DUMMYFUNCTION("""COMPUTED_VALUE"""),2021.0)</f>
        <v>2021</v>
      </c>
      <c r="B1351" s="11">
        <f>IFERROR(__xludf.DUMMYFUNCTION("""COMPUTED_VALUE"""),10.0)</f>
        <v>10</v>
      </c>
      <c r="C1351" s="11">
        <f>IFERROR(__xludf.DUMMYFUNCTION("""COMPUTED_VALUE"""),95063.0)</f>
        <v>95063</v>
      </c>
      <c r="D1351" s="11">
        <f>IFERROR(__xludf.DUMMYFUNCTION("""COMPUTED_VALUE"""),206.0)</f>
        <v>206</v>
      </c>
      <c r="E1351" s="9"/>
    </row>
    <row r="1352">
      <c r="A1352" s="11">
        <f>IFERROR(__xludf.DUMMYFUNCTION("""COMPUTED_VALUE"""),2021.0)</f>
        <v>2021</v>
      </c>
      <c r="B1352" s="11">
        <f>IFERROR(__xludf.DUMMYFUNCTION("""COMPUTED_VALUE"""),9.0)</f>
        <v>9</v>
      </c>
      <c r="C1352" s="11">
        <f>IFERROR(__xludf.DUMMYFUNCTION("""COMPUTED_VALUE"""),30314.0)</f>
        <v>30314</v>
      </c>
      <c r="D1352" s="11">
        <f>IFERROR(__xludf.DUMMYFUNCTION("""COMPUTED_VALUE"""),996.0)</f>
        <v>996</v>
      </c>
      <c r="E1352" s="9"/>
    </row>
    <row r="1353">
      <c r="A1353" s="11">
        <f>IFERROR(__xludf.DUMMYFUNCTION("""COMPUTED_VALUE"""),2021.0)</f>
        <v>2021</v>
      </c>
      <c r="B1353" s="11">
        <f>IFERROR(__xludf.DUMMYFUNCTION("""COMPUTED_VALUE"""),10.0)</f>
        <v>10</v>
      </c>
      <c r="C1353" s="11">
        <f>IFERROR(__xludf.DUMMYFUNCTION("""COMPUTED_VALUE"""),19838.0)</f>
        <v>19838</v>
      </c>
      <c r="D1353" s="11">
        <f>IFERROR(__xludf.DUMMYFUNCTION("""COMPUTED_VALUE"""),1649.0)</f>
        <v>1649</v>
      </c>
      <c r="E1353" s="9"/>
    </row>
    <row r="1354">
      <c r="A1354" s="11">
        <f>IFERROR(__xludf.DUMMYFUNCTION("""COMPUTED_VALUE"""),2021.0)</f>
        <v>2021</v>
      </c>
      <c r="B1354" s="11">
        <f>IFERROR(__xludf.DUMMYFUNCTION("""COMPUTED_VALUE"""),10.0)</f>
        <v>10</v>
      </c>
      <c r="C1354" s="11">
        <f>IFERROR(__xludf.DUMMYFUNCTION("""COMPUTED_VALUE"""),111283.0)</f>
        <v>111283</v>
      </c>
      <c r="D1354" s="11">
        <f>IFERROR(__xludf.DUMMYFUNCTION("""COMPUTED_VALUE"""),1301.0)</f>
        <v>1301</v>
      </c>
      <c r="E1354" s="9"/>
    </row>
    <row r="1355">
      <c r="A1355" s="11">
        <f>IFERROR(__xludf.DUMMYFUNCTION("""COMPUTED_VALUE"""),2021.0)</f>
        <v>2021</v>
      </c>
      <c r="B1355" s="11">
        <f>IFERROR(__xludf.DUMMYFUNCTION("""COMPUTED_VALUE"""),9.0)</f>
        <v>9</v>
      </c>
      <c r="C1355" s="11">
        <f>IFERROR(__xludf.DUMMYFUNCTION("""COMPUTED_VALUE"""),87568.0)</f>
        <v>87568</v>
      </c>
      <c r="D1355" s="11">
        <f>IFERROR(__xludf.DUMMYFUNCTION("""COMPUTED_VALUE"""),1584.0)</f>
        <v>1584</v>
      </c>
      <c r="E1355" s="9"/>
    </row>
    <row r="1356">
      <c r="A1356" s="11">
        <f>IFERROR(__xludf.DUMMYFUNCTION("""COMPUTED_VALUE"""),2021.0)</f>
        <v>2021</v>
      </c>
      <c r="B1356" s="11">
        <f>IFERROR(__xludf.DUMMYFUNCTION("""COMPUTED_VALUE"""),8.0)</f>
        <v>8</v>
      </c>
      <c r="C1356" s="11">
        <f>IFERROR(__xludf.DUMMYFUNCTION("""COMPUTED_VALUE"""),78419.0)</f>
        <v>78419</v>
      </c>
      <c r="D1356" s="11">
        <f>IFERROR(__xludf.DUMMYFUNCTION("""COMPUTED_VALUE"""),421.0)</f>
        <v>421</v>
      </c>
      <c r="E1356" s="9"/>
    </row>
    <row r="1357">
      <c r="A1357" s="11">
        <f>IFERROR(__xludf.DUMMYFUNCTION("""COMPUTED_VALUE"""),2021.0)</f>
        <v>2021</v>
      </c>
      <c r="B1357" s="11">
        <f>IFERROR(__xludf.DUMMYFUNCTION("""COMPUTED_VALUE"""),9.0)</f>
        <v>9</v>
      </c>
      <c r="C1357" s="11">
        <f>IFERROR(__xludf.DUMMYFUNCTION("""COMPUTED_VALUE"""),106806.0)</f>
        <v>106806</v>
      </c>
      <c r="D1357" s="11">
        <f>IFERROR(__xludf.DUMMYFUNCTION("""COMPUTED_VALUE"""),1299.0)</f>
        <v>1299</v>
      </c>
      <c r="E1357" s="9"/>
    </row>
    <row r="1358">
      <c r="A1358" s="11">
        <f>IFERROR(__xludf.DUMMYFUNCTION("""COMPUTED_VALUE"""),2021.0)</f>
        <v>2021</v>
      </c>
      <c r="B1358" s="11">
        <f>IFERROR(__xludf.DUMMYFUNCTION("""COMPUTED_VALUE"""),10.0)</f>
        <v>10</v>
      </c>
      <c r="C1358" s="11">
        <f>IFERROR(__xludf.DUMMYFUNCTION("""COMPUTED_VALUE"""),78420.0)</f>
        <v>78420</v>
      </c>
      <c r="D1358" s="11">
        <f>IFERROR(__xludf.DUMMYFUNCTION("""COMPUTED_VALUE"""),782.0)</f>
        <v>782</v>
      </c>
      <c r="E1358" s="9"/>
    </row>
    <row r="1359">
      <c r="A1359" s="11">
        <f>IFERROR(__xludf.DUMMYFUNCTION("""COMPUTED_VALUE"""),2021.0)</f>
        <v>2021</v>
      </c>
      <c r="B1359" s="11">
        <f>IFERROR(__xludf.DUMMYFUNCTION("""COMPUTED_VALUE"""),8.0)</f>
        <v>8</v>
      </c>
      <c r="C1359" s="11">
        <f>IFERROR(__xludf.DUMMYFUNCTION("""COMPUTED_VALUE"""),78442.0)</f>
        <v>78442</v>
      </c>
      <c r="D1359" s="11">
        <f>IFERROR(__xludf.DUMMYFUNCTION("""COMPUTED_VALUE"""),870.0)</f>
        <v>870</v>
      </c>
      <c r="E1359" s="9"/>
    </row>
    <row r="1360">
      <c r="A1360" s="11">
        <f>IFERROR(__xludf.DUMMYFUNCTION("""COMPUTED_VALUE"""),2021.0)</f>
        <v>2021</v>
      </c>
      <c r="B1360" s="11">
        <f>IFERROR(__xludf.DUMMYFUNCTION("""COMPUTED_VALUE"""),8.0)</f>
        <v>8</v>
      </c>
      <c r="C1360" s="11">
        <f>IFERROR(__xludf.DUMMYFUNCTION("""COMPUTED_VALUE"""),78492.0)</f>
        <v>78492</v>
      </c>
      <c r="D1360" s="11">
        <f>IFERROR(__xludf.DUMMYFUNCTION("""COMPUTED_VALUE"""),1499.0)</f>
        <v>1499</v>
      </c>
      <c r="E1360" s="9"/>
    </row>
    <row r="1361">
      <c r="A1361" s="11">
        <f>IFERROR(__xludf.DUMMYFUNCTION("""COMPUTED_VALUE"""),2021.0)</f>
        <v>2021</v>
      </c>
      <c r="B1361" s="11">
        <f>IFERROR(__xludf.DUMMYFUNCTION("""COMPUTED_VALUE"""),10.0)</f>
        <v>10</v>
      </c>
      <c r="C1361" s="11">
        <f>IFERROR(__xludf.DUMMYFUNCTION("""COMPUTED_VALUE"""),80297.0)</f>
        <v>80297</v>
      </c>
      <c r="D1361" s="11">
        <f>IFERROR(__xludf.DUMMYFUNCTION("""COMPUTED_VALUE"""),11.0)</f>
        <v>11</v>
      </c>
      <c r="E1361" s="9"/>
    </row>
    <row r="1362">
      <c r="A1362" s="11">
        <f>IFERROR(__xludf.DUMMYFUNCTION("""COMPUTED_VALUE"""),2021.0)</f>
        <v>2021</v>
      </c>
      <c r="B1362" s="11">
        <f>IFERROR(__xludf.DUMMYFUNCTION("""COMPUTED_VALUE"""),10.0)</f>
        <v>10</v>
      </c>
      <c r="C1362" s="11">
        <f>IFERROR(__xludf.DUMMYFUNCTION("""COMPUTED_VALUE"""),44712.0)</f>
        <v>44712</v>
      </c>
      <c r="D1362" s="11">
        <f>IFERROR(__xludf.DUMMYFUNCTION("""COMPUTED_VALUE"""),1100.0)</f>
        <v>1100</v>
      </c>
      <c r="E1362" s="9"/>
    </row>
    <row r="1363">
      <c r="A1363" s="11">
        <f>IFERROR(__xludf.DUMMYFUNCTION("""COMPUTED_VALUE"""),2021.0)</f>
        <v>2021</v>
      </c>
      <c r="B1363" s="11">
        <f>IFERROR(__xludf.DUMMYFUNCTION("""COMPUTED_VALUE"""),8.0)</f>
        <v>8</v>
      </c>
      <c r="C1363" s="11">
        <f>IFERROR(__xludf.DUMMYFUNCTION("""COMPUTED_VALUE"""),89736.0)</f>
        <v>89736</v>
      </c>
      <c r="D1363" s="11">
        <f>IFERROR(__xludf.DUMMYFUNCTION("""COMPUTED_VALUE"""),279.0)</f>
        <v>279</v>
      </c>
      <c r="E1363" s="9"/>
    </row>
    <row r="1364">
      <c r="A1364" s="11">
        <f>IFERROR(__xludf.DUMMYFUNCTION("""COMPUTED_VALUE"""),2021.0)</f>
        <v>2021</v>
      </c>
      <c r="B1364" s="11">
        <f>IFERROR(__xludf.DUMMYFUNCTION("""COMPUTED_VALUE"""),8.0)</f>
        <v>8</v>
      </c>
      <c r="C1364" s="11">
        <f>IFERROR(__xludf.DUMMYFUNCTION("""COMPUTED_VALUE"""),83270.0)</f>
        <v>83270</v>
      </c>
      <c r="D1364" s="11">
        <f>IFERROR(__xludf.DUMMYFUNCTION("""COMPUTED_VALUE"""),1710.0)</f>
        <v>1710</v>
      </c>
      <c r="E1364" s="9"/>
    </row>
    <row r="1365">
      <c r="A1365" s="11">
        <f>IFERROR(__xludf.DUMMYFUNCTION("""COMPUTED_VALUE"""),2021.0)</f>
        <v>2021</v>
      </c>
      <c r="B1365" s="11">
        <f>IFERROR(__xludf.DUMMYFUNCTION("""COMPUTED_VALUE"""),10.0)</f>
        <v>10</v>
      </c>
      <c r="C1365" s="11">
        <f>IFERROR(__xludf.DUMMYFUNCTION("""COMPUTED_VALUE"""),101588.0)</f>
        <v>101588</v>
      </c>
      <c r="D1365" s="11">
        <f>IFERROR(__xludf.DUMMYFUNCTION("""COMPUTED_VALUE"""),1512.0)</f>
        <v>1512</v>
      </c>
      <c r="E1365" s="9"/>
    </row>
    <row r="1366">
      <c r="A1366" s="11">
        <f>IFERROR(__xludf.DUMMYFUNCTION("""COMPUTED_VALUE"""),2021.0)</f>
        <v>2021</v>
      </c>
      <c r="B1366" s="11">
        <f>IFERROR(__xludf.DUMMYFUNCTION("""COMPUTED_VALUE"""),11.0)</f>
        <v>11</v>
      </c>
      <c r="C1366" s="11">
        <f>IFERROR(__xludf.DUMMYFUNCTION("""COMPUTED_VALUE"""),104171.0)</f>
        <v>104171</v>
      </c>
      <c r="D1366" s="11">
        <f>IFERROR(__xludf.DUMMYFUNCTION("""COMPUTED_VALUE"""),491.0)</f>
        <v>491</v>
      </c>
      <c r="E1366" s="9"/>
    </row>
    <row r="1367">
      <c r="A1367" s="11">
        <f>IFERROR(__xludf.DUMMYFUNCTION("""COMPUTED_VALUE"""),2021.0)</f>
        <v>2021</v>
      </c>
      <c r="B1367" s="11">
        <f>IFERROR(__xludf.DUMMYFUNCTION("""COMPUTED_VALUE"""),11.0)</f>
        <v>11</v>
      </c>
      <c r="C1367" s="11">
        <f>IFERROR(__xludf.DUMMYFUNCTION("""COMPUTED_VALUE"""),101042.0)</f>
        <v>101042</v>
      </c>
      <c r="D1367" s="11">
        <f>IFERROR(__xludf.DUMMYFUNCTION("""COMPUTED_VALUE"""),1446.0)</f>
        <v>1446</v>
      </c>
      <c r="E1367" s="9"/>
    </row>
    <row r="1368">
      <c r="A1368" s="11">
        <f>IFERROR(__xludf.DUMMYFUNCTION("""COMPUTED_VALUE"""),2021.0)</f>
        <v>2021</v>
      </c>
      <c r="B1368" s="11">
        <f>IFERROR(__xludf.DUMMYFUNCTION("""COMPUTED_VALUE"""),11.0)</f>
        <v>11</v>
      </c>
      <c r="C1368" s="11">
        <f>IFERROR(__xludf.DUMMYFUNCTION("""COMPUTED_VALUE"""),108881.0)</f>
        <v>108881</v>
      </c>
      <c r="D1368" s="11">
        <f>IFERROR(__xludf.DUMMYFUNCTION("""COMPUTED_VALUE"""),1279.0)</f>
        <v>1279</v>
      </c>
      <c r="E1368" s="9"/>
    </row>
    <row r="1369">
      <c r="A1369" s="11">
        <f>IFERROR(__xludf.DUMMYFUNCTION("""COMPUTED_VALUE"""),2021.0)</f>
        <v>2021</v>
      </c>
      <c r="B1369" s="11">
        <f>IFERROR(__xludf.DUMMYFUNCTION("""COMPUTED_VALUE"""),10.0)</f>
        <v>10</v>
      </c>
      <c r="C1369" s="11">
        <f>IFERROR(__xludf.DUMMYFUNCTION("""COMPUTED_VALUE"""),87571.0)</f>
        <v>87571</v>
      </c>
      <c r="D1369" s="11">
        <f>IFERROR(__xludf.DUMMYFUNCTION("""COMPUTED_VALUE"""),417.0)</f>
        <v>417</v>
      </c>
      <c r="E1369" s="9"/>
    </row>
    <row r="1370">
      <c r="A1370" s="11">
        <f>IFERROR(__xludf.DUMMYFUNCTION("""COMPUTED_VALUE"""),2021.0)</f>
        <v>2021</v>
      </c>
      <c r="B1370" s="11">
        <f>IFERROR(__xludf.DUMMYFUNCTION("""COMPUTED_VALUE"""),10.0)</f>
        <v>10</v>
      </c>
      <c r="C1370" s="11">
        <f>IFERROR(__xludf.DUMMYFUNCTION("""COMPUTED_VALUE"""),44718.0)</f>
        <v>44718</v>
      </c>
      <c r="D1370" s="11">
        <f>IFERROR(__xludf.DUMMYFUNCTION("""COMPUTED_VALUE"""),808.0)</f>
        <v>808</v>
      </c>
      <c r="E1370" s="9"/>
    </row>
    <row r="1371">
      <c r="A1371" s="11">
        <f>IFERROR(__xludf.DUMMYFUNCTION("""COMPUTED_VALUE"""),2021.0)</f>
        <v>2021</v>
      </c>
      <c r="B1371" s="11">
        <f>IFERROR(__xludf.DUMMYFUNCTION("""COMPUTED_VALUE"""),8.0)</f>
        <v>8</v>
      </c>
      <c r="C1371" s="11">
        <f>IFERROR(__xludf.DUMMYFUNCTION("""COMPUTED_VALUE"""),44735.0)</f>
        <v>44735</v>
      </c>
      <c r="D1371" s="11">
        <f>IFERROR(__xludf.DUMMYFUNCTION("""COMPUTED_VALUE"""),124.0)</f>
        <v>124</v>
      </c>
      <c r="E1371" s="9"/>
    </row>
    <row r="1372">
      <c r="A1372" s="11">
        <f>IFERROR(__xludf.DUMMYFUNCTION("""COMPUTED_VALUE"""),2021.0)</f>
        <v>2021</v>
      </c>
      <c r="B1372" s="11">
        <f>IFERROR(__xludf.DUMMYFUNCTION("""COMPUTED_VALUE"""),8.0)</f>
        <v>8</v>
      </c>
      <c r="C1372" s="11">
        <f>IFERROR(__xludf.DUMMYFUNCTION("""COMPUTED_VALUE"""),21035.0)</f>
        <v>21035</v>
      </c>
      <c r="D1372" s="11">
        <f>IFERROR(__xludf.DUMMYFUNCTION("""COMPUTED_VALUE"""),1538.0)</f>
        <v>1538</v>
      </c>
      <c r="E1372" s="9"/>
    </row>
    <row r="1373">
      <c r="A1373" s="11">
        <f>IFERROR(__xludf.DUMMYFUNCTION("""COMPUTED_VALUE"""),2021.0)</f>
        <v>2021</v>
      </c>
      <c r="B1373" s="11">
        <f>IFERROR(__xludf.DUMMYFUNCTION("""COMPUTED_VALUE"""),11.0)</f>
        <v>11</v>
      </c>
      <c r="C1373" s="11">
        <f>IFERROR(__xludf.DUMMYFUNCTION("""COMPUTED_VALUE"""),30308.0)</f>
        <v>30308</v>
      </c>
      <c r="D1373" s="11">
        <f>IFERROR(__xludf.DUMMYFUNCTION("""COMPUTED_VALUE"""),1794.0)</f>
        <v>1794</v>
      </c>
      <c r="E1373" s="9"/>
    </row>
    <row r="1374">
      <c r="A1374" s="11">
        <f>IFERROR(__xludf.DUMMYFUNCTION("""COMPUTED_VALUE"""),2021.0)</f>
        <v>2021</v>
      </c>
      <c r="B1374" s="11">
        <f>IFERROR(__xludf.DUMMYFUNCTION("""COMPUTED_VALUE"""),8.0)</f>
        <v>8</v>
      </c>
      <c r="C1374" s="11">
        <f>IFERROR(__xludf.DUMMYFUNCTION("""COMPUTED_VALUE"""),44694.0)</f>
        <v>44694</v>
      </c>
      <c r="D1374" s="11">
        <f>IFERROR(__xludf.DUMMYFUNCTION("""COMPUTED_VALUE"""),731.0)</f>
        <v>731</v>
      </c>
      <c r="E1374" s="9"/>
    </row>
    <row r="1375">
      <c r="A1375" s="11">
        <f>IFERROR(__xludf.DUMMYFUNCTION("""COMPUTED_VALUE"""),2021.0)</f>
        <v>2021</v>
      </c>
      <c r="B1375" s="11">
        <f>IFERROR(__xludf.DUMMYFUNCTION("""COMPUTED_VALUE"""),9.0)</f>
        <v>9</v>
      </c>
      <c r="C1375" s="11">
        <f>IFERROR(__xludf.DUMMYFUNCTION("""COMPUTED_VALUE"""),78493.0)</f>
        <v>78493</v>
      </c>
      <c r="D1375" s="11">
        <f>IFERROR(__xludf.DUMMYFUNCTION("""COMPUTED_VALUE"""),251.0)</f>
        <v>251</v>
      </c>
      <c r="E1375" s="9"/>
    </row>
    <row r="1376">
      <c r="A1376" s="11">
        <f>IFERROR(__xludf.DUMMYFUNCTION("""COMPUTED_VALUE"""),2021.0)</f>
        <v>2021</v>
      </c>
      <c r="B1376" s="11">
        <f>IFERROR(__xludf.DUMMYFUNCTION("""COMPUTED_VALUE"""),9.0)</f>
        <v>9</v>
      </c>
      <c r="C1376" s="11">
        <f>IFERROR(__xludf.DUMMYFUNCTION("""COMPUTED_VALUE"""),78409.0)</f>
        <v>78409</v>
      </c>
      <c r="D1376" s="11">
        <f>IFERROR(__xludf.DUMMYFUNCTION("""COMPUTED_VALUE"""),468.0)</f>
        <v>468</v>
      </c>
      <c r="E1376" s="9"/>
    </row>
    <row r="1377">
      <c r="A1377" s="11">
        <f>IFERROR(__xludf.DUMMYFUNCTION("""COMPUTED_VALUE"""),2021.0)</f>
        <v>2021</v>
      </c>
      <c r="B1377" s="11">
        <f>IFERROR(__xludf.DUMMYFUNCTION("""COMPUTED_VALUE"""),8.0)</f>
        <v>8</v>
      </c>
      <c r="C1377" s="11">
        <f>IFERROR(__xludf.DUMMYFUNCTION("""COMPUTED_VALUE"""),86844.0)</f>
        <v>86844</v>
      </c>
      <c r="D1377" s="11">
        <f>IFERROR(__xludf.DUMMYFUNCTION("""COMPUTED_VALUE"""),800.0)</f>
        <v>800</v>
      </c>
      <c r="E1377" s="9"/>
    </row>
    <row r="1378">
      <c r="A1378" s="11">
        <f>IFERROR(__xludf.DUMMYFUNCTION("""COMPUTED_VALUE"""),2021.0)</f>
        <v>2021</v>
      </c>
      <c r="B1378" s="11">
        <f>IFERROR(__xludf.DUMMYFUNCTION("""COMPUTED_VALUE"""),9.0)</f>
        <v>9</v>
      </c>
      <c r="C1378" s="11">
        <f>IFERROR(__xludf.DUMMYFUNCTION("""COMPUTED_VALUE"""),86771.0)</f>
        <v>86771</v>
      </c>
      <c r="D1378" s="11">
        <f>IFERROR(__xludf.DUMMYFUNCTION("""COMPUTED_VALUE"""),1721.0)</f>
        <v>1721</v>
      </c>
      <c r="E1378" s="9"/>
    </row>
    <row r="1379">
      <c r="A1379" s="11">
        <f>IFERROR(__xludf.DUMMYFUNCTION("""COMPUTED_VALUE"""),2021.0)</f>
        <v>2021</v>
      </c>
      <c r="B1379" s="11">
        <f>IFERROR(__xludf.DUMMYFUNCTION("""COMPUTED_VALUE"""),10.0)</f>
        <v>10</v>
      </c>
      <c r="C1379" s="11">
        <f>IFERROR(__xludf.DUMMYFUNCTION("""COMPUTED_VALUE"""),78511.0)</f>
        <v>78511</v>
      </c>
      <c r="D1379" s="11">
        <f>IFERROR(__xludf.DUMMYFUNCTION("""COMPUTED_VALUE"""),1685.0)</f>
        <v>1685</v>
      </c>
      <c r="E1379" s="9"/>
    </row>
    <row r="1380">
      <c r="A1380" s="11">
        <f>IFERROR(__xludf.DUMMYFUNCTION("""COMPUTED_VALUE"""),2021.0)</f>
        <v>2021</v>
      </c>
      <c r="B1380" s="11">
        <f>IFERROR(__xludf.DUMMYFUNCTION("""COMPUTED_VALUE"""),10.0)</f>
        <v>10</v>
      </c>
      <c r="C1380" s="11">
        <f>IFERROR(__xludf.DUMMYFUNCTION("""COMPUTED_VALUE"""),83267.0)</f>
        <v>83267</v>
      </c>
      <c r="D1380" s="11">
        <f>IFERROR(__xludf.DUMMYFUNCTION("""COMPUTED_VALUE"""),1806.0)</f>
        <v>1806</v>
      </c>
      <c r="E1380" s="9"/>
    </row>
    <row r="1381">
      <c r="A1381" s="11">
        <f>IFERROR(__xludf.DUMMYFUNCTION("""COMPUTED_VALUE"""),2021.0)</f>
        <v>2021</v>
      </c>
      <c r="B1381" s="11">
        <f>IFERROR(__xludf.DUMMYFUNCTION("""COMPUTED_VALUE"""),8.0)</f>
        <v>8</v>
      </c>
      <c r="C1381" s="11">
        <f>IFERROR(__xludf.DUMMYFUNCTION("""COMPUTED_VALUE"""),78490.0)</f>
        <v>78490</v>
      </c>
      <c r="D1381" s="11">
        <f>IFERROR(__xludf.DUMMYFUNCTION("""COMPUTED_VALUE"""),1549.0)</f>
        <v>1549</v>
      </c>
      <c r="E1381" s="9"/>
    </row>
    <row r="1382">
      <c r="A1382" s="11">
        <f>IFERROR(__xludf.DUMMYFUNCTION("""COMPUTED_VALUE"""),2021.0)</f>
        <v>2021</v>
      </c>
      <c r="B1382" s="11">
        <f>IFERROR(__xludf.DUMMYFUNCTION("""COMPUTED_VALUE"""),10.0)</f>
        <v>10</v>
      </c>
      <c r="C1382" s="11">
        <f>IFERROR(__xludf.DUMMYFUNCTION("""COMPUTED_VALUE"""),73175.0)</f>
        <v>73175</v>
      </c>
      <c r="D1382" s="11">
        <f>IFERROR(__xludf.DUMMYFUNCTION("""COMPUTED_VALUE"""),1605.0)</f>
        <v>1605</v>
      </c>
      <c r="E1382" s="9"/>
    </row>
    <row r="1383">
      <c r="A1383" s="11">
        <f>IFERROR(__xludf.DUMMYFUNCTION("""COMPUTED_VALUE"""),2021.0)</f>
        <v>2021</v>
      </c>
      <c r="B1383" s="11">
        <f>IFERROR(__xludf.DUMMYFUNCTION("""COMPUTED_VALUE"""),11.0)</f>
        <v>11</v>
      </c>
      <c r="C1383" s="11">
        <f>IFERROR(__xludf.DUMMYFUNCTION("""COMPUTED_VALUE"""),44730.0)</f>
        <v>44730</v>
      </c>
      <c r="D1383" s="11">
        <f>IFERROR(__xludf.DUMMYFUNCTION("""COMPUTED_VALUE"""),830.0)</f>
        <v>830</v>
      </c>
      <c r="E1383" s="9"/>
    </row>
    <row r="1384">
      <c r="A1384" s="11">
        <f>IFERROR(__xludf.DUMMYFUNCTION("""COMPUTED_VALUE"""),2021.0)</f>
        <v>2021</v>
      </c>
      <c r="B1384" s="11">
        <f>IFERROR(__xludf.DUMMYFUNCTION("""COMPUTED_VALUE"""),8.0)</f>
        <v>8</v>
      </c>
      <c r="C1384" s="11">
        <f>IFERROR(__xludf.DUMMYFUNCTION("""COMPUTED_VALUE"""),10535.0)</f>
        <v>10535</v>
      </c>
      <c r="D1384" s="11">
        <f>IFERROR(__xludf.DUMMYFUNCTION("""COMPUTED_VALUE"""),1555.0)</f>
        <v>1555</v>
      </c>
      <c r="E1384" s="9"/>
    </row>
    <row r="1385">
      <c r="A1385" s="11">
        <f>IFERROR(__xludf.DUMMYFUNCTION("""COMPUTED_VALUE"""),2021.0)</f>
        <v>2021</v>
      </c>
      <c r="B1385" s="11">
        <f>IFERROR(__xludf.DUMMYFUNCTION("""COMPUTED_VALUE"""),11.0)</f>
        <v>11</v>
      </c>
      <c r="C1385" s="11">
        <f>IFERROR(__xludf.DUMMYFUNCTION("""COMPUTED_VALUE"""),80299.0)</f>
        <v>80299</v>
      </c>
      <c r="D1385" s="11">
        <f>IFERROR(__xludf.DUMMYFUNCTION("""COMPUTED_VALUE"""),1144.0)</f>
        <v>1144</v>
      </c>
      <c r="E1385" s="9"/>
    </row>
    <row r="1386">
      <c r="A1386" s="11">
        <f>IFERROR(__xludf.DUMMYFUNCTION("""COMPUTED_VALUE"""),2021.0)</f>
        <v>2021</v>
      </c>
      <c r="B1386" s="11">
        <f>IFERROR(__xludf.DUMMYFUNCTION("""COMPUTED_VALUE"""),11.0)</f>
        <v>11</v>
      </c>
      <c r="C1386" s="11">
        <f>IFERROR(__xludf.DUMMYFUNCTION("""COMPUTED_VALUE"""),121350.0)</f>
        <v>121350</v>
      </c>
      <c r="D1386" s="11">
        <f>IFERROR(__xludf.DUMMYFUNCTION("""COMPUTED_VALUE"""),1422.0)</f>
        <v>1422</v>
      </c>
      <c r="E1386" s="9"/>
    </row>
    <row r="1387">
      <c r="A1387" s="11">
        <f>IFERROR(__xludf.DUMMYFUNCTION("""COMPUTED_VALUE"""),2021.0)</f>
        <v>2021</v>
      </c>
      <c r="B1387" s="11">
        <f>IFERROR(__xludf.DUMMYFUNCTION("""COMPUTED_VALUE"""),9.0)</f>
        <v>9</v>
      </c>
      <c r="C1387" s="11">
        <f>IFERROR(__xludf.DUMMYFUNCTION("""COMPUTED_VALUE"""),79958.0)</f>
        <v>79958</v>
      </c>
      <c r="D1387" s="11">
        <f>IFERROR(__xludf.DUMMYFUNCTION("""COMPUTED_VALUE"""),1610.0)</f>
        <v>1610</v>
      </c>
      <c r="E1387" s="9"/>
    </row>
    <row r="1388">
      <c r="A1388" s="11">
        <f>IFERROR(__xludf.DUMMYFUNCTION("""COMPUTED_VALUE"""),2021.0)</f>
        <v>2021</v>
      </c>
      <c r="B1388" s="11">
        <f>IFERROR(__xludf.DUMMYFUNCTION("""COMPUTED_VALUE"""),10.0)</f>
        <v>10</v>
      </c>
      <c r="C1388" s="11">
        <f>IFERROR(__xludf.DUMMYFUNCTION("""COMPUTED_VALUE"""),95074.0)</f>
        <v>95074</v>
      </c>
      <c r="D1388" s="11">
        <f>IFERROR(__xludf.DUMMYFUNCTION("""COMPUTED_VALUE"""),1684.0)</f>
        <v>1684</v>
      </c>
      <c r="E1388" s="9"/>
    </row>
    <row r="1389">
      <c r="A1389" s="11">
        <f>IFERROR(__xludf.DUMMYFUNCTION("""COMPUTED_VALUE"""),2021.0)</f>
        <v>2021</v>
      </c>
      <c r="B1389" s="11">
        <f>IFERROR(__xludf.DUMMYFUNCTION("""COMPUTED_VALUE"""),10.0)</f>
        <v>10</v>
      </c>
      <c r="C1389" s="11">
        <f>IFERROR(__xludf.DUMMYFUNCTION("""COMPUTED_VALUE"""),87574.0)</f>
        <v>87574</v>
      </c>
      <c r="D1389" s="11">
        <f>IFERROR(__xludf.DUMMYFUNCTION("""COMPUTED_VALUE"""),1690.0)</f>
        <v>1690</v>
      </c>
      <c r="E1389" s="9"/>
    </row>
    <row r="1390">
      <c r="A1390" s="11">
        <f>IFERROR(__xludf.DUMMYFUNCTION("""COMPUTED_VALUE"""),2021.0)</f>
        <v>2021</v>
      </c>
      <c r="B1390" s="11">
        <f>IFERROR(__xludf.DUMMYFUNCTION("""COMPUTED_VALUE"""),10.0)</f>
        <v>10</v>
      </c>
      <c r="C1390" s="11">
        <f>IFERROR(__xludf.DUMMYFUNCTION("""COMPUTED_VALUE"""),77769.0)</f>
        <v>77769</v>
      </c>
      <c r="D1390" s="11">
        <f>IFERROR(__xludf.DUMMYFUNCTION("""COMPUTED_VALUE"""),284.0)</f>
        <v>284</v>
      </c>
      <c r="E1390" s="9"/>
    </row>
    <row r="1391">
      <c r="A1391" s="11">
        <f>IFERROR(__xludf.DUMMYFUNCTION("""COMPUTED_VALUE"""),2021.0)</f>
        <v>2021</v>
      </c>
      <c r="B1391" s="11">
        <f>IFERROR(__xludf.DUMMYFUNCTION("""COMPUTED_VALUE"""),9.0)</f>
        <v>9</v>
      </c>
      <c r="C1391" s="11">
        <f>IFERROR(__xludf.DUMMYFUNCTION("""COMPUTED_VALUE"""),141889.0)</f>
        <v>141889</v>
      </c>
      <c r="D1391" s="11">
        <f>IFERROR(__xludf.DUMMYFUNCTION("""COMPUTED_VALUE"""),1141.0)</f>
        <v>1141</v>
      </c>
      <c r="E1391" s="9"/>
    </row>
    <row r="1392">
      <c r="A1392" s="11">
        <f>IFERROR(__xludf.DUMMYFUNCTION("""COMPUTED_VALUE"""),2021.0)</f>
        <v>2021</v>
      </c>
      <c r="B1392" s="11">
        <f>IFERROR(__xludf.DUMMYFUNCTION("""COMPUTED_VALUE"""),11.0)</f>
        <v>11</v>
      </c>
      <c r="C1392" s="11">
        <f>IFERROR(__xludf.DUMMYFUNCTION("""COMPUTED_VALUE"""),83269.0)</f>
        <v>83269</v>
      </c>
      <c r="D1392" s="11">
        <f>IFERROR(__xludf.DUMMYFUNCTION("""COMPUTED_VALUE"""),1776.0)</f>
        <v>1776</v>
      </c>
      <c r="E1392" s="9"/>
    </row>
    <row r="1393">
      <c r="A1393" s="11">
        <f>IFERROR(__xludf.DUMMYFUNCTION("""COMPUTED_VALUE"""),2021.0)</f>
        <v>2021</v>
      </c>
      <c r="B1393" s="11">
        <f>IFERROR(__xludf.DUMMYFUNCTION("""COMPUTED_VALUE"""),11.0)</f>
        <v>11</v>
      </c>
      <c r="C1393" s="11">
        <f>IFERROR(__xludf.DUMMYFUNCTION("""COMPUTED_VALUE"""),89647.0)</f>
        <v>89647</v>
      </c>
      <c r="D1393" s="11">
        <f>IFERROR(__xludf.DUMMYFUNCTION("""COMPUTED_VALUE"""),701.0)</f>
        <v>701</v>
      </c>
      <c r="E1393" s="9"/>
    </row>
    <row r="1394">
      <c r="A1394" s="11">
        <f>IFERROR(__xludf.DUMMYFUNCTION("""COMPUTED_VALUE"""),2021.0)</f>
        <v>2021</v>
      </c>
      <c r="B1394" s="11">
        <f>IFERROR(__xludf.DUMMYFUNCTION("""COMPUTED_VALUE"""),9.0)</f>
        <v>9</v>
      </c>
      <c r="C1394" s="11">
        <f>IFERROR(__xludf.DUMMYFUNCTION("""COMPUTED_VALUE"""),77256.0)</f>
        <v>77256</v>
      </c>
      <c r="D1394" s="11">
        <f>IFERROR(__xludf.DUMMYFUNCTION("""COMPUTED_VALUE"""),450.0)</f>
        <v>450</v>
      </c>
      <c r="E1394" s="9"/>
    </row>
    <row r="1395">
      <c r="A1395" s="11">
        <f>IFERROR(__xludf.DUMMYFUNCTION("""COMPUTED_VALUE"""),2021.0)</f>
        <v>2021</v>
      </c>
      <c r="B1395" s="11">
        <f>IFERROR(__xludf.DUMMYFUNCTION("""COMPUTED_VALUE"""),11.0)</f>
        <v>11</v>
      </c>
      <c r="C1395" s="11">
        <f>IFERROR(__xludf.DUMMYFUNCTION("""COMPUTED_VALUE"""),86840.0)</f>
        <v>86840</v>
      </c>
      <c r="D1395" s="11">
        <f>IFERROR(__xludf.DUMMYFUNCTION("""COMPUTED_VALUE"""),1758.0)</f>
        <v>1758</v>
      </c>
      <c r="E1395" s="9"/>
    </row>
    <row r="1396">
      <c r="A1396" s="11">
        <f>IFERROR(__xludf.DUMMYFUNCTION("""COMPUTED_VALUE"""),2021.0)</f>
        <v>2021</v>
      </c>
      <c r="B1396" s="11">
        <f>IFERROR(__xludf.DUMMYFUNCTION("""COMPUTED_VALUE"""),9.0)</f>
        <v>9</v>
      </c>
      <c r="C1396" s="11">
        <f>IFERROR(__xludf.DUMMYFUNCTION("""COMPUTED_VALUE"""),30306.0)</f>
        <v>30306</v>
      </c>
      <c r="D1396" s="11">
        <f>IFERROR(__xludf.DUMMYFUNCTION("""COMPUTED_VALUE"""),82.0)</f>
        <v>82</v>
      </c>
      <c r="E1396" s="9"/>
    </row>
    <row r="1397">
      <c r="A1397" s="11">
        <f>IFERROR(__xludf.DUMMYFUNCTION("""COMPUTED_VALUE"""),2021.0)</f>
        <v>2021</v>
      </c>
      <c r="B1397" s="11">
        <f>IFERROR(__xludf.DUMMYFUNCTION("""COMPUTED_VALUE"""),11.0)</f>
        <v>11</v>
      </c>
      <c r="C1397" s="11">
        <f>IFERROR(__xludf.DUMMYFUNCTION("""COMPUTED_VALUE"""),76427.0)</f>
        <v>76427</v>
      </c>
      <c r="D1397" s="11">
        <f>IFERROR(__xludf.DUMMYFUNCTION("""COMPUTED_VALUE"""),1697.0)</f>
        <v>1697</v>
      </c>
      <c r="E1397" s="9"/>
    </row>
    <row r="1398">
      <c r="A1398" s="11">
        <f>IFERROR(__xludf.DUMMYFUNCTION("""COMPUTED_VALUE"""),2021.0)</f>
        <v>2021</v>
      </c>
      <c r="B1398" s="11">
        <f>IFERROR(__xludf.DUMMYFUNCTION("""COMPUTED_VALUE"""),8.0)</f>
        <v>8</v>
      </c>
      <c r="C1398" s="11">
        <f>IFERROR(__xludf.DUMMYFUNCTION("""COMPUTED_VALUE"""),44706.0)</f>
        <v>44706</v>
      </c>
      <c r="D1398" s="11">
        <f>IFERROR(__xludf.DUMMYFUNCTION("""COMPUTED_VALUE"""),405.0)</f>
        <v>405</v>
      </c>
      <c r="E1398" s="9"/>
    </row>
    <row r="1399">
      <c r="A1399" s="11">
        <f>IFERROR(__xludf.DUMMYFUNCTION("""COMPUTED_VALUE"""),2021.0)</f>
        <v>2021</v>
      </c>
      <c r="B1399" s="11">
        <f>IFERROR(__xludf.DUMMYFUNCTION("""COMPUTED_VALUE"""),11.0)</f>
        <v>11</v>
      </c>
      <c r="C1399" s="11">
        <f>IFERROR(__xludf.DUMMYFUNCTION("""COMPUTED_VALUE"""),44701.0)</f>
        <v>44701</v>
      </c>
      <c r="D1399" s="11">
        <f>IFERROR(__xludf.DUMMYFUNCTION("""COMPUTED_VALUE"""),892.0)</f>
        <v>892</v>
      </c>
      <c r="E1399" s="9"/>
    </row>
    <row r="1400">
      <c r="A1400" s="11">
        <f>IFERROR(__xludf.DUMMYFUNCTION("""COMPUTED_VALUE"""),2021.0)</f>
        <v>2021</v>
      </c>
      <c r="B1400" s="11">
        <f>IFERROR(__xludf.DUMMYFUNCTION("""COMPUTED_VALUE"""),8.0)</f>
        <v>8</v>
      </c>
      <c r="C1400" s="11">
        <f>IFERROR(__xludf.DUMMYFUNCTION("""COMPUTED_VALUE"""),10537.0)</f>
        <v>10537</v>
      </c>
      <c r="D1400" s="11">
        <f>IFERROR(__xludf.DUMMYFUNCTION("""COMPUTED_VALUE"""),1728.0)</f>
        <v>1728</v>
      </c>
      <c r="E1400" s="9"/>
    </row>
    <row r="1401">
      <c r="A1401" s="11">
        <f>IFERROR(__xludf.DUMMYFUNCTION("""COMPUTED_VALUE"""),2021.0)</f>
        <v>2021</v>
      </c>
      <c r="B1401" s="11">
        <f>IFERROR(__xludf.DUMMYFUNCTION("""COMPUTED_VALUE"""),10.0)</f>
        <v>10</v>
      </c>
      <c r="C1401" s="11">
        <f>IFERROR(__xludf.DUMMYFUNCTION("""COMPUTED_VALUE"""),10523.0)</f>
        <v>10523</v>
      </c>
      <c r="D1401" s="11">
        <f>IFERROR(__xludf.DUMMYFUNCTION("""COMPUTED_VALUE"""),1509.0)</f>
        <v>1509</v>
      </c>
      <c r="E1401" s="9"/>
    </row>
    <row r="1402">
      <c r="A1402" s="11">
        <f>IFERROR(__xludf.DUMMYFUNCTION("""COMPUTED_VALUE"""),2021.0)</f>
        <v>2021</v>
      </c>
      <c r="B1402" s="11">
        <f>IFERROR(__xludf.DUMMYFUNCTION("""COMPUTED_VALUE"""),10.0)</f>
        <v>10</v>
      </c>
      <c r="C1402" s="11">
        <f>IFERROR(__xludf.DUMMYFUNCTION("""COMPUTED_VALUE"""),76664.0)</f>
        <v>76664</v>
      </c>
      <c r="D1402" s="11">
        <f>IFERROR(__xludf.DUMMYFUNCTION("""COMPUTED_VALUE"""),1821.0)</f>
        <v>1821</v>
      </c>
      <c r="E1402" s="9"/>
    </row>
    <row r="1403">
      <c r="A1403" s="11">
        <f>IFERROR(__xludf.DUMMYFUNCTION("""COMPUTED_VALUE"""),2021.0)</f>
        <v>2021</v>
      </c>
      <c r="B1403" s="11">
        <f>IFERROR(__xludf.DUMMYFUNCTION("""COMPUTED_VALUE"""),10.0)</f>
        <v>10</v>
      </c>
      <c r="C1403" s="11">
        <f>IFERROR(__xludf.DUMMYFUNCTION("""COMPUTED_VALUE"""),78472.0)</f>
        <v>78472</v>
      </c>
      <c r="D1403" s="11">
        <f>IFERROR(__xludf.DUMMYFUNCTION("""COMPUTED_VALUE"""),1162.0)</f>
        <v>1162</v>
      </c>
      <c r="E1403" s="9"/>
    </row>
    <row r="1404">
      <c r="A1404" s="11">
        <f>IFERROR(__xludf.DUMMYFUNCTION("""COMPUTED_VALUE"""),2021.0)</f>
        <v>2021</v>
      </c>
      <c r="B1404" s="11">
        <f>IFERROR(__xludf.DUMMYFUNCTION("""COMPUTED_VALUE"""),9.0)</f>
        <v>9</v>
      </c>
      <c r="C1404" s="11">
        <f>IFERROR(__xludf.DUMMYFUNCTION("""COMPUTED_VALUE"""),44721.0)</f>
        <v>44721</v>
      </c>
      <c r="D1404" s="11">
        <f>IFERROR(__xludf.DUMMYFUNCTION("""COMPUTED_VALUE"""),1369.0)</f>
        <v>1369</v>
      </c>
      <c r="E1404" s="9"/>
    </row>
    <row r="1405">
      <c r="A1405" s="11">
        <f>IFERROR(__xludf.DUMMYFUNCTION("""COMPUTED_VALUE"""),2021.0)</f>
        <v>2021</v>
      </c>
      <c r="B1405" s="11">
        <f>IFERROR(__xludf.DUMMYFUNCTION("""COMPUTED_VALUE"""),9.0)</f>
        <v>9</v>
      </c>
      <c r="C1405" s="11">
        <f>IFERROR(__xludf.DUMMYFUNCTION("""COMPUTED_VALUE"""),121576.0)</f>
        <v>121576</v>
      </c>
      <c r="D1405" s="11">
        <f>IFERROR(__xludf.DUMMYFUNCTION("""COMPUTED_VALUE"""),1802.0)</f>
        <v>1802</v>
      </c>
      <c r="E1405" s="9"/>
    </row>
    <row r="1406">
      <c r="A1406" s="11">
        <f>IFERROR(__xludf.DUMMYFUNCTION("""COMPUTED_VALUE"""),2021.0)</f>
        <v>2021</v>
      </c>
      <c r="B1406" s="11">
        <f>IFERROR(__xludf.DUMMYFUNCTION("""COMPUTED_VALUE"""),9.0)</f>
        <v>9</v>
      </c>
      <c r="C1406" s="11">
        <f>IFERROR(__xludf.DUMMYFUNCTION("""COMPUTED_VALUE"""),117208.0)</f>
        <v>117208</v>
      </c>
      <c r="D1406" s="11">
        <f>IFERROR(__xludf.DUMMYFUNCTION("""COMPUTED_VALUE"""),691.0)</f>
        <v>691</v>
      </c>
      <c r="E1406" s="9"/>
    </row>
    <row r="1407">
      <c r="A1407" s="11">
        <f>IFERROR(__xludf.DUMMYFUNCTION("""COMPUTED_VALUE"""),2021.0)</f>
        <v>2021</v>
      </c>
      <c r="B1407" s="11">
        <f>IFERROR(__xludf.DUMMYFUNCTION("""COMPUTED_VALUE"""),10.0)</f>
        <v>10</v>
      </c>
      <c r="C1407" s="11">
        <f>IFERROR(__xludf.DUMMYFUNCTION("""COMPUTED_VALUE"""),78497.0)</f>
        <v>78497</v>
      </c>
      <c r="D1407" s="11">
        <f>IFERROR(__xludf.DUMMYFUNCTION("""COMPUTED_VALUE"""),156.0)</f>
        <v>156</v>
      </c>
      <c r="E1407" s="9"/>
    </row>
    <row r="1408">
      <c r="A1408" s="11">
        <f>IFERROR(__xludf.DUMMYFUNCTION("""COMPUTED_VALUE"""),2021.0)</f>
        <v>2021</v>
      </c>
      <c r="B1408" s="11">
        <f>IFERROR(__xludf.DUMMYFUNCTION("""COMPUTED_VALUE"""),11.0)</f>
        <v>11</v>
      </c>
      <c r="C1408" s="11">
        <f>IFERROR(__xludf.DUMMYFUNCTION("""COMPUTED_VALUE"""),44726.0)</f>
        <v>44726</v>
      </c>
      <c r="D1408" s="11">
        <f>IFERROR(__xludf.DUMMYFUNCTION("""COMPUTED_VALUE"""),1925.0)</f>
        <v>1925</v>
      </c>
      <c r="E1408" s="9"/>
    </row>
    <row r="1409">
      <c r="A1409" s="11">
        <f>IFERROR(__xludf.DUMMYFUNCTION("""COMPUTED_VALUE"""),2021.0)</f>
        <v>2021</v>
      </c>
      <c r="B1409" s="11">
        <f>IFERROR(__xludf.DUMMYFUNCTION("""COMPUTED_VALUE"""),11.0)</f>
        <v>11</v>
      </c>
      <c r="C1409" s="11">
        <f>IFERROR(__xludf.DUMMYFUNCTION("""COMPUTED_VALUE"""),117210.0)</f>
        <v>117210</v>
      </c>
      <c r="D1409" s="11">
        <f>IFERROR(__xludf.DUMMYFUNCTION("""COMPUTED_VALUE"""),783.0)</f>
        <v>783</v>
      </c>
      <c r="E1409" s="9"/>
    </row>
    <row r="1410">
      <c r="A1410" s="11">
        <f>IFERROR(__xludf.DUMMYFUNCTION("""COMPUTED_VALUE"""),2021.0)</f>
        <v>2021</v>
      </c>
      <c r="B1410" s="11">
        <f>IFERROR(__xludf.DUMMYFUNCTION("""COMPUTED_VALUE"""),8.0)</f>
        <v>8</v>
      </c>
      <c r="C1410" s="11">
        <f>IFERROR(__xludf.DUMMYFUNCTION("""COMPUTED_VALUE"""),87082.0)</f>
        <v>87082</v>
      </c>
      <c r="D1410" s="11">
        <f>IFERROR(__xludf.DUMMYFUNCTION("""COMPUTED_VALUE"""),1255.0)</f>
        <v>1255</v>
      </c>
      <c r="E1410" s="9"/>
    </row>
    <row r="1411">
      <c r="A1411" s="11">
        <f>IFERROR(__xludf.DUMMYFUNCTION("""COMPUTED_VALUE"""),2021.0)</f>
        <v>2021</v>
      </c>
      <c r="B1411" s="11">
        <f>IFERROR(__xludf.DUMMYFUNCTION("""COMPUTED_VALUE"""),10.0)</f>
        <v>10</v>
      </c>
      <c r="C1411" s="11">
        <f>IFERROR(__xludf.DUMMYFUNCTION("""COMPUTED_VALUE"""),10529.0)</f>
        <v>10529</v>
      </c>
      <c r="D1411" s="11">
        <f>IFERROR(__xludf.DUMMYFUNCTION("""COMPUTED_VALUE"""),91.0)</f>
        <v>91</v>
      </c>
      <c r="E1411" s="9"/>
    </row>
    <row r="1412">
      <c r="A1412" s="11">
        <f>IFERROR(__xludf.DUMMYFUNCTION("""COMPUTED_VALUE"""),2021.0)</f>
        <v>2021</v>
      </c>
      <c r="B1412" s="11">
        <f>IFERROR(__xludf.DUMMYFUNCTION("""COMPUTED_VALUE"""),11.0)</f>
        <v>11</v>
      </c>
      <c r="C1412" s="11">
        <f>IFERROR(__xludf.DUMMYFUNCTION("""COMPUTED_VALUE"""),44705.0)</f>
        <v>44705</v>
      </c>
      <c r="D1412" s="11">
        <f>IFERROR(__xludf.DUMMYFUNCTION("""COMPUTED_VALUE"""),1213.0)</f>
        <v>1213</v>
      </c>
      <c r="E1412" s="9"/>
    </row>
    <row r="1413">
      <c r="A1413" s="11">
        <f>IFERROR(__xludf.DUMMYFUNCTION("""COMPUTED_VALUE"""),2021.0)</f>
        <v>2021</v>
      </c>
      <c r="B1413" s="11">
        <f>IFERROR(__xludf.DUMMYFUNCTION("""COMPUTED_VALUE"""),10.0)</f>
        <v>10</v>
      </c>
      <c r="C1413" s="11">
        <f>IFERROR(__xludf.DUMMYFUNCTION("""COMPUTED_VALUE"""),100564.0)</f>
        <v>100564</v>
      </c>
      <c r="D1413" s="11">
        <f>IFERROR(__xludf.DUMMYFUNCTION("""COMPUTED_VALUE"""),1935.0)</f>
        <v>1935</v>
      </c>
      <c r="E1413" s="9"/>
    </row>
    <row r="1414">
      <c r="A1414" s="11">
        <f>IFERROR(__xludf.DUMMYFUNCTION("""COMPUTED_VALUE"""),2021.0)</f>
        <v>2021</v>
      </c>
      <c r="B1414" s="11">
        <f>IFERROR(__xludf.DUMMYFUNCTION("""COMPUTED_VALUE"""),8.0)</f>
        <v>8</v>
      </c>
      <c r="C1414" s="11">
        <f>IFERROR(__xludf.DUMMYFUNCTION("""COMPUTED_VALUE"""),87193.0)</f>
        <v>87193</v>
      </c>
      <c r="D1414" s="11">
        <f>IFERROR(__xludf.DUMMYFUNCTION("""COMPUTED_VALUE"""),1062.0)</f>
        <v>1062</v>
      </c>
      <c r="E1414" s="9"/>
    </row>
    <row r="1415">
      <c r="A1415" s="11">
        <f>IFERROR(__xludf.DUMMYFUNCTION("""COMPUTED_VALUE"""),2021.0)</f>
        <v>2021</v>
      </c>
      <c r="B1415" s="11">
        <f>IFERROR(__xludf.DUMMYFUNCTION("""COMPUTED_VALUE"""),10.0)</f>
        <v>10</v>
      </c>
      <c r="C1415" s="11">
        <f>IFERROR(__xludf.DUMMYFUNCTION("""COMPUTED_VALUE"""),76044.0)</f>
        <v>76044</v>
      </c>
      <c r="D1415" s="11">
        <f>IFERROR(__xludf.DUMMYFUNCTION("""COMPUTED_VALUE"""),146.0)</f>
        <v>146</v>
      </c>
      <c r="E1415" s="9"/>
    </row>
    <row r="1416">
      <c r="A1416" s="11">
        <f>IFERROR(__xludf.DUMMYFUNCTION("""COMPUTED_VALUE"""),2021.0)</f>
        <v>2021</v>
      </c>
      <c r="B1416" s="11">
        <f>IFERROR(__xludf.DUMMYFUNCTION("""COMPUTED_VALUE"""),8.0)</f>
        <v>8</v>
      </c>
      <c r="C1416" s="11">
        <f>IFERROR(__xludf.DUMMYFUNCTION("""COMPUTED_VALUE"""),121578.0)</f>
        <v>121578</v>
      </c>
      <c r="D1416" s="11">
        <f>IFERROR(__xludf.DUMMYFUNCTION("""COMPUTED_VALUE"""),685.0)</f>
        <v>685</v>
      </c>
      <c r="E1416" s="9"/>
    </row>
    <row r="1417">
      <c r="A1417" s="11">
        <f>IFERROR(__xludf.DUMMYFUNCTION("""COMPUTED_VALUE"""),2021.0)</f>
        <v>2021</v>
      </c>
      <c r="B1417" s="11">
        <f>IFERROR(__xludf.DUMMYFUNCTION("""COMPUTED_VALUE"""),11.0)</f>
        <v>11</v>
      </c>
      <c r="C1417" s="11">
        <f>IFERROR(__xludf.DUMMYFUNCTION("""COMPUTED_VALUE"""),117206.0)</f>
        <v>117206</v>
      </c>
      <c r="D1417" s="11">
        <f>IFERROR(__xludf.DUMMYFUNCTION("""COMPUTED_VALUE"""),328.0)</f>
        <v>328</v>
      </c>
      <c r="E1417" s="9"/>
    </row>
    <row r="1418">
      <c r="A1418" s="11">
        <f>IFERROR(__xludf.DUMMYFUNCTION("""COMPUTED_VALUE"""),2021.0)</f>
        <v>2021</v>
      </c>
      <c r="B1418" s="11">
        <f>IFERROR(__xludf.DUMMYFUNCTION("""COMPUTED_VALUE"""),8.0)</f>
        <v>8</v>
      </c>
      <c r="C1418" s="11">
        <f>IFERROR(__xludf.DUMMYFUNCTION("""COMPUTED_VALUE"""),81519.0)</f>
        <v>81519</v>
      </c>
      <c r="D1418" s="11">
        <f>IFERROR(__xludf.DUMMYFUNCTION("""COMPUTED_VALUE"""),1702.0)</f>
        <v>1702</v>
      </c>
      <c r="E1418" s="9"/>
    </row>
    <row r="1419">
      <c r="A1419" s="11">
        <f>IFERROR(__xludf.DUMMYFUNCTION("""COMPUTED_VALUE"""),2021.0)</f>
        <v>2021</v>
      </c>
      <c r="B1419" s="11">
        <f>IFERROR(__xludf.DUMMYFUNCTION("""COMPUTED_VALUE"""),9.0)</f>
        <v>9</v>
      </c>
      <c r="C1419" s="11">
        <f>IFERROR(__xludf.DUMMYFUNCTION("""COMPUTED_VALUE"""),44724.0)</f>
        <v>44724</v>
      </c>
      <c r="D1419" s="11">
        <f>IFERROR(__xludf.DUMMYFUNCTION("""COMPUTED_VALUE"""),881.0)</f>
        <v>881</v>
      </c>
      <c r="E1419" s="9"/>
    </row>
    <row r="1420">
      <c r="A1420" s="11">
        <f>IFERROR(__xludf.DUMMYFUNCTION("""COMPUTED_VALUE"""),2021.0)</f>
        <v>2021</v>
      </c>
      <c r="B1420" s="11">
        <f>IFERROR(__xludf.DUMMYFUNCTION("""COMPUTED_VALUE"""),11.0)</f>
        <v>11</v>
      </c>
      <c r="C1420" s="11">
        <f>IFERROR(__xludf.DUMMYFUNCTION("""COMPUTED_VALUE"""),82114.0)</f>
        <v>82114</v>
      </c>
      <c r="D1420" s="11">
        <f>IFERROR(__xludf.DUMMYFUNCTION("""COMPUTED_VALUE"""),482.0)</f>
        <v>482</v>
      </c>
      <c r="E1420" s="9"/>
    </row>
    <row r="1421">
      <c r="A1421" s="11">
        <f>IFERROR(__xludf.DUMMYFUNCTION("""COMPUTED_VALUE"""),2021.0)</f>
        <v>2021</v>
      </c>
      <c r="B1421" s="11">
        <f>IFERROR(__xludf.DUMMYFUNCTION("""COMPUTED_VALUE"""),9.0)</f>
        <v>9</v>
      </c>
      <c r="C1421" s="11">
        <f>IFERROR(__xludf.DUMMYFUNCTION("""COMPUTED_VALUE"""),82115.0)</f>
        <v>82115</v>
      </c>
      <c r="D1421" s="11">
        <f>IFERROR(__xludf.DUMMYFUNCTION("""COMPUTED_VALUE"""),1329.0)</f>
        <v>1329</v>
      </c>
      <c r="E1421" s="9"/>
    </row>
    <row r="1422">
      <c r="A1422" s="11">
        <f>IFERROR(__xludf.DUMMYFUNCTION("""COMPUTED_VALUE"""),2021.0)</f>
        <v>2021</v>
      </c>
      <c r="B1422" s="11">
        <f>IFERROR(__xludf.DUMMYFUNCTION("""COMPUTED_VALUE"""),9.0)</f>
        <v>9</v>
      </c>
      <c r="C1422" s="11">
        <f>IFERROR(__xludf.DUMMYFUNCTION("""COMPUTED_VALUE"""),109307.0)</f>
        <v>109307</v>
      </c>
      <c r="D1422" s="11">
        <f>IFERROR(__xludf.DUMMYFUNCTION("""COMPUTED_VALUE"""),287.0)</f>
        <v>287</v>
      </c>
      <c r="E1422" s="9"/>
    </row>
    <row r="1423">
      <c r="A1423" s="11">
        <f>IFERROR(__xludf.DUMMYFUNCTION("""COMPUTED_VALUE"""),2021.0)</f>
        <v>2021</v>
      </c>
      <c r="B1423" s="11">
        <f>IFERROR(__xludf.DUMMYFUNCTION("""COMPUTED_VALUE"""),11.0)</f>
        <v>11</v>
      </c>
      <c r="C1423" s="11">
        <f>IFERROR(__xludf.DUMMYFUNCTION("""COMPUTED_VALUE"""),76046.0)</f>
        <v>76046</v>
      </c>
      <c r="D1423" s="11">
        <f>IFERROR(__xludf.DUMMYFUNCTION("""COMPUTED_VALUE"""),1848.0)</f>
        <v>1848</v>
      </c>
      <c r="E1423" s="9"/>
    </row>
    <row r="1424">
      <c r="A1424" s="11">
        <f>IFERROR(__xludf.DUMMYFUNCTION("""COMPUTED_VALUE"""),2021.0)</f>
        <v>2021</v>
      </c>
      <c r="B1424" s="11">
        <f>IFERROR(__xludf.DUMMYFUNCTION("""COMPUTED_VALUE"""),11.0)</f>
        <v>11</v>
      </c>
      <c r="C1424" s="11">
        <f>IFERROR(__xludf.DUMMYFUNCTION("""COMPUTED_VALUE"""),117187.0)</f>
        <v>117187</v>
      </c>
      <c r="D1424" s="11">
        <f>IFERROR(__xludf.DUMMYFUNCTION("""COMPUTED_VALUE"""),1365.0)</f>
        <v>1365</v>
      </c>
      <c r="E1424" s="9"/>
    </row>
    <row r="1425">
      <c r="A1425" s="11">
        <f>IFERROR(__xludf.DUMMYFUNCTION("""COMPUTED_VALUE"""),2021.0)</f>
        <v>2021</v>
      </c>
      <c r="B1425" s="11">
        <f>IFERROR(__xludf.DUMMYFUNCTION("""COMPUTED_VALUE"""),11.0)</f>
        <v>11</v>
      </c>
      <c r="C1425" s="11">
        <f>IFERROR(__xludf.DUMMYFUNCTION("""COMPUTED_VALUE"""),10538.0)</f>
        <v>10538</v>
      </c>
      <c r="D1425" s="11">
        <f>IFERROR(__xludf.DUMMYFUNCTION("""COMPUTED_VALUE"""),863.0)</f>
        <v>863</v>
      </c>
      <c r="E1425" s="9"/>
    </row>
    <row r="1426">
      <c r="A1426" s="11">
        <f>IFERROR(__xludf.DUMMYFUNCTION("""COMPUTED_VALUE"""),2021.0)</f>
        <v>2021</v>
      </c>
      <c r="B1426" s="11">
        <f>IFERROR(__xludf.DUMMYFUNCTION("""COMPUTED_VALUE"""),10.0)</f>
        <v>10</v>
      </c>
      <c r="C1426" s="11">
        <f>IFERROR(__xludf.DUMMYFUNCTION("""COMPUTED_VALUE"""),78508.0)</f>
        <v>78508</v>
      </c>
      <c r="D1426" s="11">
        <f>IFERROR(__xludf.DUMMYFUNCTION("""COMPUTED_VALUE"""),17.0)</f>
        <v>17</v>
      </c>
      <c r="E1426" s="9"/>
    </row>
    <row r="1427">
      <c r="A1427" s="11">
        <f>IFERROR(__xludf.DUMMYFUNCTION("""COMPUTED_VALUE"""),2021.0)</f>
        <v>2021</v>
      </c>
      <c r="B1427" s="11">
        <f>IFERROR(__xludf.DUMMYFUNCTION("""COMPUTED_VALUE"""),8.0)</f>
        <v>8</v>
      </c>
      <c r="C1427" s="11">
        <f>IFERROR(__xludf.DUMMYFUNCTION("""COMPUTED_VALUE"""),44723.0)</f>
        <v>44723</v>
      </c>
      <c r="D1427" s="11">
        <f>IFERROR(__xludf.DUMMYFUNCTION("""COMPUTED_VALUE"""),467.0)</f>
        <v>467</v>
      </c>
      <c r="E1427" s="9"/>
    </row>
    <row r="1428">
      <c r="A1428" s="11">
        <f>IFERROR(__xludf.DUMMYFUNCTION("""COMPUTED_VALUE"""),2021.0)</f>
        <v>2021</v>
      </c>
      <c r="B1428" s="11">
        <f>IFERROR(__xludf.DUMMYFUNCTION("""COMPUTED_VALUE"""),8.0)</f>
        <v>8</v>
      </c>
      <c r="C1428" s="11">
        <f>IFERROR(__xludf.DUMMYFUNCTION("""COMPUTED_VALUE"""),109309.0)</f>
        <v>109309</v>
      </c>
      <c r="D1428" s="11">
        <f>IFERROR(__xludf.DUMMYFUNCTION("""COMPUTED_VALUE"""),1559.0)</f>
        <v>1559</v>
      </c>
      <c r="E1428" s="9"/>
    </row>
    <row r="1429">
      <c r="A1429" s="11">
        <f>IFERROR(__xludf.DUMMYFUNCTION("""COMPUTED_VALUE"""),2021.0)</f>
        <v>2021</v>
      </c>
      <c r="B1429" s="11">
        <f>IFERROR(__xludf.DUMMYFUNCTION("""COMPUTED_VALUE"""),11.0)</f>
        <v>11</v>
      </c>
      <c r="C1429" s="11">
        <f>IFERROR(__xludf.DUMMYFUNCTION("""COMPUTED_VALUE"""),76656.0)</f>
        <v>76656</v>
      </c>
      <c r="D1429" s="11">
        <f>IFERROR(__xludf.DUMMYFUNCTION("""COMPUTED_VALUE"""),1216.0)</f>
        <v>1216</v>
      </c>
      <c r="E1429" s="9"/>
    </row>
    <row r="1430">
      <c r="A1430" s="11">
        <f>IFERROR(__xludf.DUMMYFUNCTION("""COMPUTED_VALUE"""),2021.0)</f>
        <v>2021</v>
      </c>
      <c r="B1430" s="11">
        <f>IFERROR(__xludf.DUMMYFUNCTION("""COMPUTED_VALUE"""),10.0)</f>
        <v>10</v>
      </c>
      <c r="C1430" s="11">
        <f>IFERROR(__xludf.DUMMYFUNCTION("""COMPUTED_VALUE"""),80305.0)</f>
        <v>80305</v>
      </c>
      <c r="D1430" s="11">
        <f>IFERROR(__xludf.DUMMYFUNCTION("""COMPUTED_VALUE"""),916.0)</f>
        <v>916</v>
      </c>
      <c r="E1430" s="9"/>
    </row>
    <row r="1431">
      <c r="A1431" s="11">
        <f>IFERROR(__xludf.DUMMYFUNCTION("""COMPUTED_VALUE"""),2021.0)</f>
        <v>2021</v>
      </c>
      <c r="B1431" s="11">
        <f>IFERROR(__xludf.DUMMYFUNCTION("""COMPUTED_VALUE"""),10.0)</f>
        <v>10</v>
      </c>
      <c r="C1431" s="11">
        <f>IFERROR(__xludf.DUMMYFUNCTION("""COMPUTED_VALUE"""),78506.0)</f>
        <v>78506</v>
      </c>
      <c r="D1431" s="11">
        <f>IFERROR(__xludf.DUMMYFUNCTION("""COMPUTED_VALUE"""),642.0)</f>
        <v>642</v>
      </c>
      <c r="E1431" s="9"/>
    </row>
    <row r="1432">
      <c r="A1432" s="11">
        <f>IFERROR(__xludf.DUMMYFUNCTION("""COMPUTED_VALUE"""),2021.0)</f>
        <v>2021</v>
      </c>
      <c r="B1432" s="11">
        <f>IFERROR(__xludf.DUMMYFUNCTION("""COMPUTED_VALUE"""),8.0)</f>
        <v>8</v>
      </c>
      <c r="C1432" s="11">
        <f>IFERROR(__xludf.DUMMYFUNCTION("""COMPUTED_VALUE"""),82133.0)</f>
        <v>82133</v>
      </c>
      <c r="D1432" s="11">
        <f>IFERROR(__xludf.DUMMYFUNCTION("""COMPUTED_VALUE"""),176.0)</f>
        <v>176</v>
      </c>
      <c r="E1432" s="9"/>
    </row>
    <row r="1433">
      <c r="A1433" s="11">
        <f>IFERROR(__xludf.DUMMYFUNCTION("""COMPUTED_VALUE"""),2021.0)</f>
        <v>2021</v>
      </c>
      <c r="B1433" s="11">
        <f>IFERROR(__xludf.DUMMYFUNCTION("""COMPUTED_VALUE"""),10.0)</f>
        <v>10</v>
      </c>
      <c r="C1433" s="11">
        <f>IFERROR(__xludf.DUMMYFUNCTION("""COMPUTED_VALUE"""),188805.0)</f>
        <v>188805</v>
      </c>
      <c r="D1433" s="11">
        <f>IFERROR(__xludf.DUMMYFUNCTION("""COMPUTED_VALUE"""),587.0)</f>
        <v>587</v>
      </c>
      <c r="E1433" s="9"/>
    </row>
    <row r="1434">
      <c r="A1434" s="11">
        <f>IFERROR(__xludf.DUMMYFUNCTION("""COMPUTED_VALUE"""),2021.0)</f>
        <v>2021</v>
      </c>
      <c r="B1434" s="11">
        <f>IFERROR(__xludf.DUMMYFUNCTION("""COMPUTED_VALUE"""),8.0)</f>
        <v>8</v>
      </c>
      <c r="C1434" s="11">
        <f>IFERROR(__xludf.DUMMYFUNCTION("""COMPUTED_VALUE"""),78481.0)</f>
        <v>78481</v>
      </c>
      <c r="D1434" s="11">
        <f>IFERROR(__xludf.DUMMYFUNCTION("""COMPUTED_VALUE"""),1944.0)</f>
        <v>1944</v>
      </c>
      <c r="E1434" s="9"/>
    </row>
    <row r="1435">
      <c r="A1435" s="11">
        <f>IFERROR(__xludf.DUMMYFUNCTION("""COMPUTED_VALUE"""),2021.0)</f>
        <v>2021</v>
      </c>
      <c r="B1435" s="11">
        <f>IFERROR(__xludf.DUMMYFUNCTION("""COMPUTED_VALUE"""),11.0)</f>
        <v>11</v>
      </c>
      <c r="C1435" s="11">
        <f>IFERROR(__xludf.DUMMYFUNCTION("""COMPUTED_VALUE"""),109310.0)</f>
        <v>109310</v>
      </c>
      <c r="D1435" s="11">
        <f>IFERROR(__xludf.DUMMYFUNCTION("""COMPUTED_VALUE"""),1456.0)</f>
        <v>1456</v>
      </c>
      <c r="E1435" s="9"/>
    </row>
    <row r="1436">
      <c r="A1436" s="11">
        <f>IFERROR(__xludf.DUMMYFUNCTION("""COMPUTED_VALUE"""),2021.0)</f>
        <v>2021</v>
      </c>
      <c r="B1436" s="11">
        <f>IFERROR(__xludf.DUMMYFUNCTION("""COMPUTED_VALUE"""),8.0)</f>
        <v>8</v>
      </c>
      <c r="C1436" s="11">
        <f>IFERROR(__xludf.DUMMYFUNCTION("""COMPUTED_VALUE"""),120689.0)</f>
        <v>120689</v>
      </c>
      <c r="D1436" s="11">
        <f>IFERROR(__xludf.DUMMYFUNCTION("""COMPUTED_VALUE"""),690.0)</f>
        <v>690</v>
      </c>
      <c r="E1436" s="9"/>
    </row>
    <row r="1437">
      <c r="A1437" s="11">
        <f>IFERROR(__xludf.DUMMYFUNCTION("""COMPUTED_VALUE"""),2021.0)</f>
        <v>2021</v>
      </c>
      <c r="B1437" s="11">
        <f>IFERROR(__xludf.DUMMYFUNCTION("""COMPUTED_VALUE"""),10.0)</f>
        <v>10</v>
      </c>
      <c r="C1437" s="11">
        <f>IFERROR(__xludf.DUMMYFUNCTION("""COMPUTED_VALUE"""),10540.0)</f>
        <v>10540</v>
      </c>
      <c r="D1437" s="11">
        <f>IFERROR(__xludf.DUMMYFUNCTION("""COMPUTED_VALUE"""),1765.0)</f>
        <v>1765</v>
      </c>
      <c r="E1437" s="9"/>
    </row>
    <row r="1438">
      <c r="A1438" s="11">
        <f>IFERROR(__xludf.DUMMYFUNCTION("""COMPUTED_VALUE"""),2021.0)</f>
        <v>2021</v>
      </c>
      <c r="B1438" s="11">
        <f>IFERROR(__xludf.DUMMYFUNCTION("""COMPUTED_VALUE"""),9.0)</f>
        <v>9</v>
      </c>
      <c r="C1438" s="11">
        <f>IFERROR(__xludf.DUMMYFUNCTION("""COMPUTED_VALUE"""),44727.0)</f>
        <v>44727</v>
      </c>
      <c r="D1438" s="11">
        <f>IFERROR(__xludf.DUMMYFUNCTION("""COMPUTED_VALUE"""),440.0)</f>
        <v>440</v>
      </c>
      <c r="E1438" s="9"/>
    </row>
    <row r="1439">
      <c r="A1439" s="11">
        <f>IFERROR(__xludf.DUMMYFUNCTION("""COMPUTED_VALUE"""),2021.0)</f>
        <v>2021</v>
      </c>
      <c r="B1439" s="11">
        <f>IFERROR(__xludf.DUMMYFUNCTION("""COMPUTED_VALUE"""),8.0)</f>
        <v>8</v>
      </c>
      <c r="C1439" s="11">
        <f>IFERROR(__xludf.DUMMYFUNCTION("""COMPUTED_VALUE"""),73190.0)</f>
        <v>73190</v>
      </c>
      <c r="D1439" s="11">
        <f>IFERROR(__xludf.DUMMYFUNCTION("""COMPUTED_VALUE"""),1033.0)</f>
        <v>1033</v>
      </c>
      <c r="E1439" s="9"/>
    </row>
    <row r="1440">
      <c r="A1440" s="11">
        <f>IFERROR(__xludf.DUMMYFUNCTION("""COMPUTED_VALUE"""),2021.0)</f>
        <v>2021</v>
      </c>
      <c r="B1440" s="11">
        <f>IFERROR(__xludf.DUMMYFUNCTION("""COMPUTED_VALUE"""),10.0)</f>
        <v>10</v>
      </c>
      <c r="C1440" s="11">
        <f>IFERROR(__xludf.DUMMYFUNCTION("""COMPUTED_VALUE"""),112169.0)</f>
        <v>112169</v>
      </c>
      <c r="D1440" s="11">
        <f>IFERROR(__xludf.DUMMYFUNCTION("""COMPUTED_VALUE"""),818.0)</f>
        <v>818</v>
      </c>
      <c r="E1440" s="9"/>
    </row>
    <row r="1441">
      <c r="A1441" s="11">
        <f>IFERROR(__xludf.DUMMYFUNCTION("""COMPUTED_VALUE"""),2021.0)</f>
        <v>2021</v>
      </c>
      <c r="B1441" s="11">
        <f>IFERROR(__xludf.DUMMYFUNCTION("""COMPUTED_VALUE"""),9.0)</f>
        <v>9</v>
      </c>
      <c r="C1441" s="11">
        <f>IFERROR(__xludf.DUMMYFUNCTION("""COMPUTED_VALUE"""),120695.0)</f>
        <v>120695</v>
      </c>
      <c r="D1441" s="11">
        <f>IFERROR(__xludf.DUMMYFUNCTION("""COMPUTED_VALUE"""),163.0)</f>
        <v>163</v>
      </c>
      <c r="E1441" s="9"/>
    </row>
    <row r="1442">
      <c r="A1442" s="11">
        <f>IFERROR(__xludf.DUMMYFUNCTION("""COMPUTED_VALUE"""),2021.0)</f>
        <v>2021</v>
      </c>
      <c r="B1442" s="11">
        <f>IFERROR(__xludf.DUMMYFUNCTION("""COMPUTED_VALUE"""),10.0)</f>
        <v>10</v>
      </c>
      <c r="C1442" s="11">
        <f>IFERROR(__xludf.DUMMYFUNCTION("""COMPUTED_VALUE"""),80270.0)</f>
        <v>80270</v>
      </c>
      <c r="D1442" s="11">
        <f>IFERROR(__xludf.DUMMYFUNCTION("""COMPUTED_VALUE"""),488.0)</f>
        <v>488</v>
      </c>
      <c r="E1442" s="9"/>
    </row>
    <row r="1443">
      <c r="A1443" s="11">
        <f>IFERROR(__xludf.DUMMYFUNCTION("""COMPUTED_VALUE"""),2021.0)</f>
        <v>2021</v>
      </c>
      <c r="B1443" s="11">
        <f>IFERROR(__xludf.DUMMYFUNCTION("""COMPUTED_VALUE"""),11.0)</f>
        <v>11</v>
      </c>
      <c r="C1443" s="11">
        <f>IFERROR(__xludf.DUMMYFUNCTION("""COMPUTED_VALUE"""),5795.0)</f>
        <v>5795</v>
      </c>
      <c r="D1443" s="11">
        <f>IFERROR(__xludf.DUMMYFUNCTION("""COMPUTED_VALUE"""),396.0)</f>
        <v>396</v>
      </c>
      <c r="E1443" s="9"/>
    </row>
    <row r="1444">
      <c r="A1444" s="11">
        <f>IFERROR(__xludf.DUMMYFUNCTION("""COMPUTED_VALUE"""),2021.0)</f>
        <v>2021</v>
      </c>
      <c r="B1444" s="11">
        <f>IFERROR(__xludf.DUMMYFUNCTION("""COMPUTED_VALUE"""),9.0)</f>
        <v>9</v>
      </c>
      <c r="C1444" s="11">
        <f>IFERROR(__xludf.DUMMYFUNCTION("""COMPUTED_VALUE"""),107316.0)</f>
        <v>107316</v>
      </c>
      <c r="D1444" s="11">
        <f>IFERROR(__xludf.DUMMYFUNCTION("""COMPUTED_VALUE"""),313.0)</f>
        <v>313</v>
      </c>
      <c r="E1444" s="9"/>
    </row>
    <row r="1445">
      <c r="A1445" s="11">
        <f>IFERROR(__xludf.DUMMYFUNCTION("""COMPUTED_VALUE"""),2021.0)</f>
        <v>2021</v>
      </c>
      <c r="B1445" s="11">
        <f>IFERROR(__xludf.DUMMYFUNCTION("""COMPUTED_VALUE"""),9.0)</f>
        <v>9</v>
      </c>
      <c r="C1445" s="11">
        <f>IFERROR(__xludf.DUMMYFUNCTION("""COMPUTED_VALUE"""),78482.0)</f>
        <v>78482</v>
      </c>
      <c r="D1445" s="11">
        <f>IFERROR(__xludf.DUMMYFUNCTION("""COMPUTED_VALUE"""),590.0)</f>
        <v>590</v>
      </c>
      <c r="E1445" s="9"/>
    </row>
    <row r="1446">
      <c r="A1446" s="11">
        <f>IFERROR(__xludf.DUMMYFUNCTION("""COMPUTED_VALUE"""),2021.0)</f>
        <v>2021</v>
      </c>
      <c r="B1446" s="11">
        <f>IFERROR(__xludf.DUMMYFUNCTION("""COMPUTED_VALUE"""),9.0)</f>
        <v>9</v>
      </c>
      <c r="C1446" s="11">
        <f>IFERROR(__xludf.DUMMYFUNCTION("""COMPUTED_VALUE"""),158473.0)</f>
        <v>158473</v>
      </c>
      <c r="D1446" s="11">
        <f>IFERROR(__xludf.DUMMYFUNCTION("""COMPUTED_VALUE"""),1070.0)</f>
        <v>1070</v>
      </c>
      <c r="E1446" s="9"/>
    </row>
    <row r="1447">
      <c r="A1447" s="11">
        <f>IFERROR(__xludf.DUMMYFUNCTION("""COMPUTED_VALUE"""),2021.0)</f>
        <v>2021</v>
      </c>
      <c r="B1447" s="11">
        <f>IFERROR(__xludf.DUMMYFUNCTION("""COMPUTED_VALUE"""),8.0)</f>
        <v>8</v>
      </c>
      <c r="C1447" s="11">
        <f>IFERROR(__xludf.DUMMYFUNCTION("""COMPUTED_VALUE"""),109308.0)</f>
        <v>109308</v>
      </c>
      <c r="D1447" s="11">
        <f>IFERROR(__xludf.DUMMYFUNCTION("""COMPUTED_VALUE"""),1594.0)</f>
        <v>1594</v>
      </c>
      <c r="E1447" s="9"/>
    </row>
    <row r="1448">
      <c r="A1448" s="11">
        <f>IFERROR(__xludf.DUMMYFUNCTION("""COMPUTED_VALUE"""),2021.0)</f>
        <v>2021</v>
      </c>
      <c r="B1448" s="11">
        <f>IFERROR(__xludf.DUMMYFUNCTION("""COMPUTED_VALUE"""),9.0)</f>
        <v>9</v>
      </c>
      <c r="C1448" s="11">
        <f>IFERROR(__xludf.DUMMYFUNCTION("""COMPUTED_VALUE"""),78507.0)</f>
        <v>78507</v>
      </c>
      <c r="D1448" s="11">
        <f>IFERROR(__xludf.DUMMYFUNCTION("""COMPUTED_VALUE"""),704.0)</f>
        <v>704</v>
      </c>
      <c r="E1448" s="9"/>
    </row>
    <row r="1449">
      <c r="A1449" s="11">
        <f>IFERROR(__xludf.DUMMYFUNCTION("""COMPUTED_VALUE"""),2021.0)</f>
        <v>2021</v>
      </c>
      <c r="B1449" s="11">
        <f>IFERROR(__xludf.DUMMYFUNCTION("""COMPUTED_VALUE"""),11.0)</f>
        <v>11</v>
      </c>
      <c r="C1449" s="11">
        <f>IFERROR(__xludf.DUMMYFUNCTION("""COMPUTED_VALUE"""),100827.0)</f>
        <v>100827</v>
      </c>
      <c r="D1449" s="11">
        <f>IFERROR(__xludf.DUMMYFUNCTION("""COMPUTED_VALUE"""),1122.0)</f>
        <v>1122</v>
      </c>
      <c r="E1449" s="9"/>
    </row>
    <row r="1450">
      <c r="A1450" s="11">
        <f>IFERROR(__xludf.DUMMYFUNCTION("""COMPUTED_VALUE"""),2021.0)</f>
        <v>2021</v>
      </c>
      <c r="B1450" s="11">
        <f>IFERROR(__xludf.DUMMYFUNCTION("""COMPUTED_VALUE"""),9.0)</f>
        <v>9</v>
      </c>
      <c r="C1450" s="11">
        <f>IFERROR(__xludf.DUMMYFUNCTION("""COMPUTED_VALUE"""),102189.0)</f>
        <v>102189</v>
      </c>
      <c r="D1450" s="11">
        <f>IFERROR(__xludf.DUMMYFUNCTION("""COMPUTED_VALUE"""),332.0)</f>
        <v>332</v>
      </c>
      <c r="E1450" s="9"/>
    </row>
    <row r="1451">
      <c r="A1451" s="11">
        <f>IFERROR(__xludf.DUMMYFUNCTION("""COMPUTED_VALUE"""),2021.0)</f>
        <v>2021</v>
      </c>
      <c r="B1451" s="11">
        <f>IFERROR(__xludf.DUMMYFUNCTION("""COMPUTED_VALUE"""),8.0)</f>
        <v>8</v>
      </c>
      <c r="C1451" s="11">
        <f>IFERROR(__xludf.DUMMYFUNCTION("""COMPUTED_VALUE"""),10522.0)</f>
        <v>10522</v>
      </c>
      <c r="D1451" s="11">
        <f>IFERROR(__xludf.DUMMYFUNCTION("""COMPUTED_VALUE"""),664.0)</f>
        <v>664</v>
      </c>
      <c r="E1451" s="9"/>
    </row>
    <row r="1452">
      <c r="A1452" s="11">
        <f>IFERROR(__xludf.DUMMYFUNCTION("""COMPUTED_VALUE"""),2021.0)</f>
        <v>2021</v>
      </c>
      <c r="B1452" s="11">
        <f>IFERROR(__xludf.DUMMYFUNCTION("""COMPUTED_VALUE"""),11.0)</f>
        <v>11</v>
      </c>
      <c r="C1452" s="11">
        <f>IFERROR(__xludf.DUMMYFUNCTION("""COMPUTED_VALUE"""),78467.0)</f>
        <v>78467</v>
      </c>
      <c r="D1452" s="11">
        <f>IFERROR(__xludf.DUMMYFUNCTION("""COMPUTED_VALUE"""),1082.0)</f>
        <v>1082</v>
      </c>
      <c r="E1452" s="9"/>
    </row>
    <row r="1453">
      <c r="A1453" s="11">
        <f>IFERROR(__xludf.DUMMYFUNCTION("""COMPUTED_VALUE"""),2021.0)</f>
        <v>2021</v>
      </c>
      <c r="B1453" s="11">
        <f>IFERROR(__xludf.DUMMYFUNCTION("""COMPUTED_VALUE"""),11.0)</f>
        <v>11</v>
      </c>
      <c r="C1453" s="11">
        <f>IFERROR(__xludf.DUMMYFUNCTION("""COMPUTED_VALUE"""),84367.0)</f>
        <v>84367</v>
      </c>
      <c r="D1453" s="11">
        <f>IFERROR(__xludf.DUMMYFUNCTION("""COMPUTED_VALUE"""),659.0)</f>
        <v>659</v>
      </c>
      <c r="E1453" s="9"/>
    </row>
    <row r="1454">
      <c r="A1454" s="11">
        <f>IFERROR(__xludf.DUMMYFUNCTION("""COMPUTED_VALUE"""),2021.0)</f>
        <v>2021</v>
      </c>
      <c r="B1454" s="11">
        <f>IFERROR(__xludf.DUMMYFUNCTION("""COMPUTED_VALUE"""),8.0)</f>
        <v>8</v>
      </c>
      <c r="C1454" s="11">
        <f>IFERROR(__xludf.DUMMYFUNCTION("""COMPUTED_VALUE"""),87402.0)</f>
        <v>87402</v>
      </c>
      <c r="D1454" s="11">
        <f>IFERROR(__xludf.DUMMYFUNCTION("""COMPUTED_VALUE"""),442.0)</f>
        <v>442</v>
      </c>
      <c r="E1454" s="9"/>
    </row>
    <row r="1455">
      <c r="A1455" s="11">
        <f>IFERROR(__xludf.DUMMYFUNCTION("""COMPUTED_VALUE"""),2021.0)</f>
        <v>2021</v>
      </c>
      <c r="B1455" s="11">
        <f>IFERROR(__xludf.DUMMYFUNCTION("""COMPUTED_VALUE"""),11.0)</f>
        <v>11</v>
      </c>
      <c r="C1455" s="11">
        <f>IFERROR(__xludf.DUMMYFUNCTION("""COMPUTED_VALUE"""),44707.0)</f>
        <v>44707</v>
      </c>
      <c r="D1455" s="11">
        <f>IFERROR(__xludf.DUMMYFUNCTION("""COMPUTED_VALUE"""),704.0)</f>
        <v>704</v>
      </c>
      <c r="E1455" s="9"/>
    </row>
    <row r="1456">
      <c r="A1456" s="11">
        <f>IFERROR(__xludf.DUMMYFUNCTION("""COMPUTED_VALUE"""),2021.0)</f>
        <v>2021</v>
      </c>
      <c r="B1456" s="11">
        <f>IFERROR(__xludf.DUMMYFUNCTION("""COMPUTED_VALUE"""),10.0)</f>
        <v>10</v>
      </c>
      <c r="C1456" s="11">
        <f>IFERROR(__xludf.DUMMYFUNCTION("""COMPUTED_VALUE"""),78400.0)</f>
        <v>78400</v>
      </c>
      <c r="D1456" s="11">
        <f>IFERROR(__xludf.DUMMYFUNCTION("""COMPUTED_VALUE"""),1878.0)</f>
        <v>1878</v>
      </c>
      <c r="E1456" s="9"/>
    </row>
    <row r="1457">
      <c r="A1457" s="11">
        <f>IFERROR(__xludf.DUMMYFUNCTION("""COMPUTED_VALUE"""),2021.0)</f>
        <v>2021</v>
      </c>
      <c r="B1457" s="11">
        <f>IFERROR(__xludf.DUMMYFUNCTION("""COMPUTED_VALUE"""),11.0)</f>
        <v>11</v>
      </c>
      <c r="C1457" s="11">
        <f>IFERROR(__xludf.DUMMYFUNCTION("""COMPUTED_VALUE"""),102188.0)</f>
        <v>102188</v>
      </c>
      <c r="D1457" s="11">
        <f>IFERROR(__xludf.DUMMYFUNCTION("""COMPUTED_VALUE"""),835.0)</f>
        <v>835</v>
      </c>
      <c r="E1457" s="9"/>
    </row>
    <row r="1458">
      <c r="A1458" s="11">
        <f>IFERROR(__xludf.DUMMYFUNCTION("""COMPUTED_VALUE"""),2021.0)</f>
        <v>2021</v>
      </c>
      <c r="B1458" s="11">
        <f>IFERROR(__xludf.DUMMYFUNCTION("""COMPUTED_VALUE"""),8.0)</f>
        <v>8</v>
      </c>
      <c r="C1458" s="11">
        <f>IFERROR(__xludf.DUMMYFUNCTION("""COMPUTED_VALUE"""),73173.0)</f>
        <v>73173</v>
      </c>
      <c r="D1458" s="11">
        <f>IFERROR(__xludf.DUMMYFUNCTION("""COMPUTED_VALUE"""),811.0)</f>
        <v>811</v>
      </c>
      <c r="E1458" s="9"/>
    </row>
    <row r="1459">
      <c r="A1459" s="11">
        <f>IFERROR(__xludf.DUMMYFUNCTION("""COMPUTED_VALUE"""),2021.0)</f>
        <v>2021</v>
      </c>
      <c r="B1459" s="11">
        <f>IFERROR(__xludf.DUMMYFUNCTION("""COMPUTED_VALUE"""),10.0)</f>
        <v>10</v>
      </c>
      <c r="C1459" s="11">
        <f>IFERROR(__xludf.DUMMYFUNCTION("""COMPUTED_VALUE"""),76661.0)</f>
        <v>76661</v>
      </c>
      <c r="D1459" s="11">
        <f>IFERROR(__xludf.DUMMYFUNCTION("""COMPUTED_VALUE"""),1773.0)</f>
        <v>1773</v>
      </c>
      <c r="E1459" s="9"/>
    </row>
    <row r="1460">
      <c r="A1460" s="11">
        <f>IFERROR(__xludf.DUMMYFUNCTION("""COMPUTED_VALUE"""),2021.0)</f>
        <v>2021</v>
      </c>
      <c r="B1460" s="11">
        <f>IFERROR(__xludf.DUMMYFUNCTION("""COMPUTED_VALUE"""),10.0)</f>
        <v>10</v>
      </c>
      <c r="C1460" s="11">
        <f>IFERROR(__xludf.DUMMYFUNCTION("""COMPUTED_VALUE"""),78479.0)</f>
        <v>78479</v>
      </c>
      <c r="D1460" s="11">
        <f>IFERROR(__xludf.DUMMYFUNCTION("""COMPUTED_VALUE"""),462.0)</f>
        <v>462</v>
      </c>
      <c r="E1460" s="9"/>
    </row>
    <row r="1461">
      <c r="A1461" s="11">
        <f>IFERROR(__xludf.DUMMYFUNCTION("""COMPUTED_VALUE"""),2021.0)</f>
        <v>2021</v>
      </c>
      <c r="B1461" s="11">
        <f>IFERROR(__xludf.DUMMYFUNCTION("""COMPUTED_VALUE"""),9.0)</f>
        <v>9</v>
      </c>
      <c r="C1461" s="11">
        <f>IFERROR(__xludf.DUMMYFUNCTION("""COMPUTED_VALUE"""),103401.0)</f>
        <v>103401</v>
      </c>
      <c r="D1461" s="11">
        <f>IFERROR(__xludf.DUMMYFUNCTION("""COMPUTED_VALUE"""),604.0)</f>
        <v>604</v>
      </c>
      <c r="E1461" s="9"/>
    </row>
    <row r="1462">
      <c r="A1462" s="11">
        <f>IFERROR(__xludf.DUMMYFUNCTION("""COMPUTED_VALUE"""),2021.0)</f>
        <v>2021</v>
      </c>
      <c r="B1462" s="11">
        <f>IFERROR(__xludf.DUMMYFUNCTION("""COMPUTED_VALUE"""),8.0)</f>
        <v>8</v>
      </c>
      <c r="C1462" s="11">
        <f>IFERROR(__xludf.DUMMYFUNCTION("""COMPUTED_VALUE"""),83340.0)</f>
        <v>83340</v>
      </c>
      <c r="D1462" s="11">
        <f>IFERROR(__xludf.DUMMYFUNCTION("""COMPUTED_VALUE"""),527.0)</f>
        <v>527</v>
      </c>
      <c r="E1462" s="9"/>
    </row>
    <row r="1463">
      <c r="A1463" s="11">
        <f>IFERROR(__xludf.DUMMYFUNCTION("""COMPUTED_VALUE"""),2021.0)</f>
        <v>2021</v>
      </c>
      <c r="B1463" s="11">
        <f>IFERROR(__xludf.DUMMYFUNCTION("""COMPUTED_VALUE"""),9.0)</f>
        <v>9</v>
      </c>
      <c r="C1463" s="11">
        <f>IFERROR(__xludf.DUMMYFUNCTION("""COMPUTED_VALUE"""),44725.0)</f>
        <v>44725</v>
      </c>
      <c r="D1463" s="11">
        <f>IFERROR(__xludf.DUMMYFUNCTION("""COMPUTED_VALUE"""),1621.0)</f>
        <v>1621</v>
      </c>
      <c r="E1463" s="9"/>
    </row>
    <row r="1464">
      <c r="A1464" s="11">
        <f>IFERROR(__xludf.DUMMYFUNCTION("""COMPUTED_VALUE"""),2021.0)</f>
        <v>2021</v>
      </c>
      <c r="B1464" s="11">
        <f>IFERROR(__xludf.DUMMYFUNCTION("""COMPUTED_VALUE"""),11.0)</f>
        <v>11</v>
      </c>
      <c r="C1464" s="11">
        <f>IFERROR(__xludf.DUMMYFUNCTION("""COMPUTED_VALUE"""),109311.0)</f>
        <v>109311</v>
      </c>
      <c r="D1464" s="11">
        <f>IFERROR(__xludf.DUMMYFUNCTION("""COMPUTED_VALUE"""),211.0)</f>
        <v>211</v>
      </c>
      <c r="E1464" s="9"/>
    </row>
    <row r="1465">
      <c r="A1465" s="11">
        <f>IFERROR(__xludf.DUMMYFUNCTION("""COMPUTED_VALUE"""),2021.0)</f>
        <v>2021</v>
      </c>
      <c r="B1465" s="11">
        <f>IFERROR(__xludf.DUMMYFUNCTION("""COMPUTED_VALUE"""),8.0)</f>
        <v>8</v>
      </c>
      <c r="C1465" s="11">
        <f>IFERROR(__xludf.DUMMYFUNCTION("""COMPUTED_VALUE"""),133901.0)</f>
        <v>133901</v>
      </c>
      <c r="D1465" s="11">
        <f>IFERROR(__xludf.DUMMYFUNCTION("""COMPUTED_VALUE"""),1445.0)</f>
        <v>1445</v>
      </c>
      <c r="E1465" s="9"/>
    </row>
    <row r="1466">
      <c r="A1466" s="11">
        <f>IFERROR(__xludf.DUMMYFUNCTION("""COMPUTED_VALUE"""),2021.0)</f>
        <v>2021</v>
      </c>
      <c r="B1466" s="11">
        <f>IFERROR(__xludf.DUMMYFUNCTION("""COMPUTED_VALUE"""),8.0)</f>
        <v>8</v>
      </c>
      <c r="C1466" s="11">
        <f>IFERROR(__xludf.DUMMYFUNCTION("""COMPUTED_VALUE"""),92678.0)</f>
        <v>92678</v>
      </c>
      <c r="D1466" s="11">
        <f>IFERROR(__xludf.DUMMYFUNCTION("""COMPUTED_VALUE"""),1475.0)</f>
        <v>1475</v>
      </c>
      <c r="E1466" s="9"/>
    </row>
    <row r="1467">
      <c r="A1467" s="11">
        <f>IFERROR(__xludf.DUMMYFUNCTION("""COMPUTED_VALUE"""),2021.0)</f>
        <v>2021</v>
      </c>
      <c r="B1467" s="11">
        <f>IFERROR(__xludf.DUMMYFUNCTION("""COMPUTED_VALUE"""),11.0)</f>
        <v>11</v>
      </c>
      <c r="C1467" s="11">
        <f>IFERROR(__xludf.DUMMYFUNCTION("""COMPUTED_VALUE"""),82447.0)</f>
        <v>82447</v>
      </c>
      <c r="D1467" s="11">
        <f>IFERROR(__xludf.DUMMYFUNCTION("""COMPUTED_VALUE"""),1724.0)</f>
        <v>1724</v>
      </c>
      <c r="E1467" s="9"/>
    </row>
    <row r="1468">
      <c r="A1468" s="11">
        <f>IFERROR(__xludf.DUMMYFUNCTION("""COMPUTED_VALUE"""),2021.0)</f>
        <v>2021</v>
      </c>
      <c r="B1468" s="11">
        <f>IFERROR(__xludf.DUMMYFUNCTION("""COMPUTED_VALUE"""),8.0)</f>
        <v>8</v>
      </c>
      <c r="C1468" s="11">
        <f>IFERROR(__xludf.DUMMYFUNCTION("""COMPUTED_VALUE"""),110126.0)</f>
        <v>110126</v>
      </c>
      <c r="D1468" s="11">
        <f>IFERROR(__xludf.DUMMYFUNCTION("""COMPUTED_VALUE"""),1743.0)</f>
        <v>1743</v>
      </c>
      <c r="E1468" s="9"/>
    </row>
    <row r="1469">
      <c r="A1469" s="11">
        <f>IFERROR(__xludf.DUMMYFUNCTION("""COMPUTED_VALUE"""),2021.0)</f>
        <v>2021</v>
      </c>
      <c r="B1469" s="11">
        <f>IFERROR(__xludf.DUMMYFUNCTION("""COMPUTED_VALUE"""),11.0)</f>
        <v>11</v>
      </c>
      <c r="C1469" s="11">
        <f>IFERROR(__xludf.DUMMYFUNCTION("""COMPUTED_VALUE"""),3219.0)</f>
        <v>3219</v>
      </c>
      <c r="D1469" s="11">
        <f>IFERROR(__xludf.DUMMYFUNCTION("""COMPUTED_VALUE"""),1733.0)</f>
        <v>1733</v>
      </c>
      <c r="E1469" s="9"/>
    </row>
    <row r="1470">
      <c r="A1470" s="11">
        <f>IFERROR(__xludf.DUMMYFUNCTION("""COMPUTED_VALUE"""),2021.0)</f>
        <v>2021</v>
      </c>
      <c r="B1470" s="11">
        <f>IFERROR(__xludf.DUMMYFUNCTION("""COMPUTED_VALUE"""),10.0)</f>
        <v>10</v>
      </c>
      <c r="C1470" s="11">
        <f>IFERROR(__xludf.DUMMYFUNCTION("""COMPUTED_VALUE"""),127007.0)</f>
        <v>127007</v>
      </c>
      <c r="D1470" s="11">
        <f>IFERROR(__xludf.DUMMYFUNCTION("""COMPUTED_VALUE"""),1942.0)</f>
        <v>1942</v>
      </c>
      <c r="E1470" s="9"/>
    </row>
    <row r="1471">
      <c r="A1471" s="11">
        <f>IFERROR(__xludf.DUMMYFUNCTION("""COMPUTED_VALUE"""),2021.0)</f>
        <v>2021</v>
      </c>
      <c r="B1471" s="11">
        <f>IFERROR(__xludf.DUMMYFUNCTION("""COMPUTED_VALUE"""),9.0)</f>
        <v>9</v>
      </c>
      <c r="C1471" s="11">
        <f>IFERROR(__xludf.DUMMYFUNCTION("""COMPUTED_VALUE"""),102277.0)</f>
        <v>102277</v>
      </c>
      <c r="D1471" s="11">
        <f>IFERROR(__xludf.DUMMYFUNCTION("""COMPUTED_VALUE"""),1788.0)</f>
        <v>1788</v>
      </c>
      <c r="E1471" s="9"/>
    </row>
    <row r="1472">
      <c r="A1472" s="11">
        <f>IFERROR(__xludf.DUMMYFUNCTION("""COMPUTED_VALUE"""),2021.0)</f>
        <v>2021</v>
      </c>
      <c r="B1472" s="11">
        <f>IFERROR(__xludf.DUMMYFUNCTION("""COMPUTED_VALUE"""),8.0)</f>
        <v>8</v>
      </c>
      <c r="C1472" s="11">
        <f>IFERROR(__xludf.DUMMYFUNCTION("""COMPUTED_VALUE"""),122544.0)</f>
        <v>122544</v>
      </c>
      <c r="D1472" s="11">
        <f>IFERROR(__xludf.DUMMYFUNCTION("""COMPUTED_VALUE"""),1087.0)</f>
        <v>1087</v>
      </c>
      <c r="E1472" s="9"/>
    </row>
    <row r="1473">
      <c r="A1473" s="11">
        <f>IFERROR(__xludf.DUMMYFUNCTION("""COMPUTED_VALUE"""),2021.0)</f>
        <v>2021</v>
      </c>
      <c r="B1473" s="11">
        <f>IFERROR(__xludf.DUMMYFUNCTION("""COMPUTED_VALUE"""),9.0)</f>
        <v>9</v>
      </c>
      <c r="C1473" s="11">
        <f>IFERROR(__xludf.DUMMYFUNCTION("""COMPUTED_VALUE"""),91486.0)</f>
        <v>91486</v>
      </c>
      <c r="D1473" s="11">
        <f>IFERROR(__xludf.DUMMYFUNCTION("""COMPUTED_VALUE"""),1597.0)</f>
        <v>1597</v>
      </c>
      <c r="E1473" s="9"/>
    </row>
    <row r="1474">
      <c r="A1474" s="11">
        <f>IFERROR(__xludf.DUMMYFUNCTION("""COMPUTED_VALUE"""),2021.0)</f>
        <v>2021</v>
      </c>
      <c r="B1474" s="11">
        <f>IFERROR(__xludf.DUMMYFUNCTION("""COMPUTED_VALUE"""),10.0)</f>
        <v>10</v>
      </c>
      <c r="C1474" s="11">
        <f>IFERROR(__xludf.DUMMYFUNCTION("""COMPUTED_VALUE"""),28009.0)</f>
        <v>28009</v>
      </c>
      <c r="D1474" s="11">
        <f>IFERROR(__xludf.DUMMYFUNCTION("""COMPUTED_VALUE"""),609.0)</f>
        <v>609</v>
      </c>
      <c r="E1474" s="9"/>
    </row>
    <row r="1475">
      <c r="A1475" s="11">
        <f>IFERROR(__xludf.DUMMYFUNCTION("""COMPUTED_VALUE"""),2021.0)</f>
        <v>2021</v>
      </c>
      <c r="B1475" s="11">
        <f>IFERROR(__xludf.DUMMYFUNCTION("""COMPUTED_VALUE"""),11.0)</f>
        <v>11</v>
      </c>
      <c r="C1475" s="11">
        <f>IFERROR(__xludf.DUMMYFUNCTION("""COMPUTED_VALUE"""),110814.0)</f>
        <v>110814</v>
      </c>
      <c r="D1475" s="11">
        <f>IFERROR(__xludf.DUMMYFUNCTION("""COMPUTED_VALUE"""),498.0)</f>
        <v>498</v>
      </c>
      <c r="E1475" s="9"/>
    </row>
    <row r="1476">
      <c r="A1476" s="11">
        <f>IFERROR(__xludf.DUMMYFUNCTION("""COMPUTED_VALUE"""),2021.0)</f>
        <v>2021</v>
      </c>
      <c r="B1476" s="11">
        <f>IFERROR(__xludf.DUMMYFUNCTION("""COMPUTED_VALUE"""),10.0)</f>
        <v>10</v>
      </c>
      <c r="C1476" s="11">
        <f>IFERROR(__xludf.DUMMYFUNCTION("""COMPUTED_VALUE"""),117437.0)</f>
        <v>117437</v>
      </c>
      <c r="D1476" s="11">
        <f>IFERROR(__xludf.DUMMYFUNCTION("""COMPUTED_VALUE"""),526.0)</f>
        <v>526</v>
      </c>
      <c r="E1476" s="9"/>
    </row>
    <row r="1477">
      <c r="A1477" s="11">
        <f>IFERROR(__xludf.DUMMYFUNCTION("""COMPUTED_VALUE"""),2021.0)</f>
        <v>2021</v>
      </c>
      <c r="B1477" s="11">
        <f>IFERROR(__xludf.DUMMYFUNCTION("""COMPUTED_VALUE"""),11.0)</f>
        <v>11</v>
      </c>
      <c r="C1477" s="11">
        <f>IFERROR(__xludf.DUMMYFUNCTION("""COMPUTED_VALUE"""),23074.0)</f>
        <v>23074</v>
      </c>
      <c r="D1477" s="11">
        <f>IFERROR(__xludf.DUMMYFUNCTION("""COMPUTED_VALUE"""),1816.0)</f>
        <v>1816</v>
      </c>
      <c r="E1477" s="9"/>
    </row>
    <row r="1478">
      <c r="A1478" s="11">
        <f>IFERROR(__xludf.DUMMYFUNCTION("""COMPUTED_VALUE"""),2021.0)</f>
        <v>2021</v>
      </c>
      <c r="B1478" s="11">
        <f>IFERROR(__xludf.DUMMYFUNCTION("""COMPUTED_VALUE"""),10.0)</f>
        <v>10</v>
      </c>
      <c r="C1478" s="11">
        <f>IFERROR(__xludf.DUMMYFUNCTION("""COMPUTED_VALUE"""),8900.0)</f>
        <v>8900</v>
      </c>
      <c r="D1478" s="11">
        <f>IFERROR(__xludf.DUMMYFUNCTION("""COMPUTED_VALUE"""),373.0)</f>
        <v>373</v>
      </c>
      <c r="E1478" s="9"/>
    </row>
    <row r="1479">
      <c r="A1479" s="11">
        <f>IFERROR(__xludf.DUMMYFUNCTION("""COMPUTED_VALUE"""),2021.0)</f>
        <v>2021</v>
      </c>
      <c r="B1479" s="11">
        <f>IFERROR(__xludf.DUMMYFUNCTION("""COMPUTED_VALUE"""),9.0)</f>
        <v>9</v>
      </c>
      <c r="C1479" s="11">
        <f>IFERROR(__xludf.DUMMYFUNCTION("""COMPUTED_VALUE"""),92676.0)</f>
        <v>92676</v>
      </c>
      <c r="D1479" s="11">
        <f>IFERROR(__xludf.DUMMYFUNCTION("""COMPUTED_VALUE"""),782.0)</f>
        <v>782</v>
      </c>
      <c r="E1479" s="9"/>
    </row>
    <row r="1480">
      <c r="A1480" s="11">
        <f>IFERROR(__xludf.DUMMYFUNCTION("""COMPUTED_VALUE"""),2021.0)</f>
        <v>2021</v>
      </c>
      <c r="B1480" s="11">
        <f>IFERROR(__xludf.DUMMYFUNCTION("""COMPUTED_VALUE"""),8.0)</f>
        <v>8</v>
      </c>
      <c r="C1480" s="11">
        <f>IFERROR(__xludf.DUMMYFUNCTION("""COMPUTED_VALUE"""),117266.0)</f>
        <v>117266</v>
      </c>
      <c r="D1480" s="11">
        <f>IFERROR(__xludf.DUMMYFUNCTION("""COMPUTED_VALUE"""),455.0)</f>
        <v>455</v>
      </c>
      <c r="E1480" s="9"/>
    </row>
    <row r="1481">
      <c r="A1481" s="11">
        <f>IFERROR(__xludf.DUMMYFUNCTION("""COMPUTED_VALUE"""),2021.0)</f>
        <v>2021</v>
      </c>
      <c r="B1481" s="11">
        <f>IFERROR(__xludf.DUMMYFUNCTION("""COMPUTED_VALUE"""),11.0)</f>
        <v>11</v>
      </c>
      <c r="C1481" s="11">
        <f>IFERROR(__xludf.DUMMYFUNCTION("""COMPUTED_VALUE"""),14527.0)</f>
        <v>14527</v>
      </c>
      <c r="D1481" s="11">
        <f>IFERROR(__xludf.DUMMYFUNCTION("""COMPUTED_VALUE"""),1099.0)</f>
        <v>1099</v>
      </c>
      <c r="E1481" s="9"/>
    </row>
    <row r="1482">
      <c r="A1482" s="11">
        <f>IFERROR(__xludf.DUMMYFUNCTION("""COMPUTED_VALUE"""),2021.0)</f>
        <v>2021</v>
      </c>
      <c r="B1482" s="11">
        <f>IFERROR(__xludf.DUMMYFUNCTION("""COMPUTED_VALUE"""),10.0)</f>
        <v>10</v>
      </c>
      <c r="C1482" s="11">
        <f>IFERROR(__xludf.DUMMYFUNCTION("""COMPUTED_VALUE"""),27534.0)</f>
        <v>27534</v>
      </c>
      <c r="D1482" s="11">
        <f>IFERROR(__xludf.DUMMYFUNCTION("""COMPUTED_VALUE"""),722.0)</f>
        <v>722</v>
      </c>
      <c r="E1482" s="9"/>
    </row>
    <row r="1483">
      <c r="A1483" s="11">
        <f>IFERROR(__xludf.DUMMYFUNCTION("""COMPUTED_VALUE"""),2021.0)</f>
        <v>2021</v>
      </c>
      <c r="B1483" s="11">
        <f>IFERROR(__xludf.DUMMYFUNCTION("""COMPUTED_VALUE"""),8.0)</f>
        <v>8</v>
      </c>
      <c r="C1483" s="11">
        <f>IFERROR(__xludf.DUMMYFUNCTION("""COMPUTED_VALUE"""),91636.0)</f>
        <v>91636</v>
      </c>
      <c r="D1483" s="11">
        <f>IFERROR(__xludf.DUMMYFUNCTION("""COMPUTED_VALUE"""),1094.0)</f>
        <v>1094</v>
      </c>
      <c r="E1483" s="9"/>
    </row>
    <row r="1484">
      <c r="A1484" s="11">
        <f>IFERROR(__xludf.DUMMYFUNCTION("""COMPUTED_VALUE"""),2021.0)</f>
        <v>2021</v>
      </c>
      <c r="B1484" s="11">
        <f>IFERROR(__xludf.DUMMYFUNCTION("""COMPUTED_VALUE"""),8.0)</f>
        <v>8</v>
      </c>
      <c r="C1484" s="11">
        <f>IFERROR(__xludf.DUMMYFUNCTION("""COMPUTED_VALUE"""),120941.0)</f>
        <v>120941</v>
      </c>
      <c r="D1484" s="11">
        <f>IFERROR(__xludf.DUMMYFUNCTION("""COMPUTED_VALUE"""),578.0)</f>
        <v>578</v>
      </c>
      <c r="E1484" s="9"/>
    </row>
    <row r="1485">
      <c r="A1485" s="11">
        <f>IFERROR(__xludf.DUMMYFUNCTION("""COMPUTED_VALUE"""),2021.0)</f>
        <v>2021</v>
      </c>
      <c r="B1485" s="11">
        <f>IFERROR(__xludf.DUMMYFUNCTION("""COMPUTED_VALUE"""),8.0)</f>
        <v>8</v>
      </c>
      <c r="C1485" s="11">
        <f>IFERROR(__xludf.DUMMYFUNCTION("""COMPUTED_VALUE"""),111897.0)</f>
        <v>111897</v>
      </c>
      <c r="D1485" s="11">
        <f>IFERROR(__xludf.DUMMYFUNCTION("""COMPUTED_VALUE"""),1120.0)</f>
        <v>1120</v>
      </c>
      <c r="E1485" s="9"/>
    </row>
    <row r="1486">
      <c r="A1486" s="11">
        <f>IFERROR(__xludf.DUMMYFUNCTION("""COMPUTED_VALUE"""),2021.0)</f>
        <v>2021</v>
      </c>
      <c r="B1486" s="11">
        <f>IFERROR(__xludf.DUMMYFUNCTION("""COMPUTED_VALUE"""),8.0)</f>
        <v>8</v>
      </c>
      <c r="C1486" s="11">
        <f>IFERROR(__xludf.DUMMYFUNCTION("""COMPUTED_VALUE"""),158485.0)</f>
        <v>158485</v>
      </c>
      <c r="D1486" s="11">
        <f>IFERROR(__xludf.DUMMYFUNCTION("""COMPUTED_VALUE"""),351.0)</f>
        <v>351</v>
      </c>
      <c r="E1486" s="9"/>
    </row>
    <row r="1487">
      <c r="A1487" s="11">
        <f>IFERROR(__xludf.DUMMYFUNCTION("""COMPUTED_VALUE"""),2021.0)</f>
        <v>2021</v>
      </c>
      <c r="B1487" s="11">
        <f>IFERROR(__xludf.DUMMYFUNCTION("""COMPUTED_VALUE"""),8.0)</f>
        <v>8</v>
      </c>
      <c r="C1487" s="11">
        <f>IFERROR(__xludf.DUMMYFUNCTION("""COMPUTED_VALUE"""),199530.0)</f>
        <v>199530</v>
      </c>
      <c r="D1487" s="11">
        <f>IFERROR(__xludf.DUMMYFUNCTION("""COMPUTED_VALUE"""),1036.0)</f>
        <v>1036</v>
      </c>
      <c r="E1487" s="9"/>
    </row>
    <row r="1488">
      <c r="A1488" s="11">
        <f>IFERROR(__xludf.DUMMYFUNCTION("""COMPUTED_VALUE"""),2021.0)</f>
        <v>2021</v>
      </c>
      <c r="B1488" s="11">
        <f>IFERROR(__xludf.DUMMYFUNCTION("""COMPUTED_VALUE"""),10.0)</f>
        <v>10</v>
      </c>
      <c r="C1488" s="11">
        <f>IFERROR(__xludf.DUMMYFUNCTION("""COMPUTED_VALUE"""),120946.0)</f>
        <v>120946</v>
      </c>
      <c r="D1488" s="11">
        <f>IFERROR(__xludf.DUMMYFUNCTION("""COMPUTED_VALUE"""),42.0)</f>
        <v>42</v>
      </c>
      <c r="E1488" s="9"/>
    </row>
    <row r="1489">
      <c r="A1489" s="11">
        <f>IFERROR(__xludf.DUMMYFUNCTION("""COMPUTED_VALUE"""),2021.0)</f>
        <v>2021</v>
      </c>
      <c r="B1489" s="11">
        <f>IFERROR(__xludf.DUMMYFUNCTION("""COMPUTED_VALUE"""),8.0)</f>
        <v>8</v>
      </c>
      <c r="C1489" s="11">
        <f>IFERROR(__xludf.DUMMYFUNCTION("""COMPUTED_VALUE"""),82957.0)</f>
        <v>82957</v>
      </c>
      <c r="D1489" s="11">
        <f>IFERROR(__xludf.DUMMYFUNCTION("""COMPUTED_VALUE"""),103.0)</f>
        <v>103</v>
      </c>
      <c r="E1489" s="9"/>
    </row>
    <row r="1490">
      <c r="A1490" s="11">
        <f>IFERROR(__xludf.DUMMYFUNCTION("""COMPUTED_VALUE"""),2021.0)</f>
        <v>2021</v>
      </c>
      <c r="B1490" s="11">
        <f>IFERROR(__xludf.DUMMYFUNCTION("""COMPUTED_VALUE"""),10.0)</f>
        <v>10</v>
      </c>
      <c r="C1490" s="11">
        <f>IFERROR(__xludf.DUMMYFUNCTION("""COMPUTED_VALUE"""),109830.0)</f>
        <v>109830</v>
      </c>
      <c r="D1490" s="11">
        <f>IFERROR(__xludf.DUMMYFUNCTION("""COMPUTED_VALUE"""),210.0)</f>
        <v>210</v>
      </c>
      <c r="E1490" s="9"/>
    </row>
    <row r="1491">
      <c r="A1491" s="11">
        <f>IFERROR(__xludf.DUMMYFUNCTION("""COMPUTED_VALUE"""),2021.0)</f>
        <v>2021</v>
      </c>
      <c r="B1491" s="11">
        <f>IFERROR(__xludf.DUMMYFUNCTION("""COMPUTED_VALUE"""),8.0)</f>
        <v>8</v>
      </c>
      <c r="C1491" s="11">
        <f>IFERROR(__xludf.DUMMYFUNCTION("""COMPUTED_VALUE"""),109831.0)</f>
        <v>109831</v>
      </c>
      <c r="D1491" s="11">
        <f>IFERROR(__xludf.DUMMYFUNCTION("""COMPUTED_VALUE"""),1131.0)</f>
        <v>1131</v>
      </c>
      <c r="E1491" s="9"/>
    </row>
    <row r="1492">
      <c r="A1492" s="11">
        <f>IFERROR(__xludf.DUMMYFUNCTION("""COMPUTED_VALUE"""),2021.0)</f>
        <v>2021</v>
      </c>
      <c r="B1492" s="11">
        <f>IFERROR(__xludf.DUMMYFUNCTION("""COMPUTED_VALUE"""),9.0)</f>
        <v>9</v>
      </c>
      <c r="C1492" s="11">
        <f>IFERROR(__xludf.DUMMYFUNCTION("""COMPUTED_VALUE"""),107899.0)</f>
        <v>107899</v>
      </c>
      <c r="D1492" s="11">
        <f>IFERROR(__xludf.DUMMYFUNCTION("""COMPUTED_VALUE"""),1602.0)</f>
        <v>1602</v>
      </c>
      <c r="E1492" s="9"/>
    </row>
    <row r="1493">
      <c r="A1493" s="11">
        <f>IFERROR(__xludf.DUMMYFUNCTION("""COMPUTED_VALUE"""),2021.0)</f>
        <v>2021</v>
      </c>
      <c r="B1493" s="11">
        <f>IFERROR(__xludf.DUMMYFUNCTION("""COMPUTED_VALUE"""),8.0)</f>
        <v>8</v>
      </c>
      <c r="C1493" s="11">
        <f>IFERROR(__xludf.DUMMYFUNCTION("""COMPUTED_VALUE"""),139289.0)</f>
        <v>139289</v>
      </c>
      <c r="D1493" s="11">
        <f>IFERROR(__xludf.DUMMYFUNCTION("""COMPUTED_VALUE"""),1535.0)</f>
        <v>1535</v>
      </c>
      <c r="E1493" s="9"/>
    </row>
    <row r="1494">
      <c r="A1494" s="11">
        <f>IFERROR(__xludf.DUMMYFUNCTION("""COMPUTED_VALUE"""),2021.0)</f>
        <v>2021</v>
      </c>
      <c r="B1494" s="11">
        <f>IFERROR(__xludf.DUMMYFUNCTION("""COMPUTED_VALUE"""),11.0)</f>
        <v>11</v>
      </c>
      <c r="C1494" s="11">
        <f>IFERROR(__xludf.DUMMYFUNCTION("""COMPUTED_VALUE"""),72129.0)</f>
        <v>72129</v>
      </c>
      <c r="D1494" s="11">
        <f>IFERROR(__xludf.DUMMYFUNCTION("""COMPUTED_VALUE"""),1299.0)</f>
        <v>1299</v>
      </c>
      <c r="E1494" s="9"/>
    </row>
    <row r="1495">
      <c r="A1495" s="11">
        <f>IFERROR(__xludf.DUMMYFUNCTION("""COMPUTED_VALUE"""),2021.0)</f>
        <v>2021</v>
      </c>
      <c r="B1495" s="11">
        <f>IFERROR(__xludf.DUMMYFUNCTION("""COMPUTED_VALUE"""),8.0)</f>
        <v>8</v>
      </c>
      <c r="C1495" s="11">
        <f>IFERROR(__xludf.DUMMYFUNCTION("""COMPUTED_VALUE"""),106541.0)</f>
        <v>106541</v>
      </c>
      <c r="D1495" s="11">
        <f>IFERROR(__xludf.DUMMYFUNCTION("""COMPUTED_VALUE"""),1424.0)</f>
        <v>1424</v>
      </c>
      <c r="E1495" s="9"/>
    </row>
    <row r="1496">
      <c r="A1496" s="11">
        <f>IFERROR(__xludf.DUMMYFUNCTION("""COMPUTED_VALUE"""),2021.0)</f>
        <v>2021</v>
      </c>
      <c r="B1496" s="11">
        <f>IFERROR(__xludf.DUMMYFUNCTION("""COMPUTED_VALUE"""),10.0)</f>
        <v>10</v>
      </c>
      <c r="C1496" s="11">
        <f>IFERROR(__xludf.DUMMYFUNCTION("""COMPUTED_VALUE"""),43810.0)</f>
        <v>43810</v>
      </c>
      <c r="D1496" s="11">
        <f>IFERROR(__xludf.DUMMYFUNCTION("""COMPUTED_VALUE"""),508.0)</f>
        <v>508</v>
      </c>
      <c r="E1496" s="9"/>
    </row>
    <row r="1497">
      <c r="A1497" s="11">
        <f>IFERROR(__xludf.DUMMYFUNCTION("""COMPUTED_VALUE"""),2021.0)</f>
        <v>2021</v>
      </c>
      <c r="B1497" s="11">
        <f>IFERROR(__xludf.DUMMYFUNCTION("""COMPUTED_VALUE"""),11.0)</f>
        <v>11</v>
      </c>
      <c r="C1497" s="11">
        <f>IFERROR(__xludf.DUMMYFUNCTION("""COMPUTED_VALUE"""),83117.0)</f>
        <v>83117</v>
      </c>
      <c r="D1497" s="11">
        <f>IFERROR(__xludf.DUMMYFUNCTION("""COMPUTED_VALUE"""),390.0)</f>
        <v>390</v>
      </c>
      <c r="E1497" s="9"/>
    </row>
    <row r="1498">
      <c r="A1498" s="11">
        <f>IFERROR(__xludf.DUMMYFUNCTION("""COMPUTED_VALUE"""),2021.0)</f>
        <v>2021</v>
      </c>
      <c r="B1498" s="11">
        <f>IFERROR(__xludf.DUMMYFUNCTION("""COMPUTED_VALUE"""),8.0)</f>
        <v>8</v>
      </c>
      <c r="C1498" s="11">
        <f>IFERROR(__xludf.DUMMYFUNCTION("""COMPUTED_VALUE"""),78863.0)</f>
        <v>78863</v>
      </c>
      <c r="D1498" s="11">
        <f>IFERROR(__xludf.DUMMYFUNCTION("""COMPUTED_VALUE"""),1875.0)</f>
        <v>1875</v>
      </c>
      <c r="E1498" s="9"/>
    </row>
    <row r="1499">
      <c r="A1499" s="11">
        <f>IFERROR(__xludf.DUMMYFUNCTION("""COMPUTED_VALUE"""),2021.0)</f>
        <v>2021</v>
      </c>
      <c r="B1499" s="11">
        <f>IFERROR(__xludf.DUMMYFUNCTION("""COMPUTED_VALUE"""),8.0)</f>
        <v>8</v>
      </c>
      <c r="C1499" s="11">
        <f>IFERROR(__xludf.DUMMYFUNCTION("""COMPUTED_VALUE"""),107898.0)</f>
        <v>107898</v>
      </c>
      <c r="D1499" s="11">
        <f>IFERROR(__xludf.DUMMYFUNCTION("""COMPUTED_VALUE"""),1798.0)</f>
        <v>1798</v>
      </c>
      <c r="E1499" s="9"/>
    </row>
    <row r="1500">
      <c r="A1500" s="11">
        <f>IFERROR(__xludf.DUMMYFUNCTION("""COMPUTED_VALUE"""),2021.0)</f>
        <v>2021</v>
      </c>
      <c r="B1500" s="11">
        <f>IFERROR(__xludf.DUMMYFUNCTION("""COMPUTED_VALUE"""),11.0)</f>
        <v>11</v>
      </c>
      <c r="C1500" s="11">
        <f>IFERROR(__xludf.DUMMYFUNCTION("""COMPUTED_VALUE"""),80181.0)</f>
        <v>80181</v>
      </c>
      <c r="D1500" s="11">
        <f>IFERROR(__xludf.DUMMYFUNCTION("""COMPUTED_VALUE"""),29.0)</f>
        <v>29</v>
      </c>
      <c r="E1500" s="9"/>
    </row>
    <row r="1501">
      <c r="A1501" s="11">
        <f>IFERROR(__xludf.DUMMYFUNCTION("""COMPUTED_VALUE"""),2021.0)</f>
        <v>2021</v>
      </c>
      <c r="B1501" s="11">
        <f>IFERROR(__xludf.DUMMYFUNCTION("""COMPUTED_VALUE"""),8.0)</f>
        <v>8</v>
      </c>
      <c r="C1501" s="11">
        <f>IFERROR(__xludf.DUMMYFUNCTION("""COMPUTED_VALUE"""),150280.0)</f>
        <v>150280</v>
      </c>
      <c r="D1501" s="11">
        <f>IFERROR(__xludf.DUMMYFUNCTION("""COMPUTED_VALUE"""),1724.0)</f>
        <v>1724</v>
      </c>
      <c r="E1501" s="9"/>
    </row>
    <row r="1502">
      <c r="A1502" s="11">
        <f>IFERROR(__xludf.DUMMYFUNCTION("""COMPUTED_VALUE"""),2021.0)</f>
        <v>2021</v>
      </c>
      <c r="B1502" s="11">
        <f>IFERROR(__xludf.DUMMYFUNCTION("""COMPUTED_VALUE"""),11.0)</f>
        <v>11</v>
      </c>
      <c r="C1502" s="11">
        <f>IFERROR(__xludf.DUMMYFUNCTION("""COMPUTED_VALUE"""),80173.0)</f>
        <v>80173</v>
      </c>
      <c r="D1502" s="11">
        <f>IFERROR(__xludf.DUMMYFUNCTION("""COMPUTED_VALUE"""),1493.0)</f>
        <v>1493</v>
      </c>
      <c r="E1502" s="9"/>
    </row>
    <row r="1503">
      <c r="A1503" s="11">
        <f>IFERROR(__xludf.DUMMYFUNCTION("""COMPUTED_VALUE"""),2021.0)</f>
        <v>2021</v>
      </c>
      <c r="B1503" s="11">
        <f>IFERROR(__xludf.DUMMYFUNCTION("""COMPUTED_VALUE"""),8.0)</f>
        <v>8</v>
      </c>
      <c r="C1503" s="11">
        <f>IFERROR(__xludf.DUMMYFUNCTION("""COMPUTED_VALUE"""),100647.0)</f>
        <v>100647</v>
      </c>
      <c r="D1503" s="11">
        <f>IFERROR(__xludf.DUMMYFUNCTION("""COMPUTED_VALUE"""),1943.0)</f>
        <v>1943</v>
      </c>
      <c r="E1503" s="9"/>
    </row>
    <row r="1504">
      <c r="A1504" s="11">
        <f>IFERROR(__xludf.DUMMYFUNCTION("""COMPUTED_VALUE"""),2021.0)</f>
        <v>2021</v>
      </c>
      <c r="B1504" s="11">
        <f>IFERROR(__xludf.DUMMYFUNCTION("""COMPUTED_VALUE"""),9.0)</f>
        <v>9</v>
      </c>
      <c r="C1504" s="11">
        <f>IFERROR(__xludf.DUMMYFUNCTION("""COMPUTED_VALUE"""),147273.0)</f>
        <v>147273</v>
      </c>
      <c r="D1504" s="11">
        <f>IFERROR(__xludf.DUMMYFUNCTION("""COMPUTED_VALUE"""),1146.0)</f>
        <v>1146</v>
      </c>
      <c r="E1504" s="9"/>
    </row>
    <row r="1505">
      <c r="A1505" s="11">
        <f>IFERROR(__xludf.DUMMYFUNCTION("""COMPUTED_VALUE"""),2021.0)</f>
        <v>2021</v>
      </c>
      <c r="B1505" s="11">
        <f>IFERROR(__xludf.DUMMYFUNCTION("""COMPUTED_VALUE"""),10.0)</f>
        <v>10</v>
      </c>
      <c r="C1505" s="11">
        <f>IFERROR(__xludf.DUMMYFUNCTION("""COMPUTED_VALUE"""),83770.0)</f>
        <v>83770</v>
      </c>
      <c r="D1505" s="11">
        <f>IFERROR(__xludf.DUMMYFUNCTION("""COMPUTED_VALUE"""),1118.0)</f>
        <v>1118</v>
      </c>
      <c r="E1505" s="9"/>
    </row>
    <row r="1506">
      <c r="A1506" s="11">
        <f>IFERROR(__xludf.DUMMYFUNCTION("""COMPUTED_VALUE"""),2021.0)</f>
        <v>2021</v>
      </c>
      <c r="B1506" s="11">
        <f>IFERROR(__xludf.DUMMYFUNCTION("""COMPUTED_VALUE"""),9.0)</f>
        <v>9</v>
      </c>
      <c r="C1506" s="11">
        <f>IFERROR(__xludf.DUMMYFUNCTION("""COMPUTED_VALUE"""),180773.0)</f>
        <v>180773</v>
      </c>
      <c r="D1506" s="11">
        <f>IFERROR(__xludf.DUMMYFUNCTION("""COMPUTED_VALUE"""),822.0)</f>
        <v>822</v>
      </c>
      <c r="E1506" s="9"/>
    </row>
    <row r="1507">
      <c r="A1507" s="11">
        <f>IFERROR(__xludf.DUMMYFUNCTION("""COMPUTED_VALUE"""),2021.0)</f>
        <v>2021</v>
      </c>
      <c r="B1507" s="11">
        <f>IFERROR(__xludf.DUMMYFUNCTION("""COMPUTED_VALUE"""),10.0)</f>
        <v>10</v>
      </c>
      <c r="C1507" s="11">
        <f>IFERROR(__xludf.DUMMYFUNCTION("""COMPUTED_VALUE"""),80125.0)</f>
        <v>80125</v>
      </c>
      <c r="D1507" s="11">
        <f>IFERROR(__xludf.DUMMYFUNCTION("""COMPUTED_VALUE"""),703.0)</f>
        <v>703</v>
      </c>
      <c r="E1507" s="9"/>
    </row>
    <row r="1508">
      <c r="A1508" s="11">
        <f>IFERROR(__xludf.DUMMYFUNCTION("""COMPUTED_VALUE"""),2021.0)</f>
        <v>2021</v>
      </c>
      <c r="B1508" s="11">
        <f>IFERROR(__xludf.DUMMYFUNCTION("""COMPUTED_VALUE"""),11.0)</f>
        <v>11</v>
      </c>
      <c r="C1508" s="11">
        <f>IFERROR(__xludf.DUMMYFUNCTION("""COMPUTED_VALUE"""),89909.0)</f>
        <v>89909</v>
      </c>
      <c r="D1508" s="11">
        <f>IFERROR(__xludf.DUMMYFUNCTION("""COMPUTED_VALUE"""),1265.0)</f>
        <v>1265</v>
      </c>
      <c r="E1508" s="9"/>
    </row>
    <row r="1509">
      <c r="A1509" s="11">
        <f>IFERROR(__xludf.DUMMYFUNCTION("""COMPUTED_VALUE"""),2021.0)</f>
        <v>2021</v>
      </c>
      <c r="B1509" s="11">
        <f>IFERROR(__xludf.DUMMYFUNCTION("""COMPUTED_VALUE"""),10.0)</f>
        <v>10</v>
      </c>
      <c r="C1509" s="11">
        <f>IFERROR(__xludf.DUMMYFUNCTION("""COMPUTED_VALUE"""),80114.0)</f>
        <v>80114</v>
      </c>
      <c r="D1509" s="11">
        <f>IFERROR(__xludf.DUMMYFUNCTION("""COMPUTED_VALUE"""),1512.0)</f>
        <v>1512</v>
      </c>
      <c r="E1509" s="9"/>
    </row>
    <row r="1510">
      <c r="A1510" s="11">
        <f>IFERROR(__xludf.DUMMYFUNCTION("""COMPUTED_VALUE"""),2021.0)</f>
        <v>2021</v>
      </c>
      <c r="B1510" s="11">
        <f>IFERROR(__xludf.DUMMYFUNCTION("""COMPUTED_VALUE"""),11.0)</f>
        <v>11</v>
      </c>
      <c r="C1510" s="11">
        <f>IFERROR(__xludf.DUMMYFUNCTION("""COMPUTED_VALUE"""),73916.0)</f>
        <v>73916</v>
      </c>
      <c r="D1510" s="11">
        <f>IFERROR(__xludf.DUMMYFUNCTION("""COMPUTED_VALUE"""),1357.0)</f>
        <v>1357</v>
      </c>
      <c r="E1510" s="9"/>
    </row>
    <row r="1511">
      <c r="A1511" s="11">
        <f>IFERROR(__xludf.DUMMYFUNCTION("""COMPUTED_VALUE"""),2021.0)</f>
        <v>2021</v>
      </c>
      <c r="B1511" s="11">
        <f>IFERROR(__xludf.DUMMYFUNCTION("""COMPUTED_VALUE"""),10.0)</f>
        <v>10</v>
      </c>
      <c r="C1511" s="11">
        <f>IFERROR(__xludf.DUMMYFUNCTION("""COMPUTED_VALUE"""),80117.0)</f>
        <v>80117</v>
      </c>
      <c r="D1511" s="11">
        <f>IFERROR(__xludf.DUMMYFUNCTION("""COMPUTED_VALUE"""),981.0)</f>
        <v>981</v>
      </c>
      <c r="E1511" s="9"/>
    </row>
    <row r="1512">
      <c r="A1512" s="11">
        <f>IFERROR(__xludf.DUMMYFUNCTION("""COMPUTED_VALUE"""),2021.0)</f>
        <v>2021</v>
      </c>
      <c r="B1512" s="11">
        <f>IFERROR(__xludf.DUMMYFUNCTION("""COMPUTED_VALUE"""),8.0)</f>
        <v>8</v>
      </c>
      <c r="C1512" s="11">
        <f>IFERROR(__xludf.DUMMYFUNCTION("""COMPUTED_VALUE"""),22008.0)</f>
        <v>22008</v>
      </c>
      <c r="D1512" s="11">
        <f>IFERROR(__xludf.DUMMYFUNCTION("""COMPUTED_VALUE"""),1865.0)</f>
        <v>1865</v>
      </c>
      <c r="E1512" s="9"/>
    </row>
    <row r="1513">
      <c r="A1513" s="11">
        <f>IFERROR(__xludf.DUMMYFUNCTION("""COMPUTED_VALUE"""),2021.0)</f>
        <v>2021</v>
      </c>
      <c r="B1513" s="11">
        <f>IFERROR(__xludf.DUMMYFUNCTION("""COMPUTED_VALUE"""),11.0)</f>
        <v>11</v>
      </c>
      <c r="C1513" s="11">
        <f>IFERROR(__xludf.DUMMYFUNCTION("""COMPUTED_VALUE"""),76608.0)</f>
        <v>76608</v>
      </c>
      <c r="D1513" s="11">
        <f>IFERROR(__xludf.DUMMYFUNCTION("""COMPUTED_VALUE"""),1537.0)</f>
        <v>1537</v>
      </c>
      <c r="E1513" s="9"/>
    </row>
    <row r="1514">
      <c r="A1514" s="11">
        <f>IFERROR(__xludf.DUMMYFUNCTION("""COMPUTED_VALUE"""),2021.0)</f>
        <v>2021</v>
      </c>
      <c r="B1514" s="11">
        <f>IFERROR(__xludf.DUMMYFUNCTION("""COMPUTED_VALUE"""),8.0)</f>
        <v>8</v>
      </c>
      <c r="C1514" s="11">
        <f>IFERROR(__xludf.DUMMYFUNCTION("""COMPUTED_VALUE"""),80793.0)</f>
        <v>80793</v>
      </c>
      <c r="D1514" s="11">
        <f>IFERROR(__xludf.DUMMYFUNCTION("""COMPUTED_VALUE"""),1060.0)</f>
        <v>1060</v>
      </c>
      <c r="E1514" s="9"/>
    </row>
    <row r="1515">
      <c r="A1515" s="11">
        <f>IFERROR(__xludf.DUMMYFUNCTION("""COMPUTED_VALUE"""),2021.0)</f>
        <v>2021</v>
      </c>
      <c r="B1515" s="11">
        <f>IFERROR(__xludf.DUMMYFUNCTION("""COMPUTED_VALUE"""),9.0)</f>
        <v>9</v>
      </c>
      <c r="C1515" s="11">
        <f>IFERROR(__xludf.DUMMYFUNCTION("""COMPUTED_VALUE"""),102588.0)</f>
        <v>102588</v>
      </c>
      <c r="D1515" s="11">
        <f>IFERROR(__xludf.DUMMYFUNCTION("""COMPUTED_VALUE"""),318.0)</f>
        <v>318</v>
      </c>
      <c r="E1515" s="9"/>
    </row>
    <row r="1516">
      <c r="A1516" s="11">
        <f>IFERROR(__xludf.DUMMYFUNCTION("""COMPUTED_VALUE"""),2021.0)</f>
        <v>2021</v>
      </c>
      <c r="B1516" s="11">
        <f>IFERROR(__xludf.DUMMYFUNCTION("""COMPUTED_VALUE"""),9.0)</f>
        <v>9</v>
      </c>
      <c r="C1516" s="11">
        <f>IFERROR(__xludf.DUMMYFUNCTION("""COMPUTED_VALUE"""),80794.0)</f>
        <v>80794</v>
      </c>
      <c r="D1516" s="11">
        <f>IFERROR(__xludf.DUMMYFUNCTION("""COMPUTED_VALUE"""),1156.0)</f>
        <v>1156</v>
      </c>
      <c r="E1516" s="9"/>
    </row>
    <row r="1517">
      <c r="A1517" s="11">
        <f>IFERROR(__xludf.DUMMYFUNCTION("""COMPUTED_VALUE"""),2021.0)</f>
        <v>2021</v>
      </c>
      <c r="B1517" s="11">
        <f>IFERROR(__xludf.DUMMYFUNCTION("""COMPUTED_VALUE"""),11.0)</f>
        <v>11</v>
      </c>
      <c r="C1517" s="11">
        <f>IFERROR(__xludf.DUMMYFUNCTION("""COMPUTED_VALUE"""),80174.0)</f>
        <v>80174</v>
      </c>
      <c r="D1517" s="11">
        <f>IFERROR(__xludf.DUMMYFUNCTION("""COMPUTED_VALUE"""),1745.0)</f>
        <v>1745</v>
      </c>
      <c r="E1517" s="9"/>
    </row>
    <row r="1518">
      <c r="A1518" s="11">
        <f>IFERROR(__xludf.DUMMYFUNCTION("""COMPUTED_VALUE"""),2021.0)</f>
        <v>2021</v>
      </c>
      <c r="B1518" s="11">
        <f>IFERROR(__xludf.DUMMYFUNCTION("""COMPUTED_VALUE"""),10.0)</f>
        <v>10</v>
      </c>
      <c r="C1518" s="11">
        <f>IFERROR(__xludf.DUMMYFUNCTION("""COMPUTED_VALUE"""),114722.0)</f>
        <v>114722</v>
      </c>
      <c r="D1518" s="11">
        <f>IFERROR(__xludf.DUMMYFUNCTION("""COMPUTED_VALUE"""),1687.0)</f>
        <v>1687</v>
      </c>
      <c r="E1518" s="9"/>
    </row>
    <row r="1519">
      <c r="A1519" s="11">
        <f>IFERROR(__xludf.DUMMYFUNCTION("""COMPUTED_VALUE"""),2021.0)</f>
        <v>2021</v>
      </c>
      <c r="B1519" s="11">
        <f>IFERROR(__xludf.DUMMYFUNCTION("""COMPUTED_VALUE"""),9.0)</f>
        <v>9</v>
      </c>
      <c r="C1519" s="11">
        <f>IFERROR(__xludf.DUMMYFUNCTION("""COMPUTED_VALUE"""),180843.0)</f>
        <v>180843</v>
      </c>
      <c r="D1519" s="11">
        <f>IFERROR(__xludf.DUMMYFUNCTION("""COMPUTED_VALUE"""),447.0)</f>
        <v>447</v>
      </c>
      <c r="E1519" s="9"/>
    </row>
    <row r="1520">
      <c r="A1520" s="11">
        <f>IFERROR(__xludf.DUMMYFUNCTION("""COMPUTED_VALUE"""),2021.0)</f>
        <v>2021</v>
      </c>
      <c r="B1520" s="11">
        <f>IFERROR(__xludf.DUMMYFUNCTION("""COMPUTED_VALUE"""),10.0)</f>
        <v>10</v>
      </c>
      <c r="C1520" s="11">
        <f>IFERROR(__xludf.DUMMYFUNCTION("""COMPUTED_VALUE"""),22020.0)</f>
        <v>22020</v>
      </c>
      <c r="D1520" s="11">
        <f>IFERROR(__xludf.DUMMYFUNCTION("""COMPUTED_VALUE"""),1739.0)</f>
        <v>1739</v>
      </c>
      <c r="E1520" s="9"/>
    </row>
    <row r="1521">
      <c r="A1521" s="11">
        <f>IFERROR(__xludf.DUMMYFUNCTION("""COMPUTED_VALUE"""),2021.0)</f>
        <v>2021</v>
      </c>
      <c r="B1521" s="11">
        <f>IFERROR(__xludf.DUMMYFUNCTION("""COMPUTED_VALUE"""),10.0)</f>
        <v>10</v>
      </c>
      <c r="C1521" s="11">
        <f>IFERROR(__xludf.DUMMYFUNCTION("""COMPUTED_VALUE"""),111259.0)</f>
        <v>111259</v>
      </c>
      <c r="D1521" s="11">
        <f>IFERROR(__xludf.DUMMYFUNCTION("""COMPUTED_VALUE"""),89.0)</f>
        <v>89</v>
      </c>
      <c r="E1521" s="9"/>
    </row>
    <row r="1522">
      <c r="A1522" s="11">
        <f>IFERROR(__xludf.DUMMYFUNCTION("""COMPUTED_VALUE"""),2021.0)</f>
        <v>2021</v>
      </c>
      <c r="B1522" s="11">
        <f>IFERROR(__xludf.DUMMYFUNCTION("""COMPUTED_VALUE"""),9.0)</f>
        <v>9</v>
      </c>
      <c r="C1522" s="11">
        <f>IFERROR(__xludf.DUMMYFUNCTION("""COMPUTED_VALUE"""),89895.0)</f>
        <v>89895</v>
      </c>
      <c r="D1522" s="11">
        <f>IFERROR(__xludf.DUMMYFUNCTION("""COMPUTED_VALUE"""),771.0)</f>
        <v>771</v>
      </c>
      <c r="E1522" s="9"/>
    </row>
    <row r="1523">
      <c r="A1523" s="11">
        <f>IFERROR(__xludf.DUMMYFUNCTION("""COMPUTED_VALUE"""),2021.0)</f>
        <v>2021</v>
      </c>
      <c r="B1523" s="11">
        <f>IFERROR(__xludf.DUMMYFUNCTION("""COMPUTED_VALUE"""),10.0)</f>
        <v>10</v>
      </c>
      <c r="C1523" s="11">
        <f>IFERROR(__xludf.DUMMYFUNCTION("""COMPUTED_VALUE"""),22014.0)</f>
        <v>22014</v>
      </c>
      <c r="D1523" s="11">
        <f>IFERROR(__xludf.DUMMYFUNCTION("""COMPUTED_VALUE"""),1489.0)</f>
        <v>1489</v>
      </c>
      <c r="E1523" s="9"/>
    </row>
    <row r="1524">
      <c r="A1524" s="11">
        <f>IFERROR(__xludf.DUMMYFUNCTION("""COMPUTED_VALUE"""),2021.0)</f>
        <v>2021</v>
      </c>
      <c r="B1524" s="11">
        <f>IFERROR(__xludf.DUMMYFUNCTION("""COMPUTED_VALUE"""),11.0)</f>
        <v>11</v>
      </c>
      <c r="C1524" s="11">
        <f>IFERROR(__xludf.DUMMYFUNCTION("""COMPUTED_VALUE"""),44254.0)</f>
        <v>44254</v>
      </c>
      <c r="D1524" s="11">
        <f>IFERROR(__xludf.DUMMYFUNCTION("""COMPUTED_VALUE"""),808.0)</f>
        <v>808</v>
      </c>
      <c r="E1524" s="9"/>
    </row>
    <row r="1525">
      <c r="A1525" s="11">
        <f>IFERROR(__xludf.DUMMYFUNCTION("""COMPUTED_VALUE"""),2021.0)</f>
        <v>2021</v>
      </c>
      <c r="B1525" s="11">
        <f>IFERROR(__xludf.DUMMYFUNCTION("""COMPUTED_VALUE"""),9.0)</f>
        <v>9</v>
      </c>
      <c r="C1525" s="11">
        <f>IFERROR(__xludf.DUMMYFUNCTION("""COMPUTED_VALUE"""),22025.0)</f>
        <v>22025</v>
      </c>
      <c r="D1525" s="11">
        <f>IFERROR(__xludf.DUMMYFUNCTION("""COMPUTED_VALUE"""),109.0)</f>
        <v>109</v>
      </c>
      <c r="E1525" s="9"/>
    </row>
    <row r="1526">
      <c r="A1526" s="11">
        <f>IFERROR(__xludf.DUMMYFUNCTION("""COMPUTED_VALUE"""),2021.0)</f>
        <v>2021</v>
      </c>
      <c r="B1526" s="11">
        <f>IFERROR(__xludf.DUMMYFUNCTION("""COMPUTED_VALUE"""),11.0)</f>
        <v>11</v>
      </c>
      <c r="C1526" s="11">
        <f>IFERROR(__xludf.DUMMYFUNCTION("""COMPUTED_VALUE"""),83765.0)</f>
        <v>83765</v>
      </c>
      <c r="D1526" s="11">
        <f>IFERROR(__xludf.DUMMYFUNCTION("""COMPUTED_VALUE"""),800.0)</f>
        <v>800</v>
      </c>
      <c r="E1526" s="9"/>
    </row>
    <row r="1527">
      <c r="A1527" s="11">
        <f>IFERROR(__xludf.DUMMYFUNCTION("""COMPUTED_VALUE"""),2021.0)</f>
        <v>2021</v>
      </c>
      <c r="B1527" s="11">
        <f>IFERROR(__xludf.DUMMYFUNCTION("""COMPUTED_VALUE"""),11.0)</f>
        <v>11</v>
      </c>
      <c r="C1527" s="11">
        <f>IFERROR(__xludf.DUMMYFUNCTION("""COMPUTED_VALUE"""),89930.0)</f>
        <v>89930</v>
      </c>
      <c r="D1527" s="11">
        <f>IFERROR(__xludf.DUMMYFUNCTION("""COMPUTED_VALUE"""),1230.0)</f>
        <v>1230</v>
      </c>
      <c r="E1527" s="9"/>
    </row>
    <row r="1528">
      <c r="A1528" s="11">
        <f>IFERROR(__xludf.DUMMYFUNCTION("""COMPUTED_VALUE"""),2021.0)</f>
        <v>2021</v>
      </c>
      <c r="B1528" s="11">
        <f>IFERROR(__xludf.DUMMYFUNCTION("""COMPUTED_VALUE"""),10.0)</f>
        <v>10</v>
      </c>
      <c r="C1528" s="11">
        <f>IFERROR(__xludf.DUMMYFUNCTION("""COMPUTED_VALUE"""),83767.0)</f>
        <v>83767</v>
      </c>
      <c r="D1528" s="11">
        <f>IFERROR(__xludf.DUMMYFUNCTION("""COMPUTED_VALUE"""),662.0)</f>
        <v>662</v>
      </c>
      <c r="E1528" s="9"/>
    </row>
    <row r="1529">
      <c r="A1529" s="11">
        <f>IFERROR(__xludf.DUMMYFUNCTION("""COMPUTED_VALUE"""),2021.0)</f>
        <v>2021</v>
      </c>
      <c r="B1529" s="11">
        <f>IFERROR(__xludf.DUMMYFUNCTION("""COMPUTED_VALUE"""),9.0)</f>
        <v>9</v>
      </c>
      <c r="C1529" s="11">
        <f>IFERROR(__xludf.DUMMYFUNCTION("""COMPUTED_VALUE"""),83745.0)</f>
        <v>83745</v>
      </c>
      <c r="D1529" s="11">
        <f>IFERROR(__xludf.DUMMYFUNCTION("""COMPUTED_VALUE"""),1394.0)</f>
        <v>1394</v>
      </c>
      <c r="E1529" s="9"/>
    </row>
    <row r="1530">
      <c r="A1530" s="11">
        <f>IFERROR(__xludf.DUMMYFUNCTION("""COMPUTED_VALUE"""),2021.0)</f>
        <v>2021</v>
      </c>
      <c r="B1530" s="11">
        <f>IFERROR(__xludf.DUMMYFUNCTION("""COMPUTED_VALUE"""),8.0)</f>
        <v>8</v>
      </c>
      <c r="C1530" s="11">
        <f>IFERROR(__xludf.DUMMYFUNCTION("""COMPUTED_VALUE"""),78827.0)</f>
        <v>78827</v>
      </c>
      <c r="D1530" s="11">
        <f>IFERROR(__xludf.DUMMYFUNCTION("""COMPUTED_VALUE"""),474.0)</f>
        <v>474</v>
      </c>
      <c r="E1530" s="9"/>
    </row>
    <row r="1531">
      <c r="A1531" s="11">
        <f>IFERROR(__xludf.DUMMYFUNCTION("""COMPUTED_VALUE"""),2021.0)</f>
        <v>2021</v>
      </c>
      <c r="B1531" s="11">
        <f>IFERROR(__xludf.DUMMYFUNCTION("""COMPUTED_VALUE"""),9.0)</f>
        <v>9</v>
      </c>
      <c r="C1531" s="11">
        <f>IFERROR(__xludf.DUMMYFUNCTION("""COMPUTED_VALUE"""),122266.0)</f>
        <v>122266</v>
      </c>
      <c r="D1531" s="11">
        <f>IFERROR(__xludf.DUMMYFUNCTION("""COMPUTED_VALUE"""),983.0)</f>
        <v>983</v>
      </c>
      <c r="E1531" s="9"/>
    </row>
    <row r="1532">
      <c r="A1532" s="11">
        <f>IFERROR(__xludf.DUMMYFUNCTION("""COMPUTED_VALUE"""),2021.0)</f>
        <v>2021</v>
      </c>
      <c r="B1532" s="11">
        <f>IFERROR(__xludf.DUMMYFUNCTION("""COMPUTED_VALUE"""),11.0)</f>
        <v>11</v>
      </c>
      <c r="C1532" s="11">
        <f>IFERROR(__xludf.DUMMYFUNCTION("""COMPUTED_VALUE"""),949.0)</f>
        <v>949</v>
      </c>
      <c r="D1532" s="11">
        <f>IFERROR(__xludf.DUMMYFUNCTION("""COMPUTED_VALUE"""),1727.0)</f>
        <v>1727</v>
      </c>
      <c r="E1532" s="9"/>
    </row>
    <row r="1533">
      <c r="A1533" s="11">
        <f>IFERROR(__xludf.DUMMYFUNCTION("""COMPUTED_VALUE"""),2021.0)</f>
        <v>2021</v>
      </c>
      <c r="B1533" s="11">
        <f>IFERROR(__xludf.DUMMYFUNCTION("""COMPUTED_VALUE"""),10.0)</f>
        <v>10</v>
      </c>
      <c r="C1533" s="11">
        <f>IFERROR(__xludf.DUMMYFUNCTION("""COMPUTED_VALUE"""),102595.0)</f>
        <v>102595</v>
      </c>
      <c r="D1533" s="11">
        <f>IFERROR(__xludf.DUMMYFUNCTION("""COMPUTED_VALUE"""),1507.0)</f>
        <v>1507</v>
      </c>
      <c r="E1533" s="9"/>
    </row>
    <row r="1534">
      <c r="A1534" s="11">
        <f>IFERROR(__xludf.DUMMYFUNCTION("""COMPUTED_VALUE"""),2021.0)</f>
        <v>2021</v>
      </c>
      <c r="B1534" s="11">
        <f>IFERROR(__xludf.DUMMYFUNCTION("""COMPUTED_VALUE"""),9.0)</f>
        <v>9</v>
      </c>
      <c r="C1534" s="11">
        <f>IFERROR(__xludf.DUMMYFUNCTION("""COMPUTED_VALUE"""),80790.0)</f>
        <v>80790</v>
      </c>
      <c r="D1534" s="11">
        <f>IFERROR(__xludf.DUMMYFUNCTION("""COMPUTED_VALUE"""),914.0)</f>
        <v>914</v>
      </c>
      <c r="E1534" s="9"/>
    </row>
    <row r="1535">
      <c r="A1535" s="11">
        <f>IFERROR(__xludf.DUMMYFUNCTION("""COMPUTED_VALUE"""),2021.0)</f>
        <v>2021</v>
      </c>
      <c r="B1535" s="11">
        <f>IFERROR(__xludf.DUMMYFUNCTION("""COMPUTED_VALUE"""),10.0)</f>
        <v>10</v>
      </c>
      <c r="C1535" s="11">
        <f>IFERROR(__xludf.DUMMYFUNCTION("""COMPUTED_VALUE"""),114257.0)</f>
        <v>114257</v>
      </c>
      <c r="D1535" s="11">
        <f>IFERROR(__xludf.DUMMYFUNCTION("""COMPUTED_VALUE"""),1328.0)</f>
        <v>1328</v>
      </c>
      <c r="E1535" s="9"/>
    </row>
    <row r="1536">
      <c r="A1536" s="11">
        <f>IFERROR(__xludf.DUMMYFUNCTION("""COMPUTED_VALUE"""),2021.0)</f>
        <v>2021</v>
      </c>
      <c r="B1536" s="11">
        <f>IFERROR(__xludf.DUMMYFUNCTION("""COMPUTED_VALUE"""),11.0)</f>
        <v>11</v>
      </c>
      <c r="C1536" s="11">
        <f>IFERROR(__xludf.DUMMYFUNCTION("""COMPUTED_VALUE"""),80121.0)</f>
        <v>80121</v>
      </c>
      <c r="D1536" s="11">
        <f>IFERROR(__xludf.DUMMYFUNCTION("""COMPUTED_VALUE"""),1314.0)</f>
        <v>1314</v>
      </c>
      <c r="E1536" s="9"/>
    </row>
    <row r="1537">
      <c r="A1537" s="11">
        <f>IFERROR(__xludf.DUMMYFUNCTION("""COMPUTED_VALUE"""),2021.0)</f>
        <v>2021</v>
      </c>
      <c r="B1537" s="11">
        <f>IFERROR(__xludf.DUMMYFUNCTION("""COMPUTED_VALUE"""),9.0)</f>
        <v>9</v>
      </c>
      <c r="C1537" s="11">
        <f>IFERROR(__xludf.DUMMYFUNCTION("""COMPUTED_VALUE"""),164929.0)</f>
        <v>164929</v>
      </c>
      <c r="D1537" s="11">
        <f>IFERROR(__xludf.DUMMYFUNCTION("""COMPUTED_VALUE"""),1940.0)</f>
        <v>1940</v>
      </c>
      <c r="E1537" s="9"/>
    </row>
    <row r="1538">
      <c r="A1538" s="11">
        <f>IFERROR(__xludf.DUMMYFUNCTION("""COMPUTED_VALUE"""),2021.0)</f>
        <v>2021</v>
      </c>
      <c r="B1538" s="11">
        <f>IFERROR(__xludf.DUMMYFUNCTION("""COMPUTED_VALUE"""),8.0)</f>
        <v>8</v>
      </c>
      <c r="C1538" s="11">
        <f>IFERROR(__xludf.DUMMYFUNCTION("""COMPUTED_VALUE"""),80180.0)</f>
        <v>80180</v>
      </c>
      <c r="D1538" s="11">
        <f>IFERROR(__xludf.DUMMYFUNCTION("""COMPUTED_VALUE"""),533.0)</f>
        <v>533</v>
      </c>
      <c r="E1538" s="9"/>
    </row>
    <row r="1539">
      <c r="A1539" s="11">
        <f>IFERROR(__xludf.DUMMYFUNCTION("""COMPUTED_VALUE"""),2021.0)</f>
        <v>2021</v>
      </c>
      <c r="B1539" s="11">
        <f>IFERROR(__xludf.DUMMYFUNCTION("""COMPUTED_VALUE"""),8.0)</f>
        <v>8</v>
      </c>
      <c r="C1539" s="11">
        <f>IFERROR(__xludf.DUMMYFUNCTION("""COMPUTED_VALUE"""),92930.0)</f>
        <v>92930</v>
      </c>
      <c r="D1539" s="11">
        <f>IFERROR(__xludf.DUMMYFUNCTION("""COMPUTED_VALUE"""),776.0)</f>
        <v>776</v>
      </c>
      <c r="E1539" s="9"/>
    </row>
    <row r="1540">
      <c r="A1540" s="11">
        <f>IFERROR(__xludf.DUMMYFUNCTION("""COMPUTED_VALUE"""),2021.0)</f>
        <v>2021</v>
      </c>
      <c r="B1540" s="11">
        <f>IFERROR(__xludf.DUMMYFUNCTION("""COMPUTED_VALUE"""),9.0)</f>
        <v>9</v>
      </c>
      <c r="C1540" s="11">
        <f>IFERROR(__xludf.DUMMYFUNCTION("""COMPUTED_VALUE"""),147271.0)</f>
        <v>147271</v>
      </c>
      <c r="D1540" s="11">
        <f>IFERROR(__xludf.DUMMYFUNCTION("""COMPUTED_VALUE"""),1301.0)</f>
        <v>1301</v>
      </c>
      <c r="E1540" s="9"/>
    </row>
    <row r="1541">
      <c r="A1541" s="11">
        <f>IFERROR(__xludf.DUMMYFUNCTION("""COMPUTED_VALUE"""),2021.0)</f>
        <v>2021</v>
      </c>
      <c r="B1541" s="11">
        <f>IFERROR(__xludf.DUMMYFUNCTION("""COMPUTED_VALUE"""),9.0)</f>
        <v>9</v>
      </c>
      <c r="C1541" s="11">
        <f>IFERROR(__xludf.DUMMYFUNCTION("""COMPUTED_VALUE"""),83748.0)</f>
        <v>83748</v>
      </c>
      <c r="D1541" s="11">
        <f>IFERROR(__xludf.DUMMYFUNCTION("""COMPUTED_VALUE"""),1289.0)</f>
        <v>1289</v>
      </c>
      <c r="E1541" s="9"/>
    </row>
    <row r="1542">
      <c r="A1542" s="11">
        <f>IFERROR(__xludf.DUMMYFUNCTION("""COMPUTED_VALUE"""),2021.0)</f>
        <v>2021</v>
      </c>
      <c r="B1542" s="11">
        <f>IFERROR(__xludf.DUMMYFUNCTION("""COMPUTED_VALUE"""),10.0)</f>
        <v>10</v>
      </c>
      <c r="C1542" s="11">
        <f>IFERROR(__xludf.DUMMYFUNCTION("""COMPUTED_VALUE"""),80120.0)</f>
        <v>80120</v>
      </c>
      <c r="D1542" s="11">
        <f>IFERROR(__xludf.DUMMYFUNCTION("""COMPUTED_VALUE"""),1260.0)</f>
        <v>1260</v>
      </c>
      <c r="E1542" s="9"/>
    </row>
    <row r="1543">
      <c r="A1543" s="11">
        <f>IFERROR(__xludf.DUMMYFUNCTION("""COMPUTED_VALUE"""),2021.0)</f>
        <v>2021</v>
      </c>
      <c r="B1543" s="11">
        <f>IFERROR(__xludf.DUMMYFUNCTION("""COMPUTED_VALUE"""),8.0)</f>
        <v>8</v>
      </c>
      <c r="C1543" s="11">
        <f>IFERROR(__xludf.DUMMYFUNCTION("""COMPUTED_VALUE"""),164931.0)</f>
        <v>164931</v>
      </c>
      <c r="D1543" s="11">
        <f>IFERROR(__xludf.DUMMYFUNCTION("""COMPUTED_VALUE"""),1661.0)</f>
        <v>1661</v>
      </c>
      <c r="E1543" s="9"/>
    </row>
    <row r="1544">
      <c r="A1544" s="11">
        <f>IFERROR(__xludf.DUMMYFUNCTION("""COMPUTED_VALUE"""),2021.0)</f>
        <v>2021</v>
      </c>
      <c r="B1544" s="11">
        <f>IFERROR(__xludf.DUMMYFUNCTION("""COMPUTED_VALUE"""),10.0)</f>
        <v>10</v>
      </c>
      <c r="C1544" s="11">
        <f>IFERROR(__xludf.DUMMYFUNCTION("""COMPUTED_VALUE"""),78804.0)</f>
        <v>78804</v>
      </c>
      <c r="D1544" s="11">
        <f>IFERROR(__xludf.DUMMYFUNCTION("""COMPUTED_VALUE"""),1321.0)</f>
        <v>1321</v>
      </c>
      <c r="E1544" s="9"/>
    </row>
    <row r="1545">
      <c r="A1545" s="11">
        <f>IFERROR(__xludf.DUMMYFUNCTION("""COMPUTED_VALUE"""),2021.0)</f>
        <v>2021</v>
      </c>
      <c r="B1545" s="11">
        <f>IFERROR(__xludf.DUMMYFUNCTION("""COMPUTED_VALUE"""),10.0)</f>
        <v>10</v>
      </c>
      <c r="C1545" s="11">
        <f>IFERROR(__xludf.DUMMYFUNCTION("""COMPUTED_VALUE"""),103096.0)</f>
        <v>103096</v>
      </c>
      <c r="D1545" s="11">
        <f>IFERROR(__xludf.DUMMYFUNCTION("""COMPUTED_VALUE"""),273.0)</f>
        <v>273</v>
      </c>
      <c r="E1545" s="9"/>
    </row>
    <row r="1546">
      <c r="A1546" s="11">
        <f>IFERROR(__xludf.DUMMYFUNCTION("""COMPUTED_VALUE"""),2021.0)</f>
        <v>2021</v>
      </c>
      <c r="B1546" s="11">
        <f>IFERROR(__xludf.DUMMYFUNCTION("""COMPUTED_VALUE"""),10.0)</f>
        <v>10</v>
      </c>
      <c r="C1546" s="11">
        <f>IFERROR(__xludf.DUMMYFUNCTION("""COMPUTED_VALUE"""),180770.0)</f>
        <v>180770</v>
      </c>
      <c r="D1546" s="11">
        <f>IFERROR(__xludf.DUMMYFUNCTION("""COMPUTED_VALUE"""),52.0)</f>
        <v>52</v>
      </c>
      <c r="E1546" s="9"/>
    </row>
    <row r="1547">
      <c r="A1547" s="11">
        <f>IFERROR(__xludf.DUMMYFUNCTION("""COMPUTED_VALUE"""),2021.0)</f>
        <v>2021</v>
      </c>
      <c r="B1547" s="11">
        <f>IFERROR(__xludf.DUMMYFUNCTION("""COMPUTED_VALUE"""),9.0)</f>
        <v>9</v>
      </c>
      <c r="C1547" s="11">
        <f>IFERROR(__xludf.DUMMYFUNCTION("""COMPUTED_VALUE"""),80115.0)</f>
        <v>80115</v>
      </c>
      <c r="D1547" s="11">
        <f>IFERROR(__xludf.DUMMYFUNCTION("""COMPUTED_VALUE"""),1958.0)</f>
        <v>1958</v>
      </c>
      <c r="E1547" s="9"/>
    </row>
    <row r="1548">
      <c r="A1548" s="11">
        <f>IFERROR(__xludf.DUMMYFUNCTION("""COMPUTED_VALUE"""),2021.0)</f>
        <v>2021</v>
      </c>
      <c r="B1548" s="11">
        <f>IFERROR(__xludf.DUMMYFUNCTION("""COMPUTED_VALUE"""),8.0)</f>
        <v>8</v>
      </c>
      <c r="C1548" s="11">
        <f>IFERROR(__xludf.DUMMYFUNCTION("""COMPUTED_VALUE"""),83771.0)</f>
        <v>83771</v>
      </c>
      <c r="D1548" s="11">
        <f>IFERROR(__xludf.DUMMYFUNCTION("""COMPUTED_VALUE"""),1281.0)</f>
        <v>1281</v>
      </c>
      <c r="E1548" s="9"/>
    </row>
    <row r="1549">
      <c r="A1549" s="11">
        <f>IFERROR(__xludf.DUMMYFUNCTION("""COMPUTED_VALUE"""),2021.0)</f>
        <v>2021</v>
      </c>
      <c r="B1549" s="11">
        <f>IFERROR(__xludf.DUMMYFUNCTION("""COMPUTED_VALUE"""),10.0)</f>
        <v>10</v>
      </c>
      <c r="C1549" s="11">
        <f>IFERROR(__xludf.DUMMYFUNCTION("""COMPUTED_VALUE"""),80124.0)</f>
        <v>80124</v>
      </c>
      <c r="D1549" s="11">
        <f>IFERROR(__xludf.DUMMYFUNCTION("""COMPUTED_VALUE"""),160.0)</f>
        <v>160</v>
      </c>
      <c r="E1549" s="9"/>
    </row>
    <row r="1550">
      <c r="A1550" s="11">
        <f>IFERROR(__xludf.DUMMYFUNCTION("""COMPUTED_VALUE"""),2021.0)</f>
        <v>2021</v>
      </c>
      <c r="B1550" s="11">
        <f>IFERROR(__xludf.DUMMYFUNCTION("""COMPUTED_VALUE"""),10.0)</f>
        <v>10</v>
      </c>
      <c r="C1550" s="11">
        <f>IFERROR(__xludf.DUMMYFUNCTION("""COMPUTED_VALUE"""),80111.0)</f>
        <v>80111</v>
      </c>
      <c r="D1550" s="11">
        <f>IFERROR(__xludf.DUMMYFUNCTION("""COMPUTED_VALUE"""),1002.0)</f>
        <v>1002</v>
      </c>
      <c r="E1550" s="9"/>
    </row>
    <row r="1551">
      <c r="A1551" s="11">
        <f>IFERROR(__xludf.DUMMYFUNCTION("""COMPUTED_VALUE"""),2021.0)</f>
        <v>2021</v>
      </c>
      <c r="B1551" s="11">
        <f>IFERROR(__xludf.DUMMYFUNCTION("""COMPUTED_VALUE"""),9.0)</f>
        <v>9</v>
      </c>
      <c r="C1551" s="11">
        <f>IFERROR(__xludf.DUMMYFUNCTION("""COMPUTED_VALUE"""),63864.0)</f>
        <v>63864</v>
      </c>
      <c r="D1551" s="11">
        <f>IFERROR(__xludf.DUMMYFUNCTION("""COMPUTED_VALUE"""),1529.0)</f>
        <v>1529</v>
      </c>
      <c r="E1551" s="9"/>
    </row>
    <row r="1552">
      <c r="A1552" s="11">
        <f>IFERROR(__xludf.DUMMYFUNCTION("""COMPUTED_VALUE"""),2021.0)</f>
        <v>2021</v>
      </c>
      <c r="B1552" s="11">
        <f>IFERROR(__xludf.DUMMYFUNCTION("""COMPUTED_VALUE"""),10.0)</f>
        <v>10</v>
      </c>
      <c r="C1552" s="11">
        <f>IFERROR(__xludf.DUMMYFUNCTION("""COMPUTED_VALUE"""),76824.0)</f>
        <v>76824</v>
      </c>
      <c r="D1552" s="11">
        <f>IFERROR(__xludf.DUMMYFUNCTION("""COMPUTED_VALUE"""),1246.0)</f>
        <v>1246</v>
      </c>
      <c r="E1552" s="9"/>
    </row>
    <row r="1553">
      <c r="A1553" s="11">
        <f>IFERROR(__xludf.DUMMYFUNCTION("""COMPUTED_VALUE"""),2021.0)</f>
        <v>2021</v>
      </c>
      <c r="B1553" s="11">
        <f>IFERROR(__xludf.DUMMYFUNCTION("""COMPUTED_VALUE"""),10.0)</f>
        <v>10</v>
      </c>
      <c r="C1553" s="11">
        <f>IFERROR(__xludf.DUMMYFUNCTION("""COMPUTED_VALUE"""),102599.0)</f>
        <v>102599</v>
      </c>
      <c r="D1553" s="11">
        <f>IFERROR(__xludf.DUMMYFUNCTION("""COMPUTED_VALUE"""),1535.0)</f>
        <v>1535</v>
      </c>
      <c r="E1553" s="9"/>
    </row>
    <row r="1554">
      <c r="A1554" s="11">
        <f>IFERROR(__xludf.DUMMYFUNCTION("""COMPUTED_VALUE"""),2021.0)</f>
        <v>2021</v>
      </c>
      <c r="B1554" s="11">
        <f>IFERROR(__xludf.DUMMYFUNCTION("""COMPUTED_VALUE"""),11.0)</f>
        <v>11</v>
      </c>
      <c r="C1554" s="11">
        <f>IFERROR(__xludf.DUMMYFUNCTION("""COMPUTED_VALUE"""),103001.0)</f>
        <v>103001</v>
      </c>
      <c r="D1554" s="11">
        <f>IFERROR(__xludf.DUMMYFUNCTION("""COMPUTED_VALUE"""),1868.0)</f>
        <v>1868</v>
      </c>
      <c r="E1554" s="9"/>
    </row>
    <row r="1555">
      <c r="A1555" s="11">
        <f>IFERROR(__xludf.DUMMYFUNCTION("""COMPUTED_VALUE"""),2021.0)</f>
        <v>2021</v>
      </c>
      <c r="B1555" s="11">
        <f>IFERROR(__xludf.DUMMYFUNCTION("""COMPUTED_VALUE"""),11.0)</f>
        <v>11</v>
      </c>
      <c r="C1555" s="11">
        <f>IFERROR(__xludf.DUMMYFUNCTION("""COMPUTED_VALUE"""),164928.0)</f>
        <v>164928</v>
      </c>
      <c r="D1555" s="11">
        <f>IFERROR(__xludf.DUMMYFUNCTION("""COMPUTED_VALUE"""),1756.0)</f>
        <v>1756</v>
      </c>
      <c r="E1555" s="9"/>
    </row>
    <row r="1556">
      <c r="A1556" s="11">
        <f>IFERROR(__xludf.DUMMYFUNCTION("""COMPUTED_VALUE"""),2021.0)</f>
        <v>2021</v>
      </c>
      <c r="B1556" s="11">
        <f>IFERROR(__xludf.DUMMYFUNCTION("""COMPUTED_VALUE"""),10.0)</f>
        <v>10</v>
      </c>
      <c r="C1556" s="11">
        <f>IFERROR(__xludf.DUMMYFUNCTION("""COMPUTED_VALUE"""),80791.0)</f>
        <v>80791</v>
      </c>
      <c r="D1556" s="11">
        <f>IFERROR(__xludf.DUMMYFUNCTION("""COMPUTED_VALUE"""),1232.0)</f>
        <v>1232</v>
      </c>
      <c r="E1556" s="9"/>
    </row>
    <row r="1557">
      <c r="A1557" s="11">
        <f>IFERROR(__xludf.DUMMYFUNCTION("""COMPUTED_VALUE"""),2021.0)</f>
        <v>2021</v>
      </c>
      <c r="B1557" s="11">
        <f>IFERROR(__xludf.DUMMYFUNCTION("""COMPUTED_VALUE"""),11.0)</f>
        <v>11</v>
      </c>
      <c r="C1557" s="11">
        <f>IFERROR(__xludf.DUMMYFUNCTION("""COMPUTED_VALUE"""),83223.0)</f>
        <v>83223</v>
      </c>
      <c r="D1557" s="11">
        <f>IFERROR(__xludf.DUMMYFUNCTION("""COMPUTED_VALUE"""),238.0)</f>
        <v>238</v>
      </c>
      <c r="E1557" s="9"/>
    </row>
    <row r="1558">
      <c r="A1558" s="11">
        <f>IFERROR(__xludf.DUMMYFUNCTION("""COMPUTED_VALUE"""),2021.0)</f>
        <v>2021</v>
      </c>
      <c r="B1558" s="11">
        <f>IFERROR(__xludf.DUMMYFUNCTION("""COMPUTED_VALUE"""),11.0)</f>
        <v>11</v>
      </c>
      <c r="C1558" s="11">
        <f>IFERROR(__xludf.DUMMYFUNCTION("""COMPUTED_VALUE"""),951.0)</f>
        <v>951</v>
      </c>
      <c r="D1558" s="11">
        <f>IFERROR(__xludf.DUMMYFUNCTION("""COMPUTED_VALUE"""),241.0)</f>
        <v>241</v>
      </c>
      <c r="E1558" s="9"/>
    </row>
    <row r="1559">
      <c r="A1559" s="11">
        <f>IFERROR(__xludf.DUMMYFUNCTION("""COMPUTED_VALUE"""),2021.0)</f>
        <v>2021</v>
      </c>
      <c r="B1559" s="11">
        <f>IFERROR(__xludf.DUMMYFUNCTION("""COMPUTED_VALUE"""),8.0)</f>
        <v>8</v>
      </c>
      <c r="C1559" s="11">
        <f>IFERROR(__xludf.DUMMYFUNCTION("""COMPUTED_VALUE"""),149928.0)</f>
        <v>149928</v>
      </c>
      <c r="D1559" s="11">
        <f>IFERROR(__xludf.DUMMYFUNCTION("""COMPUTED_VALUE"""),1450.0)</f>
        <v>1450</v>
      </c>
      <c r="E1559" s="9"/>
    </row>
    <row r="1560">
      <c r="A1560" s="11">
        <f>IFERROR(__xludf.DUMMYFUNCTION("""COMPUTED_VALUE"""),2021.0)</f>
        <v>2021</v>
      </c>
      <c r="B1560" s="11">
        <f>IFERROR(__xludf.DUMMYFUNCTION("""COMPUTED_VALUE"""),10.0)</f>
        <v>10</v>
      </c>
      <c r="C1560" s="11">
        <f>IFERROR(__xludf.DUMMYFUNCTION("""COMPUTED_VALUE"""),60375.0)</f>
        <v>60375</v>
      </c>
      <c r="D1560" s="11">
        <f>IFERROR(__xludf.DUMMYFUNCTION("""COMPUTED_VALUE"""),1620.0)</f>
        <v>1620</v>
      </c>
      <c r="E1560" s="9"/>
    </row>
    <row r="1561">
      <c r="A1561" s="11">
        <f>IFERROR(__xludf.DUMMYFUNCTION("""COMPUTED_VALUE"""),2021.0)</f>
        <v>2021</v>
      </c>
      <c r="B1561" s="11">
        <f>IFERROR(__xludf.DUMMYFUNCTION("""COMPUTED_VALUE"""),11.0)</f>
        <v>11</v>
      </c>
      <c r="C1561" s="11">
        <f>IFERROR(__xludf.DUMMYFUNCTION("""COMPUTED_VALUE"""),102594.0)</f>
        <v>102594</v>
      </c>
      <c r="D1561" s="11">
        <f>IFERROR(__xludf.DUMMYFUNCTION("""COMPUTED_VALUE"""),378.0)</f>
        <v>378</v>
      </c>
      <c r="E1561" s="9"/>
    </row>
    <row r="1562">
      <c r="A1562" s="11">
        <f>IFERROR(__xludf.DUMMYFUNCTION("""COMPUTED_VALUE"""),2021.0)</f>
        <v>2021</v>
      </c>
      <c r="B1562" s="11">
        <f>IFERROR(__xludf.DUMMYFUNCTION("""COMPUTED_VALUE"""),11.0)</f>
        <v>11</v>
      </c>
      <c r="C1562" s="11">
        <f>IFERROR(__xludf.DUMMYFUNCTION("""COMPUTED_VALUE"""),128218.0)</f>
        <v>128218</v>
      </c>
      <c r="D1562" s="11">
        <f>IFERROR(__xludf.DUMMYFUNCTION("""COMPUTED_VALUE"""),1362.0)</f>
        <v>1362</v>
      </c>
      <c r="E1562" s="9"/>
    </row>
    <row r="1563">
      <c r="A1563" s="11">
        <f>IFERROR(__xludf.DUMMYFUNCTION("""COMPUTED_VALUE"""),2021.0)</f>
        <v>2021</v>
      </c>
      <c r="B1563" s="11">
        <f>IFERROR(__xludf.DUMMYFUNCTION("""COMPUTED_VALUE"""),11.0)</f>
        <v>11</v>
      </c>
      <c r="C1563" s="11">
        <f>IFERROR(__xludf.DUMMYFUNCTION("""COMPUTED_VALUE"""),80178.0)</f>
        <v>80178</v>
      </c>
      <c r="D1563" s="11">
        <f>IFERROR(__xludf.DUMMYFUNCTION("""COMPUTED_VALUE"""),877.0)</f>
        <v>877</v>
      </c>
      <c r="E1563" s="9"/>
    </row>
    <row r="1564">
      <c r="A1564" s="11">
        <f>IFERROR(__xludf.DUMMYFUNCTION("""COMPUTED_VALUE"""),2021.0)</f>
        <v>2021</v>
      </c>
      <c r="B1564" s="11">
        <f>IFERROR(__xludf.DUMMYFUNCTION("""COMPUTED_VALUE"""),8.0)</f>
        <v>8</v>
      </c>
      <c r="C1564" s="11">
        <f>IFERROR(__xludf.DUMMYFUNCTION("""COMPUTED_VALUE"""),164932.0)</f>
        <v>164932</v>
      </c>
      <c r="D1564" s="11">
        <f>IFERROR(__xludf.DUMMYFUNCTION("""COMPUTED_VALUE"""),408.0)</f>
        <v>408</v>
      </c>
      <c r="E1564" s="9"/>
    </row>
    <row r="1565">
      <c r="A1565" s="11">
        <f>IFERROR(__xludf.DUMMYFUNCTION("""COMPUTED_VALUE"""),2021.0)</f>
        <v>2021</v>
      </c>
      <c r="B1565" s="11">
        <f>IFERROR(__xludf.DUMMYFUNCTION("""COMPUTED_VALUE"""),8.0)</f>
        <v>8</v>
      </c>
      <c r="C1565" s="11">
        <f>IFERROR(__xludf.DUMMYFUNCTION("""COMPUTED_VALUE"""),22036.0)</f>
        <v>22036</v>
      </c>
      <c r="D1565" s="11">
        <f>IFERROR(__xludf.DUMMYFUNCTION("""COMPUTED_VALUE"""),865.0)</f>
        <v>865</v>
      </c>
      <c r="E1565" s="9"/>
    </row>
    <row r="1566">
      <c r="A1566" s="11">
        <f>IFERROR(__xludf.DUMMYFUNCTION("""COMPUTED_VALUE"""),2021.0)</f>
        <v>2021</v>
      </c>
      <c r="B1566" s="11">
        <f>IFERROR(__xludf.DUMMYFUNCTION("""COMPUTED_VALUE"""),11.0)</f>
        <v>11</v>
      </c>
      <c r="C1566" s="11">
        <f>IFERROR(__xludf.DUMMYFUNCTION("""COMPUTED_VALUE"""),102585.0)</f>
        <v>102585</v>
      </c>
      <c r="D1566" s="11">
        <f>IFERROR(__xludf.DUMMYFUNCTION("""COMPUTED_VALUE"""),1583.0)</f>
        <v>1583</v>
      </c>
      <c r="E1566" s="9"/>
    </row>
    <row r="1567">
      <c r="A1567" s="11">
        <f>IFERROR(__xludf.DUMMYFUNCTION("""COMPUTED_VALUE"""),2021.0)</f>
        <v>2021</v>
      </c>
      <c r="B1567" s="11">
        <f>IFERROR(__xludf.DUMMYFUNCTION("""COMPUTED_VALUE"""),11.0)</f>
        <v>11</v>
      </c>
      <c r="C1567" s="11">
        <f>IFERROR(__xludf.DUMMYFUNCTION("""COMPUTED_VALUE"""),78816.0)</f>
        <v>78816</v>
      </c>
      <c r="D1567" s="11">
        <f>IFERROR(__xludf.DUMMYFUNCTION("""COMPUTED_VALUE"""),256.0)</f>
        <v>256</v>
      </c>
      <c r="E1567" s="9"/>
    </row>
    <row r="1568">
      <c r="A1568" s="11">
        <f>IFERROR(__xludf.DUMMYFUNCTION("""COMPUTED_VALUE"""),2021.0)</f>
        <v>2021</v>
      </c>
      <c r="B1568" s="11">
        <f>IFERROR(__xludf.DUMMYFUNCTION("""COMPUTED_VALUE"""),8.0)</f>
        <v>8</v>
      </c>
      <c r="C1568" s="11">
        <f>IFERROR(__xludf.DUMMYFUNCTION("""COMPUTED_VALUE"""),78822.0)</f>
        <v>78822</v>
      </c>
      <c r="D1568" s="11">
        <f>IFERROR(__xludf.DUMMYFUNCTION("""COMPUTED_VALUE"""),1916.0)</f>
        <v>1916</v>
      </c>
      <c r="E1568" s="9"/>
    </row>
    <row r="1569">
      <c r="A1569" s="11">
        <f>IFERROR(__xludf.DUMMYFUNCTION("""COMPUTED_VALUE"""),2021.0)</f>
        <v>2021</v>
      </c>
      <c r="B1569" s="11">
        <f>IFERROR(__xludf.DUMMYFUNCTION("""COMPUTED_VALUE"""),11.0)</f>
        <v>11</v>
      </c>
      <c r="C1569" s="11">
        <f>IFERROR(__xludf.DUMMYFUNCTION("""COMPUTED_VALUE"""),83773.0)</f>
        <v>83773</v>
      </c>
      <c r="D1569" s="11">
        <f>IFERROR(__xludf.DUMMYFUNCTION("""COMPUTED_VALUE"""),1316.0)</f>
        <v>1316</v>
      </c>
      <c r="E1569" s="9"/>
    </row>
    <row r="1570">
      <c r="A1570" s="11">
        <f>IFERROR(__xludf.DUMMYFUNCTION("""COMPUTED_VALUE"""),2021.0)</f>
        <v>2021</v>
      </c>
      <c r="B1570" s="11">
        <f>IFERROR(__xludf.DUMMYFUNCTION("""COMPUTED_VALUE"""),9.0)</f>
        <v>9</v>
      </c>
      <c r="C1570" s="11">
        <f>IFERROR(__xludf.DUMMYFUNCTION("""COMPUTED_VALUE"""),114720.0)</f>
        <v>114720</v>
      </c>
      <c r="D1570" s="11">
        <f>IFERROR(__xludf.DUMMYFUNCTION("""COMPUTED_VALUE"""),63.0)</f>
        <v>63</v>
      </c>
      <c r="E1570" s="9"/>
    </row>
    <row r="1571">
      <c r="A1571" s="11">
        <f>IFERROR(__xludf.DUMMYFUNCTION("""COMPUTED_VALUE"""),2021.0)</f>
        <v>2021</v>
      </c>
      <c r="B1571" s="11">
        <f>IFERROR(__xludf.DUMMYFUNCTION("""COMPUTED_VALUE"""),10.0)</f>
        <v>10</v>
      </c>
      <c r="C1571" s="11">
        <f>IFERROR(__xludf.DUMMYFUNCTION("""COMPUTED_VALUE"""),83777.0)</f>
        <v>83777</v>
      </c>
      <c r="D1571" s="11">
        <f>IFERROR(__xludf.DUMMYFUNCTION("""COMPUTED_VALUE"""),1406.0)</f>
        <v>1406</v>
      </c>
      <c r="E1571" s="9"/>
    </row>
    <row r="1572">
      <c r="A1572" s="11">
        <f>IFERROR(__xludf.DUMMYFUNCTION("""COMPUTED_VALUE"""),2021.0)</f>
        <v>2021</v>
      </c>
      <c r="B1572" s="11">
        <f>IFERROR(__xludf.DUMMYFUNCTION("""COMPUTED_VALUE"""),11.0)</f>
        <v>11</v>
      </c>
      <c r="C1572" s="11">
        <f>IFERROR(__xludf.DUMMYFUNCTION("""COMPUTED_VALUE"""),102593.0)</f>
        <v>102593</v>
      </c>
      <c r="D1572" s="11">
        <f>IFERROR(__xludf.DUMMYFUNCTION("""COMPUTED_VALUE"""),606.0)</f>
        <v>606</v>
      </c>
      <c r="E1572" s="9"/>
    </row>
    <row r="1573">
      <c r="A1573" s="11">
        <f>IFERROR(__xludf.DUMMYFUNCTION("""COMPUTED_VALUE"""),2021.0)</f>
        <v>2021</v>
      </c>
      <c r="B1573" s="11">
        <f>IFERROR(__xludf.DUMMYFUNCTION("""COMPUTED_VALUE"""),11.0)</f>
        <v>11</v>
      </c>
      <c r="C1573" s="11">
        <f>IFERROR(__xludf.DUMMYFUNCTION("""COMPUTED_VALUE"""),164930.0)</f>
        <v>164930</v>
      </c>
      <c r="D1573" s="11">
        <f>IFERROR(__xludf.DUMMYFUNCTION("""COMPUTED_VALUE"""),1510.0)</f>
        <v>1510</v>
      </c>
      <c r="E1573" s="9"/>
    </row>
    <row r="1574">
      <c r="A1574" s="11">
        <f>IFERROR(__xludf.DUMMYFUNCTION("""COMPUTED_VALUE"""),2021.0)</f>
        <v>2021</v>
      </c>
      <c r="B1574" s="11">
        <f>IFERROR(__xludf.DUMMYFUNCTION("""COMPUTED_VALUE"""),9.0)</f>
        <v>9</v>
      </c>
      <c r="C1574" s="11">
        <f>IFERROR(__xludf.DUMMYFUNCTION("""COMPUTED_VALUE"""),102584.0)</f>
        <v>102584</v>
      </c>
      <c r="D1574" s="11">
        <f>IFERROR(__xludf.DUMMYFUNCTION("""COMPUTED_VALUE"""),1534.0)</f>
        <v>1534</v>
      </c>
      <c r="E1574" s="9"/>
    </row>
    <row r="1575">
      <c r="A1575" s="11">
        <f>IFERROR(__xludf.DUMMYFUNCTION("""COMPUTED_VALUE"""),2021.0)</f>
        <v>2021</v>
      </c>
      <c r="B1575" s="11">
        <f>IFERROR(__xludf.DUMMYFUNCTION("""COMPUTED_VALUE"""),10.0)</f>
        <v>10</v>
      </c>
      <c r="C1575" s="11">
        <f>IFERROR(__xludf.DUMMYFUNCTION("""COMPUTED_VALUE"""),102586.0)</f>
        <v>102586</v>
      </c>
      <c r="D1575" s="11">
        <f>IFERROR(__xludf.DUMMYFUNCTION("""COMPUTED_VALUE"""),1243.0)</f>
        <v>1243</v>
      </c>
      <c r="E1575" s="9"/>
    </row>
    <row r="1576">
      <c r="A1576" s="11">
        <f>IFERROR(__xludf.DUMMYFUNCTION("""COMPUTED_VALUE"""),2021.0)</f>
        <v>2021</v>
      </c>
      <c r="B1576" s="11">
        <f>IFERROR(__xludf.DUMMYFUNCTION("""COMPUTED_VALUE"""),11.0)</f>
        <v>11</v>
      </c>
      <c r="C1576" s="11">
        <f>IFERROR(__xludf.DUMMYFUNCTION("""COMPUTED_VALUE"""),83758.0)</f>
        <v>83758</v>
      </c>
      <c r="D1576" s="11">
        <f>IFERROR(__xludf.DUMMYFUNCTION("""COMPUTED_VALUE"""),1136.0)</f>
        <v>1136</v>
      </c>
      <c r="E1576" s="9"/>
    </row>
    <row r="1577">
      <c r="A1577" s="11">
        <f>IFERROR(__xludf.DUMMYFUNCTION("""COMPUTED_VALUE"""),2021.0)</f>
        <v>2021</v>
      </c>
      <c r="B1577" s="11">
        <f>IFERROR(__xludf.DUMMYFUNCTION("""COMPUTED_VALUE"""),10.0)</f>
        <v>10</v>
      </c>
      <c r="C1577" s="11">
        <f>IFERROR(__xludf.DUMMYFUNCTION("""COMPUTED_VALUE"""),80189.0)</f>
        <v>80189</v>
      </c>
      <c r="D1577" s="11">
        <f>IFERROR(__xludf.DUMMYFUNCTION("""COMPUTED_VALUE"""),737.0)</f>
        <v>737</v>
      </c>
      <c r="E1577" s="9"/>
    </row>
    <row r="1578">
      <c r="A1578" s="11">
        <f>IFERROR(__xludf.DUMMYFUNCTION("""COMPUTED_VALUE"""),2021.0)</f>
        <v>2021</v>
      </c>
      <c r="B1578" s="11">
        <f>IFERROR(__xludf.DUMMYFUNCTION("""COMPUTED_VALUE"""),8.0)</f>
        <v>8</v>
      </c>
      <c r="C1578" s="11">
        <f>IFERROR(__xludf.DUMMYFUNCTION("""COMPUTED_VALUE"""),26148.0)</f>
        <v>26148</v>
      </c>
      <c r="D1578" s="11">
        <f>IFERROR(__xludf.DUMMYFUNCTION("""COMPUTED_VALUE"""),1190.0)</f>
        <v>1190</v>
      </c>
      <c r="E1578" s="9"/>
    </row>
    <row r="1579">
      <c r="A1579" s="11">
        <f>IFERROR(__xludf.DUMMYFUNCTION("""COMPUTED_VALUE"""),2021.0)</f>
        <v>2021</v>
      </c>
      <c r="B1579" s="11">
        <f>IFERROR(__xludf.DUMMYFUNCTION("""COMPUTED_VALUE"""),11.0)</f>
        <v>11</v>
      </c>
      <c r="C1579" s="11">
        <f>IFERROR(__xludf.DUMMYFUNCTION("""COMPUTED_VALUE"""),121902.0)</f>
        <v>121902</v>
      </c>
      <c r="D1579" s="11">
        <f>IFERROR(__xludf.DUMMYFUNCTION("""COMPUTED_VALUE"""),1505.0)</f>
        <v>1505</v>
      </c>
      <c r="E1579" s="9"/>
    </row>
    <row r="1580">
      <c r="A1580" s="11">
        <f>IFERROR(__xludf.DUMMYFUNCTION("""COMPUTED_VALUE"""),2021.0)</f>
        <v>2021</v>
      </c>
      <c r="B1580" s="11">
        <f>IFERROR(__xludf.DUMMYFUNCTION("""COMPUTED_VALUE"""),10.0)</f>
        <v>10</v>
      </c>
      <c r="C1580" s="11">
        <f>IFERROR(__xludf.DUMMYFUNCTION("""COMPUTED_VALUE"""),21032.0)</f>
        <v>21032</v>
      </c>
      <c r="D1580" s="11">
        <f>IFERROR(__xludf.DUMMYFUNCTION("""COMPUTED_VALUE"""),1098.0)</f>
        <v>1098</v>
      </c>
      <c r="E1580" s="9"/>
    </row>
    <row r="1581">
      <c r="A1581" s="11">
        <f>IFERROR(__xludf.DUMMYFUNCTION("""COMPUTED_VALUE"""),2021.0)</f>
        <v>2021</v>
      </c>
      <c r="B1581" s="11">
        <f>IFERROR(__xludf.DUMMYFUNCTION("""COMPUTED_VALUE"""),9.0)</f>
        <v>9</v>
      </c>
      <c r="C1581" s="11">
        <f>IFERROR(__xludf.DUMMYFUNCTION("""COMPUTED_VALUE"""),22071.0)</f>
        <v>22071</v>
      </c>
      <c r="D1581" s="11">
        <f>IFERROR(__xludf.DUMMYFUNCTION("""COMPUTED_VALUE"""),1931.0)</f>
        <v>1931</v>
      </c>
      <c r="E1581" s="9"/>
    </row>
    <row r="1582">
      <c r="A1582" s="11">
        <f>IFERROR(__xludf.DUMMYFUNCTION("""COMPUTED_VALUE"""),2021.0)</f>
        <v>2021</v>
      </c>
      <c r="B1582" s="11">
        <f>IFERROR(__xludf.DUMMYFUNCTION("""COMPUTED_VALUE"""),9.0)</f>
        <v>9</v>
      </c>
      <c r="C1582" s="11">
        <f>IFERROR(__xludf.DUMMYFUNCTION("""COMPUTED_VALUE"""),87404.0)</f>
        <v>87404</v>
      </c>
      <c r="D1582" s="11">
        <f>IFERROR(__xludf.DUMMYFUNCTION("""COMPUTED_VALUE"""),682.0)</f>
        <v>682</v>
      </c>
      <c r="E1582" s="9"/>
    </row>
    <row r="1583">
      <c r="A1583" s="11">
        <f>IFERROR(__xludf.DUMMYFUNCTION("""COMPUTED_VALUE"""),2021.0)</f>
        <v>2021</v>
      </c>
      <c r="B1583" s="11">
        <f>IFERROR(__xludf.DUMMYFUNCTION("""COMPUTED_VALUE"""),11.0)</f>
        <v>11</v>
      </c>
      <c r="C1583" s="11">
        <f>IFERROR(__xludf.DUMMYFUNCTION("""COMPUTED_VALUE"""),42712.0)</f>
        <v>42712</v>
      </c>
      <c r="D1583" s="11">
        <f>IFERROR(__xludf.DUMMYFUNCTION("""COMPUTED_VALUE"""),1502.0)</f>
        <v>1502</v>
      </c>
      <c r="E1583" s="9"/>
    </row>
    <row r="1584">
      <c r="A1584" s="11">
        <f>IFERROR(__xludf.DUMMYFUNCTION("""COMPUTED_VALUE"""),2021.0)</f>
        <v>2021</v>
      </c>
      <c r="B1584" s="11">
        <f>IFERROR(__xludf.DUMMYFUNCTION("""COMPUTED_VALUE"""),9.0)</f>
        <v>9</v>
      </c>
      <c r="C1584" s="11">
        <f>IFERROR(__xludf.DUMMYFUNCTION("""COMPUTED_VALUE"""),76609.0)</f>
        <v>76609</v>
      </c>
      <c r="D1584" s="11">
        <f>IFERROR(__xludf.DUMMYFUNCTION("""COMPUTED_VALUE"""),178.0)</f>
        <v>178</v>
      </c>
      <c r="E1584" s="9"/>
    </row>
    <row r="1585">
      <c r="A1585" s="11">
        <f>IFERROR(__xludf.DUMMYFUNCTION("""COMPUTED_VALUE"""),2021.0)</f>
        <v>2021</v>
      </c>
      <c r="B1585" s="11">
        <f>IFERROR(__xludf.DUMMYFUNCTION("""COMPUTED_VALUE"""),9.0)</f>
        <v>9</v>
      </c>
      <c r="C1585" s="11">
        <f>IFERROR(__xludf.DUMMYFUNCTION("""COMPUTED_VALUE"""),952.0)</f>
        <v>952</v>
      </c>
      <c r="D1585" s="11">
        <f>IFERROR(__xludf.DUMMYFUNCTION("""COMPUTED_VALUE"""),428.0)</f>
        <v>428</v>
      </c>
      <c r="E1585" s="9"/>
    </row>
    <row r="1586">
      <c r="A1586" s="11">
        <f>IFERROR(__xludf.DUMMYFUNCTION("""COMPUTED_VALUE"""),2021.0)</f>
        <v>2021</v>
      </c>
      <c r="B1586" s="11">
        <f>IFERROR(__xludf.DUMMYFUNCTION("""COMPUTED_VALUE"""),11.0)</f>
        <v>11</v>
      </c>
      <c r="C1586" s="11">
        <f>IFERROR(__xludf.DUMMYFUNCTION("""COMPUTED_VALUE"""),26136.0)</f>
        <v>26136</v>
      </c>
      <c r="D1586" s="11">
        <f>IFERROR(__xludf.DUMMYFUNCTION("""COMPUTED_VALUE"""),1640.0)</f>
        <v>1640</v>
      </c>
      <c r="E1586" s="9"/>
    </row>
    <row r="1587">
      <c r="A1587" s="11">
        <f>IFERROR(__xludf.DUMMYFUNCTION("""COMPUTED_VALUE"""),2021.0)</f>
        <v>2021</v>
      </c>
      <c r="B1587" s="11">
        <f>IFERROR(__xludf.DUMMYFUNCTION("""COMPUTED_VALUE"""),10.0)</f>
        <v>10</v>
      </c>
      <c r="C1587" s="11">
        <f>IFERROR(__xludf.DUMMYFUNCTION("""COMPUTED_VALUE"""),87502.0)</f>
        <v>87502</v>
      </c>
      <c r="D1587" s="11">
        <f>IFERROR(__xludf.DUMMYFUNCTION("""COMPUTED_VALUE"""),1458.0)</f>
        <v>1458</v>
      </c>
      <c r="E1587" s="9"/>
    </row>
    <row r="1588">
      <c r="A1588" s="11">
        <f>IFERROR(__xludf.DUMMYFUNCTION("""COMPUTED_VALUE"""),2021.0)</f>
        <v>2021</v>
      </c>
      <c r="B1588" s="11">
        <f>IFERROR(__xludf.DUMMYFUNCTION("""COMPUTED_VALUE"""),10.0)</f>
        <v>10</v>
      </c>
      <c r="C1588" s="11">
        <f>IFERROR(__xludf.DUMMYFUNCTION("""COMPUTED_VALUE"""),73923.0)</f>
        <v>73923</v>
      </c>
      <c r="D1588" s="11">
        <f>IFERROR(__xludf.DUMMYFUNCTION("""COMPUTED_VALUE"""),742.0)</f>
        <v>742</v>
      </c>
      <c r="E1588" s="9"/>
    </row>
    <row r="1589">
      <c r="A1589" s="11">
        <f>IFERROR(__xludf.DUMMYFUNCTION("""COMPUTED_VALUE"""),2021.0)</f>
        <v>2021</v>
      </c>
      <c r="B1589" s="11">
        <f>IFERROR(__xludf.DUMMYFUNCTION("""COMPUTED_VALUE"""),11.0)</f>
        <v>11</v>
      </c>
      <c r="C1589" s="11">
        <f>IFERROR(__xludf.DUMMYFUNCTION("""COMPUTED_VALUE"""),164927.0)</f>
        <v>164927</v>
      </c>
      <c r="D1589" s="11">
        <f>IFERROR(__xludf.DUMMYFUNCTION("""COMPUTED_VALUE"""),64.0)</f>
        <v>64</v>
      </c>
      <c r="E1589" s="9"/>
    </row>
    <row r="1590">
      <c r="A1590" s="11">
        <f>IFERROR(__xludf.DUMMYFUNCTION("""COMPUTED_VALUE"""),2021.0)</f>
        <v>2021</v>
      </c>
      <c r="B1590" s="11">
        <f>IFERROR(__xludf.DUMMYFUNCTION("""COMPUTED_VALUE"""),11.0)</f>
        <v>11</v>
      </c>
      <c r="C1590" s="11">
        <f>IFERROR(__xludf.DUMMYFUNCTION("""COMPUTED_VALUE"""),108749.0)</f>
        <v>108749</v>
      </c>
      <c r="D1590" s="11">
        <f>IFERROR(__xludf.DUMMYFUNCTION("""COMPUTED_VALUE"""),1325.0)</f>
        <v>1325</v>
      </c>
      <c r="E1590" s="9"/>
    </row>
    <row r="1591">
      <c r="A1591" s="11">
        <f>IFERROR(__xludf.DUMMYFUNCTION("""COMPUTED_VALUE"""),2021.0)</f>
        <v>2021</v>
      </c>
      <c r="B1591" s="11">
        <f>IFERROR(__xludf.DUMMYFUNCTION("""COMPUTED_VALUE"""),10.0)</f>
        <v>10</v>
      </c>
      <c r="C1591" s="11">
        <f>IFERROR(__xludf.DUMMYFUNCTION("""COMPUTED_VALUE"""),89919.0)</f>
        <v>89919</v>
      </c>
      <c r="D1591" s="11">
        <f>IFERROR(__xludf.DUMMYFUNCTION("""COMPUTED_VALUE"""),1777.0)</f>
        <v>1777</v>
      </c>
      <c r="E1591" s="9"/>
    </row>
    <row r="1592">
      <c r="A1592" s="11">
        <f>IFERROR(__xludf.DUMMYFUNCTION("""COMPUTED_VALUE"""),2021.0)</f>
        <v>2021</v>
      </c>
      <c r="B1592" s="11">
        <f>IFERROR(__xludf.DUMMYFUNCTION("""COMPUTED_VALUE"""),8.0)</f>
        <v>8</v>
      </c>
      <c r="C1592" s="11">
        <f>IFERROR(__xludf.DUMMYFUNCTION("""COMPUTED_VALUE"""),112897.0)</f>
        <v>112897</v>
      </c>
      <c r="D1592" s="11">
        <f>IFERROR(__xludf.DUMMYFUNCTION("""COMPUTED_VALUE"""),735.0)</f>
        <v>735</v>
      </c>
      <c r="E1592" s="9"/>
    </row>
    <row r="1593">
      <c r="A1593" s="11">
        <f>IFERROR(__xludf.DUMMYFUNCTION("""COMPUTED_VALUE"""),2021.0)</f>
        <v>2021</v>
      </c>
      <c r="B1593" s="11">
        <f>IFERROR(__xludf.DUMMYFUNCTION("""COMPUTED_VALUE"""),8.0)</f>
        <v>8</v>
      </c>
      <c r="C1593" s="11">
        <f>IFERROR(__xludf.DUMMYFUNCTION("""COMPUTED_VALUE"""),122013.0)</f>
        <v>122013</v>
      </c>
      <c r="D1593" s="11">
        <f>IFERROR(__xludf.DUMMYFUNCTION("""COMPUTED_VALUE"""),1348.0)</f>
        <v>1348</v>
      </c>
      <c r="E1593" s="9"/>
    </row>
    <row r="1594">
      <c r="A1594" s="11">
        <f>IFERROR(__xludf.DUMMYFUNCTION("""COMPUTED_VALUE"""),2021.0)</f>
        <v>2021</v>
      </c>
      <c r="B1594" s="11">
        <f>IFERROR(__xludf.DUMMYFUNCTION("""COMPUTED_VALUE"""),9.0)</f>
        <v>9</v>
      </c>
      <c r="C1594" s="11">
        <f>IFERROR(__xludf.DUMMYFUNCTION("""COMPUTED_VALUE"""),89902.0)</f>
        <v>89902</v>
      </c>
      <c r="D1594" s="11">
        <f>IFERROR(__xludf.DUMMYFUNCTION("""COMPUTED_VALUE"""),1271.0)</f>
        <v>1271</v>
      </c>
      <c r="E1594" s="9"/>
    </row>
    <row r="1595">
      <c r="A1595" s="11">
        <f>IFERROR(__xludf.DUMMYFUNCTION("""COMPUTED_VALUE"""),2021.0)</f>
        <v>2021</v>
      </c>
      <c r="B1595" s="11">
        <f>IFERROR(__xludf.DUMMYFUNCTION("""COMPUTED_VALUE"""),8.0)</f>
        <v>8</v>
      </c>
      <c r="C1595" s="11">
        <f>IFERROR(__xludf.DUMMYFUNCTION("""COMPUTED_VALUE"""),89900.0)</f>
        <v>89900</v>
      </c>
      <c r="D1595" s="11">
        <f>IFERROR(__xludf.DUMMYFUNCTION("""COMPUTED_VALUE"""),822.0)</f>
        <v>822</v>
      </c>
      <c r="E1595" s="9"/>
    </row>
    <row r="1596">
      <c r="A1596" s="11">
        <f>IFERROR(__xludf.DUMMYFUNCTION("""COMPUTED_VALUE"""),2021.0)</f>
        <v>2021</v>
      </c>
      <c r="B1596" s="11">
        <f>IFERROR(__xludf.DUMMYFUNCTION("""COMPUTED_VALUE"""),8.0)</f>
        <v>8</v>
      </c>
      <c r="C1596" s="11">
        <f>IFERROR(__xludf.DUMMYFUNCTION("""COMPUTED_VALUE"""),92461.0)</f>
        <v>92461</v>
      </c>
      <c r="D1596" s="11">
        <f>IFERROR(__xludf.DUMMYFUNCTION("""COMPUTED_VALUE"""),1320.0)</f>
        <v>1320</v>
      </c>
      <c r="E1596" s="9"/>
    </row>
    <row r="1597">
      <c r="A1597" s="11">
        <f>IFERROR(__xludf.DUMMYFUNCTION("""COMPUTED_VALUE"""),2021.0)</f>
        <v>2021</v>
      </c>
      <c r="B1597" s="11">
        <f>IFERROR(__xludf.DUMMYFUNCTION("""COMPUTED_VALUE"""),11.0)</f>
        <v>11</v>
      </c>
      <c r="C1597" s="11">
        <f>IFERROR(__xludf.DUMMYFUNCTION("""COMPUTED_VALUE"""),128834.0)</f>
        <v>128834</v>
      </c>
      <c r="D1597" s="11">
        <f>IFERROR(__xludf.DUMMYFUNCTION("""COMPUTED_VALUE"""),363.0)</f>
        <v>363</v>
      </c>
      <c r="E1597" s="9"/>
    </row>
    <row r="1598">
      <c r="A1598" s="11">
        <f>IFERROR(__xludf.DUMMYFUNCTION("""COMPUTED_VALUE"""),2021.0)</f>
        <v>2021</v>
      </c>
      <c r="B1598" s="11">
        <f>IFERROR(__xludf.DUMMYFUNCTION("""COMPUTED_VALUE"""),11.0)</f>
        <v>11</v>
      </c>
      <c r="C1598" s="11">
        <f>IFERROR(__xludf.DUMMYFUNCTION("""COMPUTED_VALUE"""),135180.0)</f>
        <v>135180</v>
      </c>
      <c r="D1598" s="11">
        <f>IFERROR(__xludf.DUMMYFUNCTION("""COMPUTED_VALUE"""),924.0)</f>
        <v>924</v>
      </c>
      <c r="E1598" s="9"/>
    </row>
    <row r="1599">
      <c r="A1599" s="11">
        <f>IFERROR(__xludf.DUMMYFUNCTION("""COMPUTED_VALUE"""),2021.0)</f>
        <v>2021</v>
      </c>
      <c r="B1599" s="11">
        <f>IFERROR(__xludf.DUMMYFUNCTION("""COMPUTED_VALUE"""),8.0)</f>
        <v>8</v>
      </c>
      <c r="C1599" s="11">
        <f>IFERROR(__xludf.DUMMYFUNCTION("""COMPUTED_VALUE"""),120582.0)</f>
        <v>120582</v>
      </c>
      <c r="D1599" s="11">
        <f>IFERROR(__xludf.DUMMYFUNCTION("""COMPUTED_VALUE"""),193.0)</f>
        <v>193</v>
      </c>
      <c r="E1599" s="9"/>
    </row>
    <row r="1600">
      <c r="A1600" s="11">
        <f>IFERROR(__xludf.DUMMYFUNCTION("""COMPUTED_VALUE"""),2021.0)</f>
        <v>2021</v>
      </c>
      <c r="B1600" s="11">
        <f>IFERROR(__xludf.DUMMYFUNCTION("""COMPUTED_VALUE"""),11.0)</f>
        <v>11</v>
      </c>
      <c r="C1600" s="11">
        <f>IFERROR(__xludf.DUMMYFUNCTION("""COMPUTED_VALUE"""),105794.0)</f>
        <v>105794</v>
      </c>
      <c r="D1600" s="11">
        <f>IFERROR(__xludf.DUMMYFUNCTION("""COMPUTED_VALUE"""),1888.0)</f>
        <v>1888</v>
      </c>
      <c r="E1600" s="9"/>
    </row>
    <row r="1601">
      <c r="A1601" s="11">
        <f>IFERROR(__xludf.DUMMYFUNCTION("""COMPUTED_VALUE"""),2021.0)</f>
        <v>2021</v>
      </c>
      <c r="B1601" s="11">
        <f>IFERROR(__xludf.DUMMYFUNCTION("""COMPUTED_VALUE"""),11.0)</f>
        <v>11</v>
      </c>
      <c r="C1601" s="11">
        <f>IFERROR(__xludf.DUMMYFUNCTION("""COMPUTED_VALUE"""),81049.0)</f>
        <v>81049</v>
      </c>
      <c r="D1601" s="11">
        <f>IFERROR(__xludf.DUMMYFUNCTION("""COMPUTED_VALUE"""),1403.0)</f>
        <v>1403</v>
      </c>
      <c r="E1601" s="9"/>
    </row>
    <row r="1602">
      <c r="A1602" s="11">
        <f>IFERROR(__xludf.DUMMYFUNCTION("""COMPUTED_VALUE"""),2021.0)</f>
        <v>2021</v>
      </c>
      <c r="B1602" s="11">
        <f>IFERROR(__xludf.DUMMYFUNCTION("""COMPUTED_VALUE"""),8.0)</f>
        <v>8</v>
      </c>
      <c r="C1602" s="11">
        <f>IFERROR(__xludf.DUMMYFUNCTION("""COMPUTED_VALUE"""),13364.0)</f>
        <v>13364</v>
      </c>
      <c r="D1602" s="11">
        <f>IFERROR(__xludf.DUMMYFUNCTION("""COMPUTED_VALUE"""),1853.0)</f>
        <v>1853</v>
      </c>
      <c r="E1602" s="9"/>
    </row>
    <row r="1603">
      <c r="A1603" s="11">
        <f>IFERROR(__xludf.DUMMYFUNCTION("""COMPUTED_VALUE"""),2021.0)</f>
        <v>2021</v>
      </c>
      <c r="B1603" s="11">
        <f>IFERROR(__xludf.DUMMYFUNCTION("""COMPUTED_VALUE"""),8.0)</f>
        <v>8</v>
      </c>
      <c r="C1603" s="11">
        <f>IFERROR(__xludf.DUMMYFUNCTION("""COMPUTED_VALUE"""),13361.0)</f>
        <v>13361</v>
      </c>
      <c r="D1603" s="11">
        <f>IFERROR(__xludf.DUMMYFUNCTION("""COMPUTED_VALUE"""),278.0)</f>
        <v>278</v>
      </c>
      <c r="E1603" s="9"/>
    </row>
    <row r="1604">
      <c r="A1604" s="11">
        <f>IFERROR(__xludf.DUMMYFUNCTION("""COMPUTED_VALUE"""),2021.0)</f>
        <v>2021</v>
      </c>
      <c r="B1604" s="11">
        <f>IFERROR(__xludf.DUMMYFUNCTION("""COMPUTED_VALUE"""),11.0)</f>
        <v>11</v>
      </c>
      <c r="C1604" s="11">
        <f>IFERROR(__xludf.DUMMYFUNCTION("""COMPUTED_VALUE"""),75659.0)</f>
        <v>75659</v>
      </c>
      <c r="D1604" s="11">
        <f>IFERROR(__xludf.DUMMYFUNCTION("""COMPUTED_VALUE"""),732.0)</f>
        <v>732</v>
      </c>
      <c r="E1604" s="9"/>
    </row>
    <row r="1605">
      <c r="A1605" s="11">
        <f>IFERROR(__xludf.DUMMYFUNCTION("""COMPUTED_VALUE"""),2021.0)</f>
        <v>2021</v>
      </c>
      <c r="B1605" s="11">
        <f>IFERROR(__xludf.DUMMYFUNCTION("""COMPUTED_VALUE"""),10.0)</f>
        <v>10</v>
      </c>
      <c r="C1605" s="11">
        <f>IFERROR(__xludf.DUMMYFUNCTION("""COMPUTED_VALUE"""),75655.0)</f>
        <v>75655</v>
      </c>
      <c r="D1605" s="11">
        <f>IFERROR(__xludf.DUMMYFUNCTION("""COMPUTED_VALUE"""),706.0)</f>
        <v>706</v>
      </c>
      <c r="E1605" s="9"/>
    </row>
    <row r="1606">
      <c r="A1606" s="11">
        <f>IFERROR(__xludf.DUMMYFUNCTION("""COMPUTED_VALUE"""),2021.0)</f>
        <v>2021</v>
      </c>
      <c r="B1606" s="11">
        <f>IFERROR(__xludf.DUMMYFUNCTION("""COMPUTED_VALUE"""),11.0)</f>
        <v>11</v>
      </c>
      <c r="C1606" s="11">
        <f>IFERROR(__xludf.DUMMYFUNCTION("""COMPUTED_VALUE"""),117866.0)</f>
        <v>117866</v>
      </c>
      <c r="D1606" s="11">
        <f>IFERROR(__xludf.DUMMYFUNCTION("""COMPUTED_VALUE"""),36.0)</f>
        <v>36</v>
      </c>
      <c r="E1606" s="9"/>
    </row>
    <row r="1607">
      <c r="A1607" s="11">
        <f>IFERROR(__xludf.DUMMYFUNCTION("""COMPUTED_VALUE"""),2021.0)</f>
        <v>2021</v>
      </c>
      <c r="B1607" s="11">
        <f>IFERROR(__xludf.DUMMYFUNCTION("""COMPUTED_VALUE"""),9.0)</f>
        <v>9</v>
      </c>
      <c r="C1607" s="11">
        <f>IFERROR(__xludf.DUMMYFUNCTION("""COMPUTED_VALUE"""),90556.0)</f>
        <v>90556</v>
      </c>
      <c r="D1607" s="11">
        <f>IFERROR(__xludf.DUMMYFUNCTION("""COMPUTED_VALUE"""),341.0)</f>
        <v>341</v>
      </c>
      <c r="E1607" s="9"/>
    </row>
    <row r="1608">
      <c r="A1608" s="11">
        <f>IFERROR(__xludf.DUMMYFUNCTION("""COMPUTED_VALUE"""),2021.0)</f>
        <v>2021</v>
      </c>
      <c r="B1608" s="11">
        <f>IFERROR(__xludf.DUMMYFUNCTION("""COMPUTED_VALUE"""),10.0)</f>
        <v>10</v>
      </c>
      <c r="C1608" s="11">
        <f>IFERROR(__xludf.DUMMYFUNCTION("""COMPUTED_VALUE"""),68605.0)</f>
        <v>68605</v>
      </c>
      <c r="D1608" s="11">
        <f>IFERROR(__xludf.DUMMYFUNCTION("""COMPUTED_VALUE"""),1899.0)</f>
        <v>1899</v>
      </c>
      <c r="E1608" s="9"/>
    </row>
    <row r="1609">
      <c r="A1609" s="11">
        <f>IFERROR(__xludf.DUMMYFUNCTION("""COMPUTED_VALUE"""),2021.0)</f>
        <v>2021</v>
      </c>
      <c r="B1609" s="11">
        <f>IFERROR(__xludf.DUMMYFUNCTION("""COMPUTED_VALUE"""),8.0)</f>
        <v>8</v>
      </c>
      <c r="C1609" s="11">
        <f>IFERROR(__xludf.DUMMYFUNCTION("""COMPUTED_VALUE"""),103829.0)</f>
        <v>103829</v>
      </c>
      <c r="D1609" s="11">
        <f>IFERROR(__xludf.DUMMYFUNCTION("""COMPUTED_VALUE"""),1864.0)</f>
        <v>1864</v>
      </c>
      <c r="E1609" s="9"/>
    </row>
    <row r="1610">
      <c r="A1610" s="11">
        <f>IFERROR(__xludf.DUMMYFUNCTION("""COMPUTED_VALUE"""),2021.0)</f>
        <v>2021</v>
      </c>
      <c r="B1610" s="11">
        <f>IFERROR(__xludf.DUMMYFUNCTION("""COMPUTED_VALUE"""),9.0)</f>
        <v>9</v>
      </c>
      <c r="C1610" s="11">
        <f>IFERROR(__xludf.DUMMYFUNCTION("""COMPUTED_VALUE"""),90558.0)</f>
        <v>90558</v>
      </c>
      <c r="D1610" s="11">
        <f>IFERROR(__xludf.DUMMYFUNCTION("""COMPUTED_VALUE"""),1825.0)</f>
        <v>1825</v>
      </c>
      <c r="E1610" s="9"/>
    </row>
    <row r="1611">
      <c r="A1611" s="11">
        <f>IFERROR(__xludf.DUMMYFUNCTION("""COMPUTED_VALUE"""),2021.0)</f>
        <v>2021</v>
      </c>
      <c r="B1611" s="11">
        <f>IFERROR(__xludf.DUMMYFUNCTION("""COMPUTED_VALUE"""),8.0)</f>
        <v>8</v>
      </c>
      <c r="C1611" s="11">
        <f>IFERROR(__xludf.DUMMYFUNCTION("""COMPUTED_VALUE"""),120490.0)</f>
        <v>120490</v>
      </c>
      <c r="D1611" s="11">
        <f>IFERROR(__xludf.DUMMYFUNCTION("""COMPUTED_VALUE"""),655.0)</f>
        <v>655</v>
      </c>
      <c r="E1611" s="9"/>
    </row>
    <row r="1612">
      <c r="A1612" s="11">
        <f>IFERROR(__xludf.DUMMYFUNCTION("""COMPUTED_VALUE"""),2021.0)</f>
        <v>2021</v>
      </c>
      <c r="B1612" s="11">
        <f>IFERROR(__xludf.DUMMYFUNCTION("""COMPUTED_VALUE"""),11.0)</f>
        <v>11</v>
      </c>
      <c r="C1612" s="11">
        <f>IFERROR(__xludf.DUMMYFUNCTION("""COMPUTED_VALUE"""),75662.0)</f>
        <v>75662</v>
      </c>
      <c r="D1612" s="11">
        <f>IFERROR(__xludf.DUMMYFUNCTION("""COMPUTED_VALUE"""),478.0)</f>
        <v>478</v>
      </c>
      <c r="E1612" s="9"/>
    </row>
    <row r="1613">
      <c r="A1613" s="11">
        <f>IFERROR(__xludf.DUMMYFUNCTION("""COMPUTED_VALUE"""),2021.0)</f>
        <v>2021</v>
      </c>
      <c r="B1613" s="11">
        <f>IFERROR(__xludf.DUMMYFUNCTION("""COMPUTED_VALUE"""),10.0)</f>
        <v>10</v>
      </c>
      <c r="C1613" s="11">
        <f>IFERROR(__xludf.DUMMYFUNCTION("""COMPUTED_VALUE"""),121298.0)</f>
        <v>121298</v>
      </c>
      <c r="D1613" s="11">
        <f>IFERROR(__xludf.DUMMYFUNCTION("""COMPUTED_VALUE"""),972.0)</f>
        <v>972</v>
      </c>
      <c r="E1613" s="9"/>
    </row>
    <row r="1614">
      <c r="A1614" s="11">
        <f>IFERROR(__xludf.DUMMYFUNCTION("""COMPUTED_VALUE"""),2021.0)</f>
        <v>2021</v>
      </c>
      <c r="B1614" s="11">
        <f>IFERROR(__xludf.DUMMYFUNCTION("""COMPUTED_VALUE"""),9.0)</f>
        <v>9</v>
      </c>
      <c r="C1614" s="11">
        <f>IFERROR(__xludf.DUMMYFUNCTION("""COMPUTED_VALUE"""),13363.0)</f>
        <v>13363</v>
      </c>
      <c r="D1614" s="11">
        <f>IFERROR(__xludf.DUMMYFUNCTION("""COMPUTED_VALUE"""),766.0)</f>
        <v>766</v>
      </c>
      <c r="E1614" s="9"/>
    </row>
    <row r="1615">
      <c r="A1615" s="11">
        <f>IFERROR(__xludf.DUMMYFUNCTION("""COMPUTED_VALUE"""),2021.0)</f>
        <v>2021</v>
      </c>
      <c r="B1615" s="11">
        <f>IFERROR(__xludf.DUMMYFUNCTION("""COMPUTED_VALUE"""),9.0)</f>
        <v>9</v>
      </c>
      <c r="C1615" s="11">
        <f>IFERROR(__xludf.DUMMYFUNCTION("""COMPUTED_VALUE"""),117863.0)</f>
        <v>117863</v>
      </c>
      <c r="D1615" s="11">
        <f>IFERROR(__xludf.DUMMYFUNCTION("""COMPUTED_VALUE"""),1954.0)</f>
        <v>1954</v>
      </c>
      <c r="E1615" s="9"/>
    </row>
    <row r="1616">
      <c r="A1616" s="11">
        <f>IFERROR(__xludf.DUMMYFUNCTION("""COMPUTED_VALUE"""),2021.0)</f>
        <v>2021</v>
      </c>
      <c r="B1616" s="11">
        <f>IFERROR(__xludf.DUMMYFUNCTION("""COMPUTED_VALUE"""),11.0)</f>
        <v>11</v>
      </c>
      <c r="C1616" s="11">
        <f>IFERROR(__xludf.DUMMYFUNCTION("""COMPUTED_VALUE"""),68607.0)</f>
        <v>68607</v>
      </c>
      <c r="D1616" s="11">
        <f>IFERROR(__xludf.DUMMYFUNCTION("""COMPUTED_VALUE"""),1430.0)</f>
        <v>1430</v>
      </c>
      <c r="E1616" s="9"/>
    </row>
    <row r="1617">
      <c r="A1617" s="11">
        <f>IFERROR(__xludf.DUMMYFUNCTION("""COMPUTED_VALUE"""),2021.0)</f>
        <v>2021</v>
      </c>
      <c r="B1617" s="11">
        <f>IFERROR(__xludf.DUMMYFUNCTION("""COMPUTED_VALUE"""),10.0)</f>
        <v>10</v>
      </c>
      <c r="C1617" s="11">
        <f>IFERROR(__xludf.DUMMYFUNCTION("""COMPUTED_VALUE"""),122705.0)</f>
        <v>122705</v>
      </c>
      <c r="D1617" s="11">
        <f>IFERROR(__xludf.DUMMYFUNCTION("""COMPUTED_VALUE"""),94.0)</f>
        <v>94</v>
      </c>
      <c r="E1617" s="9"/>
    </row>
    <row r="1618">
      <c r="A1618" s="11">
        <f>IFERROR(__xludf.DUMMYFUNCTION("""COMPUTED_VALUE"""),2021.0)</f>
        <v>2021</v>
      </c>
      <c r="B1618" s="11">
        <f>IFERROR(__xludf.DUMMYFUNCTION("""COMPUTED_VALUE"""),10.0)</f>
        <v>10</v>
      </c>
      <c r="C1618" s="11">
        <f>IFERROR(__xludf.DUMMYFUNCTION("""COMPUTED_VALUE"""),88195.0)</f>
        <v>88195</v>
      </c>
      <c r="D1618" s="11">
        <f>IFERROR(__xludf.DUMMYFUNCTION("""COMPUTED_VALUE"""),1373.0)</f>
        <v>1373</v>
      </c>
      <c r="E1618" s="9"/>
    </row>
    <row r="1619">
      <c r="A1619" s="11">
        <f>IFERROR(__xludf.DUMMYFUNCTION("""COMPUTED_VALUE"""),2021.0)</f>
        <v>2021</v>
      </c>
      <c r="B1619" s="11">
        <f>IFERROR(__xludf.DUMMYFUNCTION("""COMPUTED_VALUE"""),8.0)</f>
        <v>8</v>
      </c>
      <c r="C1619" s="11">
        <f>IFERROR(__xludf.DUMMYFUNCTION("""COMPUTED_VALUE"""),45523.0)</f>
        <v>45523</v>
      </c>
      <c r="D1619" s="11">
        <f>IFERROR(__xludf.DUMMYFUNCTION("""COMPUTED_VALUE"""),1952.0)</f>
        <v>1952</v>
      </c>
      <c r="E1619" s="9"/>
    </row>
    <row r="1620">
      <c r="A1620" s="11">
        <f>IFERROR(__xludf.DUMMYFUNCTION("""COMPUTED_VALUE"""),2021.0)</f>
        <v>2021</v>
      </c>
      <c r="B1620" s="11">
        <f>IFERROR(__xludf.DUMMYFUNCTION("""COMPUTED_VALUE"""),10.0)</f>
        <v>10</v>
      </c>
      <c r="C1620" s="11">
        <f>IFERROR(__xludf.DUMMYFUNCTION("""COMPUTED_VALUE"""),158449.0)</f>
        <v>158449</v>
      </c>
      <c r="D1620" s="11">
        <f>IFERROR(__xludf.DUMMYFUNCTION("""COMPUTED_VALUE"""),1359.0)</f>
        <v>1359</v>
      </c>
      <c r="E1620" s="9"/>
    </row>
    <row r="1621">
      <c r="A1621" s="11">
        <f>IFERROR(__xludf.DUMMYFUNCTION("""COMPUTED_VALUE"""),2021.0)</f>
        <v>2021</v>
      </c>
      <c r="B1621" s="11">
        <f>IFERROR(__xludf.DUMMYFUNCTION("""COMPUTED_VALUE"""),9.0)</f>
        <v>9</v>
      </c>
      <c r="C1621" s="11">
        <f>IFERROR(__xludf.DUMMYFUNCTION("""COMPUTED_VALUE"""),45518.0)</f>
        <v>45518</v>
      </c>
      <c r="D1621" s="11">
        <f>IFERROR(__xludf.DUMMYFUNCTION("""COMPUTED_VALUE"""),439.0)</f>
        <v>439</v>
      </c>
      <c r="E1621" s="9"/>
    </row>
    <row r="1622">
      <c r="A1622" s="11">
        <f>IFERROR(__xludf.DUMMYFUNCTION("""COMPUTED_VALUE"""),2021.0)</f>
        <v>2021</v>
      </c>
      <c r="B1622" s="11">
        <f>IFERROR(__xludf.DUMMYFUNCTION("""COMPUTED_VALUE"""),9.0)</f>
        <v>9</v>
      </c>
      <c r="C1622" s="11">
        <f>IFERROR(__xludf.DUMMYFUNCTION("""COMPUTED_VALUE"""),96288.0)</f>
        <v>96288</v>
      </c>
      <c r="D1622" s="11">
        <f>IFERROR(__xludf.DUMMYFUNCTION("""COMPUTED_VALUE"""),1629.0)</f>
        <v>1629</v>
      </c>
      <c r="E1622" s="9"/>
    </row>
    <row r="1623">
      <c r="A1623" s="11">
        <f>IFERROR(__xludf.DUMMYFUNCTION("""COMPUTED_VALUE"""),2021.0)</f>
        <v>2021</v>
      </c>
      <c r="B1623" s="11">
        <f>IFERROR(__xludf.DUMMYFUNCTION("""COMPUTED_VALUE"""),9.0)</f>
        <v>9</v>
      </c>
      <c r="C1623" s="11">
        <f>IFERROR(__xludf.DUMMYFUNCTION("""COMPUTED_VALUE"""),76981.0)</f>
        <v>76981</v>
      </c>
      <c r="D1623" s="11">
        <f>IFERROR(__xludf.DUMMYFUNCTION("""COMPUTED_VALUE"""),1736.0)</f>
        <v>1736</v>
      </c>
      <c r="E1623" s="9"/>
    </row>
    <row r="1624">
      <c r="A1624" s="11">
        <f>IFERROR(__xludf.DUMMYFUNCTION("""COMPUTED_VALUE"""),2021.0)</f>
        <v>2021</v>
      </c>
      <c r="B1624" s="11">
        <f>IFERROR(__xludf.DUMMYFUNCTION("""COMPUTED_VALUE"""),11.0)</f>
        <v>11</v>
      </c>
      <c r="C1624" s="11">
        <f>IFERROR(__xludf.DUMMYFUNCTION("""COMPUTED_VALUE"""),113827.0)</f>
        <v>113827</v>
      </c>
      <c r="D1624" s="11">
        <f>IFERROR(__xludf.DUMMYFUNCTION("""COMPUTED_VALUE"""),1021.0)</f>
        <v>1021</v>
      </c>
      <c r="E1624" s="9"/>
    </row>
    <row r="1625">
      <c r="A1625" s="11">
        <f>IFERROR(__xludf.DUMMYFUNCTION("""COMPUTED_VALUE"""),2021.0)</f>
        <v>2021</v>
      </c>
      <c r="B1625" s="11">
        <f>IFERROR(__xludf.DUMMYFUNCTION("""COMPUTED_VALUE"""),11.0)</f>
        <v>11</v>
      </c>
      <c r="C1625" s="11">
        <f>IFERROR(__xludf.DUMMYFUNCTION("""COMPUTED_VALUE"""),76987.0)</f>
        <v>76987</v>
      </c>
      <c r="D1625" s="11">
        <f>IFERROR(__xludf.DUMMYFUNCTION("""COMPUTED_VALUE"""),1653.0)</f>
        <v>1653</v>
      </c>
      <c r="E1625" s="9"/>
    </row>
    <row r="1626">
      <c r="A1626" s="11">
        <f>IFERROR(__xludf.DUMMYFUNCTION("""COMPUTED_VALUE"""),2021.0)</f>
        <v>2021</v>
      </c>
      <c r="B1626" s="11">
        <f>IFERROR(__xludf.DUMMYFUNCTION("""COMPUTED_VALUE"""),11.0)</f>
        <v>11</v>
      </c>
      <c r="C1626" s="11">
        <f>IFERROR(__xludf.DUMMYFUNCTION("""COMPUTED_VALUE"""),113824.0)</f>
        <v>113824</v>
      </c>
      <c r="D1626" s="11">
        <f>IFERROR(__xludf.DUMMYFUNCTION("""COMPUTED_VALUE"""),1442.0)</f>
        <v>1442</v>
      </c>
      <c r="E1626" s="9"/>
    </row>
    <row r="1627">
      <c r="A1627" s="11">
        <f>IFERROR(__xludf.DUMMYFUNCTION("""COMPUTED_VALUE"""),2021.0)</f>
        <v>2021</v>
      </c>
      <c r="B1627" s="11">
        <f>IFERROR(__xludf.DUMMYFUNCTION("""COMPUTED_VALUE"""),10.0)</f>
        <v>10</v>
      </c>
      <c r="C1627" s="11">
        <f>IFERROR(__xludf.DUMMYFUNCTION("""COMPUTED_VALUE"""),113823.0)</f>
        <v>113823</v>
      </c>
      <c r="D1627" s="11">
        <f>IFERROR(__xludf.DUMMYFUNCTION("""COMPUTED_VALUE"""),1705.0)</f>
        <v>1705</v>
      </c>
      <c r="E1627" s="9"/>
    </row>
    <row r="1628">
      <c r="A1628" s="11">
        <f>IFERROR(__xludf.DUMMYFUNCTION("""COMPUTED_VALUE"""),2021.0)</f>
        <v>2021</v>
      </c>
      <c r="B1628" s="11">
        <f>IFERROR(__xludf.DUMMYFUNCTION("""COMPUTED_VALUE"""),10.0)</f>
        <v>10</v>
      </c>
      <c r="C1628" s="11">
        <f>IFERROR(__xludf.DUMMYFUNCTION("""COMPUTED_VALUE"""),156053.0)</f>
        <v>156053</v>
      </c>
      <c r="D1628" s="11">
        <f>IFERROR(__xludf.DUMMYFUNCTION("""COMPUTED_VALUE"""),1047.0)</f>
        <v>1047</v>
      </c>
      <c r="E1628" s="9"/>
    </row>
    <row r="1629">
      <c r="A1629" s="11">
        <f>IFERROR(__xludf.DUMMYFUNCTION("""COMPUTED_VALUE"""),2021.0)</f>
        <v>2021</v>
      </c>
      <c r="B1629" s="11">
        <f>IFERROR(__xludf.DUMMYFUNCTION("""COMPUTED_VALUE"""),10.0)</f>
        <v>10</v>
      </c>
      <c r="C1629" s="11">
        <f>IFERROR(__xludf.DUMMYFUNCTION("""COMPUTED_VALUE"""),45522.0)</f>
        <v>45522</v>
      </c>
      <c r="D1629" s="11">
        <f>IFERROR(__xludf.DUMMYFUNCTION("""COMPUTED_VALUE"""),632.0)</f>
        <v>632</v>
      </c>
      <c r="E1629" s="9"/>
    </row>
    <row r="1630">
      <c r="A1630" s="11">
        <f>IFERROR(__xludf.DUMMYFUNCTION("""COMPUTED_VALUE"""),2021.0)</f>
        <v>2021</v>
      </c>
      <c r="B1630" s="11">
        <f>IFERROR(__xludf.DUMMYFUNCTION("""COMPUTED_VALUE"""),11.0)</f>
        <v>11</v>
      </c>
      <c r="C1630" s="11">
        <f>IFERROR(__xludf.DUMMYFUNCTION("""COMPUTED_VALUE"""),99176.0)</f>
        <v>99176</v>
      </c>
      <c r="D1630" s="11">
        <f>IFERROR(__xludf.DUMMYFUNCTION("""COMPUTED_VALUE"""),1146.0)</f>
        <v>1146</v>
      </c>
      <c r="E1630" s="9"/>
    </row>
    <row r="1631">
      <c r="A1631" s="11">
        <f>IFERROR(__xludf.DUMMYFUNCTION("""COMPUTED_VALUE"""),2021.0)</f>
        <v>2021</v>
      </c>
      <c r="B1631" s="11">
        <f>IFERROR(__xludf.DUMMYFUNCTION("""COMPUTED_VALUE"""),10.0)</f>
        <v>10</v>
      </c>
      <c r="C1631" s="11">
        <f>IFERROR(__xludf.DUMMYFUNCTION("""COMPUTED_VALUE"""),49219.0)</f>
        <v>49219</v>
      </c>
      <c r="D1631" s="11">
        <f>IFERROR(__xludf.DUMMYFUNCTION("""COMPUTED_VALUE"""),995.0)</f>
        <v>995</v>
      </c>
      <c r="E1631" s="9"/>
    </row>
    <row r="1632">
      <c r="A1632" s="11">
        <f>IFERROR(__xludf.DUMMYFUNCTION("""COMPUTED_VALUE"""),2021.0)</f>
        <v>2021</v>
      </c>
      <c r="B1632" s="11">
        <f>IFERROR(__xludf.DUMMYFUNCTION("""COMPUTED_VALUE"""),10.0)</f>
        <v>10</v>
      </c>
      <c r="C1632" s="11">
        <f>IFERROR(__xludf.DUMMYFUNCTION("""COMPUTED_VALUE"""),102370.0)</f>
        <v>102370</v>
      </c>
      <c r="D1632" s="11">
        <f>IFERROR(__xludf.DUMMYFUNCTION("""COMPUTED_VALUE"""),1791.0)</f>
        <v>1791</v>
      </c>
      <c r="E1632" s="9"/>
    </row>
    <row r="1633">
      <c r="A1633" s="11">
        <f>IFERROR(__xludf.DUMMYFUNCTION("""COMPUTED_VALUE"""),2021.0)</f>
        <v>2021</v>
      </c>
      <c r="B1633" s="11">
        <f>IFERROR(__xludf.DUMMYFUNCTION("""COMPUTED_VALUE"""),8.0)</f>
        <v>8</v>
      </c>
      <c r="C1633" s="11">
        <f>IFERROR(__xludf.DUMMYFUNCTION("""COMPUTED_VALUE"""),49222.0)</f>
        <v>49222</v>
      </c>
      <c r="D1633" s="11">
        <f>IFERROR(__xludf.DUMMYFUNCTION("""COMPUTED_VALUE"""),1018.0)</f>
        <v>1018</v>
      </c>
      <c r="E1633" s="9"/>
    </row>
    <row r="1634">
      <c r="A1634" s="11">
        <f>IFERROR(__xludf.DUMMYFUNCTION("""COMPUTED_VALUE"""),2021.0)</f>
        <v>2021</v>
      </c>
      <c r="B1634" s="11">
        <f>IFERROR(__xludf.DUMMYFUNCTION("""COMPUTED_VALUE"""),8.0)</f>
        <v>8</v>
      </c>
      <c r="C1634" s="11">
        <f>IFERROR(__xludf.DUMMYFUNCTION("""COMPUTED_VALUE"""),102352.0)</f>
        <v>102352</v>
      </c>
      <c r="D1634" s="11">
        <f>IFERROR(__xludf.DUMMYFUNCTION("""COMPUTED_VALUE"""),396.0)</f>
        <v>396</v>
      </c>
      <c r="E1634" s="9"/>
    </row>
    <row r="1635">
      <c r="A1635" s="11">
        <f>IFERROR(__xludf.DUMMYFUNCTION("""COMPUTED_VALUE"""),2021.0)</f>
        <v>2021</v>
      </c>
      <c r="B1635" s="11">
        <f>IFERROR(__xludf.DUMMYFUNCTION("""COMPUTED_VALUE"""),10.0)</f>
        <v>10</v>
      </c>
      <c r="C1635" s="11">
        <f>IFERROR(__xludf.DUMMYFUNCTION("""COMPUTED_VALUE"""),49233.0)</f>
        <v>49233</v>
      </c>
      <c r="D1635" s="11">
        <f>IFERROR(__xludf.DUMMYFUNCTION("""COMPUTED_VALUE"""),400.0)</f>
        <v>400</v>
      </c>
      <c r="E1635" s="9"/>
    </row>
    <row r="1636">
      <c r="A1636" s="11">
        <f>IFERROR(__xludf.DUMMYFUNCTION("""COMPUTED_VALUE"""),2021.0)</f>
        <v>2021</v>
      </c>
      <c r="B1636" s="11">
        <f>IFERROR(__xludf.DUMMYFUNCTION("""COMPUTED_VALUE"""),11.0)</f>
        <v>11</v>
      </c>
      <c r="C1636" s="11">
        <f>IFERROR(__xludf.DUMMYFUNCTION("""COMPUTED_VALUE"""),99163.0)</f>
        <v>99163</v>
      </c>
      <c r="D1636" s="11">
        <f>IFERROR(__xludf.DUMMYFUNCTION("""COMPUTED_VALUE"""),1756.0)</f>
        <v>1756</v>
      </c>
      <c r="E1636" s="9"/>
    </row>
    <row r="1637">
      <c r="A1637" s="11">
        <f>IFERROR(__xludf.DUMMYFUNCTION("""COMPUTED_VALUE"""),2021.0)</f>
        <v>2021</v>
      </c>
      <c r="B1637" s="11">
        <f>IFERROR(__xludf.DUMMYFUNCTION("""COMPUTED_VALUE"""),10.0)</f>
        <v>10</v>
      </c>
      <c r="C1637" s="11">
        <f>IFERROR(__xludf.DUMMYFUNCTION("""COMPUTED_VALUE"""),142785.0)</f>
        <v>142785</v>
      </c>
      <c r="D1637" s="11">
        <f>IFERROR(__xludf.DUMMYFUNCTION("""COMPUTED_VALUE"""),1356.0)</f>
        <v>1356</v>
      </c>
      <c r="E1637" s="9"/>
    </row>
    <row r="1638">
      <c r="A1638" s="11">
        <f>IFERROR(__xludf.DUMMYFUNCTION("""COMPUTED_VALUE"""),2021.0)</f>
        <v>2021</v>
      </c>
      <c r="B1638" s="11">
        <f>IFERROR(__xludf.DUMMYFUNCTION("""COMPUTED_VALUE"""),9.0)</f>
        <v>9</v>
      </c>
      <c r="C1638" s="11">
        <f>IFERROR(__xludf.DUMMYFUNCTION("""COMPUTED_VALUE"""),113054.0)</f>
        <v>113054</v>
      </c>
      <c r="D1638" s="11">
        <f>IFERROR(__xludf.DUMMYFUNCTION("""COMPUTED_VALUE"""),1368.0)</f>
        <v>1368</v>
      </c>
      <c r="E1638" s="9"/>
    </row>
    <row r="1639">
      <c r="A1639" s="11">
        <f>IFERROR(__xludf.DUMMYFUNCTION("""COMPUTED_VALUE"""),2021.0)</f>
        <v>2021</v>
      </c>
      <c r="B1639" s="11">
        <f>IFERROR(__xludf.DUMMYFUNCTION("""COMPUTED_VALUE"""),9.0)</f>
        <v>9</v>
      </c>
      <c r="C1639" s="11">
        <f>IFERROR(__xludf.DUMMYFUNCTION("""COMPUTED_VALUE"""),88105.0)</f>
        <v>88105</v>
      </c>
      <c r="D1639" s="11">
        <f>IFERROR(__xludf.DUMMYFUNCTION("""COMPUTED_VALUE"""),1572.0)</f>
        <v>1572</v>
      </c>
      <c r="E1639" s="9"/>
    </row>
    <row r="1640">
      <c r="A1640" s="11">
        <f>IFERROR(__xludf.DUMMYFUNCTION("""COMPUTED_VALUE"""),2021.0)</f>
        <v>2021</v>
      </c>
      <c r="B1640" s="11">
        <f>IFERROR(__xludf.DUMMYFUNCTION("""COMPUTED_VALUE"""),11.0)</f>
        <v>11</v>
      </c>
      <c r="C1640" s="11">
        <f>IFERROR(__xludf.DUMMYFUNCTION("""COMPUTED_VALUE"""),97036.0)</f>
        <v>97036</v>
      </c>
      <c r="D1640" s="11">
        <f>IFERROR(__xludf.DUMMYFUNCTION("""COMPUTED_VALUE"""),1194.0)</f>
        <v>1194</v>
      </c>
      <c r="E1640" s="9"/>
    </row>
    <row r="1641">
      <c r="A1641" s="11">
        <f>IFERROR(__xludf.DUMMYFUNCTION("""COMPUTED_VALUE"""),2021.0)</f>
        <v>2021</v>
      </c>
      <c r="B1641" s="11">
        <f>IFERROR(__xludf.DUMMYFUNCTION("""COMPUTED_VALUE"""),10.0)</f>
        <v>10</v>
      </c>
      <c r="C1641" s="11">
        <f>IFERROR(__xludf.DUMMYFUNCTION("""COMPUTED_VALUE"""),81229.0)</f>
        <v>81229</v>
      </c>
      <c r="D1641" s="11">
        <f>IFERROR(__xludf.DUMMYFUNCTION("""COMPUTED_VALUE"""),267.0)</f>
        <v>267</v>
      </c>
      <c r="E1641" s="9"/>
    </row>
    <row r="1642">
      <c r="A1642" s="11">
        <f>IFERROR(__xludf.DUMMYFUNCTION("""COMPUTED_VALUE"""),2021.0)</f>
        <v>2021</v>
      </c>
      <c r="B1642" s="11">
        <f>IFERROR(__xludf.DUMMYFUNCTION("""COMPUTED_VALUE"""),9.0)</f>
        <v>9</v>
      </c>
      <c r="C1642" s="11">
        <f>IFERROR(__xludf.DUMMYFUNCTION("""COMPUTED_VALUE"""),120563.0)</f>
        <v>120563</v>
      </c>
      <c r="D1642" s="11">
        <f>IFERROR(__xludf.DUMMYFUNCTION("""COMPUTED_VALUE"""),373.0)</f>
        <v>373</v>
      </c>
      <c r="E1642" s="9"/>
    </row>
    <row r="1643">
      <c r="A1643" s="11">
        <f>IFERROR(__xludf.DUMMYFUNCTION("""COMPUTED_VALUE"""),2021.0)</f>
        <v>2021</v>
      </c>
      <c r="B1643" s="11">
        <f>IFERROR(__xludf.DUMMYFUNCTION("""COMPUTED_VALUE"""),10.0)</f>
        <v>10</v>
      </c>
      <c r="C1643" s="11">
        <f>IFERROR(__xludf.DUMMYFUNCTION("""COMPUTED_VALUE"""),122290.0)</f>
        <v>122290</v>
      </c>
      <c r="D1643" s="11">
        <f>IFERROR(__xludf.DUMMYFUNCTION("""COMPUTED_VALUE"""),554.0)</f>
        <v>554</v>
      </c>
      <c r="E1643" s="9"/>
    </row>
    <row r="1644">
      <c r="A1644" s="11">
        <f>IFERROR(__xludf.DUMMYFUNCTION("""COMPUTED_VALUE"""),2021.0)</f>
        <v>2021</v>
      </c>
      <c r="B1644" s="11">
        <f>IFERROR(__xludf.DUMMYFUNCTION("""COMPUTED_VALUE"""),10.0)</f>
        <v>10</v>
      </c>
      <c r="C1644" s="11">
        <f>IFERROR(__xludf.DUMMYFUNCTION("""COMPUTED_VALUE"""),122373.0)</f>
        <v>122373</v>
      </c>
      <c r="D1644" s="11">
        <f>IFERROR(__xludf.DUMMYFUNCTION("""COMPUTED_VALUE"""),1483.0)</f>
        <v>1483</v>
      </c>
      <c r="E1644" s="9"/>
    </row>
    <row r="1645">
      <c r="A1645" s="11">
        <f>IFERROR(__xludf.DUMMYFUNCTION("""COMPUTED_VALUE"""),2021.0)</f>
        <v>2021</v>
      </c>
      <c r="B1645" s="11">
        <f>IFERROR(__xludf.DUMMYFUNCTION("""COMPUTED_VALUE"""),9.0)</f>
        <v>9</v>
      </c>
      <c r="C1645" s="11">
        <f>IFERROR(__xludf.DUMMYFUNCTION("""COMPUTED_VALUE"""),117830.0)</f>
        <v>117830</v>
      </c>
      <c r="D1645" s="11">
        <f>IFERROR(__xludf.DUMMYFUNCTION("""COMPUTED_VALUE"""),1635.0)</f>
        <v>1635</v>
      </c>
      <c r="E1645" s="9"/>
    </row>
    <row r="1646">
      <c r="A1646" s="11">
        <f>IFERROR(__xludf.DUMMYFUNCTION("""COMPUTED_VALUE"""),2021.0)</f>
        <v>2021</v>
      </c>
      <c r="B1646" s="11">
        <f>IFERROR(__xludf.DUMMYFUNCTION("""COMPUTED_VALUE"""),11.0)</f>
        <v>11</v>
      </c>
      <c r="C1646" s="11">
        <f>IFERROR(__xludf.DUMMYFUNCTION("""COMPUTED_VALUE"""),109008.0)</f>
        <v>109008</v>
      </c>
      <c r="D1646" s="11">
        <f>IFERROR(__xludf.DUMMYFUNCTION("""COMPUTED_VALUE"""),1079.0)</f>
        <v>1079</v>
      </c>
      <c r="E1646" s="9"/>
    </row>
    <row r="1647">
      <c r="A1647" s="11">
        <f>IFERROR(__xludf.DUMMYFUNCTION("""COMPUTED_VALUE"""),2021.0)</f>
        <v>2021</v>
      </c>
      <c r="B1647" s="11">
        <f>IFERROR(__xludf.DUMMYFUNCTION("""COMPUTED_VALUE"""),11.0)</f>
        <v>11</v>
      </c>
      <c r="C1647" s="11">
        <f>IFERROR(__xludf.DUMMYFUNCTION("""COMPUTED_VALUE"""),122371.0)</f>
        <v>122371</v>
      </c>
      <c r="D1647" s="11">
        <f>IFERROR(__xludf.DUMMYFUNCTION("""COMPUTED_VALUE"""),1421.0)</f>
        <v>1421</v>
      </c>
      <c r="E1647" s="9"/>
    </row>
    <row r="1648">
      <c r="A1648" s="11">
        <f>IFERROR(__xludf.DUMMYFUNCTION("""COMPUTED_VALUE"""),2021.0)</f>
        <v>2021</v>
      </c>
      <c r="B1648" s="11">
        <f>IFERROR(__xludf.DUMMYFUNCTION("""COMPUTED_VALUE"""),9.0)</f>
        <v>9</v>
      </c>
      <c r="C1648" s="11">
        <f>IFERROR(__xludf.DUMMYFUNCTION("""COMPUTED_VALUE"""),109012.0)</f>
        <v>109012</v>
      </c>
      <c r="D1648" s="11">
        <f>IFERROR(__xludf.DUMMYFUNCTION("""COMPUTED_VALUE"""),1649.0)</f>
        <v>1649</v>
      </c>
      <c r="E1648" s="9"/>
    </row>
    <row r="1649">
      <c r="A1649" s="11">
        <f>IFERROR(__xludf.DUMMYFUNCTION("""COMPUTED_VALUE"""),2021.0)</f>
        <v>2021</v>
      </c>
      <c r="B1649" s="11">
        <f>IFERROR(__xludf.DUMMYFUNCTION("""COMPUTED_VALUE"""),10.0)</f>
        <v>10</v>
      </c>
      <c r="C1649" s="11">
        <f>IFERROR(__xludf.DUMMYFUNCTION("""COMPUTED_VALUE"""),156047.0)</f>
        <v>156047</v>
      </c>
      <c r="D1649" s="11">
        <f>IFERROR(__xludf.DUMMYFUNCTION("""COMPUTED_VALUE"""),255.0)</f>
        <v>255</v>
      </c>
      <c r="E1649" s="9"/>
    </row>
    <row r="1650">
      <c r="A1650" s="11">
        <f>IFERROR(__xludf.DUMMYFUNCTION("""COMPUTED_VALUE"""),2021.0)</f>
        <v>2021</v>
      </c>
      <c r="B1650" s="11">
        <f>IFERROR(__xludf.DUMMYFUNCTION("""COMPUTED_VALUE"""),9.0)</f>
        <v>9</v>
      </c>
      <c r="C1650" s="11">
        <f>IFERROR(__xludf.DUMMYFUNCTION("""COMPUTED_VALUE"""),117839.0)</f>
        <v>117839</v>
      </c>
      <c r="D1650" s="11">
        <f>IFERROR(__xludf.DUMMYFUNCTION("""COMPUTED_VALUE"""),583.0)</f>
        <v>583</v>
      </c>
      <c r="E1650" s="9"/>
    </row>
    <row r="1651">
      <c r="A1651" s="11">
        <f>IFERROR(__xludf.DUMMYFUNCTION("""COMPUTED_VALUE"""),2021.0)</f>
        <v>2021</v>
      </c>
      <c r="B1651" s="11">
        <f>IFERROR(__xludf.DUMMYFUNCTION("""COMPUTED_VALUE"""),10.0)</f>
        <v>10</v>
      </c>
      <c r="C1651" s="11">
        <f>IFERROR(__xludf.DUMMYFUNCTION("""COMPUTED_VALUE"""),156051.0)</f>
        <v>156051</v>
      </c>
      <c r="D1651" s="11">
        <f>IFERROR(__xludf.DUMMYFUNCTION("""COMPUTED_VALUE"""),299.0)</f>
        <v>299</v>
      </c>
      <c r="E1651" s="9"/>
    </row>
    <row r="1652">
      <c r="A1652" s="11">
        <f>IFERROR(__xludf.DUMMYFUNCTION("""COMPUTED_VALUE"""),2021.0)</f>
        <v>2021</v>
      </c>
      <c r="B1652" s="11">
        <f>IFERROR(__xludf.DUMMYFUNCTION("""COMPUTED_VALUE"""),8.0)</f>
        <v>8</v>
      </c>
      <c r="C1652" s="11">
        <f>IFERROR(__xludf.DUMMYFUNCTION("""COMPUTED_VALUE"""),156048.0)</f>
        <v>156048</v>
      </c>
      <c r="D1652" s="11">
        <f>IFERROR(__xludf.DUMMYFUNCTION("""COMPUTED_VALUE"""),1556.0)</f>
        <v>1556</v>
      </c>
      <c r="E1652" s="9"/>
    </row>
    <row r="1653">
      <c r="A1653" s="11">
        <f>IFERROR(__xludf.DUMMYFUNCTION("""COMPUTED_VALUE"""),2021.0)</f>
        <v>2021</v>
      </c>
      <c r="B1653" s="11">
        <f>IFERROR(__xludf.DUMMYFUNCTION("""COMPUTED_VALUE"""),8.0)</f>
        <v>8</v>
      </c>
      <c r="C1653" s="11">
        <f>IFERROR(__xludf.DUMMYFUNCTION("""COMPUTED_VALUE"""),117832.0)</f>
        <v>117832</v>
      </c>
      <c r="D1653" s="11">
        <f>IFERROR(__xludf.DUMMYFUNCTION("""COMPUTED_VALUE"""),174.0)</f>
        <v>174</v>
      </c>
      <c r="E1653" s="9"/>
    </row>
    <row r="1654">
      <c r="A1654" s="11">
        <f>IFERROR(__xludf.DUMMYFUNCTION("""COMPUTED_VALUE"""),2021.0)</f>
        <v>2021</v>
      </c>
      <c r="B1654" s="11">
        <f>IFERROR(__xludf.DUMMYFUNCTION("""COMPUTED_VALUE"""),8.0)</f>
        <v>8</v>
      </c>
      <c r="C1654" s="11">
        <f>IFERROR(__xludf.DUMMYFUNCTION("""COMPUTED_VALUE"""),117877.0)</f>
        <v>117877</v>
      </c>
      <c r="D1654" s="11">
        <f>IFERROR(__xludf.DUMMYFUNCTION("""COMPUTED_VALUE"""),284.0)</f>
        <v>284</v>
      </c>
      <c r="E1654" s="9"/>
    </row>
    <row r="1655">
      <c r="A1655" s="11">
        <f>IFERROR(__xludf.DUMMYFUNCTION("""COMPUTED_VALUE"""),2021.0)</f>
        <v>2021</v>
      </c>
      <c r="B1655" s="11">
        <f>IFERROR(__xludf.DUMMYFUNCTION("""COMPUTED_VALUE"""),11.0)</f>
        <v>11</v>
      </c>
      <c r="C1655" s="11">
        <f>IFERROR(__xludf.DUMMYFUNCTION("""COMPUTED_VALUE"""),117876.0)</f>
        <v>117876</v>
      </c>
      <c r="D1655" s="11">
        <f>IFERROR(__xludf.DUMMYFUNCTION("""COMPUTED_VALUE"""),1718.0)</f>
        <v>1718</v>
      </c>
      <c r="E1655" s="9"/>
    </row>
    <row r="1656">
      <c r="A1656" s="11">
        <f>IFERROR(__xludf.DUMMYFUNCTION("""COMPUTED_VALUE"""),2021.0)</f>
        <v>2021</v>
      </c>
      <c r="B1656" s="11">
        <f>IFERROR(__xludf.DUMMYFUNCTION("""COMPUTED_VALUE"""),11.0)</f>
        <v>11</v>
      </c>
      <c r="C1656" s="11">
        <f>IFERROR(__xludf.DUMMYFUNCTION("""COMPUTED_VALUE"""),83507.0)</f>
        <v>83507</v>
      </c>
      <c r="D1656" s="11">
        <f>IFERROR(__xludf.DUMMYFUNCTION("""COMPUTED_VALUE"""),1304.0)</f>
        <v>1304</v>
      </c>
      <c r="E1656" s="9"/>
    </row>
    <row r="1657">
      <c r="A1657" s="11">
        <f>IFERROR(__xludf.DUMMYFUNCTION("""COMPUTED_VALUE"""),2021.0)</f>
        <v>2021</v>
      </c>
      <c r="B1657" s="11">
        <f>IFERROR(__xludf.DUMMYFUNCTION("""COMPUTED_VALUE"""),8.0)</f>
        <v>8</v>
      </c>
      <c r="C1657" s="11">
        <f>IFERROR(__xludf.DUMMYFUNCTION("""COMPUTED_VALUE"""),121285.0)</f>
        <v>121285</v>
      </c>
      <c r="D1657" s="11">
        <f>IFERROR(__xludf.DUMMYFUNCTION("""COMPUTED_VALUE"""),1264.0)</f>
        <v>1264</v>
      </c>
      <c r="E1657" s="9"/>
    </row>
    <row r="1658">
      <c r="A1658" s="11">
        <f>IFERROR(__xludf.DUMMYFUNCTION("""COMPUTED_VALUE"""),2021.0)</f>
        <v>2021</v>
      </c>
      <c r="B1658" s="11">
        <f>IFERROR(__xludf.DUMMYFUNCTION("""COMPUTED_VALUE"""),8.0)</f>
        <v>8</v>
      </c>
      <c r="C1658" s="11">
        <f>IFERROR(__xludf.DUMMYFUNCTION("""COMPUTED_VALUE"""),122684.0)</f>
        <v>122684</v>
      </c>
      <c r="D1658" s="11">
        <f>IFERROR(__xludf.DUMMYFUNCTION("""COMPUTED_VALUE"""),373.0)</f>
        <v>373</v>
      </c>
      <c r="E1658" s="9"/>
    </row>
    <row r="1659">
      <c r="A1659" s="11">
        <f>IFERROR(__xludf.DUMMYFUNCTION("""COMPUTED_VALUE"""),2021.0)</f>
        <v>2021</v>
      </c>
      <c r="B1659" s="11">
        <f>IFERROR(__xludf.DUMMYFUNCTION("""COMPUTED_VALUE"""),10.0)</f>
        <v>10</v>
      </c>
      <c r="C1659" s="11">
        <f>IFERROR(__xludf.DUMMYFUNCTION("""COMPUTED_VALUE"""),116615.0)</f>
        <v>116615</v>
      </c>
      <c r="D1659" s="11">
        <f>IFERROR(__xludf.DUMMYFUNCTION("""COMPUTED_VALUE"""),432.0)</f>
        <v>432</v>
      </c>
      <c r="E1659" s="9"/>
    </row>
    <row r="1660">
      <c r="A1660" s="11">
        <f>IFERROR(__xludf.DUMMYFUNCTION("""COMPUTED_VALUE"""),2021.0)</f>
        <v>2021</v>
      </c>
      <c r="B1660" s="11">
        <f>IFERROR(__xludf.DUMMYFUNCTION("""COMPUTED_VALUE"""),11.0)</f>
        <v>11</v>
      </c>
      <c r="C1660" s="11">
        <f>IFERROR(__xludf.DUMMYFUNCTION("""COMPUTED_VALUE"""),121083.0)</f>
        <v>121083</v>
      </c>
      <c r="D1660" s="11">
        <f>IFERROR(__xludf.DUMMYFUNCTION("""COMPUTED_VALUE"""),1003.0)</f>
        <v>1003</v>
      </c>
      <c r="E1660" s="9"/>
    </row>
    <row r="1661">
      <c r="A1661" s="11">
        <f>IFERROR(__xludf.DUMMYFUNCTION("""COMPUTED_VALUE"""),2021.0)</f>
        <v>2021</v>
      </c>
      <c r="B1661" s="11">
        <f>IFERROR(__xludf.DUMMYFUNCTION("""COMPUTED_VALUE"""),10.0)</f>
        <v>10</v>
      </c>
      <c r="C1661" s="11">
        <f>IFERROR(__xludf.DUMMYFUNCTION("""COMPUTED_VALUE"""),108936.0)</f>
        <v>108936</v>
      </c>
      <c r="D1661" s="11">
        <f>IFERROR(__xludf.DUMMYFUNCTION("""COMPUTED_VALUE"""),191.0)</f>
        <v>191</v>
      </c>
      <c r="E1661" s="9"/>
    </row>
    <row r="1662">
      <c r="A1662" s="11">
        <f>IFERROR(__xludf.DUMMYFUNCTION("""COMPUTED_VALUE"""),2021.0)</f>
        <v>2021</v>
      </c>
      <c r="B1662" s="11">
        <f>IFERROR(__xludf.DUMMYFUNCTION("""COMPUTED_VALUE"""),11.0)</f>
        <v>11</v>
      </c>
      <c r="C1662" s="11">
        <f>IFERROR(__xludf.DUMMYFUNCTION("""COMPUTED_VALUE"""),128388.0)</f>
        <v>128388</v>
      </c>
      <c r="D1662" s="11">
        <f>IFERROR(__xludf.DUMMYFUNCTION("""COMPUTED_VALUE"""),830.0)</f>
        <v>830</v>
      </c>
      <c r="E1662" s="9"/>
    </row>
    <row r="1663">
      <c r="A1663" s="11">
        <f>IFERROR(__xludf.DUMMYFUNCTION("""COMPUTED_VALUE"""),2021.0)</f>
        <v>2021</v>
      </c>
      <c r="B1663" s="11">
        <f>IFERROR(__xludf.DUMMYFUNCTION("""COMPUTED_VALUE"""),11.0)</f>
        <v>11</v>
      </c>
      <c r="C1663" s="11">
        <f>IFERROR(__xludf.DUMMYFUNCTION("""COMPUTED_VALUE"""),120559.0)</f>
        <v>120559</v>
      </c>
      <c r="D1663" s="11">
        <f>IFERROR(__xludf.DUMMYFUNCTION("""COMPUTED_VALUE"""),593.0)</f>
        <v>593</v>
      </c>
      <c r="E1663" s="9"/>
    </row>
    <row r="1664">
      <c r="A1664" s="11">
        <f>IFERROR(__xludf.DUMMYFUNCTION("""COMPUTED_VALUE"""),2021.0)</f>
        <v>2021</v>
      </c>
      <c r="B1664" s="11">
        <f>IFERROR(__xludf.DUMMYFUNCTION("""COMPUTED_VALUE"""),11.0)</f>
        <v>11</v>
      </c>
      <c r="C1664" s="11">
        <f>IFERROR(__xludf.DUMMYFUNCTION("""COMPUTED_VALUE"""),122685.0)</f>
        <v>122685</v>
      </c>
      <c r="D1664" s="11">
        <f>IFERROR(__xludf.DUMMYFUNCTION("""COMPUTED_VALUE"""),1426.0)</f>
        <v>1426</v>
      </c>
      <c r="E1664" s="9"/>
    </row>
    <row r="1665">
      <c r="A1665" s="11">
        <f>IFERROR(__xludf.DUMMYFUNCTION("""COMPUTED_VALUE"""),2021.0)</f>
        <v>2021</v>
      </c>
      <c r="B1665" s="11">
        <f>IFERROR(__xludf.DUMMYFUNCTION("""COMPUTED_VALUE"""),8.0)</f>
        <v>8</v>
      </c>
      <c r="C1665" s="11">
        <f>IFERROR(__xludf.DUMMYFUNCTION("""COMPUTED_VALUE"""),122686.0)</f>
        <v>122686</v>
      </c>
      <c r="D1665" s="11">
        <f>IFERROR(__xludf.DUMMYFUNCTION("""COMPUTED_VALUE"""),1604.0)</f>
        <v>1604</v>
      </c>
      <c r="E1665" s="9"/>
    </row>
    <row r="1666">
      <c r="A1666" s="11">
        <f>IFERROR(__xludf.DUMMYFUNCTION("""COMPUTED_VALUE"""),2021.0)</f>
        <v>2021</v>
      </c>
      <c r="B1666" s="11">
        <f>IFERROR(__xludf.DUMMYFUNCTION("""COMPUTED_VALUE"""),11.0)</f>
        <v>11</v>
      </c>
      <c r="C1666" s="11">
        <f>IFERROR(__xludf.DUMMYFUNCTION("""COMPUTED_VALUE"""),181263.0)</f>
        <v>181263</v>
      </c>
      <c r="D1666" s="11">
        <f>IFERROR(__xludf.DUMMYFUNCTION("""COMPUTED_VALUE"""),103.0)</f>
        <v>103</v>
      </c>
      <c r="E1666" s="9"/>
    </row>
    <row r="1667">
      <c r="A1667" s="11">
        <f>IFERROR(__xludf.DUMMYFUNCTION("""COMPUTED_VALUE"""),2021.0)</f>
        <v>2021</v>
      </c>
      <c r="B1667" s="11">
        <f>IFERROR(__xludf.DUMMYFUNCTION("""COMPUTED_VALUE"""),9.0)</f>
        <v>9</v>
      </c>
      <c r="C1667" s="11">
        <f>IFERROR(__xludf.DUMMYFUNCTION("""COMPUTED_VALUE"""),122723.0)</f>
        <v>122723</v>
      </c>
      <c r="D1667" s="11">
        <f>IFERROR(__xludf.DUMMYFUNCTION("""COMPUTED_VALUE"""),1277.0)</f>
        <v>1277</v>
      </c>
      <c r="E1667" s="9"/>
    </row>
    <row r="1668">
      <c r="A1668" s="11">
        <f>IFERROR(__xludf.DUMMYFUNCTION("""COMPUTED_VALUE"""),2021.0)</f>
        <v>2021</v>
      </c>
      <c r="B1668" s="11">
        <f>IFERROR(__xludf.DUMMYFUNCTION("""COMPUTED_VALUE"""),8.0)</f>
        <v>8</v>
      </c>
      <c r="C1668" s="11">
        <f>IFERROR(__xludf.DUMMYFUNCTION("""COMPUTED_VALUE"""),26533.0)</f>
        <v>26533</v>
      </c>
      <c r="D1668" s="11">
        <f>IFERROR(__xludf.DUMMYFUNCTION("""COMPUTED_VALUE"""),1678.0)</f>
        <v>1678</v>
      </c>
      <c r="E1668" s="9"/>
    </row>
    <row r="1669">
      <c r="A1669" s="11">
        <f>IFERROR(__xludf.DUMMYFUNCTION("""COMPUTED_VALUE"""),2021.0)</f>
        <v>2021</v>
      </c>
      <c r="B1669" s="11">
        <f>IFERROR(__xludf.DUMMYFUNCTION("""COMPUTED_VALUE"""),10.0)</f>
        <v>10</v>
      </c>
      <c r="C1669" s="11">
        <f>IFERROR(__xludf.DUMMYFUNCTION("""COMPUTED_VALUE"""),16048.0)</f>
        <v>16048</v>
      </c>
      <c r="D1669" s="11">
        <f>IFERROR(__xludf.DUMMYFUNCTION("""COMPUTED_VALUE"""),476.0)</f>
        <v>476</v>
      </c>
      <c r="E1669" s="9"/>
    </row>
    <row r="1670">
      <c r="A1670" s="11">
        <f>IFERROR(__xludf.DUMMYFUNCTION("""COMPUTED_VALUE"""),2021.0)</f>
        <v>2021</v>
      </c>
      <c r="B1670" s="11">
        <f>IFERROR(__xludf.DUMMYFUNCTION("""COMPUTED_VALUE"""),10.0)</f>
        <v>10</v>
      </c>
      <c r="C1670" s="11">
        <f>IFERROR(__xludf.DUMMYFUNCTION("""COMPUTED_VALUE"""),16049.0)</f>
        <v>16049</v>
      </c>
      <c r="D1670" s="11">
        <f>IFERROR(__xludf.DUMMYFUNCTION("""COMPUTED_VALUE"""),243.0)</f>
        <v>243</v>
      </c>
      <c r="E1670" s="9"/>
    </row>
    <row r="1671">
      <c r="A1671" s="11">
        <f>IFERROR(__xludf.DUMMYFUNCTION("""COMPUTED_VALUE"""),2021.0)</f>
        <v>2021</v>
      </c>
      <c r="B1671" s="11">
        <f>IFERROR(__xludf.DUMMYFUNCTION("""COMPUTED_VALUE"""),8.0)</f>
        <v>8</v>
      </c>
      <c r="C1671" s="11">
        <f>IFERROR(__xludf.DUMMYFUNCTION("""COMPUTED_VALUE"""),122421.0)</f>
        <v>122421</v>
      </c>
      <c r="D1671" s="11">
        <f>IFERROR(__xludf.DUMMYFUNCTION("""COMPUTED_VALUE"""),51.0)</f>
        <v>51</v>
      </c>
      <c r="E1671" s="9"/>
    </row>
    <row r="1672">
      <c r="A1672" s="11">
        <f>IFERROR(__xludf.DUMMYFUNCTION("""COMPUTED_VALUE"""),2021.0)</f>
        <v>2021</v>
      </c>
      <c r="B1672" s="11">
        <f>IFERROR(__xludf.DUMMYFUNCTION("""COMPUTED_VALUE"""),10.0)</f>
        <v>10</v>
      </c>
      <c r="C1672" s="11">
        <f>IFERROR(__xludf.DUMMYFUNCTION("""COMPUTED_VALUE"""),121718.0)</f>
        <v>121718</v>
      </c>
      <c r="D1672" s="11">
        <f>IFERROR(__xludf.DUMMYFUNCTION("""COMPUTED_VALUE"""),666.0)</f>
        <v>666</v>
      </c>
      <c r="E1672" s="9"/>
    </row>
    <row r="1673">
      <c r="A1673" s="11">
        <f>IFERROR(__xludf.DUMMYFUNCTION("""COMPUTED_VALUE"""),2021.0)</f>
        <v>2021</v>
      </c>
      <c r="B1673" s="11">
        <f>IFERROR(__xludf.DUMMYFUNCTION("""COMPUTED_VALUE"""),10.0)</f>
        <v>10</v>
      </c>
      <c r="C1673" s="11">
        <f>IFERROR(__xludf.DUMMYFUNCTION("""COMPUTED_VALUE"""),117892.0)</f>
        <v>117892</v>
      </c>
      <c r="D1673" s="11">
        <f>IFERROR(__xludf.DUMMYFUNCTION("""COMPUTED_VALUE"""),738.0)</f>
        <v>738</v>
      </c>
      <c r="E1673" s="9"/>
    </row>
    <row r="1674">
      <c r="A1674" s="11">
        <f>IFERROR(__xludf.DUMMYFUNCTION("""COMPUTED_VALUE"""),2021.0)</f>
        <v>2021</v>
      </c>
      <c r="B1674" s="11">
        <f>IFERROR(__xludf.DUMMYFUNCTION("""COMPUTED_VALUE"""),9.0)</f>
        <v>9</v>
      </c>
      <c r="C1674" s="11">
        <f>IFERROR(__xludf.DUMMYFUNCTION("""COMPUTED_VALUE"""),117893.0)</f>
        <v>117893</v>
      </c>
      <c r="D1674" s="11">
        <f>IFERROR(__xludf.DUMMYFUNCTION("""COMPUTED_VALUE"""),98.0)</f>
        <v>98</v>
      </c>
      <c r="E1674" s="9"/>
    </row>
    <row r="1675">
      <c r="A1675" s="11">
        <f>IFERROR(__xludf.DUMMYFUNCTION("""COMPUTED_VALUE"""),2021.0)</f>
        <v>2021</v>
      </c>
      <c r="B1675" s="11">
        <f>IFERROR(__xludf.DUMMYFUNCTION("""COMPUTED_VALUE"""),10.0)</f>
        <v>10</v>
      </c>
      <c r="C1675" s="11">
        <f>IFERROR(__xludf.DUMMYFUNCTION("""COMPUTED_VALUE"""),78448.0)</f>
        <v>78448</v>
      </c>
      <c r="D1675" s="11">
        <f>IFERROR(__xludf.DUMMYFUNCTION("""COMPUTED_VALUE"""),1436.0)</f>
        <v>1436</v>
      </c>
      <c r="E1675" s="9"/>
    </row>
    <row r="1676">
      <c r="A1676" s="11">
        <f>IFERROR(__xludf.DUMMYFUNCTION("""COMPUTED_VALUE"""),2021.0)</f>
        <v>2021</v>
      </c>
      <c r="B1676" s="11">
        <f>IFERROR(__xludf.DUMMYFUNCTION("""COMPUTED_VALUE"""),11.0)</f>
        <v>11</v>
      </c>
      <c r="C1676" s="11">
        <f>IFERROR(__xludf.DUMMYFUNCTION("""COMPUTED_VALUE"""),89463.0)</f>
        <v>89463</v>
      </c>
      <c r="D1676" s="11">
        <f>IFERROR(__xludf.DUMMYFUNCTION("""COMPUTED_VALUE"""),1512.0)</f>
        <v>1512</v>
      </c>
      <c r="E1676" s="9"/>
    </row>
    <row r="1677">
      <c r="A1677" s="11">
        <f>IFERROR(__xludf.DUMMYFUNCTION("""COMPUTED_VALUE"""),2021.0)</f>
        <v>2021</v>
      </c>
      <c r="B1677" s="11">
        <f>IFERROR(__xludf.DUMMYFUNCTION("""COMPUTED_VALUE"""),10.0)</f>
        <v>10</v>
      </c>
      <c r="C1677" s="11">
        <f>IFERROR(__xludf.DUMMYFUNCTION("""COMPUTED_VALUE"""),108096.0)</f>
        <v>108096</v>
      </c>
      <c r="D1677" s="11">
        <f>IFERROR(__xludf.DUMMYFUNCTION("""COMPUTED_VALUE"""),104.0)</f>
        <v>104</v>
      </c>
      <c r="E1677" s="9"/>
    </row>
    <row r="1678">
      <c r="A1678" s="11">
        <f>IFERROR(__xludf.DUMMYFUNCTION("""COMPUTED_VALUE"""),2021.0)</f>
        <v>2021</v>
      </c>
      <c r="B1678" s="11">
        <f>IFERROR(__xludf.DUMMYFUNCTION("""COMPUTED_VALUE"""),9.0)</f>
        <v>9</v>
      </c>
      <c r="C1678" s="11">
        <f>IFERROR(__xludf.DUMMYFUNCTION("""COMPUTED_VALUE"""),70495.0)</f>
        <v>70495</v>
      </c>
      <c r="D1678" s="11">
        <f>IFERROR(__xludf.DUMMYFUNCTION("""COMPUTED_VALUE"""),1878.0)</f>
        <v>1878</v>
      </c>
      <c r="E1678" s="9"/>
    </row>
    <row r="1679">
      <c r="A1679" s="11">
        <f>IFERROR(__xludf.DUMMYFUNCTION("""COMPUTED_VALUE"""),2021.0)</f>
        <v>2021</v>
      </c>
      <c r="B1679" s="11">
        <f>IFERROR(__xludf.DUMMYFUNCTION("""COMPUTED_VALUE"""),9.0)</f>
        <v>9</v>
      </c>
      <c r="C1679" s="11">
        <f>IFERROR(__xludf.DUMMYFUNCTION("""COMPUTED_VALUE"""),115733.0)</f>
        <v>115733</v>
      </c>
      <c r="D1679" s="11">
        <f>IFERROR(__xludf.DUMMYFUNCTION("""COMPUTED_VALUE"""),217.0)</f>
        <v>217</v>
      </c>
      <c r="E1679" s="9"/>
    </row>
    <row r="1680">
      <c r="A1680" s="11">
        <f>IFERROR(__xludf.DUMMYFUNCTION("""COMPUTED_VALUE"""),2021.0)</f>
        <v>2021</v>
      </c>
      <c r="B1680" s="11">
        <f>IFERROR(__xludf.DUMMYFUNCTION("""COMPUTED_VALUE"""),10.0)</f>
        <v>10</v>
      </c>
      <c r="C1680" s="11">
        <f>IFERROR(__xludf.DUMMYFUNCTION("""COMPUTED_VALUE"""),26349.0)</f>
        <v>26349</v>
      </c>
      <c r="D1680" s="11">
        <f>IFERROR(__xludf.DUMMYFUNCTION("""COMPUTED_VALUE"""),1849.0)</f>
        <v>1849</v>
      </c>
      <c r="E1680" s="9"/>
    </row>
    <row r="1681">
      <c r="A1681" s="11">
        <f>IFERROR(__xludf.DUMMYFUNCTION("""COMPUTED_VALUE"""),2021.0)</f>
        <v>2021</v>
      </c>
      <c r="B1681" s="11">
        <f>IFERROR(__xludf.DUMMYFUNCTION("""COMPUTED_VALUE"""),9.0)</f>
        <v>9</v>
      </c>
      <c r="C1681" s="11">
        <f>IFERROR(__xludf.DUMMYFUNCTION("""COMPUTED_VALUE"""),26350.0)</f>
        <v>26350</v>
      </c>
      <c r="D1681" s="11">
        <f>IFERROR(__xludf.DUMMYFUNCTION("""COMPUTED_VALUE"""),298.0)</f>
        <v>298</v>
      </c>
      <c r="E1681" s="9"/>
    </row>
    <row r="1682">
      <c r="A1682" s="11">
        <f>IFERROR(__xludf.DUMMYFUNCTION("""COMPUTED_VALUE"""),2021.0)</f>
        <v>2021</v>
      </c>
      <c r="B1682" s="11">
        <f>IFERROR(__xludf.DUMMYFUNCTION("""COMPUTED_VALUE"""),8.0)</f>
        <v>8</v>
      </c>
      <c r="C1682" s="11">
        <f>IFERROR(__xludf.DUMMYFUNCTION("""COMPUTED_VALUE"""),115724.0)</f>
        <v>115724</v>
      </c>
      <c r="D1682" s="11">
        <f>IFERROR(__xludf.DUMMYFUNCTION("""COMPUTED_VALUE"""),425.0)</f>
        <v>425</v>
      </c>
      <c r="E1682" s="9"/>
    </row>
    <row r="1683">
      <c r="A1683" s="11">
        <f>IFERROR(__xludf.DUMMYFUNCTION("""COMPUTED_VALUE"""),2021.0)</f>
        <v>2021</v>
      </c>
      <c r="B1683" s="11">
        <f>IFERROR(__xludf.DUMMYFUNCTION("""COMPUTED_VALUE"""),11.0)</f>
        <v>11</v>
      </c>
      <c r="C1683" s="11">
        <f>IFERROR(__xludf.DUMMYFUNCTION("""COMPUTED_VALUE"""),115726.0)</f>
        <v>115726</v>
      </c>
      <c r="D1683" s="11">
        <f>IFERROR(__xludf.DUMMYFUNCTION("""COMPUTED_VALUE"""),1264.0)</f>
        <v>1264</v>
      </c>
      <c r="E1683" s="9"/>
    </row>
    <row r="1684">
      <c r="A1684" s="11">
        <f>IFERROR(__xludf.DUMMYFUNCTION("""COMPUTED_VALUE"""),2021.0)</f>
        <v>2021</v>
      </c>
      <c r="B1684" s="11">
        <f>IFERROR(__xludf.DUMMYFUNCTION("""COMPUTED_VALUE"""),10.0)</f>
        <v>10</v>
      </c>
      <c r="C1684" s="11">
        <f>IFERROR(__xludf.DUMMYFUNCTION("""COMPUTED_VALUE"""),26352.0)</f>
        <v>26352</v>
      </c>
      <c r="D1684" s="11">
        <f>IFERROR(__xludf.DUMMYFUNCTION("""COMPUTED_VALUE"""),794.0)</f>
        <v>794</v>
      </c>
      <c r="E1684" s="9"/>
    </row>
    <row r="1685">
      <c r="A1685" s="11">
        <f>IFERROR(__xludf.DUMMYFUNCTION("""COMPUTED_VALUE"""),2021.0)</f>
        <v>2021</v>
      </c>
      <c r="B1685" s="11">
        <f>IFERROR(__xludf.DUMMYFUNCTION("""COMPUTED_VALUE"""),11.0)</f>
        <v>11</v>
      </c>
      <c r="C1685" s="11">
        <f>IFERROR(__xludf.DUMMYFUNCTION("""COMPUTED_VALUE"""),19782.0)</f>
        <v>19782</v>
      </c>
      <c r="D1685" s="11">
        <f>IFERROR(__xludf.DUMMYFUNCTION("""COMPUTED_VALUE"""),1578.0)</f>
        <v>1578</v>
      </c>
      <c r="E1685" s="9"/>
    </row>
    <row r="1686">
      <c r="A1686" s="11">
        <f>IFERROR(__xludf.DUMMYFUNCTION("""COMPUTED_VALUE"""),2021.0)</f>
        <v>2021</v>
      </c>
      <c r="B1686" s="11">
        <f>IFERROR(__xludf.DUMMYFUNCTION("""COMPUTED_VALUE"""),11.0)</f>
        <v>11</v>
      </c>
      <c r="C1686" s="11">
        <f>IFERROR(__xludf.DUMMYFUNCTION("""COMPUTED_VALUE"""),19793.0)</f>
        <v>19793</v>
      </c>
      <c r="D1686" s="11">
        <f>IFERROR(__xludf.DUMMYFUNCTION("""COMPUTED_VALUE"""),223.0)</f>
        <v>223</v>
      </c>
      <c r="E1686" s="9"/>
    </row>
    <row r="1687">
      <c r="A1687" s="11">
        <f>IFERROR(__xludf.DUMMYFUNCTION("""COMPUTED_VALUE"""),2021.0)</f>
        <v>2021</v>
      </c>
      <c r="B1687" s="11">
        <f>IFERROR(__xludf.DUMMYFUNCTION("""COMPUTED_VALUE"""),8.0)</f>
        <v>8</v>
      </c>
      <c r="C1687" s="11">
        <f>IFERROR(__xludf.DUMMYFUNCTION("""COMPUTED_VALUE"""),87604.0)</f>
        <v>87604</v>
      </c>
      <c r="D1687" s="11">
        <f>IFERROR(__xludf.DUMMYFUNCTION("""COMPUTED_VALUE"""),587.0)</f>
        <v>587</v>
      </c>
      <c r="E1687" s="9"/>
    </row>
    <row r="1688">
      <c r="A1688" s="11">
        <f>IFERROR(__xludf.DUMMYFUNCTION("""COMPUTED_VALUE"""),2021.0)</f>
        <v>2021</v>
      </c>
      <c r="B1688" s="11">
        <f>IFERROR(__xludf.DUMMYFUNCTION("""COMPUTED_VALUE"""),9.0)</f>
        <v>9</v>
      </c>
      <c r="C1688" s="11">
        <f>IFERROR(__xludf.DUMMYFUNCTION("""COMPUTED_VALUE"""),29931.0)</f>
        <v>29931</v>
      </c>
      <c r="D1688" s="11">
        <f>IFERROR(__xludf.DUMMYFUNCTION("""COMPUTED_VALUE"""),576.0)</f>
        <v>576</v>
      </c>
      <c r="E1688" s="9"/>
    </row>
    <row r="1689">
      <c r="A1689" s="11">
        <f>IFERROR(__xludf.DUMMYFUNCTION("""COMPUTED_VALUE"""),2021.0)</f>
        <v>2021</v>
      </c>
      <c r="B1689" s="11">
        <f>IFERROR(__xludf.DUMMYFUNCTION("""COMPUTED_VALUE"""),9.0)</f>
        <v>9</v>
      </c>
      <c r="C1689" s="11">
        <f>IFERROR(__xludf.DUMMYFUNCTION("""COMPUTED_VALUE"""),9335.0)</f>
        <v>9335</v>
      </c>
      <c r="D1689" s="11">
        <f>IFERROR(__xludf.DUMMYFUNCTION("""COMPUTED_VALUE"""),776.0)</f>
        <v>776</v>
      </c>
      <c r="E1689" s="9"/>
    </row>
    <row r="1690">
      <c r="A1690" s="11">
        <f>IFERROR(__xludf.DUMMYFUNCTION("""COMPUTED_VALUE"""),2021.0)</f>
        <v>2021</v>
      </c>
      <c r="B1690" s="11">
        <f>IFERROR(__xludf.DUMMYFUNCTION("""COMPUTED_VALUE"""),9.0)</f>
        <v>9</v>
      </c>
      <c r="C1690" s="11">
        <f>IFERROR(__xludf.DUMMYFUNCTION("""COMPUTED_VALUE"""),88722.0)</f>
        <v>88722</v>
      </c>
      <c r="D1690" s="11">
        <f>IFERROR(__xludf.DUMMYFUNCTION("""COMPUTED_VALUE"""),787.0)</f>
        <v>787</v>
      </c>
      <c r="E1690" s="9"/>
    </row>
    <row r="1691">
      <c r="A1691" s="11">
        <f>IFERROR(__xludf.DUMMYFUNCTION("""COMPUTED_VALUE"""),2021.0)</f>
        <v>2021</v>
      </c>
      <c r="B1691" s="11">
        <f>IFERROR(__xludf.DUMMYFUNCTION("""COMPUTED_VALUE"""),9.0)</f>
        <v>9</v>
      </c>
      <c r="C1691" s="11">
        <f>IFERROR(__xludf.DUMMYFUNCTION("""COMPUTED_VALUE"""),121865.0)</f>
        <v>121865</v>
      </c>
      <c r="D1691" s="11">
        <f>IFERROR(__xludf.DUMMYFUNCTION("""COMPUTED_VALUE"""),590.0)</f>
        <v>590</v>
      </c>
      <c r="E1691" s="9"/>
    </row>
    <row r="1692">
      <c r="A1692" s="11">
        <f>IFERROR(__xludf.DUMMYFUNCTION("""COMPUTED_VALUE"""),2021.0)</f>
        <v>2021</v>
      </c>
      <c r="B1692" s="11">
        <f>IFERROR(__xludf.DUMMYFUNCTION("""COMPUTED_VALUE"""),11.0)</f>
        <v>11</v>
      </c>
      <c r="C1692" s="11">
        <f>IFERROR(__xludf.DUMMYFUNCTION("""COMPUTED_VALUE"""),100934.0)</f>
        <v>100934</v>
      </c>
      <c r="D1692" s="11">
        <f>IFERROR(__xludf.DUMMYFUNCTION("""COMPUTED_VALUE"""),1802.0)</f>
        <v>1802</v>
      </c>
      <c r="E1692" s="9"/>
    </row>
    <row r="1693">
      <c r="A1693" s="11">
        <f>IFERROR(__xludf.DUMMYFUNCTION("""COMPUTED_VALUE"""),2021.0)</f>
        <v>2021</v>
      </c>
      <c r="B1693" s="11">
        <f>IFERROR(__xludf.DUMMYFUNCTION("""COMPUTED_VALUE"""),8.0)</f>
        <v>8</v>
      </c>
      <c r="C1693" s="11">
        <f>IFERROR(__xludf.DUMMYFUNCTION("""COMPUTED_VALUE"""),117116.0)</f>
        <v>117116</v>
      </c>
      <c r="D1693" s="11">
        <f>IFERROR(__xludf.DUMMYFUNCTION("""COMPUTED_VALUE"""),1597.0)</f>
        <v>1597</v>
      </c>
      <c r="E1693" s="9"/>
    </row>
    <row r="1694">
      <c r="A1694" s="11">
        <f>IFERROR(__xludf.DUMMYFUNCTION("""COMPUTED_VALUE"""),2021.0)</f>
        <v>2021</v>
      </c>
      <c r="B1694" s="11">
        <f>IFERROR(__xludf.DUMMYFUNCTION("""COMPUTED_VALUE"""),10.0)</f>
        <v>10</v>
      </c>
      <c r="C1694" s="11">
        <f>IFERROR(__xludf.DUMMYFUNCTION("""COMPUTED_VALUE"""),19802.0)</f>
        <v>19802</v>
      </c>
      <c r="D1694" s="11">
        <f>IFERROR(__xludf.DUMMYFUNCTION("""COMPUTED_VALUE"""),727.0)</f>
        <v>727</v>
      </c>
      <c r="E1694" s="9"/>
    </row>
    <row r="1695">
      <c r="A1695" s="11">
        <f>IFERROR(__xludf.DUMMYFUNCTION("""COMPUTED_VALUE"""),2021.0)</f>
        <v>2021</v>
      </c>
      <c r="B1695" s="11">
        <f>IFERROR(__xludf.DUMMYFUNCTION("""COMPUTED_VALUE"""),10.0)</f>
        <v>10</v>
      </c>
      <c r="C1695" s="11">
        <f>IFERROR(__xludf.DUMMYFUNCTION("""COMPUTED_VALUE"""),81780.0)</f>
        <v>81780</v>
      </c>
      <c r="D1695" s="11">
        <f>IFERROR(__xludf.DUMMYFUNCTION("""COMPUTED_VALUE"""),1057.0)</f>
        <v>1057</v>
      </c>
      <c r="E1695" s="9"/>
    </row>
    <row r="1696">
      <c r="A1696" s="11">
        <f>IFERROR(__xludf.DUMMYFUNCTION("""COMPUTED_VALUE"""),2021.0)</f>
        <v>2021</v>
      </c>
      <c r="B1696" s="11">
        <f>IFERROR(__xludf.DUMMYFUNCTION("""COMPUTED_VALUE"""),9.0)</f>
        <v>9</v>
      </c>
      <c r="C1696" s="11">
        <f>IFERROR(__xludf.DUMMYFUNCTION("""COMPUTED_VALUE"""),117094.0)</f>
        <v>117094</v>
      </c>
      <c r="D1696" s="11">
        <f>IFERROR(__xludf.DUMMYFUNCTION("""COMPUTED_VALUE"""),1870.0)</f>
        <v>1870</v>
      </c>
      <c r="E1696" s="9"/>
    </row>
    <row r="1697">
      <c r="A1697" s="11">
        <f>IFERROR(__xludf.DUMMYFUNCTION("""COMPUTED_VALUE"""),2021.0)</f>
        <v>2021</v>
      </c>
      <c r="B1697" s="11">
        <f>IFERROR(__xludf.DUMMYFUNCTION("""COMPUTED_VALUE"""),11.0)</f>
        <v>11</v>
      </c>
      <c r="C1697" s="11">
        <f>IFERROR(__xludf.DUMMYFUNCTION("""COMPUTED_VALUE"""),19797.0)</f>
        <v>19797</v>
      </c>
      <c r="D1697" s="11">
        <f>IFERROR(__xludf.DUMMYFUNCTION("""COMPUTED_VALUE"""),1928.0)</f>
        <v>1928</v>
      </c>
      <c r="E1697" s="9"/>
    </row>
    <row r="1698">
      <c r="A1698" s="11">
        <f>IFERROR(__xludf.DUMMYFUNCTION("""COMPUTED_VALUE"""),2021.0)</f>
        <v>2021</v>
      </c>
      <c r="B1698" s="11">
        <f>IFERROR(__xludf.DUMMYFUNCTION("""COMPUTED_VALUE"""),11.0)</f>
        <v>11</v>
      </c>
      <c r="C1698" s="11">
        <f>IFERROR(__xludf.DUMMYFUNCTION("""COMPUTED_VALUE"""),86131.0)</f>
        <v>86131</v>
      </c>
      <c r="D1698" s="11">
        <f>IFERROR(__xludf.DUMMYFUNCTION("""COMPUTED_VALUE"""),337.0)</f>
        <v>337</v>
      </c>
      <c r="E1698" s="9"/>
    </row>
    <row r="1699">
      <c r="A1699" s="11">
        <f>IFERROR(__xludf.DUMMYFUNCTION("""COMPUTED_VALUE"""),2021.0)</f>
        <v>2021</v>
      </c>
      <c r="B1699" s="11">
        <f>IFERROR(__xludf.DUMMYFUNCTION("""COMPUTED_VALUE"""),10.0)</f>
        <v>10</v>
      </c>
      <c r="C1699" s="11">
        <f>IFERROR(__xludf.DUMMYFUNCTION("""COMPUTED_VALUE"""),121864.0)</f>
        <v>121864</v>
      </c>
      <c r="D1699" s="11">
        <f>IFERROR(__xludf.DUMMYFUNCTION("""COMPUTED_VALUE"""),372.0)</f>
        <v>372</v>
      </c>
      <c r="E1699" s="9"/>
    </row>
    <row r="1700">
      <c r="A1700" s="11">
        <f>IFERROR(__xludf.DUMMYFUNCTION("""COMPUTED_VALUE"""),2021.0)</f>
        <v>2021</v>
      </c>
      <c r="B1700" s="11">
        <f>IFERROR(__xludf.DUMMYFUNCTION("""COMPUTED_VALUE"""),10.0)</f>
        <v>10</v>
      </c>
      <c r="C1700" s="11">
        <f>IFERROR(__xludf.DUMMYFUNCTION("""COMPUTED_VALUE"""),15061.0)</f>
        <v>15061</v>
      </c>
      <c r="D1700" s="11">
        <f>IFERROR(__xludf.DUMMYFUNCTION("""COMPUTED_VALUE"""),229.0)</f>
        <v>229</v>
      </c>
      <c r="E1700" s="9"/>
    </row>
    <row r="1701">
      <c r="A1701" s="11">
        <f>IFERROR(__xludf.DUMMYFUNCTION("""COMPUTED_VALUE"""),2021.0)</f>
        <v>2021</v>
      </c>
      <c r="B1701" s="11">
        <f>IFERROR(__xludf.DUMMYFUNCTION("""COMPUTED_VALUE"""),10.0)</f>
        <v>10</v>
      </c>
      <c r="C1701" s="11">
        <f>IFERROR(__xludf.DUMMYFUNCTION("""COMPUTED_VALUE"""),79929.0)</f>
        <v>79929</v>
      </c>
      <c r="D1701" s="11">
        <f>IFERROR(__xludf.DUMMYFUNCTION("""COMPUTED_VALUE"""),311.0)</f>
        <v>311</v>
      </c>
      <c r="E1701" s="9"/>
    </row>
    <row r="1702">
      <c r="A1702" s="11">
        <f>IFERROR(__xludf.DUMMYFUNCTION("""COMPUTED_VALUE"""),2021.0)</f>
        <v>2021</v>
      </c>
      <c r="B1702" s="11">
        <f>IFERROR(__xludf.DUMMYFUNCTION("""COMPUTED_VALUE"""),9.0)</f>
        <v>9</v>
      </c>
      <c r="C1702" s="11">
        <f>IFERROR(__xludf.DUMMYFUNCTION("""COMPUTED_VALUE"""),19792.0)</f>
        <v>19792</v>
      </c>
      <c r="D1702" s="11">
        <f>IFERROR(__xludf.DUMMYFUNCTION("""COMPUTED_VALUE"""),651.0)</f>
        <v>651</v>
      </c>
      <c r="E1702" s="9"/>
    </row>
    <row r="1703">
      <c r="A1703" s="11">
        <f>IFERROR(__xludf.DUMMYFUNCTION("""COMPUTED_VALUE"""),2021.0)</f>
        <v>2021</v>
      </c>
      <c r="B1703" s="11">
        <f>IFERROR(__xludf.DUMMYFUNCTION("""COMPUTED_VALUE"""),8.0)</f>
        <v>8</v>
      </c>
      <c r="C1703" s="11">
        <f>IFERROR(__xludf.DUMMYFUNCTION("""COMPUTED_VALUE"""),108805.0)</f>
        <v>108805</v>
      </c>
      <c r="D1703" s="11">
        <f>IFERROR(__xludf.DUMMYFUNCTION("""COMPUTED_VALUE"""),1835.0)</f>
        <v>1835</v>
      </c>
      <c r="E1703" s="9"/>
    </row>
    <row r="1704">
      <c r="A1704" s="11">
        <f>IFERROR(__xludf.DUMMYFUNCTION("""COMPUTED_VALUE"""),2021.0)</f>
        <v>2021</v>
      </c>
      <c r="B1704" s="11">
        <f>IFERROR(__xludf.DUMMYFUNCTION("""COMPUTED_VALUE"""),11.0)</f>
        <v>11</v>
      </c>
      <c r="C1704" s="11">
        <f>IFERROR(__xludf.DUMMYFUNCTION("""COMPUTED_VALUE"""),71689.0)</f>
        <v>71689</v>
      </c>
      <c r="D1704" s="11">
        <f>IFERROR(__xludf.DUMMYFUNCTION("""COMPUTED_VALUE"""),1792.0)</f>
        <v>1792</v>
      </c>
      <c r="E1704" s="9"/>
    </row>
    <row r="1705">
      <c r="A1705" s="11">
        <f>IFERROR(__xludf.DUMMYFUNCTION("""COMPUTED_VALUE"""),2021.0)</f>
        <v>2021</v>
      </c>
      <c r="B1705" s="11">
        <f>IFERROR(__xludf.DUMMYFUNCTION("""COMPUTED_VALUE"""),10.0)</f>
        <v>10</v>
      </c>
      <c r="C1705" s="11">
        <f>IFERROR(__xludf.DUMMYFUNCTION("""COMPUTED_VALUE"""),71718.0)</f>
        <v>71718</v>
      </c>
      <c r="D1705" s="11">
        <f>IFERROR(__xludf.DUMMYFUNCTION("""COMPUTED_VALUE"""),1748.0)</f>
        <v>1748</v>
      </c>
      <c r="E1705" s="9"/>
    </row>
    <row r="1706">
      <c r="A1706" s="11">
        <f>IFERROR(__xludf.DUMMYFUNCTION("""COMPUTED_VALUE"""),2021.0)</f>
        <v>2021</v>
      </c>
      <c r="B1706" s="11">
        <f>IFERROR(__xludf.DUMMYFUNCTION("""COMPUTED_VALUE"""),10.0)</f>
        <v>10</v>
      </c>
      <c r="C1706" s="11">
        <f>IFERROR(__xludf.DUMMYFUNCTION("""COMPUTED_VALUE"""),19752.0)</f>
        <v>19752</v>
      </c>
      <c r="D1706" s="11">
        <f>IFERROR(__xludf.DUMMYFUNCTION("""COMPUTED_VALUE"""),1612.0)</f>
        <v>1612</v>
      </c>
      <c r="E1706" s="9"/>
    </row>
    <row r="1707">
      <c r="A1707" s="11">
        <f>IFERROR(__xludf.DUMMYFUNCTION("""COMPUTED_VALUE"""),2021.0)</f>
        <v>2021</v>
      </c>
      <c r="B1707" s="11">
        <f>IFERROR(__xludf.DUMMYFUNCTION("""COMPUTED_VALUE"""),8.0)</f>
        <v>8</v>
      </c>
      <c r="C1707" s="11">
        <f>IFERROR(__xludf.DUMMYFUNCTION("""COMPUTED_VALUE"""),116205.0)</f>
        <v>116205</v>
      </c>
      <c r="D1707" s="11">
        <f>IFERROR(__xludf.DUMMYFUNCTION("""COMPUTED_VALUE"""),769.0)</f>
        <v>769</v>
      </c>
      <c r="E1707" s="9"/>
    </row>
    <row r="1708">
      <c r="A1708" s="11">
        <f>IFERROR(__xludf.DUMMYFUNCTION("""COMPUTED_VALUE"""),2021.0)</f>
        <v>2021</v>
      </c>
      <c r="B1708" s="11">
        <f>IFERROR(__xludf.DUMMYFUNCTION("""COMPUTED_VALUE"""),9.0)</f>
        <v>9</v>
      </c>
      <c r="C1708" s="11">
        <f>IFERROR(__xludf.DUMMYFUNCTION("""COMPUTED_VALUE"""),117113.0)</f>
        <v>117113</v>
      </c>
      <c r="D1708" s="11">
        <f>IFERROR(__xludf.DUMMYFUNCTION("""COMPUTED_VALUE"""),660.0)</f>
        <v>660</v>
      </c>
      <c r="E1708" s="9"/>
    </row>
    <row r="1709">
      <c r="A1709" s="11">
        <f>IFERROR(__xludf.DUMMYFUNCTION("""COMPUTED_VALUE"""),2021.0)</f>
        <v>2021</v>
      </c>
      <c r="B1709" s="11">
        <f>IFERROR(__xludf.DUMMYFUNCTION("""COMPUTED_VALUE"""),11.0)</f>
        <v>11</v>
      </c>
      <c r="C1709" s="11">
        <f>IFERROR(__xludf.DUMMYFUNCTION("""COMPUTED_VALUE"""),71716.0)</f>
        <v>71716</v>
      </c>
      <c r="D1709" s="11">
        <f>IFERROR(__xludf.DUMMYFUNCTION("""COMPUTED_VALUE"""),1580.0)</f>
        <v>1580</v>
      </c>
      <c r="E1709" s="9"/>
    </row>
    <row r="1710">
      <c r="A1710" s="11">
        <f>IFERROR(__xludf.DUMMYFUNCTION("""COMPUTED_VALUE"""),2021.0)</f>
        <v>2021</v>
      </c>
      <c r="B1710" s="11">
        <f>IFERROR(__xludf.DUMMYFUNCTION("""COMPUTED_VALUE"""),11.0)</f>
        <v>11</v>
      </c>
      <c r="C1710" s="11">
        <f>IFERROR(__xludf.DUMMYFUNCTION("""COMPUTED_VALUE"""),44398.0)</f>
        <v>44398</v>
      </c>
      <c r="D1710" s="11">
        <f>IFERROR(__xludf.DUMMYFUNCTION("""COMPUTED_VALUE"""),1078.0)</f>
        <v>1078</v>
      </c>
      <c r="E1710" s="9"/>
    </row>
    <row r="1711">
      <c r="A1711" s="11">
        <f>IFERROR(__xludf.DUMMYFUNCTION("""COMPUTED_VALUE"""),2021.0)</f>
        <v>2021</v>
      </c>
      <c r="B1711" s="11">
        <f>IFERROR(__xludf.DUMMYFUNCTION("""COMPUTED_VALUE"""),10.0)</f>
        <v>10</v>
      </c>
      <c r="C1711" s="11">
        <f>IFERROR(__xludf.DUMMYFUNCTION("""COMPUTED_VALUE"""),100932.0)</f>
        <v>100932</v>
      </c>
      <c r="D1711" s="11">
        <f>IFERROR(__xludf.DUMMYFUNCTION("""COMPUTED_VALUE"""),1845.0)</f>
        <v>1845</v>
      </c>
      <c r="E1711" s="9"/>
    </row>
    <row r="1712">
      <c r="A1712" s="11">
        <f>IFERROR(__xludf.DUMMYFUNCTION("""COMPUTED_VALUE"""),2021.0)</f>
        <v>2021</v>
      </c>
      <c r="B1712" s="11">
        <f>IFERROR(__xludf.DUMMYFUNCTION("""COMPUTED_VALUE"""),11.0)</f>
        <v>11</v>
      </c>
      <c r="C1712" s="11">
        <f>IFERROR(__xludf.DUMMYFUNCTION("""COMPUTED_VALUE"""),117125.0)</f>
        <v>117125</v>
      </c>
      <c r="D1712" s="11">
        <f>IFERROR(__xludf.DUMMYFUNCTION("""COMPUTED_VALUE"""),858.0)</f>
        <v>858</v>
      </c>
      <c r="E1712" s="9"/>
    </row>
    <row r="1713">
      <c r="A1713" s="11">
        <f>IFERROR(__xludf.DUMMYFUNCTION("""COMPUTED_VALUE"""),2021.0)</f>
        <v>2021</v>
      </c>
      <c r="B1713" s="11">
        <f>IFERROR(__xludf.DUMMYFUNCTION("""COMPUTED_VALUE"""),8.0)</f>
        <v>8</v>
      </c>
      <c r="C1713" s="11">
        <f>IFERROR(__xludf.DUMMYFUNCTION("""COMPUTED_VALUE"""),19746.0)</f>
        <v>19746</v>
      </c>
      <c r="D1713" s="11">
        <f>IFERROR(__xludf.DUMMYFUNCTION("""COMPUTED_VALUE"""),1085.0)</f>
        <v>1085</v>
      </c>
      <c r="E1713" s="9"/>
    </row>
    <row r="1714">
      <c r="A1714" s="11">
        <f>IFERROR(__xludf.DUMMYFUNCTION("""COMPUTED_VALUE"""),2021.0)</f>
        <v>2021</v>
      </c>
      <c r="B1714" s="11">
        <f>IFERROR(__xludf.DUMMYFUNCTION("""COMPUTED_VALUE"""),8.0)</f>
        <v>8</v>
      </c>
      <c r="C1714" s="11">
        <f>IFERROR(__xludf.DUMMYFUNCTION("""COMPUTED_VALUE"""),80729.0)</f>
        <v>80729</v>
      </c>
      <c r="D1714" s="11">
        <f>IFERROR(__xludf.DUMMYFUNCTION("""COMPUTED_VALUE"""),1710.0)</f>
        <v>1710</v>
      </c>
      <c r="E1714" s="9"/>
    </row>
    <row r="1715">
      <c r="A1715" s="11">
        <f>IFERROR(__xludf.DUMMYFUNCTION("""COMPUTED_VALUE"""),2021.0)</f>
        <v>2021</v>
      </c>
      <c r="B1715" s="11">
        <f>IFERROR(__xludf.DUMMYFUNCTION("""COMPUTED_VALUE"""),8.0)</f>
        <v>8</v>
      </c>
      <c r="C1715" s="11">
        <f>IFERROR(__xludf.DUMMYFUNCTION("""COMPUTED_VALUE"""),19800.0)</f>
        <v>19800</v>
      </c>
      <c r="D1715" s="11">
        <f>IFERROR(__xludf.DUMMYFUNCTION("""COMPUTED_VALUE"""),399.0)</f>
        <v>399</v>
      </c>
      <c r="E1715" s="9"/>
    </row>
    <row r="1716">
      <c r="A1716" s="11">
        <f>IFERROR(__xludf.DUMMYFUNCTION("""COMPUTED_VALUE"""),2021.0)</f>
        <v>2021</v>
      </c>
      <c r="B1716" s="11">
        <f>IFERROR(__xludf.DUMMYFUNCTION("""COMPUTED_VALUE"""),11.0)</f>
        <v>11</v>
      </c>
      <c r="C1716" s="11">
        <f>IFERROR(__xludf.DUMMYFUNCTION("""COMPUTED_VALUE"""),19790.0)</f>
        <v>19790</v>
      </c>
      <c r="D1716" s="11">
        <f>IFERROR(__xludf.DUMMYFUNCTION("""COMPUTED_VALUE"""),636.0)</f>
        <v>636</v>
      </c>
      <c r="E1716" s="9"/>
    </row>
    <row r="1717">
      <c r="A1717" s="11">
        <f>IFERROR(__xludf.DUMMYFUNCTION("""COMPUTED_VALUE"""),2021.0)</f>
        <v>2021</v>
      </c>
      <c r="B1717" s="11">
        <f>IFERROR(__xludf.DUMMYFUNCTION("""COMPUTED_VALUE"""),8.0)</f>
        <v>8</v>
      </c>
      <c r="C1717" s="11">
        <f>IFERROR(__xludf.DUMMYFUNCTION("""COMPUTED_VALUE"""),19747.0)</f>
        <v>19747</v>
      </c>
      <c r="D1717" s="11">
        <f>IFERROR(__xludf.DUMMYFUNCTION("""COMPUTED_VALUE"""),799.0)</f>
        <v>799</v>
      </c>
      <c r="E1717" s="9"/>
    </row>
    <row r="1718">
      <c r="A1718" s="11">
        <f>IFERROR(__xludf.DUMMYFUNCTION("""COMPUTED_VALUE"""),2021.0)</f>
        <v>2021</v>
      </c>
      <c r="B1718" s="11">
        <f>IFERROR(__xludf.DUMMYFUNCTION("""COMPUTED_VALUE"""),10.0)</f>
        <v>10</v>
      </c>
      <c r="C1718" s="11">
        <f>IFERROR(__xludf.DUMMYFUNCTION("""COMPUTED_VALUE"""),44524.0)</f>
        <v>44524</v>
      </c>
      <c r="D1718" s="11">
        <f>IFERROR(__xludf.DUMMYFUNCTION("""COMPUTED_VALUE"""),1107.0)</f>
        <v>1107</v>
      </c>
      <c r="E1718" s="9"/>
    </row>
    <row r="1719">
      <c r="A1719" s="11">
        <f>IFERROR(__xludf.DUMMYFUNCTION("""COMPUTED_VALUE"""),2021.0)</f>
        <v>2021</v>
      </c>
      <c r="B1719" s="11">
        <f>IFERROR(__xludf.DUMMYFUNCTION("""COMPUTED_VALUE"""),8.0)</f>
        <v>8</v>
      </c>
      <c r="C1719" s="11">
        <f>IFERROR(__xludf.DUMMYFUNCTION("""COMPUTED_VALUE"""),103839.0)</f>
        <v>103839</v>
      </c>
      <c r="D1719" s="11">
        <f>IFERROR(__xludf.DUMMYFUNCTION("""COMPUTED_VALUE"""),1614.0)</f>
        <v>1614</v>
      </c>
      <c r="E1719" s="9"/>
    </row>
    <row r="1720">
      <c r="A1720" s="11">
        <f>IFERROR(__xludf.DUMMYFUNCTION("""COMPUTED_VALUE"""),2021.0)</f>
        <v>2021</v>
      </c>
      <c r="B1720" s="11">
        <f>IFERROR(__xludf.DUMMYFUNCTION("""COMPUTED_VALUE"""),10.0)</f>
        <v>10</v>
      </c>
      <c r="C1720" s="11">
        <f>IFERROR(__xludf.DUMMYFUNCTION("""COMPUTED_VALUE"""),195240.0)</f>
        <v>195240</v>
      </c>
      <c r="D1720" s="11">
        <f>IFERROR(__xludf.DUMMYFUNCTION("""COMPUTED_VALUE"""),888.0)</f>
        <v>888</v>
      </c>
      <c r="E1720" s="9"/>
    </row>
    <row r="1721">
      <c r="A1721" s="11">
        <f>IFERROR(__xludf.DUMMYFUNCTION("""COMPUTED_VALUE"""),2021.0)</f>
        <v>2021</v>
      </c>
      <c r="B1721" s="11">
        <f>IFERROR(__xludf.DUMMYFUNCTION("""COMPUTED_VALUE"""),9.0)</f>
        <v>9</v>
      </c>
      <c r="C1721" s="11">
        <f>IFERROR(__xludf.DUMMYFUNCTION("""COMPUTED_VALUE"""),195244.0)</f>
        <v>195244</v>
      </c>
      <c r="D1721" s="11">
        <f>IFERROR(__xludf.DUMMYFUNCTION("""COMPUTED_VALUE"""),1863.0)</f>
        <v>1863</v>
      </c>
      <c r="E1721" s="9"/>
    </row>
    <row r="1722">
      <c r="A1722" s="11">
        <f>IFERROR(__xludf.DUMMYFUNCTION("""COMPUTED_VALUE"""),2021.0)</f>
        <v>2021</v>
      </c>
      <c r="B1722" s="11">
        <f>IFERROR(__xludf.DUMMYFUNCTION("""COMPUTED_VALUE"""),9.0)</f>
        <v>9</v>
      </c>
      <c r="C1722" s="11">
        <f>IFERROR(__xludf.DUMMYFUNCTION("""COMPUTED_VALUE"""),119465.0)</f>
        <v>119465</v>
      </c>
      <c r="D1722" s="11">
        <f>IFERROR(__xludf.DUMMYFUNCTION("""COMPUTED_VALUE"""),1393.0)</f>
        <v>1393</v>
      </c>
      <c r="E1722" s="9"/>
    </row>
    <row r="1723">
      <c r="A1723" s="11">
        <f>IFERROR(__xludf.DUMMYFUNCTION("""COMPUTED_VALUE"""),2021.0)</f>
        <v>2021</v>
      </c>
      <c r="B1723" s="11">
        <f>IFERROR(__xludf.DUMMYFUNCTION("""COMPUTED_VALUE"""),8.0)</f>
        <v>8</v>
      </c>
      <c r="C1723" s="11">
        <f>IFERROR(__xludf.DUMMYFUNCTION("""COMPUTED_VALUE"""),47081.0)</f>
        <v>47081</v>
      </c>
      <c r="D1723" s="11">
        <f>IFERROR(__xludf.DUMMYFUNCTION("""COMPUTED_VALUE"""),55.0)</f>
        <v>55</v>
      </c>
      <c r="E1723" s="9"/>
    </row>
    <row r="1724">
      <c r="A1724" s="11">
        <f>IFERROR(__xludf.DUMMYFUNCTION("""COMPUTED_VALUE"""),2021.0)</f>
        <v>2021</v>
      </c>
      <c r="B1724" s="11">
        <f>IFERROR(__xludf.DUMMYFUNCTION("""COMPUTED_VALUE"""),11.0)</f>
        <v>11</v>
      </c>
      <c r="C1724" s="11">
        <f>IFERROR(__xludf.DUMMYFUNCTION("""COMPUTED_VALUE"""),91635.0)</f>
        <v>91635</v>
      </c>
      <c r="D1724" s="11">
        <f>IFERROR(__xludf.DUMMYFUNCTION("""COMPUTED_VALUE"""),84.0)</f>
        <v>84</v>
      </c>
      <c r="E1724" s="9"/>
    </row>
    <row r="1725">
      <c r="A1725" s="11">
        <f>IFERROR(__xludf.DUMMYFUNCTION("""COMPUTED_VALUE"""),2021.0)</f>
        <v>2021</v>
      </c>
      <c r="B1725" s="11">
        <f>IFERROR(__xludf.DUMMYFUNCTION("""COMPUTED_VALUE"""),8.0)</f>
        <v>8</v>
      </c>
      <c r="C1725" s="11">
        <f>IFERROR(__xludf.DUMMYFUNCTION("""COMPUTED_VALUE"""),188359.0)</f>
        <v>188359</v>
      </c>
      <c r="D1725" s="11">
        <f>IFERROR(__xludf.DUMMYFUNCTION("""COMPUTED_VALUE"""),444.0)</f>
        <v>444</v>
      </c>
      <c r="E1725" s="9"/>
    </row>
    <row r="1726">
      <c r="A1726" s="11">
        <f>IFERROR(__xludf.DUMMYFUNCTION("""COMPUTED_VALUE"""),2021.0)</f>
        <v>2021</v>
      </c>
      <c r="B1726" s="11">
        <f>IFERROR(__xludf.DUMMYFUNCTION("""COMPUTED_VALUE"""),8.0)</f>
        <v>8</v>
      </c>
      <c r="C1726" s="11">
        <f>IFERROR(__xludf.DUMMYFUNCTION("""COMPUTED_VALUE"""),29655.0)</f>
        <v>29655</v>
      </c>
      <c r="D1726" s="11">
        <f>IFERROR(__xludf.DUMMYFUNCTION("""COMPUTED_VALUE"""),244.0)</f>
        <v>244</v>
      </c>
      <c r="E1726" s="9"/>
    </row>
    <row r="1727">
      <c r="A1727" s="11">
        <f>IFERROR(__xludf.DUMMYFUNCTION("""COMPUTED_VALUE"""),2021.0)</f>
        <v>2021</v>
      </c>
      <c r="B1727" s="11">
        <f>IFERROR(__xludf.DUMMYFUNCTION("""COMPUTED_VALUE"""),9.0)</f>
        <v>9</v>
      </c>
      <c r="C1727" s="11">
        <f>IFERROR(__xludf.DUMMYFUNCTION("""COMPUTED_VALUE"""),193188.0)</f>
        <v>193188</v>
      </c>
      <c r="D1727" s="11">
        <f>IFERROR(__xludf.DUMMYFUNCTION("""COMPUTED_VALUE"""),1421.0)</f>
        <v>1421</v>
      </c>
      <c r="E1727" s="9"/>
    </row>
    <row r="1728">
      <c r="A1728" s="11">
        <f>IFERROR(__xludf.DUMMYFUNCTION("""COMPUTED_VALUE"""),2021.0)</f>
        <v>2021</v>
      </c>
      <c r="B1728" s="11">
        <f>IFERROR(__xludf.DUMMYFUNCTION("""COMPUTED_VALUE"""),10.0)</f>
        <v>10</v>
      </c>
      <c r="C1728" s="11">
        <f>IFERROR(__xludf.DUMMYFUNCTION("""COMPUTED_VALUE"""),188367.0)</f>
        <v>188367</v>
      </c>
      <c r="D1728" s="11">
        <f>IFERROR(__xludf.DUMMYFUNCTION("""COMPUTED_VALUE"""),150.0)</f>
        <v>150</v>
      </c>
      <c r="E1728" s="9"/>
    </row>
    <row r="1729">
      <c r="A1729" s="11">
        <f>IFERROR(__xludf.DUMMYFUNCTION("""COMPUTED_VALUE"""),2021.0)</f>
        <v>2021</v>
      </c>
      <c r="B1729" s="11">
        <f>IFERROR(__xludf.DUMMYFUNCTION("""COMPUTED_VALUE"""),11.0)</f>
        <v>11</v>
      </c>
      <c r="C1729" s="11">
        <f>IFERROR(__xludf.DUMMYFUNCTION("""COMPUTED_VALUE"""),188853.0)</f>
        <v>188853</v>
      </c>
      <c r="D1729" s="11">
        <f>IFERROR(__xludf.DUMMYFUNCTION("""COMPUTED_VALUE"""),1102.0)</f>
        <v>1102</v>
      </c>
      <c r="E1729" s="9"/>
    </row>
    <row r="1730">
      <c r="A1730" s="11">
        <f>IFERROR(__xludf.DUMMYFUNCTION("""COMPUTED_VALUE"""),2021.0)</f>
        <v>2021</v>
      </c>
      <c r="B1730" s="11">
        <f>IFERROR(__xludf.DUMMYFUNCTION("""COMPUTED_VALUE"""),11.0)</f>
        <v>11</v>
      </c>
      <c r="C1730" s="11">
        <f>IFERROR(__xludf.DUMMYFUNCTION("""COMPUTED_VALUE"""),116214.0)</f>
        <v>116214</v>
      </c>
      <c r="D1730" s="11">
        <f>IFERROR(__xludf.DUMMYFUNCTION("""COMPUTED_VALUE"""),533.0)</f>
        <v>533</v>
      </c>
      <c r="E1730" s="9"/>
    </row>
    <row r="1731">
      <c r="A1731" s="11">
        <f>IFERROR(__xludf.DUMMYFUNCTION("""COMPUTED_VALUE"""),2021.0)</f>
        <v>2021</v>
      </c>
      <c r="B1731" s="11">
        <f>IFERROR(__xludf.DUMMYFUNCTION("""COMPUTED_VALUE"""),8.0)</f>
        <v>8</v>
      </c>
      <c r="C1731" s="11">
        <f>IFERROR(__xludf.DUMMYFUNCTION("""COMPUTED_VALUE"""),82296.0)</f>
        <v>82296</v>
      </c>
      <c r="D1731" s="11">
        <f>IFERROR(__xludf.DUMMYFUNCTION("""COMPUTED_VALUE"""),945.0)</f>
        <v>945</v>
      </c>
      <c r="E1731" s="9"/>
    </row>
    <row r="1732">
      <c r="A1732" s="11">
        <f>IFERROR(__xludf.DUMMYFUNCTION("""COMPUTED_VALUE"""),2021.0)</f>
        <v>2021</v>
      </c>
      <c r="B1732" s="11">
        <f>IFERROR(__xludf.DUMMYFUNCTION("""COMPUTED_VALUE"""),10.0)</f>
        <v>10</v>
      </c>
      <c r="C1732" s="11">
        <f>IFERROR(__xludf.DUMMYFUNCTION("""COMPUTED_VALUE"""),10269.0)</f>
        <v>10269</v>
      </c>
      <c r="D1732" s="11">
        <f>IFERROR(__xludf.DUMMYFUNCTION("""COMPUTED_VALUE"""),1209.0)</f>
        <v>1209</v>
      </c>
      <c r="E1732" s="9"/>
    </row>
    <row r="1733">
      <c r="A1733" s="11">
        <f>IFERROR(__xludf.DUMMYFUNCTION("""COMPUTED_VALUE"""),2021.0)</f>
        <v>2021</v>
      </c>
      <c r="B1733" s="11">
        <f>IFERROR(__xludf.DUMMYFUNCTION("""COMPUTED_VALUE"""),9.0)</f>
        <v>9</v>
      </c>
      <c r="C1733" s="11">
        <f>IFERROR(__xludf.DUMMYFUNCTION("""COMPUTED_VALUE"""),121860.0)</f>
        <v>121860</v>
      </c>
      <c r="D1733" s="11">
        <f>IFERROR(__xludf.DUMMYFUNCTION("""COMPUTED_VALUE"""),1857.0)</f>
        <v>1857</v>
      </c>
      <c r="E1733" s="9"/>
    </row>
    <row r="1734">
      <c r="A1734" s="11">
        <f>IFERROR(__xludf.DUMMYFUNCTION("""COMPUTED_VALUE"""),2021.0)</f>
        <v>2021</v>
      </c>
      <c r="B1734" s="11">
        <f>IFERROR(__xludf.DUMMYFUNCTION("""COMPUTED_VALUE"""),9.0)</f>
        <v>9</v>
      </c>
      <c r="C1734" s="11">
        <f>IFERROR(__xludf.DUMMYFUNCTION("""COMPUTED_VALUE"""),100464.0)</f>
        <v>100464</v>
      </c>
      <c r="D1734" s="11">
        <f>IFERROR(__xludf.DUMMYFUNCTION("""COMPUTED_VALUE"""),206.0)</f>
        <v>206</v>
      </c>
      <c r="E1734" s="9"/>
    </row>
    <row r="1735">
      <c r="A1735" s="11">
        <f>IFERROR(__xludf.DUMMYFUNCTION("""COMPUTED_VALUE"""),2021.0)</f>
        <v>2021</v>
      </c>
      <c r="B1735" s="11">
        <f>IFERROR(__xludf.DUMMYFUNCTION("""COMPUTED_VALUE"""),9.0)</f>
        <v>9</v>
      </c>
      <c r="C1735" s="11">
        <f>IFERROR(__xludf.DUMMYFUNCTION("""COMPUTED_VALUE"""),10270.0)</f>
        <v>10270</v>
      </c>
      <c r="D1735" s="11">
        <f>IFERROR(__xludf.DUMMYFUNCTION("""COMPUTED_VALUE"""),1665.0)</f>
        <v>1665</v>
      </c>
      <c r="E1735" s="9"/>
    </row>
    <row r="1736">
      <c r="A1736" s="11">
        <f>IFERROR(__xludf.DUMMYFUNCTION("""COMPUTED_VALUE"""),2021.0)</f>
        <v>2021</v>
      </c>
      <c r="B1736" s="11">
        <f>IFERROR(__xludf.DUMMYFUNCTION("""COMPUTED_VALUE"""),8.0)</f>
        <v>8</v>
      </c>
      <c r="C1736" s="11">
        <f>IFERROR(__xludf.DUMMYFUNCTION("""COMPUTED_VALUE"""),10283.0)</f>
        <v>10283</v>
      </c>
      <c r="D1736" s="11">
        <f>IFERROR(__xludf.DUMMYFUNCTION("""COMPUTED_VALUE"""),197.0)</f>
        <v>197</v>
      </c>
      <c r="E1736" s="9"/>
    </row>
    <row r="1737">
      <c r="A1737" s="11">
        <f>IFERROR(__xludf.DUMMYFUNCTION("""COMPUTED_VALUE"""),2021.0)</f>
        <v>2021</v>
      </c>
      <c r="B1737" s="11">
        <f>IFERROR(__xludf.DUMMYFUNCTION("""COMPUTED_VALUE"""),9.0)</f>
        <v>9</v>
      </c>
      <c r="C1737" s="11">
        <f>IFERROR(__xludf.DUMMYFUNCTION("""COMPUTED_VALUE"""),10278.0)</f>
        <v>10278</v>
      </c>
      <c r="D1737" s="11">
        <f>IFERROR(__xludf.DUMMYFUNCTION("""COMPUTED_VALUE"""),1054.0)</f>
        <v>1054</v>
      </c>
      <c r="E1737" s="9"/>
    </row>
    <row r="1738">
      <c r="A1738" s="11">
        <f>IFERROR(__xludf.DUMMYFUNCTION("""COMPUTED_VALUE"""),2021.0)</f>
        <v>2021</v>
      </c>
      <c r="B1738" s="11">
        <f>IFERROR(__xludf.DUMMYFUNCTION("""COMPUTED_VALUE"""),9.0)</f>
        <v>9</v>
      </c>
      <c r="C1738" s="11">
        <f>IFERROR(__xludf.DUMMYFUNCTION("""COMPUTED_VALUE"""),10259.0)</f>
        <v>10259</v>
      </c>
      <c r="D1738" s="11">
        <f>IFERROR(__xludf.DUMMYFUNCTION("""COMPUTED_VALUE"""),1750.0)</f>
        <v>1750</v>
      </c>
      <c r="E1738" s="9"/>
    </row>
    <row r="1739">
      <c r="A1739" s="11">
        <f>IFERROR(__xludf.DUMMYFUNCTION("""COMPUTED_VALUE"""),2021.0)</f>
        <v>2021</v>
      </c>
      <c r="B1739" s="11">
        <f>IFERROR(__xludf.DUMMYFUNCTION("""COMPUTED_VALUE"""),10.0)</f>
        <v>10</v>
      </c>
      <c r="C1739" s="11">
        <f>IFERROR(__xludf.DUMMYFUNCTION("""COMPUTED_VALUE"""),200359.0)</f>
        <v>200359</v>
      </c>
      <c r="D1739" s="11">
        <f>IFERROR(__xludf.DUMMYFUNCTION("""COMPUTED_VALUE"""),1712.0)</f>
        <v>1712</v>
      </c>
      <c r="E1739" s="9"/>
    </row>
    <row r="1740">
      <c r="A1740" s="11">
        <f>IFERROR(__xludf.DUMMYFUNCTION("""COMPUTED_VALUE"""),2021.0)</f>
        <v>2021</v>
      </c>
      <c r="B1740" s="11">
        <f>IFERROR(__xludf.DUMMYFUNCTION("""COMPUTED_VALUE"""),9.0)</f>
        <v>9</v>
      </c>
      <c r="C1740" s="11">
        <f>IFERROR(__xludf.DUMMYFUNCTION("""COMPUTED_VALUE"""),10243.0)</f>
        <v>10243</v>
      </c>
      <c r="D1740" s="11">
        <f>IFERROR(__xludf.DUMMYFUNCTION("""COMPUTED_VALUE"""),1732.0)</f>
        <v>1732</v>
      </c>
      <c r="E1740" s="9"/>
    </row>
    <row r="1741">
      <c r="A1741" s="11">
        <f>IFERROR(__xludf.DUMMYFUNCTION("""COMPUTED_VALUE"""),2021.0)</f>
        <v>2021</v>
      </c>
      <c r="B1741" s="11">
        <f>IFERROR(__xludf.DUMMYFUNCTION("""COMPUTED_VALUE"""),11.0)</f>
        <v>11</v>
      </c>
      <c r="C1741" s="11">
        <f>IFERROR(__xludf.DUMMYFUNCTION("""COMPUTED_VALUE"""),200360.0)</f>
        <v>200360</v>
      </c>
      <c r="D1741" s="11">
        <f>IFERROR(__xludf.DUMMYFUNCTION("""COMPUTED_VALUE"""),693.0)</f>
        <v>693</v>
      </c>
      <c r="E1741" s="9"/>
    </row>
    <row r="1742">
      <c r="A1742" s="11">
        <f>IFERROR(__xludf.DUMMYFUNCTION("""COMPUTED_VALUE"""),2021.0)</f>
        <v>2021</v>
      </c>
      <c r="B1742" s="11">
        <f>IFERROR(__xludf.DUMMYFUNCTION("""COMPUTED_VALUE"""),10.0)</f>
        <v>10</v>
      </c>
      <c r="C1742" s="11">
        <f>IFERROR(__xludf.DUMMYFUNCTION("""COMPUTED_VALUE"""),196501.0)</f>
        <v>196501</v>
      </c>
      <c r="D1742" s="11">
        <f>IFERROR(__xludf.DUMMYFUNCTION("""COMPUTED_VALUE"""),1765.0)</f>
        <v>1765</v>
      </c>
      <c r="E1742" s="9"/>
    </row>
    <row r="1743">
      <c r="A1743" s="11">
        <f>IFERROR(__xludf.DUMMYFUNCTION("""COMPUTED_VALUE"""),2021.0)</f>
        <v>2021</v>
      </c>
      <c r="B1743" s="11">
        <f>IFERROR(__xludf.DUMMYFUNCTION("""COMPUTED_VALUE"""),9.0)</f>
        <v>9</v>
      </c>
      <c r="C1743" s="11">
        <f>IFERROR(__xludf.DUMMYFUNCTION("""COMPUTED_VALUE"""),100460.0)</f>
        <v>100460</v>
      </c>
      <c r="D1743" s="11">
        <f>IFERROR(__xludf.DUMMYFUNCTION("""COMPUTED_VALUE"""),1157.0)</f>
        <v>1157</v>
      </c>
      <c r="E1743" s="9"/>
    </row>
    <row r="1744">
      <c r="A1744" s="11">
        <f>IFERROR(__xludf.DUMMYFUNCTION("""COMPUTED_VALUE"""),2021.0)</f>
        <v>2021</v>
      </c>
      <c r="B1744" s="11">
        <f>IFERROR(__xludf.DUMMYFUNCTION("""COMPUTED_VALUE"""),9.0)</f>
        <v>9</v>
      </c>
      <c r="C1744" s="11">
        <f>IFERROR(__xludf.DUMMYFUNCTION("""COMPUTED_VALUE"""),5880.0)</f>
        <v>5880</v>
      </c>
      <c r="D1744" s="11">
        <f>IFERROR(__xludf.DUMMYFUNCTION("""COMPUTED_VALUE"""),1030.0)</f>
        <v>1030</v>
      </c>
      <c r="E1744" s="9"/>
    </row>
    <row r="1745">
      <c r="A1745" s="11">
        <f>IFERROR(__xludf.DUMMYFUNCTION("""COMPUTED_VALUE"""),2021.0)</f>
        <v>2021</v>
      </c>
      <c r="B1745" s="11">
        <f>IFERROR(__xludf.DUMMYFUNCTION("""COMPUTED_VALUE"""),10.0)</f>
        <v>10</v>
      </c>
      <c r="C1745" s="11">
        <f>IFERROR(__xludf.DUMMYFUNCTION("""COMPUTED_VALUE"""),5872.0)</f>
        <v>5872</v>
      </c>
      <c r="D1745" s="11">
        <f>IFERROR(__xludf.DUMMYFUNCTION("""COMPUTED_VALUE"""),1352.0)</f>
        <v>1352</v>
      </c>
      <c r="E1745" s="9"/>
    </row>
    <row r="1746">
      <c r="A1746" s="11">
        <f>IFERROR(__xludf.DUMMYFUNCTION("""COMPUTED_VALUE"""),2021.0)</f>
        <v>2021</v>
      </c>
      <c r="B1746" s="11">
        <f>IFERROR(__xludf.DUMMYFUNCTION("""COMPUTED_VALUE"""),8.0)</f>
        <v>8</v>
      </c>
      <c r="C1746" s="11">
        <f>IFERROR(__xludf.DUMMYFUNCTION("""COMPUTED_VALUE"""),114258.0)</f>
        <v>114258</v>
      </c>
      <c r="D1746" s="11">
        <f>IFERROR(__xludf.DUMMYFUNCTION("""COMPUTED_VALUE"""),1453.0)</f>
        <v>1453</v>
      </c>
      <c r="E1746" s="9"/>
    </row>
    <row r="1747">
      <c r="A1747" s="11">
        <f>IFERROR(__xludf.DUMMYFUNCTION("""COMPUTED_VALUE"""),2021.0)</f>
        <v>2021</v>
      </c>
      <c r="B1747" s="11">
        <f>IFERROR(__xludf.DUMMYFUNCTION("""COMPUTED_VALUE"""),8.0)</f>
        <v>8</v>
      </c>
      <c r="C1747" s="11">
        <f>IFERROR(__xludf.DUMMYFUNCTION("""COMPUTED_VALUE"""),11122.0)</f>
        <v>11122</v>
      </c>
      <c r="D1747" s="11">
        <f>IFERROR(__xludf.DUMMYFUNCTION("""COMPUTED_VALUE"""),952.0)</f>
        <v>952</v>
      </c>
      <c r="E1747" s="9"/>
    </row>
    <row r="1748">
      <c r="A1748" s="11">
        <f>IFERROR(__xludf.DUMMYFUNCTION("""COMPUTED_VALUE"""),2021.0)</f>
        <v>2021</v>
      </c>
      <c r="B1748" s="11">
        <f>IFERROR(__xludf.DUMMYFUNCTION("""COMPUTED_VALUE"""),9.0)</f>
        <v>9</v>
      </c>
      <c r="C1748" s="11">
        <f>IFERROR(__xludf.DUMMYFUNCTION("""COMPUTED_VALUE"""),116894.0)</f>
        <v>116894</v>
      </c>
      <c r="D1748" s="11">
        <f>IFERROR(__xludf.DUMMYFUNCTION("""COMPUTED_VALUE"""),474.0)</f>
        <v>474</v>
      </c>
      <c r="E1748" s="9"/>
    </row>
    <row r="1749">
      <c r="A1749" s="11">
        <f>IFERROR(__xludf.DUMMYFUNCTION("""COMPUTED_VALUE"""),2021.0)</f>
        <v>2021</v>
      </c>
      <c r="B1749" s="11">
        <f>IFERROR(__xludf.DUMMYFUNCTION("""COMPUTED_VALUE"""),8.0)</f>
        <v>8</v>
      </c>
      <c r="C1749" s="11">
        <f>IFERROR(__xludf.DUMMYFUNCTION("""COMPUTED_VALUE"""),72994.0)</f>
        <v>72994</v>
      </c>
      <c r="D1749" s="11">
        <f>IFERROR(__xludf.DUMMYFUNCTION("""COMPUTED_VALUE"""),228.0)</f>
        <v>228</v>
      </c>
      <c r="E1749" s="9"/>
    </row>
    <row r="1750">
      <c r="A1750" s="11">
        <f>IFERROR(__xludf.DUMMYFUNCTION("""COMPUTED_VALUE"""),2021.0)</f>
        <v>2021</v>
      </c>
      <c r="B1750" s="11">
        <f>IFERROR(__xludf.DUMMYFUNCTION("""COMPUTED_VALUE"""),8.0)</f>
        <v>8</v>
      </c>
      <c r="C1750" s="11">
        <f>IFERROR(__xludf.DUMMYFUNCTION("""COMPUTED_VALUE"""),120863.0)</f>
        <v>120863</v>
      </c>
      <c r="D1750" s="11">
        <f>IFERROR(__xludf.DUMMYFUNCTION("""COMPUTED_VALUE"""),599.0)</f>
        <v>599</v>
      </c>
      <c r="E1750" s="9"/>
    </row>
    <row r="1751">
      <c r="A1751" s="11">
        <f>IFERROR(__xludf.DUMMYFUNCTION("""COMPUTED_VALUE"""),2021.0)</f>
        <v>2021</v>
      </c>
      <c r="B1751" s="11">
        <f>IFERROR(__xludf.DUMMYFUNCTION("""COMPUTED_VALUE"""),9.0)</f>
        <v>9</v>
      </c>
      <c r="C1751" s="11">
        <f>IFERROR(__xludf.DUMMYFUNCTION("""COMPUTED_VALUE"""),120870.0)</f>
        <v>120870</v>
      </c>
      <c r="D1751" s="11">
        <f>IFERROR(__xludf.DUMMYFUNCTION("""COMPUTED_VALUE"""),1261.0)</f>
        <v>1261</v>
      </c>
      <c r="E1751" s="9"/>
    </row>
    <row r="1752">
      <c r="A1752" s="11">
        <f>IFERROR(__xludf.DUMMYFUNCTION("""COMPUTED_VALUE"""),2021.0)</f>
        <v>2021</v>
      </c>
      <c r="B1752" s="11">
        <f>IFERROR(__xludf.DUMMYFUNCTION("""COMPUTED_VALUE"""),11.0)</f>
        <v>11</v>
      </c>
      <c r="C1752" s="11">
        <f>IFERROR(__xludf.DUMMYFUNCTION("""COMPUTED_VALUE"""),120868.0)</f>
        <v>120868</v>
      </c>
      <c r="D1752" s="11">
        <f>IFERROR(__xludf.DUMMYFUNCTION("""COMPUTED_VALUE"""),927.0)</f>
        <v>927</v>
      </c>
      <c r="E1752" s="9"/>
    </row>
    <row r="1753">
      <c r="A1753" s="11">
        <f>IFERROR(__xludf.DUMMYFUNCTION("""COMPUTED_VALUE"""),2021.0)</f>
        <v>2021</v>
      </c>
      <c r="B1753" s="11">
        <f>IFERROR(__xludf.DUMMYFUNCTION("""COMPUTED_VALUE"""),8.0)</f>
        <v>8</v>
      </c>
      <c r="C1753" s="11">
        <f>IFERROR(__xludf.DUMMYFUNCTION("""COMPUTED_VALUE"""),102063.0)</f>
        <v>102063</v>
      </c>
      <c r="D1753" s="11">
        <f>IFERROR(__xludf.DUMMYFUNCTION("""COMPUTED_VALUE"""),374.0)</f>
        <v>374</v>
      </c>
      <c r="E1753" s="9"/>
    </row>
    <row r="1754">
      <c r="A1754" s="11">
        <f>IFERROR(__xludf.DUMMYFUNCTION("""COMPUTED_VALUE"""),2021.0)</f>
        <v>2021</v>
      </c>
      <c r="B1754" s="11">
        <f>IFERROR(__xludf.DUMMYFUNCTION("""COMPUTED_VALUE"""),9.0)</f>
        <v>9</v>
      </c>
      <c r="C1754" s="11">
        <f>IFERROR(__xludf.DUMMYFUNCTION("""COMPUTED_VALUE"""),120869.0)</f>
        <v>120869</v>
      </c>
      <c r="D1754" s="11">
        <f>IFERROR(__xludf.DUMMYFUNCTION("""COMPUTED_VALUE"""),918.0)</f>
        <v>918</v>
      </c>
      <c r="E1754" s="9"/>
    </row>
    <row r="1755">
      <c r="A1755" s="11">
        <f>IFERROR(__xludf.DUMMYFUNCTION("""COMPUTED_VALUE"""),2021.0)</f>
        <v>2021</v>
      </c>
      <c r="B1755" s="11">
        <f>IFERROR(__xludf.DUMMYFUNCTION("""COMPUTED_VALUE"""),9.0)</f>
        <v>9</v>
      </c>
      <c r="C1755" s="11">
        <f>IFERROR(__xludf.DUMMYFUNCTION("""COMPUTED_VALUE"""),120871.0)</f>
        <v>120871</v>
      </c>
      <c r="D1755" s="11">
        <f>IFERROR(__xludf.DUMMYFUNCTION("""COMPUTED_VALUE"""),678.0)</f>
        <v>678</v>
      </c>
      <c r="E1755" s="9"/>
    </row>
    <row r="1756">
      <c r="A1756" s="11">
        <f>IFERROR(__xludf.DUMMYFUNCTION("""COMPUTED_VALUE"""),2021.0)</f>
        <v>2021</v>
      </c>
      <c r="B1756" s="11">
        <f>IFERROR(__xludf.DUMMYFUNCTION("""COMPUTED_VALUE"""),11.0)</f>
        <v>11</v>
      </c>
      <c r="C1756" s="11">
        <f>IFERROR(__xludf.DUMMYFUNCTION("""COMPUTED_VALUE"""),24195.0)</f>
        <v>24195</v>
      </c>
      <c r="D1756" s="11">
        <f>IFERROR(__xludf.DUMMYFUNCTION("""COMPUTED_VALUE"""),1511.0)</f>
        <v>1511</v>
      </c>
      <c r="E1756" s="9"/>
    </row>
    <row r="1757">
      <c r="A1757" s="11">
        <f>IFERROR(__xludf.DUMMYFUNCTION("""COMPUTED_VALUE"""),2021.0)</f>
        <v>2021</v>
      </c>
      <c r="B1757" s="11">
        <f>IFERROR(__xludf.DUMMYFUNCTION("""COMPUTED_VALUE"""),8.0)</f>
        <v>8</v>
      </c>
      <c r="C1757" s="11">
        <f>IFERROR(__xludf.DUMMYFUNCTION("""COMPUTED_VALUE"""),120422.0)</f>
        <v>120422</v>
      </c>
      <c r="D1757" s="11">
        <f>IFERROR(__xludf.DUMMYFUNCTION("""COMPUTED_VALUE"""),335.0)</f>
        <v>335</v>
      </c>
      <c r="E1757" s="9"/>
    </row>
    <row r="1758">
      <c r="A1758" s="11">
        <f>IFERROR(__xludf.DUMMYFUNCTION("""COMPUTED_VALUE"""),2021.0)</f>
        <v>2021</v>
      </c>
      <c r="B1758" s="11">
        <f>IFERROR(__xludf.DUMMYFUNCTION("""COMPUTED_VALUE"""),11.0)</f>
        <v>11</v>
      </c>
      <c r="C1758" s="11">
        <f>IFERROR(__xludf.DUMMYFUNCTION("""COMPUTED_VALUE"""),120874.0)</f>
        <v>120874</v>
      </c>
      <c r="D1758" s="11">
        <f>IFERROR(__xludf.DUMMYFUNCTION("""COMPUTED_VALUE"""),305.0)</f>
        <v>305</v>
      </c>
      <c r="E1758" s="9"/>
    </row>
    <row r="1759">
      <c r="A1759" s="11">
        <f>IFERROR(__xludf.DUMMYFUNCTION("""COMPUTED_VALUE"""),2021.0)</f>
        <v>2021</v>
      </c>
      <c r="B1759" s="11">
        <f>IFERROR(__xludf.DUMMYFUNCTION("""COMPUTED_VALUE"""),11.0)</f>
        <v>11</v>
      </c>
      <c r="C1759" s="11">
        <f>IFERROR(__xludf.DUMMYFUNCTION("""COMPUTED_VALUE"""),120416.0)</f>
        <v>120416</v>
      </c>
      <c r="D1759" s="11">
        <f>IFERROR(__xludf.DUMMYFUNCTION("""COMPUTED_VALUE"""),798.0)</f>
        <v>798</v>
      </c>
      <c r="E1759" s="9"/>
    </row>
    <row r="1760">
      <c r="A1760" s="11">
        <f>IFERROR(__xludf.DUMMYFUNCTION("""COMPUTED_VALUE"""),2021.0)</f>
        <v>2021</v>
      </c>
      <c r="B1760" s="11">
        <f>IFERROR(__xludf.DUMMYFUNCTION("""COMPUTED_VALUE"""),9.0)</f>
        <v>9</v>
      </c>
      <c r="C1760" s="11">
        <f>IFERROR(__xludf.DUMMYFUNCTION("""COMPUTED_VALUE"""),80944.0)</f>
        <v>80944</v>
      </c>
      <c r="D1760" s="11">
        <f>IFERROR(__xludf.DUMMYFUNCTION("""COMPUTED_VALUE"""),105.0)</f>
        <v>105</v>
      </c>
      <c r="E1760" s="9"/>
    </row>
    <row r="1761">
      <c r="A1761" s="11">
        <f>IFERROR(__xludf.DUMMYFUNCTION("""COMPUTED_VALUE"""),2021.0)</f>
        <v>2021</v>
      </c>
      <c r="B1761" s="11">
        <f>IFERROR(__xludf.DUMMYFUNCTION("""COMPUTED_VALUE"""),8.0)</f>
        <v>8</v>
      </c>
      <c r="C1761" s="11">
        <f>IFERROR(__xludf.DUMMYFUNCTION("""COMPUTED_VALUE"""),120873.0)</f>
        <v>120873</v>
      </c>
      <c r="D1761" s="11">
        <f>IFERROR(__xludf.DUMMYFUNCTION("""COMPUTED_VALUE"""),148.0)</f>
        <v>148</v>
      </c>
      <c r="E1761" s="9"/>
    </row>
    <row r="1762">
      <c r="A1762" s="11">
        <f>IFERROR(__xludf.DUMMYFUNCTION("""COMPUTED_VALUE"""),2021.0)</f>
        <v>2021</v>
      </c>
      <c r="B1762" s="11">
        <f>IFERROR(__xludf.DUMMYFUNCTION("""COMPUTED_VALUE"""),11.0)</f>
        <v>11</v>
      </c>
      <c r="C1762" s="11">
        <f>IFERROR(__xludf.DUMMYFUNCTION("""COMPUTED_VALUE"""),120875.0)</f>
        <v>120875</v>
      </c>
      <c r="D1762" s="11">
        <f>IFERROR(__xludf.DUMMYFUNCTION("""COMPUTED_VALUE"""),1898.0)</f>
        <v>1898</v>
      </c>
      <c r="E1762" s="9"/>
    </row>
    <row r="1763">
      <c r="A1763" s="11">
        <f>IFERROR(__xludf.DUMMYFUNCTION("""COMPUTED_VALUE"""),2021.0)</f>
        <v>2021</v>
      </c>
      <c r="B1763" s="11">
        <f>IFERROR(__xludf.DUMMYFUNCTION("""COMPUTED_VALUE"""),8.0)</f>
        <v>8</v>
      </c>
      <c r="C1763" s="11">
        <f>IFERROR(__xludf.DUMMYFUNCTION("""COMPUTED_VALUE"""),147285.0)</f>
        <v>147285</v>
      </c>
      <c r="D1763" s="11">
        <f>IFERROR(__xludf.DUMMYFUNCTION("""COMPUTED_VALUE"""),776.0)</f>
        <v>776</v>
      </c>
      <c r="E1763" s="9"/>
    </row>
    <row r="1764">
      <c r="A1764" s="11">
        <f>IFERROR(__xludf.DUMMYFUNCTION("""COMPUTED_VALUE"""),2021.0)</f>
        <v>2021</v>
      </c>
      <c r="B1764" s="11">
        <f>IFERROR(__xludf.DUMMYFUNCTION("""COMPUTED_VALUE"""),8.0)</f>
        <v>8</v>
      </c>
      <c r="C1764" s="11">
        <f>IFERROR(__xludf.DUMMYFUNCTION("""COMPUTED_VALUE"""),88604.0)</f>
        <v>88604</v>
      </c>
      <c r="D1764" s="11">
        <f>IFERROR(__xludf.DUMMYFUNCTION("""COMPUTED_VALUE"""),1590.0)</f>
        <v>1590</v>
      </c>
      <c r="E1764" s="9"/>
    </row>
    <row r="1765">
      <c r="A1765" s="11">
        <f>IFERROR(__xludf.DUMMYFUNCTION("""COMPUTED_VALUE"""),2021.0)</f>
        <v>2021</v>
      </c>
      <c r="B1765" s="11">
        <f>IFERROR(__xludf.DUMMYFUNCTION("""COMPUTED_VALUE"""),10.0)</f>
        <v>10</v>
      </c>
      <c r="C1765" s="11">
        <f>IFERROR(__xludf.DUMMYFUNCTION("""COMPUTED_VALUE"""),120417.0)</f>
        <v>120417</v>
      </c>
      <c r="D1765" s="11">
        <f>IFERROR(__xludf.DUMMYFUNCTION("""COMPUTED_VALUE"""),848.0)</f>
        <v>848</v>
      </c>
      <c r="E1765" s="9"/>
    </row>
    <row r="1766">
      <c r="A1766" s="11">
        <f>IFERROR(__xludf.DUMMYFUNCTION("""COMPUTED_VALUE"""),2021.0)</f>
        <v>2021</v>
      </c>
      <c r="B1766" s="11">
        <f>IFERROR(__xludf.DUMMYFUNCTION("""COMPUTED_VALUE"""),9.0)</f>
        <v>9</v>
      </c>
      <c r="C1766" s="11">
        <f>IFERROR(__xludf.DUMMYFUNCTION("""COMPUTED_VALUE"""),113914.0)</f>
        <v>113914</v>
      </c>
      <c r="D1766" s="11">
        <f>IFERROR(__xludf.DUMMYFUNCTION("""COMPUTED_VALUE"""),484.0)</f>
        <v>484</v>
      </c>
      <c r="E1766" s="9"/>
    </row>
    <row r="1767">
      <c r="A1767" s="11">
        <f>IFERROR(__xludf.DUMMYFUNCTION("""COMPUTED_VALUE"""),2021.0)</f>
        <v>2021</v>
      </c>
      <c r="B1767" s="11">
        <f>IFERROR(__xludf.DUMMYFUNCTION("""COMPUTED_VALUE"""),8.0)</f>
        <v>8</v>
      </c>
      <c r="C1767" s="11">
        <f>IFERROR(__xludf.DUMMYFUNCTION("""COMPUTED_VALUE"""),68793.0)</f>
        <v>68793</v>
      </c>
      <c r="D1767" s="11">
        <f>IFERROR(__xludf.DUMMYFUNCTION("""COMPUTED_VALUE"""),431.0)</f>
        <v>431</v>
      </c>
      <c r="E1767" s="9"/>
    </row>
    <row r="1768">
      <c r="A1768" s="11">
        <f>IFERROR(__xludf.DUMMYFUNCTION("""COMPUTED_VALUE"""),2021.0)</f>
        <v>2021</v>
      </c>
      <c r="B1768" s="11">
        <f>IFERROR(__xludf.DUMMYFUNCTION("""COMPUTED_VALUE"""),11.0)</f>
        <v>11</v>
      </c>
      <c r="C1768" s="11">
        <f>IFERROR(__xludf.DUMMYFUNCTION("""COMPUTED_VALUE"""),106707.0)</f>
        <v>106707</v>
      </c>
      <c r="D1768" s="11">
        <f>IFERROR(__xludf.DUMMYFUNCTION("""COMPUTED_VALUE"""),65.0)</f>
        <v>65</v>
      </c>
      <c r="E1768" s="9"/>
    </row>
    <row r="1769">
      <c r="A1769" s="11">
        <f>IFERROR(__xludf.DUMMYFUNCTION("""COMPUTED_VALUE"""),2021.0)</f>
        <v>2021</v>
      </c>
      <c r="B1769" s="11">
        <f>IFERROR(__xludf.DUMMYFUNCTION("""COMPUTED_VALUE"""),8.0)</f>
        <v>8</v>
      </c>
      <c r="C1769" s="11">
        <f>IFERROR(__xludf.DUMMYFUNCTION("""COMPUTED_VALUE"""),24210.0)</f>
        <v>24210</v>
      </c>
      <c r="D1769" s="11">
        <f>IFERROR(__xludf.DUMMYFUNCTION("""COMPUTED_VALUE"""),1786.0)</f>
        <v>1786</v>
      </c>
      <c r="E1769" s="9"/>
    </row>
    <row r="1770">
      <c r="A1770" s="11">
        <f>IFERROR(__xludf.DUMMYFUNCTION("""COMPUTED_VALUE"""),2021.0)</f>
        <v>2021</v>
      </c>
      <c r="B1770" s="11">
        <f>IFERROR(__xludf.DUMMYFUNCTION("""COMPUTED_VALUE"""),9.0)</f>
        <v>9</v>
      </c>
      <c r="C1770" s="11">
        <f>IFERROR(__xludf.DUMMYFUNCTION("""COMPUTED_VALUE"""),44012.0)</f>
        <v>44012</v>
      </c>
      <c r="D1770" s="11">
        <f>IFERROR(__xludf.DUMMYFUNCTION("""COMPUTED_VALUE"""),782.0)</f>
        <v>782</v>
      </c>
      <c r="E1770" s="9"/>
    </row>
    <row r="1771">
      <c r="A1771" s="11">
        <f>IFERROR(__xludf.DUMMYFUNCTION("""COMPUTED_VALUE"""),2021.0)</f>
        <v>2021</v>
      </c>
      <c r="B1771" s="11">
        <f>IFERROR(__xludf.DUMMYFUNCTION("""COMPUTED_VALUE"""),11.0)</f>
        <v>11</v>
      </c>
      <c r="C1771" s="11">
        <f>IFERROR(__xludf.DUMMYFUNCTION("""COMPUTED_VALUE"""),106710.0)</f>
        <v>106710</v>
      </c>
      <c r="D1771" s="11">
        <f>IFERROR(__xludf.DUMMYFUNCTION("""COMPUTED_VALUE"""),483.0)</f>
        <v>483</v>
      </c>
      <c r="E1771" s="9"/>
    </row>
    <row r="1772">
      <c r="A1772" s="11">
        <f>IFERROR(__xludf.DUMMYFUNCTION("""COMPUTED_VALUE"""),2021.0)</f>
        <v>2021</v>
      </c>
      <c r="B1772" s="11">
        <f>IFERROR(__xludf.DUMMYFUNCTION("""COMPUTED_VALUE"""),8.0)</f>
        <v>8</v>
      </c>
      <c r="C1772" s="11">
        <f>IFERROR(__xludf.DUMMYFUNCTION("""COMPUTED_VALUE"""),117239.0)</f>
        <v>117239</v>
      </c>
      <c r="D1772" s="11">
        <f>IFERROR(__xludf.DUMMYFUNCTION("""COMPUTED_VALUE"""),934.0)</f>
        <v>934</v>
      </c>
      <c r="E1772" s="9"/>
    </row>
    <row r="1773">
      <c r="A1773" s="11">
        <f>IFERROR(__xludf.DUMMYFUNCTION("""COMPUTED_VALUE"""),2021.0)</f>
        <v>2021</v>
      </c>
      <c r="B1773" s="11">
        <f>IFERROR(__xludf.DUMMYFUNCTION("""COMPUTED_VALUE"""),8.0)</f>
        <v>8</v>
      </c>
      <c r="C1773" s="11">
        <f>IFERROR(__xludf.DUMMYFUNCTION("""COMPUTED_VALUE"""),80186.0)</f>
        <v>80186</v>
      </c>
      <c r="D1773" s="11">
        <f>IFERROR(__xludf.DUMMYFUNCTION("""COMPUTED_VALUE"""),1632.0)</f>
        <v>1632</v>
      </c>
      <c r="E1773" s="9"/>
    </row>
    <row r="1774">
      <c r="A1774" s="11">
        <f>IFERROR(__xludf.DUMMYFUNCTION("""COMPUTED_VALUE"""),2021.0)</f>
        <v>2021</v>
      </c>
      <c r="B1774" s="11">
        <f>IFERROR(__xludf.DUMMYFUNCTION("""COMPUTED_VALUE"""),11.0)</f>
        <v>11</v>
      </c>
      <c r="C1774" s="11">
        <f>IFERROR(__xludf.DUMMYFUNCTION("""COMPUTED_VALUE"""),80185.0)</f>
        <v>80185</v>
      </c>
      <c r="D1774" s="11">
        <f>IFERROR(__xludf.DUMMYFUNCTION("""COMPUTED_VALUE"""),596.0)</f>
        <v>596</v>
      </c>
      <c r="E1774" s="9"/>
    </row>
    <row r="1775">
      <c r="A1775" s="11">
        <f>IFERROR(__xludf.DUMMYFUNCTION("""COMPUTED_VALUE"""),2021.0)</f>
        <v>2021</v>
      </c>
      <c r="B1775" s="11">
        <f>IFERROR(__xludf.DUMMYFUNCTION("""COMPUTED_VALUE"""),9.0)</f>
        <v>9</v>
      </c>
      <c r="C1775" s="11">
        <f>IFERROR(__xludf.DUMMYFUNCTION("""COMPUTED_VALUE"""),107151.0)</f>
        <v>107151</v>
      </c>
      <c r="D1775" s="11">
        <f>IFERROR(__xludf.DUMMYFUNCTION("""COMPUTED_VALUE"""),471.0)</f>
        <v>471</v>
      </c>
      <c r="E1775" s="9"/>
    </row>
    <row r="1776">
      <c r="A1776" s="11">
        <f>IFERROR(__xludf.DUMMYFUNCTION("""COMPUTED_VALUE"""),2021.0)</f>
        <v>2021</v>
      </c>
      <c r="B1776" s="11">
        <f>IFERROR(__xludf.DUMMYFUNCTION("""COMPUTED_VALUE"""),9.0)</f>
        <v>9</v>
      </c>
      <c r="C1776" s="11">
        <f>IFERROR(__xludf.DUMMYFUNCTION("""COMPUTED_VALUE"""),120420.0)</f>
        <v>120420</v>
      </c>
      <c r="D1776" s="11">
        <f>IFERROR(__xludf.DUMMYFUNCTION("""COMPUTED_VALUE"""),718.0)</f>
        <v>718</v>
      </c>
      <c r="E1776" s="9"/>
    </row>
    <row r="1777">
      <c r="A1777" s="11">
        <f>IFERROR(__xludf.DUMMYFUNCTION("""COMPUTED_VALUE"""),2021.0)</f>
        <v>2021</v>
      </c>
      <c r="B1777" s="11">
        <f>IFERROR(__xludf.DUMMYFUNCTION("""COMPUTED_VALUE"""),8.0)</f>
        <v>8</v>
      </c>
      <c r="C1777" s="11">
        <f>IFERROR(__xludf.DUMMYFUNCTION("""COMPUTED_VALUE"""),80184.0)</f>
        <v>80184</v>
      </c>
      <c r="D1777" s="11">
        <f>IFERROR(__xludf.DUMMYFUNCTION("""COMPUTED_VALUE"""),502.0)</f>
        <v>502</v>
      </c>
      <c r="E1777" s="9"/>
    </row>
    <row r="1778">
      <c r="A1778" s="11">
        <f>IFERROR(__xludf.DUMMYFUNCTION("""COMPUTED_VALUE"""),2021.0)</f>
        <v>2021</v>
      </c>
      <c r="B1778" s="11">
        <f>IFERROR(__xludf.DUMMYFUNCTION("""COMPUTED_VALUE"""),11.0)</f>
        <v>11</v>
      </c>
      <c r="C1778" s="11">
        <f>IFERROR(__xludf.DUMMYFUNCTION("""COMPUTED_VALUE"""),107157.0)</f>
        <v>107157</v>
      </c>
      <c r="D1778" s="11">
        <f>IFERROR(__xludf.DUMMYFUNCTION("""COMPUTED_VALUE"""),1675.0)</f>
        <v>1675</v>
      </c>
      <c r="E1778" s="9"/>
    </row>
    <row r="1779">
      <c r="A1779" s="11">
        <f>IFERROR(__xludf.DUMMYFUNCTION("""COMPUTED_VALUE"""),2021.0)</f>
        <v>2021</v>
      </c>
      <c r="B1779" s="11">
        <f>IFERROR(__xludf.DUMMYFUNCTION("""COMPUTED_VALUE"""),11.0)</f>
        <v>11</v>
      </c>
      <c r="C1779" s="11">
        <f>IFERROR(__xludf.DUMMYFUNCTION("""COMPUTED_VALUE"""),118432.0)</f>
        <v>118432</v>
      </c>
      <c r="D1779" s="11">
        <f>IFERROR(__xludf.DUMMYFUNCTION("""COMPUTED_VALUE"""),1847.0)</f>
        <v>1847</v>
      </c>
      <c r="E1779" s="9"/>
    </row>
    <row r="1780">
      <c r="A1780" s="11">
        <f>IFERROR(__xludf.DUMMYFUNCTION("""COMPUTED_VALUE"""),2021.0)</f>
        <v>2021</v>
      </c>
      <c r="B1780" s="11">
        <f>IFERROR(__xludf.DUMMYFUNCTION("""COMPUTED_VALUE"""),11.0)</f>
        <v>11</v>
      </c>
      <c r="C1780" s="11">
        <f>IFERROR(__xludf.DUMMYFUNCTION("""COMPUTED_VALUE"""),86512.0)</f>
        <v>86512</v>
      </c>
      <c r="D1780" s="11">
        <f>IFERROR(__xludf.DUMMYFUNCTION("""COMPUTED_VALUE"""),1572.0)</f>
        <v>1572</v>
      </c>
      <c r="E1780" s="9"/>
    </row>
    <row r="1781">
      <c r="A1781" s="11">
        <f>IFERROR(__xludf.DUMMYFUNCTION("""COMPUTED_VALUE"""),2021.0)</f>
        <v>2021</v>
      </c>
      <c r="B1781" s="11">
        <f>IFERROR(__xludf.DUMMYFUNCTION("""COMPUTED_VALUE"""),11.0)</f>
        <v>11</v>
      </c>
      <c r="C1781" s="11">
        <f>IFERROR(__xludf.DUMMYFUNCTION("""COMPUTED_VALUE"""),118431.0)</f>
        <v>118431</v>
      </c>
      <c r="D1781" s="11">
        <f>IFERROR(__xludf.DUMMYFUNCTION("""COMPUTED_VALUE"""),1784.0)</f>
        <v>1784</v>
      </c>
      <c r="E1781" s="9"/>
    </row>
    <row r="1782">
      <c r="A1782" s="11">
        <f>IFERROR(__xludf.DUMMYFUNCTION("""COMPUTED_VALUE"""),2021.0)</f>
        <v>2021</v>
      </c>
      <c r="B1782" s="11">
        <f>IFERROR(__xludf.DUMMYFUNCTION("""COMPUTED_VALUE"""),11.0)</f>
        <v>11</v>
      </c>
      <c r="C1782" s="11">
        <f>IFERROR(__xludf.DUMMYFUNCTION("""COMPUTED_VALUE"""),80187.0)</f>
        <v>80187</v>
      </c>
      <c r="D1782" s="11">
        <f>IFERROR(__xludf.DUMMYFUNCTION("""COMPUTED_VALUE"""),33.0)</f>
        <v>33</v>
      </c>
      <c r="E1782" s="9"/>
    </row>
    <row r="1783">
      <c r="A1783" s="11">
        <f>IFERROR(__xludf.DUMMYFUNCTION("""COMPUTED_VALUE"""),2021.0)</f>
        <v>2021</v>
      </c>
      <c r="B1783" s="11">
        <f>IFERROR(__xludf.DUMMYFUNCTION("""COMPUTED_VALUE"""),10.0)</f>
        <v>10</v>
      </c>
      <c r="C1783" s="11">
        <f>IFERROR(__xludf.DUMMYFUNCTION("""COMPUTED_VALUE"""),107163.0)</f>
        <v>107163</v>
      </c>
      <c r="D1783" s="11">
        <f>IFERROR(__xludf.DUMMYFUNCTION("""COMPUTED_VALUE"""),20.0)</f>
        <v>20</v>
      </c>
      <c r="E1783" s="9"/>
    </row>
    <row r="1784">
      <c r="A1784" s="11">
        <f>IFERROR(__xludf.DUMMYFUNCTION("""COMPUTED_VALUE"""),2021.0)</f>
        <v>2021</v>
      </c>
      <c r="B1784" s="11">
        <f>IFERROR(__xludf.DUMMYFUNCTION("""COMPUTED_VALUE"""),10.0)</f>
        <v>10</v>
      </c>
      <c r="C1784" s="11">
        <f>IFERROR(__xludf.DUMMYFUNCTION("""COMPUTED_VALUE"""),108342.0)</f>
        <v>108342</v>
      </c>
      <c r="D1784" s="11">
        <f>IFERROR(__xludf.DUMMYFUNCTION("""COMPUTED_VALUE"""),1840.0)</f>
        <v>1840</v>
      </c>
      <c r="E1784" s="9"/>
    </row>
    <row r="1785">
      <c r="A1785" s="11">
        <f>IFERROR(__xludf.DUMMYFUNCTION("""COMPUTED_VALUE"""),2021.0)</f>
        <v>2021</v>
      </c>
      <c r="B1785" s="11">
        <f>IFERROR(__xludf.DUMMYFUNCTION("""COMPUTED_VALUE"""),9.0)</f>
        <v>9</v>
      </c>
      <c r="C1785" s="11">
        <f>IFERROR(__xludf.DUMMYFUNCTION("""COMPUTED_VALUE"""),20949.0)</f>
        <v>20949</v>
      </c>
      <c r="D1785" s="11">
        <f>IFERROR(__xludf.DUMMYFUNCTION("""COMPUTED_VALUE"""),1502.0)</f>
        <v>1502</v>
      </c>
      <c r="E1785" s="9"/>
    </row>
    <row r="1786">
      <c r="A1786" s="11">
        <f>IFERROR(__xludf.DUMMYFUNCTION("""COMPUTED_VALUE"""),2021.0)</f>
        <v>2021</v>
      </c>
      <c r="B1786" s="11">
        <f>IFERROR(__xludf.DUMMYFUNCTION("""COMPUTED_VALUE"""),9.0)</f>
        <v>9</v>
      </c>
      <c r="C1786" s="11">
        <f>IFERROR(__xludf.DUMMYFUNCTION("""COMPUTED_VALUE"""),118436.0)</f>
        <v>118436</v>
      </c>
      <c r="D1786" s="11">
        <f>IFERROR(__xludf.DUMMYFUNCTION("""COMPUTED_VALUE"""),650.0)</f>
        <v>650</v>
      </c>
      <c r="E1786" s="9"/>
    </row>
    <row r="1787">
      <c r="A1787" s="11">
        <f>IFERROR(__xludf.DUMMYFUNCTION("""COMPUTED_VALUE"""),2021.0)</f>
        <v>2021</v>
      </c>
      <c r="B1787" s="11">
        <f>IFERROR(__xludf.DUMMYFUNCTION("""COMPUTED_VALUE"""),8.0)</f>
        <v>8</v>
      </c>
      <c r="C1787" s="11">
        <f>IFERROR(__xludf.DUMMYFUNCTION("""COMPUTED_VALUE"""),113566.0)</f>
        <v>113566</v>
      </c>
      <c r="D1787" s="11">
        <f>IFERROR(__xludf.DUMMYFUNCTION("""COMPUTED_VALUE"""),795.0)</f>
        <v>795</v>
      </c>
      <c r="E1787" s="9"/>
    </row>
    <row r="1788">
      <c r="A1788" s="11">
        <f>IFERROR(__xludf.DUMMYFUNCTION("""COMPUTED_VALUE"""),2021.0)</f>
        <v>2021</v>
      </c>
      <c r="B1788" s="11">
        <f>IFERROR(__xludf.DUMMYFUNCTION("""COMPUTED_VALUE"""),9.0)</f>
        <v>9</v>
      </c>
      <c r="C1788" s="11">
        <f>IFERROR(__xludf.DUMMYFUNCTION("""COMPUTED_VALUE"""),113571.0)</f>
        <v>113571</v>
      </c>
      <c r="D1788" s="11">
        <f>IFERROR(__xludf.DUMMYFUNCTION("""COMPUTED_VALUE"""),927.0)</f>
        <v>927</v>
      </c>
      <c r="E1788" s="9"/>
    </row>
    <row r="1789">
      <c r="A1789" s="11">
        <f>IFERROR(__xludf.DUMMYFUNCTION("""COMPUTED_VALUE"""),2021.0)</f>
        <v>2021</v>
      </c>
      <c r="B1789" s="11">
        <f>IFERROR(__xludf.DUMMYFUNCTION("""COMPUTED_VALUE"""),8.0)</f>
        <v>8</v>
      </c>
      <c r="C1789" s="11">
        <f>IFERROR(__xludf.DUMMYFUNCTION("""COMPUTED_VALUE"""),107160.0)</f>
        <v>107160</v>
      </c>
      <c r="D1789" s="11">
        <f>IFERROR(__xludf.DUMMYFUNCTION("""COMPUTED_VALUE"""),899.0)</f>
        <v>899</v>
      </c>
      <c r="E1789" s="9"/>
    </row>
    <row r="1790">
      <c r="A1790" s="11">
        <f>IFERROR(__xludf.DUMMYFUNCTION("""COMPUTED_VALUE"""),2021.0)</f>
        <v>2021</v>
      </c>
      <c r="B1790" s="11">
        <f>IFERROR(__xludf.DUMMYFUNCTION("""COMPUTED_VALUE"""),11.0)</f>
        <v>11</v>
      </c>
      <c r="C1790" s="11">
        <f>IFERROR(__xludf.DUMMYFUNCTION("""COMPUTED_VALUE"""),44007.0)</f>
        <v>44007</v>
      </c>
      <c r="D1790" s="11">
        <f>IFERROR(__xludf.DUMMYFUNCTION("""COMPUTED_VALUE"""),816.0)</f>
        <v>816</v>
      </c>
      <c r="E1790" s="9"/>
    </row>
    <row r="1791">
      <c r="A1791" s="11">
        <f>IFERROR(__xludf.DUMMYFUNCTION("""COMPUTED_VALUE"""),2021.0)</f>
        <v>2021</v>
      </c>
      <c r="B1791" s="11">
        <f>IFERROR(__xludf.DUMMYFUNCTION("""COMPUTED_VALUE"""),9.0)</f>
        <v>9</v>
      </c>
      <c r="C1791" s="11">
        <f>IFERROR(__xludf.DUMMYFUNCTION("""COMPUTED_VALUE"""),69453.0)</f>
        <v>69453</v>
      </c>
      <c r="D1791" s="11">
        <f>IFERROR(__xludf.DUMMYFUNCTION("""COMPUTED_VALUE"""),34.0)</f>
        <v>34</v>
      </c>
      <c r="E1791" s="9"/>
    </row>
    <row r="1792">
      <c r="A1792" s="11">
        <f>IFERROR(__xludf.DUMMYFUNCTION("""COMPUTED_VALUE"""),2021.0)</f>
        <v>2021</v>
      </c>
      <c r="B1792" s="11">
        <f>IFERROR(__xludf.DUMMYFUNCTION("""COMPUTED_VALUE"""),8.0)</f>
        <v>8</v>
      </c>
      <c r="C1792" s="11">
        <f>IFERROR(__xludf.DUMMYFUNCTION("""COMPUTED_VALUE"""),122690.0)</f>
        <v>122690</v>
      </c>
      <c r="D1792" s="11">
        <f>IFERROR(__xludf.DUMMYFUNCTION("""COMPUTED_VALUE"""),193.0)</f>
        <v>193</v>
      </c>
      <c r="E1792" s="9"/>
    </row>
    <row r="1793">
      <c r="A1793" s="11">
        <f>IFERROR(__xludf.DUMMYFUNCTION("""COMPUTED_VALUE"""),2021.0)</f>
        <v>2021</v>
      </c>
      <c r="B1793" s="11">
        <f>IFERROR(__xludf.DUMMYFUNCTION("""COMPUTED_VALUE"""),11.0)</f>
        <v>11</v>
      </c>
      <c r="C1793" s="11">
        <f>IFERROR(__xludf.DUMMYFUNCTION("""COMPUTED_VALUE"""),117243.0)</f>
        <v>117243</v>
      </c>
      <c r="D1793" s="11">
        <f>IFERROR(__xludf.DUMMYFUNCTION("""COMPUTED_VALUE"""),115.0)</f>
        <v>115</v>
      </c>
      <c r="E1793" s="9"/>
    </row>
    <row r="1794">
      <c r="A1794" s="11">
        <f>IFERROR(__xludf.DUMMYFUNCTION("""COMPUTED_VALUE"""),2021.0)</f>
        <v>2021</v>
      </c>
      <c r="B1794" s="11">
        <f>IFERROR(__xludf.DUMMYFUNCTION("""COMPUTED_VALUE"""),10.0)</f>
        <v>10</v>
      </c>
      <c r="C1794" s="11">
        <f>IFERROR(__xludf.DUMMYFUNCTION("""COMPUTED_VALUE"""),71988.0)</f>
        <v>71988</v>
      </c>
      <c r="D1794" s="11">
        <f>IFERROR(__xludf.DUMMYFUNCTION("""COMPUTED_VALUE"""),1750.0)</f>
        <v>1750</v>
      </c>
      <c r="E1794" s="9"/>
    </row>
    <row r="1795">
      <c r="A1795" s="11">
        <f>IFERROR(__xludf.DUMMYFUNCTION("""COMPUTED_VALUE"""),2021.0)</f>
        <v>2021</v>
      </c>
      <c r="B1795" s="11">
        <f>IFERROR(__xludf.DUMMYFUNCTION("""COMPUTED_VALUE"""),9.0)</f>
        <v>9</v>
      </c>
      <c r="C1795" s="11">
        <f>IFERROR(__xludf.DUMMYFUNCTION("""COMPUTED_VALUE"""),111582.0)</f>
        <v>111582</v>
      </c>
      <c r="D1795" s="11">
        <f>IFERROR(__xludf.DUMMYFUNCTION("""COMPUTED_VALUE"""),974.0)</f>
        <v>974</v>
      </c>
      <c r="E1795" s="9"/>
    </row>
    <row r="1796">
      <c r="A1796" s="11">
        <f>IFERROR(__xludf.DUMMYFUNCTION("""COMPUTED_VALUE"""),2021.0)</f>
        <v>2021</v>
      </c>
      <c r="B1796" s="11">
        <f>IFERROR(__xludf.DUMMYFUNCTION("""COMPUTED_VALUE"""),10.0)</f>
        <v>10</v>
      </c>
      <c r="C1796" s="11">
        <f>IFERROR(__xludf.DUMMYFUNCTION("""COMPUTED_VALUE"""),77235.0)</f>
        <v>77235</v>
      </c>
      <c r="D1796" s="11">
        <f>IFERROR(__xludf.DUMMYFUNCTION("""COMPUTED_VALUE"""),714.0)</f>
        <v>714</v>
      </c>
      <c r="E1796" s="9"/>
    </row>
    <row r="1797">
      <c r="A1797" s="11">
        <f>IFERROR(__xludf.DUMMYFUNCTION("""COMPUTED_VALUE"""),2021.0)</f>
        <v>2021</v>
      </c>
      <c r="B1797" s="11">
        <f>IFERROR(__xludf.DUMMYFUNCTION("""COMPUTED_VALUE"""),11.0)</f>
        <v>11</v>
      </c>
      <c r="C1797" s="11">
        <f>IFERROR(__xludf.DUMMYFUNCTION("""COMPUTED_VALUE"""),105272.0)</f>
        <v>105272</v>
      </c>
      <c r="D1797" s="11">
        <f>IFERROR(__xludf.DUMMYFUNCTION("""COMPUTED_VALUE"""),1872.0)</f>
        <v>1872</v>
      </c>
      <c r="E1797" s="9"/>
    </row>
    <row r="1798">
      <c r="A1798" s="11">
        <f>IFERROR(__xludf.DUMMYFUNCTION("""COMPUTED_VALUE"""),2021.0)</f>
        <v>2021</v>
      </c>
      <c r="B1798" s="11">
        <f>IFERROR(__xludf.DUMMYFUNCTION("""COMPUTED_VALUE"""),10.0)</f>
        <v>10</v>
      </c>
      <c r="C1798" s="11">
        <f>IFERROR(__xludf.DUMMYFUNCTION("""COMPUTED_VALUE"""),120809.0)</f>
        <v>120809</v>
      </c>
      <c r="D1798" s="11">
        <f>IFERROR(__xludf.DUMMYFUNCTION("""COMPUTED_VALUE"""),203.0)</f>
        <v>203</v>
      </c>
      <c r="E1798" s="9"/>
    </row>
    <row r="1799">
      <c r="A1799" s="11">
        <f>IFERROR(__xludf.DUMMYFUNCTION("""COMPUTED_VALUE"""),2021.0)</f>
        <v>2021</v>
      </c>
      <c r="B1799" s="11">
        <f>IFERROR(__xludf.DUMMYFUNCTION("""COMPUTED_VALUE"""),8.0)</f>
        <v>8</v>
      </c>
      <c r="C1799" s="11">
        <f>IFERROR(__xludf.DUMMYFUNCTION("""COMPUTED_VALUE"""),10651.0)</f>
        <v>10651</v>
      </c>
      <c r="D1799" s="11">
        <f>IFERROR(__xludf.DUMMYFUNCTION("""COMPUTED_VALUE"""),1551.0)</f>
        <v>1551</v>
      </c>
      <c r="E1799" s="9"/>
    </row>
    <row r="1800">
      <c r="A1800" s="11">
        <f>IFERROR(__xludf.DUMMYFUNCTION("""COMPUTED_VALUE"""),2021.0)</f>
        <v>2021</v>
      </c>
      <c r="B1800" s="11">
        <f>IFERROR(__xludf.DUMMYFUNCTION("""COMPUTED_VALUE"""),9.0)</f>
        <v>9</v>
      </c>
      <c r="C1800" s="11">
        <f>IFERROR(__xludf.DUMMYFUNCTION("""COMPUTED_VALUE"""),10657.0)</f>
        <v>10657</v>
      </c>
      <c r="D1800" s="11">
        <f>IFERROR(__xludf.DUMMYFUNCTION("""COMPUTED_VALUE"""),1583.0)</f>
        <v>1583</v>
      </c>
      <c r="E1800" s="9"/>
    </row>
    <row r="1801">
      <c r="A1801" s="11">
        <f>IFERROR(__xludf.DUMMYFUNCTION("""COMPUTED_VALUE"""),2021.0)</f>
        <v>2021</v>
      </c>
      <c r="B1801" s="11">
        <f>IFERROR(__xludf.DUMMYFUNCTION("""COMPUTED_VALUE"""),11.0)</f>
        <v>11</v>
      </c>
      <c r="C1801" s="11">
        <f>IFERROR(__xludf.DUMMYFUNCTION("""COMPUTED_VALUE"""),9132.0)</f>
        <v>9132</v>
      </c>
      <c r="D1801" s="11">
        <f>IFERROR(__xludf.DUMMYFUNCTION("""COMPUTED_VALUE"""),1380.0)</f>
        <v>1380</v>
      </c>
      <c r="E1801" s="9"/>
    </row>
    <row r="1802">
      <c r="A1802" s="11">
        <f>IFERROR(__xludf.DUMMYFUNCTION("""COMPUTED_VALUE"""),2021.0)</f>
        <v>2021</v>
      </c>
      <c r="B1802" s="11">
        <f>IFERROR(__xludf.DUMMYFUNCTION("""COMPUTED_VALUE"""),9.0)</f>
        <v>9</v>
      </c>
      <c r="C1802" s="11">
        <f>IFERROR(__xludf.DUMMYFUNCTION("""COMPUTED_VALUE"""),197151.0)</f>
        <v>197151</v>
      </c>
      <c r="D1802" s="11">
        <f>IFERROR(__xludf.DUMMYFUNCTION("""COMPUTED_VALUE"""),310.0)</f>
        <v>310</v>
      </c>
      <c r="E1802" s="9"/>
    </row>
    <row r="1803">
      <c r="A1803" s="11">
        <f>IFERROR(__xludf.DUMMYFUNCTION("""COMPUTED_VALUE"""),2021.0)</f>
        <v>2021</v>
      </c>
      <c r="B1803" s="11">
        <f>IFERROR(__xludf.DUMMYFUNCTION("""COMPUTED_VALUE"""),8.0)</f>
        <v>8</v>
      </c>
      <c r="C1803" s="11">
        <f>IFERROR(__xludf.DUMMYFUNCTION("""COMPUTED_VALUE"""),73386.0)</f>
        <v>73386</v>
      </c>
      <c r="D1803" s="11">
        <f>IFERROR(__xludf.DUMMYFUNCTION("""COMPUTED_VALUE"""),1672.0)</f>
        <v>1672</v>
      </c>
      <c r="E1803" s="9"/>
    </row>
    <row r="1804">
      <c r="A1804" s="11">
        <f>IFERROR(__xludf.DUMMYFUNCTION("""COMPUTED_VALUE"""),2021.0)</f>
        <v>2021</v>
      </c>
      <c r="B1804" s="11">
        <f>IFERROR(__xludf.DUMMYFUNCTION("""COMPUTED_VALUE"""),9.0)</f>
        <v>9</v>
      </c>
      <c r="C1804" s="11">
        <f>IFERROR(__xludf.DUMMYFUNCTION("""COMPUTED_VALUE"""),121604.0)</f>
        <v>121604</v>
      </c>
      <c r="D1804" s="11">
        <f>IFERROR(__xludf.DUMMYFUNCTION("""COMPUTED_VALUE"""),635.0)</f>
        <v>635</v>
      </c>
      <c r="E1804" s="9"/>
    </row>
    <row r="1805">
      <c r="A1805" s="11">
        <f>IFERROR(__xludf.DUMMYFUNCTION("""COMPUTED_VALUE"""),2021.0)</f>
        <v>2021</v>
      </c>
      <c r="B1805" s="11">
        <f>IFERROR(__xludf.DUMMYFUNCTION("""COMPUTED_VALUE"""),8.0)</f>
        <v>8</v>
      </c>
      <c r="C1805" s="11">
        <f>IFERROR(__xludf.DUMMYFUNCTION("""COMPUTED_VALUE"""),89533.0)</f>
        <v>89533</v>
      </c>
      <c r="D1805" s="11">
        <f>IFERROR(__xludf.DUMMYFUNCTION("""COMPUTED_VALUE"""),1495.0)</f>
        <v>1495</v>
      </c>
      <c r="E1805" s="9"/>
    </row>
    <row r="1806">
      <c r="A1806" s="11">
        <f>IFERROR(__xludf.DUMMYFUNCTION("""COMPUTED_VALUE"""),2021.0)</f>
        <v>2021</v>
      </c>
      <c r="B1806" s="11">
        <f>IFERROR(__xludf.DUMMYFUNCTION("""COMPUTED_VALUE"""),8.0)</f>
        <v>8</v>
      </c>
      <c r="C1806" s="11">
        <f>IFERROR(__xludf.DUMMYFUNCTION("""COMPUTED_VALUE"""),73381.0)</f>
        <v>73381</v>
      </c>
      <c r="D1806" s="11">
        <f>IFERROR(__xludf.DUMMYFUNCTION("""COMPUTED_VALUE"""),215.0)</f>
        <v>215</v>
      </c>
      <c r="E1806" s="9"/>
    </row>
    <row r="1807">
      <c r="A1807" s="11">
        <f>IFERROR(__xludf.DUMMYFUNCTION("""COMPUTED_VALUE"""),2021.0)</f>
        <v>2021</v>
      </c>
      <c r="B1807" s="11">
        <f>IFERROR(__xludf.DUMMYFUNCTION("""COMPUTED_VALUE"""),8.0)</f>
        <v>8</v>
      </c>
      <c r="C1807" s="11">
        <f>IFERROR(__xludf.DUMMYFUNCTION("""COMPUTED_VALUE"""),26096.0)</f>
        <v>26096</v>
      </c>
      <c r="D1807" s="11">
        <f>IFERROR(__xludf.DUMMYFUNCTION("""COMPUTED_VALUE"""),675.0)</f>
        <v>675</v>
      </c>
      <c r="E1807" s="9"/>
    </row>
    <row r="1808">
      <c r="A1808" s="11">
        <f>IFERROR(__xludf.DUMMYFUNCTION("""COMPUTED_VALUE"""),2021.0)</f>
        <v>2021</v>
      </c>
      <c r="B1808" s="11">
        <f>IFERROR(__xludf.DUMMYFUNCTION("""COMPUTED_VALUE"""),11.0)</f>
        <v>11</v>
      </c>
      <c r="C1808" s="11">
        <f>IFERROR(__xludf.DUMMYFUNCTION("""COMPUTED_VALUE"""),119050.0)</f>
        <v>119050</v>
      </c>
      <c r="D1808" s="11">
        <f>IFERROR(__xludf.DUMMYFUNCTION("""COMPUTED_VALUE"""),958.0)</f>
        <v>958</v>
      </c>
      <c r="E1808" s="9"/>
    </row>
    <row r="1809">
      <c r="A1809" s="11">
        <f>IFERROR(__xludf.DUMMYFUNCTION("""COMPUTED_VALUE"""),2021.0)</f>
        <v>2021</v>
      </c>
      <c r="B1809" s="11">
        <f>IFERROR(__xludf.DUMMYFUNCTION("""COMPUTED_VALUE"""),10.0)</f>
        <v>10</v>
      </c>
      <c r="C1809" s="11">
        <f>IFERROR(__xludf.DUMMYFUNCTION("""COMPUTED_VALUE"""),44028.0)</f>
        <v>44028</v>
      </c>
      <c r="D1809" s="11">
        <f>IFERROR(__xludf.DUMMYFUNCTION("""COMPUTED_VALUE"""),1868.0)</f>
        <v>1868</v>
      </c>
      <c r="E1809" s="9"/>
    </row>
    <row r="1810">
      <c r="A1810" s="11">
        <f>IFERROR(__xludf.DUMMYFUNCTION("""COMPUTED_VALUE"""),2021.0)</f>
        <v>2021</v>
      </c>
      <c r="B1810" s="11">
        <f>IFERROR(__xludf.DUMMYFUNCTION("""COMPUTED_VALUE"""),8.0)</f>
        <v>8</v>
      </c>
      <c r="C1810" s="11">
        <f>IFERROR(__xludf.DUMMYFUNCTION("""COMPUTED_VALUE"""),73572.0)</f>
        <v>73572</v>
      </c>
      <c r="D1810" s="11">
        <f>IFERROR(__xludf.DUMMYFUNCTION("""COMPUTED_VALUE"""),1052.0)</f>
        <v>1052</v>
      </c>
      <c r="E1810" s="9"/>
    </row>
    <row r="1811">
      <c r="A1811" s="11">
        <f>IFERROR(__xludf.DUMMYFUNCTION("""COMPUTED_VALUE"""),2021.0)</f>
        <v>2021</v>
      </c>
      <c r="B1811" s="11">
        <f>IFERROR(__xludf.DUMMYFUNCTION("""COMPUTED_VALUE"""),10.0)</f>
        <v>10</v>
      </c>
      <c r="C1811" s="11">
        <f>IFERROR(__xludf.DUMMYFUNCTION("""COMPUTED_VALUE"""),83083.0)</f>
        <v>83083</v>
      </c>
      <c r="D1811" s="11">
        <f>IFERROR(__xludf.DUMMYFUNCTION("""COMPUTED_VALUE"""),1847.0)</f>
        <v>1847</v>
      </c>
      <c r="E1811" s="9"/>
    </row>
    <row r="1812">
      <c r="A1812" s="11">
        <f>IFERROR(__xludf.DUMMYFUNCTION("""COMPUTED_VALUE"""),2021.0)</f>
        <v>2021</v>
      </c>
      <c r="B1812" s="11">
        <f>IFERROR(__xludf.DUMMYFUNCTION("""COMPUTED_VALUE"""),8.0)</f>
        <v>8</v>
      </c>
      <c r="C1812" s="11">
        <f>IFERROR(__xludf.DUMMYFUNCTION("""COMPUTED_VALUE"""),13338.0)</f>
        <v>13338</v>
      </c>
      <c r="D1812" s="11">
        <f>IFERROR(__xludf.DUMMYFUNCTION("""COMPUTED_VALUE"""),1814.0)</f>
        <v>1814</v>
      </c>
      <c r="E1812" s="9"/>
    </row>
    <row r="1813">
      <c r="A1813" s="11">
        <f>IFERROR(__xludf.DUMMYFUNCTION("""COMPUTED_VALUE"""),2021.0)</f>
        <v>2021</v>
      </c>
      <c r="B1813" s="11">
        <f>IFERROR(__xludf.DUMMYFUNCTION("""COMPUTED_VALUE"""),11.0)</f>
        <v>11</v>
      </c>
      <c r="C1813" s="11">
        <f>IFERROR(__xludf.DUMMYFUNCTION("""COMPUTED_VALUE"""),83418.0)</f>
        <v>83418</v>
      </c>
      <c r="D1813" s="11">
        <f>IFERROR(__xludf.DUMMYFUNCTION("""COMPUTED_VALUE"""),687.0)</f>
        <v>687</v>
      </c>
      <c r="E1813" s="9"/>
    </row>
    <row r="1814">
      <c r="A1814" s="11">
        <f>IFERROR(__xludf.DUMMYFUNCTION("""COMPUTED_VALUE"""),2021.0)</f>
        <v>2021</v>
      </c>
      <c r="B1814" s="11">
        <f>IFERROR(__xludf.DUMMYFUNCTION("""COMPUTED_VALUE"""),8.0)</f>
        <v>8</v>
      </c>
      <c r="C1814" s="11">
        <f>IFERROR(__xludf.DUMMYFUNCTION("""COMPUTED_VALUE"""),68640.0)</f>
        <v>68640</v>
      </c>
      <c r="D1814" s="11">
        <f>IFERROR(__xludf.DUMMYFUNCTION("""COMPUTED_VALUE"""),786.0)</f>
        <v>786</v>
      </c>
      <c r="E1814" s="9"/>
    </row>
    <row r="1815">
      <c r="A1815" s="11">
        <f>IFERROR(__xludf.DUMMYFUNCTION("""COMPUTED_VALUE"""),2021.0)</f>
        <v>2021</v>
      </c>
      <c r="B1815" s="11">
        <f>IFERROR(__xludf.DUMMYFUNCTION("""COMPUTED_VALUE"""),11.0)</f>
        <v>11</v>
      </c>
      <c r="C1815" s="11">
        <f>IFERROR(__xludf.DUMMYFUNCTION("""COMPUTED_VALUE"""),10647.0)</f>
        <v>10647</v>
      </c>
      <c r="D1815" s="11">
        <f>IFERROR(__xludf.DUMMYFUNCTION("""COMPUTED_VALUE"""),17.0)</f>
        <v>17</v>
      </c>
      <c r="E1815" s="9"/>
    </row>
    <row r="1816">
      <c r="A1816" s="11">
        <f>IFERROR(__xludf.DUMMYFUNCTION("""COMPUTED_VALUE"""),2021.0)</f>
        <v>2021</v>
      </c>
      <c r="B1816" s="11">
        <f>IFERROR(__xludf.DUMMYFUNCTION("""COMPUTED_VALUE"""),9.0)</f>
        <v>9</v>
      </c>
      <c r="C1816" s="11">
        <f>IFERROR(__xludf.DUMMYFUNCTION("""COMPUTED_VALUE"""),85884.0)</f>
        <v>85884</v>
      </c>
      <c r="D1816" s="11">
        <f>IFERROR(__xludf.DUMMYFUNCTION("""COMPUTED_VALUE"""),1799.0)</f>
        <v>1799</v>
      </c>
      <c r="E1816" s="9"/>
    </row>
    <row r="1817">
      <c r="A1817" s="11">
        <f>IFERROR(__xludf.DUMMYFUNCTION("""COMPUTED_VALUE"""),2021.0)</f>
        <v>2021</v>
      </c>
      <c r="B1817" s="11">
        <f>IFERROR(__xludf.DUMMYFUNCTION("""COMPUTED_VALUE"""),10.0)</f>
        <v>10</v>
      </c>
      <c r="C1817" s="11">
        <f>IFERROR(__xludf.DUMMYFUNCTION("""COMPUTED_VALUE"""),113933.0)</f>
        <v>113933</v>
      </c>
      <c r="D1817" s="11">
        <f>IFERROR(__xludf.DUMMYFUNCTION("""COMPUTED_VALUE"""),129.0)</f>
        <v>129</v>
      </c>
      <c r="E1817" s="9"/>
    </row>
    <row r="1818">
      <c r="A1818" s="11">
        <f>IFERROR(__xludf.DUMMYFUNCTION("""COMPUTED_VALUE"""),2021.0)</f>
        <v>2021</v>
      </c>
      <c r="B1818" s="11">
        <f>IFERROR(__xludf.DUMMYFUNCTION("""COMPUTED_VALUE"""),10.0)</f>
        <v>10</v>
      </c>
      <c r="C1818" s="11">
        <f>IFERROR(__xludf.DUMMYFUNCTION("""COMPUTED_VALUE"""),188843.0)</f>
        <v>188843</v>
      </c>
      <c r="D1818" s="11">
        <f>IFERROR(__xludf.DUMMYFUNCTION("""COMPUTED_VALUE"""),1607.0)</f>
        <v>1607</v>
      </c>
      <c r="E1818" s="9"/>
    </row>
    <row r="1819">
      <c r="A1819" s="11">
        <f>IFERROR(__xludf.DUMMYFUNCTION("""COMPUTED_VALUE"""),2021.0)</f>
        <v>2021</v>
      </c>
      <c r="B1819" s="11">
        <f>IFERROR(__xludf.DUMMYFUNCTION("""COMPUTED_VALUE"""),8.0)</f>
        <v>8</v>
      </c>
      <c r="C1819" s="11">
        <f>IFERROR(__xludf.DUMMYFUNCTION("""COMPUTED_VALUE"""),13342.0)</f>
        <v>13342</v>
      </c>
      <c r="D1819" s="11">
        <f>IFERROR(__xludf.DUMMYFUNCTION("""COMPUTED_VALUE"""),6.0)</f>
        <v>6</v>
      </c>
      <c r="E1819" s="9"/>
    </row>
    <row r="1820">
      <c r="A1820" s="11">
        <f>IFERROR(__xludf.DUMMYFUNCTION("""COMPUTED_VALUE"""),2021.0)</f>
        <v>2021</v>
      </c>
      <c r="B1820" s="11">
        <f>IFERROR(__xludf.DUMMYFUNCTION("""COMPUTED_VALUE"""),8.0)</f>
        <v>8</v>
      </c>
      <c r="C1820" s="11">
        <f>IFERROR(__xludf.DUMMYFUNCTION("""COMPUTED_VALUE"""),83002.0)</f>
        <v>83002</v>
      </c>
      <c r="D1820" s="11">
        <f>IFERROR(__xludf.DUMMYFUNCTION("""COMPUTED_VALUE"""),258.0)</f>
        <v>258</v>
      </c>
      <c r="E1820" s="9"/>
    </row>
    <row r="1821">
      <c r="A1821" s="11">
        <f>IFERROR(__xludf.DUMMYFUNCTION("""COMPUTED_VALUE"""),2021.0)</f>
        <v>2021</v>
      </c>
      <c r="B1821" s="11">
        <f>IFERROR(__xludf.DUMMYFUNCTION("""COMPUTED_VALUE"""),11.0)</f>
        <v>11</v>
      </c>
      <c r="C1821" s="11">
        <f>IFERROR(__xludf.DUMMYFUNCTION("""COMPUTED_VALUE"""),112860.0)</f>
        <v>112860</v>
      </c>
      <c r="D1821" s="11">
        <f>IFERROR(__xludf.DUMMYFUNCTION("""COMPUTED_VALUE"""),22.0)</f>
        <v>22</v>
      </c>
      <c r="E1821" s="9"/>
    </row>
    <row r="1822">
      <c r="A1822" s="11">
        <f>IFERROR(__xludf.DUMMYFUNCTION("""COMPUTED_VALUE"""),2021.0)</f>
        <v>2021</v>
      </c>
      <c r="B1822" s="11">
        <f>IFERROR(__xludf.DUMMYFUNCTION("""COMPUTED_VALUE"""),8.0)</f>
        <v>8</v>
      </c>
      <c r="C1822" s="11">
        <f>IFERROR(__xludf.DUMMYFUNCTION("""COMPUTED_VALUE"""),118374.0)</f>
        <v>118374</v>
      </c>
      <c r="D1822" s="11">
        <f>IFERROR(__xludf.DUMMYFUNCTION("""COMPUTED_VALUE"""),583.0)</f>
        <v>583</v>
      </c>
      <c r="E1822" s="9"/>
    </row>
    <row r="1823">
      <c r="A1823" s="11">
        <f>IFERROR(__xludf.DUMMYFUNCTION("""COMPUTED_VALUE"""),2021.0)</f>
        <v>2021</v>
      </c>
      <c r="B1823" s="11">
        <f>IFERROR(__xludf.DUMMYFUNCTION("""COMPUTED_VALUE"""),9.0)</f>
        <v>9</v>
      </c>
      <c r="C1823" s="11">
        <f>IFERROR(__xludf.DUMMYFUNCTION("""COMPUTED_VALUE"""),119049.0)</f>
        <v>119049</v>
      </c>
      <c r="D1823" s="11">
        <f>IFERROR(__xludf.DUMMYFUNCTION("""COMPUTED_VALUE"""),1884.0)</f>
        <v>1884</v>
      </c>
      <c r="E1823" s="9"/>
    </row>
    <row r="1824">
      <c r="A1824" s="11">
        <f>IFERROR(__xludf.DUMMYFUNCTION("""COMPUTED_VALUE"""),2021.0)</f>
        <v>2021</v>
      </c>
      <c r="B1824" s="11">
        <f>IFERROR(__xludf.DUMMYFUNCTION("""COMPUTED_VALUE"""),8.0)</f>
        <v>8</v>
      </c>
      <c r="C1824" s="11">
        <f>IFERROR(__xludf.DUMMYFUNCTION("""COMPUTED_VALUE"""),120964.0)</f>
        <v>120964</v>
      </c>
      <c r="D1824" s="11">
        <f>IFERROR(__xludf.DUMMYFUNCTION("""COMPUTED_VALUE"""),1414.0)</f>
        <v>1414</v>
      </c>
      <c r="E1824" s="9"/>
    </row>
    <row r="1825">
      <c r="A1825" s="11">
        <f>IFERROR(__xludf.DUMMYFUNCTION("""COMPUTED_VALUE"""),2021.0)</f>
        <v>2021</v>
      </c>
      <c r="B1825" s="11">
        <f>IFERROR(__xludf.DUMMYFUNCTION("""COMPUTED_VALUE"""),9.0)</f>
        <v>9</v>
      </c>
      <c r="C1825" s="11">
        <f>IFERROR(__xludf.DUMMYFUNCTION("""COMPUTED_VALUE"""),26093.0)</f>
        <v>26093</v>
      </c>
      <c r="D1825" s="11">
        <f>IFERROR(__xludf.DUMMYFUNCTION("""COMPUTED_VALUE"""),700.0)</f>
        <v>700</v>
      </c>
      <c r="E1825" s="9"/>
    </row>
    <row r="1826">
      <c r="A1826" s="11">
        <f>IFERROR(__xludf.DUMMYFUNCTION("""COMPUTED_VALUE"""),2021.0)</f>
        <v>2021</v>
      </c>
      <c r="B1826" s="11">
        <f>IFERROR(__xludf.DUMMYFUNCTION("""COMPUTED_VALUE"""),11.0)</f>
        <v>11</v>
      </c>
      <c r="C1826" s="11">
        <f>IFERROR(__xludf.DUMMYFUNCTION("""COMPUTED_VALUE"""),99311.0)</f>
        <v>99311</v>
      </c>
      <c r="D1826" s="11">
        <f>IFERROR(__xludf.DUMMYFUNCTION("""COMPUTED_VALUE"""),113.0)</f>
        <v>113</v>
      </c>
      <c r="E1826" s="9"/>
    </row>
    <row r="1827">
      <c r="A1827" s="11">
        <f>IFERROR(__xludf.DUMMYFUNCTION("""COMPUTED_VALUE"""),2021.0)</f>
        <v>2021</v>
      </c>
      <c r="B1827" s="11">
        <f>IFERROR(__xludf.DUMMYFUNCTION("""COMPUTED_VALUE"""),9.0)</f>
        <v>9</v>
      </c>
      <c r="C1827" s="11">
        <f>IFERROR(__xludf.DUMMYFUNCTION("""COMPUTED_VALUE"""),9131.0)</f>
        <v>9131</v>
      </c>
      <c r="D1827" s="11">
        <f>IFERROR(__xludf.DUMMYFUNCTION("""COMPUTED_VALUE"""),1570.0)</f>
        <v>1570</v>
      </c>
      <c r="E1827" s="9"/>
    </row>
    <row r="1828">
      <c r="A1828" s="11">
        <f>IFERROR(__xludf.DUMMYFUNCTION("""COMPUTED_VALUE"""),2021.0)</f>
        <v>2021</v>
      </c>
      <c r="B1828" s="11">
        <f>IFERROR(__xludf.DUMMYFUNCTION("""COMPUTED_VALUE"""),11.0)</f>
        <v>11</v>
      </c>
      <c r="C1828" s="11">
        <f>IFERROR(__xludf.DUMMYFUNCTION("""COMPUTED_VALUE"""),122167.0)</f>
        <v>122167</v>
      </c>
      <c r="D1828" s="11">
        <f>IFERROR(__xludf.DUMMYFUNCTION("""COMPUTED_VALUE"""),186.0)</f>
        <v>186</v>
      </c>
      <c r="E1828" s="9"/>
    </row>
    <row r="1829">
      <c r="A1829" s="11">
        <f>IFERROR(__xludf.DUMMYFUNCTION("""COMPUTED_VALUE"""),2021.0)</f>
        <v>2021</v>
      </c>
      <c r="B1829" s="11">
        <f>IFERROR(__xludf.DUMMYFUNCTION("""COMPUTED_VALUE"""),10.0)</f>
        <v>10</v>
      </c>
      <c r="C1829" s="11">
        <f>IFERROR(__xludf.DUMMYFUNCTION("""COMPUTED_VALUE"""),10649.0)</f>
        <v>10649</v>
      </c>
      <c r="D1829" s="11">
        <f>IFERROR(__xludf.DUMMYFUNCTION("""COMPUTED_VALUE"""),1605.0)</f>
        <v>1605</v>
      </c>
      <c r="E1829" s="9"/>
    </row>
    <row r="1830">
      <c r="A1830" s="11">
        <f>IFERROR(__xludf.DUMMYFUNCTION("""COMPUTED_VALUE"""),2021.0)</f>
        <v>2021</v>
      </c>
      <c r="B1830" s="11">
        <f>IFERROR(__xludf.DUMMYFUNCTION("""COMPUTED_VALUE"""),10.0)</f>
        <v>10</v>
      </c>
      <c r="C1830" s="11">
        <f>IFERROR(__xludf.DUMMYFUNCTION("""COMPUTED_VALUE"""),85875.0)</f>
        <v>85875</v>
      </c>
      <c r="D1830" s="11">
        <f>IFERROR(__xludf.DUMMYFUNCTION("""COMPUTED_VALUE"""),648.0)</f>
        <v>648</v>
      </c>
      <c r="E1830" s="9"/>
    </row>
    <row r="1831">
      <c r="A1831" s="11">
        <f>IFERROR(__xludf.DUMMYFUNCTION("""COMPUTED_VALUE"""),2021.0)</f>
        <v>2021</v>
      </c>
      <c r="B1831" s="11">
        <f>IFERROR(__xludf.DUMMYFUNCTION("""COMPUTED_VALUE"""),10.0)</f>
        <v>10</v>
      </c>
      <c r="C1831" s="11">
        <f>IFERROR(__xludf.DUMMYFUNCTION("""COMPUTED_VALUE"""),9136.0)</f>
        <v>9136</v>
      </c>
      <c r="D1831" s="11">
        <f>IFERROR(__xludf.DUMMYFUNCTION("""COMPUTED_VALUE"""),1953.0)</f>
        <v>1953</v>
      </c>
      <c r="E1831" s="9"/>
    </row>
    <row r="1832">
      <c r="A1832" s="11">
        <f>IFERROR(__xludf.DUMMYFUNCTION("""COMPUTED_VALUE"""),2021.0)</f>
        <v>2021</v>
      </c>
      <c r="B1832" s="11">
        <f>IFERROR(__xludf.DUMMYFUNCTION("""COMPUTED_VALUE"""),11.0)</f>
        <v>11</v>
      </c>
      <c r="C1832" s="11">
        <f>IFERROR(__xludf.DUMMYFUNCTION("""COMPUTED_VALUE"""),121835.0)</f>
        <v>121835</v>
      </c>
      <c r="D1832" s="11">
        <f>IFERROR(__xludf.DUMMYFUNCTION("""COMPUTED_VALUE"""),645.0)</f>
        <v>645</v>
      </c>
      <c r="E1832" s="9"/>
    </row>
    <row r="1833">
      <c r="A1833" s="11">
        <f>IFERROR(__xludf.DUMMYFUNCTION("""COMPUTED_VALUE"""),2021.0)</f>
        <v>2021</v>
      </c>
      <c r="B1833" s="11">
        <f>IFERROR(__xludf.DUMMYFUNCTION("""COMPUTED_VALUE"""),10.0)</f>
        <v>10</v>
      </c>
      <c r="C1833" s="11">
        <f>IFERROR(__xludf.DUMMYFUNCTION("""COMPUTED_VALUE"""),113934.0)</f>
        <v>113934</v>
      </c>
      <c r="D1833" s="11">
        <f>IFERROR(__xludf.DUMMYFUNCTION("""COMPUTED_VALUE"""),614.0)</f>
        <v>614</v>
      </c>
      <c r="E1833" s="9"/>
    </row>
    <row r="1834">
      <c r="A1834" s="11">
        <f>IFERROR(__xludf.DUMMYFUNCTION("""COMPUTED_VALUE"""),2021.0)</f>
        <v>2021</v>
      </c>
      <c r="B1834" s="11">
        <f>IFERROR(__xludf.DUMMYFUNCTION("""COMPUTED_VALUE"""),11.0)</f>
        <v>11</v>
      </c>
      <c r="C1834" s="11">
        <f>IFERROR(__xludf.DUMMYFUNCTION("""COMPUTED_VALUE"""),5750.0)</f>
        <v>5750</v>
      </c>
      <c r="D1834" s="11">
        <f>IFERROR(__xludf.DUMMYFUNCTION("""COMPUTED_VALUE"""),1650.0)</f>
        <v>1650</v>
      </c>
      <c r="E1834" s="9"/>
    </row>
    <row r="1835">
      <c r="A1835" s="11">
        <f>IFERROR(__xludf.DUMMYFUNCTION("""COMPUTED_VALUE"""),2021.0)</f>
        <v>2021</v>
      </c>
      <c r="B1835" s="11">
        <f>IFERROR(__xludf.DUMMYFUNCTION("""COMPUTED_VALUE"""),10.0)</f>
        <v>10</v>
      </c>
      <c r="C1835" s="11">
        <f>IFERROR(__xludf.DUMMYFUNCTION("""COMPUTED_VALUE"""),73390.0)</f>
        <v>73390</v>
      </c>
      <c r="D1835" s="11">
        <f>IFERROR(__xludf.DUMMYFUNCTION("""COMPUTED_VALUE"""),714.0)</f>
        <v>714</v>
      </c>
      <c r="E1835" s="9"/>
    </row>
    <row r="1836">
      <c r="A1836" s="11">
        <f>IFERROR(__xludf.DUMMYFUNCTION("""COMPUTED_VALUE"""),2021.0)</f>
        <v>2021</v>
      </c>
      <c r="B1836" s="11">
        <f>IFERROR(__xludf.DUMMYFUNCTION("""COMPUTED_VALUE"""),8.0)</f>
        <v>8</v>
      </c>
      <c r="C1836" s="11">
        <f>IFERROR(__xludf.DUMMYFUNCTION("""COMPUTED_VALUE"""),114251.0)</f>
        <v>114251</v>
      </c>
      <c r="D1836" s="11">
        <f>IFERROR(__xludf.DUMMYFUNCTION("""COMPUTED_VALUE"""),1036.0)</f>
        <v>1036</v>
      </c>
      <c r="E1836" s="9"/>
    </row>
    <row r="1837">
      <c r="A1837" s="11">
        <f>IFERROR(__xludf.DUMMYFUNCTION("""COMPUTED_VALUE"""),2021.0)</f>
        <v>2021</v>
      </c>
      <c r="B1837" s="11">
        <f>IFERROR(__xludf.DUMMYFUNCTION("""COMPUTED_VALUE"""),10.0)</f>
        <v>10</v>
      </c>
      <c r="C1837" s="11">
        <f>IFERROR(__xludf.DUMMYFUNCTION("""COMPUTED_VALUE"""),73392.0)</f>
        <v>73392</v>
      </c>
      <c r="D1837" s="11">
        <f>IFERROR(__xludf.DUMMYFUNCTION("""COMPUTED_VALUE"""),1597.0)</f>
        <v>1597</v>
      </c>
      <c r="E1837" s="9"/>
    </row>
    <row r="1838">
      <c r="A1838" s="11">
        <f>IFERROR(__xludf.DUMMYFUNCTION("""COMPUTED_VALUE"""),2021.0)</f>
        <v>2021</v>
      </c>
      <c r="B1838" s="11">
        <f>IFERROR(__xludf.DUMMYFUNCTION("""COMPUTED_VALUE"""),9.0)</f>
        <v>9</v>
      </c>
      <c r="C1838" s="11">
        <f>IFERROR(__xludf.DUMMYFUNCTION("""COMPUTED_VALUE"""),9128.0)</f>
        <v>9128</v>
      </c>
      <c r="D1838" s="11">
        <f>IFERROR(__xludf.DUMMYFUNCTION("""COMPUTED_VALUE"""),593.0)</f>
        <v>593</v>
      </c>
      <c r="E1838" s="9"/>
    </row>
    <row r="1839">
      <c r="A1839" s="11">
        <f>IFERROR(__xludf.DUMMYFUNCTION("""COMPUTED_VALUE"""),2021.0)</f>
        <v>2021</v>
      </c>
      <c r="B1839" s="11">
        <f>IFERROR(__xludf.DUMMYFUNCTION("""COMPUTED_VALUE"""),10.0)</f>
        <v>10</v>
      </c>
      <c r="C1839" s="11">
        <f>IFERROR(__xludf.DUMMYFUNCTION("""COMPUTED_VALUE"""),122672.0)</f>
        <v>122672</v>
      </c>
      <c r="D1839" s="11">
        <f>IFERROR(__xludf.DUMMYFUNCTION("""COMPUTED_VALUE"""),675.0)</f>
        <v>675</v>
      </c>
      <c r="E1839" s="9"/>
    </row>
    <row r="1840">
      <c r="A1840" s="11">
        <f>IFERROR(__xludf.DUMMYFUNCTION("""COMPUTED_VALUE"""),2021.0)</f>
        <v>2021</v>
      </c>
      <c r="B1840" s="11">
        <f>IFERROR(__xludf.DUMMYFUNCTION("""COMPUTED_VALUE"""),9.0)</f>
        <v>9</v>
      </c>
      <c r="C1840" s="11">
        <f>IFERROR(__xludf.DUMMYFUNCTION("""COMPUTED_VALUE"""),85857.0)</f>
        <v>85857</v>
      </c>
      <c r="D1840" s="11">
        <f>IFERROR(__xludf.DUMMYFUNCTION("""COMPUTED_VALUE"""),889.0)</f>
        <v>889</v>
      </c>
      <c r="E1840" s="9"/>
    </row>
    <row r="1841">
      <c r="A1841" s="11">
        <f>IFERROR(__xludf.DUMMYFUNCTION("""COMPUTED_VALUE"""),2021.0)</f>
        <v>2021</v>
      </c>
      <c r="B1841" s="11">
        <f>IFERROR(__xludf.DUMMYFUNCTION("""COMPUTED_VALUE"""),9.0)</f>
        <v>9</v>
      </c>
      <c r="C1841" s="11">
        <f>IFERROR(__xludf.DUMMYFUNCTION("""COMPUTED_VALUE"""),9129.0)</f>
        <v>9129</v>
      </c>
      <c r="D1841" s="11">
        <f>IFERROR(__xludf.DUMMYFUNCTION("""COMPUTED_VALUE"""),796.0)</f>
        <v>796</v>
      </c>
      <c r="E1841" s="9"/>
    </row>
    <row r="1842">
      <c r="A1842" s="11">
        <f>IFERROR(__xludf.DUMMYFUNCTION("""COMPUTED_VALUE"""),2021.0)</f>
        <v>2021</v>
      </c>
      <c r="B1842" s="11">
        <f>IFERROR(__xludf.DUMMYFUNCTION("""COMPUTED_VALUE"""),11.0)</f>
        <v>11</v>
      </c>
      <c r="C1842" s="11">
        <f>IFERROR(__xludf.DUMMYFUNCTION("""COMPUTED_VALUE"""),162438.0)</f>
        <v>162438</v>
      </c>
      <c r="D1842" s="11">
        <f>IFERROR(__xludf.DUMMYFUNCTION("""COMPUTED_VALUE"""),769.0)</f>
        <v>769</v>
      </c>
      <c r="E1842" s="9"/>
    </row>
    <row r="1843">
      <c r="A1843" s="11">
        <f>IFERROR(__xludf.DUMMYFUNCTION("""COMPUTED_VALUE"""),2021.0)</f>
        <v>2021</v>
      </c>
      <c r="B1843" s="11">
        <f>IFERROR(__xludf.DUMMYFUNCTION("""COMPUTED_VALUE"""),9.0)</f>
        <v>9</v>
      </c>
      <c r="C1843" s="11">
        <f>IFERROR(__xludf.DUMMYFUNCTION("""COMPUTED_VALUE"""),73391.0)</f>
        <v>73391</v>
      </c>
      <c r="D1843" s="11">
        <f>IFERROR(__xludf.DUMMYFUNCTION("""COMPUTED_VALUE"""),284.0)</f>
        <v>284</v>
      </c>
      <c r="E1843" s="9"/>
    </row>
    <row r="1844">
      <c r="A1844" s="11">
        <f>IFERROR(__xludf.DUMMYFUNCTION("""COMPUTED_VALUE"""),2021.0)</f>
        <v>2021</v>
      </c>
      <c r="B1844" s="11">
        <f>IFERROR(__xludf.DUMMYFUNCTION("""COMPUTED_VALUE"""),9.0)</f>
        <v>9</v>
      </c>
      <c r="C1844" s="11">
        <f>IFERROR(__xludf.DUMMYFUNCTION("""COMPUTED_VALUE"""),46428.0)</f>
        <v>46428</v>
      </c>
      <c r="D1844" s="11">
        <f>IFERROR(__xludf.DUMMYFUNCTION("""COMPUTED_VALUE"""),736.0)</f>
        <v>736</v>
      </c>
      <c r="E1844" s="9"/>
    </row>
    <row r="1845">
      <c r="A1845" s="11">
        <f>IFERROR(__xludf.DUMMYFUNCTION("""COMPUTED_VALUE"""),2021.0)</f>
        <v>2021</v>
      </c>
      <c r="B1845" s="11">
        <f>IFERROR(__xludf.DUMMYFUNCTION("""COMPUTED_VALUE"""),8.0)</f>
        <v>8</v>
      </c>
      <c r="C1845" s="11">
        <f>IFERROR(__xludf.DUMMYFUNCTION("""COMPUTED_VALUE"""),85861.0)</f>
        <v>85861</v>
      </c>
      <c r="D1845" s="11">
        <f>IFERROR(__xludf.DUMMYFUNCTION("""COMPUTED_VALUE"""),1297.0)</f>
        <v>1297</v>
      </c>
      <c r="E1845" s="9"/>
    </row>
    <row r="1846">
      <c r="A1846" s="11">
        <f>IFERROR(__xludf.DUMMYFUNCTION("""COMPUTED_VALUE"""),2021.0)</f>
        <v>2021</v>
      </c>
      <c r="B1846" s="11">
        <f>IFERROR(__xludf.DUMMYFUNCTION("""COMPUTED_VALUE"""),11.0)</f>
        <v>11</v>
      </c>
      <c r="C1846" s="11">
        <f>IFERROR(__xludf.DUMMYFUNCTION("""COMPUTED_VALUE"""),69324.0)</f>
        <v>69324</v>
      </c>
      <c r="D1846" s="11">
        <f>IFERROR(__xludf.DUMMYFUNCTION("""COMPUTED_VALUE"""),1124.0)</f>
        <v>1124</v>
      </c>
      <c r="E1846" s="9"/>
    </row>
    <row r="1847">
      <c r="A1847" s="11">
        <f>IFERROR(__xludf.DUMMYFUNCTION("""COMPUTED_VALUE"""),2021.0)</f>
        <v>2021</v>
      </c>
      <c r="B1847" s="11">
        <f>IFERROR(__xludf.DUMMYFUNCTION("""COMPUTED_VALUE"""),8.0)</f>
        <v>8</v>
      </c>
      <c r="C1847" s="11">
        <f>IFERROR(__xludf.DUMMYFUNCTION("""COMPUTED_VALUE"""),122618.0)</f>
        <v>122618</v>
      </c>
      <c r="D1847" s="11">
        <f>IFERROR(__xludf.DUMMYFUNCTION("""COMPUTED_VALUE"""),1146.0)</f>
        <v>1146</v>
      </c>
      <c r="E1847" s="9"/>
    </row>
    <row r="1848">
      <c r="A1848" s="11">
        <f>IFERROR(__xludf.DUMMYFUNCTION("""COMPUTED_VALUE"""),2021.0)</f>
        <v>2021</v>
      </c>
      <c r="B1848" s="11">
        <f>IFERROR(__xludf.DUMMYFUNCTION("""COMPUTED_VALUE"""),10.0)</f>
        <v>10</v>
      </c>
      <c r="C1848" s="11">
        <f>IFERROR(__xludf.DUMMYFUNCTION("""COMPUTED_VALUE"""),99312.0)</f>
        <v>99312</v>
      </c>
      <c r="D1848" s="11">
        <f>IFERROR(__xludf.DUMMYFUNCTION("""COMPUTED_VALUE"""),845.0)</f>
        <v>845</v>
      </c>
      <c r="E1848" s="9"/>
    </row>
    <row r="1849">
      <c r="A1849" s="11">
        <f>IFERROR(__xludf.DUMMYFUNCTION("""COMPUTED_VALUE"""),2021.0)</f>
        <v>2021</v>
      </c>
      <c r="B1849" s="11">
        <f>IFERROR(__xludf.DUMMYFUNCTION("""COMPUTED_VALUE"""),11.0)</f>
        <v>11</v>
      </c>
      <c r="C1849" s="11">
        <f>IFERROR(__xludf.DUMMYFUNCTION("""COMPUTED_VALUE"""),113932.0)</f>
        <v>113932</v>
      </c>
      <c r="D1849" s="11">
        <f>IFERROR(__xludf.DUMMYFUNCTION("""COMPUTED_VALUE"""),896.0)</f>
        <v>896</v>
      </c>
      <c r="E1849" s="9"/>
    </row>
    <row r="1850">
      <c r="A1850" s="11">
        <f>IFERROR(__xludf.DUMMYFUNCTION("""COMPUTED_VALUE"""),2021.0)</f>
        <v>2021</v>
      </c>
      <c r="B1850" s="11">
        <f>IFERROR(__xludf.DUMMYFUNCTION("""COMPUTED_VALUE"""),11.0)</f>
        <v>11</v>
      </c>
      <c r="C1850" s="11">
        <f>IFERROR(__xludf.DUMMYFUNCTION("""COMPUTED_VALUE"""),5751.0)</f>
        <v>5751</v>
      </c>
      <c r="D1850" s="11">
        <f>IFERROR(__xludf.DUMMYFUNCTION("""COMPUTED_VALUE"""),220.0)</f>
        <v>220</v>
      </c>
      <c r="E1850" s="9"/>
    </row>
    <row r="1851">
      <c r="A1851" s="11">
        <f>IFERROR(__xludf.DUMMYFUNCTION("""COMPUTED_VALUE"""),2021.0)</f>
        <v>2021</v>
      </c>
      <c r="B1851" s="11">
        <f>IFERROR(__xludf.DUMMYFUNCTION("""COMPUTED_VALUE"""),10.0)</f>
        <v>10</v>
      </c>
      <c r="C1851" s="11">
        <f>IFERROR(__xludf.DUMMYFUNCTION("""COMPUTED_VALUE"""),85885.0)</f>
        <v>85885</v>
      </c>
      <c r="D1851" s="11">
        <f>IFERROR(__xludf.DUMMYFUNCTION("""COMPUTED_VALUE"""),515.0)</f>
        <v>515</v>
      </c>
      <c r="E1851" s="9"/>
    </row>
    <row r="1852">
      <c r="A1852" s="11">
        <f>IFERROR(__xludf.DUMMYFUNCTION("""COMPUTED_VALUE"""),2021.0)</f>
        <v>2021</v>
      </c>
      <c r="B1852" s="11">
        <f>IFERROR(__xludf.DUMMYFUNCTION("""COMPUTED_VALUE"""),9.0)</f>
        <v>9</v>
      </c>
      <c r="C1852" s="11">
        <f>IFERROR(__xludf.DUMMYFUNCTION("""COMPUTED_VALUE"""),87877.0)</f>
        <v>87877</v>
      </c>
      <c r="D1852" s="11">
        <f>IFERROR(__xludf.DUMMYFUNCTION("""COMPUTED_VALUE"""),1416.0)</f>
        <v>1416</v>
      </c>
      <c r="E1852" s="9"/>
    </row>
    <row r="1853">
      <c r="A1853" s="11">
        <f>IFERROR(__xludf.DUMMYFUNCTION("""COMPUTED_VALUE"""),2021.0)</f>
        <v>2021</v>
      </c>
      <c r="B1853" s="11">
        <f>IFERROR(__xludf.DUMMYFUNCTION("""COMPUTED_VALUE"""),9.0)</f>
        <v>9</v>
      </c>
      <c r="C1853" s="11">
        <f>IFERROR(__xludf.DUMMYFUNCTION("""COMPUTED_VALUE"""),197150.0)</f>
        <v>197150</v>
      </c>
      <c r="D1853" s="11">
        <f>IFERROR(__xludf.DUMMYFUNCTION("""COMPUTED_VALUE"""),489.0)</f>
        <v>489</v>
      </c>
      <c r="E1853" s="9"/>
    </row>
    <row r="1854">
      <c r="A1854" s="11">
        <f>IFERROR(__xludf.DUMMYFUNCTION("""COMPUTED_VALUE"""),2021.0)</f>
        <v>2021</v>
      </c>
      <c r="B1854" s="11">
        <f>IFERROR(__xludf.DUMMYFUNCTION("""COMPUTED_VALUE"""),11.0)</f>
        <v>11</v>
      </c>
      <c r="C1854" s="11">
        <f>IFERROR(__xludf.DUMMYFUNCTION("""COMPUTED_VALUE"""),87878.0)</f>
        <v>87878</v>
      </c>
      <c r="D1854" s="11">
        <f>IFERROR(__xludf.DUMMYFUNCTION("""COMPUTED_VALUE"""),1640.0)</f>
        <v>1640</v>
      </c>
      <c r="E1854" s="9"/>
    </row>
    <row r="1855">
      <c r="A1855" s="11">
        <f>IFERROR(__xludf.DUMMYFUNCTION("""COMPUTED_VALUE"""),2021.0)</f>
        <v>2021</v>
      </c>
      <c r="B1855" s="11">
        <f>IFERROR(__xludf.DUMMYFUNCTION("""COMPUTED_VALUE"""),9.0)</f>
        <v>9</v>
      </c>
      <c r="C1855" s="11">
        <f>IFERROR(__xludf.DUMMYFUNCTION("""COMPUTED_VALUE"""),122166.0)</f>
        <v>122166</v>
      </c>
      <c r="D1855" s="11">
        <f>IFERROR(__xludf.DUMMYFUNCTION("""COMPUTED_VALUE"""),1874.0)</f>
        <v>1874</v>
      </c>
      <c r="E1855" s="9"/>
    </row>
    <row r="1856">
      <c r="A1856" s="11">
        <f>IFERROR(__xludf.DUMMYFUNCTION("""COMPUTED_VALUE"""),2021.0)</f>
        <v>2021</v>
      </c>
      <c r="B1856" s="11">
        <f>IFERROR(__xludf.DUMMYFUNCTION("""COMPUTED_VALUE"""),8.0)</f>
        <v>8</v>
      </c>
      <c r="C1856" s="11">
        <f>IFERROR(__xludf.DUMMYFUNCTION("""COMPUTED_VALUE"""),122617.0)</f>
        <v>122617</v>
      </c>
      <c r="D1856" s="11">
        <f>IFERROR(__xludf.DUMMYFUNCTION("""COMPUTED_VALUE"""),21.0)</f>
        <v>21</v>
      </c>
      <c r="E1856" s="9"/>
    </row>
    <row r="1857">
      <c r="A1857" s="11">
        <f>IFERROR(__xludf.DUMMYFUNCTION("""COMPUTED_VALUE"""),2021.0)</f>
        <v>2021</v>
      </c>
      <c r="B1857" s="11">
        <f>IFERROR(__xludf.DUMMYFUNCTION("""COMPUTED_VALUE"""),10.0)</f>
        <v>10</v>
      </c>
      <c r="C1857" s="11">
        <f>IFERROR(__xludf.DUMMYFUNCTION("""COMPUTED_VALUE"""),118590.0)</f>
        <v>118590</v>
      </c>
      <c r="D1857" s="11">
        <f>IFERROR(__xludf.DUMMYFUNCTION("""COMPUTED_VALUE"""),1314.0)</f>
        <v>1314</v>
      </c>
      <c r="E1857" s="9"/>
    </row>
    <row r="1858">
      <c r="A1858" s="11">
        <f>IFERROR(__xludf.DUMMYFUNCTION("""COMPUTED_VALUE"""),2021.0)</f>
        <v>2021</v>
      </c>
      <c r="B1858" s="11">
        <f>IFERROR(__xludf.DUMMYFUNCTION("""COMPUTED_VALUE"""),9.0)</f>
        <v>9</v>
      </c>
      <c r="C1858" s="11">
        <f>IFERROR(__xludf.DUMMYFUNCTION("""COMPUTED_VALUE"""),122366.0)</f>
        <v>122366</v>
      </c>
      <c r="D1858" s="11">
        <f>IFERROR(__xludf.DUMMYFUNCTION("""COMPUTED_VALUE"""),927.0)</f>
        <v>927</v>
      </c>
      <c r="E1858" s="9"/>
    </row>
    <row r="1859">
      <c r="A1859" s="11">
        <f>IFERROR(__xludf.DUMMYFUNCTION("""COMPUTED_VALUE"""),2021.0)</f>
        <v>2021</v>
      </c>
      <c r="B1859" s="11">
        <f>IFERROR(__xludf.DUMMYFUNCTION("""COMPUTED_VALUE"""),8.0)</f>
        <v>8</v>
      </c>
      <c r="C1859" s="11">
        <f>IFERROR(__xludf.DUMMYFUNCTION("""COMPUTED_VALUE"""),83001.0)</f>
        <v>83001</v>
      </c>
      <c r="D1859" s="11">
        <f>IFERROR(__xludf.DUMMYFUNCTION("""COMPUTED_VALUE"""),1504.0)</f>
        <v>1504</v>
      </c>
      <c r="E1859" s="9"/>
    </row>
    <row r="1860">
      <c r="A1860" s="11">
        <f>IFERROR(__xludf.DUMMYFUNCTION("""COMPUTED_VALUE"""),2021.0)</f>
        <v>2021</v>
      </c>
      <c r="B1860" s="11">
        <f>IFERROR(__xludf.DUMMYFUNCTION("""COMPUTED_VALUE"""),9.0)</f>
        <v>9</v>
      </c>
      <c r="C1860" s="11">
        <f>IFERROR(__xludf.DUMMYFUNCTION("""COMPUTED_VALUE"""),118594.0)</f>
        <v>118594</v>
      </c>
      <c r="D1860" s="11">
        <f>IFERROR(__xludf.DUMMYFUNCTION("""COMPUTED_VALUE"""),325.0)</f>
        <v>325</v>
      </c>
      <c r="E1860" s="9"/>
    </row>
    <row r="1861">
      <c r="A1861" s="11">
        <f>IFERROR(__xludf.DUMMYFUNCTION("""COMPUTED_VALUE"""),2021.0)</f>
        <v>2021</v>
      </c>
      <c r="B1861" s="11">
        <f>IFERROR(__xludf.DUMMYFUNCTION("""COMPUTED_VALUE"""),8.0)</f>
        <v>8</v>
      </c>
      <c r="C1861" s="11">
        <f>IFERROR(__xludf.DUMMYFUNCTION("""COMPUTED_VALUE"""),85881.0)</f>
        <v>85881</v>
      </c>
      <c r="D1861" s="11">
        <f>IFERROR(__xludf.DUMMYFUNCTION("""COMPUTED_VALUE"""),1950.0)</f>
        <v>1950</v>
      </c>
      <c r="E1861" s="9"/>
    </row>
    <row r="1862">
      <c r="A1862" s="11">
        <f>IFERROR(__xludf.DUMMYFUNCTION("""COMPUTED_VALUE"""),2021.0)</f>
        <v>2021</v>
      </c>
      <c r="B1862" s="11">
        <f>IFERROR(__xludf.DUMMYFUNCTION("""COMPUTED_VALUE"""),8.0)</f>
        <v>8</v>
      </c>
      <c r="C1862" s="11">
        <f>IFERROR(__xludf.DUMMYFUNCTION("""COMPUTED_VALUE"""),10655.0)</f>
        <v>10655</v>
      </c>
      <c r="D1862" s="11">
        <f>IFERROR(__xludf.DUMMYFUNCTION("""COMPUTED_VALUE"""),1796.0)</f>
        <v>1796</v>
      </c>
      <c r="E1862" s="9"/>
    </row>
    <row r="1863">
      <c r="A1863" s="11">
        <f>IFERROR(__xludf.DUMMYFUNCTION("""COMPUTED_VALUE"""),2021.0)</f>
        <v>2021</v>
      </c>
      <c r="B1863" s="11">
        <f>IFERROR(__xludf.DUMMYFUNCTION("""COMPUTED_VALUE"""),9.0)</f>
        <v>9</v>
      </c>
      <c r="C1863" s="11">
        <f>IFERROR(__xludf.DUMMYFUNCTION("""COMPUTED_VALUE"""),121606.0)</f>
        <v>121606</v>
      </c>
      <c r="D1863" s="11">
        <f>IFERROR(__xludf.DUMMYFUNCTION("""COMPUTED_VALUE"""),1202.0)</f>
        <v>1202</v>
      </c>
      <c r="E1863" s="9"/>
    </row>
    <row r="1864">
      <c r="A1864" s="11">
        <f>IFERROR(__xludf.DUMMYFUNCTION("""COMPUTED_VALUE"""),2021.0)</f>
        <v>2021</v>
      </c>
      <c r="B1864" s="11">
        <f>IFERROR(__xludf.DUMMYFUNCTION("""COMPUTED_VALUE"""),9.0)</f>
        <v>9</v>
      </c>
      <c r="C1864" s="11">
        <f>IFERROR(__xludf.DUMMYFUNCTION("""COMPUTED_VALUE"""),13341.0)</f>
        <v>13341</v>
      </c>
      <c r="D1864" s="11">
        <f>IFERROR(__xludf.DUMMYFUNCTION("""COMPUTED_VALUE"""),815.0)</f>
        <v>815</v>
      </c>
      <c r="E1864" s="9"/>
    </row>
    <row r="1865">
      <c r="A1865" s="11">
        <f>IFERROR(__xludf.DUMMYFUNCTION("""COMPUTED_VALUE"""),2021.0)</f>
        <v>2021</v>
      </c>
      <c r="B1865" s="11">
        <f>IFERROR(__xludf.DUMMYFUNCTION("""COMPUTED_VALUE"""),11.0)</f>
        <v>11</v>
      </c>
      <c r="C1865" s="11">
        <f>IFERROR(__xludf.DUMMYFUNCTION("""COMPUTED_VALUE"""),122631.0)</f>
        <v>122631</v>
      </c>
      <c r="D1865" s="11">
        <f>IFERROR(__xludf.DUMMYFUNCTION("""COMPUTED_VALUE"""),1365.0)</f>
        <v>1365</v>
      </c>
      <c r="E1865" s="9"/>
    </row>
    <row r="1866">
      <c r="A1866" s="11">
        <f>IFERROR(__xludf.DUMMYFUNCTION("""COMPUTED_VALUE"""),2021.0)</f>
        <v>2021</v>
      </c>
      <c r="B1866" s="11">
        <f>IFERROR(__xludf.DUMMYFUNCTION("""COMPUTED_VALUE"""),8.0)</f>
        <v>8</v>
      </c>
      <c r="C1866" s="11">
        <f>IFERROR(__xludf.DUMMYFUNCTION("""COMPUTED_VALUE"""),189132.0)</f>
        <v>189132</v>
      </c>
      <c r="D1866" s="11">
        <f>IFERROR(__xludf.DUMMYFUNCTION("""COMPUTED_VALUE"""),785.0)</f>
        <v>785</v>
      </c>
      <c r="E1866" s="9"/>
    </row>
    <row r="1867">
      <c r="A1867" s="11">
        <f>IFERROR(__xludf.DUMMYFUNCTION("""COMPUTED_VALUE"""),2021.0)</f>
        <v>2021</v>
      </c>
      <c r="B1867" s="11">
        <f>IFERROR(__xludf.DUMMYFUNCTION("""COMPUTED_VALUE"""),9.0)</f>
        <v>9</v>
      </c>
      <c r="C1867" s="11">
        <f>IFERROR(__xludf.DUMMYFUNCTION("""COMPUTED_VALUE"""),87876.0)</f>
        <v>87876</v>
      </c>
      <c r="D1867" s="11">
        <f>IFERROR(__xludf.DUMMYFUNCTION("""COMPUTED_VALUE"""),178.0)</f>
        <v>178</v>
      </c>
      <c r="E1867" s="9"/>
    </row>
    <row r="1868">
      <c r="A1868" s="11">
        <f>IFERROR(__xludf.DUMMYFUNCTION("""COMPUTED_VALUE"""),2021.0)</f>
        <v>2021</v>
      </c>
      <c r="B1868" s="11">
        <f>IFERROR(__xludf.DUMMYFUNCTION("""COMPUTED_VALUE"""),8.0)</f>
        <v>8</v>
      </c>
      <c r="C1868" s="11">
        <f>IFERROR(__xludf.DUMMYFUNCTION("""COMPUTED_VALUE"""),26094.0)</f>
        <v>26094</v>
      </c>
      <c r="D1868" s="11">
        <f>IFERROR(__xludf.DUMMYFUNCTION("""COMPUTED_VALUE"""),182.0)</f>
        <v>182</v>
      </c>
      <c r="E1868" s="9"/>
    </row>
    <row r="1869">
      <c r="A1869" s="11">
        <f>IFERROR(__xludf.DUMMYFUNCTION("""COMPUTED_VALUE"""),2021.0)</f>
        <v>2021</v>
      </c>
      <c r="B1869" s="11">
        <f>IFERROR(__xludf.DUMMYFUNCTION("""COMPUTED_VALUE"""),8.0)</f>
        <v>8</v>
      </c>
      <c r="C1869" s="11">
        <f>IFERROR(__xludf.DUMMYFUNCTION("""COMPUTED_VALUE"""),189129.0)</f>
        <v>189129</v>
      </c>
      <c r="D1869" s="11">
        <f>IFERROR(__xludf.DUMMYFUNCTION("""COMPUTED_VALUE"""),1604.0)</f>
        <v>1604</v>
      </c>
      <c r="E1869" s="9"/>
    </row>
    <row r="1870">
      <c r="A1870" s="11">
        <f>IFERROR(__xludf.DUMMYFUNCTION("""COMPUTED_VALUE"""),2021.0)</f>
        <v>2021</v>
      </c>
      <c r="B1870" s="11">
        <f>IFERROR(__xludf.DUMMYFUNCTION("""COMPUTED_VALUE"""),10.0)</f>
        <v>10</v>
      </c>
      <c r="C1870" s="11">
        <f>IFERROR(__xludf.DUMMYFUNCTION("""COMPUTED_VALUE"""),10654.0)</f>
        <v>10654</v>
      </c>
      <c r="D1870" s="11">
        <f>IFERROR(__xludf.DUMMYFUNCTION("""COMPUTED_VALUE"""),663.0)</f>
        <v>663</v>
      </c>
      <c r="E1870" s="9"/>
    </row>
    <row r="1871">
      <c r="A1871" s="11">
        <f>IFERROR(__xludf.DUMMYFUNCTION("""COMPUTED_VALUE"""),2021.0)</f>
        <v>2021</v>
      </c>
      <c r="B1871" s="11">
        <f>IFERROR(__xludf.DUMMYFUNCTION("""COMPUTED_VALUE"""),10.0)</f>
        <v>10</v>
      </c>
      <c r="C1871" s="11">
        <f>IFERROR(__xludf.DUMMYFUNCTION("""COMPUTED_VALUE"""),5754.0)</f>
        <v>5754</v>
      </c>
      <c r="D1871" s="11">
        <f>IFERROR(__xludf.DUMMYFUNCTION("""COMPUTED_VALUE"""),1242.0)</f>
        <v>1242</v>
      </c>
      <c r="E1871" s="9"/>
    </row>
    <row r="1872">
      <c r="A1872" s="11">
        <f>IFERROR(__xludf.DUMMYFUNCTION("""COMPUTED_VALUE"""),2021.0)</f>
        <v>2021</v>
      </c>
      <c r="B1872" s="11">
        <f>IFERROR(__xludf.DUMMYFUNCTION("""COMPUTED_VALUE"""),11.0)</f>
        <v>11</v>
      </c>
      <c r="C1872" s="11">
        <f>IFERROR(__xludf.DUMMYFUNCTION("""COMPUTED_VALUE"""),10648.0)</f>
        <v>10648</v>
      </c>
      <c r="D1872" s="11">
        <f>IFERROR(__xludf.DUMMYFUNCTION("""COMPUTED_VALUE"""),1497.0)</f>
        <v>1497</v>
      </c>
      <c r="E1872" s="9"/>
    </row>
    <row r="1873">
      <c r="A1873" s="11">
        <f>IFERROR(__xludf.DUMMYFUNCTION("""COMPUTED_VALUE"""),2021.0)</f>
        <v>2021</v>
      </c>
      <c r="B1873" s="11">
        <f>IFERROR(__xludf.DUMMYFUNCTION("""COMPUTED_VALUE"""),9.0)</f>
        <v>9</v>
      </c>
      <c r="C1873" s="11">
        <f>IFERROR(__xludf.DUMMYFUNCTION("""COMPUTED_VALUE"""),114947.0)</f>
        <v>114947</v>
      </c>
      <c r="D1873" s="11">
        <f>IFERROR(__xludf.DUMMYFUNCTION("""COMPUTED_VALUE"""),660.0)</f>
        <v>660</v>
      </c>
      <c r="E1873" s="9"/>
    </row>
    <row r="1874">
      <c r="A1874" s="11">
        <f>IFERROR(__xludf.DUMMYFUNCTION("""COMPUTED_VALUE"""),2021.0)</f>
        <v>2021</v>
      </c>
      <c r="B1874" s="11">
        <f>IFERROR(__xludf.DUMMYFUNCTION("""COMPUTED_VALUE"""),11.0)</f>
        <v>11</v>
      </c>
      <c r="C1874" s="11">
        <f>IFERROR(__xludf.DUMMYFUNCTION("""COMPUTED_VALUE"""),44728.0)</f>
        <v>44728</v>
      </c>
      <c r="D1874" s="11">
        <f>IFERROR(__xludf.DUMMYFUNCTION("""COMPUTED_VALUE"""),1078.0)</f>
        <v>1078</v>
      </c>
      <c r="E1874" s="9"/>
    </row>
    <row r="1875">
      <c r="A1875" s="11">
        <f>IFERROR(__xludf.DUMMYFUNCTION("""COMPUTED_VALUE"""),2021.0)</f>
        <v>2021</v>
      </c>
      <c r="B1875" s="11">
        <f>IFERROR(__xludf.DUMMYFUNCTION("""COMPUTED_VALUE"""),8.0)</f>
        <v>8</v>
      </c>
      <c r="C1875" s="11">
        <f>IFERROR(__xludf.DUMMYFUNCTION("""COMPUTED_VALUE"""),120709.0)</f>
        <v>120709</v>
      </c>
      <c r="D1875" s="11">
        <f>IFERROR(__xludf.DUMMYFUNCTION("""COMPUTED_VALUE"""),241.0)</f>
        <v>241</v>
      </c>
      <c r="E1875" s="9"/>
    </row>
    <row r="1876">
      <c r="A1876" s="11">
        <f>IFERROR(__xludf.DUMMYFUNCTION("""COMPUTED_VALUE"""),2021.0)</f>
        <v>2021</v>
      </c>
      <c r="B1876" s="11">
        <f>IFERROR(__xludf.DUMMYFUNCTION("""COMPUTED_VALUE"""),9.0)</f>
        <v>9</v>
      </c>
      <c r="C1876" s="11">
        <f>IFERROR(__xludf.DUMMYFUNCTION("""COMPUTED_VALUE"""),114949.0)</f>
        <v>114949</v>
      </c>
      <c r="D1876" s="11">
        <f>IFERROR(__xludf.DUMMYFUNCTION("""COMPUTED_VALUE"""),1126.0)</f>
        <v>1126</v>
      </c>
      <c r="E1876" s="9"/>
    </row>
    <row r="1877">
      <c r="A1877" s="11">
        <f>IFERROR(__xludf.DUMMYFUNCTION("""COMPUTED_VALUE"""),2021.0)</f>
        <v>2021</v>
      </c>
      <c r="B1877" s="11">
        <f>IFERROR(__xludf.DUMMYFUNCTION("""COMPUTED_VALUE"""),9.0)</f>
        <v>9</v>
      </c>
      <c r="C1877" s="11">
        <f>IFERROR(__xludf.DUMMYFUNCTION("""COMPUTED_VALUE"""),48706.0)</f>
        <v>48706</v>
      </c>
      <c r="D1877" s="11">
        <f>IFERROR(__xludf.DUMMYFUNCTION("""COMPUTED_VALUE"""),96.0)</f>
        <v>96</v>
      </c>
      <c r="E1877" s="9"/>
    </row>
    <row r="1878">
      <c r="A1878" s="11">
        <f>IFERROR(__xludf.DUMMYFUNCTION("""COMPUTED_VALUE"""),2021.0)</f>
        <v>2021</v>
      </c>
      <c r="B1878" s="11">
        <f>IFERROR(__xludf.DUMMYFUNCTION("""COMPUTED_VALUE"""),9.0)</f>
        <v>9</v>
      </c>
      <c r="C1878" s="11">
        <f>IFERROR(__xludf.DUMMYFUNCTION("""COMPUTED_VALUE"""),78411.0)</f>
        <v>78411</v>
      </c>
      <c r="D1878" s="11">
        <f>IFERROR(__xludf.DUMMYFUNCTION("""COMPUTED_VALUE"""),1395.0)</f>
        <v>1395</v>
      </c>
      <c r="E1878" s="9"/>
    </row>
    <row r="1879">
      <c r="A1879" s="11">
        <f>IFERROR(__xludf.DUMMYFUNCTION("""COMPUTED_VALUE"""),2021.0)</f>
        <v>2021</v>
      </c>
      <c r="B1879" s="11">
        <f>IFERROR(__xludf.DUMMYFUNCTION("""COMPUTED_VALUE"""),8.0)</f>
        <v>8</v>
      </c>
      <c r="C1879" s="11">
        <f>IFERROR(__xludf.DUMMYFUNCTION("""COMPUTED_VALUE"""),120016.0)</f>
        <v>120016</v>
      </c>
      <c r="D1879" s="11">
        <f>IFERROR(__xludf.DUMMYFUNCTION("""COMPUTED_VALUE"""),1617.0)</f>
        <v>1617</v>
      </c>
      <c r="E1879" s="9"/>
    </row>
    <row r="1880">
      <c r="A1880" s="11">
        <f>IFERROR(__xludf.DUMMYFUNCTION("""COMPUTED_VALUE"""),2021.0)</f>
        <v>2021</v>
      </c>
      <c r="B1880" s="11">
        <f>IFERROR(__xludf.DUMMYFUNCTION("""COMPUTED_VALUE"""),10.0)</f>
        <v>10</v>
      </c>
      <c r="C1880" s="11">
        <f>IFERROR(__xludf.DUMMYFUNCTION("""COMPUTED_VALUE"""),120710.0)</f>
        <v>120710</v>
      </c>
      <c r="D1880" s="11">
        <f>IFERROR(__xludf.DUMMYFUNCTION("""COMPUTED_VALUE"""),350.0)</f>
        <v>350</v>
      </c>
      <c r="E1880" s="9"/>
    </row>
    <row r="1881">
      <c r="A1881" s="11">
        <f>IFERROR(__xludf.DUMMYFUNCTION("""COMPUTED_VALUE"""),2021.0)</f>
        <v>2021</v>
      </c>
      <c r="B1881" s="11">
        <f>IFERROR(__xludf.DUMMYFUNCTION("""COMPUTED_VALUE"""),8.0)</f>
        <v>8</v>
      </c>
      <c r="C1881" s="11">
        <f>IFERROR(__xludf.DUMMYFUNCTION("""COMPUTED_VALUE"""),48705.0)</f>
        <v>48705</v>
      </c>
      <c r="D1881" s="11">
        <f>IFERROR(__xludf.DUMMYFUNCTION("""COMPUTED_VALUE"""),1495.0)</f>
        <v>1495</v>
      </c>
      <c r="E1881" s="9"/>
    </row>
    <row r="1882">
      <c r="A1882" s="11">
        <f>IFERROR(__xludf.DUMMYFUNCTION("""COMPUTED_VALUE"""),2021.0)</f>
        <v>2021</v>
      </c>
      <c r="B1882" s="11">
        <f>IFERROR(__xludf.DUMMYFUNCTION("""COMPUTED_VALUE"""),8.0)</f>
        <v>8</v>
      </c>
      <c r="C1882" s="11">
        <f>IFERROR(__xludf.DUMMYFUNCTION("""COMPUTED_VALUE"""),114948.0)</f>
        <v>114948</v>
      </c>
      <c r="D1882" s="11">
        <f>IFERROR(__xludf.DUMMYFUNCTION("""COMPUTED_VALUE"""),204.0)</f>
        <v>204</v>
      </c>
      <c r="E1882" s="9"/>
    </row>
    <row r="1883">
      <c r="A1883" s="11">
        <f>IFERROR(__xludf.DUMMYFUNCTION("""COMPUTED_VALUE"""),2021.0)</f>
        <v>2021</v>
      </c>
      <c r="B1883" s="11">
        <f>IFERROR(__xludf.DUMMYFUNCTION("""COMPUTED_VALUE"""),8.0)</f>
        <v>8</v>
      </c>
      <c r="C1883" s="11">
        <f>IFERROR(__xludf.DUMMYFUNCTION("""COMPUTED_VALUE"""),117330.0)</f>
        <v>117330</v>
      </c>
      <c r="D1883" s="11">
        <f>IFERROR(__xludf.DUMMYFUNCTION("""COMPUTED_VALUE"""),1121.0)</f>
        <v>1121</v>
      </c>
      <c r="E1883" s="9"/>
    </row>
    <row r="1884">
      <c r="A1884" s="11">
        <f>IFERROR(__xludf.DUMMYFUNCTION("""COMPUTED_VALUE"""),2021.0)</f>
        <v>2021</v>
      </c>
      <c r="B1884" s="11">
        <f>IFERROR(__xludf.DUMMYFUNCTION("""COMPUTED_VALUE"""),8.0)</f>
        <v>8</v>
      </c>
      <c r="C1884" s="11">
        <f>IFERROR(__xludf.DUMMYFUNCTION("""COMPUTED_VALUE"""),89665.0)</f>
        <v>89665</v>
      </c>
      <c r="D1884" s="11">
        <f>IFERROR(__xludf.DUMMYFUNCTION("""COMPUTED_VALUE"""),1646.0)</f>
        <v>1646</v>
      </c>
      <c r="E1884" s="9"/>
    </row>
    <row r="1885">
      <c r="A1885" s="11">
        <f>IFERROR(__xludf.DUMMYFUNCTION("""COMPUTED_VALUE"""),2021.0)</f>
        <v>2021</v>
      </c>
      <c r="B1885" s="11">
        <f>IFERROR(__xludf.DUMMYFUNCTION("""COMPUTED_VALUE"""),9.0)</f>
        <v>9</v>
      </c>
      <c r="C1885" s="11">
        <f>IFERROR(__xludf.DUMMYFUNCTION("""COMPUTED_VALUE"""),89450.0)</f>
        <v>89450</v>
      </c>
      <c r="D1885" s="11">
        <f>IFERROR(__xludf.DUMMYFUNCTION("""COMPUTED_VALUE"""),1432.0)</f>
        <v>1432</v>
      </c>
      <c r="E1885" s="9"/>
    </row>
    <row r="1886">
      <c r="A1886" s="11">
        <f>IFERROR(__xludf.DUMMYFUNCTION("""COMPUTED_VALUE"""),2021.0)</f>
        <v>2021</v>
      </c>
      <c r="B1886" s="11">
        <f>IFERROR(__xludf.DUMMYFUNCTION("""COMPUTED_VALUE"""),8.0)</f>
        <v>8</v>
      </c>
      <c r="C1886" s="11">
        <f>IFERROR(__xludf.DUMMYFUNCTION("""COMPUTED_VALUE"""),72080.0)</f>
        <v>72080</v>
      </c>
      <c r="D1886" s="11">
        <f>IFERROR(__xludf.DUMMYFUNCTION("""COMPUTED_VALUE"""),347.0)</f>
        <v>347</v>
      </c>
      <c r="E1886" s="9"/>
    </row>
    <row r="1887">
      <c r="A1887" s="11">
        <f>IFERROR(__xludf.DUMMYFUNCTION("""COMPUTED_VALUE"""),2021.0)</f>
        <v>2021</v>
      </c>
      <c r="B1887" s="11">
        <f>IFERROR(__xludf.DUMMYFUNCTION("""COMPUTED_VALUE"""),10.0)</f>
        <v>10</v>
      </c>
      <c r="C1887" s="11">
        <f>IFERROR(__xludf.DUMMYFUNCTION("""COMPUTED_VALUE"""),72086.0)</f>
        <v>72086</v>
      </c>
      <c r="D1887" s="11">
        <f>IFERROR(__xludf.DUMMYFUNCTION("""COMPUTED_VALUE"""),1229.0)</f>
        <v>1229</v>
      </c>
      <c r="E1887" s="9"/>
    </row>
    <row r="1888">
      <c r="A1888" s="11">
        <f>IFERROR(__xludf.DUMMYFUNCTION("""COMPUTED_VALUE"""),2021.0)</f>
        <v>2021</v>
      </c>
      <c r="B1888" s="11">
        <f>IFERROR(__xludf.DUMMYFUNCTION("""COMPUTED_VALUE"""),11.0)</f>
        <v>11</v>
      </c>
      <c r="C1888" s="11">
        <f>IFERROR(__xludf.DUMMYFUNCTION("""COMPUTED_VALUE"""),117076.0)</f>
        <v>117076</v>
      </c>
      <c r="D1888" s="11">
        <f>IFERROR(__xludf.DUMMYFUNCTION("""COMPUTED_VALUE"""),341.0)</f>
        <v>341</v>
      </c>
      <c r="E1888" s="9"/>
    </row>
    <row r="1889">
      <c r="A1889" s="11">
        <f>IFERROR(__xludf.DUMMYFUNCTION("""COMPUTED_VALUE"""),2021.0)</f>
        <v>2021</v>
      </c>
      <c r="B1889" s="11">
        <f>IFERROR(__xludf.DUMMYFUNCTION("""COMPUTED_VALUE"""),8.0)</f>
        <v>8</v>
      </c>
      <c r="C1889" s="11">
        <f>IFERROR(__xludf.DUMMYFUNCTION("""COMPUTED_VALUE"""),72081.0)</f>
        <v>72081</v>
      </c>
      <c r="D1889" s="11">
        <f>IFERROR(__xludf.DUMMYFUNCTION("""COMPUTED_VALUE"""),676.0)</f>
        <v>676</v>
      </c>
      <c r="E1889" s="9"/>
    </row>
    <row r="1890">
      <c r="A1890" s="11">
        <f>IFERROR(__xludf.DUMMYFUNCTION("""COMPUTED_VALUE"""),2021.0)</f>
        <v>2021</v>
      </c>
      <c r="B1890" s="11">
        <f>IFERROR(__xludf.DUMMYFUNCTION("""COMPUTED_VALUE"""),9.0)</f>
        <v>9</v>
      </c>
      <c r="C1890" s="11">
        <f>IFERROR(__xludf.DUMMYFUNCTION("""COMPUTED_VALUE"""),72088.0)</f>
        <v>72088</v>
      </c>
      <c r="D1890" s="11">
        <f>IFERROR(__xludf.DUMMYFUNCTION("""COMPUTED_VALUE"""),8.0)</f>
        <v>8</v>
      </c>
      <c r="E1890" s="9"/>
    </row>
    <row r="1891">
      <c r="A1891" s="11">
        <f>IFERROR(__xludf.DUMMYFUNCTION("""COMPUTED_VALUE"""),2021.0)</f>
        <v>2021</v>
      </c>
      <c r="B1891" s="11">
        <f>IFERROR(__xludf.DUMMYFUNCTION("""COMPUTED_VALUE"""),8.0)</f>
        <v>8</v>
      </c>
      <c r="C1891" s="11">
        <f>IFERROR(__xludf.DUMMYFUNCTION("""COMPUTED_VALUE"""),72078.0)</f>
        <v>72078</v>
      </c>
      <c r="D1891" s="11">
        <f>IFERROR(__xludf.DUMMYFUNCTION("""COMPUTED_VALUE"""),1073.0)</f>
        <v>1073</v>
      </c>
      <c r="E1891" s="9"/>
    </row>
    <row r="1892">
      <c r="A1892" s="11">
        <f>IFERROR(__xludf.DUMMYFUNCTION("""COMPUTED_VALUE"""),2021.0)</f>
        <v>2021</v>
      </c>
      <c r="B1892" s="11">
        <f>IFERROR(__xludf.DUMMYFUNCTION("""COMPUTED_VALUE"""),9.0)</f>
        <v>9</v>
      </c>
      <c r="C1892" s="11">
        <f>IFERROR(__xludf.DUMMYFUNCTION("""COMPUTED_VALUE"""),72085.0)</f>
        <v>72085</v>
      </c>
      <c r="D1892" s="11">
        <f>IFERROR(__xludf.DUMMYFUNCTION("""COMPUTED_VALUE"""),1031.0)</f>
        <v>1031</v>
      </c>
      <c r="E1892" s="9"/>
    </row>
    <row r="1893">
      <c r="A1893" s="11">
        <f>IFERROR(__xludf.DUMMYFUNCTION("""COMPUTED_VALUE"""),2021.0)</f>
        <v>2021</v>
      </c>
      <c r="B1893" s="11">
        <f>IFERROR(__xludf.DUMMYFUNCTION("""COMPUTED_VALUE"""),11.0)</f>
        <v>11</v>
      </c>
      <c r="C1893" s="11">
        <f>IFERROR(__xludf.DUMMYFUNCTION("""COMPUTED_VALUE"""),112204.0)</f>
        <v>112204</v>
      </c>
      <c r="D1893" s="11">
        <f>IFERROR(__xludf.DUMMYFUNCTION("""COMPUTED_VALUE"""),136.0)</f>
        <v>136</v>
      </c>
      <c r="E1893" s="9"/>
    </row>
    <row r="1894">
      <c r="A1894" s="11">
        <f>IFERROR(__xludf.DUMMYFUNCTION("""COMPUTED_VALUE"""),2021.0)</f>
        <v>2021</v>
      </c>
      <c r="B1894" s="11">
        <f>IFERROR(__xludf.DUMMYFUNCTION("""COMPUTED_VALUE"""),8.0)</f>
        <v>8</v>
      </c>
      <c r="C1894" s="11">
        <f>IFERROR(__xludf.DUMMYFUNCTION("""COMPUTED_VALUE"""),59138.0)</f>
        <v>59138</v>
      </c>
      <c r="D1894" s="11">
        <f>IFERROR(__xludf.DUMMYFUNCTION("""COMPUTED_VALUE"""),883.0)</f>
        <v>883</v>
      </c>
      <c r="E1894" s="9"/>
    </row>
    <row r="1895">
      <c r="A1895" s="11">
        <f>IFERROR(__xludf.DUMMYFUNCTION("""COMPUTED_VALUE"""),2021.0)</f>
        <v>2021</v>
      </c>
      <c r="B1895" s="11">
        <f>IFERROR(__xludf.DUMMYFUNCTION("""COMPUTED_VALUE"""),8.0)</f>
        <v>8</v>
      </c>
      <c r="C1895" s="11">
        <f>IFERROR(__xludf.DUMMYFUNCTION("""COMPUTED_VALUE"""),72074.0)</f>
        <v>72074</v>
      </c>
      <c r="D1895" s="11">
        <f>IFERROR(__xludf.DUMMYFUNCTION("""COMPUTED_VALUE"""),1311.0)</f>
        <v>1311</v>
      </c>
      <c r="E1895" s="9"/>
    </row>
    <row r="1896">
      <c r="A1896" s="11">
        <f>IFERROR(__xludf.DUMMYFUNCTION("""COMPUTED_VALUE"""),2021.0)</f>
        <v>2021</v>
      </c>
      <c r="B1896" s="11">
        <f>IFERROR(__xludf.DUMMYFUNCTION("""COMPUTED_VALUE"""),8.0)</f>
        <v>8</v>
      </c>
      <c r="C1896" s="11">
        <f>IFERROR(__xludf.DUMMYFUNCTION("""COMPUTED_VALUE"""),72096.0)</f>
        <v>72096</v>
      </c>
      <c r="D1896" s="11">
        <f>IFERROR(__xludf.DUMMYFUNCTION("""COMPUTED_VALUE"""),278.0)</f>
        <v>278</v>
      </c>
      <c r="E1896" s="9"/>
    </row>
    <row r="1897">
      <c r="A1897" s="11">
        <f>IFERROR(__xludf.DUMMYFUNCTION("""COMPUTED_VALUE"""),2021.0)</f>
        <v>2021</v>
      </c>
      <c r="B1897" s="11">
        <f>IFERROR(__xludf.DUMMYFUNCTION("""COMPUTED_VALUE"""),10.0)</f>
        <v>10</v>
      </c>
      <c r="C1897" s="11">
        <f>IFERROR(__xludf.DUMMYFUNCTION("""COMPUTED_VALUE"""),72099.0)</f>
        <v>72099</v>
      </c>
      <c r="D1897" s="11">
        <f>IFERROR(__xludf.DUMMYFUNCTION("""COMPUTED_VALUE"""),931.0)</f>
        <v>931</v>
      </c>
      <c r="E1897" s="9"/>
    </row>
    <row r="1898">
      <c r="A1898" s="11">
        <f>IFERROR(__xludf.DUMMYFUNCTION("""COMPUTED_VALUE"""),2021.0)</f>
        <v>2021</v>
      </c>
      <c r="B1898" s="11">
        <f>IFERROR(__xludf.DUMMYFUNCTION("""COMPUTED_VALUE"""),10.0)</f>
        <v>10</v>
      </c>
      <c r="C1898" s="11">
        <f>IFERROR(__xludf.DUMMYFUNCTION("""COMPUTED_VALUE"""),89451.0)</f>
        <v>89451</v>
      </c>
      <c r="D1898" s="11">
        <f>IFERROR(__xludf.DUMMYFUNCTION("""COMPUTED_VALUE"""),1464.0)</f>
        <v>1464</v>
      </c>
      <c r="E1898" s="9"/>
    </row>
    <row r="1899">
      <c r="A1899" s="11">
        <f>IFERROR(__xludf.DUMMYFUNCTION("""COMPUTED_VALUE"""),2021.0)</f>
        <v>2021</v>
      </c>
      <c r="B1899" s="11">
        <f>IFERROR(__xludf.DUMMYFUNCTION("""COMPUTED_VALUE"""),10.0)</f>
        <v>10</v>
      </c>
      <c r="C1899" s="11">
        <f>IFERROR(__xludf.DUMMYFUNCTION("""COMPUTED_VALUE"""),29606.0)</f>
        <v>29606</v>
      </c>
      <c r="D1899" s="11">
        <f>IFERROR(__xludf.DUMMYFUNCTION("""COMPUTED_VALUE"""),1064.0)</f>
        <v>1064</v>
      </c>
      <c r="E1899" s="9"/>
    </row>
    <row r="1900">
      <c r="A1900" s="11">
        <f>IFERROR(__xludf.DUMMYFUNCTION("""COMPUTED_VALUE"""),2021.0)</f>
        <v>2021</v>
      </c>
      <c r="B1900" s="11">
        <f>IFERROR(__xludf.DUMMYFUNCTION("""COMPUTED_VALUE"""),11.0)</f>
        <v>11</v>
      </c>
      <c r="C1900" s="11">
        <f>IFERROR(__xludf.DUMMYFUNCTION("""COMPUTED_VALUE"""),72089.0)</f>
        <v>72089</v>
      </c>
      <c r="D1900" s="11">
        <f>IFERROR(__xludf.DUMMYFUNCTION("""COMPUTED_VALUE"""),345.0)</f>
        <v>345</v>
      </c>
      <c r="E1900" s="9"/>
    </row>
    <row r="1901">
      <c r="A1901" s="11">
        <f>IFERROR(__xludf.DUMMYFUNCTION("""COMPUTED_VALUE"""),2021.0)</f>
        <v>2021</v>
      </c>
      <c r="B1901" s="11">
        <f>IFERROR(__xludf.DUMMYFUNCTION("""COMPUTED_VALUE"""),10.0)</f>
        <v>10</v>
      </c>
      <c r="C1901" s="11">
        <f>IFERROR(__xludf.DUMMYFUNCTION("""COMPUTED_VALUE"""),29601.0)</f>
        <v>29601</v>
      </c>
      <c r="D1901" s="11">
        <f>IFERROR(__xludf.DUMMYFUNCTION("""COMPUTED_VALUE"""),55.0)</f>
        <v>55</v>
      </c>
      <c r="E1901" s="9"/>
    </row>
    <row r="1902">
      <c r="A1902" s="11">
        <f>IFERROR(__xludf.DUMMYFUNCTION("""COMPUTED_VALUE"""),2021.0)</f>
        <v>2021</v>
      </c>
      <c r="B1902" s="11">
        <f>IFERROR(__xludf.DUMMYFUNCTION("""COMPUTED_VALUE"""),8.0)</f>
        <v>8</v>
      </c>
      <c r="C1902" s="11">
        <f>IFERROR(__xludf.DUMMYFUNCTION("""COMPUTED_VALUE"""),50372.0)</f>
        <v>50372</v>
      </c>
      <c r="D1902" s="11">
        <f>IFERROR(__xludf.DUMMYFUNCTION("""COMPUTED_VALUE"""),438.0)</f>
        <v>438</v>
      </c>
      <c r="E1902" s="9"/>
    </row>
    <row r="1903">
      <c r="A1903" s="11">
        <f>IFERROR(__xludf.DUMMYFUNCTION("""COMPUTED_VALUE"""),2021.0)</f>
        <v>2021</v>
      </c>
      <c r="B1903" s="11">
        <f>IFERROR(__xludf.DUMMYFUNCTION("""COMPUTED_VALUE"""),9.0)</f>
        <v>9</v>
      </c>
      <c r="C1903" s="11">
        <f>IFERROR(__xludf.DUMMYFUNCTION("""COMPUTED_VALUE"""),89452.0)</f>
        <v>89452</v>
      </c>
      <c r="D1903" s="11">
        <f>IFERROR(__xludf.DUMMYFUNCTION("""COMPUTED_VALUE"""),1523.0)</f>
        <v>1523</v>
      </c>
      <c r="E1903" s="9"/>
    </row>
    <row r="1904">
      <c r="A1904" s="11">
        <f>IFERROR(__xludf.DUMMYFUNCTION("""COMPUTED_VALUE"""),2021.0)</f>
        <v>2021</v>
      </c>
      <c r="B1904" s="11">
        <f>IFERROR(__xludf.DUMMYFUNCTION("""COMPUTED_VALUE"""),8.0)</f>
        <v>8</v>
      </c>
      <c r="C1904" s="11">
        <f>IFERROR(__xludf.DUMMYFUNCTION("""COMPUTED_VALUE"""),156019.0)</f>
        <v>156019</v>
      </c>
      <c r="D1904" s="11">
        <f>IFERROR(__xludf.DUMMYFUNCTION("""COMPUTED_VALUE"""),49.0)</f>
        <v>49</v>
      </c>
      <c r="E1904" s="9"/>
    </row>
    <row r="1905">
      <c r="A1905" s="11">
        <f>IFERROR(__xludf.DUMMYFUNCTION("""COMPUTED_VALUE"""),2021.0)</f>
        <v>2021</v>
      </c>
      <c r="B1905" s="11">
        <f>IFERROR(__xludf.DUMMYFUNCTION("""COMPUTED_VALUE"""),8.0)</f>
        <v>8</v>
      </c>
      <c r="C1905" s="11">
        <f>IFERROR(__xludf.DUMMYFUNCTION("""COMPUTED_VALUE"""),117705.0)</f>
        <v>117705</v>
      </c>
      <c r="D1905" s="11">
        <f>IFERROR(__xludf.DUMMYFUNCTION("""COMPUTED_VALUE"""),1919.0)</f>
        <v>1919</v>
      </c>
      <c r="E1905" s="9"/>
    </row>
    <row r="1906">
      <c r="A1906" s="11">
        <f>IFERROR(__xludf.DUMMYFUNCTION("""COMPUTED_VALUE"""),2021.0)</f>
        <v>2021</v>
      </c>
      <c r="B1906" s="11">
        <f>IFERROR(__xludf.DUMMYFUNCTION("""COMPUTED_VALUE"""),10.0)</f>
        <v>10</v>
      </c>
      <c r="C1906" s="11">
        <f>IFERROR(__xludf.DUMMYFUNCTION("""COMPUTED_VALUE"""),121184.0)</f>
        <v>121184</v>
      </c>
      <c r="D1906" s="11">
        <f>IFERROR(__xludf.DUMMYFUNCTION("""COMPUTED_VALUE"""),285.0)</f>
        <v>285</v>
      </c>
      <c r="E1906" s="9"/>
    </row>
    <row r="1907">
      <c r="A1907" s="11">
        <f>IFERROR(__xludf.DUMMYFUNCTION("""COMPUTED_VALUE"""),2021.0)</f>
        <v>2021</v>
      </c>
      <c r="B1907" s="11">
        <f>IFERROR(__xludf.DUMMYFUNCTION("""COMPUTED_VALUE"""),10.0)</f>
        <v>10</v>
      </c>
      <c r="C1907" s="11">
        <f>IFERROR(__xludf.DUMMYFUNCTION("""COMPUTED_VALUE"""),89446.0)</f>
        <v>89446</v>
      </c>
      <c r="D1907" s="11">
        <f>IFERROR(__xludf.DUMMYFUNCTION("""COMPUTED_VALUE"""),455.0)</f>
        <v>455</v>
      </c>
      <c r="E1907" s="9"/>
    </row>
    <row r="1908">
      <c r="A1908" s="11">
        <f>IFERROR(__xludf.DUMMYFUNCTION("""COMPUTED_VALUE"""),2021.0)</f>
        <v>2021</v>
      </c>
      <c r="B1908" s="11">
        <f>IFERROR(__xludf.DUMMYFUNCTION("""COMPUTED_VALUE"""),9.0)</f>
        <v>9</v>
      </c>
      <c r="C1908" s="11">
        <f>IFERROR(__xludf.DUMMYFUNCTION("""COMPUTED_VALUE"""),102339.0)</f>
        <v>102339</v>
      </c>
      <c r="D1908" s="11">
        <f>IFERROR(__xludf.DUMMYFUNCTION("""COMPUTED_VALUE"""),1318.0)</f>
        <v>1318</v>
      </c>
      <c r="E1908" s="9"/>
    </row>
    <row r="1909">
      <c r="A1909" s="11">
        <f>IFERROR(__xludf.DUMMYFUNCTION("""COMPUTED_VALUE"""),2021.0)</f>
        <v>2021</v>
      </c>
      <c r="B1909" s="11">
        <f>IFERROR(__xludf.DUMMYFUNCTION("""COMPUTED_VALUE"""),11.0)</f>
        <v>11</v>
      </c>
      <c r="C1909" s="11">
        <f>IFERROR(__xludf.DUMMYFUNCTION("""COMPUTED_VALUE"""),121193.0)</f>
        <v>121193</v>
      </c>
      <c r="D1909" s="11">
        <f>IFERROR(__xludf.DUMMYFUNCTION("""COMPUTED_VALUE"""),550.0)</f>
        <v>550</v>
      </c>
      <c r="E1909" s="9"/>
    </row>
    <row r="1910">
      <c r="A1910" s="11">
        <f>IFERROR(__xludf.DUMMYFUNCTION("""COMPUTED_VALUE"""),2021.0)</f>
        <v>2021</v>
      </c>
      <c r="B1910" s="11">
        <f>IFERROR(__xludf.DUMMYFUNCTION("""COMPUTED_VALUE"""),10.0)</f>
        <v>10</v>
      </c>
      <c r="C1910" s="11">
        <f>IFERROR(__xludf.DUMMYFUNCTION("""COMPUTED_VALUE"""),102332.0)</f>
        <v>102332</v>
      </c>
      <c r="D1910" s="11">
        <f>IFERROR(__xludf.DUMMYFUNCTION("""COMPUTED_VALUE"""),1861.0)</f>
        <v>1861</v>
      </c>
      <c r="E1910" s="9"/>
    </row>
    <row r="1911">
      <c r="A1911" s="11">
        <f>IFERROR(__xludf.DUMMYFUNCTION("""COMPUTED_VALUE"""),2021.0)</f>
        <v>2021</v>
      </c>
      <c r="B1911" s="11">
        <f>IFERROR(__xludf.DUMMYFUNCTION("""COMPUTED_VALUE"""),10.0)</f>
        <v>10</v>
      </c>
      <c r="C1911" s="11">
        <f>IFERROR(__xludf.DUMMYFUNCTION("""COMPUTED_VALUE"""),121775.0)</f>
        <v>121775</v>
      </c>
      <c r="D1911" s="11">
        <f>IFERROR(__xludf.DUMMYFUNCTION("""COMPUTED_VALUE"""),949.0)</f>
        <v>949</v>
      </c>
      <c r="E1911" s="9"/>
    </row>
    <row r="1912">
      <c r="A1912" s="11">
        <f>IFERROR(__xludf.DUMMYFUNCTION("""COMPUTED_VALUE"""),2021.0)</f>
        <v>2021</v>
      </c>
      <c r="B1912" s="11">
        <f>IFERROR(__xludf.DUMMYFUNCTION("""COMPUTED_VALUE"""),9.0)</f>
        <v>9</v>
      </c>
      <c r="C1912" s="11">
        <f>IFERROR(__xludf.DUMMYFUNCTION("""COMPUTED_VALUE"""),100903.0)</f>
        <v>100903</v>
      </c>
      <c r="D1912" s="11">
        <f>IFERROR(__xludf.DUMMYFUNCTION("""COMPUTED_VALUE"""),999.0)</f>
        <v>999</v>
      </c>
      <c r="E1912" s="9"/>
    </row>
    <row r="1913">
      <c r="A1913" s="11">
        <f>IFERROR(__xludf.DUMMYFUNCTION("""COMPUTED_VALUE"""),2021.0)</f>
        <v>2021</v>
      </c>
      <c r="B1913" s="11">
        <f>IFERROR(__xludf.DUMMYFUNCTION("""COMPUTED_VALUE"""),9.0)</f>
        <v>9</v>
      </c>
      <c r="C1913" s="11">
        <f>IFERROR(__xludf.DUMMYFUNCTION("""COMPUTED_VALUE"""),81463.0)</f>
        <v>81463</v>
      </c>
      <c r="D1913" s="11">
        <f>IFERROR(__xludf.DUMMYFUNCTION("""COMPUTED_VALUE"""),1950.0)</f>
        <v>1950</v>
      </c>
      <c r="E1913" s="9"/>
    </row>
    <row r="1914">
      <c r="A1914" s="11">
        <f>IFERROR(__xludf.DUMMYFUNCTION("""COMPUTED_VALUE"""),2021.0)</f>
        <v>2021</v>
      </c>
      <c r="B1914" s="11">
        <f>IFERROR(__xludf.DUMMYFUNCTION("""COMPUTED_VALUE"""),9.0)</f>
        <v>9</v>
      </c>
      <c r="C1914" s="11">
        <f>IFERROR(__xludf.DUMMYFUNCTION("""COMPUTED_VALUE"""),75788.0)</f>
        <v>75788</v>
      </c>
      <c r="D1914" s="11">
        <f>IFERROR(__xludf.DUMMYFUNCTION("""COMPUTED_VALUE"""),1381.0)</f>
        <v>1381</v>
      </c>
      <c r="E1914" s="9"/>
    </row>
    <row r="1915">
      <c r="A1915" s="11">
        <f>IFERROR(__xludf.DUMMYFUNCTION("""COMPUTED_VALUE"""),2021.0)</f>
        <v>2021</v>
      </c>
      <c r="B1915" s="11">
        <f>IFERROR(__xludf.DUMMYFUNCTION("""COMPUTED_VALUE"""),10.0)</f>
        <v>10</v>
      </c>
      <c r="C1915" s="11">
        <f>IFERROR(__xludf.DUMMYFUNCTION("""COMPUTED_VALUE"""),121185.0)</f>
        <v>121185</v>
      </c>
      <c r="D1915" s="11">
        <f>IFERROR(__xludf.DUMMYFUNCTION("""COMPUTED_VALUE"""),1498.0)</f>
        <v>1498</v>
      </c>
      <c r="E1915" s="9"/>
    </row>
    <row r="1916">
      <c r="A1916" s="11">
        <f>IFERROR(__xludf.DUMMYFUNCTION("""COMPUTED_VALUE"""),2021.0)</f>
        <v>2021</v>
      </c>
      <c r="B1916" s="11">
        <f>IFERROR(__xludf.DUMMYFUNCTION("""COMPUTED_VALUE"""),11.0)</f>
        <v>11</v>
      </c>
      <c r="C1916" s="11">
        <f>IFERROR(__xludf.DUMMYFUNCTION("""COMPUTED_VALUE"""),89440.0)</f>
        <v>89440</v>
      </c>
      <c r="D1916" s="11">
        <f>IFERROR(__xludf.DUMMYFUNCTION("""COMPUTED_VALUE"""),1140.0)</f>
        <v>1140</v>
      </c>
      <c r="E1916" s="9"/>
    </row>
    <row r="1917">
      <c r="A1917" s="11">
        <f>IFERROR(__xludf.DUMMYFUNCTION("""COMPUTED_VALUE"""),2021.0)</f>
        <v>2021</v>
      </c>
      <c r="B1917" s="11">
        <f>IFERROR(__xludf.DUMMYFUNCTION("""COMPUTED_VALUE"""),10.0)</f>
        <v>10</v>
      </c>
      <c r="C1917" s="11">
        <f>IFERROR(__xludf.DUMMYFUNCTION("""COMPUTED_VALUE"""),103058.0)</f>
        <v>103058</v>
      </c>
      <c r="D1917" s="11">
        <f>IFERROR(__xludf.DUMMYFUNCTION("""COMPUTED_VALUE"""),66.0)</f>
        <v>66</v>
      </c>
      <c r="E1917" s="9"/>
    </row>
    <row r="1918">
      <c r="A1918" s="11">
        <f>IFERROR(__xludf.DUMMYFUNCTION("""COMPUTED_VALUE"""),2021.0)</f>
        <v>2021</v>
      </c>
      <c r="B1918" s="11">
        <f>IFERROR(__xludf.DUMMYFUNCTION("""COMPUTED_VALUE"""),10.0)</f>
        <v>10</v>
      </c>
      <c r="C1918" s="11">
        <f>IFERROR(__xludf.DUMMYFUNCTION("""COMPUTED_VALUE"""),117716.0)</f>
        <v>117716</v>
      </c>
      <c r="D1918" s="11">
        <f>IFERROR(__xludf.DUMMYFUNCTION("""COMPUTED_VALUE"""),539.0)</f>
        <v>539</v>
      </c>
      <c r="E1918" s="9"/>
    </row>
    <row r="1919">
      <c r="A1919" s="11">
        <f>IFERROR(__xludf.DUMMYFUNCTION("""COMPUTED_VALUE"""),2021.0)</f>
        <v>2021</v>
      </c>
      <c r="B1919" s="11">
        <f>IFERROR(__xludf.DUMMYFUNCTION("""COMPUTED_VALUE"""),8.0)</f>
        <v>8</v>
      </c>
      <c r="C1919" s="11">
        <f>IFERROR(__xludf.DUMMYFUNCTION("""COMPUTED_VALUE"""),71287.0)</f>
        <v>71287</v>
      </c>
      <c r="D1919" s="11">
        <f>IFERROR(__xludf.DUMMYFUNCTION("""COMPUTED_VALUE"""),673.0)</f>
        <v>673</v>
      </c>
      <c r="E1919" s="9"/>
    </row>
    <row r="1920">
      <c r="A1920" s="11">
        <f>IFERROR(__xludf.DUMMYFUNCTION("""COMPUTED_VALUE"""),2021.0)</f>
        <v>2021</v>
      </c>
      <c r="B1920" s="11">
        <f>IFERROR(__xludf.DUMMYFUNCTION("""COMPUTED_VALUE"""),9.0)</f>
        <v>9</v>
      </c>
      <c r="C1920" s="11">
        <f>IFERROR(__xludf.DUMMYFUNCTION("""COMPUTED_VALUE"""),110685.0)</f>
        <v>110685</v>
      </c>
      <c r="D1920" s="11">
        <f>IFERROR(__xludf.DUMMYFUNCTION("""COMPUTED_VALUE"""),626.0)</f>
        <v>626</v>
      </c>
      <c r="E1920" s="9"/>
    </row>
    <row r="1921">
      <c r="A1921" s="11">
        <f>IFERROR(__xludf.DUMMYFUNCTION("""COMPUTED_VALUE"""),2021.0)</f>
        <v>2021</v>
      </c>
      <c r="B1921" s="11">
        <f>IFERROR(__xludf.DUMMYFUNCTION("""COMPUTED_VALUE"""),8.0)</f>
        <v>8</v>
      </c>
      <c r="C1921" s="11">
        <f>IFERROR(__xludf.DUMMYFUNCTION("""COMPUTED_VALUE"""),79335.0)</f>
        <v>79335</v>
      </c>
      <c r="D1921" s="11">
        <f>IFERROR(__xludf.DUMMYFUNCTION("""COMPUTED_VALUE"""),822.0)</f>
        <v>822</v>
      </c>
      <c r="E1921" s="9"/>
    </row>
    <row r="1922">
      <c r="A1922" s="11">
        <f>IFERROR(__xludf.DUMMYFUNCTION("""COMPUTED_VALUE"""),2021.0)</f>
        <v>2021</v>
      </c>
      <c r="B1922" s="11">
        <f>IFERROR(__xludf.DUMMYFUNCTION("""COMPUTED_VALUE"""),9.0)</f>
        <v>9</v>
      </c>
      <c r="C1922" s="11">
        <f>IFERROR(__xludf.DUMMYFUNCTION("""COMPUTED_VALUE"""),45538.0)</f>
        <v>45538</v>
      </c>
      <c r="D1922" s="11">
        <f>IFERROR(__xludf.DUMMYFUNCTION("""COMPUTED_VALUE"""),970.0)</f>
        <v>970</v>
      </c>
      <c r="E1922" s="9"/>
    </row>
    <row r="1923">
      <c r="A1923" s="11">
        <f>IFERROR(__xludf.DUMMYFUNCTION("""COMPUTED_VALUE"""),2021.0)</f>
        <v>2021</v>
      </c>
      <c r="B1923" s="11">
        <f>IFERROR(__xludf.DUMMYFUNCTION("""COMPUTED_VALUE"""),10.0)</f>
        <v>10</v>
      </c>
      <c r="C1923" s="11">
        <f>IFERROR(__xludf.DUMMYFUNCTION("""COMPUTED_VALUE"""),76691.0)</f>
        <v>76691</v>
      </c>
      <c r="D1923" s="11">
        <f>IFERROR(__xludf.DUMMYFUNCTION("""COMPUTED_VALUE"""),944.0)</f>
        <v>944</v>
      </c>
      <c r="E1923" s="9"/>
    </row>
    <row r="1924">
      <c r="A1924" s="11">
        <f>IFERROR(__xludf.DUMMYFUNCTION("""COMPUTED_VALUE"""),2021.0)</f>
        <v>2021</v>
      </c>
      <c r="B1924" s="11">
        <f>IFERROR(__xludf.DUMMYFUNCTION("""COMPUTED_VALUE"""),8.0)</f>
        <v>8</v>
      </c>
      <c r="C1924" s="11">
        <f>IFERROR(__xludf.DUMMYFUNCTION("""COMPUTED_VALUE"""),2336.0)</f>
        <v>2336</v>
      </c>
      <c r="D1924" s="11">
        <f>IFERROR(__xludf.DUMMYFUNCTION("""COMPUTED_VALUE"""),1185.0)</f>
        <v>1185</v>
      </c>
      <c r="E1924" s="9"/>
    </row>
    <row r="1925">
      <c r="A1925" s="11">
        <f>IFERROR(__xludf.DUMMYFUNCTION("""COMPUTED_VALUE"""),2021.0)</f>
        <v>2021</v>
      </c>
      <c r="B1925" s="11">
        <f>IFERROR(__xludf.DUMMYFUNCTION("""COMPUTED_VALUE"""),11.0)</f>
        <v>11</v>
      </c>
      <c r="C1925" s="11">
        <f>IFERROR(__xludf.DUMMYFUNCTION("""COMPUTED_VALUE"""),91912.0)</f>
        <v>91912</v>
      </c>
      <c r="D1925" s="11">
        <f>IFERROR(__xludf.DUMMYFUNCTION("""COMPUTED_VALUE"""),876.0)</f>
        <v>876</v>
      </c>
      <c r="E1925" s="9"/>
    </row>
    <row r="1926">
      <c r="A1926" s="11">
        <f>IFERROR(__xludf.DUMMYFUNCTION("""COMPUTED_VALUE"""),2021.0)</f>
        <v>2021</v>
      </c>
      <c r="B1926" s="11">
        <f>IFERROR(__xludf.DUMMYFUNCTION("""COMPUTED_VALUE"""),9.0)</f>
        <v>9</v>
      </c>
      <c r="C1926" s="11">
        <f>IFERROR(__xludf.DUMMYFUNCTION("""COMPUTED_VALUE"""),110826.0)</f>
        <v>110826</v>
      </c>
      <c r="D1926" s="11">
        <f>IFERROR(__xludf.DUMMYFUNCTION("""COMPUTED_VALUE"""),1269.0)</f>
        <v>1269</v>
      </c>
      <c r="E1926" s="9"/>
    </row>
    <row r="1927">
      <c r="A1927" s="11">
        <f>IFERROR(__xludf.DUMMYFUNCTION("""COMPUTED_VALUE"""),2021.0)</f>
        <v>2021</v>
      </c>
      <c r="B1927" s="11">
        <f>IFERROR(__xludf.DUMMYFUNCTION("""COMPUTED_VALUE"""),8.0)</f>
        <v>8</v>
      </c>
      <c r="C1927" s="11">
        <f>IFERROR(__xludf.DUMMYFUNCTION("""COMPUTED_VALUE"""),117710.0)</f>
        <v>117710</v>
      </c>
      <c r="D1927" s="11">
        <f>IFERROR(__xludf.DUMMYFUNCTION("""COMPUTED_VALUE"""),1159.0)</f>
        <v>1159</v>
      </c>
      <c r="E1927" s="9"/>
    </row>
    <row r="1928">
      <c r="A1928" s="11">
        <f>IFERROR(__xludf.DUMMYFUNCTION("""COMPUTED_VALUE"""),2021.0)</f>
        <v>2021</v>
      </c>
      <c r="B1928" s="11">
        <f>IFERROR(__xludf.DUMMYFUNCTION("""COMPUTED_VALUE"""),8.0)</f>
        <v>8</v>
      </c>
      <c r="C1928" s="11">
        <f>IFERROR(__xludf.DUMMYFUNCTION("""COMPUTED_VALUE"""),3621.0)</f>
        <v>3621</v>
      </c>
      <c r="D1928" s="11">
        <f>IFERROR(__xludf.DUMMYFUNCTION("""COMPUTED_VALUE"""),862.0)</f>
        <v>862</v>
      </c>
      <c r="E1928" s="9"/>
    </row>
    <row r="1929">
      <c r="A1929" s="11">
        <f>IFERROR(__xludf.DUMMYFUNCTION("""COMPUTED_VALUE"""),2021.0)</f>
        <v>2021</v>
      </c>
      <c r="B1929" s="11">
        <f>IFERROR(__xludf.DUMMYFUNCTION("""COMPUTED_VALUE"""),8.0)</f>
        <v>8</v>
      </c>
      <c r="C1929" s="11">
        <f>IFERROR(__xludf.DUMMYFUNCTION("""COMPUTED_VALUE"""),4179.0)</f>
        <v>4179</v>
      </c>
      <c r="D1929" s="11">
        <f>IFERROR(__xludf.DUMMYFUNCTION("""COMPUTED_VALUE"""),579.0)</f>
        <v>579</v>
      </c>
      <c r="E1929" s="9"/>
    </row>
    <row r="1930">
      <c r="A1930" s="11">
        <f>IFERROR(__xludf.DUMMYFUNCTION("""COMPUTED_VALUE"""),2021.0)</f>
        <v>2021</v>
      </c>
      <c r="B1930" s="11">
        <f>IFERROR(__xludf.DUMMYFUNCTION("""COMPUTED_VALUE"""),8.0)</f>
        <v>8</v>
      </c>
      <c r="C1930" s="11">
        <f>IFERROR(__xludf.DUMMYFUNCTION("""COMPUTED_VALUE"""),89407.0)</f>
        <v>89407</v>
      </c>
      <c r="D1930" s="11">
        <f>IFERROR(__xludf.DUMMYFUNCTION("""COMPUTED_VALUE"""),1327.0)</f>
        <v>1327</v>
      </c>
      <c r="E1930" s="9"/>
    </row>
    <row r="1931">
      <c r="A1931" s="11">
        <f>IFERROR(__xludf.DUMMYFUNCTION("""COMPUTED_VALUE"""),2021.0)</f>
        <v>2021</v>
      </c>
      <c r="B1931" s="11">
        <f>IFERROR(__xludf.DUMMYFUNCTION("""COMPUTED_VALUE"""),9.0)</f>
        <v>9</v>
      </c>
      <c r="C1931" s="11">
        <f>IFERROR(__xludf.DUMMYFUNCTION("""COMPUTED_VALUE"""),121190.0)</f>
        <v>121190</v>
      </c>
      <c r="D1931" s="11">
        <f>IFERROR(__xludf.DUMMYFUNCTION("""COMPUTED_VALUE"""),466.0)</f>
        <v>466</v>
      </c>
      <c r="E1931" s="9"/>
    </row>
    <row r="1932">
      <c r="A1932" s="11">
        <f>IFERROR(__xludf.DUMMYFUNCTION("""COMPUTED_VALUE"""),2021.0)</f>
        <v>2021</v>
      </c>
      <c r="B1932" s="11">
        <f>IFERROR(__xludf.DUMMYFUNCTION("""COMPUTED_VALUE"""),8.0)</f>
        <v>8</v>
      </c>
      <c r="C1932" s="11">
        <f>IFERROR(__xludf.DUMMYFUNCTION("""COMPUTED_VALUE"""),45524.0)</f>
        <v>45524</v>
      </c>
      <c r="D1932" s="11">
        <f>IFERROR(__xludf.DUMMYFUNCTION("""COMPUTED_VALUE"""),1171.0)</f>
        <v>1171</v>
      </c>
      <c r="E1932" s="9"/>
    </row>
    <row r="1933">
      <c r="A1933" s="11">
        <f>IFERROR(__xludf.DUMMYFUNCTION("""COMPUTED_VALUE"""),2021.0)</f>
        <v>2021</v>
      </c>
      <c r="B1933" s="11">
        <f>IFERROR(__xludf.DUMMYFUNCTION("""COMPUTED_VALUE"""),11.0)</f>
        <v>11</v>
      </c>
      <c r="C1933" s="11">
        <f>IFERROR(__xludf.DUMMYFUNCTION("""COMPUTED_VALUE"""),3634.0)</f>
        <v>3634</v>
      </c>
      <c r="D1933" s="11">
        <f>IFERROR(__xludf.DUMMYFUNCTION("""COMPUTED_VALUE"""),1246.0)</f>
        <v>1246</v>
      </c>
      <c r="E1933" s="9"/>
    </row>
    <row r="1934">
      <c r="A1934" s="11">
        <f>IFERROR(__xludf.DUMMYFUNCTION("""COMPUTED_VALUE"""),2021.0)</f>
        <v>2021</v>
      </c>
      <c r="B1934" s="11">
        <f>IFERROR(__xludf.DUMMYFUNCTION("""COMPUTED_VALUE"""),11.0)</f>
        <v>11</v>
      </c>
      <c r="C1934" s="11">
        <f>IFERROR(__xludf.DUMMYFUNCTION("""COMPUTED_VALUE"""),104327.0)</f>
        <v>104327</v>
      </c>
      <c r="D1934" s="11">
        <f>IFERROR(__xludf.DUMMYFUNCTION("""COMPUTED_VALUE"""),1673.0)</f>
        <v>1673</v>
      </c>
      <c r="E1934" s="9"/>
    </row>
    <row r="1935">
      <c r="A1935" s="11">
        <f>IFERROR(__xludf.DUMMYFUNCTION("""COMPUTED_VALUE"""),2021.0)</f>
        <v>2021</v>
      </c>
      <c r="B1935" s="11">
        <f>IFERROR(__xludf.DUMMYFUNCTION("""COMPUTED_VALUE"""),8.0)</f>
        <v>8</v>
      </c>
      <c r="C1935" s="11">
        <f>IFERROR(__xludf.DUMMYFUNCTION("""COMPUTED_VALUE"""),71282.0)</f>
        <v>71282</v>
      </c>
      <c r="D1935" s="11">
        <f>IFERROR(__xludf.DUMMYFUNCTION("""COMPUTED_VALUE"""),1906.0)</f>
        <v>1906</v>
      </c>
      <c r="E1935" s="9"/>
    </row>
    <row r="1936">
      <c r="A1936" s="11">
        <f>IFERROR(__xludf.DUMMYFUNCTION("""COMPUTED_VALUE"""),2021.0)</f>
        <v>2021</v>
      </c>
      <c r="B1936" s="11">
        <f>IFERROR(__xludf.DUMMYFUNCTION("""COMPUTED_VALUE"""),9.0)</f>
        <v>9</v>
      </c>
      <c r="C1936" s="11">
        <f>IFERROR(__xludf.DUMMYFUNCTION("""COMPUTED_VALUE"""),89411.0)</f>
        <v>89411</v>
      </c>
      <c r="D1936" s="11">
        <f>IFERROR(__xludf.DUMMYFUNCTION("""COMPUTED_VALUE"""),703.0)</f>
        <v>703</v>
      </c>
      <c r="E1936" s="9"/>
    </row>
    <row r="1937">
      <c r="A1937" s="11">
        <f>IFERROR(__xludf.DUMMYFUNCTION("""COMPUTED_VALUE"""),2021.0)</f>
        <v>2021</v>
      </c>
      <c r="B1937" s="11">
        <f>IFERROR(__xludf.DUMMYFUNCTION("""COMPUTED_VALUE"""),9.0)</f>
        <v>9</v>
      </c>
      <c r="C1937" s="11">
        <f>IFERROR(__xludf.DUMMYFUNCTION("""COMPUTED_VALUE"""),105361.0)</f>
        <v>105361</v>
      </c>
      <c r="D1937" s="11">
        <f>IFERROR(__xludf.DUMMYFUNCTION("""COMPUTED_VALUE"""),1467.0)</f>
        <v>1467</v>
      </c>
      <c r="E1937" s="9"/>
    </row>
    <row r="1938">
      <c r="A1938" s="11">
        <f>IFERROR(__xludf.DUMMYFUNCTION("""COMPUTED_VALUE"""),2021.0)</f>
        <v>2021</v>
      </c>
      <c r="B1938" s="11">
        <f>IFERROR(__xludf.DUMMYFUNCTION("""COMPUTED_VALUE"""),8.0)</f>
        <v>8</v>
      </c>
      <c r="C1938" s="11">
        <f>IFERROR(__xludf.DUMMYFUNCTION("""COMPUTED_VALUE"""),105359.0)</f>
        <v>105359</v>
      </c>
      <c r="D1938" s="11">
        <f>IFERROR(__xludf.DUMMYFUNCTION("""COMPUTED_VALUE"""),129.0)</f>
        <v>129</v>
      </c>
      <c r="E1938" s="9"/>
    </row>
    <row r="1939">
      <c r="A1939" s="11">
        <f>IFERROR(__xludf.DUMMYFUNCTION("""COMPUTED_VALUE"""),2021.0)</f>
        <v>2021</v>
      </c>
      <c r="B1939" s="11">
        <f>IFERROR(__xludf.DUMMYFUNCTION("""COMPUTED_VALUE"""),9.0)</f>
        <v>9</v>
      </c>
      <c r="C1939" s="11">
        <f>IFERROR(__xludf.DUMMYFUNCTION("""COMPUTED_VALUE"""),75174.0)</f>
        <v>75174</v>
      </c>
      <c r="D1939" s="11">
        <f>IFERROR(__xludf.DUMMYFUNCTION("""COMPUTED_VALUE"""),1437.0)</f>
        <v>1437</v>
      </c>
      <c r="E1939" s="9"/>
    </row>
    <row r="1940">
      <c r="A1940" s="11">
        <f>IFERROR(__xludf.DUMMYFUNCTION("""COMPUTED_VALUE"""),2021.0)</f>
        <v>2021</v>
      </c>
      <c r="B1940" s="11">
        <f>IFERROR(__xludf.DUMMYFUNCTION("""COMPUTED_VALUE"""),9.0)</f>
        <v>9</v>
      </c>
      <c r="C1940" s="11">
        <f>IFERROR(__xludf.DUMMYFUNCTION("""COMPUTED_VALUE"""),11895.0)</f>
        <v>11895</v>
      </c>
      <c r="D1940" s="11">
        <f>IFERROR(__xludf.DUMMYFUNCTION("""COMPUTED_VALUE"""),1693.0)</f>
        <v>1693</v>
      </c>
      <c r="E1940" s="9"/>
    </row>
    <row r="1941">
      <c r="A1941" s="11">
        <f>IFERROR(__xludf.DUMMYFUNCTION("""COMPUTED_VALUE"""),2021.0)</f>
        <v>2021</v>
      </c>
      <c r="B1941" s="11">
        <f>IFERROR(__xludf.DUMMYFUNCTION("""COMPUTED_VALUE"""),8.0)</f>
        <v>8</v>
      </c>
      <c r="C1941" s="11">
        <f>IFERROR(__xludf.DUMMYFUNCTION("""COMPUTED_VALUE"""),11812.0)</f>
        <v>11812</v>
      </c>
      <c r="D1941" s="11">
        <f>IFERROR(__xludf.DUMMYFUNCTION("""COMPUTED_VALUE"""),994.0)</f>
        <v>994</v>
      </c>
      <c r="E1941" s="9"/>
    </row>
    <row r="1942">
      <c r="A1942" s="11">
        <f>IFERROR(__xludf.DUMMYFUNCTION("""COMPUTED_VALUE"""),2021.0)</f>
        <v>2021</v>
      </c>
      <c r="B1942" s="11">
        <f>IFERROR(__xludf.DUMMYFUNCTION("""COMPUTED_VALUE"""),8.0)</f>
        <v>8</v>
      </c>
      <c r="C1942" s="11">
        <f>IFERROR(__xludf.DUMMYFUNCTION("""COMPUTED_VALUE"""),11815.0)</f>
        <v>11815</v>
      </c>
      <c r="D1942" s="11">
        <f>IFERROR(__xludf.DUMMYFUNCTION("""COMPUTED_VALUE"""),1024.0)</f>
        <v>1024</v>
      </c>
      <c r="E1942" s="9"/>
    </row>
    <row r="1943">
      <c r="A1943" s="11">
        <f>IFERROR(__xludf.DUMMYFUNCTION("""COMPUTED_VALUE"""),2021.0)</f>
        <v>2021</v>
      </c>
      <c r="B1943" s="11">
        <f>IFERROR(__xludf.DUMMYFUNCTION("""COMPUTED_VALUE"""),10.0)</f>
        <v>10</v>
      </c>
      <c r="C1943" s="11">
        <f>IFERROR(__xludf.DUMMYFUNCTION("""COMPUTED_VALUE"""),11784.0)</f>
        <v>11784</v>
      </c>
      <c r="D1943" s="11">
        <f>IFERROR(__xludf.DUMMYFUNCTION("""COMPUTED_VALUE"""),1499.0)</f>
        <v>1499</v>
      </c>
      <c r="E1943" s="9"/>
    </row>
    <row r="1944">
      <c r="A1944" s="11">
        <f>IFERROR(__xludf.DUMMYFUNCTION("""COMPUTED_VALUE"""),2021.0)</f>
        <v>2021</v>
      </c>
      <c r="B1944" s="11">
        <f>IFERROR(__xludf.DUMMYFUNCTION("""COMPUTED_VALUE"""),8.0)</f>
        <v>8</v>
      </c>
      <c r="C1944" s="11">
        <f>IFERROR(__xludf.DUMMYFUNCTION("""COMPUTED_VALUE"""),89241.0)</f>
        <v>89241</v>
      </c>
      <c r="D1944" s="11">
        <f>IFERROR(__xludf.DUMMYFUNCTION("""COMPUTED_VALUE"""),1275.0)</f>
        <v>1275</v>
      </c>
      <c r="E1944" s="9"/>
    </row>
    <row r="1945">
      <c r="A1945" s="11">
        <f>IFERROR(__xludf.DUMMYFUNCTION("""COMPUTED_VALUE"""),2021.0)</f>
        <v>2021</v>
      </c>
      <c r="B1945" s="11">
        <f>IFERROR(__xludf.DUMMYFUNCTION("""COMPUTED_VALUE"""),8.0)</f>
        <v>8</v>
      </c>
      <c r="C1945" s="11">
        <f>IFERROR(__xludf.DUMMYFUNCTION("""COMPUTED_VALUE"""),117688.0)</f>
        <v>117688</v>
      </c>
      <c r="D1945" s="11">
        <f>IFERROR(__xludf.DUMMYFUNCTION("""COMPUTED_VALUE"""),655.0)</f>
        <v>655</v>
      </c>
      <c r="E1945" s="9"/>
    </row>
    <row r="1946">
      <c r="A1946" s="11">
        <f>IFERROR(__xludf.DUMMYFUNCTION("""COMPUTED_VALUE"""),2021.0)</f>
        <v>2021</v>
      </c>
      <c r="B1946" s="11">
        <f>IFERROR(__xludf.DUMMYFUNCTION("""COMPUTED_VALUE"""),9.0)</f>
        <v>9</v>
      </c>
      <c r="C1946" s="11">
        <f>IFERROR(__xludf.DUMMYFUNCTION("""COMPUTED_VALUE"""),77688.0)</f>
        <v>77688</v>
      </c>
      <c r="D1946" s="11">
        <f>IFERROR(__xludf.DUMMYFUNCTION("""COMPUTED_VALUE"""),766.0)</f>
        <v>766</v>
      </c>
      <c r="E1946" s="9"/>
    </row>
    <row r="1947">
      <c r="A1947" s="11">
        <f>IFERROR(__xludf.DUMMYFUNCTION("""COMPUTED_VALUE"""),2021.0)</f>
        <v>2021</v>
      </c>
      <c r="B1947" s="11">
        <f>IFERROR(__xludf.DUMMYFUNCTION("""COMPUTED_VALUE"""),9.0)</f>
        <v>9</v>
      </c>
      <c r="C1947" s="11">
        <f>IFERROR(__xludf.DUMMYFUNCTION("""COMPUTED_VALUE"""),89282.0)</f>
        <v>89282</v>
      </c>
      <c r="D1947" s="11">
        <f>IFERROR(__xludf.DUMMYFUNCTION("""COMPUTED_VALUE"""),1090.0)</f>
        <v>1090</v>
      </c>
      <c r="E1947" s="9"/>
    </row>
    <row r="1948">
      <c r="A1948" s="11">
        <f>IFERROR(__xludf.DUMMYFUNCTION("""COMPUTED_VALUE"""),2021.0)</f>
        <v>2021</v>
      </c>
      <c r="B1948" s="11">
        <f>IFERROR(__xludf.DUMMYFUNCTION("""COMPUTED_VALUE"""),8.0)</f>
        <v>8</v>
      </c>
      <c r="C1948" s="11">
        <f>IFERROR(__xludf.DUMMYFUNCTION("""COMPUTED_VALUE"""),11769.0)</f>
        <v>11769</v>
      </c>
      <c r="D1948" s="11">
        <f>IFERROR(__xludf.DUMMYFUNCTION("""COMPUTED_VALUE"""),1329.0)</f>
        <v>1329</v>
      </c>
      <c r="E1948" s="9"/>
    </row>
    <row r="1949">
      <c r="A1949" s="11">
        <f>IFERROR(__xludf.DUMMYFUNCTION("""COMPUTED_VALUE"""),2021.0)</f>
        <v>2021</v>
      </c>
      <c r="B1949" s="11">
        <f>IFERROR(__xludf.DUMMYFUNCTION("""COMPUTED_VALUE"""),10.0)</f>
        <v>10</v>
      </c>
      <c r="C1949" s="11">
        <f>IFERROR(__xludf.DUMMYFUNCTION("""COMPUTED_VALUE"""),117544.0)</f>
        <v>117544</v>
      </c>
      <c r="D1949" s="11">
        <f>IFERROR(__xludf.DUMMYFUNCTION("""COMPUTED_VALUE"""),1769.0)</f>
        <v>1769</v>
      </c>
      <c r="E1949" s="9"/>
    </row>
    <row r="1950">
      <c r="A1950" s="11">
        <f>IFERROR(__xludf.DUMMYFUNCTION("""COMPUTED_VALUE"""),2021.0)</f>
        <v>2021</v>
      </c>
      <c r="B1950" s="11">
        <f>IFERROR(__xludf.DUMMYFUNCTION("""COMPUTED_VALUE"""),9.0)</f>
        <v>9</v>
      </c>
      <c r="C1950" s="11">
        <f>IFERROR(__xludf.DUMMYFUNCTION("""COMPUTED_VALUE"""),94860.0)</f>
        <v>94860</v>
      </c>
      <c r="D1950" s="11">
        <f>IFERROR(__xludf.DUMMYFUNCTION("""COMPUTED_VALUE"""),1682.0)</f>
        <v>1682</v>
      </c>
      <c r="E1950" s="9"/>
    </row>
    <row r="1951">
      <c r="A1951" s="11">
        <f>IFERROR(__xludf.DUMMYFUNCTION("""COMPUTED_VALUE"""),2021.0)</f>
        <v>2021</v>
      </c>
      <c r="B1951" s="11">
        <f>IFERROR(__xludf.DUMMYFUNCTION("""COMPUTED_VALUE"""),9.0)</f>
        <v>9</v>
      </c>
      <c r="C1951" s="11">
        <f>IFERROR(__xludf.DUMMYFUNCTION("""COMPUTED_VALUE"""),79041.0)</f>
        <v>79041</v>
      </c>
      <c r="D1951" s="11">
        <f>IFERROR(__xludf.DUMMYFUNCTION("""COMPUTED_VALUE"""),611.0)</f>
        <v>611</v>
      </c>
      <c r="E1951" s="9"/>
    </row>
    <row r="1952">
      <c r="A1952" s="11">
        <f>IFERROR(__xludf.DUMMYFUNCTION("""COMPUTED_VALUE"""),2021.0)</f>
        <v>2021</v>
      </c>
      <c r="B1952" s="11">
        <f>IFERROR(__xludf.DUMMYFUNCTION("""COMPUTED_VALUE"""),11.0)</f>
        <v>11</v>
      </c>
      <c r="C1952" s="11">
        <f>IFERROR(__xludf.DUMMYFUNCTION("""COMPUTED_VALUE"""),117686.0)</f>
        <v>117686</v>
      </c>
      <c r="D1952" s="11">
        <f>IFERROR(__xludf.DUMMYFUNCTION("""COMPUTED_VALUE"""),969.0)</f>
        <v>969</v>
      </c>
      <c r="E1952" s="9"/>
    </row>
    <row r="1953">
      <c r="A1953" s="11">
        <f>IFERROR(__xludf.DUMMYFUNCTION("""COMPUTED_VALUE"""),2021.0)</f>
        <v>2021</v>
      </c>
      <c r="B1953" s="11">
        <f>IFERROR(__xludf.DUMMYFUNCTION("""COMPUTED_VALUE"""),11.0)</f>
        <v>11</v>
      </c>
      <c r="C1953" s="11">
        <f>IFERROR(__xludf.DUMMYFUNCTION("""COMPUTED_VALUE"""),89299.0)</f>
        <v>89299</v>
      </c>
      <c r="D1953" s="11">
        <f>IFERROR(__xludf.DUMMYFUNCTION("""COMPUTED_VALUE"""),1798.0)</f>
        <v>1798</v>
      </c>
      <c r="E1953" s="9"/>
    </row>
    <row r="1954">
      <c r="A1954" s="11">
        <f>IFERROR(__xludf.DUMMYFUNCTION("""COMPUTED_VALUE"""),2021.0)</f>
        <v>2021</v>
      </c>
      <c r="B1954" s="11">
        <f>IFERROR(__xludf.DUMMYFUNCTION("""COMPUTED_VALUE"""),9.0)</f>
        <v>9</v>
      </c>
      <c r="C1954" s="11">
        <f>IFERROR(__xludf.DUMMYFUNCTION("""COMPUTED_VALUE"""),11823.0)</f>
        <v>11823</v>
      </c>
      <c r="D1954" s="11">
        <f>IFERROR(__xludf.DUMMYFUNCTION("""COMPUTED_VALUE"""),243.0)</f>
        <v>243</v>
      </c>
      <c r="E1954" s="9"/>
    </row>
    <row r="1955">
      <c r="A1955" s="11">
        <f>IFERROR(__xludf.DUMMYFUNCTION("""COMPUTED_VALUE"""),2021.0)</f>
        <v>2021</v>
      </c>
      <c r="B1955" s="11">
        <f>IFERROR(__xludf.DUMMYFUNCTION("""COMPUTED_VALUE"""),10.0)</f>
        <v>10</v>
      </c>
      <c r="C1955" s="11">
        <f>IFERROR(__xludf.DUMMYFUNCTION("""COMPUTED_VALUE"""),117543.0)</f>
        <v>117543</v>
      </c>
      <c r="D1955" s="11">
        <f>IFERROR(__xludf.DUMMYFUNCTION("""COMPUTED_VALUE"""),1660.0)</f>
        <v>1660</v>
      </c>
      <c r="E1955" s="9"/>
    </row>
    <row r="1956">
      <c r="A1956" s="11">
        <f>IFERROR(__xludf.DUMMYFUNCTION("""COMPUTED_VALUE"""),2021.0)</f>
        <v>2021</v>
      </c>
      <c r="B1956" s="11">
        <f>IFERROR(__xludf.DUMMYFUNCTION("""COMPUTED_VALUE"""),8.0)</f>
        <v>8</v>
      </c>
      <c r="C1956" s="11">
        <f>IFERROR(__xludf.DUMMYFUNCTION("""COMPUTED_VALUE"""),11765.0)</f>
        <v>11765</v>
      </c>
      <c r="D1956" s="11">
        <f>IFERROR(__xludf.DUMMYFUNCTION("""COMPUTED_VALUE"""),495.0)</f>
        <v>495</v>
      </c>
      <c r="E1956" s="9"/>
    </row>
    <row r="1957">
      <c r="A1957" s="11">
        <f>IFERROR(__xludf.DUMMYFUNCTION("""COMPUTED_VALUE"""),2021.0)</f>
        <v>2021</v>
      </c>
      <c r="B1957" s="11">
        <f>IFERROR(__xludf.DUMMYFUNCTION("""COMPUTED_VALUE"""),10.0)</f>
        <v>10</v>
      </c>
      <c r="C1957" s="11">
        <f>IFERROR(__xludf.DUMMYFUNCTION("""COMPUTED_VALUE"""),121519.0)</f>
        <v>121519</v>
      </c>
      <c r="D1957" s="11">
        <f>IFERROR(__xludf.DUMMYFUNCTION("""COMPUTED_VALUE"""),1560.0)</f>
        <v>1560</v>
      </c>
      <c r="E1957" s="9"/>
    </row>
    <row r="1958">
      <c r="A1958" s="11">
        <f>IFERROR(__xludf.DUMMYFUNCTION("""COMPUTED_VALUE"""),2021.0)</f>
        <v>2021</v>
      </c>
      <c r="B1958" s="11">
        <f>IFERROR(__xludf.DUMMYFUNCTION("""COMPUTED_VALUE"""),11.0)</f>
        <v>11</v>
      </c>
      <c r="C1958" s="11">
        <f>IFERROR(__xludf.DUMMYFUNCTION("""COMPUTED_VALUE"""),71276.0)</f>
        <v>71276</v>
      </c>
      <c r="D1958" s="11">
        <f>IFERROR(__xludf.DUMMYFUNCTION("""COMPUTED_VALUE"""),222.0)</f>
        <v>222</v>
      </c>
      <c r="E1958" s="9"/>
    </row>
    <row r="1959">
      <c r="A1959" s="11">
        <f>IFERROR(__xludf.DUMMYFUNCTION("""COMPUTED_VALUE"""),2021.0)</f>
        <v>2021</v>
      </c>
      <c r="B1959" s="11">
        <f>IFERROR(__xludf.DUMMYFUNCTION("""COMPUTED_VALUE"""),9.0)</f>
        <v>9</v>
      </c>
      <c r="C1959" s="11">
        <f>IFERROR(__xludf.DUMMYFUNCTION("""COMPUTED_VALUE"""),120135.0)</f>
        <v>120135</v>
      </c>
      <c r="D1959" s="11">
        <f>IFERROR(__xludf.DUMMYFUNCTION("""COMPUTED_VALUE"""),1202.0)</f>
        <v>1202</v>
      </c>
      <c r="E1959" s="9"/>
    </row>
    <row r="1960">
      <c r="A1960" s="11">
        <f>IFERROR(__xludf.DUMMYFUNCTION("""COMPUTED_VALUE"""),2021.0)</f>
        <v>2021</v>
      </c>
      <c r="B1960" s="11">
        <f>IFERROR(__xludf.DUMMYFUNCTION("""COMPUTED_VALUE"""),11.0)</f>
        <v>11</v>
      </c>
      <c r="C1960" s="11">
        <f>IFERROR(__xludf.DUMMYFUNCTION("""COMPUTED_VALUE"""),116793.0)</f>
        <v>116793</v>
      </c>
      <c r="D1960" s="11">
        <f>IFERROR(__xludf.DUMMYFUNCTION("""COMPUTED_VALUE"""),1856.0)</f>
        <v>1856</v>
      </c>
      <c r="E1960" s="9"/>
    </row>
    <row r="1961">
      <c r="A1961" s="11">
        <f>IFERROR(__xludf.DUMMYFUNCTION("""COMPUTED_VALUE"""),2021.0)</f>
        <v>2021</v>
      </c>
      <c r="B1961" s="11">
        <f>IFERROR(__xludf.DUMMYFUNCTION("""COMPUTED_VALUE"""),11.0)</f>
        <v>11</v>
      </c>
      <c r="C1961" s="11">
        <f>IFERROR(__xludf.DUMMYFUNCTION("""COMPUTED_VALUE"""),11774.0)</f>
        <v>11774</v>
      </c>
      <c r="D1961" s="11">
        <f>IFERROR(__xludf.DUMMYFUNCTION("""COMPUTED_VALUE"""),849.0)</f>
        <v>849</v>
      </c>
      <c r="E1961" s="9"/>
    </row>
    <row r="1962">
      <c r="A1962" s="11">
        <f>IFERROR(__xludf.DUMMYFUNCTION("""COMPUTED_VALUE"""),2021.0)</f>
        <v>2021</v>
      </c>
      <c r="B1962" s="11">
        <f>IFERROR(__xludf.DUMMYFUNCTION("""COMPUTED_VALUE"""),8.0)</f>
        <v>8</v>
      </c>
      <c r="C1962" s="11">
        <f>IFERROR(__xludf.DUMMYFUNCTION("""COMPUTED_VALUE"""),11900.0)</f>
        <v>11900</v>
      </c>
      <c r="D1962" s="11">
        <f>IFERROR(__xludf.DUMMYFUNCTION("""COMPUTED_VALUE"""),94.0)</f>
        <v>94</v>
      </c>
      <c r="E1962" s="9"/>
    </row>
    <row r="1963">
      <c r="A1963" s="11">
        <f>IFERROR(__xludf.DUMMYFUNCTION("""COMPUTED_VALUE"""),2021.0)</f>
        <v>2021</v>
      </c>
      <c r="B1963" s="11">
        <f>IFERROR(__xludf.DUMMYFUNCTION("""COMPUTED_VALUE"""),11.0)</f>
        <v>11</v>
      </c>
      <c r="C1963" s="11">
        <f>IFERROR(__xludf.DUMMYFUNCTION("""COMPUTED_VALUE"""),11809.0)</f>
        <v>11809</v>
      </c>
      <c r="D1963" s="11">
        <f>IFERROR(__xludf.DUMMYFUNCTION("""COMPUTED_VALUE"""),1494.0)</f>
        <v>1494</v>
      </c>
      <c r="E1963" s="9"/>
    </row>
    <row r="1964">
      <c r="A1964" s="11">
        <f>IFERROR(__xludf.DUMMYFUNCTION("""COMPUTED_VALUE"""),2021.0)</f>
        <v>2021</v>
      </c>
      <c r="B1964" s="11">
        <f>IFERROR(__xludf.DUMMYFUNCTION("""COMPUTED_VALUE"""),8.0)</f>
        <v>8</v>
      </c>
      <c r="C1964" s="11">
        <f>IFERROR(__xludf.DUMMYFUNCTION("""COMPUTED_VALUE"""),117642.0)</f>
        <v>117642</v>
      </c>
      <c r="D1964" s="11">
        <f>IFERROR(__xludf.DUMMYFUNCTION("""COMPUTED_VALUE"""),1159.0)</f>
        <v>1159</v>
      </c>
      <c r="E1964" s="9"/>
    </row>
    <row r="1965">
      <c r="A1965" s="11">
        <f>IFERROR(__xludf.DUMMYFUNCTION("""COMPUTED_VALUE"""),2021.0)</f>
        <v>2021</v>
      </c>
      <c r="B1965" s="11">
        <f>IFERROR(__xludf.DUMMYFUNCTION("""COMPUTED_VALUE"""),9.0)</f>
        <v>9</v>
      </c>
      <c r="C1965" s="11">
        <f>IFERROR(__xludf.DUMMYFUNCTION("""COMPUTED_VALUE"""),71259.0)</f>
        <v>71259</v>
      </c>
      <c r="D1965" s="11">
        <f>IFERROR(__xludf.DUMMYFUNCTION("""COMPUTED_VALUE"""),1041.0)</f>
        <v>1041</v>
      </c>
      <c r="E1965" s="9"/>
    </row>
    <row r="1966">
      <c r="A1966" s="11">
        <f>IFERROR(__xludf.DUMMYFUNCTION("""COMPUTED_VALUE"""),2021.0)</f>
        <v>2021</v>
      </c>
      <c r="B1966" s="11">
        <f>IFERROR(__xludf.DUMMYFUNCTION("""COMPUTED_VALUE"""),11.0)</f>
        <v>11</v>
      </c>
      <c r="C1966" s="11">
        <f>IFERROR(__xludf.DUMMYFUNCTION("""COMPUTED_VALUE"""),79047.0)</f>
        <v>79047</v>
      </c>
      <c r="D1966" s="11">
        <f>IFERROR(__xludf.DUMMYFUNCTION("""COMPUTED_VALUE"""),1155.0)</f>
        <v>1155</v>
      </c>
      <c r="E1966" s="9"/>
    </row>
    <row r="1967">
      <c r="A1967" s="11">
        <f>IFERROR(__xludf.DUMMYFUNCTION("""COMPUTED_VALUE"""),2021.0)</f>
        <v>2021</v>
      </c>
      <c r="B1967" s="11">
        <f>IFERROR(__xludf.DUMMYFUNCTION("""COMPUTED_VALUE"""),10.0)</f>
        <v>10</v>
      </c>
      <c r="C1967" s="11">
        <f>IFERROR(__xludf.DUMMYFUNCTION("""COMPUTED_VALUE"""),11796.0)</f>
        <v>11796</v>
      </c>
      <c r="D1967" s="11">
        <f>IFERROR(__xludf.DUMMYFUNCTION("""COMPUTED_VALUE"""),1509.0)</f>
        <v>1509</v>
      </c>
      <c r="E1967" s="9"/>
    </row>
    <row r="1968">
      <c r="A1968" s="11">
        <f>IFERROR(__xludf.DUMMYFUNCTION("""COMPUTED_VALUE"""),2021.0)</f>
        <v>2021</v>
      </c>
      <c r="B1968" s="11">
        <f>IFERROR(__xludf.DUMMYFUNCTION("""COMPUTED_VALUE"""),8.0)</f>
        <v>8</v>
      </c>
      <c r="C1968" s="11">
        <f>IFERROR(__xludf.DUMMYFUNCTION("""COMPUTED_VALUE"""),79043.0)</f>
        <v>79043</v>
      </c>
      <c r="D1968" s="11">
        <f>IFERROR(__xludf.DUMMYFUNCTION("""COMPUTED_VALUE"""),117.0)</f>
        <v>117</v>
      </c>
      <c r="E1968" s="9"/>
    </row>
    <row r="1969">
      <c r="A1969" s="11">
        <f>IFERROR(__xludf.DUMMYFUNCTION("""COMPUTED_VALUE"""),2021.0)</f>
        <v>2021</v>
      </c>
      <c r="B1969" s="11">
        <f>IFERROR(__xludf.DUMMYFUNCTION("""COMPUTED_VALUE"""),10.0)</f>
        <v>10</v>
      </c>
      <c r="C1969" s="11">
        <f>IFERROR(__xludf.DUMMYFUNCTION("""COMPUTED_VALUE"""),89246.0)</f>
        <v>89246</v>
      </c>
      <c r="D1969" s="11">
        <f>IFERROR(__xludf.DUMMYFUNCTION("""COMPUTED_VALUE"""),319.0)</f>
        <v>319</v>
      </c>
      <c r="E1969" s="9"/>
    </row>
    <row r="1970">
      <c r="A1970" s="11">
        <f>IFERROR(__xludf.DUMMYFUNCTION("""COMPUTED_VALUE"""),2021.0)</f>
        <v>2021</v>
      </c>
      <c r="B1970" s="11">
        <f>IFERROR(__xludf.DUMMYFUNCTION("""COMPUTED_VALUE"""),8.0)</f>
        <v>8</v>
      </c>
      <c r="C1970" s="11">
        <f>IFERROR(__xludf.DUMMYFUNCTION("""COMPUTED_VALUE"""),71275.0)</f>
        <v>71275</v>
      </c>
      <c r="D1970" s="11">
        <f>IFERROR(__xludf.DUMMYFUNCTION("""COMPUTED_VALUE"""),1840.0)</f>
        <v>1840</v>
      </c>
      <c r="E1970" s="9"/>
    </row>
    <row r="1971">
      <c r="A1971" s="11">
        <f>IFERROR(__xludf.DUMMYFUNCTION("""COMPUTED_VALUE"""),2021.0)</f>
        <v>2021</v>
      </c>
      <c r="B1971" s="11">
        <f>IFERROR(__xludf.DUMMYFUNCTION("""COMPUTED_VALUE"""),8.0)</f>
        <v>8</v>
      </c>
      <c r="C1971" s="11">
        <f>IFERROR(__xludf.DUMMYFUNCTION("""COMPUTED_VALUE"""),11800.0)</f>
        <v>11800</v>
      </c>
      <c r="D1971" s="11">
        <f>IFERROR(__xludf.DUMMYFUNCTION("""COMPUTED_VALUE"""),327.0)</f>
        <v>327</v>
      </c>
      <c r="E1971" s="9"/>
    </row>
    <row r="1972">
      <c r="A1972" s="11">
        <f>IFERROR(__xludf.DUMMYFUNCTION("""COMPUTED_VALUE"""),2021.0)</f>
        <v>2021</v>
      </c>
      <c r="B1972" s="11">
        <f>IFERROR(__xludf.DUMMYFUNCTION("""COMPUTED_VALUE"""),9.0)</f>
        <v>9</v>
      </c>
      <c r="C1972" s="11">
        <f>IFERROR(__xludf.DUMMYFUNCTION("""COMPUTED_VALUE"""),11818.0)</f>
        <v>11818</v>
      </c>
      <c r="D1972" s="11">
        <f>IFERROR(__xludf.DUMMYFUNCTION("""COMPUTED_VALUE"""),1868.0)</f>
        <v>1868</v>
      </c>
      <c r="E1972" s="9"/>
    </row>
    <row r="1973">
      <c r="A1973" s="11">
        <f>IFERROR(__xludf.DUMMYFUNCTION("""COMPUTED_VALUE"""),2021.0)</f>
        <v>2021</v>
      </c>
      <c r="B1973" s="11">
        <f>IFERROR(__xludf.DUMMYFUNCTION("""COMPUTED_VALUE"""),11.0)</f>
        <v>11</v>
      </c>
      <c r="C1973" s="11">
        <f>IFERROR(__xludf.DUMMYFUNCTION("""COMPUTED_VALUE"""),11795.0)</f>
        <v>11795</v>
      </c>
      <c r="D1973" s="11">
        <f>IFERROR(__xludf.DUMMYFUNCTION("""COMPUTED_VALUE"""),669.0)</f>
        <v>669</v>
      </c>
      <c r="E1973" s="9"/>
    </row>
    <row r="1974">
      <c r="A1974" s="11">
        <f>IFERROR(__xludf.DUMMYFUNCTION("""COMPUTED_VALUE"""),2021.0)</f>
        <v>2021</v>
      </c>
      <c r="B1974" s="11">
        <f>IFERROR(__xludf.DUMMYFUNCTION("""COMPUTED_VALUE"""),10.0)</f>
        <v>10</v>
      </c>
      <c r="C1974" s="11">
        <f>IFERROR(__xludf.DUMMYFUNCTION("""COMPUTED_VALUE"""),117641.0)</f>
        <v>117641</v>
      </c>
      <c r="D1974" s="11">
        <f>IFERROR(__xludf.DUMMYFUNCTION("""COMPUTED_VALUE"""),320.0)</f>
        <v>320</v>
      </c>
      <c r="E1974" s="9"/>
    </row>
    <row r="1975">
      <c r="A1975" s="11">
        <f>IFERROR(__xludf.DUMMYFUNCTION("""COMPUTED_VALUE"""),2021.0)</f>
        <v>2021</v>
      </c>
      <c r="B1975" s="11">
        <f>IFERROR(__xludf.DUMMYFUNCTION("""COMPUTED_VALUE"""),8.0)</f>
        <v>8</v>
      </c>
      <c r="C1975" s="11">
        <f>IFERROR(__xludf.DUMMYFUNCTION("""COMPUTED_VALUE"""),82579.0)</f>
        <v>82579</v>
      </c>
      <c r="D1975" s="11">
        <f>IFERROR(__xludf.DUMMYFUNCTION("""COMPUTED_VALUE"""),672.0)</f>
        <v>672</v>
      </c>
      <c r="E1975" s="9"/>
    </row>
    <row r="1976">
      <c r="A1976" s="11">
        <f>IFERROR(__xludf.DUMMYFUNCTION("""COMPUTED_VALUE"""),2021.0)</f>
        <v>2021</v>
      </c>
      <c r="B1976" s="11">
        <f>IFERROR(__xludf.DUMMYFUNCTION("""COMPUTED_VALUE"""),9.0)</f>
        <v>9</v>
      </c>
      <c r="C1976" s="11">
        <f>IFERROR(__xludf.DUMMYFUNCTION("""COMPUTED_VALUE"""),120153.0)</f>
        <v>120153</v>
      </c>
      <c r="D1976" s="11">
        <f>IFERROR(__xludf.DUMMYFUNCTION("""COMPUTED_VALUE"""),343.0)</f>
        <v>343</v>
      </c>
      <c r="E1976" s="9"/>
    </row>
    <row r="1977">
      <c r="A1977" s="11">
        <f>IFERROR(__xludf.DUMMYFUNCTION("""COMPUTED_VALUE"""),2021.0)</f>
        <v>2021</v>
      </c>
      <c r="B1977" s="11">
        <f>IFERROR(__xludf.DUMMYFUNCTION("""COMPUTED_VALUE"""),10.0)</f>
        <v>10</v>
      </c>
      <c r="C1977" s="11">
        <f>IFERROR(__xludf.DUMMYFUNCTION("""COMPUTED_VALUE"""),81320.0)</f>
        <v>81320</v>
      </c>
      <c r="D1977" s="11">
        <f>IFERROR(__xludf.DUMMYFUNCTION("""COMPUTED_VALUE"""),715.0)</f>
        <v>715</v>
      </c>
      <c r="E1977" s="9"/>
    </row>
    <row r="1978">
      <c r="A1978" s="11">
        <f>IFERROR(__xludf.DUMMYFUNCTION("""COMPUTED_VALUE"""),2021.0)</f>
        <v>2021</v>
      </c>
      <c r="B1978" s="11">
        <f>IFERROR(__xludf.DUMMYFUNCTION("""COMPUTED_VALUE"""),9.0)</f>
        <v>9</v>
      </c>
      <c r="C1978" s="11">
        <f>IFERROR(__xludf.DUMMYFUNCTION("""COMPUTED_VALUE"""),121517.0)</f>
        <v>121517</v>
      </c>
      <c r="D1978" s="11">
        <f>IFERROR(__xludf.DUMMYFUNCTION("""COMPUTED_VALUE"""),16.0)</f>
        <v>16</v>
      </c>
      <c r="E1978" s="9"/>
    </row>
    <row r="1979">
      <c r="A1979" s="11">
        <f>IFERROR(__xludf.DUMMYFUNCTION("""COMPUTED_VALUE"""),2021.0)</f>
        <v>2021</v>
      </c>
      <c r="B1979" s="11">
        <f>IFERROR(__xludf.DUMMYFUNCTION("""COMPUTED_VALUE"""),9.0)</f>
        <v>9</v>
      </c>
      <c r="C1979" s="11">
        <f>IFERROR(__xludf.DUMMYFUNCTION("""COMPUTED_VALUE"""),89276.0)</f>
        <v>89276</v>
      </c>
      <c r="D1979" s="11">
        <f>IFERROR(__xludf.DUMMYFUNCTION("""COMPUTED_VALUE"""),454.0)</f>
        <v>454</v>
      </c>
      <c r="E1979" s="9"/>
    </row>
    <row r="1980">
      <c r="A1980" s="11">
        <f>IFERROR(__xludf.DUMMYFUNCTION("""COMPUTED_VALUE"""),2021.0)</f>
        <v>2021</v>
      </c>
      <c r="B1980" s="11">
        <f>IFERROR(__xludf.DUMMYFUNCTION("""COMPUTED_VALUE"""),8.0)</f>
        <v>8</v>
      </c>
      <c r="C1980" s="11">
        <f>IFERROR(__xludf.DUMMYFUNCTION("""COMPUTED_VALUE"""),11822.0)</f>
        <v>11822</v>
      </c>
      <c r="D1980" s="11">
        <f>IFERROR(__xludf.DUMMYFUNCTION("""COMPUTED_VALUE"""),1705.0)</f>
        <v>1705</v>
      </c>
      <c r="E1980" s="9"/>
    </row>
    <row r="1981">
      <c r="A1981" s="11">
        <f>IFERROR(__xludf.DUMMYFUNCTION("""COMPUTED_VALUE"""),2021.0)</f>
        <v>2021</v>
      </c>
      <c r="B1981" s="11">
        <f>IFERROR(__xludf.DUMMYFUNCTION("""COMPUTED_VALUE"""),9.0)</f>
        <v>9</v>
      </c>
      <c r="C1981" s="11">
        <f>IFERROR(__xludf.DUMMYFUNCTION("""COMPUTED_VALUE"""),11771.0)</f>
        <v>11771</v>
      </c>
      <c r="D1981" s="11">
        <f>IFERROR(__xludf.DUMMYFUNCTION("""COMPUTED_VALUE"""),1230.0)</f>
        <v>1230</v>
      </c>
      <c r="E1981" s="9"/>
    </row>
    <row r="1982">
      <c r="A1982" s="11">
        <f>IFERROR(__xludf.DUMMYFUNCTION("""COMPUTED_VALUE"""),2021.0)</f>
        <v>2021</v>
      </c>
      <c r="B1982" s="11">
        <f>IFERROR(__xludf.DUMMYFUNCTION("""COMPUTED_VALUE"""),8.0)</f>
        <v>8</v>
      </c>
      <c r="C1982" s="11">
        <f>IFERROR(__xludf.DUMMYFUNCTION("""COMPUTED_VALUE"""),89295.0)</f>
        <v>89295</v>
      </c>
      <c r="D1982" s="11">
        <f>IFERROR(__xludf.DUMMYFUNCTION("""COMPUTED_VALUE"""),1237.0)</f>
        <v>1237</v>
      </c>
      <c r="E1982" s="9"/>
    </row>
    <row r="1983">
      <c r="A1983" s="11">
        <f>IFERROR(__xludf.DUMMYFUNCTION("""COMPUTED_VALUE"""),2021.0)</f>
        <v>2021</v>
      </c>
      <c r="B1983" s="11">
        <f>IFERROR(__xludf.DUMMYFUNCTION("""COMPUTED_VALUE"""),8.0)</f>
        <v>8</v>
      </c>
      <c r="C1983" s="11">
        <f>IFERROR(__xludf.DUMMYFUNCTION("""COMPUTED_VALUE"""),117684.0)</f>
        <v>117684</v>
      </c>
      <c r="D1983" s="11">
        <f>IFERROR(__xludf.DUMMYFUNCTION("""COMPUTED_VALUE"""),1798.0)</f>
        <v>1798</v>
      </c>
      <c r="E1983" s="9"/>
    </row>
    <row r="1984">
      <c r="A1984" s="11">
        <f>IFERROR(__xludf.DUMMYFUNCTION("""COMPUTED_VALUE"""),2021.0)</f>
        <v>2021</v>
      </c>
      <c r="B1984" s="11">
        <f>IFERROR(__xludf.DUMMYFUNCTION("""COMPUTED_VALUE"""),11.0)</f>
        <v>11</v>
      </c>
      <c r="C1984" s="11">
        <f>IFERROR(__xludf.DUMMYFUNCTION("""COMPUTED_VALUE"""),11817.0)</f>
        <v>11817</v>
      </c>
      <c r="D1984" s="11">
        <f>IFERROR(__xludf.DUMMYFUNCTION("""COMPUTED_VALUE"""),1906.0)</f>
        <v>1906</v>
      </c>
      <c r="E1984" s="9"/>
    </row>
    <row r="1985">
      <c r="A1985" s="11">
        <f>IFERROR(__xludf.DUMMYFUNCTION("""COMPUTED_VALUE"""),2021.0)</f>
        <v>2021</v>
      </c>
      <c r="B1985" s="11">
        <f>IFERROR(__xludf.DUMMYFUNCTION("""COMPUTED_VALUE"""),8.0)</f>
        <v>8</v>
      </c>
      <c r="C1985" s="11">
        <f>IFERROR(__xludf.DUMMYFUNCTION("""COMPUTED_VALUE"""),120697.0)</f>
        <v>120697</v>
      </c>
      <c r="D1985" s="11">
        <f>IFERROR(__xludf.DUMMYFUNCTION("""COMPUTED_VALUE"""),767.0)</f>
        <v>767</v>
      </c>
      <c r="E1985" s="9"/>
    </row>
    <row r="1986">
      <c r="A1986" s="11">
        <f>IFERROR(__xludf.DUMMYFUNCTION("""COMPUTED_VALUE"""),2021.0)</f>
        <v>2021</v>
      </c>
      <c r="B1986" s="11">
        <f>IFERROR(__xludf.DUMMYFUNCTION("""COMPUTED_VALUE"""),8.0)</f>
        <v>8</v>
      </c>
      <c r="C1986" s="11">
        <f>IFERROR(__xludf.DUMMYFUNCTION("""COMPUTED_VALUE"""),11783.0)</f>
        <v>11783</v>
      </c>
      <c r="D1986" s="11">
        <f>IFERROR(__xludf.DUMMYFUNCTION("""COMPUTED_VALUE"""),45.0)</f>
        <v>45</v>
      </c>
      <c r="E1986" s="9"/>
    </row>
    <row r="1987">
      <c r="A1987" s="11">
        <f>IFERROR(__xludf.DUMMYFUNCTION("""COMPUTED_VALUE"""),2021.0)</f>
        <v>2021</v>
      </c>
      <c r="B1987" s="11">
        <f>IFERROR(__xludf.DUMMYFUNCTION("""COMPUTED_VALUE"""),11.0)</f>
        <v>11</v>
      </c>
      <c r="C1987" s="11">
        <f>IFERROR(__xludf.DUMMYFUNCTION("""COMPUTED_VALUE"""),11821.0)</f>
        <v>11821</v>
      </c>
      <c r="D1987" s="11">
        <f>IFERROR(__xludf.DUMMYFUNCTION("""COMPUTED_VALUE"""),1671.0)</f>
        <v>1671</v>
      </c>
      <c r="E1987" s="9"/>
    </row>
    <row r="1988">
      <c r="A1988" s="11">
        <f>IFERROR(__xludf.DUMMYFUNCTION("""COMPUTED_VALUE"""),2021.0)</f>
        <v>2021</v>
      </c>
      <c r="B1988" s="11">
        <f>IFERROR(__xludf.DUMMYFUNCTION("""COMPUTED_VALUE"""),11.0)</f>
        <v>11</v>
      </c>
      <c r="C1988" s="11">
        <f>IFERROR(__xludf.DUMMYFUNCTION("""COMPUTED_VALUE"""),11814.0)</f>
        <v>11814</v>
      </c>
      <c r="D1988" s="11">
        <f>IFERROR(__xludf.DUMMYFUNCTION("""COMPUTED_VALUE"""),1834.0)</f>
        <v>1834</v>
      </c>
      <c r="E1988" s="9"/>
    </row>
    <row r="1989">
      <c r="A1989" s="11">
        <f>IFERROR(__xludf.DUMMYFUNCTION("""COMPUTED_VALUE"""),2021.0)</f>
        <v>2021</v>
      </c>
      <c r="B1989" s="11">
        <f>IFERROR(__xludf.DUMMYFUNCTION("""COMPUTED_VALUE"""),9.0)</f>
        <v>9</v>
      </c>
      <c r="C1989" s="11">
        <f>IFERROR(__xludf.DUMMYFUNCTION("""COMPUTED_VALUE"""),71242.0)</f>
        <v>71242</v>
      </c>
      <c r="D1989" s="11">
        <f>IFERROR(__xludf.DUMMYFUNCTION("""COMPUTED_VALUE"""),1474.0)</f>
        <v>1474</v>
      </c>
      <c r="E1989" s="9"/>
    </row>
    <row r="1990">
      <c r="A1990" s="11">
        <f>IFERROR(__xludf.DUMMYFUNCTION("""COMPUTED_VALUE"""),2021.0)</f>
        <v>2021</v>
      </c>
      <c r="B1990" s="11">
        <f>IFERROR(__xludf.DUMMYFUNCTION("""COMPUTED_VALUE"""),8.0)</f>
        <v>8</v>
      </c>
      <c r="C1990" s="11">
        <f>IFERROR(__xludf.DUMMYFUNCTION("""COMPUTED_VALUE"""),120449.0)</f>
        <v>120449</v>
      </c>
      <c r="D1990" s="11">
        <f>IFERROR(__xludf.DUMMYFUNCTION("""COMPUTED_VALUE"""),723.0)</f>
        <v>723</v>
      </c>
      <c r="E1990" s="9"/>
    </row>
    <row r="1991">
      <c r="A1991" s="11">
        <f>IFERROR(__xludf.DUMMYFUNCTION("""COMPUTED_VALUE"""),2021.0)</f>
        <v>2021</v>
      </c>
      <c r="B1991" s="11">
        <f>IFERROR(__xludf.DUMMYFUNCTION("""COMPUTED_VALUE"""),8.0)</f>
        <v>8</v>
      </c>
      <c r="C1991" s="11">
        <f>IFERROR(__xludf.DUMMYFUNCTION("""COMPUTED_VALUE"""),23682.0)</f>
        <v>23682</v>
      </c>
      <c r="D1991" s="11">
        <f>IFERROR(__xludf.DUMMYFUNCTION("""COMPUTED_VALUE"""),834.0)</f>
        <v>834</v>
      </c>
      <c r="E1991" s="9"/>
    </row>
    <row r="1992">
      <c r="A1992" s="11">
        <f>IFERROR(__xludf.DUMMYFUNCTION("""COMPUTED_VALUE"""),2021.0)</f>
        <v>2021</v>
      </c>
      <c r="B1992" s="11">
        <f>IFERROR(__xludf.DUMMYFUNCTION("""COMPUTED_VALUE"""),10.0)</f>
        <v>10</v>
      </c>
      <c r="C1992" s="11">
        <f>IFERROR(__xludf.DUMMYFUNCTION("""COMPUTED_VALUE"""),119076.0)</f>
        <v>119076</v>
      </c>
      <c r="D1992" s="11">
        <f>IFERROR(__xludf.DUMMYFUNCTION("""COMPUTED_VALUE"""),205.0)</f>
        <v>205</v>
      </c>
      <c r="E1992" s="9"/>
    </row>
    <row r="1993">
      <c r="A1993" s="11">
        <f>IFERROR(__xludf.DUMMYFUNCTION("""COMPUTED_VALUE"""),2021.0)</f>
        <v>2021</v>
      </c>
      <c r="B1993" s="11">
        <f>IFERROR(__xludf.DUMMYFUNCTION("""COMPUTED_VALUE"""),11.0)</f>
        <v>11</v>
      </c>
      <c r="C1993" s="11">
        <f>IFERROR(__xludf.DUMMYFUNCTION("""COMPUTED_VALUE"""),9139.0)</f>
        <v>9139</v>
      </c>
      <c r="D1993" s="11">
        <f>IFERROR(__xludf.DUMMYFUNCTION("""COMPUTED_VALUE"""),1272.0)</f>
        <v>1272</v>
      </c>
      <c r="E1993" s="9"/>
    </row>
    <row r="1994">
      <c r="A1994" s="11">
        <f>IFERROR(__xludf.DUMMYFUNCTION("""COMPUTED_VALUE"""),2021.0)</f>
        <v>2021</v>
      </c>
      <c r="B1994" s="11">
        <f>IFERROR(__xludf.DUMMYFUNCTION("""COMPUTED_VALUE"""),9.0)</f>
        <v>9</v>
      </c>
      <c r="C1994" s="11">
        <f>IFERROR(__xludf.DUMMYFUNCTION("""COMPUTED_VALUE"""),9138.0)</f>
        <v>9138</v>
      </c>
      <c r="D1994" s="11">
        <f>IFERROR(__xludf.DUMMYFUNCTION("""COMPUTED_VALUE"""),409.0)</f>
        <v>409</v>
      </c>
      <c r="E1994" s="9"/>
    </row>
    <row r="1995">
      <c r="A1995" s="11">
        <f>IFERROR(__xludf.DUMMYFUNCTION("""COMPUTED_VALUE"""),2021.0)</f>
        <v>2021</v>
      </c>
      <c r="B1995" s="11">
        <f>IFERROR(__xludf.DUMMYFUNCTION("""COMPUTED_VALUE"""),11.0)</f>
        <v>11</v>
      </c>
      <c r="C1995" s="11">
        <f>IFERROR(__xludf.DUMMYFUNCTION("""COMPUTED_VALUE"""),109483.0)</f>
        <v>109483</v>
      </c>
      <c r="D1995" s="11">
        <f>IFERROR(__xludf.DUMMYFUNCTION("""COMPUTED_VALUE"""),154.0)</f>
        <v>154</v>
      </c>
      <c r="E1995" s="9"/>
    </row>
    <row r="1996">
      <c r="A1996" s="11">
        <f>IFERROR(__xludf.DUMMYFUNCTION("""COMPUTED_VALUE"""),2021.0)</f>
        <v>2021</v>
      </c>
      <c r="B1996" s="11">
        <f>IFERROR(__xludf.DUMMYFUNCTION("""COMPUTED_VALUE"""),10.0)</f>
        <v>10</v>
      </c>
      <c r="C1996" s="11">
        <f>IFERROR(__xludf.DUMMYFUNCTION("""COMPUTED_VALUE"""),120438.0)</f>
        <v>120438</v>
      </c>
      <c r="D1996" s="11">
        <f>IFERROR(__xludf.DUMMYFUNCTION("""COMPUTED_VALUE"""),1593.0)</f>
        <v>1593</v>
      </c>
      <c r="E1996" s="9"/>
    </row>
    <row r="1997">
      <c r="A1997" s="11">
        <f>IFERROR(__xludf.DUMMYFUNCTION("""COMPUTED_VALUE"""),2021.0)</f>
        <v>2021</v>
      </c>
      <c r="B1997" s="11">
        <f>IFERROR(__xludf.DUMMYFUNCTION("""COMPUTED_VALUE"""),8.0)</f>
        <v>8</v>
      </c>
      <c r="C1997" s="11">
        <f>IFERROR(__xludf.DUMMYFUNCTION("""COMPUTED_VALUE"""),120439.0)</f>
        <v>120439</v>
      </c>
      <c r="D1997" s="11">
        <f>IFERROR(__xludf.DUMMYFUNCTION("""COMPUTED_VALUE"""),621.0)</f>
        <v>621</v>
      </c>
      <c r="E1997" s="9"/>
    </row>
    <row r="1998">
      <c r="A1998" s="11">
        <f>IFERROR(__xludf.DUMMYFUNCTION("""COMPUTED_VALUE"""),2021.0)</f>
        <v>2021</v>
      </c>
      <c r="B1998" s="11">
        <f>IFERROR(__xludf.DUMMYFUNCTION("""COMPUTED_VALUE"""),9.0)</f>
        <v>9</v>
      </c>
      <c r="C1998" s="11">
        <f>IFERROR(__xludf.DUMMYFUNCTION("""COMPUTED_VALUE"""),23681.0)</f>
        <v>23681</v>
      </c>
      <c r="D1998" s="11">
        <f>IFERROR(__xludf.DUMMYFUNCTION("""COMPUTED_VALUE"""),188.0)</f>
        <v>188</v>
      </c>
      <c r="E1998" s="9"/>
    </row>
    <row r="1999">
      <c r="A1999" s="11">
        <f>IFERROR(__xludf.DUMMYFUNCTION("""COMPUTED_VALUE"""),2021.0)</f>
        <v>2021</v>
      </c>
      <c r="B1999" s="11">
        <f>IFERROR(__xludf.DUMMYFUNCTION("""COMPUTED_VALUE"""),9.0)</f>
        <v>9</v>
      </c>
      <c r="C1999" s="11">
        <f>IFERROR(__xludf.DUMMYFUNCTION("""COMPUTED_VALUE"""),89564.0)</f>
        <v>89564</v>
      </c>
      <c r="D1999" s="11">
        <f>IFERROR(__xludf.DUMMYFUNCTION("""COMPUTED_VALUE"""),70.0)</f>
        <v>70</v>
      </c>
      <c r="E1999" s="9"/>
    </row>
    <row r="2000">
      <c r="A2000" s="11">
        <f>IFERROR(__xludf.DUMMYFUNCTION("""COMPUTED_VALUE"""),2021.0)</f>
        <v>2021</v>
      </c>
      <c r="B2000" s="11">
        <f>IFERROR(__xludf.DUMMYFUNCTION("""COMPUTED_VALUE"""),9.0)</f>
        <v>9</v>
      </c>
      <c r="C2000" s="11">
        <f>IFERROR(__xludf.DUMMYFUNCTION("""COMPUTED_VALUE"""),111962.0)</f>
        <v>111962</v>
      </c>
      <c r="D2000" s="11">
        <f>IFERROR(__xludf.DUMMYFUNCTION("""COMPUTED_VALUE"""),1005.0)</f>
        <v>1005</v>
      </c>
      <c r="E2000" s="9"/>
    </row>
    <row r="2001">
      <c r="A2001" s="11">
        <f>IFERROR(__xludf.DUMMYFUNCTION("""COMPUTED_VALUE"""),2021.0)</f>
        <v>2021</v>
      </c>
      <c r="B2001" s="11">
        <f>IFERROR(__xludf.DUMMYFUNCTION("""COMPUTED_VALUE"""),10.0)</f>
        <v>10</v>
      </c>
      <c r="C2001" s="11">
        <f>IFERROR(__xludf.DUMMYFUNCTION("""COMPUTED_VALUE"""),124771.0)</f>
        <v>124771</v>
      </c>
      <c r="D2001" s="11">
        <f>IFERROR(__xludf.DUMMYFUNCTION("""COMPUTED_VALUE"""),19.0)</f>
        <v>19</v>
      </c>
      <c r="E2001" s="9"/>
    </row>
    <row r="2002">
      <c r="A2002" s="11">
        <f>IFERROR(__xludf.DUMMYFUNCTION("""COMPUTED_VALUE"""),2021.0)</f>
        <v>2021</v>
      </c>
      <c r="B2002" s="11">
        <f>IFERROR(__xludf.DUMMYFUNCTION("""COMPUTED_VALUE"""),8.0)</f>
        <v>8</v>
      </c>
      <c r="C2002" s="11">
        <f>IFERROR(__xludf.DUMMYFUNCTION("""COMPUTED_VALUE"""),120446.0)</f>
        <v>120446</v>
      </c>
      <c r="D2002" s="11">
        <f>IFERROR(__xludf.DUMMYFUNCTION("""COMPUTED_VALUE"""),717.0)</f>
        <v>717</v>
      </c>
      <c r="E2002" s="9"/>
    </row>
    <row r="2003">
      <c r="A2003" s="11">
        <f>IFERROR(__xludf.DUMMYFUNCTION("""COMPUTED_VALUE"""),2021.0)</f>
        <v>2021</v>
      </c>
      <c r="B2003" s="11">
        <f>IFERROR(__xludf.DUMMYFUNCTION("""COMPUTED_VALUE"""),10.0)</f>
        <v>10</v>
      </c>
      <c r="C2003" s="11">
        <f>IFERROR(__xludf.DUMMYFUNCTION("""COMPUTED_VALUE"""),111973.0)</f>
        <v>111973</v>
      </c>
      <c r="D2003" s="11">
        <f>IFERROR(__xludf.DUMMYFUNCTION("""COMPUTED_VALUE"""),1910.0)</f>
        <v>1910</v>
      </c>
      <c r="E2003" s="9"/>
    </row>
    <row r="2004">
      <c r="A2004" s="11">
        <f>IFERROR(__xludf.DUMMYFUNCTION("""COMPUTED_VALUE"""),2021.0)</f>
        <v>2021</v>
      </c>
      <c r="B2004" s="11">
        <f>IFERROR(__xludf.DUMMYFUNCTION("""COMPUTED_VALUE"""),10.0)</f>
        <v>10</v>
      </c>
      <c r="C2004" s="11">
        <f>IFERROR(__xludf.DUMMYFUNCTION("""COMPUTED_VALUE"""),120437.0)</f>
        <v>120437</v>
      </c>
      <c r="D2004" s="11">
        <f>IFERROR(__xludf.DUMMYFUNCTION("""COMPUTED_VALUE"""),345.0)</f>
        <v>345</v>
      </c>
      <c r="E2004" s="9"/>
    </row>
    <row r="2005">
      <c r="A2005" s="11">
        <f>IFERROR(__xludf.DUMMYFUNCTION("""COMPUTED_VALUE"""),2021.0)</f>
        <v>2021</v>
      </c>
      <c r="B2005" s="11">
        <f>IFERROR(__xludf.DUMMYFUNCTION("""COMPUTED_VALUE"""),9.0)</f>
        <v>9</v>
      </c>
      <c r="C2005" s="11">
        <f>IFERROR(__xludf.DUMMYFUNCTION("""COMPUTED_VALUE"""),124769.0)</f>
        <v>124769</v>
      </c>
      <c r="D2005" s="11">
        <f>IFERROR(__xludf.DUMMYFUNCTION("""COMPUTED_VALUE"""),352.0)</f>
        <v>352</v>
      </c>
      <c r="E2005" s="9"/>
    </row>
    <row r="2006">
      <c r="A2006" s="11">
        <f>IFERROR(__xludf.DUMMYFUNCTION("""COMPUTED_VALUE"""),2021.0)</f>
        <v>2021</v>
      </c>
      <c r="B2006" s="11">
        <f>IFERROR(__xludf.DUMMYFUNCTION("""COMPUTED_VALUE"""),10.0)</f>
        <v>10</v>
      </c>
      <c r="C2006" s="11">
        <f>IFERROR(__xludf.DUMMYFUNCTION("""COMPUTED_VALUE"""),111972.0)</f>
        <v>111972</v>
      </c>
      <c r="D2006" s="11">
        <f>IFERROR(__xludf.DUMMYFUNCTION("""COMPUTED_VALUE"""),1467.0)</f>
        <v>1467</v>
      </c>
      <c r="E2006" s="9"/>
    </row>
    <row r="2007">
      <c r="A2007" s="11">
        <f>IFERROR(__xludf.DUMMYFUNCTION("""COMPUTED_VALUE"""),2021.0)</f>
        <v>2021</v>
      </c>
      <c r="B2007" s="11">
        <f>IFERROR(__xludf.DUMMYFUNCTION("""COMPUTED_VALUE"""),8.0)</f>
        <v>8</v>
      </c>
      <c r="C2007" s="11">
        <f>IFERROR(__xludf.DUMMYFUNCTION("""COMPUTED_VALUE"""),47390.0)</f>
        <v>47390</v>
      </c>
      <c r="D2007" s="11">
        <f>IFERROR(__xludf.DUMMYFUNCTION("""COMPUTED_VALUE"""),1275.0)</f>
        <v>1275</v>
      </c>
      <c r="E2007" s="9"/>
    </row>
    <row r="2008">
      <c r="A2008" s="11">
        <f>IFERROR(__xludf.DUMMYFUNCTION("""COMPUTED_VALUE"""),2021.0)</f>
        <v>2021</v>
      </c>
      <c r="B2008" s="11">
        <f>IFERROR(__xludf.DUMMYFUNCTION("""COMPUTED_VALUE"""),8.0)</f>
        <v>8</v>
      </c>
      <c r="C2008" s="11">
        <f>IFERROR(__xludf.DUMMYFUNCTION("""COMPUTED_VALUE"""),27047.0)</f>
        <v>27047</v>
      </c>
      <c r="D2008" s="11">
        <f>IFERROR(__xludf.DUMMYFUNCTION("""COMPUTED_VALUE"""),1433.0)</f>
        <v>1433</v>
      </c>
      <c r="E2008" s="9"/>
    </row>
    <row r="2009">
      <c r="A2009" s="11">
        <f>IFERROR(__xludf.DUMMYFUNCTION("""COMPUTED_VALUE"""),2021.0)</f>
        <v>2021</v>
      </c>
      <c r="B2009" s="11">
        <f>IFERROR(__xludf.DUMMYFUNCTION("""COMPUTED_VALUE"""),11.0)</f>
        <v>11</v>
      </c>
      <c r="C2009" s="11">
        <f>IFERROR(__xludf.DUMMYFUNCTION("""COMPUTED_VALUE"""),68713.0)</f>
        <v>68713</v>
      </c>
      <c r="D2009" s="11">
        <f>IFERROR(__xludf.DUMMYFUNCTION("""COMPUTED_VALUE"""),1081.0)</f>
        <v>1081</v>
      </c>
      <c r="E2009" s="9"/>
    </row>
    <row r="2010">
      <c r="A2010" s="11">
        <f>IFERROR(__xludf.DUMMYFUNCTION("""COMPUTED_VALUE"""),2021.0)</f>
        <v>2021</v>
      </c>
      <c r="B2010" s="11">
        <f>IFERROR(__xludf.DUMMYFUNCTION("""COMPUTED_VALUE"""),10.0)</f>
        <v>10</v>
      </c>
      <c r="C2010" s="11">
        <f>IFERROR(__xludf.DUMMYFUNCTION("""COMPUTED_VALUE"""),120568.0)</f>
        <v>120568</v>
      </c>
      <c r="D2010" s="11">
        <f>IFERROR(__xludf.DUMMYFUNCTION("""COMPUTED_VALUE"""),1617.0)</f>
        <v>1617</v>
      </c>
      <c r="E2010" s="9"/>
    </row>
    <row r="2011">
      <c r="A2011" s="11">
        <f>IFERROR(__xludf.DUMMYFUNCTION("""COMPUTED_VALUE"""),2021.0)</f>
        <v>2021</v>
      </c>
      <c r="B2011" s="11">
        <f>IFERROR(__xludf.DUMMYFUNCTION("""COMPUTED_VALUE"""),11.0)</f>
        <v>11</v>
      </c>
      <c r="C2011" s="11">
        <f>IFERROR(__xludf.DUMMYFUNCTION("""COMPUTED_VALUE"""),120567.0)</f>
        <v>120567</v>
      </c>
      <c r="D2011" s="11">
        <f>IFERROR(__xludf.DUMMYFUNCTION("""COMPUTED_VALUE"""),1126.0)</f>
        <v>1126</v>
      </c>
      <c r="E2011" s="9"/>
    </row>
    <row r="2012">
      <c r="A2012" s="11">
        <f>IFERROR(__xludf.DUMMYFUNCTION("""COMPUTED_VALUE"""),2021.0)</f>
        <v>2021</v>
      </c>
      <c r="B2012" s="11">
        <f>IFERROR(__xludf.DUMMYFUNCTION("""COMPUTED_VALUE"""),10.0)</f>
        <v>10</v>
      </c>
      <c r="C2012" s="11">
        <f>IFERROR(__xludf.DUMMYFUNCTION("""COMPUTED_VALUE"""),77038.0)</f>
        <v>77038</v>
      </c>
      <c r="D2012" s="11">
        <f>IFERROR(__xludf.DUMMYFUNCTION("""COMPUTED_VALUE"""),1056.0)</f>
        <v>1056</v>
      </c>
      <c r="E2012" s="9"/>
    </row>
    <row r="2013">
      <c r="A2013" s="11">
        <f>IFERROR(__xludf.DUMMYFUNCTION("""COMPUTED_VALUE"""),2021.0)</f>
        <v>2021</v>
      </c>
      <c r="B2013" s="11">
        <f>IFERROR(__xludf.DUMMYFUNCTION("""COMPUTED_VALUE"""),11.0)</f>
        <v>11</v>
      </c>
      <c r="C2013" s="11">
        <f>IFERROR(__xludf.DUMMYFUNCTION("""COMPUTED_VALUE"""),87760.0)</f>
        <v>87760</v>
      </c>
      <c r="D2013" s="11">
        <f>IFERROR(__xludf.DUMMYFUNCTION("""COMPUTED_VALUE"""),1348.0)</f>
        <v>1348</v>
      </c>
      <c r="E2013" s="9"/>
    </row>
    <row r="2014">
      <c r="A2014" s="11">
        <f>IFERROR(__xludf.DUMMYFUNCTION("""COMPUTED_VALUE"""),2021.0)</f>
        <v>2021</v>
      </c>
      <c r="B2014" s="11">
        <f>IFERROR(__xludf.DUMMYFUNCTION("""COMPUTED_VALUE"""),9.0)</f>
        <v>9</v>
      </c>
      <c r="C2014" s="11">
        <f>IFERROR(__xludf.DUMMYFUNCTION("""COMPUTED_VALUE"""),122612.0)</f>
        <v>122612</v>
      </c>
      <c r="D2014" s="11">
        <f>IFERROR(__xludf.DUMMYFUNCTION("""COMPUTED_VALUE"""),1447.0)</f>
        <v>1447</v>
      </c>
      <c r="E2014" s="9"/>
    </row>
    <row r="2015">
      <c r="A2015" s="11">
        <f>IFERROR(__xludf.DUMMYFUNCTION("""COMPUTED_VALUE"""),2021.0)</f>
        <v>2021</v>
      </c>
      <c r="B2015" s="11">
        <f>IFERROR(__xludf.DUMMYFUNCTION("""COMPUTED_VALUE"""),9.0)</f>
        <v>9</v>
      </c>
      <c r="C2015" s="11">
        <f>IFERROR(__xludf.DUMMYFUNCTION("""COMPUTED_VALUE"""),110655.0)</f>
        <v>110655</v>
      </c>
      <c r="D2015" s="11">
        <f>IFERROR(__xludf.DUMMYFUNCTION("""COMPUTED_VALUE"""),611.0)</f>
        <v>611</v>
      </c>
      <c r="E2015" s="9"/>
    </row>
    <row r="2016">
      <c r="A2016" s="11">
        <f>IFERROR(__xludf.DUMMYFUNCTION("""COMPUTED_VALUE"""),2021.0)</f>
        <v>2021</v>
      </c>
      <c r="B2016" s="11">
        <f>IFERROR(__xludf.DUMMYFUNCTION("""COMPUTED_VALUE"""),10.0)</f>
        <v>10</v>
      </c>
      <c r="C2016" s="11">
        <f>IFERROR(__xludf.DUMMYFUNCTION("""COMPUTED_VALUE"""),87785.0)</f>
        <v>87785</v>
      </c>
      <c r="D2016" s="11">
        <f>IFERROR(__xludf.DUMMYFUNCTION("""COMPUTED_VALUE"""),1540.0)</f>
        <v>1540</v>
      </c>
      <c r="E2016" s="9"/>
    </row>
    <row r="2017">
      <c r="A2017" s="11">
        <f>IFERROR(__xludf.DUMMYFUNCTION("""COMPUTED_VALUE"""),2021.0)</f>
        <v>2021</v>
      </c>
      <c r="B2017" s="11">
        <f>IFERROR(__xludf.DUMMYFUNCTION("""COMPUTED_VALUE"""),10.0)</f>
        <v>10</v>
      </c>
      <c r="C2017" s="11">
        <f>IFERROR(__xludf.DUMMYFUNCTION("""COMPUTED_VALUE"""),122629.0)</f>
        <v>122629</v>
      </c>
      <c r="D2017" s="11">
        <f>IFERROR(__xludf.DUMMYFUNCTION("""COMPUTED_VALUE"""),1411.0)</f>
        <v>1411</v>
      </c>
      <c r="E2017" s="9"/>
    </row>
    <row r="2018">
      <c r="A2018" s="11">
        <f>IFERROR(__xludf.DUMMYFUNCTION("""COMPUTED_VALUE"""),2021.0)</f>
        <v>2021</v>
      </c>
      <c r="B2018" s="11">
        <f>IFERROR(__xludf.DUMMYFUNCTION("""COMPUTED_VALUE"""),9.0)</f>
        <v>9</v>
      </c>
      <c r="C2018" s="11">
        <f>IFERROR(__xludf.DUMMYFUNCTION("""COMPUTED_VALUE"""),122614.0)</f>
        <v>122614</v>
      </c>
      <c r="D2018" s="11">
        <f>IFERROR(__xludf.DUMMYFUNCTION("""COMPUTED_VALUE"""),277.0)</f>
        <v>277</v>
      </c>
      <c r="E2018" s="9"/>
    </row>
    <row r="2019">
      <c r="A2019" s="11">
        <f>IFERROR(__xludf.DUMMYFUNCTION("""COMPUTED_VALUE"""),2021.0)</f>
        <v>2021</v>
      </c>
      <c r="B2019" s="11">
        <f>IFERROR(__xludf.DUMMYFUNCTION("""COMPUTED_VALUE"""),8.0)</f>
        <v>8</v>
      </c>
      <c r="C2019" s="11">
        <f>IFERROR(__xludf.DUMMYFUNCTION("""COMPUTED_VALUE"""),122788.0)</f>
        <v>122788</v>
      </c>
      <c r="D2019" s="11">
        <f>IFERROR(__xludf.DUMMYFUNCTION("""COMPUTED_VALUE"""),1739.0)</f>
        <v>1739</v>
      </c>
      <c r="E2019" s="9"/>
    </row>
    <row r="2020">
      <c r="A2020" s="11">
        <f>IFERROR(__xludf.DUMMYFUNCTION("""COMPUTED_VALUE"""),2021.0)</f>
        <v>2021</v>
      </c>
      <c r="B2020" s="11">
        <f>IFERROR(__xludf.DUMMYFUNCTION("""COMPUTED_VALUE"""),10.0)</f>
        <v>10</v>
      </c>
      <c r="C2020" s="11">
        <f>IFERROR(__xludf.DUMMYFUNCTION("""COMPUTED_VALUE"""),20226.0)</f>
        <v>20226</v>
      </c>
      <c r="D2020" s="11">
        <f>IFERROR(__xludf.DUMMYFUNCTION("""COMPUTED_VALUE"""),341.0)</f>
        <v>341</v>
      </c>
      <c r="E2020" s="9"/>
    </row>
    <row r="2021">
      <c r="A2021" s="11">
        <f>IFERROR(__xludf.DUMMYFUNCTION("""COMPUTED_VALUE"""),2021.0)</f>
        <v>2021</v>
      </c>
      <c r="B2021" s="11">
        <f>IFERROR(__xludf.DUMMYFUNCTION("""COMPUTED_VALUE"""),8.0)</f>
        <v>8</v>
      </c>
      <c r="C2021" s="11">
        <f>IFERROR(__xludf.DUMMYFUNCTION("""COMPUTED_VALUE"""),120894.0)</f>
        <v>120894</v>
      </c>
      <c r="D2021" s="11">
        <f>IFERROR(__xludf.DUMMYFUNCTION("""COMPUTED_VALUE"""),1703.0)</f>
        <v>1703</v>
      </c>
      <c r="E2021" s="9"/>
    </row>
    <row r="2022">
      <c r="A2022" s="11">
        <f>IFERROR(__xludf.DUMMYFUNCTION("""COMPUTED_VALUE"""),2021.0)</f>
        <v>2021</v>
      </c>
      <c r="B2022" s="11">
        <f>IFERROR(__xludf.DUMMYFUNCTION("""COMPUTED_VALUE"""),9.0)</f>
        <v>9</v>
      </c>
      <c r="C2022" s="11">
        <f>IFERROR(__xludf.DUMMYFUNCTION("""COMPUTED_VALUE"""),46762.0)</f>
        <v>46762</v>
      </c>
      <c r="D2022" s="11">
        <f>IFERROR(__xludf.DUMMYFUNCTION("""COMPUTED_VALUE"""),233.0)</f>
        <v>233</v>
      </c>
      <c r="E2022" s="9"/>
    </row>
    <row r="2023">
      <c r="A2023" s="11">
        <f>IFERROR(__xludf.DUMMYFUNCTION("""COMPUTED_VALUE"""),2021.0)</f>
        <v>2021</v>
      </c>
      <c r="B2023" s="11">
        <f>IFERROR(__xludf.DUMMYFUNCTION("""COMPUTED_VALUE"""),9.0)</f>
        <v>9</v>
      </c>
      <c r="C2023" s="11">
        <f>IFERROR(__xludf.DUMMYFUNCTION("""COMPUTED_VALUE"""),118212.0)</f>
        <v>118212</v>
      </c>
      <c r="D2023" s="11">
        <f>IFERROR(__xludf.DUMMYFUNCTION("""COMPUTED_VALUE"""),157.0)</f>
        <v>157</v>
      </c>
      <c r="E2023" s="9"/>
    </row>
    <row r="2024">
      <c r="A2024" s="11">
        <f>IFERROR(__xludf.DUMMYFUNCTION("""COMPUTED_VALUE"""),2021.0)</f>
        <v>2021</v>
      </c>
      <c r="B2024" s="11">
        <f>IFERROR(__xludf.DUMMYFUNCTION("""COMPUTED_VALUE"""),10.0)</f>
        <v>10</v>
      </c>
      <c r="C2024" s="11">
        <f>IFERROR(__xludf.DUMMYFUNCTION("""COMPUTED_VALUE"""),150950.0)</f>
        <v>150950</v>
      </c>
      <c r="D2024" s="11">
        <f>IFERROR(__xludf.DUMMYFUNCTION("""COMPUTED_VALUE"""),997.0)</f>
        <v>997</v>
      </c>
      <c r="E2024" s="9"/>
    </row>
    <row r="2025">
      <c r="A2025" s="11">
        <f>IFERROR(__xludf.DUMMYFUNCTION("""COMPUTED_VALUE"""),2021.0)</f>
        <v>2021</v>
      </c>
      <c r="B2025" s="11">
        <f>IFERROR(__xludf.DUMMYFUNCTION("""COMPUTED_VALUE"""),11.0)</f>
        <v>11</v>
      </c>
      <c r="C2025" s="11">
        <f>IFERROR(__xludf.DUMMYFUNCTION("""COMPUTED_VALUE"""),190106.0)</f>
        <v>190106</v>
      </c>
      <c r="D2025" s="11">
        <f>IFERROR(__xludf.DUMMYFUNCTION("""COMPUTED_VALUE"""),578.0)</f>
        <v>578</v>
      </c>
      <c r="E2025" s="9"/>
    </row>
    <row r="2026">
      <c r="A2026" s="11">
        <f>IFERROR(__xludf.DUMMYFUNCTION("""COMPUTED_VALUE"""),2021.0)</f>
        <v>2021</v>
      </c>
      <c r="B2026" s="11">
        <f>IFERROR(__xludf.DUMMYFUNCTION("""COMPUTED_VALUE"""),10.0)</f>
        <v>10</v>
      </c>
      <c r="C2026" s="11">
        <f>IFERROR(__xludf.DUMMYFUNCTION("""COMPUTED_VALUE"""),79810.0)</f>
        <v>79810</v>
      </c>
      <c r="D2026" s="11">
        <f>IFERROR(__xludf.DUMMYFUNCTION("""COMPUTED_VALUE"""),1314.0)</f>
        <v>1314</v>
      </c>
      <c r="E2026" s="9"/>
    </row>
    <row r="2027">
      <c r="A2027" s="11">
        <f>IFERROR(__xludf.DUMMYFUNCTION("""COMPUTED_VALUE"""),2021.0)</f>
        <v>2021</v>
      </c>
      <c r="B2027" s="11">
        <f>IFERROR(__xludf.DUMMYFUNCTION("""COMPUTED_VALUE"""),9.0)</f>
        <v>9</v>
      </c>
      <c r="C2027" s="11">
        <f>IFERROR(__xludf.DUMMYFUNCTION("""COMPUTED_VALUE"""),82459.0)</f>
        <v>82459</v>
      </c>
      <c r="D2027" s="11">
        <f>IFERROR(__xludf.DUMMYFUNCTION("""COMPUTED_VALUE"""),176.0)</f>
        <v>176</v>
      </c>
      <c r="E2027" s="9"/>
    </row>
    <row r="2028">
      <c r="A2028" s="11">
        <f>IFERROR(__xludf.DUMMYFUNCTION("""COMPUTED_VALUE"""),2021.0)</f>
        <v>2021</v>
      </c>
      <c r="B2028" s="11">
        <f>IFERROR(__xludf.DUMMYFUNCTION("""COMPUTED_VALUE"""),8.0)</f>
        <v>8</v>
      </c>
      <c r="C2028" s="11">
        <f>IFERROR(__xludf.DUMMYFUNCTION("""COMPUTED_VALUE"""),49360.0)</f>
        <v>49360</v>
      </c>
      <c r="D2028" s="11">
        <f>IFERROR(__xludf.DUMMYFUNCTION("""COMPUTED_VALUE"""),1158.0)</f>
        <v>1158</v>
      </c>
      <c r="E2028" s="9"/>
    </row>
    <row r="2029">
      <c r="A2029" s="11">
        <f>IFERROR(__xludf.DUMMYFUNCTION("""COMPUTED_VALUE"""),2021.0)</f>
        <v>2021</v>
      </c>
      <c r="B2029" s="11">
        <f>IFERROR(__xludf.DUMMYFUNCTION("""COMPUTED_VALUE"""),10.0)</f>
        <v>10</v>
      </c>
      <c r="C2029" s="11">
        <f>IFERROR(__xludf.DUMMYFUNCTION("""COMPUTED_VALUE"""),194507.0)</f>
        <v>194507</v>
      </c>
      <c r="D2029" s="11">
        <f>IFERROR(__xludf.DUMMYFUNCTION("""COMPUTED_VALUE"""),1116.0)</f>
        <v>1116</v>
      </c>
      <c r="E2029" s="9"/>
    </row>
    <row r="2030">
      <c r="A2030" s="11">
        <f>IFERROR(__xludf.DUMMYFUNCTION("""COMPUTED_VALUE"""),2021.0)</f>
        <v>2021</v>
      </c>
      <c r="B2030" s="11">
        <f>IFERROR(__xludf.DUMMYFUNCTION("""COMPUTED_VALUE"""),11.0)</f>
        <v>11</v>
      </c>
      <c r="C2030" s="11">
        <f>IFERROR(__xludf.DUMMYFUNCTION("""COMPUTED_VALUE"""),82453.0)</f>
        <v>82453</v>
      </c>
      <c r="D2030" s="11">
        <f>IFERROR(__xludf.DUMMYFUNCTION("""COMPUTED_VALUE"""),829.0)</f>
        <v>829</v>
      </c>
      <c r="E2030" s="9"/>
    </row>
    <row r="2031">
      <c r="A2031" s="11">
        <f>IFERROR(__xludf.DUMMYFUNCTION("""COMPUTED_VALUE"""),2021.0)</f>
        <v>2021</v>
      </c>
      <c r="B2031" s="11">
        <f>IFERROR(__xludf.DUMMYFUNCTION("""COMPUTED_VALUE"""),11.0)</f>
        <v>11</v>
      </c>
      <c r="C2031" s="11">
        <f>IFERROR(__xludf.DUMMYFUNCTION("""COMPUTED_VALUE"""),79669.0)</f>
        <v>79669</v>
      </c>
      <c r="D2031" s="11">
        <f>IFERROR(__xludf.DUMMYFUNCTION("""COMPUTED_VALUE"""),333.0)</f>
        <v>333</v>
      </c>
      <c r="E2031" s="9"/>
    </row>
    <row r="2032">
      <c r="A2032" s="11">
        <f>IFERROR(__xludf.DUMMYFUNCTION("""COMPUTED_VALUE"""),2021.0)</f>
        <v>2021</v>
      </c>
      <c r="B2032" s="11">
        <f>IFERROR(__xludf.DUMMYFUNCTION("""COMPUTED_VALUE"""),9.0)</f>
        <v>9</v>
      </c>
      <c r="C2032" s="11">
        <f>IFERROR(__xludf.DUMMYFUNCTION("""COMPUTED_VALUE"""),122294.0)</f>
        <v>122294</v>
      </c>
      <c r="D2032" s="11">
        <f>IFERROR(__xludf.DUMMYFUNCTION("""COMPUTED_VALUE"""),681.0)</f>
        <v>681</v>
      </c>
      <c r="E2032" s="9"/>
    </row>
    <row r="2033">
      <c r="A2033" s="11">
        <f>IFERROR(__xludf.DUMMYFUNCTION("""COMPUTED_VALUE"""),2021.0)</f>
        <v>2021</v>
      </c>
      <c r="B2033" s="11">
        <f>IFERROR(__xludf.DUMMYFUNCTION("""COMPUTED_VALUE"""),8.0)</f>
        <v>8</v>
      </c>
      <c r="C2033" s="11">
        <f>IFERROR(__xludf.DUMMYFUNCTION("""COMPUTED_VALUE"""),73245.0)</f>
        <v>73245</v>
      </c>
      <c r="D2033" s="11">
        <f>IFERROR(__xludf.DUMMYFUNCTION("""COMPUTED_VALUE"""),1502.0)</f>
        <v>1502</v>
      </c>
      <c r="E2033" s="9"/>
    </row>
    <row r="2034">
      <c r="A2034" s="11">
        <f>IFERROR(__xludf.DUMMYFUNCTION("""COMPUTED_VALUE"""),2021.0)</f>
        <v>2021</v>
      </c>
      <c r="B2034" s="11">
        <f>IFERROR(__xludf.DUMMYFUNCTION("""COMPUTED_VALUE"""),8.0)</f>
        <v>8</v>
      </c>
      <c r="C2034" s="11">
        <f>IFERROR(__xludf.DUMMYFUNCTION("""COMPUTED_VALUE"""),122082.0)</f>
        <v>122082</v>
      </c>
      <c r="D2034" s="11">
        <f>IFERROR(__xludf.DUMMYFUNCTION("""COMPUTED_VALUE"""),823.0)</f>
        <v>823</v>
      </c>
      <c r="E2034" s="9"/>
    </row>
    <row r="2035">
      <c r="A2035" s="11">
        <f>IFERROR(__xludf.DUMMYFUNCTION("""COMPUTED_VALUE"""),2021.0)</f>
        <v>2021</v>
      </c>
      <c r="B2035" s="11">
        <f>IFERROR(__xludf.DUMMYFUNCTION("""COMPUTED_VALUE"""),9.0)</f>
        <v>9</v>
      </c>
      <c r="C2035" s="11">
        <f>IFERROR(__xludf.DUMMYFUNCTION("""COMPUTED_VALUE"""),194501.0)</f>
        <v>194501</v>
      </c>
      <c r="D2035" s="11">
        <f>IFERROR(__xludf.DUMMYFUNCTION("""COMPUTED_VALUE"""),720.0)</f>
        <v>720</v>
      </c>
      <c r="E2035" s="9"/>
    </row>
    <row r="2036">
      <c r="A2036" s="11">
        <f>IFERROR(__xludf.DUMMYFUNCTION("""COMPUTED_VALUE"""),2021.0)</f>
        <v>2021</v>
      </c>
      <c r="B2036" s="11">
        <f>IFERROR(__xludf.DUMMYFUNCTION("""COMPUTED_VALUE"""),11.0)</f>
        <v>11</v>
      </c>
      <c r="C2036" s="11">
        <f>IFERROR(__xludf.DUMMYFUNCTION("""COMPUTED_VALUE"""),79105.0)</f>
        <v>79105</v>
      </c>
      <c r="D2036" s="11">
        <f>IFERROR(__xludf.DUMMYFUNCTION("""COMPUTED_VALUE"""),519.0)</f>
        <v>519</v>
      </c>
      <c r="E2036" s="9"/>
    </row>
    <row r="2037">
      <c r="A2037" s="11">
        <f>IFERROR(__xludf.DUMMYFUNCTION("""COMPUTED_VALUE"""),2021.0)</f>
        <v>2021</v>
      </c>
      <c r="B2037" s="11">
        <f>IFERROR(__xludf.DUMMYFUNCTION("""COMPUTED_VALUE"""),9.0)</f>
        <v>9</v>
      </c>
      <c r="C2037" s="11">
        <f>IFERROR(__xludf.DUMMYFUNCTION("""COMPUTED_VALUE"""),87769.0)</f>
        <v>87769</v>
      </c>
      <c r="D2037" s="11">
        <f>IFERROR(__xludf.DUMMYFUNCTION("""COMPUTED_VALUE"""),1532.0)</f>
        <v>1532</v>
      </c>
      <c r="E2037" s="9"/>
    </row>
    <row r="2038">
      <c r="A2038" s="11">
        <f>IFERROR(__xludf.DUMMYFUNCTION("""COMPUTED_VALUE"""),2021.0)</f>
        <v>2021</v>
      </c>
      <c r="B2038" s="11">
        <f>IFERROR(__xludf.DUMMYFUNCTION("""COMPUTED_VALUE"""),9.0)</f>
        <v>9</v>
      </c>
      <c r="C2038" s="11">
        <f>IFERROR(__xludf.DUMMYFUNCTION("""COMPUTED_VALUE"""),9734.0)</f>
        <v>9734</v>
      </c>
      <c r="D2038" s="11">
        <f>IFERROR(__xludf.DUMMYFUNCTION("""COMPUTED_VALUE"""),374.0)</f>
        <v>374</v>
      </c>
      <c r="E2038" s="9"/>
    </row>
    <row r="2039">
      <c r="A2039" s="11">
        <f>IFERROR(__xludf.DUMMYFUNCTION("""COMPUTED_VALUE"""),2021.0)</f>
        <v>2021</v>
      </c>
      <c r="B2039" s="11">
        <f>IFERROR(__xludf.DUMMYFUNCTION("""COMPUTED_VALUE"""),10.0)</f>
        <v>10</v>
      </c>
      <c r="C2039" s="11">
        <f>IFERROR(__xludf.DUMMYFUNCTION("""COMPUTED_VALUE"""),149615.0)</f>
        <v>149615</v>
      </c>
      <c r="D2039" s="11">
        <f>IFERROR(__xludf.DUMMYFUNCTION("""COMPUTED_VALUE"""),781.0)</f>
        <v>781</v>
      </c>
      <c r="E2039" s="9"/>
    </row>
    <row r="2040">
      <c r="A2040" s="11">
        <f>IFERROR(__xludf.DUMMYFUNCTION("""COMPUTED_VALUE"""),2021.0)</f>
        <v>2021</v>
      </c>
      <c r="B2040" s="11">
        <f>IFERROR(__xludf.DUMMYFUNCTION("""COMPUTED_VALUE"""),8.0)</f>
        <v>8</v>
      </c>
      <c r="C2040" s="11">
        <f>IFERROR(__xludf.DUMMYFUNCTION("""COMPUTED_VALUE"""),108966.0)</f>
        <v>108966</v>
      </c>
      <c r="D2040" s="11">
        <f>IFERROR(__xludf.DUMMYFUNCTION("""COMPUTED_VALUE"""),18.0)</f>
        <v>18</v>
      </c>
      <c r="E2040" s="9"/>
    </row>
    <row r="2041">
      <c r="A2041" s="11">
        <f>IFERROR(__xludf.DUMMYFUNCTION("""COMPUTED_VALUE"""),2021.0)</f>
        <v>2021</v>
      </c>
      <c r="B2041" s="11">
        <f>IFERROR(__xludf.DUMMYFUNCTION("""COMPUTED_VALUE"""),11.0)</f>
        <v>11</v>
      </c>
      <c r="C2041" s="11">
        <f>IFERROR(__xludf.DUMMYFUNCTION("""COMPUTED_VALUE"""),116943.0)</f>
        <v>116943</v>
      </c>
      <c r="D2041" s="11">
        <f>IFERROR(__xludf.DUMMYFUNCTION("""COMPUTED_VALUE"""),1909.0)</f>
        <v>1909</v>
      </c>
      <c r="E2041" s="9"/>
    </row>
    <row r="2042">
      <c r="A2042" s="11">
        <f>IFERROR(__xludf.DUMMYFUNCTION("""COMPUTED_VALUE"""),2021.0)</f>
        <v>2021</v>
      </c>
      <c r="B2042" s="11">
        <f>IFERROR(__xludf.DUMMYFUNCTION("""COMPUTED_VALUE"""),9.0)</f>
        <v>9</v>
      </c>
      <c r="C2042" s="11">
        <f>IFERROR(__xludf.DUMMYFUNCTION("""COMPUTED_VALUE"""),46769.0)</f>
        <v>46769</v>
      </c>
      <c r="D2042" s="11">
        <f>IFERROR(__xludf.DUMMYFUNCTION("""COMPUTED_VALUE"""),1626.0)</f>
        <v>1626</v>
      </c>
      <c r="E2042" s="9"/>
    </row>
    <row r="2043">
      <c r="A2043" s="11">
        <f>IFERROR(__xludf.DUMMYFUNCTION("""COMPUTED_VALUE"""),2021.0)</f>
        <v>2021</v>
      </c>
      <c r="B2043" s="11">
        <f>IFERROR(__xludf.DUMMYFUNCTION("""COMPUTED_VALUE"""),8.0)</f>
        <v>8</v>
      </c>
      <c r="C2043" s="11">
        <f>IFERROR(__xludf.DUMMYFUNCTION("""COMPUTED_VALUE"""),87766.0)</f>
        <v>87766</v>
      </c>
      <c r="D2043" s="11">
        <f>IFERROR(__xludf.DUMMYFUNCTION("""COMPUTED_VALUE"""),108.0)</f>
        <v>108</v>
      </c>
      <c r="E2043" s="9"/>
    </row>
    <row r="2044">
      <c r="A2044" s="11">
        <f>IFERROR(__xludf.DUMMYFUNCTION("""COMPUTED_VALUE"""),2021.0)</f>
        <v>2021</v>
      </c>
      <c r="B2044" s="11">
        <f>IFERROR(__xludf.DUMMYFUNCTION("""COMPUTED_VALUE"""),9.0)</f>
        <v>9</v>
      </c>
      <c r="C2044" s="11">
        <f>IFERROR(__xludf.DUMMYFUNCTION("""COMPUTED_VALUE"""),110701.0)</f>
        <v>110701</v>
      </c>
      <c r="D2044" s="11">
        <f>IFERROR(__xludf.DUMMYFUNCTION("""COMPUTED_VALUE"""),1154.0)</f>
        <v>1154</v>
      </c>
      <c r="E2044" s="9"/>
    </row>
    <row r="2045">
      <c r="A2045" s="11">
        <f>IFERROR(__xludf.DUMMYFUNCTION("""COMPUTED_VALUE"""),2021.0)</f>
        <v>2021</v>
      </c>
      <c r="B2045" s="11">
        <f>IFERROR(__xludf.DUMMYFUNCTION("""COMPUTED_VALUE"""),10.0)</f>
        <v>10</v>
      </c>
      <c r="C2045" s="11">
        <f>IFERROR(__xludf.DUMMYFUNCTION("""COMPUTED_VALUE"""),4205.0)</f>
        <v>4205</v>
      </c>
      <c r="D2045" s="11">
        <f>IFERROR(__xludf.DUMMYFUNCTION("""COMPUTED_VALUE"""),1248.0)</f>
        <v>1248</v>
      </c>
      <c r="E2045" s="9"/>
    </row>
    <row r="2046">
      <c r="A2046" s="11">
        <f>IFERROR(__xludf.DUMMYFUNCTION("""COMPUTED_VALUE"""),2021.0)</f>
        <v>2021</v>
      </c>
      <c r="B2046" s="11">
        <f>IFERROR(__xludf.DUMMYFUNCTION("""COMPUTED_VALUE"""),11.0)</f>
        <v>11</v>
      </c>
      <c r="C2046" s="11">
        <f>IFERROR(__xludf.DUMMYFUNCTION("""COMPUTED_VALUE"""),122615.0)</f>
        <v>122615</v>
      </c>
      <c r="D2046" s="11">
        <f>IFERROR(__xludf.DUMMYFUNCTION("""COMPUTED_VALUE"""),916.0)</f>
        <v>916</v>
      </c>
      <c r="E2046" s="9"/>
    </row>
    <row r="2047">
      <c r="A2047" s="11">
        <f>IFERROR(__xludf.DUMMYFUNCTION("""COMPUTED_VALUE"""),2021.0)</f>
        <v>2021</v>
      </c>
      <c r="B2047" s="11">
        <f>IFERROR(__xludf.DUMMYFUNCTION("""COMPUTED_VALUE"""),9.0)</f>
        <v>9</v>
      </c>
      <c r="C2047" s="11">
        <f>IFERROR(__xludf.DUMMYFUNCTION("""COMPUTED_VALUE"""),87800.0)</f>
        <v>87800</v>
      </c>
      <c r="D2047" s="11">
        <f>IFERROR(__xludf.DUMMYFUNCTION("""COMPUTED_VALUE"""),504.0)</f>
        <v>504</v>
      </c>
      <c r="E2047" s="9"/>
    </row>
    <row r="2048">
      <c r="A2048" s="11">
        <f>IFERROR(__xludf.DUMMYFUNCTION("""COMPUTED_VALUE"""),2021.0)</f>
        <v>2021</v>
      </c>
      <c r="B2048" s="11">
        <f>IFERROR(__xludf.DUMMYFUNCTION("""COMPUTED_VALUE"""),10.0)</f>
        <v>10</v>
      </c>
      <c r="C2048" s="11">
        <f>IFERROR(__xludf.DUMMYFUNCTION("""COMPUTED_VALUE"""),87801.0)</f>
        <v>87801</v>
      </c>
      <c r="D2048" s="11">
        <f>IFERROR(__xludf.DUMMYFUNCTION("""COMPUTED_VALUE"""),1012.0)</f>
        <v>1012</v>
      </c>
      <c r="E2048" s="9"/>
    </row>
    <row r="2049">
      <c r="A2049" s="11">
        <f>IFERROR(__xludf.DUMMYFUNCTION("""COMPUTED_VALUE"""),2021.0)</f>
        <v>2021</v>
      </c>
      <c r="B2049" s="11">
        <f>IFERROR(__xludf.DUMMYFUNCTION("""COMPUTED_VALUE"""),8.0)</f>
        <v>8</v>
      </c>
      <c r="C2049" s="11">
        <f>IFERROR(__xludf.DUMMYFUNCTION("""COMPUTED_VALUE"""),87767.0)</f>
        <v>87767</v>
      </c>
      <c r="D2049" s="11">
        <f>IFERROR(__xludf.DUMMYFUNCTION("""COMPUTED_VALUE"""),284.0)</f>
        <v>284</v>
      </c>
      <c r="E2049" s="9"/>
    </row>
    <row r="2050">
      <c r="A2050" s="11">
        <f>IFERROR(__xludf.DUMMYFUNCTION("""COMPUTED_VALUE"""),2021.0)</f>
        <v>2021</v>
      </c>
      <c r="B2050" s="11">
        <f>IFERROR(__xludf.DUMMYFUNCTION("""COMPUTED_VALUE"""),10.0)</f>
        <v>10</v>
      </c>
      <c r="C2050" s="11">
        <f>IFERROR(__xludf.DUMMYFUNCTION("""COMPUTED_VALUE"""),82454.0)</f>
        <v>82454</v>
      </c>
      <c r="D2050" s="11">
        <f>IFERROR(__xludf.DUMMYFUNCTION("""COMPUTED_VALUE"""),701.0)</f>
        <v>701</v>
      </c>
      <c r="E2050" s="9"/>
    </row>
    <row r="2051">
      <c r="A2051" s="11">
        <f>IFERROR(__xludf.DUMMYFUNCTION("""COMPUTED_VALUE"""),2021.0)</f>
        <v>2021</v>
      </c>
      <c r="B2051" s="11">
        <f>IFERROR(__xludf.DUMMYFUNCTION("""COMPUTED_VALUE"""),8.0)</f>
        <v>8</v>
      </c>
      <c r="C2051" s="11">
        <f>IFERROR(__xludf.DUMMYFUNCTION("""COMPUTED_VALUE"""),194506.0)</f>
        <v>194506</v>
      </c>
      <c r="D2051" s="11">
        <f>IFERROR(__xludf.DUMMYFUNCTION("""COMPUTED_VALUE"""),36.0)</f>
        <v>36</v>
      </c>
      <c r="E2051" s="9"/>
    </row>
    <row r="2052">
      <c r="A2052" s="11">
        <f>IFERROR(__xludf.DUMMYFUNCTION("""COMPUTED_VALUE"""),2021.0)</f>
        <v>2021</v>
      </c>
      <c r="B2052" s="11">
        <f>IFERROR(__xludf.DUMMYFUNCTION("""COMPUTED_VALUE"""),11.0)</f>
        <v>11</v>
      </c>
      <c r="C2052" s="11">
        <f>IFERROR(__xludf.DUMMYFUNCTION("""COMPUTED_VALUE"""),16240.0)</f>
        <v>16240</v>
      </c>
      <c r="D2052" s="11">
        <f>IFERROR(__xludf.DUMMYFUNCTION("""COMPUTED_VALUE"""),471.0)</f>
        <v>471</v>
      </c>
      <c r="E2052" s="9"/>
    </row>
    <row r="2053">
      <c r="A2053" s="11">
        <f>IFERROR(__xludf.DUMMYFUNCTION("""COMPUTED_VALUE"""),2021.0)</f>
        <v>2021</v>
      </c>
      <c r="B2053" s="11">
        <f>IFERROR(__xludf.DUMMYFUNCTION("""COMPUTED_VALUE"""),8.0)</f>
        <v>8</v>
      </c>
      <c r="C2053" s="11">
        <f>IFERROR(__xludf.DUMMYFUNCTION("""COMPUTED_VALUE"""),16237.0)</f>
        <v>16237</v>
      </c>
      <c r="D2053" s="11">
        <f>IFERROR(__xludf.DUMMYFUNCTION("""COMPUTED_VALUE"""),1597.0)</f>
        <v>1597</v>
      </c>
      <c r="E2053" s="9"/>
    </row>
    <row r="2054">
      <c r="A2054" s="11">
        <f>IFERROR(__xludf.DUMMYFUNCTION("""COMPUTED_VALUE"""),2021.0)</f>
        <v>2021</v>
      </c>
      <c r="B2054" s="11">
        <f>IFERROR(__xludf.DUMMYFUNCTION("""COMPUTED_VALUE"""),8.0)</f>
        <v>8</v>
      </c>
      <c r="C2054" s="11">
        <f>IFERROR(__xludf.DUMMYFUNCTION("""COMPUTED_VALUE"""),122760.0)</f>
        <v>122760</v>
      </c>
      <c r="D2054" s="11">
        <f>IFERROR(__xludf.DUMMYFUNCTION("""COMPUTED_VALUE"""),1516.0)</f>
        <v>1516</v>
      </c>
      <c r="E2054" s="9"/>
    </row>
    <row r="2055">
      <c r="A2055" s="11">
        <f>IFERROR(__xludf.DUMMYFUNCTION("""COMPUTED_VALUE"""),2021.0)</f>
        <v>2021</v>
      </c>
      <c r="B2055" s="11">
        <f>IFERROR(__xludf.DUMMYFUNCTION("""COMPUTED_VALUE"""),11.0)</f>
        <v>11</v>
      </c>
      <c r="C2055" s="11">
        <f>IFERROR(__xludf.DUMMYFUNCTION("""COMPUTED_VALUE"""),82446.0)</f>
        <v>82446</v>
      </c>
      <c r="D2055" s="11">
        <f>IFERROR(__xludf.DUMMYFUNCTION("""COMPUTED_VALUE"""),285.0)</f>
        <v>285</v>
      </c>
      <c r="E2055" s="9"/>
    </row>
    <row r="2056">
      <c r="A2056" s="11">
        <f>IFERROR(__xludf.DUMMYFUNCTION("""COMPUTED_VALUE"""),2021.0)</f>
        <v>2021</v>
      </c>
      <c r="B2056" s="11">
        <f>IFERROR(__xludf.DUMMYFUNCTION("""COMPUTED_VALUE"""),9.0)</f>
        <v>9</v>
      </c>
      <c r="C2056" s="11">
        <f>IFERROR(__xludf.DUMMYFUNCTION("""COMPUTED_VALUE"""),118333.0)</f>
        <v>118333</v>
      </c>
      <c r="D2056" s="11">
        <f>IFERROR(__xludf.DUMMYFUNCTION("""COMPUTED_VALUE"""),990.0)</f>
        <v>990</v>
      </c>
      <c r="E2056" s="9"/>
    </row>
    <row r="2057">
      <c r="A2057" s="11">
        <f>IFERROR(__xludf.DUMMYFUNCTION("""COMPUTED_VALUE"""),2021.0)</f>
        <v>2021</v>
      </c>
      <c r="B2057" s="11">
        <f>IFERROR(__xludf.DUMMYFUNCTION("""COMPUTED_VALUE"""),11.0)</f>
        <v>11</v>
      </c>
      <c r="C2057" s="11">
        <f>IFERROR(__xludf.DUMMYFUNCTION("""COMPUTED_VALUE"""),122774.0)</f>
        <v>122774</v>
      </c>
      <c r="D2057" s="11">
        <f>IFERROR(__xludf.DUMMYFUNCTION("""COMPUTED_VALUE"""),1321.0)</f>
        <v>1321</v>
      </c>
      <c r="E2057" s="9"/>
    </row>
    <row r="2058">
      <c r="A2058" s="11">
        <f>IFERROR(__xludf.DUMMYFUNCTION("""COMPUTED_VALUE"""),2021.0)</f>
        <v>2021</v>
      </c>
      <c r="B2058" s="11">
        <f>IFERROR(__xludf.DUMMYFUNCTION("""COMPUTED_VALUE"""),10.0)</f>
        <v>10</v>
      </c>
      <c r="C2058" s="11">
        <f>IFERROR(__xludf.DUMMYFUNCTION("""COMPUTED_VALUE"""),87789.0)</f>
        <v>87789</v>
      </c>
      <c r="D2058" s="11">
        <f>IFERROR(__xludf.DUMMYFUNCTION("""COMPUTED_VALUE"""),72.0)</f>
        <v>72</v>
      </c>
      <c r="E2058" s="9"/>
    </row>
    <row r="2059">
      <c r="A2059" s="11">
        <f>IFERROR(__xludf.DUMMYFUNCTION("""COMPUTED_VALUE"""),2021.0)</f>
        <v>2021</v>
      </c>
      <c r="B2059" s="11">
        <f>IFERROR(__xludf.DUMMYFUNCTION("""COMPUTED_VALUE"""),8.0)</f>
        <v>8</v>
      </c>
      <c r="C2059" s="11">
        <f>IFERROR(__xludf.DUMMYFUNCTION("""COMPUTED_VALUE"""),111159.0)</f>
        <v>111159</v>
      </c>
      <c r="D2059" s="11">
        <f>IFERROR(__xludf.DUMMYFUNCTION("""COMPUTED_VALUE"""),867.0)</f>
        <v>867</v>
      </c>
      <c r="E2059" s="9"/>
    </row>
    <row r="2060">
      <c r="A2060" s="11">
        <f>IFERROR(__xludf.DUMMYFUNCTION("""COMPUTED_VALUE"""),2021.0)</f>
        <v>2021</v>
      </c>
      <c r="B2060" s="11">
        <f>IFERROR(__xludf.DUMMYFUNCTION("""COMPUTED_VALUE"""),11.0)</f>
        <v>11</v>
      </c>
      <c r="C2060" s="11">
        <f>IFERROR(__xludf.DUMMYFUNCTION("""COMPUTED_VALUE"""),194500.0)</f>
        <v>194500</v>
      </c>
      <c r="D2060" s="11">
        <f>IFERROR(__xludf.DUMMYFUNCTION("""COMPUTED_VALUE"""),853.0)</f>
        <v>853</v>
      </c>
      <c r="E2060" s="9"/>
    </row>
    <row r="2061">
      <c r="A2061" s="11">
        <f>IFERROR(__xludf.DUMMYFUNCTION("""COMPUTED_VALUE"""),2021.0)</f>
        <v>2021</v>
      </c>
      <c r="B2061" s="11">
        <f>IFERROR(__xludf.DUMMYFUNCTION("""COMPUTED_VALUE"""),11.0)</f>
        <v>11</v>
      </c>
      <c r="C2061" s="11">
        <f>IFERROR(__xludf.DUMMYFUNCTION("""COMPUTED_VALUE"""),80432.0)</f>
        <v>80432</v>
      </c>
      <c r="D2061" s="11">
        <f>IFERROR(__xludf.DUMMYFUNCTION("""COMPUTED_VALUE"""),691.0)</f>
        <v>691</v>
      </c>
      <c r="E2061" s="9"/>
    </row>
    <row r="2062">
      <c r="A2062" s="11">
        <f>IFERROR(__xludf.DUMMYFUNCTION("""COMPUTED_VALUE"""),2021.0)</f>
        <v>2021</v>
      </c>
      <c r="B2062" s="11">
        <f>IFERROR(__xludf.DUMMYFUNCTION("""COMPUTED_VALUE"""),11.0)</f>
        <v>11</v>
      </c>
      <c r="C2062" s="11">
        <f>IFERROR(__xludf.DUMMYFUNCTION("""COMPUTED_VALUE"""),122636.0)</f>
        <v>122636</v>
      </c>
      <c r="D2062" s="11">
        <f>IFERROR(__xludf.DUMMYFUNCTION("""COMPUTED_VALUE"""),660.0)</f>
        <v>660</v>
      </c>
      <c r="E2062" s="9"/>
    </row>
    <row r="2063">
      <c r="A2063" s="11">
        <f>IFERROR(__xludf.DUMMYFUNCTION("""COMPUTED_VALUE"""),2021.0)</f>
        <v>2021</v>
      </c>
      <c r="B2063" s="11">
        <f>IFERROR(__xludf.DUMMYFUNCTION("""COMPUTED_VALUE"""),9.0)</f>
        <v>9</v>
      </c>
      <c r="C2063" s="11">
        <f>IFERROR(__xludf.DUMMYFUNCTION("""COMPUTED_VALUE"""),110697.0)</f>
        <v>110697</v>
      </c>
      <c r="D2063" s="11">
        <f>IFERROR(__xludf.DUMMYFUNCTION("""COMPUTED_VALUE"""),1115.0)</f>
        <v>1115</v>
      </c>
      <c r="E2063" s="9"/>
    </row>
    <row r="2064">
      <c r="A2064" s="11">
        <f>IFERROR(__xludf.DUMMYFUNCTION("""COMPUTED_VALUE"""),2021.0)</f>
        <v>2021</v>
      </c>
      <c r="B2064" s="11">
        <f>IFERROR(__xludf.DUMMYFUNCTION("""COMPUTED_VALUE"""),10.0)</f>
        <v>10</v>
      </c>
      <c r="C2064" s="11">
        <f>IFERROR(__xludf.DUMMYFUNCTION("""COMPUTED_VALUE"""),117966.0)</f>
        <v>117966</v>
      </c>
      <c r="D2064" s="11">
        <f>IFERROR(__xludf.DUMMYFUNCTION("""COMPUTED_VALUE"""),1676.0)</f>
        <v>1676</v>
      </c>
      <c r="E2064" s="9"/>
    </row>
    <row r="2065">
      <c r="A2065" s="11">
        <f>IFERROR(__xludf.DUMMYFUNCTION("""COMPUTED_VALUE"""),2021.0)</f>
        <v>2021</v>
      </c>
      <c r="B2065" s="11">
        <f>IFERROR(__xludf.DUMMYFUNCTION("""COMPUTED_VALUE"""),10.0)</f>
        <v>10</v>
      </c>
      <c r="C2065" s="11">
        <f>IFERROR(__xludf.DUMMYFUNCTION("""COMPUTED_VALUE"""),122782.0)</f>
        <v>122782</v>
      </c>
      <c r="D2065" s="11">
        <f>IFERROR(__xludf.DUMMYFUNCTION("""COMPUTED_VALUE"""),521.0)</f>
        <v>521</v>
      </c>
      <c r="E2065" s="9"/>
    </row>
    <row r="2066">
      <c r="A2066" s="11">
        <f>IFERROR(__xludf.DUMMYFUNCTION("""COMPUTED_VALUE"""),2021.0)</f>
        <v>2021</v>
      </c>
      <c r="B2066" s="11">
        <f>IFERROR(__xludf.DUMMYFUNCTION("""COMPUTED_VALUE"""),8.0)</f>
        <v>8</v>
      </c>
      <c r="C2066" s="11">
        <f>IFERROR(__xludf.DUMMYFUNCTION("""COMPUTED_VALUE"""),49358.0)</f>
        <v>49358</v>
      </c>
      <c r="D2066" s="11">
        <f>IFERROR(__xludf.DUMMYFUNCTION("""COMPUTED_VALUE"""),744.0)</f>
        <v>744</v>
      </c>
      <c r="E2066" s="9"/>
    </row>
    <row r="2067">
      <c r="A2067" s="11">
        <f>IFERROR(__xludf.DUMMYFUNCTION("""COMPUTED_VALUE"""),2021.0)</f>
        <v>2021</v>
      </c>
      <c r="B2067" s="11">
        <f>IFERROR(__xludf.DUMMYFUNCTION("""COMPUTED_VALUE"""),11.0)</f>
        <v>11</v>
      </c>
      <c r="C2067" s="11">
        <f>IFERROR(__xludf.DUMMYFUNCTION("""COMPUTED_VALUE"""),190250.0)</f>
        <v>190250</v>
      </c>
      <c r="D2067" s="11">
        <f>IFERROR(__xludf.DUMMYFUNCTION("""COMPUTED_VALUE"""),890.0)</f>
        <v>890</v>
      </c>
      <c r="E2067" s="9"/>
    </row>
    <row r="2068">
      <c r="A2068" s="11">
        <f>IFERROR(__xludf.DUMMYFUNCTION("""COMPUTED_VALUE"""),2021.0)</f>
        <v>2021</v>
      </c>
      <c r="B2068" s="11">
        <f>IFERROR(__xludf.DUMMYFUNCTION("""COMPUTED_VALUE"""),9.0)</f>
        <v>9</v>
      </c>
      <c r="C2068" s="11">
        <f>IFERROR(__xludf.DUMMYFUNCTION("""COMPUTED_VALUE"""),100243.0)</f>
        <v>100243</v>
      </c>
      <c r="D2068" s="11">
        <f>IFERROR(__xludf.DUMMYFUNCTION("""COMPUTED_VALUE"""),1499.0)</f>
        <v>1499</v>
      </c>
      <c r="E2068" s="9"/>
    </row>
    <row r="2069">
      <c r="A2069" s="11">
        <f>IFERROR(__xludf.DUMMYFUNCTION("""COMPUTED_VALUE"""),2021.0)</f>
        <v>2021</v>
      </c>
      <c r="B2069" s="11">
        <f>IFERROR(__xludf.DUMMYFUNCTION("""COMPUTED_VALUE"""),11.0)</f>
        <v>11</v>
      </c>
      <c r="C2069" s="11">
        <f>IFERROR(__xludf.DUMMYFUNCTION("""COMPUTED_VALUE"""),87773.0)</f>
        <v>87773</v>
      </c>
      <c r="D2069" s="11">
        <f>IFERROR(__xludf.DUMMYFUNCTION("""COMPUTED_VALUE"""),176.0)</f>
        <v>176</v>
      </c>
      <c r="E2069" s="9"/>
    </row>
    <row r="2070">
      <c r="A2070" s="11">
        <f>IFERROR(__xludf.DUMMYFUNCTION("""COMPUTED_VALUE"""),2021.0)</f>
        <v>2021</v>
      </c>
      <c r="B2070" s="11">
        <f>IFERROR(__xludf.DUMMYFUNCTION("""COMPUTED_VALUE"""),8.0)</f>
        <v>8</v>
      </c>
      <c r="C2070" s="11">
        <f>IFERROR(__xludf.DUMMYFUNCTION("""COMPUTED_VALUE"""),79103.0)</f>
        <v>79103</v>
      </c>
      <c r="D2070" s="11">
        <f>IFERROR(__xludf.DUMMYFUNCTION("""COMPUTED_VALUE"""),1157.0)</f>
        <v>1157</v>
      </c>
      <c r="E2070" s="9"/>
    </row>
    <row r="2071">
      <c r="A2071" s="11">
        <f>IFERROR(__xludf.DUMMYFUNCTION("""COMPUTED_VALUE"""),2021.0)</f>
        <v>2021</v>
      </c>
      <c r="B2071" s="11">
        <f>IFERROR(__xludf.DUMMYFUNCTION("""COMPUTED_VALUE"""),9.0)</f>
        <v>9</v>
      </c>
      <c r="C2071" s="11">
        <f>IFERROR(__xludf.DUMMYFUNCTION("""COMPUTED_VALUE"""),87759.0)</f>
        <v>87759</v>
      </c>
      <c r="D2071" s="11">
        <f>IFERROR(__xludf.DUMMYFUNCTION("""COMPUTED_VALUE"""),705.0)</f>
        <v>705</v>
      </c>
      <c r="E2071" s="9"/>
    </row>
    <row r="2072">
      <c r="A2072" s="11">
        <f>IFERROR(__xludf.DUMMYFUNCTION("""COMPUTED_VALUE"""),2021.0)</f>
        <v>2021</v>
      </c>
      <c r="B2072" s="11">
        <f>IFERROR(__xludf.DUMMYFUNCTION("""COMPUTED_VALUE"""),11.0)</f>
        <v>11</v>
      </c>
      <c r="C2072" s="11">
        <f>IFERROR(__xludf.DUMMYFUNCTION("""COMPUTED_VALUE"""),82461.0)</f>
        <v>82461</v>
      </c>
      <c r="D2072" s="11">
        <f>IFERROR(__xludf.DUMMYFUNCTION("""COMPUTED_VALUE"""),1910.0)</f>
        <v>1910</v>
      </c>
      <c r="E2072" s="9"/>
    </row>
    <row r="2073">
      <c r="A2073" s="11">
        <f>IFERROR(__xludf.DUMMYFUNCTION("""COMPUTED_VALUE"""),2021.0)</f>
        <v>2021</v>
      </c>
      <c r="B2073" s="11">
        <f>IFERROR(__xludf.DUMMYFUNCTION("""COMPUTED_VALUE"""),8.0)</f>
        <v>8</v>
      </c>
      <c r="C2073" s="11">
        <f>IFERROR(__xludf.DUMMYFUNCTION("""COMPUTED_VALUE"""),122613.0)</f>
        <v>122613</v>
      </c>
      <c r="D2073" s="11">
        <f>IFERROR(__xludf.DUMMYFUNCTION("""COMPUTED_VALUE"""),601.0)</f>
        <v>601</v>
      </c>
      <c r="E2073" s="9"/>
    </row>
    <row r="2074">
      <c r="A2074" s="11">
        <f>IFERROR(__xludf.DUMMYFUNCTION("""COMPUTED_VALUE"""),2021.0)</f>
        <v>2021</v>
      </c>
      <c r="B2074" s="11">
        <f>IFERROR(__xludf.DUMMYFUNCTION("""COMPUTED_VALUE"""),8.0)</f>
        <v>8</v>
      </c>
      <c r="C2074" s="11">
        <f>IFERROR(__xludf.DUMMYFUNCTION("""COMPUTED_VALUE"""),79746.0)</f>
        <v>79746</v>
      </c>
      <c r="D2074" s="11">
        <f>IFERROR(__xludf.DUMMYFUNCTION("""COMPUTED_VALUE"""),561.0)</f>
        <v>561</v>
      </c>
      <c r="E2074" s="9"/>
    </row>
    <row r="2075">
      <c r="A2075" s="11">
        <f>IFERROR(__xludf.DUMMYFUNCTION("""COMPUTED_VALUE"""),2021.0)</f>
        <v>2021</v>
      </c>
      <c r="B2075" s="11">
        <f>IFERROR(__xludf.DUMMYFUNCTION("""COMPUTED_VALUE"""),11.0)</f>
        <v>11</v>
      </c>
      <c r="C2075" s="11">
        <f>IFERROR(__xludf.DUMMYFUNCTION("""COMPUTED_VALUE"""),110860.0)</f>
        <v>110860</v>
      </c>
      <c r="D2075" s="11">
        <f>IFERROR(__xludf.DUMMYFUNCTION("""COMPUTED_VALUE"""),516.0)</f>
        <v>516</v>
      </c>
      <c r="E2075" s="9"/>
    </row>
    <row r="2076">
      <c r="A2076" s="11">
        <f>IFERROR(__xludf.DUMMYFUNCTION("""COMPUTED_VALUE"""),2021.0)</f>
        <v>2021</v>
      </c>
      <c r="B2076" s="11">
        <f>IFERROR(__xludf.DUMMYFUNCTION("""COMPUTED_VALUE"""),8.0)</f>
        <v>8</v>
      </c>
      <c r="C2076" s="11">
        <f>IFERROR(__xludf.DUMMYFUNCTION("""COMPUTED_VALUE"""),49355.0)</f>
        <v>49355</v>
      </c>
      <c r="D2076" s="11">
        <f>IFERROR(__xludf.DUMMYFUNCTION("""COMPUTED_VALUE"""),1124.0)</f>
        <v>1124</v>
      </c>
      <c r="E2076" s="9"/>
    </row>
    <row r="2077">
      <c r="A2077" s="11">
        <f>IFERROR(__xludf.DUMMYFUNCTION("""COMPUTED_VALUE"""),2021.0)</f>
        <v>2021</v>
      </c>
      <c r="B2077" s="11">
        <f>IFERROR(__xludf.DUMMYFUNCTION("""COMPUTED_VALUE"""),8.0)</f>
        <v>8</v>
      </c>
      <c r="C2077" s="11">
        <f>IFERROR(__xludf.DUMMYFUNCTION("""COMPUTED_VALUE"""),93520.0)</f>
        <v>93520</v>
      </c>
      <c r="D2077" s="11">
        <f>IFERROR(__xludf.DUMMYFUNCTION("""COMPUTED_VALUE"""),469.0)</f>
        <v>469</v>
      </c>
      <c r="E2077" s="9"/>
    </row>
    <row r="2078">
      <c r="A2078" s="11">
        <f>IFERROR(__xludf.DUMMYFUNCTION("""COMPUTED_VALUE"""),2021.0)</f>
        <v>2021</v>
      </c>
      <c r="B2078" s="11">
        <f>IFERROR(__xludf.DUMMYFUNCTION("""COMPUTED_VALUE"""),10.0)</f>
        <v>10</v>
      </c>
      <c r="C2078" s="11">
        <f>IFERROR(__xludf.DUMMYFUNCTION("""COMPUTED_VALUE"""),87765.0)</f>
        <v>87765</v>
      </c>
      <c r="D2078" s="11">
        <f>IFERROR(__xludf.DUMMYFUNCTION("""COMPUTED_VALUE"""),411.0)</f>
        <v>411</v>
      </c>
      <c r="E2078" s="9"/>
    </row>
    <row r="2079">
      <c r="A2079" s="11">
        <f>IFERROR(__xludf.DUMMYFUNCTION("""COMPUTED_VALUE"""),2021.0)</f>
        <v>2021</v>
      </c>
      <c r="B2079" s="11">
        <f>IFERROR(__xludf.DUMMYFUNCTION("""COMPUTED_VALUE"""),11.0)</f>
        <v>11</v>
      </c>
      <c r="C2079" s="11">
        <f>IFERROR(__xludf.DUMMYFUNCTION("""COMPUTED_VALUE"""),110863.0)</f>
        <v>110863</v>
      </c>
      <c r="D2079" s="11">
        <f>IFERROR(__xludf.DUMMYFUNCTION("""COMPUTED_VALUE"""),423.0)</f>
        <v>423</v>
      </c>
      <c r="E2079" s="9"/>
    </row>
    <row r="2080">
      <c r="A2080" s="11">
        <f>IFERROR(__xludf.DUMMYFUNCTION("""COMPUTED_VALUE"""),2021.0)</f>
        <v>2021</v>
      </c>
      <c r="B2080" s="11">
        <f>IFERROR(__xludf.DUMMYFUNCTION("""COMPUTED_VALUE"""),11.0)</f>
        <v>11</v>
      </c>
      <c r="C2080" s="11">
        <f>IFERROR(__xludf.DUMMYFUNCTION("""COMPUTED_VALUE"""),16238.0)</f>
        <v>16238</v>
      </c>
      <c r="D2080" s="11">
        <f>IFERROR(__xludf.DUMMYFUNCTION("""COMPUTED_VALUE"""),644.0)</f>
        <v>644</v>
      </c>
      <c r="E2080" s="9"/>
    </row>
    <row r="2081">
      <c r="A2081" s="11">
        <f>IFERROR(__xludf.DUMMYFUNCTION("""COMPUTED_VALUE"""),2021.0)</f>
        <v>2021</v>
      </c>
      <c r="B2081" s="11">
        <f>IFERROR(__xludf.DUMMYFUNCTION("""COMPUTED_VALUE"""),11.0)</f>
        <v>11</v>
      </c>
      <c r="C2081" s="11">
        <f>IFERROR(__xludf.DUMMYFUNCTION("""COMPUTED_VALUE"""),122643.0)</f>
        <v>122643</v>
      </c>
      <c r="D2081" s="11">
        <f>IFERROR(__xludf.DUMMYFUNCTION("""COMPUTED_VALUE"""),1123.0)</f>
        <v>1123</v>
      </c>
      <c r="E2081" s="9"/>
    </row>
    <row r="2082">
      <c r="A2082" s="11">
        <f>IFERROR(__xludf.DUMMYFUNCTION("""COMPUTED_VALUE"""),2021.0)</f>
        <v>2021</v>
      </c>
      <c r="B2082" s="11">
        <f>IFERROR(__xludf.DUMMYFUNCTION("""COMPUTED_VALUE"""),11.0)</f>
        <v>11</v>
      </c>
      <c r="C2082" s="11">
        <f>IFERROR(__xludf.DUMMYFUNCTION("""COMPUTED_VALUE"""),82452.0)</f>
        <v>82452</v>
      </c>
      <c r="D2082" s="11">
        <f>IFERROR(__xludf.DUMMYFUNCTION("""COMPUTED_VALUE"""),1661.0)</f>
        <v>1661</v>
      </c>
      <c r="E2082" s="9"/>
    </row>
    <row r="2083">
      <c r="A2083" s="11">
        <f>IFERROR(__xludf.DUMMYFUNCTION("""COMPUTED_VALUE"""),2021.0)</f>
        <v>2021</v>
      </c>
      <c r="B2083" s="11">
        <f>IFERROR(__xludf.DUMMYFUNCTION("""COMPUTED_VALUE"""),8.0)</f>
        <v>8</v>
      </c>
      <c r="C2083" s="11">
        <f>IFERROR(__xludf.DUMMYFUNCTION("""COMPUTED_VALUE"""),122775.0)</f>
        <v>122775</v>
      </c>
      <c r="D2083" s="11">
        <f>IFERROR(__xludf.DUMMYFUNCTION("""COMPUTED_VALUE"""),1447.0)</f>
        <v>1447</v>
      </c>
      <c r="E2083" s="9"/>
    </row>
    <row r="2084">
      <c r="A2084" s="11">
        <f>IFERROR(__xludf.DUMMYFUNCTION("""COMPUTED_VALUE"""),2021.0)</f>
        <v>2021</v>
      </c>
      <c r="B2084" s="11">
        <f>IFERROR(__xludf.DUMMYFUNCTION("""COMPUTED_VALUE"""),11.0)</f>
        <v>11</v>
      </c>
      <c r="C2084" s="11">
        <f>IFERROR(__xludf.DUMMYFUNCTION("""COMPUTED_VALUE"""),100240.0)</f>
        <v>100240</v>
      </c>
      <c r="D2084" s="11">
        <f>IFERROR(__xludf.DUMMYFUNCTION("""COMPUTED_VALUE"""),187.0)</f>
        <v>187</v>
      </c>
      <c r="E2084" s="9"/>
    </row>
    <row r="2085">
      <c r="A2085" s="11">
        <f>IFERROR(__xludf.DUMMYFUNCTION("""COMPUTED_VALUE"""),2021.0)</f>
        <v>2021</v>
      </c>
      <c r="B2085" s="11">
        <f>IFERROR(__xludf.DUMMYFUNCTION("""COMPUTED_VALUE"""),9.0)</f>
        <v>9</v>
      </c>
      <c r="C2085" s="11">
        <f>IFERROR(__xludf.DUMMYFUNCTION("""COMPUTED_VALUE"""),87758.0)</f>
        <v>87758</v>
      </c>
      <c r="D2085" s="11">
        <f>IFERROR(__xludf.DUMMYFUNCTION("""COMPUTED_VALUE"""),1623.0)</f>
        <v>1623</v>
      </c>
      <c r="E2085" s="9"/>
    </row>
    <row r="2086">
      <c r="A2086" s="11">
        <f>IFERROR(__xludf.DUMMYFUNCTION("""COMPUTED_VALUE"""),2021.0)</f>
        <v>2021</v>
      </c>
      <c r="B2086" s="11">
        <f>IFERROR(__xludf.DUMMYFUNCTION("""COMPUTED_VALUE"""),9.0)</f>
        <v>9</v>
      </c>
      <c r="C2086" s="11">
        <f>IFERROR(__xludf.DUMMYFUNCTION("""COMPUTED_VALUE"""),110689.0)</f>
        <v>110689</v>
      </c>
      <c r="D2086" s="11">
        <f>IFERROR(__xludf.DUMMYFUNCTION("""COMPUTED_VALUE"""),424.0)</f>
        <v>424</v>
      </c>
      <c r="E2086" s="9"/>
    </row>
    <row r="2087">
      <c r="A2087" s="11">
        <f>IFERROR(__xludf.DUMMYFUNCTION("""COMPUTED_VALUE"""),2021.0)</f>
        <v>2021</v>
      </c>
      <c r="B2087" s="11">
        <f>IFERROR(__xludf.DUMMYFUNCTION("""COMPUTED_VALUE"""),9.0)</f>
        <v>9</v>
      </c>
      <c r="C2087" s="11">
        <f>IFERROR(__xludf.DUMMYFUNCTION("""COMPUTED_VALUE"""),110704.0)</f>
        <v>110704</v>
      </c>
      <c r="D2087" s="11">
        <f>IFERROR(__xludf.DUMMYFUNCTION("""COMPUTED_VALUE"""),206.0)</f>
        <v>206</v>
      </c>
      <c r="E2087" s="9"/>
    </row>
    <row r="2088">
      <c r="A2088" s="11">
        <f>IFERROR(__xludf.DUMMYFUNCTION("""COMPUTED_VALUE"""),2021.0)</f>
        <v>2021</v>
      </c>
      <c r="B2088" s="11">
        <f>IFERROR(__xludf.DUMMYFUNCTION("""COMPUTED_VALUE"""),10.0)</f>
        <v>10</v>
      </c>
      <c r="C2088" s="11">
        <f>IFERROR(__xludf.DUMMYFUNCTION("""COMPUTED_VALUE"""),82455.0)</f>
        <v>82455</v>
      </c>
      <c r="D2088" s="11">
        <f>IFERROR(__xludf.DUMMYFUNCTION("""COMPUTED_VALUE"""),79.0)</f>
        <v>79</v>
      </c>
      <c r="E2088" s="9"/>
    </row>
    <row r="2089">
      <c r="A2089" s="11">
        <f>IFERROR(__xludf.DUMMYFUNCTION("""COMPUTED_VALUE"""),2021.0)</f>
        <v>2021</v>
      </c>
      <c r="B2089" s="11">
        <f>IFERROR(__xludf.DUMMYFUNCTION("""COMPUTED_VALUE"""),10.0)</f>
        <v>10</v>
      </c>
      <c r="C2089" s="11">
        <f>IFERROR(__xludf.DUMMYFUNCTION("""COMPUTED_VALUE"""),127013.0)</f>
        <v>127013</v>
      </c>
      <c r="D2089" s="11">
        <f>IFERROR(__xludf.DUMMYFUNCTION("""COMPUTED_VALUE"""),1259.0)</f>
        <v>1259</v>
      </c>
      <c r="E2089" s="9"/>
    </row>
    <row r="2090">
      <c r="A2090" s="11">
        <f>IFERROR(__xludf.DUMMYFUNCTION("""COMPUTED_VALUE"""),2021.0)</f>
        <v>2021</v>
      </c>
      <c r="B2090" s="11">
        <f>IFERROR(__xludf.DUMMYFUNCTION("""COMPUTED_VALUE"""),10.0)</f>
        <v>10</v>
      </c>
      <c r="C2090" s="11">
        <f>IFERROR(__xludf.DUMMYFUNCTION("""COMPUTED_VALUE"""),113063.0)</f>
        <v>113063</v>
      </c>
      <c r="D2090" s="11">
        <f>IFERROR(__xludf.DUMMYFUNCTION("""COMPUTED_VALUE"""),359.0)</f>
        <v>359</v>
      </c>
      <c r="E2090" s="9"/>
    </row>
    <row r="2091">
      <c r="A2091" s="11">
        <f>IFERROR(__xludf.DUMMYFUNCTION("""COMPUTED_VALUE"""),2021.0)</f>
        <v>2021</v>
      </c>
      <c r="B2091" s="11">
        <f>IFERROR(__xludf.DUMMYFUNCTION("""COMPUTED_VALUE"""),10.0)</f>
        <v>10</v>
      </c>
      <c r="C2091" s="11">
        <f>IFERROR(__xludf.DUMMYFUNCTION("""COMPUTED_VALUE"""),11296.0)</f>
        <v>11296</v>
      </c>
      <c r="D2091" s="11">
        <f>IFERROR(__xludf.DUMMYFUNCTION("""COMPUTED_VALUE"""),1158.0)</f>
        <v>1158</v>
      </c>
      <c r="E2091" s="9"/>
    </row>
    <row r="2092">
      <c r="A2092" s="11">
        <f>IFERROR(__xludf.DUMMYFUNCTION("""COMPUTED_VALUE"""),2021.0)</f>
        <v>2021</v>
      </c>
      <c r="B2092" s="11">
        <f>IFERROR(__xludf.DUMMYFUNCTION("""COMPUTED_VALUE"""),11.0)</f>
        <v>11</v>
      </c>
      <c r="C2092" s="11">
        <f>IFERROR(__xludf.DUMMYFUNCTION("""COMPUTED_VALUE"""),105305.0)</f>
        <v>105305</v>
      </c>
      <c r="D2092" s="11">
        <f>IFERROR(__xludf.DUMMYFUNCTION("""COMPUTED_VALUE"""),1551.0)</f>
        <v>1551</v>
      </c>
      <c r="E2092" s="9"/>
    </row>
    <row r="2093">
      <c r="A2093" s="11">
        <f>IFERROR(__xludf.DUMMYFUNCTION("""COMPUTED_VALUE"""),2021.0)</f>
        <v>2021</v>
      </c>
      <c r="B2093" s="11">
        <f>IFERROR(__xludf.DUMMYFUNCTION("""COMPUTED_VALUE"""),8.0)</f>
        <v>8</v>
      </c>
      <c r="C2093" s="11">
        <f>IFERROR(__xludf.DUMMYFUNCTION("""COMPUTED_VALUE"""),73244.0)</f>
        <v>73244</v>
      </c>
      <c r="D2093" s="11">
        <f>IFERROR(__xludf.DUMMYFUNCTION("""COMPUTED_VALUE"""),1925.0)</f>
        <v>1925</v>
      </c>
      <c r="E2093" s="9"/>
    </row>
    <row r="2094">
      <c r="A2094" s="11">
        <f>IFERROR(__xludf.DUMMYFUNCTION("""COMPUTED_VALUE"""),2021.0)</f>
        <v>2021</v>
      </c>
      <c r="B2094" s="11">
        <f>IFERROR(__xludf.DUMMYFUNCTION("""COMPUTED_VALUE"""),9.0)</f>
        <v>9</v>
      </c>
      <c r="C2094" s="11">
        <f>IFERROR(__xludf.DUMMYFUNCTION("""COMPUTED_VALUE"""),82458.0)</f>
        <v>82458</v>
      </c>
      <c r="D2094" s="11">
        <f>IFERROR(__xludf.DUMMYFUNCTION("""COMPUTED_VALUE"""),1774.0)</f>
        <v>1774</v>
      </c>
      <c r="E2094" s="9"/>
    </row>
    <row r="2095">
      <c r="A2095" s="11">
        <f>IFERROR(__xludf.DUMMYFUNCTION("""COMPUTED_VALUE"""),2021.0)</f>
        <v>2021</v>
      </c>
      <c r="B2095" s="11">
        <f>IFERROR(__xludf.DUMMYFUNCTION("""COMPUTED_VALUE"""),11.0)</f>
        <v>11</v>
      </c>
      <c r="C2095" s="11">
        <f>IFERROR(__xludf.DUMMYFUNCTION("""COMPUTED_VALUE"""),105302.0)</f>
        <v>105302</v>
      </c>
      <c r="D2095" s="11">
        <f>IFERROR(__xludf.DUMMYFUNCTION("""COMPUTED_VALUE"""),674.0)</f>
        <v>674</v>
      </c>
      <c r="E2095" s="9"/>
    </row>
    <row r="2096">
      <c r="A2096" s="11">
        <f>IFERROR(__xludf.DUMMYFUNCTION("""COMPUTED_VALUE"""),2021.0)</f>
        <v>2021</v>
      </c>
      <c r="B2096" s="11">
        <f>IFERROR(__xludf.DUMMYFUNCTION("""COMPUTED_VALUE"""),10.0)</f>
        <v>10</v>
      </c>
      <c r="C2096" s="11">
        <f>IFERROR(__xludf.DUMMYFUNCTION("""COMPUTED_VALUE"""),150951.0)</f>
        <v>150951</v>
      </c>
      <c r="D2096" s="11">
        <f>IFERROR(__xludf.DUMMYFUNCTION("""COMPUTED_VALUE"""),1263.0)</f>
        <v>1263</v>
      </c>
      <c r="E2096" s="9"/>
    </row>
    <row r="2097">
      <c r="A2097" s="11">
        <f>IFERROR(__xludf.DUMMYFUNCTION("""COMPUTED_VALUE"""),2021.0)</f>
        <v>2021</v>
      </c>
      <c r="B2097" s="11">
        <f>IFERROR(__xludf.DUMMYFUNCTION("""COMPUTED_VALUE"""),9.0)</f>
        <v>9</v>
      </c>
      <c r="C2097" s="11">
        <f>IFERROR(__xludf.DUMMYFUNCTION("""COMPUTED_VALUE"""),122492.0)</f>
        <v>122492</v>
      </c>
      <c r="D2097" s="11">
        <f>IFERROR(__xludf.DUMMYFUNCTION("""COMPUTED_VALUE"""),1218.0)</f>
        <v>1218</v>
      </c>
      <c r="E2097" s="9"/>
    </row>
    <row r="2098">
      <c r="A2098" s="11">
        <f>IFERROR(__xludf.DUMMYFUNCTION("""COMPUTED_VALUE"""),2021.0)</f>
        <v>2021</v>
      </c>
      <c r="B2098" s="11">
        <f>IFERROR(__xludf.DUMMYFUNCTION("""COMPUTED_VALUE"""),8.0)</f>
        <v>8</v>
      </c>
      <c r="C2098" s="11">
        <f>IFERROR(__xludf.DUMMYFUNCTION("""COMPUTED_VALUE"""),110436.0)</f>
        <v>110436</v>
      </c>
      <c r="D2098" s="11">
        <f>IFERROR(__xludf.DUMMYFUNCTION("""COMPUTED_VALUE"""),1409.0)</f>
        <v>1409</v>
      </c>
      <c r="E2098" s="9"/>
    </row>
    <row r="2099">
      <c r="A2099" s="11">
        <f>IFERROR(__xludf.DUMMYFUNCTION("""COMPUTED_VALUE"""),2021.0)</f>
        <v>2021</v>
      </c>
      <c r="B2099" s="11">
        <f>IFERROR(__xludf.DUMMYFUNCTION("""COMPUTED_VALUE"""),11.0)</f>
        <v>11</v>
      </c>
      <c r="C2099" s="11">
        <f>IFERROR(__xludf.DUMMYFUNCTION("""COMPUTED_VALUE"""),10674.0)</f>
        <v>10674</v>
      </c>
      <c r="D2099" s="11">
        <f>IFERROR(__xludf.DUMMYFUNCTION("""COMPUTED_VALUE"""),1192.0)</f>
        <v>1192</v>
      </c>
      <c r="E2099" s="9"/>
    </row>
    <row r="2100">
      <c r="A2100" s="11">
        <f>IFERROR(__xludf.DUMMYFUNCTION("""COMPUTED_VALUE"""),2021.0)</f>
        <v>2021</v>
      </c>
      <c r="B2100" s="11">
        <f>IFERROR(__xludf.DUMMYFUNCTION("""COMPUTED_VALUE"""),10.0)</f>
        <v>10</v>
      </c>
      <c r="C2100" s="11">
        <f>IFERROR(__xludf.DUMMYFUNCTION("""COMPUTED_VALUE"""),117166.0)</f>
        <v>117166</v>
      </c>
      <c r="D2100" s="11">
        <f>IFERROR(__xludf.DUMMYFUNCTION("""COMPUTED_VALUE"""),1181.0)</f>
        <v>1181</v>
      </c>
      <c r="E2100" s="9"/>
    </row>
    <row r="2101">
      <c r="A2101" s="11">
        <f>IFERROR(__xludf.DUMMYFUNCTION("""COMPUTED_VALUE"""),2021.0)</f>
        <v>2021</v>
      </c>
      <c r="B2101" s="11">
        <f>IFERROR(__xludf.DUMMYFUNCTION("""COMPUTED_VALUE"""),9.0)</f>
        <v>9</v>
      </c>
      <c r="C2101" s="11">
        <f>IFERROR(__xludf.DUMMYFUNCTION("""COMPUTED_VALUE"""),111776.0)</f>
        <v>111776</v>
      </c>
      <c r="D2101" s="11">
        <f>IFERROR(__xludf.DUMMYFUNCTION("""COMPUTED_VALUE"""),607.0)</f>
        <v>607</v>
      </c>
      <c r="E2101" s="9"/>
    </row>
    <row r="2102">
      <c r="A2102" s="11">
        <f>IFERROR(__xludf.DUMMYFUNCTION("""COMPUTED_VALUE"""),2021.0)</f>
        <v>2021</v>
      </c>
      <c r="B2102" s="11">
        <f>IFERROR(__xludf.DUMMYFUNCTION("""COMPUTED_VALUE"""),8.0)</f>
        <v>8</v>
      </c>
      <c r="C2102" s="11">
        <f>IFERROR(__xludf.DUMMYFUNCTION("""COMPUTED_VALUE"""),122388.0)</f>
        <v>122388</v>
      </c>
      <c r="D2102" s="11">
        <f>IFERROR(__xludf.DUMMYFUNCTION("""COMPUTED_VALUE"""),1220.0)</f>
        <v>1220</v>
      </c>
      <c r="E2102" s="9"/>
    </row>
    <row r="2103">
      <c r="A2103" s="11">
        <f>IFERROR(__xludf.DUMMYFUNCTION("""COMPUTED_VALUE"""),2021.0)</f>
        <v>2021</v>
      </c>
      <c r="B2103" s="11">
        <f>IFERROR(__xludf.DUMMYFUNCTION("""COMPUTED_VALUE"""),9.0)</f>
        <v>9</v>
      </c>
      <c r="C2103" s="11">
        <f>IFERROR(__xludf.DUMMYFUNCTION("""COMPUTED_VALUE"""),117160.0)</f>
        <v>117160</v>
      </c>
      <c r="D2103" s="11">
        <f>IFERROR(__xludf.DUMMYFUNCTION("""COMPUTED_VALUE"""),776.0)</f>
        <v>776</v>
      </c>
      <c r="E2103" s="9"/>
    </row>
    <row r="2104">
      <c r="A2104" s="11">
        <f>IFERROR(__xludf.DUMMYFUNCTION("""COMPUTED_VALUE"""),2021.0)</f>
        <v>2021</v>
      </c>
      <c r="B2104" s="11">
        <f>IFERROR(__xludf.DUMMYFUNCTION("""COMPUTED_VALUE"""),11.0)</f>
        <v>11</v>
      </c>
      <c r="C2104" s="11">
        <f>IFERROR(__xludf.DUMMYFUNCTION("""COMPUTED_VALUE"""),98795.0)</f>
        <v>98795</v>
      </c>
      <c r="D2104" s="11">
        <f>IFERROR(__xludf.DUMMYFUNCTION("""COMPUTED_VALUE"""),647.0)</f>
        <v>647</v>
      </c>
      <c r="E2104" s="9"/>
    </row>
    <row r="2105">
      <c r="A2105" s="11">
        <f>IFERROR(__xludf.DUMMYFUNCTION("""COMPUTED_VALUE"""),2021.0)</f>
        <v>2021</v>
      </c>
      <c r="B2105" s="11">
        <f>IFERROR(__xludf.DUMMYFUNCTION("""COMPUTED_VALUE"""),9.0)</f>
        <v>9</v>
      </c>
      <c r="C2105" s="11">
        <f>IFERROR(__xludf.DUMMYFUNCTION("""COMPUTED_VALUE"""),117150.0)</f>
        <v>117150</v>
      </c>
      <c r="D2105" s="11">
        <f>IFERROR(__xludf.DUMMYFUNCTION("""COMPUTED_VALUE"""),104.0)</f>
        <v>104</v>
      </c>
      <c r="E2105" s="9"/>
    </row>
    <row r="2106">
      <c r="A2106" s="11">
        <f>IFERROR(__xludf.DUMMYFUNCTION("""COMPUTED_VALUE"""),2021.0)</f>
        <v>2021</v>
      </c>
      <c r="B2106" s="11">
        <f>IFERROR(__xludf.DUMMYFUNCTION("""COMPUTED_VALUE"""),10.0)</f>
        <v>10</v>
      </c>
      <c r="C2106" s="11">
        <f>IFERROR(__xludf.DUMMYFUNCTION("""COMPUTED_VALUE"""),109416.0)</f>
        <v>109416</v>
      </c>
      <c r="D2106" s="11">
        <f>IFERROR(__xludf.DUMMYFUNCTION("""COMPUTED_VALUE"""),1048.0)</f>
        <v>1048</v>
      </c>
      <c r="E2106" s="9"/>
    </row>
    <row r="2107">
      <c r="A2107" s="11">
        <f>IFERROR(__xludf.DUMMYFUNCTION("""COMPUTED_VALUE"""),2021.0)</f>
        <v>2021</v>
      </c>
      <c r="B2107" s="11">
        <f>IFERROR(__xludf.DUMMYFUNCTION("""COMPUTED_VALUE"""),11.0)</f>
        <v>11</v>
      </c>
      <c r="C2107" s="11">
        <f>IFERROR(__xludf.DUMMYFUNCTION("""COMPUTED_VALUE"""),122291.0)</f>
        <v>122291</v>
      </c>
      <c r="D2107" s="11">
        <f>IFERROR(__xludf.DUMMYFUNCTION("""COMPUTED_VALUE"""),1166.0)</f>
        <v>1166</v>
      </c>
      <c r="E2107" s="9"/>
    </row>
    <row r="2108">
      <c r="A2108" s="11">
        <f>IFERROR(__xludf.DUMMYFUNCTION("""COMPUTED_VALUE"""),2021.0)</f>
        <v>2021</v>
      </c>
      <c r="B2108" s="11">
        <f>IFERROR(__xludf.DUMMYFUNCTION("""COMPUTED_VALUE"""),9.0)</f>
        <v>9</v>
      </c>
      <c r="C2108" s="11">
        <f>IFERROR(__xludf.DUMMYFUNCTION("""COMPUTED_VALUE"""),21820.0)</f>
        <v>21820</v>
      </c>
      <c r="D2108" s="11">
        <f>IFERROR(__xludf.DUMMYFUNCTION("""COMPUTED_VALUE"""),155.0)</f>
        <v>155</v>
      </c>
      <c r="E2108" s="9"/>
    </row>
    <row r="2109">
      <c r="A2109" s="11">
        <f>IFERROR(__xludf.DUMMYFUNCTION("""COMPUTED_VALUE"""),2021.0)</f>
        <v>2021</v>
      </c>
      <c r="B2109" s="11">
        <f>IFERROR(__xludf.DUMMYFUNCTION("""COMPUTED_VALUE"""),8.0)</f>
        <v>8</v>
      </c>
      <c r="C2109" s="11">
        <f>IFERROR(__xludf.DUMMYFUNCTION("""COMPUTED_VALUE"""),150105.0)</f>
        <v>150105</v>
      </c>
      <c r="D2109" s="11">
        <f>IFERROR(__xludf.DUMMYFUNCTION("""COMPUTED_VALUE"""),1691.0)</f>
        <v>1691</v>
      </c>
      <c r="E2109" s="9"/>
    </row>
    <row r="2110">
      <c r="A2110" s="11">
        <f>IFERROR(__xludf.DUMMYFUNCTION("""COMPUTED_VALUE"""),2021.0)</f>
        <v>2021</v>
      </c>
      <c r="B2110" s="11">
        <f>IFERROR(__xludf.DUMMYFUNCTION("""COMPUTED_VALUE"""),9.0)</f>
        <v>9</v>
      </c>
      <c r="C2110" s="11">
        <f>IFERROR(__xludf.DUMMYFUNCTION("""COMPUTED_VALUE"""),46474.0)</f>
        <v>46474</v>
      </c>
      <c r="D2110" s="11">
        <f>IFERROR(__xludf.DUMMYFUNCTION("""COMPUTED_VALUE"""),1311.0)</f>
        <v>1311</v>
      </c>
      <c r="E2110" s="9"/>
    </row>
    <row r="2111">
      <c r="A2111" s="11">
        <f>IFERROR(__xludf.DUMMYFUNCTION("""COMPUTED_VALUE"""),2021.0)</f>
        <v>2021</v>
      </c>
      <c r="B2111" s="11">
        <f>IFERROR(__xludf.DUMMYFUNCTION("""COMPUTED_VALUE"""),11.0)</f>
        <v>11</v>
      </c>
      <c r="C2111" s="11">
        <f>IFERROR(__xludf.DUMMYFUNCTION("""COMPUTED_VALUE"""),118207.0)</f>
        <v>118207</v>
      </c>
      <c r="D2111" s="11">
        <f>IFERROR(__xludf.DUMMYFUNCTION("""COMPUTED_VALUE"""),1353.0)</f>
        <v>1353</v>
      </c>
      <c r="E2111" s="9"/>
    </row>
    <row r="2112">
      <c r="A2112" s="11">
        <f>IFERROR(__xludf.DUMMYFUNCTION("""COMPUTED_VALUE"""),2021.0)</f>
        <v>2021</v>
      </c>
      <c r="B2112" s="11">
        <f>IFERROR(__xludf.DUMMYFUNCTION("""COMPUTED_VALUE"""),8.0)</f>
        <v>8</v>
      </c>
      <c r="C2112" s="11">
        <f>IFERROR(__xludf.DUMMYFUNCTION("""COMPUTED_VALUE"""),111007.0)</f>
        <v>111007</v>
      </c>
      <c r="D2112" s="11">
        <f>IFERROR(__xludf.DUMMYFUNCTION("""COMPUTED_VALUE"""),502.0)</f>
        <v>502</v>
      </c>
      <c r="E2112" s="9"/>
    </row>
    <row r="2113">
      <c r="A2113" s="11">
        <f>IFERROR(__xludf.DUMMYFUNCTION("""COMPUTED_VALUE"""),2021.0)</f>
        <v>2021</v>
      </c>
      <c r="B2113" s="11">
        <f>IFERROR(__xludf.DUMMYFUNCTION("""COMPUTED_VALUE"""),10.0)</f>
        <v>10</v>
      </c>
      <c r="C2113" s="11">
        <f>IFERROR(__xludf.DUMMYFUNCTION("""COMPUTED_VALUE"""),9727.0)</f>
        <v>9727</v>
      </c>
      <c r="D2113" s="11">
        <f>IFERROR(__xludf.DUMMYFUNCTION("""COMPUTED_VALUE"""),223.0)</f>
        <v>223</v>
      </c>
      <c r="E2113" s="9"/>
    </row>
    <row r="2114">
      <c r="A2114" s="11">
        <f>IFERROR(__xludf.DUMMYFUNCTION("""COMPUTED_VALUE"""),2021.0)</f>
        <v>2021</v>
      </c>
      <c r="B2114" s="11">
        <f>IFERROR(__xludf.DUMMYFUNCTION("""COMPUTED_VALUE"""),11.0)</f>
        <v>11</v>
      </c>
      <c r="C2114" s="11">
        <f>IFERROR(__xludf.DUMMYFUNCTION("""COMPUTED_VALUE"""),72321.0)</f>
        <v>72321</v>
      </c>
      <c r="D2114" s="11">
        <f>IFERROR(__xludf.DUMMYFUNCTION("""COMPUTED_VALUE"""),1359.0)</f>
        <v>1359</v>
      </c>
      <c r="E2114" s="9"/>
    </row>
    <row r="2115">
      <c r="A2115" s="11">
        <f>IFERROR(__xludf.DUMMYFUNCTION("""COMPUTED_VALUE"""),2021.0)</f>
        <v>2021</v>
      </c>
      <c r="B2115" s="11">
        <f>IFERROR(__xludf.DUMMYFUNCTION("""COMPUTED_VALUE"""),11.0)</f>
        <v>11</v>
      </c>
      <c r="C2115" s="11">
        <f>IFERROR(__xludf.DUMMYFUNCTION("""COMPUTED_VALUE"""),100063.0)</f>
        <v>100063</v>
      </c>
      <c r="D2115" s="11">
        <f>IFERROR(__xludf.DUMMYFUNCTION("""COMPUTED_VALUE"""),1877.0)</f>
        <v>1877</v>
      </c>
      <c r="E2115" s="9"/>
    </row>
    <row r="2116">
      <c r="A2116" s="11">
        <f>IFERROR(__xludf.DUMMYFUNCTION("""COMPUTED_VALUE"""),2021.0)</f>
        <v>2021</v>
      </c>
      <c r="B2116" s="11">
        <f>IFERROR(__xludf.DUMMYFUNCTION("""COMPUTED_VALUE"""),10.0)</f>
        <v>10</v>
      </c>
      <c r="C2116" s="11">
        <f>IFERROR(__xludf.DUMMYFUNCTION("""COMPUTED_VALUE"""),79818.0)</f>
        <v>79818</v>
      </c>
      <c r="D2116" s="11">
        <f>IFERROR(__xludf.DUMMYFUNCTION("""COMPUTED_VALUE"""),1149.0)</f>
        <v>1149</v>
      </c>
      <c r="E2116" s="9"/>
    </row>
    <row r="2117">
      <c r="A2117" s="11">
        <f>IFERROR(__xludf.DUMMYFUNCTION("""COMPUTED_VALUE"""),2021.0)</f>
        <v>2021</v>
      </c>
      <c r="B2117" s="11">
        <f>IFERROR(__xludf.DUMMYFUNCTION("""COMPUTED_VALUE"""),10.0)</f>
        <v>10</v>
      </c>
      <c r="C2117" s="11">
        <f>IFERROR(__xludf.DUMMYFUNCTION("""COMPUTED_VALUE"""),121731.0)</f>
        <v>121731</v>
      </c>
      <c r="D2117" s="11">
        <f>IFERROR(__xludf.DUMMYFUNCTION("""COMPUTED_VALUE"""),807.0)</f>
        <v>807</v>
      </c>
      <c r="E2117" s="9"/>
    </row>
    <row r="2118">
      <c r="A2118" s="11">
        <f>IFERROR(__xludf.DUMMYFUNCTION("""COMPUTED_VALUE"""),2021.0)</f>
        <v>2021</v>
      </c>
      <c r="B2118" s="11">
        <f>IFERROR(__xludf.DUMMYFUNCTION("""COMPUTED_VALUE"""),8.0)</f>
        <v>8</v>
      </c>
      <c r="C2118" s="11">
        <f>IFERROR(__xludf.DUMMYFUNCTION("""COMPUTED_VALUE"""),200584.0)</f>
        <v>200584</v>
      </c>
      <c r="D2118" s="11">
        <f>IFERROR(__xludf.DUMMYFUNCTION("""COMPUTED_VALUE"""),1629.0)</f>
        <v>1629</v>
      </c>
      <c r="E2118" s="9"/>
    </row>
    <row r="2119">
      <c r="A2119" s="11">
        <f>IFERROR(__xludf.DUMMYFUNCTION("""COMPUTED_VALUE"""),2021.0)</f>
        <v>2021</v>
      </c>
      <c r="B2119" s="11">
        <f>IFERROR(__xludf.DUMMYFUNCTION("""COMPUTED_VALUE"""),11.0)</f>
        <v>11</v>
      </c>
      <c r="C2119" s="11">
        <f>IFERROR(__xludf.DUMMYFUNCTION("""COMPUTED_VALUE"""),68600.0)</f>
        <v>68600</v>
      </c>
      <c r="D2119" s="11">
        <f>IFERROR(__xludf.DUMMYFUNCTION("""COMPUTED_VALUE"""),32.0)</f>
        <v>32</v>
      </c>
      <c r="E2119" s="9"/>
    </row>
    <row r="2120">
      <c r="A2120" s="11">
        <f>IFERROR(__xludf.DUMMYFUNCTION("""COMPUTED_VALUE"""),2021.0)</f>
        <v>2021</v>
      </c>
      <c r="B2120" s="11">
        <f>IFERROR(__xludf.DUMMYFUNCTION("""COMPUTED_VALUE"""),10.0)</f>
        <v>10</v>
      </c>
      <c r="C2120" s="11">
        <f>IFERROR(__xludf.DUMMYFUNCTION("""COMPUTED_VALUE"""),98788.0)</f>
        <v>98788</v>
      </c>
      <c r="D2120" s="11">
        <f>IFERROR(__xludf.DUMMYFUNCTION("""COMPUTED_VALUE"""),1491.0)</f>
        <v>1491</v>
      </c>
      <c r="E2120" s="9"/>
    </row>
    <row r="2121">
      <c r="A2121" s="11">
        <f>IFERROR(__xludf.DUMMYFUNCTION("""COMPUTED_VALUE"""),2021.0)</f>
        <v>2021</v>
      </c>
      <c r="B2121" s="11">
        <f>IFERROR(__xludf.DUMMYFUNCTION("""COMPUTED_VALUE"""),8.0)</f>
        <v>8</v>
      </c>
      <c r="C2121" s="11">
        <f>IFERROR(__xludf.DUMMYFUNCTION("""COMPUTED_VALUE"""),122390.0)</f>
        <v>122390</v>
      </c>
      <c r="D2121" s="11">
        <f>IFERROR(__xludf.DUMMYFUNCTION("""COMPUTED_VALUE"""),916.0)</f>
        <v>916</v>
      </c>
      <c r="E2121" s="9"/>
    </row>
    <row r="2122">
      <c r="A2122" s="11">
        <f>IFERROR(__xludf.DUMMYFUNCTION("""COMPUTED_VALUE"""),2021.0)</f>
        <v>2021</v>
      </c>
      <c r="B2122" s="11">
        <f>IFERROR(__xludf.DUMMYFUNCTION("""COMPUTED_VALUE"""),8.0)</f>
        <v>8</v>
      </c>
      <c r="C2122" s="11">
        <f>IFERROR(__xludf.DUMMYFUNCTION("""COMPUTED_VALUE"""),109930.0)</f>
        <v>109930</v>
      </c>
      <c r="D2122" s="11">
        <f>IFERROR(__xludf.DUMMYFUNCTION("""COMPUTED_VALUE"""),1328.0)</f>
        <v>1328</v>
      </c>
      <c r="E2122" s="9"/>
    </row>
    <row r="2123">
      <c r="A2123" s="11">
        <f>IFERROR(__xludf.DUMMYFUNCTION("""COMPUTED_VALUE"""),2021.0)</f>
        <v>2021</v>
      </c>
      <c r="B2123" s="11">
        <f>IFERROR(__xludf.DUMMYFUNCTION("""COMPUTED_VALUE"""),11.0)</f>
        <v>11</v>
      </c>
      <c r="C2123" s="11">
        <f>IFERROR(__xludf.DUMMYFUNCTION("""COMPUTED_VALUE"""),118299.0)</f>
        <v>118299</v>
      </c>
      <c r="D2123" s="11">
        <f>IFERROR(__xludf.DUMMYFUNCTION("""COMPUTED_VALUE"""),205.0)</f>
        <v>205</v>
      </c>
      <c r="E2123" s="9"/>
    </row>
    <row r="2124">
      <c r="A2124" s="11">
        <f>IFERROR(__xludf.DUMMYFUNCTION("""COMPUTED_VALUE"""),2021.0)</f>
        <v>2021</v>
      </c>
      <c r="B2124" s="11">
        <f>IFERROR(__xludf.DUMMYFUNCTION("""COMPUTED_VALUE"""),10.0)</f>
        <v>10</v>
      </c>
      <c r="C2124" s="11">
        <f>IFERROR(__xludf.DUMMYFUNCTION("""COMPUTED_VALUE"""),72320.0)</f>
        <v>72320</v>
      </c>
      <c r="D2124" s="11">
        <f>IFERROR(__xludf.DUMMYFUNCTION("""COMPUTED_VALUE"""),81.0)</f>
        <v>81</v>
      </c>
      <c r="E2124" s="9"/>
    </row>
    <row r="2125">
      <c r="A2125" s="11">
        <f>IFERROR(__xludf.DUMMYFUNCTION("""COMPUTED_VALUE"""),2021.0)</f>
        <v>2021</v>
      </c>
      <c r="B2125" s="11">
        <f>IFERROR(__xludf.DUMMYFUNCTION("""COMPUTED_VALUE"""),11.0)</f>
        <v>11</v>
      </c>
      <c r="C2125" s="11">
        <f>IFERROR(__xludf.DUMMYFUNCTION("""COMPUTED_VALUE"""),87839.0)</f>
        <v>87839</v>
      </c>
      <c r="D2125" s="11">
        <f>IFERROR(__xludf.DUMMYFUNCTION("""COMPUTED_VALUE"""),64.0)</f>
        <v>64</v>
      </c>
      <c r="E2125" s="9"/>
    </row>
    <row r="2126">
      <c r="A2126" s="11">
        <f>IFERROR(__xludf.DUMMYFUNCTION("""COMPUTED_VALUE"""),2021.0)</f>
        <v>2021</v>
      </c>
      <c r="B2126" s="11">
        <f>IFERROR(__xludf.DUMMYFUNCTION("""COMPUTED_VALUE"""),8.0)</f>
        <v>8</v>
      </c>
      <c r="C2126" s="11">
        <f>IFERROR(__xludf.DUMMYFUNCTION("""COMPUTED_VALUE"""),79819.0)</f>
        <v>79819</v>
      </c>
      <c r="D2126" s="11">
        <f>IFERROR(__xludf.DUMMYFUNCTION("""COMPUTED_VALUE"""),646.0)</f>
        <v>646</v>
      </c>
      <c r="E2126" s="9"/>
    </row>
    <row r="2127">
      <c r="A2127" s="11">
        <f>IFERROR(__xludf.DUMMYFUNCTION("""COMPUTED_VALUE"""),2021.0)</f>
        <v>2021</v>
      </c>
      <c r="B2127" s="11">
        <f>IFERROR(__xludf.DUMMYFUNCTION("""COMPUTED_VALUE"""),11.0)</f>
        <v>11</v>
      </c>
      <c r="C2127" s="11">
        <f>IFERROR(__xludf.DUMMYFUNCTION("""COMPUTED_VALUE"""),117169.0)</f>
        <v>117169</v>
      </c>
      <c r="D2127" s="11">
        <f>IFERROR(__xludf.DUMMYFUNCTION("""COMPUTED_VALUE"""),564.0)</f>
        <v>564</v>
      </c>
      <c r="E2127" s="9"/>
    </row>
    <row r="2128">
      <c r="A2128" s="11">
        <f>IFERROR(__xludf.DUMMYFUNCTION("""COMPUTED_VALUE"""),2021.0)</f>
        <v>2021</v>
      </c>
      <c r="B2128" s="11">
        <f>IFERROR(__xludf.DUMMYFUNCTION("""COMPUTED_VALUE"""),10.0)</f>
        <v>10</v>
      </c>
      <c r="C2128" s="11">
        <f>IFERROR(__xludf.DUMMYFUNCTION("""COMPUTED_VALUE"""),200585.0)</f>
        <v>200585</v>
      </c>
      <c r="D2128" s="11">
        <f>IFERROR(__xludf.DUMMYFUNCTION("""COMPUTED_VALUE"""),1093.0)</f>
        <v>1093</v>
      </c>
      <c r="E2128" s="9"/>
    </row>
    <row r="2129">
      <c r="A2129" s="11">
        <f>IFERROR(__xludf.DUMMYFUNCTION("""COMPUTED_VALUE"""),2021.0)</f>
        <v>2021</v>
      </c>
      <c r="B2129" s="11">
        <f>IFERROR(__xludf.DUMMYFUNCTION("""COMPUTED_VALUE"""),9.0)</f>
        <v>9</v>
      </c>
      <c r="C2129" s="11">
        <f>IFERROR(__xludf.DUMMYFUNCTION("""COMPUTED_VALUE"""),70339.0)</f>
        <v>70339</v>
      </c>
      <c r="D2129" s="11">
        <f>IFERROR(__xludf.DUMMYFUNCTION("""COMPUTED_VALUE"""),765.0)</f>
        <v>765</v>
      </c>
      <c r="E2129" s="9"/>
    </row>
    <row r="2130">
      <c r="A2130" s="11">
        <f>IFERROR(__xludf.DUMMYFUNCTION("""COMPUTED_VALUE"""),2021.0)</f>
        <v>2021</v>
      </c>
      <c r="B2130" s="11">
        <f>IFERROR(__xludf.DUMMYFUNCTION("""COMPUTED_VALUE"""),8.0)</f>
        <v>8</v>
      </c>
      <c r="C2130" s="11">
        <f>IFERROR(__xludf.DUMMYFUNCTION("""COMPUTED_VALUE"""),45597.0)</f>
        <v>45597</v>
      </c>
      <c r="D2130" s="11">
        <f>IFERROR(__xludf.DUMMYFUNCTION("""COMPUTED_VALUE"""),679.0)</f>
        <v>679</v>
      </c>
      <c r="E2130" s="9"/>
    </row>
    <row r="2131">
      <c r="A2131" s="11">
        <f>IFERROR(__xludf.DUMMYFUNCTION("""COMPUTED_VALUE"""),2021.0)</f>
        <v>2021</v>
      </c>
      <c r="B2131" s="11">
        <f>IFERROR(__xludf.DUMMYFUNCTION("""COMPUTED_VALUE"""),10.0)</f>
        <v>10</v>
      </c>
      <c r="C2131" s="11">
        <f>IFERROR(__xludf.DUMMYFUNCTION("""COMPUTED_VALUE"""),117147.0)</f>
        <v>117147</v>
      </c>
      <c r="D2131" s="11">
        <f>IFERROR(__xludf.DUMMYFUNCTION("""COMPUTED_VALUE"""),181.0)</f>
        <v>181</v>
      </c>
      <c r="E2131" s="9"/>
    </row>
    <row r="2132">
      <c r="A2132" s="11">
        <f>IFERROR(__xludf.DUMMYFUNCTION("""COMPUTED_VALUE"""),2021.0)</f>
        <v>2021</v>
      </c>
      <c r="B2132" s="11">
        <f>IFERROR(__xludf.DUMMYFUNCTION("""COMPUTED_VALUE"""),10.0)</f>
        <v>10</v>
      </c>
      <c r="C2132" s="11">
        <f>IFERROR(__xludf.DUMMYFUNCTION("""COMPUTED_VALUE"""),46309.0)</f>
        <v>46309</v>
      </c>
      <c r="D2132" s="11">
        <f>IFERROR(__xludf.DUMMYFUNCTION("""COMPUTED_VALUE"""),1771.0)</f>
        <v>1771</v>
      </c>
      <c r="E2132" s="9"/>
    </row>
    <row r="2133">
      <c r="A2133" s="11">
        <f>IFERROR(__xludf.DUMMYFUNCTION("""COMPUTED_VALUE"""),2021.0)</f>
        <v>2021</v>
      </c>
      <c r="B2133" s="11">
        <f>IFERROR(__xludf.DUMMYFUNCTION("""COMPUTED_VALUE"""),9.0)</f>
        <v>9</v>
      </c>
      <c r="C2133" s="11">
        <f>IFERROR(__xludf.DUMMYFUNCTION("""COMPUTED_VALUE"""),45595.0)</f>
        <v>45595</v>
      </c>
      <c r="D2133" s="11">
        <f>IFERROR(__xludf.DUMMYFUNCTION("""COMPUTED_VALUE"""),454.0)</f>
        <v>454</v>
      </c>
      <c r="E2133" s="9"/>
    </row>
    <row r="2134">
      <c r="A2134" s="11">
        <f>IFERROR(__xludf.DUMMYFUNCTION("""COMPUTED_VALUE"""),2021.0)</f>
        <v>2021</v>
      </c>
      <c r="B2134" s="11">
        <f>IFERROR(__xludf.DUMMYFUNCTION("""COMPUTED_VALUE"""),11.0)</f>
        <v>11</v>
      </c>
      <c r="C2134" s="11">
        <f>IFERROR(__xludf.DUMMYFUNCTION("""COMPUTED_VALUE"""),100311.0)</f>
        <v>100311</v>
      </c>
      <c r="D2134" s="11">
        <f>IFERROR(__xludf.DUMMYFUNCTION("""COMPUTED_VALUE"""),374.0)</f>
        <v>374</v>
      </c>
      <c r="E2134" s="9"/>
    </row>
    <row r="2135">
      <c r="A2135" s="11">
        <f>IFERROR(__xludf.DUMMYFUNCTION("""COMPUTED_VALUE"""),2021.0)</f>
        <v>2021</v>
      </c>
      <c r="B2135" s="11">
        <f>IFERROR(__xludf.DUMMYFUNCTION("""COMPUTED_VALUE"""),8.0)</f>
        <v>8</v>
      </c>
      <c r="C2135" s="11">
        <f>IFERROR(__xludf.DUMMYFUNCTION("""COMPUTED_VALUE"""),122491.0)</f>
        <v>122491</v>
      </c>
      <c r="D2135" s="11">
        <f>IFERROR(__xludf.DUMMYFUNCTION("""COMPUTED_VALUE"""),1439.0)</f>
        <v>1439</v>
      </c>
      <c r="E2135" s="9"/>
    </row>
    <row r="2136">
      <c r="A2136" s="11">
        <f>IFERROR(__xludf.DUMMYFUNCTION("""COMPUTED_VALUE"""),2021.0)</f>
        <v>2021</v>
      </c>
      <c r="B2136" s="11">
        <f>IFERROR(__xludf.DUMMYFUNCTION("""COMPUTED_VALUE"""),8.0)</f>
        <v>8</v>
      </c>
      <c r="C2136" s="11">
        <f>IFERROR(__xludf.DUMMYFUNCTION("""COMPUTED_VALUE"""),117466.0)</f>
        <v>117466</v>
      </c>
      <c r="D2136" s="11">
        <f>IFERROR(__xludf.DUMMYFUNCTION("""COMPUTED_VALUE"""),490.0)</f>
        <v>490</v>
      </c>
      <c r="E2136" s="9"/>
    </row>
    <row r="2137">
      <c r="A2137" s="11">
        <f>IFERROR(__xludf.DUMMYFUNCTION("""COMPUTED_VALUE"""),2021.0)</f>
        <v>2021</v>
      </c>
      <c r="B2137" s="11">
        <f>IFERROR(__xludf.DUMMYFUNCTION("""COMPUTED_VALUE"""),10.0)</f>
        <v>10</v>
      </c>
      <c r="C2137" s="11">
        <f>IFERROR(__xludf.DUMMYFUNCTION("""COMPUTED_VALUE"""),85107.0)</f>
        <v>85107</v>
      </c>
      <c r="D2137" s="11">
        <f>IFERROR(__xludf.DUMMYFUNCTION("""COMPUTED_VALUE"""),46.0)</f>
        <v>46</v>
      </c>
      <c r="E2137" s="9"/>
    </row>
    <row r="2138">
      <c r="A2138" s="11">
        <f>IFERROR(__xludf.DUMMYFUNCTION("""COMPUTED_VALUE"""),2021.0)</f>
        <v>2021</v>
      </c>
      <c r="B2138" s="11">
        <f>IFERROR(__xludf.DUMMYFUNCTION("""COMPUTED_VALUE"""),11.0)</f>
        <v>11</v>
      </c>
      <c r="C2138" s="11">
        <f>IFERROR(__xludf.DUMMYFUNCTION("""COMPUTED_VALUE"""),45594.0)</f>
        <v>45594</v>
      </c>
      <c r="D2138" s="11">
        <f>IFERROR(__xludf.DUMMYFUNCTION("""COMPUTED_VALUE"""),84.0)</f>
        <v>84</v>
      </c>
      <c r="E2138" s="9"/>
    </row>
    <row r="2139">
      <c r="A2139" s="11">
        <f>IFERROR(__xludf.DUMMYFUNCTION("""COMPUTED_VALUE"""),2021.0)</f>
        <v>2021</v>
      </c>
      <c r="B2139" s="11">
        <f>IFERROR(__xludf.DUMMYFUNCTION("""COMPUTED_VALUE"""),9.0)</f>
        <v>9</v>
      </c>
      <c r="C2139" s="11">
        <f>IFERROR(__xludf.DUMMYFUNCTION("""COMPUTED_VALUE"""),118298.0)</f>
        <v>118298</v>
      </c>
      <c r="D2139" s="11">
        <f>IFERROR(__xludf.DUMMYFUNCTION("""COMPUTED_VALUE"""),361.0)</f>
        <v>361</v>
      </c>
      <c r="E2139" s="9"/>
    </row>
    <row r="2140">
      <c r="A2140" s="11">
        <f>IFERROR(__xludf.DUMMYFUNCTION("""COMPUTED_VALUE"""),2021.0)</f>
        <v>2021</v>
      </c>
      <c r="B2140" s="11">
        <f>IFERROR(__xludf.DUMMYFUNCTION("""COMPUTED_VALUE"""),9.0)</f>
        <v>9</v>
      </c>
      <c r="C2140" s="11">
        <f>IFERROR(__xludf.DUMMYFUNCTION("""COMPUTED_VALUE"""),98802.0)</f>
        <v>98802</v>
      </c>
      <c r="D2140" s="11">
        <f>IFERROR(__xludf.DUMMYFUNCTION("""COMPUTED_VALUE"""),690.0)</f>
        <v>690</v>
      </c>
      <c r="E2140" s="9"/>
    </row>
    <row r="2141">
      <c r="A2141" s="11">
        <f>IFERROR(__xludf.DUMMYFUNCTION("""COMPUTED_VALUE"""),2021.0)</f>
        <v>2021</v>
      </c>
      <c r="B2141" s="11">
        <f>IFERROR(__xludf.DUMMYFUNCTION("""COMPUTED_VALUE"""),8.0)</f>
        <v>8</v>
      </c>
      <c r="C2141" s="11">
        <f>IFERROR(__xludf.DUMMYFUNCTION("""COMPUTED_VALUE"""),46985.0)</f>
        <v>46985</v>
      </c>
      <c r="D2141" s="11">
        <f>IFERROR(__xludf.DUMMYFUNCTION("""COMPUTED_VALUE"""),214.0)</f>
        <v>214</v>
      </c>
      <c r="E2141" s="9"/>
    </row>
    <row r="2142">
      <c r="A2142" s="11">
        <f>IFERROR(__xludf.DUMMYFUNCTION("""COMPUTED_VALUE"""),2021.0)</f>
        <v>2021</v>
      </c>
      <c r="B2142" s="11">
        <f>IFERROR(__xludf.DUMMYFUNCTION("""COMPUTED_VALUE"""),11.0)</f>
        <v>11</v>
      </c>
      <c r="C2142" s="11">
        <f>IFERROR(__xludf.DUMMYFUNCTION("""COMPUTED_VALUE"""),46476.0)</f>
        <v>46476</v>
      </c>
      <c r="D2142" s="11">
        <f>IFERROR(__xludf.DUMMYFUNCTION("""COMPUTED_VALUE"""),617.0)</f>
        <v>617</v>
      </c>
      <c r="E2142" s="9"/>
    </row>
    <row r="2143">
      <c r="A2143" s="11">
        <f>IFERROR(__xludf.DUMMYFUNCTION("""COMPUTED_VALUE"""),2021.0)</f>
        <v>2021</v>
      </c>
      <c r="B2143" s="11">
        <f>IFERROR(__xludf.DUMMYFUNCTION("""COMPUTED_VALUE"""),8.0)</f>
        <v>8</v>
      </c>
      <c r="C2143" s="11">
        <f>IFERROR(__xludf.DUMMYFUNCTION("""COMPUTED_VALUE"""),110187.0)</f>
        <v>110187</v>
      </c>
      <c r="D2143" s="11">
        <f>IFERROR(__xludf.DUMMYFUNCTION("""COMPUTED_VALUE"""),1598.0)</f>
        <v>1598</v>
      </c>
      <c r="E2143" s="9"/>
    </row>
    <row r="2144">
      <c r="A2144" s="11">
        <f>IFERROR(__xludf.DUMMYFUNCTION("""COMPUTED_VALUE"""),2021.0)</f>
        <v>2021</v>
      </c>
      <c r="B2144" s="11">
        <f>IFERROR(__xludf.DUMMYFUNCTION("""COMPUTED_VALUE"""),8.0)</f>
        <v>8</v>
      </c>
      <c r="C2144" s="11">
        <f>IFERROR(__xludf.DUMMYFUNCTION("""COMPUTED_VALUE"""),79988.0)</f>
        <v>79988</v>
      </c>
      <c r="D2144" s="11">
        <f>IFERROR(__xludf.DUMMYFUNCTION("""COMPUTED_VALUE"""),1448.0)</f>
        <v>1448</v>
      </c>
      <c r="E2144" s="9"/>
    </row>
    <row r="2145">
      <c r="A2145" s="11">
        <f>IFERROR(__xludf.DUMMYFUNCTION("""COMPUTED_VALUE"""),2021.0)</f>
        <v>2021</v>
      </c>
      <c r="B2145" s="11">
        <f>IFERROR(__xludf.DUMMYFUNCTION("""COMPUTED_VALUE"""),11.0)</f>
        <v>11</v>
      </c>
      <c r="C2145" s="11">
        <f>IFERROR(__xludf.DUMMYFUNCTION("""COMPUTED_VALUE"""),46970.0)</f>
        <v>46970</v>
      </c>
      <c r="D2145" s="11">
        <f>IFERROR(__xludf.DUMMYFUNCTION("""COMPUTED_VALUE"""),1720.0)</f>
        <v>1720</v>
      </c>
      <c r="E2145" s="9"/>
    </row>
    <row r="2146">
      <c r="A2146" s="11">
        <f>IFERROR(__xludf.DUMMYFUNCTION("""COMPUTED_VALUE"""),2021.0)</f>
        <v>2021</v>
      </c>
      <c r="B2146" s="11">
        <f>IFERROR(__xludf.DUMMYFUNCTION("""COMPUTED_VALUE"""),11.0)</f>
        <v>11</v>
      </c>
      <c r="C2146" s="11">
        <f>IFERROR(__xludf.DUMMYFUNCTION("""COMPUTED_VALUE"""),6519.0)</f>
        <v>6519</v>
      </c>
      <c r="D2146" s="11">
        <f>IFERROR(__xludf.DUMMYFUNCTION("""COMPUTED_VALUE"""),1477.0)</f>
        <v>1477</v>
      </c>
      <c r="E2146" s="9"/>
    </row>
    <row r="2147">
      <c r="A2147" s="11">
        <f>IFERROR(__xludf.DUMMYFUNCTION("""COMPUTED_VALUE"""),2021.0)</f>
        <v>2021</v>
      </c>
      <c r="B2147" s="11">
        <f>IFERROR(__xludf.DUMMYFUNCTION("""COMPUTED_VALUE"""),10.0)</f>
        <v>10</v>
      </c>
      <c r="C2147" s="11">
        <f>IFERROR(__xludf.DUMMYFUNCTION("""COMPUTED_VALUE"""),118205.0)</f>
        <v>118205</v>
      </c>
      <c r="D2147" s="11">
        <f>IFERROR(__xludf.DUMMYFUNCTION("""COMPUTED_VALUE"""),505.0)</f>
        <v>505</v>
      </c>
      <c r="E2147" s="9"/>
    </row>
    <row r="2148">
      <c r="A2148" s="11">
        <f>IFERROR(__xludf.DUMMYFUNCTION("""COMPUTED_VALUE"""),2021.0)</f>
        <v>2021</v>
      </c>
      <c r="B2148" s="11">
        <f>IFERROR(__xludf.DUMMYFUNCTION("""COMPUTED_VALUE"""),10.0)</f>
        <v>10</v>
      </c>
      <c r="C2148" s="11">
        <f>IFERROR(__xludf.DUMMYFUNCTION("""COMPUTED_VALUE"""),109412.0)</f>
        <v>109412</v>
      </c>
      <c r="D2148" s="11">
        <f>IFERROR(__xludf.DUMMYFUNCTION("""COMPUTED_VALUE"""),1734.0)</f>
        <v>1734</v>
      </c>
      <c r="E2148" s="9"/>
    </row>
    <row r="2149">
      <c r="A2149" s="11">
        <f>IFERROR(__xludf.DUMMYFUNCTION("""COMPUTED_VALUE"""),2021.0)</f>
        <v>2021</v>
      </c>
      <c r="B2149" s="11">
        <f>IFERROR(__xludf.DUMMYFUNCTION("""COMPUTED_VALUE"""),10.0)</f>
        <v>10</v>
      </c>
      <c r="C2149" s="11">
        <f>IFERROR(__xludf.DUMMYFUNCTION("""COMPUTED_VALUE"""),117931.0)</f>
        <v>117931</v>
      </c>
      <c r="D2149" s="11">
        <f>IFERROR(__xludf.DUMMYFUNCTION("""COMPUTED_VALUE"""),566.0)</f>
        <v>566</v>
      </c>
      <c r="E2149" s="9"/>
    </row>
    <row r="2150">
      <c r="A2150" s="11">
        <f>IFERROR(__xludf.DUMMYFUNCTION("""COMPUTED_VALUE"""),2021.0)</f>
        <v>2021</v>
      </c>
      <c r="B2150" s="11">
        <f>IFERROR(__xludf.DUMMYFUNCTION("""COMPUTED_VALUE"""),9.0)</f>
        <v>9</v>
      </c>
      <c r="C2150" s="11">
        <f>IFERROR(__xludf.DUMMYFUNCTION("""COMPUTED_VALUE"""),70042.0)</f>
        <v>70042</v>
      </c>
      <c r="D2150" s="11">
        <f>IFERROR(__xludf.DUMMYFUNCTION("""COMPUTED_VALUE"""),1496.0)</f>
        <v>1496</v>
      </c>
      <c r="E2150" s="9"/>
    </row>
    <row r="2151">
      <c r="A2151" s="11">
        <f>IFERROR(__xludf.DUMMYFUNCTION("""COMPUTED_VALUE"""),2021.0)</f>
        <v>2021</v>
      </c>
      <c r="B2151" s="11">
        <f>IFERROR(__xludf.DUMMYFUNCTION("""COMPUTED_VALUE"""),11.0)</f>
        <v>11</v>
      </c>
      <c r="C2151" s="11">
        <f>IFERROR(__xludf.DUMMYFUNCTION("""COMPUTED_VALUE"""),150104.0)</f>
        <v>150104</v>
      </c>
      <c r="D2151" s="11">
        <f>IFERROR(__xludf.DUMMYFUNCTION("""COMPUTED_VALUE"""),803.0)</f>
        <v>803</v>
      </c>
      <c r="E2151" s="9"/>
    </row>
    <row r="2152">
      <c r="A2152" s="11">
        <f>IFERROR(__xludf.DUMMYFUNCTION("""COMPUTED_VALUE"""),2021.0)</f>
        <v>2021</v>
      </c>
      <c r="B2152" s="11">
        <f>IFERROR(__xludf.DUMMYFUNCTION("""COMPUTED_VALUE"""),10.0)</f>
        <v>10</v>
      </c>
      <c r="C2152" s="11">
        <f>IFERROR(__xludf.DUMMYFUNCTION("""COMPUTED_VALUE"""),72319.0)</f>
        <v>72319</v>
      </c>
      <c r="D2152" s="11">
        <f>IFERROR(__xludf.DUMMYFUNCTION("""COMPUTED_VALUE"""),702.0)</f>
        <v>702</v>
      </c>
      <c r="E2152" s="9"/>
    </row>
    <row r="2153">
      <c r="A2153" s="11">
        <f>IFERROR(__xludf.DUMMYFUNCTION("""COMPUTED_VALUE"""),2021.0)</f>
        <v>2021</v>
      </c>
      <c r="B2153" s="11">
        <f>IFERROR(__xludf.DUMMYFUNCTION("""COMPUTED_VALUE"""),11.0)</f>
        <v>11</v>
      </c>
      <c r="C2153" s="11">
        <f>IFERROR(__xludf.DUMMYFUNCTION("""COMPUTED_VALUE"""),100060.0)</f>
        <v>100060</v>
      </c>
      <c r="D2153" s="11">
        <f>IFERROR(__xludf.DUMMYFUNCTION("""COMPUTED_VALUE"""),1837.0)</f>
        <v>1837</v>
      </c>
      <c r="E2153" s="9"/>
    </row>
    <row r="2154">
      <c r="A2154" s="11">
        <f>IFERROR(__xludf.DUMMYFUNCTION("""COMPUTED_VALUE"""),2021.0)</f>
        <v>2021</v>
      </c>
      <c r="B2154" s="11">
        <f>IFERROR(__xludf.DUMMYFUNCTION("""COMPUTED_VALUE"""),8.0)</f>
        <v>8</v>
      </c>
      <c r="C2154" s="11">
        <f>IFERROR(__xludf.DUMMYFUNCTION("""COMPUTED_VALUE"""),6521.0)</f>
        <v>6521</v>
      </c>
      <c r="D2154" s="11">
        <f>IFERROR(__xludf.DUMMYFUNCTION("""COMPUTED_VALUE"""),906.0)</f>
        <v>906</v>
      </c>
      <c r="E2154" s="9"/>
    </row>
    <row r="2155">
      <c r="A2155" s="11">
        <f>IFERROR(__xludf.DUMMYFUNCTION("""COMPUTED_VALUE"""),2021.0)</f>
        <v>2021</v>
      </c>
      <c r="B2155" s="11">
        <f>IFERROR(__xludf.DUMMYFUNCTION("""COMPUTED_VALUE"""),8.0)</f>
        <v>8</v>
      </c>
      <c r="C2155" s="11">
        <f>IFERROR(__xludf.DUMMYFUNCTION("""COMPUTED_VALUE"""),45058.0)</f>
        <v>45058</v>
      </c>
      <c r="D2155" s="11">
        <f>IFERROR(__xludf.DUMMYFUNCTION("""COMPUTED_VALUE"""),451.0)</f>
        <v>451</v>
      </c>
      <c r="E2155" s="9"/>
    </row>
    <row r="2156">
      <c r="A2156" s="11">
        <f>IFERROR(__xludf.DUMMYFUNCTION("""COMPUTED_VALUE"""),2021.0)</f>
        <v>2021</v>
      </c>
      <c r="B2156" s="11">
        <f>IFERROR(__xludf.DUMMYFUNCTION("""COMPUTED_VALUE"""),9.0)</f>
        <v>9</v>
      </c>
      <c r="C2156" s="11">
        <f>IFERROR(__xludf.DUMMYFUNCTION("""COMPUTED_VALUE"""),117139.0)</f>
        <v>117139</v>
      </c>
      <c r="D2156" s="11">
        <f>IFERROR(__xludf.DUMMYFUNCTION("""COMPUTED_VALUE"""),1502.0)</f>
        <v>1502</v>
      </c>
      <c r="E2156" s="9"/>
    </row>
    <row r="2157">
      <c r="A2157" s="11">
        <f>IFERROR(__xludf.DUMMYFUNCTION("""COMPUTED_VALUE"""),2021.0)</f>
        <v>2021</v>
      </c>
      <c r="B2157" s="11">
        <f>IFERROR(__xludf.DUMMYFUNCTION("""COMPUTED_VALUE"""),8.0)</f>
        <v>8</v>
      </c>
      <c r="C2157" s="11">
        <f>IFERROR(__xludf.DUMMYFUNCTION("""COMPUTED_VALUE"""),117464.0)</f>
        <v>117464</v>
      </c>
      <c r="D2157" s="11">
        <f>IFERROR(__xludf.DUMMYFUNCTION("""COMPUTED_VALUE"""),1193.0)</f>
        <v>1193</v>
      </c>
      <c r="E2157" s="9"/>
    </row>
    <row r="2158">
      <c r="A2158" s="11">
        <f>IFERROR(__xludf.DUMMYFUNCTION("""COMPUTED_VALUE"""),2021.0)</f>
        <v>2021</v>
      </c>
      <c r="B2158" s="11">
        <f>IFERROR(__xludf.DUMMYFUNCTION("""COMPUTED_VALUE"""),8.0)</f>
        <v>8</v>
      </c>
      <c r="C2158" s="11">
        <f>IFERROR(__xludf.DUMMYFUNCTION("""COMPUTED_VALUE"""),111777.0)</f>
        <v>111777</v>
      </c>
      <c r="D2158" s="11">
        <f>IFERROR(__xludf.DUMMYFUNCTION("""COMPUTED_VALUE"""),57.0)</f>
        <v>57</v>
      </c>
      <c r="E2158" s="9"/>
    </row>
    <row r="2159">
      <c r="A2159" s="11">
        <f>IFERROR(__xludf.DUMMYFUNCTION("""COMPUTED_VALUE"""),2021.0)</f>
        <v>2021</v>
      </c>
      <c r="B2159" s="11">
        <f>IFERROR(__xludf.DUMMYFUNCTION("""COMPUTED_VALUE"""),8.0)</f>
        <v>8</v>
      </c>
      <c r="C2159" s="11">
        <f>IFERROR(__xludf.DUMMYFUNCTION("""COMPUTED_VALUE"""),122375.0)</f>
        <v>122375</v>
      </c>
      <c r="D2159" s="11">
        <f>IFERROR(__xludf.DUMMYFUNCTION("""COMPUTED_VALUE"""),171.0)</f>
        <v>171</v>
      </c>
      <c r="E2159" s="9"/>
    </row>
    <row r="2160">
      <c r="A2160" s="11">
        <f>IFERROR(__xludf.DUMMYFUNCTION("""COMPUTED_VALUE"""),2021.0)</f>
        <v>2021</v>
      </c>
      <c r="B2160" s="11">
        <f>IFERROR(__xludf.DUMMYFUNCTION("""COMPUTED_VALUE"""),11.0)</f>
        <v>11</v>
      </c>
      <c r="C2160" s="11">
        <f>IFERROR(__xludf.DUMMYFUNCTION("""COMPUTED_VALUE"""),122282.0)</f>
        <v>122282</v>
      </c>
      <c r="D2160" s="11">
        <f>IFERROR(__xludf.DUMMYFUNCTION("""COMPUTED_VALUE"""),1624.0)</f>
        <v>1624</v>
      </c>
      <c r="E2160" s="9"/>
    </row>
    <row r="2161">
      <c r="A2161" s="11">
        <f>IFERROR(__xludf.DUMMYFUNCTION("""COMPUTED_VALUE"""),2021.0)</f>
        <v>2021</v>
      </c>
      <c r="B2161" s="11">
        <f>IFERROR(__xludf.DUMMYFUNCTION("""COMPUTED_VALUE"""),11.0)</f>
        <v>11</v>
      </c>
      <c r="C2161" s="11">
        <f>IFERROR(__xludf.DUMMYFUNCTION("""COMPUTED_VALUE"""),47161.0)</f>
        <v>47161</v>
      </c>
      <c r="D2161" s="11">
        <f>IFERROR(__xludf.DUMMYFUNCTION("""COMPUTED_VALUE"""),1950.0)</f>
        <v>1950</v>
      </c>
      <c r="E2161" s="9"/>
    </row>
    <row r="2162">
      <c r="A2162" s="11">
        <f>IFERROR(__xludf.DUMMYFUNCTION("""COMPUTED_VALUE"""),2021.0)</f>
        <v>2021</v>
      </c>
      <c r="B2162" s="11">
        <f>IFERROR(__xludf.DUMMYFUNCTION("""COMPUTED_VALUE"""),11.0)</f>
        <v>11</v>
      </c>
      <c r="C2162" s="11">
        <f>IFERROR(__xludf.DUMMYFUNCTION("""COMPUTED_VALUE"""),47159.0)</f>
        <v>47159</v>
      </c>
      <c r="D2162" s="11">
        <f>IFERROR(__xludf.DUMMYFUNCTION("""COMPUTED_VALUE"""),191.0)</f>
        <v>191</v>
      </c>
      <c r="E2162" s="9"/>
    </row>
    <row r="2163">
      <c r="A2163" s="11">
        <f>IFERROR(__xludf.DUMMYFUNCTION("""COMPUTED_VALUE"""),2021.0)</f>
        <v>2021</v>
      </c>
      <c r="B2163" s="11">
        <f>IFERROR(__xludf.DUMMYFUNCTION("""COMPUTED_VALUE"""),10.0)</f>
        <v>10</v>
      </c>
      <c r="C2163" s="11">
        <f>IFERROR(__xludf.DUMMYFUNCTION("""COMPUTED_VALUE"""),71327.0)</f>
        <v>71327</v>
      </c>
      <c r="D2163" s="11">
        <f>IFERROR(__xludf.DUMMYFUNCTION("""COMPUTED_VALUE"""),1824.0)</f>
        <v>1824</v>
      </c>
      <c r="E2163" s="9"/>
    </row>
    <row r="2164">
      <c r="A2164" s="11">
        <f>IFERROR(__xludf.DUMMYFUNCTION("""COMPUTED_VALUE"""),2021.0)</f>
        <v>2021</v>
      </c>
      <c r="B2164" s="11">
        <f>IFERROR(__xludf.DUMMYFUNCTION("""COMPUTED_VALUE"""),11.0)</f>
        <v>11</v>
      </c>
      <c r="C2164" s="11">
        <f>IFERROR(__xludf.DUMMYFUNCTION("""COMPUTED_VALUE"""),122276.0)</f>
        <v>122276</v>
      </c>
      <c r="D2164" s="11">
        <f>IFERROR(__xludf.DUMMYFUNCTION("""COMPUTED_VALUE"""),117.0)</f>
        <v>117</v>
      </c>
      <c r="E2164" s="9"/>
    </row>
    <row r="2165">
      <c r="A2165" s="11">
        <f>IFERROR(__xludf.DUMMYFUNCTION("""COMPUTED_VALUE"""),2021.0)</f>
        <v>2021</v>
      </c>
      <c r="B2165" s="11">
        <f>IFERROR(__xludf.DUMMYFUNCTION("""COMPUTED_VALUE"""),8.0)</f>
        <v>8</v>
      </c>
      <c r="C2165" s="11">
        <f>IFERROR(__xludf.DUMMYFUNCTION("""COMPUTED_VALUE"""),72806.0)</f>
        <v>72806</v>
      </c>
      <c r="D2165" s="11">
        <f>IFERROR(__xludf.DUMMYFUNCTION("""COMPUTED_VALUE"""),1587.0)</f>
        <v>1587</v>
      </c>
      <c r="E2165" s="9"/>
    </row>
    <row r="2166">
      <c r="A2166" s="11">
        <f>IFERROR(__xludf.DUMMYFUNCTION("""COMPUTED_VALUE"""),2021.0)</f>
        <v>2021</v>
      </c>
      <c r="B2166" s="11">
        <f>IFERROR(__xludf.DUMMYFUNCTION("""COMPUTED_VALUE"""),11.0)</f>
        <v>11</v>
      </c>
      <c r="C2166" s="11">
        <f>IFERROR(__xludf.DUMMYFUNCTION("""COMPUTED_VALUE"""),100248.0)</f>
        <v>100248</v>
      </c>
      <c r="D2166" s="11">
        <f>IFERROR(__xludf.DUMMYFUNCTION("""COMPUTED_VALUE"""),623.0)</f>
        <v>623</v>
      </c>
      <c r="E2166" s="9"/>
    </row>
    <row r="2167">
      <c r="A2167" s="11">
        <f>IFERROR(__xludf.DUMMYFUNCTION("""COMPUTED_VALUE"""),2021.0)</f>
        <v>2021</v>
      </c>
      <c r="B2167" s="11">
        <f>IFERROR(__xludf.DUMMYFUNCTION("""COMPUTED_VALUE"""),8.0)</f>
        <v>8</v>
      </c>
      <c r="C2167" s="11">
        <f>IFERROR(__xludf.DUMMYFUNCTION("""COMPUTED_VALUE"""),122378.0)</f>
        <v>122378</v>
      </c>
      <c r="D2167" s="11">
        <f>IFERROR(__xludf.DUMMYFUNCTION("""COMPUTED_VALUE"""),976.0)</f>
        <v>976</v>
      </c>
      <c r="E2167" s="9"/>
    </row>
    <row r="2168">
      <c r="A2168" s="11">
        <f>IFERROR(__xludf.DUMMYFUNCTION("""COMPUTED_VALUE"""),2021.0)</f>
        <v>2021</v>
      </c>
      <c r="B2168" s="11">
        <f>IFERROR(__xludf.DUMMYFUNCTION("""COMPUTED_VALUE"""),8.0)</f>
        <v>8</v>
      </c>
      <c r="C2168" s="11">
        <f>IFERROR(__xludf.DUMMYFUNCTION("""COMPUTED_VALUE"""),44762.0)</f>
        <v>44762</v>
      </c>
      <c r="D2168" s="11">
        <f>IFERROR(__xludf.DUMMYFUNCTION("""COMPUTED_VALUE"""),680.0)</f>
        <v>680</v>
      </c>
      <c r="E2168" s="9"/>
    </row>
    <row r="2169">
      <c r="A2169" s="11">
        <f>IFERROR(__xludf.DUMMYFUNCTION("""COMPUTED_VALUE"""),2021.0)</f>
        <v>2021</v>
      </c>
      <c r="B2169" s="11">
        <f>IFERROR(__xludf.DUMMYFUNCTION("""COMPUTED_VALUE"""),8.0)</f>
        <v>8</v>
      </c>
      <c r="C2169" s="11">
        <f>IFERROR(__xludf.DUMMYFUNCTION("""COMPUTED_VALUE"""),100247.0)</f>
        <v>100247</v>
      </c>
      <c r="D2169" s="11">
        <f>IFERROR(__xludf.DUMMYFUNCTION("""COMPUTED_VALUE"""),135.0)</f>
        <v>135</v>
      </c>
      <c r="E2169" s="9"/>
    </row>
    <row r="2170">
      <c r="A2170" s="11">
        <f>IFERROR(__xludf.DUMMYFUNCTION("""COMPUTED_VALUE"""),2021.0)</f>
        <v>2021</v>
      </c>
      <c r="B2170" s="11">
        <f>IFERROR(__xludf.DUMMYFUNCTION("""COMPUTED_VALUE"""),11.0)</f>
        <v>11</v>
      </c>
      <c r="C2170" s="11">
        <f>IFERROR(__xludf.DUMMYFUNCTION("""COMPUTED_VALUE"""),182272.0)</f>
        <v>182272</v>
      </c>
      <c r="D2170" s="11">
        <f>IFERROR(__xludf.DUMMYFUNCTION("""COMPUTED_VALUE"""),1389.0)</f>
        <v>1389</v>
      </c>
      <c r="E2170" s="9"/>
    </row>
    <row r="2171">
      <c r="A2171" s="11">
        <f>IFERROR(__xludf.DUMMYFUNCTION("""COMPUTED_VALUE"""),2021.0)</f>
        <v>2021</v>
      </c>
      <c r="B2171" s="11">
        <f>IFERROR(__xludf.DUMMYFUNCTION("""COMPUTED_VALUE"""),8.0)</f>
        <v>8</v>
      </c>
      <c r="C2171" s="11">
        <f>IFERROR(__xludf.DUMMYFUNCTION("""COMPUTED_VALUE"""),128297.0)</f>
        <v>128297</v>
      </c>
      <c r="D2171" s="11">
        <f>IFERROR(__xludf.DUMMYFUNCTION("""COMPUTED_VALUE"""),177.0)</f>
        <v>177</v>
      </c>
      <c r="E2171" s="9"/>
    </row>
    <row r="2172">
      <c r="A2172" s="11">
        <f>IFERROR(__xludf.DUMMYFUNCTION("""COMPUTED_VALUE"""),2021.0)</f>
        <v>2021</v>
      </c>
      <c r="B2172" s="11">
        <f>IFERROR(__xludf.DUMMYFUNCTION("""COMPUTED_VALUE"""),11.0)</f>
        <v>11</v>
      </c>
      <c r="C2172" s="11">
        <f>IFERROR(__xludf.DUMMYFUNCTION("""COMPUTED_VALUE"""),10673.0)</f>
        <v>10673</v>
      </c>
      <c r="D2172" s="11">
        <f>IFERROR(__xludf.DUMMYFUNCTION("""COMPUTED_VALUE"""),352.0)</f>
        <v>352</v>
      </c>
      <c r="E2172" s="9"/>
    </row>
    <row r="2173">
      <c r="A2173" s="11">
        <f>IFERROR(__xludf.DUMMYFUNCTION("""COMPUTED_VALUE"""),2021.0)</f>
        <v>2021</v>
      </c>
      <c r="B2173" s="11">
        <f>IFERROR(__xludf.DUMMYFUNCTION("""COMPUTED_VALUE"""),11.0)</f>
        <v>11</v>
      </c>
      <c r="C2173" s="11">
        <f>IFERROR(__xludf.DUMMYFUNCTION("""COMPUTED_VALUE"""),69332.0)</f>
        <v>69332</v>
      </c>
      <c r="D2173" s="11">
        <f>IFERROR(__xludf.DUMMYFUNCTION("""COMPUTED_VALUE"""),1390.0)</f>
        <v>1390</v>
      </c>
      <c r="E2173" s="9"/>
    </row>
    <row r="2174">
      <c r="A2174" s="11">
        <f>IFERROR(__xludf.DUMMYFUNCTION("""COMPUTED_VALUE"""),2021.0)</f>
        <v>2021</v>
      </c>
      <c r="B2174" s="11">
        <f>IFERROR(__xludf.DUMMYFUNCTION("""COMPUTED_VALUE"""),8.0)</f>
        <v>8</v>
      </c>
      <c r="C2174" s="11">
        <f>IFERROR(__xludf.DUMMYFUNCTION("""COMPUTED_VALUE"""),151239.0)</f>
        <v>151239</v>
      </c>
      <c r="D2174" s="11">
        <f>IFERROR(__xludf.DUMMYFUNCTION("""COMPUTED_VALUE"""),191.0)</f>
        <v>191</v>
      </c>
      <c r="E2174" s="9"/>
    </row>
    <row r="2175">
      <c r="A2175" s="11">
        <f>IFERROR(__xludf.DUMMYFUNCTION("""COMPUTED_VALUE"""),2021.0)</f>
        <v>2021</v>
      </c>
      <c r="B2175" s="11">
        <f>IFERROR(__xludf.DUMMYFUNCTION("""COMPUTED_VALUE"""),8.0)</f>
        <v>8</v>
      </c>
      <c r="C2175" s="11">
        <f>IFERROR(__xludf.DUMMYFUNCTION("""COMPUTED_VALUE"""),116667.0)</f>
        <v>116667</v>
      </c>
      <c r="D2175" s="11">
        <f>IFERROR(__xludf.DUMMYFUNCTION("""COMPUTED_VALUE"""),385.0)</f>
        <v>385</v>
      </c>
      <c r="E2175" s="9"/>
    </row>
    <row r="2176">
      <c r="A2176" s="11">
        <f>IFERROR(__xludf.DUMMYFUNCTION("""COMPUTED_VALUE"""),2021.0)</f>
        <v>2021</v>
      </c>
      <c r="B2176" s="11">
        <f>IFERROR(__xludf.DUMMYFUNCTION("""COMPUTED_VALUE"""),10.0)</f>
        <v>10</v>
      </c>
      <c r="C2176" s="11">
        <f>IFERROR(__xludf.DUMMYFUNCTION("""COMPUTED_VALUE"""),72809.0)</f>
        <v>72809</v>
      </c>
      <c r="D2176" s="11">
        <f>IFERROR(__xludf.DUMMYFUNCTION("""COMPUTED_VALUE"""),797.0)</f>
        <v>797</v>
      </c>
      <c r="E2176" s="9"/>
    </row>
    <row r="2177">
      <c r="A2177" s="11">
        <f>IFERROR(__xludf.DUMMYFUNCTION("""COMPUTED_VALUE"""),2021.0)</f>
        <v>2021</v>
      </c>
      <c r="B2177" s="11">
        <f>IFERROR(__xludf.DUMMYFUNCTION("""COMPUTED_VALUE"""),8.0)</f>
        <v>8</v>
      </c>
      <c r="C2177" s="11">
        <f>IFERROR(__xludf.DUMMYFUNCTION("""COMPUTED_VALUE"""),165917.0)</f>
        <v>165917</v>
      </c>
      <c r="D2177" s="11">
        <f>IFERROR(__xludf.DUMMYFUNCTION("""COMPUTED_VALUE"""),32.0)</f>
        <v>32</v>
      </c>
      <c r="E2177" s="9"/>
    </row>
    <row r="2178">
      <c r="A2178" s="11">
        <f>IFERROR(__xludf.DUMMYFUNCTION("""COMPUTED_VALUE"""),2021.0)</f>
        <v>2021</v>
      </c>
      <c r="B2178" s="11">
        <f>IFERROR(__xludf.DUMMYFUNCTION("""COMPUTED_VALUE"""),11.0)</f>
        <v>11</v>
      </c>
      <c r="C2178" s="11">
        <f>IFERROR(__xludf.DUMMYFUNCTION("""COMPUTED_VALUE"""),8746.0)</f>
        <v>8746</v>
      </c>
      <c r="D2178" s="11">
        <f>IFERROR(__xludf.DUMMYFUNCTION("""COMPUTED_VALUE"""),1515.0)</f>
        <v>1515</v>
      </c>
      <c r="E2178" s="9"/>
    </row>
    <row r="2179">
      <c r="A2179" s="11">
        <f>IFERROR(__xludf.DUMMYFUNCTION("""COMPUTED_VALUE"""),2021.0)</f>
        <v>2021</v>
      </c>
      <c r="B2179" s="11">
        <f>IFERROR(__xludf.DUMMYFUNCTION("""COMPUTED_VALUE"""),10.0)</f>
        <v>10</v>
      </c>
      <c r="C2179" s="11">
        <f>IFERROR(__xludf.DUMMYFUNCTION("""COMPUTED_VALUE"""),122374.0)</f>
        <v>122374</v>
      </c>
      <c r="D2179" s="11">
        <f>IFERROR(__xludf.DUMMYFUNCTION("""COMPUTED_VALUE"""),755.0)</f>
        <v>755</v>
      </c>
      <c r="E2179" s="9"/>
    </row>
    <row r="2180">
      <c r="A2180" s="11">
        <f>IFERROR(__xludf.DUMMYFUNCTION("""COMPUTED_VALUE"""),2021.0)</f>
        <v>2021</v>
      </c>
      <c r="B2180" s="11">
        <f>IFERROR(__xludf.DUMMYFUNCTION("""COMPUTED_VALUE"""),9.0)</f>
        <v>9</v>
      </c>
      <c r="C2180" s="11">
        <f>IFERROR(__xludf.DUMMYFUNCTION("""COMPUTED_VALUE"""),118166.0)</f>
        <v>118166</v>
      </c>
      <c r="D2180" s="11">
        <f>IFERROR(__xludf.DUMMYFUNCTION("""COMPUTED_VALUE"""),354.0)</f>
        <v>354</v>
      </c>
      <c r="E2180" s="9"/>
    </row>
    <row r="2181">
      <c r="A2181" s="11">
        <f>IFERROR(__xludf.DUMMYFUNCTION("""COMPUTED_VALUE"""),2021.0)</f>
        <v>2021</v>
      </c>
      <c r="B2181" s="11">
        <f>IFERROR(__xludf.DUMMYFUNCTION("""COMPUTED_VALUE"""),10.0)</f>
        <v>10</v>
      </c>
      <c r="C2181" s="11">
        <f>IFERROR(__xludf.DUMMYFUNCTION("""COMPUTED_VALUE"""),42729.0)</f>
        <v>42729</v>
      </c>
      <c r="D2181" s="11">
        <f>IFERROR(__xludf.DUMMYFUNCTION("""COMPUTED_VALUE"""),1171.0)</f>
        <v>1171</v>
      </c>
      <c r="E2181" s="9"/>
    </row>
    <row r="2182">
      <c r="A2182" s="11">
        <f>IFERROR(__xludf.DUMMYFUNCTION("""COMPUTED_VALUE"""),2021.0)</f>
        <v>2021</v>
      </c>
      <c r="B2182" s="11">
        <f>IFERROR(__xludf.DUMMYFUNCTION("""COMPUTED_VALUE"""),11.0)</f>
        <v>11</v>
      </c>
      <c r="C2182" s="11">
        <f>IFERROR(__xludf.DUMMYFUNCTION("""COMPUTED_VALUE"""),182271.0)</f>
        <v>182271</v>
      </c>
      <c r="D2182" s="11">
        <f>IFERROR(__xludf.DUMMYFUNCTION("""COMPUTED_VALUE"""),877.0)</f>
        <v>877</v>
      </c>
      <c r="E2182" s="9"/>
    </row>
    <row r="2183">
      <c r="A2183" s="11">
        <f>IFERROR(__xludf.DUMMYFUNCTION("""COMPUTED_VALUE"""),2021.0)</f>
        <v>2021</v>
      </c>
      <c r="B2183" s="11">
        <f>IFERROR(__xludf.DUMMYFUNCTION("""COMPUTED_VALUE"""),9.0)</f>
        <v>9</v>
      </c>
      <c r="C2183" s="11">
        <f>IFERROR(__xludf.DUMMYFUNCTION("""COMPUTED_VALUE"""),109211.0)</f>
        <v>109211</v>
      </c>
      <c r="D2183" s="11">
        <f>IFERROR(__xludf.DUMMYFUNCTION("""COMPUTED_VALUE"""),872.0)</f>
        <v>872</v>
      </c>
      <c r="E2183" s="9"/>
    </row>
    <row r="2184">
      <c r="A2184" s="11">
        <f>IFERROR(__xludf.DUMMYFUNCTION("""COMPUTED_VALUE"""),2021.0)</f>
        <v>2021</v>
      </c>
      <c r="B2184" s="11">
        <f>IFERROR(__xludf.DUMMYFUNCTION("""COMPUTED_VALUE"""),8.0)</f>
        <v>8</v>
      </c>
      <c r="C2184" s="11">
        <f>IFERROR(__xludf.DUMMYFUNCTION("""COMPUTED_VALUE"""),192901.0)</f>
        <v>192901</v>
      </c>
      <c r="D2184" s="11">
        <f>IFERROR(__xludf.DUMMYFUNCTION("""COMPUTED_VALUE"""),338.0)</f>
        <v>338</v>
      </c>
      <c r="E2184" s="9"/>
    </row>
    <row r="2185">
      <c r="A2185" s="11">
        <f>IFERROR(__xludf.DUMMYFUNCTION("""COMPUTED_VALUE"""),2021.0)</f>
        <v>2021</v>
      </c>
      <c r="B2185" s="11">
        <f>IFERROR(__xludf.DUMMYFUNCTION("""COMPUTED_VALUE"""),10.0)</f>
        <v>10</v>
      </c>
      <c r="C2185" s="11">
        <f>IFERROR(__xludf.DUMMYFUNCTION("""COMPUTED_VALUE"""),122379.0)</f>
        <v>122379</v>
      </c>
      <c r="D2185" s="11">
        <f>IFERROR(__xludf.DUMMYFUNCTION("""COMPUTED_VALUE"""),1392.0)</f>
        <v>1392</v>
      </c>
      <c r="E2185" s="9"/>
    </row>
    <row r="2186">
      <c r="A2186" s="11">
        <f>IFERROR(__xludf.DUMMYFUNCTION("""COMPUTED_VALUE"""),2021.0)</f>
        <v>2021</v>
      </c>
      <c r="B2186" s="11">
        <f>IFERROR(__xludf.DUMMYFUNCTION("""COMPUTED_VALUE"""),11.0)</f>
        <v>11</v>
      </c>
      <c r="C2186" s="11">
        <f>IFERROR(__xludf.DUMMYFUNCTION("""COMPUTED_VALUE"""),109891.0)</f>
        <v>109891</v>
      </c>
      <c r="D2186" s="11">
        <f>IFERROR(__xludf.DUMMYFUNCTION("""COMPUTED_VALUE"""),1525.0)</f>
        <v>1525</v>
      </c>
      <c r="E2186" s="9"/>
    </row>
    <row r="2187">
      <c r="A2187" s="11">
        <f>IFERROR(__xludf.DUMMYFUNCTION("""COMPUTED_VALUE"""),2021.0)</f>
        <v>2021</v>
      </c>
      <c r="B2187" s="11">
        <f>IFERROR(__xludf.DUMMYFUNCTION("""COMPUTED_VALUE"""),11.0)</f>
        <v>11</v>
      </c>
      <c r="C2187" s="11">
        <f>IFERROR(__xludf.DUMMYFUNCTION("""COMPUTED_VALUE"""),125688.0)</f>
        <v>125688</v>
      </c>
      <c r="D2187" s="11">
        <f>IFERROR(__xludf.DUMMYFUNCTION("""COMPUTED_VALUE"""),1368.0)</f>
        <v>1368</v>
      </c>
      <c r="E2187" s="9"/>
    </row>
    <row r="2188">
      <c r="A2188" s="11">
        <f>IFERROR(__xludf.DUMMYFUNCTION("""COMPUTED_VALUE"""),2021.0)</f>
        <v>2021</v>
      </c>
      <c r="B2188" s="11">
        <f>IFERROR(__xludf.DUMMYFUNCTION("""COMPUTED_VALUE"""),10.0)</f>
        <v>10</v>
      </c>
      <c r="C2188" s="11">
        <f>IFERROR(__xludf.DUMMYFUNCTION("""COMPUTED_VALUE"""),68599.0)</f>
        <v>68599</v>
      </c>
      <c r="D2188" s="11">
        <f>IFERROR(__xludf.DUMMYFUNCTION("""COMPUTED_VALUE"""),475.0)</f>
        <v>475</v>
      </c>
      <c r="E2188" s="9"/>
    </row>
    <row r="2189">
      <c r="A2189" s="11">
        <f>IFERROR(__xludf.DUMMYFUNCTION("""COMPUTED_VALUE"""),2021.0)</f>
        <v>2021</v>
      </c>
      <c r="B2189" s="11">
        <f>IFERROR(__xludf.DUMMYFUNCTION("""COMPUTED_VALUE"""),11.0)</f>
        <v>11</v>
      </c>
      <c r="C2189" s="11">
        <f>IFERROR(__xludf.DUMMYFUNCTION("""COMPUTED_VALUE"""),104841.0)</f>
        <v>104841</v>
      </c>
      <c r="D2189" s="11">
        <f>IFERROR(__xludf.DUMMYFUNCTION("""COMPUTED_VALUE"""),1664.0)</f>
        <v>1664</v>
      </c>
      <c r="E2189" s="9"/>
    </row>
    <row r="2190">
      <c r="A2190" s="11">
        <f>IFERROR(__xludf.DUMMYFUNCTION("""COMPUTED_VALUE"""),2021.0)</f>
        <v>2021</v>
      </c>
      <c r="B2190" s="11">
        <f>IFERROR(__xludf.DUMMYFUNCTION("""COMPUTED_VALUE"""),10.0)</f>
        <v>10</v>
      </c>
      <c r="C2190" s="11">
        <f>IFERROR(__xludf.DUMMYFUNCTION("""COMPUTED_VALUE"""),20243.0)</f>
        <v>20243</v>
      </c>
      <c r="D2190" s="11">
        <f>IFERROR(__xludf.DUMMYFUNCTION("""COMPUTED_VALUE"""),1905.0)</f>
        <v>1905</v>
      </c>
      <c r="E2190" s="9"/>
    </row>
    <row r="2191">
      <c r="A2191" s="11">
        <f>IFERROR(__xludf.DUMMYFUNCTION("""COMPUTED_VALUE"""),2021.0)</f>
        <v>2021</v>
      </c>
      <c r="B2191" s="11">
        <f>IFERROR(__xludf.DUMMYFUNCTION("""COMPUTED_VALUE"""),8.0)</f>
        <v>8</v>
      </c>
      <c r="C2191" s="11">
        <f>IFERROR(__xludf.DUMMYFUNCTION("""COMPUTED_VALUE"""),10332.0)</f>
        <v>10332</v>
      </c>
      <c r="D2191" s="11">
        <f>IFERROR(__xludf.DUMMYFUNCTION("""COMPUTED_VALUE"""),1551.0)</f>
        <v>1551</v>
      </c>
      <c r="E2191" s="9"/>
    </row>
    <row r="2192">
      <c r="A2192" s="11">
        <f>IFERROR(__xludf.DUMMYFUNCTION("""COMPUTED_VALUE"""),2021.0)</f>
        <v>2021</v>
      </c>
      <c r="B2192" s="11">
        <f>IFERROR(__xludf.DUMMYFUNCTION("""COMPUTED_VALUE"""),8.0)</f>
        <v>8</v>
      </c>
      <c r="C2192" s="11">
        <f>IFERROR(__xludf.DUMMYFUNCTION("""COMPUTED_VALUE"""),7361.0)</f>
        <v>7361</v>
      </c>
      <c r="D2192" s="11">
        <f>IFERROR(__xludf.DUMMYFUNCTION("""COMPUTED_VALUE"""),970.0)</f>
        <v>970</v>
      </c>
      <c r="E2192" s="9"/>
    </row>
    <row r="2193">
      <c r="A2193" s="11">
        <f>IFERROR(__xludf.DUMMYFUNCTION("""COMPUTED_VALUE"""),2021.0)</f>
        <v>2021</v>
      </c>
      <c r="B2193" s="11">
        <f>IFERROR(__xludf.DUMMYFUNCTION("""COMPUTED_VALUE"""),8.0)</f>
        <v>8</v>
      </c>
      <c r="C2193" s="11">
        <f>IFERROR(__xludf.DUMMYFUNCTION("""COMPUTED_VALUE"""),21320.0)</f>
        <v>21320</v>
      </c>
      <c r="D2193" s="11">
        <f>IFERROR(__xludf.DUMMYFUNCTION("""COMPUTED_VALUE"""),768.0)</f>
        <v>768</v>
      </c>
      <c r="E2193" s="9"/>
    </row>
    <row r="2194">
      <c r="A2194" s="11">
        <f>IFERROR(__xludf.DUMMYFUNCTION("""COMPUTED_VALUE"""),2021.0)</f>
        <v>2021</v>
      </c>
      <c r="B2194" s="11">
        <f>IFERROR(__xludf.DUMMYFUNCTION("""COMPUTED_VALUE"""),11.0)</f>
        <v>11</v>
      </c>
      <c r="C2194" s="11">
        <f>IFERROR(__xludf.DUMMYFUNCTION("""COMPUTED_VALUE"""),7365.0)</f>
        <v>7365</v>
      </c>
      <c r="D2194" s="11">
        <f>IFERROR(__xludf.DUMMYFUNCTION("""COMPUTED_VALUE"""),920.0)</f>
        <v>920</v>
      </c>
      <c r="E2194" s="9"/>
    </row>
    <row r="2195">
      <c r="A2195" s="11">
        <f>IFERROR(__xludf.DUMMYFUNCTION("""COMPUTED_VALUE"""),2021.0)</f>
        <v>2021</v>
      </c>
      <c r="B2195" s="11">
        <f>IFERROR(__xludf.DUMMYFUNCTION("""COMPUTED_VALUE"""),10.0)</f>
        <v>10</v>
      </c>
      <c r="C2195" s="11">
        <f>IFERROR(__xludf.DUMMYFUNCTION("""COMPUTED_VALUE"""),7364.0)</f>
        <v>7364</v>
      </c>
      <c r="D2195" s="11">
        <f>IFERROR(__xludf.DUMMYFUNCTION("""COMPUTED_VALUE"""),55.0)</f>
        <v>55</v>
      </c>
      <c r="E2195" s="9"/>
    </row>
    <row r="2196">
      <c r="A2196" s="11">
        <f>IFERROR(__xludf.DUMMYFUNCTION("""COMPUTED_VALUE"""),2021.0)</f>
        <v>2021</v>
      </c>
      <c r="B2196" s="11">
        <f>IFERROR(__xludf.DUMMYFUNCTION("""COMPUTED_VALUE"""),8.0)</f>
        <v>8</v>
      </c>
      <c r="C2196" s="11">
        <f>IFERROR(__xludf.DUMMYFUNCTION("""COMPUTED_VALUE"""),7362.0)</f>
        <v>7362</v>
      </c>
      <c r="D2196" s="11">
        <f>IFERROR(__xludf.DUMMYFUNCTION("""COMPUTED_VALUE"""),91.0)</f>
        <v>91</v>
      </c>
      <c r="E2196" s="9"/>
    </row>
    <row r="2197">
      <c r="A2197" s="11">
        <f>IFERROR(__xludf.DUMMYFUNCTION("""COMPUTED_VALUE"""),2021.0)</f>
        <v>2021</v>
      </c>
      <c r="B2197" s="11">
        <f>IFERROR(__xludf.DUMMYFUNCTION("""COMPUTED_VALUE"""),11.0)</f>
        <v>11</v>
      </c>
      <c r="C2197" s="11">
        <f>IFERROR(__xludf.DUMMYFUNCTION("""COMPUTED_VALUE"""),117237.0)</f>
        <v>117237</v>
      </c>
      <c r="D2197" s="11">
        <f>IFERROR(__xludf.DUMMYFUNCTION("""COMPUTED_VALUE"""),1923.0)</f>
        <v>1923</v>
      </c>
      <c r="E2197" s="9"/>
    </row>
    <row r="2198">
      <c r="A2198" s="11">
        <f>IFERROR(__xludf.DUMMYFUNCTION("""COMPUTED_VALUE"""),2021.0)</f>
        <v>2021</v>
      </c>
      <c r="B2198" s="11">
        <f>IFERROR(__xludf.DUMMYFUNCTION("""COMPUTED_VALUE"""),11.0)</f>
        <v>11</v>
      </c>
      <c r="C2198" s="11">
        <f>IFERROR(__xludf.DUMMYFUNCTION("""COMPUTED_VALUE"""),19784.0)</f>
        <v>19784</v>
      </c>
      <c r="D2198" s="11">
        <f>IFERROR(__xludf.DUMMYFUNCTION("""COMPUTED_VALUE"""),572.0)</f>
        <v>572</v>
      </c>
      <c r="E2198" s="9"/>
    </row>
    <row r="2199">
      <c r="A2199" s="11">
        <f>IFERROR(__xludf.DUMMYFUNCTION("""COMPUTED_VALUE"""),2021.0)</f>
        <v>2021</v>
      </c>
      <c r="B2199" s="11">
        <f>IFERROR(__xludf.DUMMYFUNCTION("""COMPUTED_VALUE"""),11.0)</f>
        <v>11</v>
      </c>
      <c r="C2199" s="11">
        <f>IFERROR(__xludf.DUMMYFUNCTION("""COMPUTED_VALUE"""),9329.0)</f>
        <v>9329</v>
      </c>
      <c r="D2199" s="11">
        <f>IFERROR(__xludf.DUMMYFUNCTION("""COMPUTED_VALUE"""),946.0)</f>
        <v>946</v>
      </c>
      <c r="E2199" s="9"/>
    </row>
    <row r="2200">
      <c r="A2200" s="11">
        <f>IFERROR(__xludf.DUMMYFUNCTION("""COMPUTED_VALUE"""),2021.0)</f>
        <v>2021</v>
      </c>
      <c r="B2200" s="11">
        <f>IFERROR(__xludf.DUMMYFUNCTION("""COMPUTED_VALUE"""),8.0)</f>
        <v>8</v>
      </c>
      <c r="C2200" s="11">
        <f>IFERROR(__xludf.DUMMYFUNCTION("""COMPUTED_VALUE"""),10859.0)</f>
        <v>10859</v>
      </c>
      <c r="D2200" s="11">
        <f>IFERROR(__xludf.DUMMYFUNCTION("""COMPUTED_VALUE"""),1761.0)</f>
        <v>1761</v>
      </c>
      <c r="E2200" s="9"/>
    </row>
    <row r="2201">
      <c r="A2201" s="11">
        <f>IFERROR(__xludf.DUMMYFUNCTION("""COMPUTED_VALUE"""),2021.0)</f>
        <v>2021</v>
      </c>
      <c r="B2201" s="11">
        <f>IFERROR(__xludf.DUMMYFUNCTION("""COMPUTED_VALUE"""),10.0)</f>
        <v>10</v>
      </c>
      <c r="C2201" s="11">
        <f>IFERROR(__xludf.DUMMYFUNCTION("""COMPUTED_VALUE"""),118329.0)</f>
        <v>118329</v>
      </c>
      <c r="D2201" s="11">
        <f>IFERROR(__xludf.DUMMYFUNCTION("""COMPUTED_VALUE"""),120.0)</f>
        <v>120</v>
      </c>
      <c r="E2201" s="9"/>
    </row>
    <row r="2202">
      <c r="A2202" s="11">
        <f>IFERROR(__xludf.DUMMYFUNCTION("""COMPUTED_VALUE"""),2021.0)</f>
        <v>2021</v>
      </c>
      <c r="B2202" s="11">
        <f>IFERROR(__xludf.DUMMYFUNCTION("""COMPUTED_VALUE"""),8.0)</f>
        <v>8</v>
      </c>
      <c r="C2202" s="11">
        <f>IFERROR(__xludf.DUMMYFUNCTION("""COMPUTED_VALUE"""),105169.0)</f>
        <v>105169</v>
      </c>
      <c r="D2202" s="11">
        <f>IFERROR(__xludf.DUMMYFUNCTION("""COMPUTED_VALUE"""),803.0)</f>
        <v>803</v>
      </c>
      <c r="E2202" s="9"/>
    </row>
    <row r="2203">
      <c r="A2203" s="11">
        <f>IFERROR(__xludf.DUMMYFUNCTION("""COMPUTED_VALUE"""),2021.0)</f>
        <v>2021</v>
      </c>
      <c r="B2203" s="11">
        <f>IFERROR(__xludf.DUMMYFUNCTION("""COMPUTED_VALUE"""),11.0)</f>
        <v>11</v>
      </c>
      <c r="C2203" s="11">
        <f>IFERROR(__xludf.DUMMYFUNCTION("""COMPUTED_VALUE"""),90567.0)</f>
        <v>90567</v>
      </c>
      <c r="D2203" s="11">
        <f>IFERROR(__xludf.DUMMYFUNCTION("""COMPUTED_VALUE"""),1431.0)</f>
        <v>1431</v>
      </c>
      <c r="E2203" s="9"/>
    </row>
    <row r="2204">
      <c r="A2204" s="11">
        <f>IFERROR(__xludf.DUMMYFUNCTION("""COMPUTED_VALUE"""),2021.0)</f>
        <v>2021</v>
      </c>
      <c r="B2204" s="11">
        <f>IFERROR(__xludf.DUMMYFUNCTION("""COMPUTED_VALUE"""),11.0)</f>
        <v>11</v>
      </c>
      <c r="C2204" s="11">
        <f>IFERROR(__xludf.DUMMYFUNCTION("""COMPUTED_VALUE"""),46672.0)</f>
        <v>46672</v>
      </c>
      <c r="D2204" s="11">
        <f>IFERROR(__xludf.DUMMYFUNCTION("""COMPUTED_VALUE"""),37.0)</f>
        <v>37</v>
      </c>
      <c r="E2204" s="9"/>
    </row>
    <row r="2205">
      <c r="A2205" s="11">
        <f>IFERROR(__xludf.DUMMYFUNCTION("""COMPUTED_VALUE"""),2021.0)</f>
        <v>2021</v>
      </c>
      <c r="B2205" s="11">
        <f>IFERROR(__xludf.DUMMYFUNCTION("""COMPUTED_VALUE"""),9.0)</f>
        <v>9</v>
      </c>
      <c r="C2205" s="11">
        <f>IFERROR(__xludf.DUMMYFUNCTION("""COMPUTED_VALUE"""),118229.0)</f>
        <v>118229</v>
      </c>
      <c r="D2205" s="11">
        <f>IFERROR(__xludf.DUMMYFUNCTION("""COMPUTED_VALUE"""),1282.0)</f>
        <v>1282</v>
      </c>
      <c r="E2205" s="9"/>
    </row>
    <row r="2206">
      <c r="A2206" s="11">
        <f>IFERROR(__xludf.DUMMYFUNCTION("""COMPUTED_VALUE"""),2021.0)</f>
        <v>2021</v>
      </c>
      <c r="B2206" s="11">
        <f>IFERROR(__xludf.DUMMYFUNCTION("""COMPUTED_VALUE"""),10.0)</f>
        <v>10</v>
      </c>
      <c r="C2206" s="11">
        <f>IFERROR(__xludf.DUMMYFUNCTION("""COMPUTED_VALUE"""),193230.0)</f>
        <v>193230</v>
      </c>
      <c r="D2206" s="11">
        <f>IFERROR(__xludf.DUMMYFUNCTION("""COMPUTED_VALUE"""),784.0)</f>
        <v>784</v>
      </c>
      <c r="E2206" s="9"/>
    </row>
    <row r="2207">
      <c r="A2207" s="11">
        <f>IFERROR(__xludf.DUMMYFUNCTION("""COMPUTED_VALUE"""),2021.0)</f>
        <v>2021</v>
      </c>
      <c r="B2207" s="11">
        <f>IFERROR(__xludf.DUMMYFUNCTION("""COMPUTED_VALUE"""),11.0)</f>
        <v>11</v>
      </c>
      <c r="C2207" s="11">
        <f>IFERROR(__xludf.DUMMYFUNCTION("""COMPUTED_VALUE"""),193254.0)</f>
        <v>193254</v>
      </c>
      <c r="D2207" s="11">
        <f>IFERROR(__xludf.DUMMYFUNCTION("""COMPUTED_VALUE"""),10.0)</f>
        <v>10</v>
      </c>
      <c r="E2207" s="9"/>
    </row>
    <row r="2208">
      <c r="A2208" s="11">
        <f>IFERROR(__xludf.DUMMYFUNCTION("""COMPUTED_VALUE"""),2021.0)</f>
        <v>2021</v>
      </c>
      <c r="B2208" s="11">
        <f>IFERROR(__xludf.DUMMYFUNCTION("""COMPUTED_VALUE"""),11.0)</f>
        <v>11</v>
      </c>
      <c r="C2208" s="11">
        <f>IFERROR(__xludf.DUMMYFUNCTION("""COMPUTED_VALUE"""),113228.0)</f>
        <v>113228</v>
      </c>
      <c r="D2208" s="11">
        <f>IFERROR(__xludf.DUMMYFUNCTION("""COMPUTED_VALUE"""),235.0)</f>
        <v>235</v>
      </c>
      <c r="E2208" s="9"/>
    </row>
    <row r="2209">
      <c r="A2209" s="11">
        <f>IFERROR(__xludf.DUMMYFUNCTION("""COMPUTED_VALUE"""),2021.0)</f>
        <v>2021</v>
      </c>
      <c r="B2209" s="11">
        <f>IFERROR(__xludf.DUMMYFUNCTION("""COMPUTED_VALUE"""),9.0)</f>
        <v>9</v>
      </c>
      <c r="C2209" s="11">
        <f>IFERROR(__xludf.DUMMYFUNCTION("""COMPUTED_VALUE"""),193193.0)</f>
        <v>193193</v>
      </c>
      <c r="D2209" s="11">
        <f>IFERROR(__xludf.DUMMYFUNCTION("""COMPUTED_VALUE"""),40.0)</f>
        <v>40</v>
      </c>
      <c r="E2209" s="9"/>
    </row>
    <row r="2210">
      <c r="A2210" s="11">
        <f>IFERROR(__xludf.DUMMYFUNCTION("""COMPUTED_VALUE"""),2021.0)</f>
        <v>2021</v>
      </c>
      <c r="B2210" s="11">
        <f>IFERROR(__xludf.DUMMYFUNCTION("""COMPUTED_VALUE"""),10.0)</f>
        <v>10</v>
      </c>
      <c r="C2210" s="11">
        <f>IFERROR(__xludf.DUMMYFUNCTION("""COMPUTED_VALUE"""),113223.0)</f>
        <v>113223</v>
      </c>
      <c r="D2210" s="11">
        <f>IFERROR(__xludf.DUMMYFUNCTION("""COMPUTED_VALUE"""),1469.0)</f>
        <v>1469</v>
      </c>
      <c r="E2210" s="9"/>
    </row>
    <row r="2211">
      <c r="A2211" s="11">
        <f>IFERROR(__xludf.DUMMYFUNCTION("""COMPUTED_VALUE"""),2021.0)</f>
        <v>2021</v>
      </c>
      <c r="B2211" s="11">
        <f>IFERROR(__xludf.DUMMYFUNCTION("""COMPUTED_VALUE"""),10.0)</f>
        <v>10</v>
      </c>
      <c r="C2211" s="11">
        <f>IFERROR(__xludf.DUMMYFUNCTION("""COMPUTED_VALUE"""),113227.0)</f>
        <v>113227</v>
      </c>
      <c r="D2211" s="11">
        <f>IFERROR(__xludf.DUMMYFUNCTION("""COMPUTED_VALUE"""),1959.0)</f>
        <v>1959</v>
      </c>
      <c r="E2211" s="9"/>
    </row>
    <row r="2212">
      <c r="A2212" s="11">
        <f>IFERROR(__xludf.DUMMYFUNCTION("""COMPUTED_VALUE"""),2021.0)</f>
        <v>2021</v>
      </c>
      <c r="B2212" s="11">
        <f>IFERROR(__xludf.DUMMYFUNCTION("""COMPUTED_VALUE"""),9.0)</f>
        <v>9</v>
      </c>
      <c r="C2212" s="11">
        <f>IFERROR(__xludf.DUMMYFUNCTION("""COMPUTED_VALUE"""),114198.0)</f>
        <v>114198</v>
      </c>
      <c r="D2212" s="11">
        <f>IFERROR(__xludf.DUMMYFUNCTION("""COMPUTED_VALUE"""),1229.0)</f>
        <v>1229</v>
      </c>
      <c r="E2212" s="9"/>
    </row>
    <row r="2213">
      <c r="A2213" s="11">
        <f>IFERROR(__xludf.DUMMYFUNCTION("""COMPUTED_VALUE"""),2021.0)</f>
        <v>2021</v>
      </c>
      <c r="B2213" s="11">
        <f>IFERROR(__xludf.DUMMYFUNCTION("""COMPUTED_VALUE"""),11.0)</f>
        <v>11</v>
      </c>
      <c r="C2213" s="11">
        <f>IFERROR(__xludf.DUMMYFUNCTION("""COMPUTED_VALUE"""),100451.0)</f>
        <v>100451</v>
      </c>
      <c r="D2213" s="11">
        <f>IFERROR(__xludf.DUMMYFUNCTION("""COMPUTED_VALUE"""),678.0)</f>
        <v>678</v>
      </c>
      <c r="E2213" s="9"/>
    </row>
    <row r="2214">
      <c r="A2214" s="11">
        <f>IFERROR(__xludf.DUMMYFUNCTION("""COMPUTED_VALUE"""),2021.0)</f>
        <v>2021</v>
      </c>
      <c r="B2214" s="11">
        <f>IFERROR(__xludf.DUMMYFUNCTION("""COMPUTED_VALUE"""),10.0)</f>
        <v>10</v>
      </c>
      <c r="C2214" s="11">
        <f>IFERROR(__xludf.DUMMYFUNCTION("""COMPUTED_VALUE"""),100446.0)</f>
        <v>100446</v>
      </c>
      <c r="D2214" s="11">
        <f>IFERROR(__xludf.DUMMYFUNCTION("""COMPUTED_VALUE"""),738.0)</f>
        <v>738</v>
      </c>
      <c r="E2214" s="9"/>
    </row>
    <row r="2215">
      <c r="A2215" s="11">
        <f>IFERROR(__xludf.DUMMYFUNCTION("""COMPUTED_VALUE"""),2021.0)</f>
        <v>2021</v>
      </c>
      <c r="B2215" s="11">
        <f>IFERROR(__xludf.DUMMYFUNCTION("""COMPUTED_VALUE"""),11.0)</f>
        <v>11</v>
      </c>
      <c r="C2215" s="11">
        <f>IFERROR(__xludf.DUMMYFUNCTION("""COMPUTED_VALUE"""),193253.0)</f>
        <v>193253</v>
      </c>
      <c r="D2215" s="11">
        <f>IFERROR(__xludf.DUMMYFUNCTION("""COMPUTED_VALUE"""),611.0)</f>
        <v>611</v>
      </c>
      <c r="E2215" s="9"/>
    </row>
    <row r="2216">
      <c r="A2216" s="11">
        <f>IFERROR(__xludf.DUMMYFUNCTION("""COMPUTED_VALUE"""),2021.0)</f>
        <v>2021</v>
      </c>
      <c r="B2216" s="11">
        <f>IFERROR(__xludf.DUMMYFUNCTION("""COMPUTED_VALUE"""),10.0)</f>
        <v>10</v>
      </c>
      <c r="C2216" s="11">
        <f>IFERROR(__xludf.DUMMYFUNCTION("""COMPUTED_VALUE"""),82432.0)</f>
        <v>82432</v>
      </c>
      <c r="D2216" s="11">
        <f>IFERROR(__xludf.DUMMYFUNCTION("""COMPUTED_VALUE"""),73.0)</f>
        <v>73</v>
      </c>
      <c r="E2216" s="9"/>
    </row>
    <row r="2217">
      <c r="A2217" s="11">
        <f>IFERROR(__xludf.DUMMYFUNCTION("""COMPUTED_VALUE"""),2021.0)</f>
        <v>2021</v>
      </c>
      <c r="B2217" s="11">
        <f>IFERROR(__xludf.DUMMYFUNCTION("""COMPUTED_VALUE"""),8.0)</f>
        <v>8</v>
      </c>
      <c r="C2217" s="11">
        <f>IFERROR(__xludf.DUMMYFUNCTION("""COMPUTED_VALUE"""),122703.0)</f>
        <v>122703</v>
      </c>
      <c r="D2217" s="11">
        <f>IFERROR(__xludf.DUMMYFUNCTION("""COMPUTED_VALUE"""),1822.0)</f>
        <v>1822</v>
      </c>
      <c r="E2217" s="9"/>
    </row>
    <row r="2218">
      <c r="A2218" s="11">
        <f>IFERROR(__xludf.DUMMYFUNCTION("""COMPUTED_VALUE"""),2021.0)</f>
        <v>2021</v>
      </c>
      <c r="B2218" s="11">
        <f>IFERROR(__xludf.DUMMYFUNCTION("""COMPUTED_VALUE"""),10.0)</f>
        <v>10</v>
      </c>
      <c r="C2218" s="11">
        <f>IFERROR(__xludf.DUMMYFUNCTION("""COMPUTED_VALUE"""),129410.0)</f>
        <v>129410</v>
      </c>
      <c r="D2218" s="11">
        <f>IFERROR(__xludf.DUMMYFUNCTION("""COMPUTED_VALUE"""),670.0)</f>
        <v>670</v>
      </c>
      <c r="E2218" s="9"/>
    </row>
    <row r="2219">
      <c r="A2219" s="11">
        <f>IFERROR(__xludf.DUMMYFUNCTION("""COMPUTED_VALUE"""),2021.0)</f>
        <v>2021</v>
      </c>
      <c r="B2219" s="11">
        <f>IFERROR(__xludf.DUMMYFUNCTION("""COMPUTED_VALUE"""),10.0)</f>
        <v>10</v>
      </c>
      <c r="C2219" s="11">
        <f>IFERROR(__xludf.DUMMYFUNCTION("""COMPUTED_VALUE"""),103236.0)</f>
        <v>103236</v>
      </c>
      <c r="D2219" s="11">
        <f>IFERROR(__xludf.DUMMYFUNCTION("""COMPUTED_VALUE"""),1534.0)</f>
        <v>1534</v>
      </c>
      <c r="E2219" s="9"/>
    </row>
    <row r="2220">
      <c r="A2220" s="11">
        <f>IFERROR(__xludf.DUMMYFUNCTION("""COMPUTED_VALUE"""),2021.0)</f>
        <v>2021</v>
      </c>
      <c r="B2220" s="11">
        <f>IFERROR(__xludf.DUMMYFUNCTION("""COMPUTED_VALUE"""),10.0)</f>
        <v>10</v>
      </c>
      <c r="C2220" s="11">
        <f>IFERROR(__xludf.DUMMYFUNCTION("""COMPUTED_VALUE"""),127534.0)</f>
        <v>127534</v>
      </c>
      <c r="D2220" s="11">
        <f>IFERROR(__xludf.DUMMYFUNCTION("""COMPUTED_VALUE"""),397.0)</f>
        <v>397</v>
      </c>
      <c r="E2220" s="9"/>
    </row>
    <row r="2221">
      <c r="A2221" s="11">
        <f>IFERROR(__xludf.DUMMYFUNCTION("""COMPUTED_VALUE"""),2021.0)</f>
        <v>2021</v>
      </c>
      <c r="B2221" s="11">
        <f>IFERROR(__xludf.DUMMYFUNCTION("""COMPUTED_VALUE"""),9.0)</f>
        <v>9</v>
      </c>
      <c r="C2221" s="11">
        <f>IFERROR(__xludf.DUMMYFUNCTION("""COMPUTED_VALUE"""),100906.0)</f>
        <v>100906</v>
      </c>
      <c r="D2221" s="11">
        <f>IFERROR(__xludf.DUMMYFUNCTION("""COMPUTED_VALUE"""),1364.0)</f>
        <v>1364</v>
      </c>
      <c r="E2221" s="9"/>
    </row>
    <row r="2222">
      <c r="A2222" s="11">
        <f>IFERROR(__xludf.DUMMYFUNCTION("""COMPUTED_VALUE"""),2021.0)</f>
        <v>2021</v>
      </c>
      <c r="B2222" s="11">
        <f>IFERROR(__xludf.DUMMYFUNCTION("""COMPUTED_VALUE"""),10.0)</f>
        <v>10</v>
      </c>
      <c r="C2222" s="11">
        <f>IFERROR(__xludf.DUMMYFUNCTION("""COMPUTED_VALUE"""),109098.0)</f>
        <v>109098</v>
      </c>
      <c r="D2222" s="11">
        <f>IFERROR(__xludf.DUMMYFUNCTION("""COMPUTED_VALUE"""),507.0)</f>
        <v>507</v>
      </c>
      <c r="E2222" s="9"/>
    </row>
    <row r="2223">
      <c r="A2223" s="11">
        <f>IFERROR(__xludf.DUMMYFUNCTION("""COMPUTED_VALUE"""),2021.0)</f>
        <v>2021</v>
      </c>
      <c r="B2223" s="11">
        <f>IFERROR(__xludf.DUMMYFUNCTION("""COMPUTED_VALUE"""),10.0)</f>
        <v>10</v>
      </c>
      <c r="C2223" s="11">
        <f>IFERROR(__xludf.DUMMYFUNCTION("""COMPUTED_VALUE"""),155864.0)</f>
        <v>155864</v>
      </c>
      <c r="D2223" s="11">
        <f>IFERROR(__xludf.DUMMYFUNCTION("""COMPUTED_VALUE"""),1033.0)</f>
        <v>1033</v>
      </c>
      <c r="E2223" s="9"/>
    </row>
    <row r="2224">
      <c r="A2224" s="11">
        <f>IFERROR(__xludf.DUMMYFUNCTION("""COMPUTED_VALUE"""),2021.0)</f>
        <v>2021</v>
      </c>
      <c r="B2224" s="11">
        <f>IFERROR(__xludf.DUMMYFUNCTION("""COMPUTED_VALUE"""),9.0)</f>
        <v>9</v>
      </c>
      <c r="C2224" s="11">
        <f>IFERROR(__xludf.DUMMYFUNCTION("""COMPUTED_VALUE"""),120314.0)</f>
        <v>120314</v>
      </c>
      <c r="D2224" s="11">
        <f>IFERROR(__xludf.DUMMYFUNCTION("""COMPUTED_VALUE"""),115.0)</f>
        <v>115</v>
      </c>
      <c r="E2224" s="9"/>
    </row>
    <row r="2225">
      <c r="A2225" s="11">
        <f>IFERROR(__xludf.DUMMYFUNCTION("""COMPUTED_VALUE"""),2021.0)</f>
        <v>2021</v>
      </c>
      <c r="B2225" s="11">
        <f>IFERROR(__xludf.DUMMYFUNCTION("""COMPUTED_VALUE"""),10.0)</f>
        <v>10</v>
      </c>
      <c r="C2225" s="11">
        <f>IFERROR(__xludf.DUMMYFUNCTION("""COMPUTED_VALUE"""),199547.0)</f>
        <v>199547</v>
      </c>
      <c r="D2225" s="11">
        <f>IFERROR(__xludf.DUMMYFUNCTION("""COMPUTED_VALUE"""),1941.0)</f>
        <v>1941</v>
      </c>
      <c r="E2225" s="9"/>
    </row>
    <row r="2226">
      <c r="A2226" s="11">
        <f>IFERROR(__xludf.DUMMYFUNCTION("""COMPUTED_VALUE"""),2021.0)</f>
        <v>2021</v>
      </c>
      <c r="B2226" s="11">
        <f>IFERROR(__xludf.DUMMYFUNCTION("""COMPUTED_VALUE"""),10.0)</f>
        <v>10</v>
      </c>
      <c r="C2226" s="11">
        <f>IFERROR(__xludf.DUMMYFUNCTION("""COMPUTED_VALUE"""),110540.0)</f>
        <v>110540</v>
      </c>
      <c r="D2226" s="11">
        <f>IFERROR(__xludf.DUMMYFUNCTION("""COMPUTED_VALUE"""),1200.0)</f>
        <v>1200</v>
      </c>
      <c r="E2226" s="9"/>
    </row>
    <row r="2227">
      <c r="A2227" s="11">
        <f>IFERROR(__xludf.DUMMYFUNCTION("""COMPUTED_VALUE"""),2021.0)</f>
        <v>2021</v>
      </c>
      <c r="B2227" s="11">
        <f>IFERROR(__xludf.DUMMYFUNCTION("""COMPUTED_VALUE"""),10.0)</f>
        <v>10</v>
      </c>
      <c r="C2227" s="11">
        <f>IFERROR(__xludf.DUMMYFUNCTION("""COMPUTED_VALUE"""),182190.0)</f>
        <v>182190</v>
      </c>
      <c r="D2227" s="11">
        <f>IFERROR(__xludf.DUMMYFUNCTION("""COMPUTED_VALUE"""),1071.0)</f>
        <v>1071</v>
      </c>
      <c r="E2227" s="9"/>
    </row>
    <row r="2228">
      <c r="A2228" s="11">
        <f>IFERROR(__xludf.DUMMYFUNCTION("""COMPUTED_VALUE"""),2021.0)</f>
        <v>2021</v>
      </c>
      <c r="B2228" s="11">
        <f>IFERROR(__xludf.DUMMYFUNCTION("""COMPUTED_VALUE"""),8.0)</f>
        <v>8</v>
      </c>
      <c r="C2228" s="11">
        <f>IFERROR(__xludf.DUMMYFUNCTION("""COMPUTED_VALUE"""),79341.0)</f>
        <v>79341</v>
      </c>
      <c r="D2228" s="11">
        <f>IFERROR(__xludf.DUMMYFUNCTION("""COMPUTED_VALUE"""),1941.0)</f>
        <v>1941</v>
      </c>
      <c r="E2228" s="9"/>
    </row>
    <row r="2229">
      <c r="A2229" s="11">
        <f>IFERROR(__xludf.DUMMYFUNCTION("""COMPUTED_VALUE"""),2021.0)</f>
        <v>2021</v>
      </c>
      <c r="B2229" s="11">
        <f>IFERROR(__xludf.DUMMYFUNCTION("""COMPUTED_VALUE"""),11.0)</f>
        <v>11</v>
      </c>
      <c r="C2229" s="11">
        <f>IFERROR(__xludf.DUMMYFUNCTION("""COMPUTED_VALUE"""),108969.0)</f>
        <v>108969</v>
      </c>
      <c r="D2229" s="11">
        <f>IFERROR(__xludf.DUMMYFUNCTION("""COMPUTED_VALUE"""),1466.0)</f>
        <v>1466</v>
      </c>
      <c r="E2229" s="9"/>
    </row>
    <row r="2230">
      <c r="A2230" s="11">
        <f>IFERROR(__xludf.DUMMYFUNCTION("""COMPUTED_VALUE"""),2021.0)</f>
        <v>2021</v>
      </c>
      <c r="B2230" s="11">
        <f>IFERROR(__xludf.DUMMYFUNCTION("""COMPUTED_VALUE"""),8.0)</f>
        <v>8</v>
      </c>
      <c r="C2230" s="11">
        <f>IFERROR(__xludf.DUMMYFUNCTION("""COMPUTED_VALUE"""),79939.0)</f>
        <v>79939</v>
      </c>
      <c r="D2230" s="11">
        <f>IFERROR(__xludf.DUMMYFUNCTION("""COMPUTED_VALUE"""),125.0)</f>
        <v>125</v>
      </c>
      <c r="E2230" s="9"/>
    </row>
    <row r="2231">
      <c r="A2231" s="11">
        <f>IFERROR(__xludf.DUMMYFUNCTION("""COMPUTED_VALUE"""),2021.0)</f>
        <v>2021</v>
      </c>
      <c r="B2231" s="11">
        <f>IFERROR(__xludf.DUMMYFUNCTION("""COMPUTED_VALUE"""),9.0)</f>
        <v>9</v>
      </c>
      <c r="C2231" s="11">
        <f>IFERROR(__xludf.DUMMYFUNCTION("""COMPUTED_VALUE"""),11733.0)</f>
        <v>11733</v>
      </c>
      <c r="D2231" s="11">
        <f>IFERROR(__xludf.DUMMYFUNCTION("""COMPUTED_VALUE"""),366.0)</f>
        <v>366</v>
      </c>
      <c r="E2231" s="9"/>
    </row>
    <row r="2232">
      <c r="A2232" s="11">
        <f>IFERROR(__xludf.DUMMYFUNCTION("""COMPUTED_VALUE"""),2021.0)</f>
        <v>2021</v>
      </c>
      <c r="B2232" s="11">
        <f>IFERROR(__xludf.DUMMYFUNCTION("""COMPUTED_VALUE"""),8.0)</f>
        <v>8</v>
      </c>
      <c r="C2232" s="11">
        <f>IFERROR(__xludf.DUMMYFUNCTION("""COMPUTED_VALUE"""),12647.0)</f>
        <v>12647</v>
      </c>
      <c r="D2232" s="11">
        <f>IFERROR(__xludf.DUMMYFUNCTION("""COMPUTED_VALUE"""),625.0)</f>
        <v>625</v>
      </c>
      <c r="E2232" s="9"/>
    </row>
    <row r="2233">
      <c r="A2233" s="11">
        <f>IFERROR(__xludf.DUMMYFUNCTION("""COMPUTED_VALUE"""),2021.0)</f>
        <v>2021</v>
      </c>
      <c r="B2233" s="11">
        <f>IFERROR(__xludf.DUMMYFUNCTION("""COMPUTED_VALUE"""),10.0)</f>
        <v>10</v>
      </c>
      <c r="C2233" s="11">
        <f>IFERROR(__xludf.DUMMYFUNCTION("""COMPUTED_VALUE"""),122292.0)</f>
        <v>122292</v>
      </c>
      <c r="D2233" s="11">
        <f>IFERROR(__xludf.DUMMYFUNCTION("""COMPUTED_VALUE"""),246.0)</f>
        <v>246</v>
      </c>
      <c r="E2233" s="9"/>
    </row>
    <row r="2234">
      <c r="A2234" s="11">
        <f>IFERROR(__xludf.DUMMYFUNCTION("""COMPUTED_VALUE"""),2021.0)</f>
        <v>2021</v>
      </c>
      <c r="B2234" s="11">
        <f>IFERROR(__xludf.DUMMYFUNCTION("""COMPUTED_VALUE"""),9.0)</f>
        <v>9</v>
      </c>
      <c r="C2234" s="11">
        <f>IFERROR(__xludf.DUMMYFUNCTION("""COMPUTED_VALUE"""),117433.0)</f>
        <v>117433</v>
      </c>
      <c r="D2234" s="11">
        <f>IFERROR(__xludf.DUMMYFUNCTION("""COMPUTED_VALUE"""),1586.0)</f>
        <v>1586</v>
      </c>
      <c r="E2234" s="9"/>
    </row>
    <row r="2235">
      <c r="A2235" s="11">
        <f>IFERROR(__xludf.DUMMYFUNCTION("""COMPUTED_VALUE"""),2021.0)</f>
        <v>2021</v>
      </c>
      <c r="B2235" s="11">
        <f>IFERROR(__xludf.DUMMYFUNCTION("""COMPUTED_VALUE"""),11.0)</f>
        <v>11</v>
      </c>
      <c r="C2235" s="11">
        <f>IFERROR(__xludf.DUMMYFUNCTION("""COMPUTED_VALUE"""),127018.0)</f>
        <v>127018</v>
      </c>
      <c r="D2235" s="11">
        <f>IFERROR(__xludf.DUMMYFUNCTION("""COMPUTED_VALUE"""),1107.0)</f>
        <v>1107</v>
      </c>
      <c r="E2235" s="9"/>
    </row>
    <row r="2236">
      <c r="A2236" s="11">
        <f>IFERROR(__xludf.DUMMYFUNCTION("""COMPUTED_VALUE"""),2021.0)</f>
        <v>2021</v>
      </c>
      <c r="B2236" s="11">
        <f>IFERROR(__xludf.DUMMYFUNCTION("""COMPUTED_VALUE"""),9.0)</f>
        <v>9</v>
      </c>
      <c r="C2236" s="11">
        <f>IFERROR(__xludf.DUMMYFUNCTION("""COMPUTED_VALUE"""),9705.0)</f>
        <v>9705</v>
      </c>
      <c r="D2236" s="11">
        <f>IFERROR(__xludf.DUMMYFUNCTION("""COMPUTED_VALUE"""),742.0)</f>
        <v>742</v>
      </c>
      <c r="E2236" s="9"/>
    </row>
    <row r="2237">
      <c r="A2237" s="11">
        <f>IFERROR(__xludf.DUMMYFUNCTION("""COMPUTED_VALUE"""),2021.0)</f>
        <v>2021</v>
      </c>
      <c r="B2237" s="11">
        <f>IFERROR(__xludf.DUMMYFUNCTION("""COMPUTED_VALUE"""),9.0)</f>
        <v>9</v>
      </c>
      <c r="C2237" s="11">
        <f>IFERROR(__xludf.DUMMYFUNCTION("""COMPUTED_VALUE"""),9703.0)</f>
        <v>9703</v>
      </c>
      <c r="D2237" s="11">
        <f>IFERROR(__xludf.DUMMYFUNCTION("""COMPUTED_VALUE"""),1151.0)</f>
        <v>1151</v>
      </c>
      <c r="E2237" s="9"/>
    </row>
    <row r="2238">
      <c r="A2238" s="11">
        <f>IFERROR(__xludf.DUMMYFUNCTION("""COMPUTED_VALUE"""),2021.0)</f>
        <v>2021</v>
      </c>
      <c r="B2238" s="11">
        <f>IFERROR(__xludf.DUMMYFUNCTION("""COMPUTED_VALUE"""),10.0)</f>
        <v>10</v>
      </c>
      <c r="C2238" s="11">
        <f>IFERROR(__xludf.DUMMYFUNCTION("""COMPUTED_VALUE"""),86005.0)</f>
        <v>86005</v>
      </c>
      <c r="D2238" s="11">
        <f>IFERROR(__xludf.DUMMYFUNCTION("""COMPUTED_VALUE"""),488.0)</f>
        <v>488</v>
      </c>
      <c r="E2238" s="9"/>
    </row>
    <row r="2239">
      <c r="A2239" s="11">
        <f>IFERROR(__xludf.DUMMYFUNCTION("""COMPUTED_VALUE"""),2021.0)</f>
        <v>2021</v>
      </c>
      <c r="B2239" s="11">
        <f>IFERROR(__xludf.DUMMYFUNCTION("""COMPUTED_VALUE"""),11.0)</f>
        <v>11</v>
      </c>
      <c r="C2239" s="11">
        <f>IFERROR(__xludf.DUMMYFUNCTION("""COMPUTED_VALUE"""),9704.0)</f>
        <v>9704</v>
      </c>
      <c r="D2239" s="11">
        <f>IFERROR(__xludf.DUMMYFUNCTION("""COMPUTED_VALUE"""),619.0)</f>
        <v>619</v>
      </c>
      <c r="E2239" s="9"/>
    </row>
    <row r="2240">
      <c r="A2240" s="11">
        <f>IFERROR(__xludf.DUMMYFUNCTION("""COMPUTED_VALUE"""),2021.0)</f>
        <v>2021</v>
      </c>
      <c r="B2240" s="11">
        <f>IFERROR(__xludf.DUMMYFUNCTION("""COMPUTED_VALUE"""),10.0)</f>
        <v>10</v>
      </c>
      <c r="C2240" s="11">
        <f>IFERROR(__xludf.DUMMYFUNCTION("""COMPUTED_VALUE"""),182189.0)</f>
        <v>182189</v>
      </c>
      <c r="D2240" s="11">
        <f>IFERROR(__xludf.DUMMYFUNCTION("""COMPUTED_VALUE"""),493.0)</f>
        <v>493</v>
      </c>
      <c r="E2240" s="9"/>
    </row>
    <row r="2241">
      <c r="A2241" s="11">
        <f>IFERROR(__xludf.DUMMYFUNCTION("""COMPUTED_VALUE"""),2021.0)</f>
        <v>2021</v>
      </c>
      <c r="B2241" s="11">
        <f>IFERROR(__xludf.DUMMYFUNCTION("""COMPUTED_VALUE"""),11.0)</f>
        <v>11</v>
      </c>
      <c r="C2241" s="11">
        <f>IFERROR(__xludf.DUMMYFUNCTION("""COMPUTED_VALUE"""),29452.0)</f>
        <v>29452</v>
      </c>
      <c r="D2241" s="11">
        <f>IFERROR(__xludf.DUMMYFUNCTION("""COMPUTED_VALUE"""),512.0)</f>
        <v>512</v>
      </c>
      <c r="E2241" s="9"/>
    </row>
    <row r="2242">
      <c r="A2242" s="11">
        <f>IFERROR(__xludf.DUMMYFUNCTION("""COMPUTED_VALUE"""),2021.0)</f>
        <v>2021</v>
      </c>
      <c r="B2242" s="11">
        <f>IFERROR(__xludf.DUMMYFUNCTION("""COMPUTED_VALUE"""),9.0)</f>
        <v>9</v>
      </c>
      <c r="C2242" s="11">
        <f>IFERROR(__xludf.DUMMYFUNCTION("""COMPUTED_VALUE"""),122485.0)</f>
        <v>122485</v>
      </c>
      <c r="D2242" s="11">
        <f>IFERROR(__xludf.DUMMYFUNCTION("""COMPUTED_VALUE"""),1071.0)</f>
        <v>1071</v>
      </c>
      <c r="E2242" s="9"/>
    </row>
    <row r="2243">
      <c r="A2243" s="11">
        <f>IFERROR(__xludf.DUMMYFUNCTION("""COMPUTED_VALUE"""),2021.0)</f>
        <v>2021</v>
      </c>
      <c r="B2243" s="11">
        <f>IFERROR(__xludf.DUMMYFUNCTION("""COMPUTED_VALUE"""),10.0)</f>
        <v>10</v>
      </c>
      <c r="C2243" s="11">
        <f>IFERROR(__xludf.DUMMYFUNCTION("""COMPUTED_VALUE"""),9706.0)</f>
        <v>9706</v>
      </c>
      <c r="D2243" s="11">
        <f>IFERROR(__xludf.DUMMYFUNCTION("""COMPUTED_VALUE"""),1308.0)</f>
        <v>1308</v>
      </c>
      <c r="E2243" s="9"/>
    </row>
    <row r="2244">
      <c r="A2244" s="11">
        <f>IFERROR(__xludf.DUMMYFUNCTION("""COMPUTED_VALUE"""),2021.0)</f>
        <v>2021</v>
      </c>
      <c r="B2244" s="11">
        <f>IFERROR(__xludf.DUMMYFUNCTION("""COMPUTED_VALUE"""),8.0)</f>
        <v>8</v>
      </c>
      <c r="C2244" s="11">
        <f>IFERROR(__xludf.DUMMYFUNCTION("""COMPUTED_VALUE"""),12648.0)</f>
        <v>12648</v>
      </c>
      <c r="D2244" s="11">
        <f>IFERROR(__xludf.DUMMYFUNCTION("""COMPUTED_VALUE"""),1035.0)</f>
        <v>1035</v>
      </c>
      <c r="E2244" s="9"/>
    </row>
    <row r="2245">
      <c r="A2245" s="11">
        <f>IFERROR(__xludf.DUMMYFUNCTION("""COMPUTED_VALUE"""),2021.0)</f>
        <v>2021</v>
      </c>
      <c r="B2245" s="11">
        <f>IFERROR(__xludf.DUMMYFUNCTION("""COMPUTED_VALUE"""),11.0)</f>
        <v>11</v>
      </c>
      <c r="C2245" s="11">
        <f>IFERROR(__xludf.DUMMYFUNCTION("""COMPUTED_VALUE"""),93899.0)</f>
        <v>93899</v>
      </c>
      <c r="D2245" s="11">
        <f>IFERROR(__xludf.DUMMYFUNCTION("""COMPUTED_VALUE"""),214.0)</f>
        <v>214</v>
      </c>
      <c r="E2245" s="9"/>
    </row>
    <row r="2246">
      <c r="A2246" s="11">
        <f>IFERROR(__xludf.DUMMYFUNCTION("""COMPUTED_VALUE"""),2021.0)</f>
        <v>2021</v>
      </c>
      <c r="B2246" s="11">
        <f>IFERROR(__xludf.DUMMYFUNCTION("""COMPUTED_VALUE"""),8.0)</f>
        <v>8</v>
      </c>
      <c r="C2246" s="11">
        <f>IFERROR(__xludf.DUMMYFUNCTION("""COMPUTED_VALUE"""),28890.0)</f>
        <v>28890</v>
      </c>
      <c r="D2246" s="11">
        <f>IFERROR(__xludf.DUMMYFUNCTION("""COMPUTED_VALUE"""),234.0)</f>
        <v>234</v>
      </c>
      <c r="E2246" s="9"/>
    </row>
    <row r="2247">
      <c r="A2247" s="11">
        <f>IFERROR(__xludf.DUMMYFUNCTION("""COMPUTED_VALUE"""),2021.0)</f>
        <v>2021</v>
      </c>
      <c r="B2247" s="11">
        <f>IFERROR(__xludf.DUMMYFUNCTION("""COMPUTED_VALUE"""),11.0)</f>
        <v>11</v>
      </c>
      <c r="C2247" s="11">
        <f>IFERROR(__xludf.DUMMYFUNCTION("""COMPUTED_VALUE"""),17638.0)</f>
        <v>17638</v>
      </c>
      <c r="D2247" s="11">
        <f>IFERROR(__xludf.DUMMYFUNCTION("""COMPUTED_VALUE"""),1738.0)</f>
        <v>1738</v>
      </c>
      <c r="E2247" s="9"/>
    </row>
    <row r="2248">
      <c r="A2248" s="11">
        <f>IFERROR(__xludf.DUMMYFUNCTION("""COMPUTED_VALUE"""),2021.0)</f>
        <v>2021</v>
      </c>
      <c r="B2248" s="11">
        <f>IFERROR(__xludf.DUMMYFUNCTION("""COMPUTED_VALUE"""),11.0)</f>
        <v>11</v>
      </c>
      <c r="C2248" s="11">
        <f>IFERROR(__xludf.DUMMYFUNCTION("""COMPUTED_VALUE"""),28888.0)</f>
        <v>28888</v>
      </c>
      <c r="D2248" s="11">
        <f>IFERROR(__xludf.DUMMYFUNCTION("""COMPUTED_VALUE"""),745.0)</f>
        <v>745</v>
      </c>
      <c r="E2248" s="9"/>
    </row>
    <row r="2249">
      <c r="A2249" s="11">
        <f>IFERROR(__xludf.DUMMYFUNCTION("""COMPUTED_VALUE"""),2021.0)</f>
        <v>2021</v>
      </c>
      <c r="B2249" s="11">
        <f>IFERROR(__xludf.DUMMYFUNCTION("""COMPUTED_VALUE"""),9.0)</f>
        <v>9</v>
      </c>
      <c r="C2249" s="11">
        <f>IFERROR(__xludf.DUMMYFUNCTION("""COMPUTED_VALUE"""),29455.0)</f>
        <v>29455</v>
      </c>
      <c r="D2249" s="11">
        <f>IFERROR(__xludf.DUMMYFUNCTION("""COMPUTED_VALUE"""),143.0)</f>
        <v>143</v>
      </c>
      <c r="E2249" s="9"/>
    </row>
    <row r="2250">
      <c r="A2250" s="11">
        <f>IFERROR(__xludf.DUMMYFUNCTION("""COMPUTED_VALUE"""),2021.0)</f>
        <v>2021</v>
      </c>
      <c r="B2250" s="11">
        <f>IFERROR(__xludf.DUMMYFUNCTION("""COMPUTED_VALUE"""),8.0)</f>
        <v>8</v>
      </c>
      <c r="C2250" s="11">
        <f>IFERROR(__xludf.DUMMYFUNCTION("""COMPUTED_VALUE"""),93895.0)</f>
        <v>93895</v>
      </c>
      <c r="D2250" s="11">
        <f>IFERROR(__xludf.DUMMYFUNCTION("""COMPUTED_VALUE"""),1517.0)</f>
        <v>1517</v>
      </c>
      <c r="E2250" s="9"/>
    </row>
    <row r="2251">
      <c r="A2251" s="11">
        <f>IFERROR(__xludf.DUMMYFUNCTION("""COMPUTED_VALUE"""),2021.0)</f>
        <v>2021</v>
      </c>
      <c r="B2251" s="11">
        <f>IFERROR(__xludf.DUMMYFUNCTION("""COMPUTED_VALUE"""),9.0)</f>
        <v>9</v>
      </c>
      <c r="C2251" s="11">
        <f>IFERROR(__xludf.DUMMYFUNCTION("""COMPUTED_VALUE"""),116417.0)</f>
        <v>116417</v>
      </c>
      <c r="D2251" s="11">
        <f>IFERROR(__xludf.DUMMYFUNCTION("""COMPUTED_VALUE"""),1204.0)</f>
        <v>1204</v>
      </c>
      <c r="E2251" s="9"/>
    </row>
    <row r="2252">
      <c r="A2252" s="11">
        <f>IFERROR(__xludf.DUMMYFUNCTION("""COMPUTED_VALUE"""),2021.0)</f>
        <v>2021</v>
      </c>
      <c r="B2252" s="11">
        <f>IFERROR(__xludf.DUMMYFUNCTION("""COMPUTED_VALUE"""),10.0)</f>
        <v>10</v>
      </c>
      <c r="C2252" s="11">
        <f>IFERROR(__xludf.DUMMYFUNCTION("""COMPUTED_VALUE"""),1971.0)</f>
        <v>1971</v>
      </c>
      <c r="D2252" s="11">
        <f>IFERROR(__xludf.DUMMYFUNCTION("""COMPUTED_VALUE"""),1645.0)</f>
        <v>1645</v>
      </c>
      <c r="E2252" s="9"/>
    </row>
    <row r="2253">
      <c r="A2253" s="11">
        <f>IFERROR(__xludf.DUMMYFUNCTION("""COMPUTED_VALUE"""),2021.0)</f>
        <v>2021</v>
      </c>
      <c r="B2253" s="11">
        <f>IFERROR(__xludf.DUMMYFUNCTION("""COMPUTED_VALUE"""),11.0)</f>
        <v>11</v>
      </c>
      <c r="C2253" s="11">
        <f>IFERROR(__xludf.DUMMYFUNCTION("""COMPUTED_VALUE"""),12649.0)</f>
        <v>12649</v>
      </c>
      <c r="D2253" s="11">
        <f>IFERROR(__xludf.DUMMYFUNCTION("""COMPUTED_VALUE"""),1772.0)</f>
        <v>1772</v>
      </c>
      <c r="E2253" s="9"/>
    </row>
    <row r="2254">
      <c r="A2254" s="11">
        <f>IFERROR(__xludf.DUMMYFUNCTION("""COMPUTED_VALUE"""),2021.0)</f>
        <v>2021</v>
      </c>
      <c r="B2254" s="11">
        <f>IFERROR(__xludf.DUMMYFUNCTION("""COMPUTED_VALUE"""),9.0)</f>
        <v>9</v>
      </c>
      <c r="C2254" s="11">
        <f>IFERROR(__xludf.DUMMYFUNCTION("""COMPUTED_VALUE"""),93896.0)</f>
        <v>93896</v>
      </c>
      <c r="D2254" s="11">
        <f>IFERROR(__xludf.DUMMYFUNCTION("""COMPUTED_VALUE"""),1876.0)</f>
        <v>1876</v>
      </c>
      <c r="E2254" s="9"/>
    </row>
    <row r="2255">
      <c r="A2255" s="11">
        <f>IFERROR(__xludf.DUMMYFUNCTION("""COMPUTED_VALUE"""),2021.0)</f>
        <v>2021</v>
      </c>
      <c r="B2255" s="11">
        <f>IFERROR(__xludf.DUMMYFUNCTION("""COMPUTED_VALUE"""),8.0)</f>
        <v>8</v>
      </c>
      <c r="C2255" s="11">
        <f>IFERROR(__xludf.DUMMYFUNCTION("""COMPUTED_VALUE"""),44386.0)</f>
        <v>44386</v>
      </c>
      <c r="D2255" s="11">
        <f>IFERROR(__xludf.DUMMYFUNCTION("""COMPUTED_VALUE"""),908.0)</f>
        <v>908</v>
      </c>
      <c r="E2255" s="9"/>
    </row>
    <row r="2256">
      <c r="A2256" s="11">
        <f>IFERROR(__xludf.DUMMYFUNCTION("""COMPUTED_VALUE"""),2021.0)</f>
        <v>2021</v>
      </c>
      <c r="B2256" s="11">
        <f>IFERROR(__xludf.DUMMYFUNCTION("""COMPUTED_VALUE"""),11.0)</f>
        <v>11</v>
      </c>
      <c r="C2256" s="11">
        <f>IFERROR(__xludf.DUMMYFUNCTION("""COMPUTED_VALUE"""),188156.0)</f>
        <v>188156</v>
      </c>
      <c r="D2256" s="11">
        <f>IFERROR(__xludf.DUMMYFUNCTION("""COMPUTED_VALUE"""),781.0)</f>
        <v>781</v>
      </c>
      <c r="E2256" s="9"/>
    </row>
    <row r="2257">
      <c r="A2257" s="11">
        <f>IFERROR(__xludf.DUMMYFUNCTION("""COMPUTED_VALUE"""),2021.0)</f>
        <v>2021</v>
      </c>
      <c r="B2257" s="11">
        <f>IFERROR(__xludf.DUMMYFUNCTION("""COMPUTED_VALUE"""),9.0)</f>
        <v>9</v>
      </c>
      <c r="C2257" s="11">
        <f>IFERROR(__xludf.DUMMYFUNCTION("""COMPUTED_VALUE"""),7360.0)</f>
        <v>7360</v>
      </c>
      <c r="D2257" s="11">
        <f>IFERROR(__xludf.DUMMYFUNCTION("""COMPUTED_VALUE"""),1609.0)</f>
        <v>1609</v>
      </c>
      <c r="E2257" s="9"/>
    </row>
    <row r="2258">
      <c r="A2258" s="11">
        <f>IFERROR(__xludf.DUMMYFUNCTION("""COMPUTED_VALUE"""),2021.0)</f>
        <v>2021</v>
      </c>
      <c r="B2258" s="11">
        <f>IFERROR(__xludf.DUMMYFUNCTION("""COMPUTED_VALUE"""),10.0)</f>
        <v>10</v>
      </c>
      <c r="C2258" s="11">
        <f>IFERROR(__xludf.DUMMYFUNCTION("""COMPUTED_VALUE"""),79323.0)</f>
        <v>79323</v>
      </c>
      <c r="D2258" s="11">
        <f>IFERROR(__xludf.DUMMYFUNCTION("""COMPUTED_VALUE"""),1117.0)</f>
        <v>1117</v>
      </c>
      <c r="E2258" s="9"/>
    </row>
    <row r="2259">
      <c r="A2259" s="11">
        <f>IFERROR(__xludf.DUMMYFUNCTION("""COMPUTED_VALUE"""),2021.0)</f>
        <v>2021</v>
      </c>
      <c r="B2259" s="11">
        <f>IFERROR(__xludf.DUMMYFUNCTION("""COMPUTED_VALUE"""),10.0)</f>
        <v>10</v>
      </c>
      <c r="C2259" s="11">
        <f>IFERROR(__xludf.DUMMYFUNCTION("""COMPUTED_VALUE"""),72015.0)</f>
        <v>72015</v>
      </c>
      <c r="D2259" s="11">
        <f>IFERROR(__xludf.DUMMYFUNCTION("""COMPUTED_VALUE"""),1025.0)</f>
        <v>1025</v>
      </c>
      <c r="E2259" s="9"/>
    </row>
    <row r="2260">
      <c r="A2260" s="11">
        <f>IFERROR(__xludf.DUMMYFUNCTION("""COMPUTED_VALUE"""),2021.0)</f>
        <v>2021</v>
      </c>
      <c r="B2260" s="11">
        <f>IFERROR(__xludf.DUMMYFUNCTION("""COMPUTED_VALUE"""),9.0)</f>
        <v>9</v>
      </c>
      <c r="C2260" s="11">
        <f>IFERROR(__xludf.DUMMYFUNCTION("""COMPUTED_VALUE"""),44310.0)</f>
        <v>44310</v>
      </c>
      <c r="D2260" s="11">
        <f>IFERROR(__xludf.DUMMYFUNCTION("""COMPUTED_VALUE"""),1930.0)</f>
        <v>1930</v>
      </c>
      <c r="E2260" s="9"/>
    </row>
    <row r="2261">
      <c r="A2261" s="11">
        <f>IFERROR(__xludf.DUMMYFUNCTION("""COMPUTED_VALUE"""),2021.0)</f>
        <v>2021</v>
      </c>
      <c r="B2261" s="11">
        <f>IFERROR(__xludf.DUMMYFUNCTION("""COMPUTED_VALUE"""),9.0)</f>
        <v>9</v>
      </c>
      <c r="C2261" s="11">
        <f>IFERROR(__xludf.DUMMYFUNCTION("""COMPUTED_VALUE"""),77044.0)</f>
        <v>77044</v>
      </c>
      <c r="D2261" s="11">
        <f>IFERROR(__xludf.DUMMYFUNCTION("""COMPUTED_VALUE"""),974.0)</f>
        <v>974</v>
      </c>
      <c r="E2261" s="9"/>
    </row>
    <row r="2262">
      <c r="A2262" s="11">
        <f>IFERROR(__xludf.DUMMYFUNCTION("""COMPUTED_VALUE"""),2021.0)</f>
        <v>2021</v>
      </c>
      <c r="B2262" s="11">
        <f>IFERROR(__xludf.DUMMYFUNCTION("""COMPUTED_VALUE"""),11.0)</f>
        <v>11</v>
      </c>
      <c r="C2262" s="11">
        <f>IFERROR(__xludf.DUMMYFUNCTION("""COMPUTED_VALUE"""),120636.0)</f>
        <v>120636</v>
      </c>
      <c r="D2262" s="11">
        <f>IFERROR(__xludf.DUMMYFUNCTION("""COMPUTED_VALUE"""),1745.0)</f>
        <v>1745</v>
      </c>
      <c r="E2262" s="9"/>
    </row>
    <row r="2263">
      <c r="A2263" s="11">
        <f>IFERROR(__xludf.DUMMYFUNCTION("""COMPUTED_VALUE"""),2021.0)</f>
        <v>2021</v>
      </c>
      <c r="B2263" s="11">
        <f>IFERROR(__xludf.DUMMYFUNCTION("""COMPUTED_VALUE"""),10.0)</f>
        <v>10</v>
      </c>
      <c r="C2263" s="11">
        <f>IFERROR(__xludf.DUMMYFUNCTION("""COMPUTED_VALUE"""),92662.0)</f>
        <v>92662</v>
      </c>
      <c r="D2263" s="11">
        <f>IFERROR(__xludf.DUMMYFUNCTION("""COMPUTED_VALUE"""),173.0)</f>
        <v>173</v>
      </c>
      <c r="E2263" s="9"/>
    </row>
    <row r="2264">
      <c r="A2264" s="11">
        <f>IFERROR(__xludf.DUMMYFUNCTION("""COMPUTED_VALUE"""),2021.0)</f>
        <v>2021</v>
      </c>
      <c r="B2264" s="11">
        <f>IFERROR(__xludf.DUMMYFUNCTION("""COMPUTED_VALUE"""),9.0)</f>
        <v>9</v>
      </c>
      <c r="C2264" s="11">
        <f>IFERROR(__xludf.DUMMYFUNCTION("""COMPUTED_VALUE"""),117263.0)</f>
        <v>117263</v>
      </c>
      <c r="D2264" s="11">
        <f>IFERROR(__xludf.DUMMYFUNCTION("""COMPUTED_VALUE"""),1736.0)</f>
        <v>1736</v>
      </c>
      <c r="E2264" s="9"/>
    </row>
    <row r="2265">
      <c r="A2265" s="11">
        <f>IFERROR(__xludf.DUMMYFUNCTION("""COMPUTED_VALUE"""),2021.0)</f>
        <v>2021</v>
      </c>
      <c r="B2265" s="11">
        <f>IFERROR(__xludf.DUMMYFUNCTION("""COMPUTED_VALUE"""),10.0)</f>
        <v>10</v>
      </c>
      <c r="C2265" s="11">
        <f>IFERROR(__xludf.DUMMYFUNCTION("""COMPUTED_VALUE"""),117261.0)</f>
        <v>117261</v>
      </c>
      <c r="D2265" s="11">
        <f>IFERROR(__xludf.DUMMYFUNCTION("""COMPUTED_VALUE"""),236.0)</f>
        <v>236</v>
      </c>
      <c r="E2265" s="9"/>
    </row>
    <row r="2266">
      <c r="A2266" s="11">
        <f>IFERROR(__xludf.DUMMYFUNCTION("""COMPUTED_VALUE"""),2021.0)</f>
        <v>2021</v>
      </c>
      <c r="B2266" s="11">
        <f>IFERROR(__xludf.DUMMYFUNCTION("""COMPUTED_VALUE"""),11.0)</f>
        <v>11</v>
      </c>
      <c r="C2266" s="11">
        <f>IFERROR(__xludf.DUMMYFUNCTION("""COMPUTED_VALUE"""),10644.0)</f>
        <v>10644</v>
      </c>
      <c r="D2266" s="11">
        <f>IFERROR(__xludf.DUMMYFUNCTION("""COMPUTED_VALUE"""),789.0)</f>
        <v>789</v>
      </c>
      <c r="E2266" s="9"/>
    </row>
    <row r="2267">
      <c r="A2267" s="11">
        <f>IFERROR(__xludf.DUMMYFUNCTION("""COMPUTED_VALUE"""),2021.0)</f>
        <v>2021</v>
      </c>
      <c r="B2267" s="11">
        <f>IFERROR(__xludf.DUMMYFUNCTION("""COMPUTED_VALUE"""),10.0)</f>
        <v>10</v>
      </c>
      <c r="C2267" s="11">
        <f>IFERROR(__xludf.DUMMYFUNCTION("""COMPUTED_VALUE"""),102457.0)</f>
        <v>102457</v>
      </c>
      <c r="D2267" s="11">
        <f>IFERROR(__xludf.DUMMYFUNCTION("""COMPUTED_VALUE"""),62.0)</f>
        <v>62</v>
      </c>
      <c r="E2267" s="9"/>
    </row>
    <row r="2268">
      <c r="A2268" s="11">
        <f>IFERROR(__xludf.DUMMYFUNCTION("""COMPUTED_VALUE"""),2021.0)</f>
        <v>2021</v>
      </c>
      <c r="B2268" s="11">
        <f>IFERROR(__xludf.DUMMYFUNCTION("""COMPUTED_VALUE"""),10.0)</f>
        <v>10</v>
      </c>
      <c r="C2268" s="11">
        <f>IFERROR(__xludf.DUMMYFUNCTION("""COMPUTED_VALUE"""),117419.0)</f>
        <v>117419</v>
      </c>
      <c r="D2268" s="11">
        <f>IFERROR(__xludf.DUMMYFUNCTION("""COMPUTED_VALUE"""),878.0)</f>
        <v>878</v>
      </c>
      <c r="E2268" s="9"/>
    </row>
    <row r="2269">
      <c r="A2269" s="11">
        <f>IFERROR(__xludf.DUMMYFUNCTION("""COMPUTED_VALUE"""),2021.0)</f>
        <v>2021</v>
      </c>
      <c r="B2269" s="11">
        <f>IFERROR(__xludf.DUMMYFUNCTION("""COMPUTED_VALUE"""),11.0)</f>
        <v>11</v>
      </c>
      <c r="C2269" s="11">
        <f>IFERROR(__xludf.DUMMYFUNCTION("""COMPUTED_VALUE"""),150939.0)</f>
        <v>150939</v>
      </c>
      <c r="D2269" s="11">
        <f>IFERROR(__xludf.DUMMYFUNCTION("""COMPUTED_VALUE"""),864.0)</f>
        <v>864</v>
      </c>
      <c r="E2269" s="9"/>
    </row>
    <row r="2270">
      <c r="A2270" s="11">
        <f>IFERROR(__xludf.DUMMYFUNCTION("""COMPUTED_VALUE"""),2021.0)</f>
        <v>2021</v>
      </c>
      <c r="B2270" s="11">
        <f>IFERROR(__xludf.DUMMYFUNCTION("""COMPUTED_VALUE"""),11.0)</f>
        <v>11</v>
      </c>
      <c r="C2270" s="11">
        <f>IFERROR(__xludf.DUMMYFUNCTION("""COMPUTED_VALUE"""),10517.0)</f>
        <v>10517</v>
      </c>
      <c r="D2270" s="11">
        <f>IFERROR(__xludf.DUMMYFUNCTION("""COMPUTED_VALUE"""),1516.0)</f>
        <v>1516</v>
      </c>
      <c r="E2270" s="9"/>
    </row>
    <row r="2271">
      <c r="A2271" s="11">
        <f>IFERROR(__xludf.DUMMYFUNCTION("""COMPUTED_VALUE"""),2021.0)</f>
        <v>2021</v>
      </c>
      <c r="B2271" s="11">
        <f>IFERROR(__xludf.DUMMYFUNCTION("""COMPUTED_VALUE"""),10.0)</f>
        <v>10</v>
      </c>
      <c r="C2271" s="11">
        <f>IFERROR(__xludf.DUMMYFUNCTION("""COMPUTED_VALUE"""),79109.0)</f>
        <v>79109</v>
      </c>
      <c r="D2271" s="11">
        <f>IFERROR(__xludf.DUMMYFUNCTION("""COMPUTED_VALUE"""),1367.0)</f>
        <v>1367</v>
      </c>
      <c r="E2271" s="9"/>
    </row>
    <row r="2272">
      <c r="A2272" s="11">
        <f>IFERROR(__xludf.DUMMYFUNCTION("""COMPUTED_VALUE"""),2021.0)</f>
        <v>2021</v>
      </c>
      <c r="B2272" s="11">
        <f>IFERROR(__xludf.DUMMYFUNCTION("""COMPUTED_VALUE"""),9.0)</f>
        <v>9</v>
      </c>
      <c r="C2272" s="11">
        <f>IFERROR(__xludf.DUMMYFUNCTION("""COMPUTED_VALUE"""),118918.0)</f>
        <v>118918</v>
      </c>
      <c r="D2272" s="11">
        <f>IFERROR(__xludf.DUMMYFUNCTION("""COMPUTED_VALUE"""),441.0)</f>
        <v>441</v>
      </c>
      <c r="E2272" s="9"/>
    </row>
    <row r="2273">
      <c r="A2273" s="11">
        <f>IFERROR(__xludf.DUMMYFUNCTION("""COMPUTED_VALUE"""),2021.0)</f>
        <v>2021</v>
      </c>
      <c r="B2273" s="11">
        <f>IFERROR(__xludf.DUMMYFUNCTION("""COMPUTED_VALUE"""),8.0)</f>
        <v>8</v>
      </c>
      <c r="C2273" s="11">
        <f>IFERROR(__xludf.DUMMYFUNCTION("""COMPUTED_VALUE"""),102456.0)</f>
        <v>102456</v>
      </c>
      <c r="D2273" s="11">
        <f>IFERROR(__xludf.DUMMYFUNCTION("""COMPUTED_VALUE"""),1535.0)</f>
        <v>1535</v>
      </c>
      <c r="E2273" s="9"/>
    </row>
    <row r="2274">
      <c r="A2274" s="11">
        <f>IFERROR(__xludf.DUMMYFUNCTION("""COMPUTED_VALUE"""),2021.0)</f>
        <v>2021</v>
      </c>
      <c r="B2274" s="11">
        <f>IFERROR(__xludf.DUMMYFUNCTION("""COMPUTED_VALUE"""),9.0)</f>
        <v>9</v>
      </c>
      <c r="C2274" s="11">
        <f>IFERROR(__xludf.DUMMYFUNCTION("""COMPUTED_VALUE"""),155865.0)</f>
        <v>155865</v>
      </c>
      <c r="D2274" s="11">
        <f>IFERROR(__xludf.DUMMYFUNCTION("""COMPUTED_VALUE"""),1487.0)</f>
        <v>1487</v>
      </c>
      <c r="E2274" s="9"/>
    </row>
    <row r="2275">
      <c r="A2275" s="11">
        <f>IFERROR(__xludf.DUMMYFUNCTION("""COMPUTED_VALUE"""),2021.0)</f>
        <v>2021</v>
      </c>
      <c r="B2275" s="11">
        <f>IFERROR(__xludf.DUMMYFUNCTION("""COMPUTED_VALUE"""),8.0)</f>
        <v>8</v>
      </c>
      <c r="C2275" s="11">
        <f>IFERROR(__xludf.DUMMYFUNCTION("""COMPUTED_VALUE"""),100443.0)</f>
        <v>100443</v>
      </c>
      <c r="D2275" s="11">
        <f>IFERROR(__xludf.DUMMYFUNCTION("""COMPUTED_VALUE"""),226.0)</f>
        <v>226</v>
      </c>
      <c r="E2275" s="9"/>
    </row>
    <row r="2276">
      <c r="A2276" s="11">
        <f>IFERROR(__xludf.DUMMYFUNCTION("""COMPUTED_VALUE"""),2021.0)</f>
        <v>2021</v>
      </c>
      <c r="B2276" s="11">
        <f>IFERROR(__xludf.DUMMYFUNCTION("""COMPUTED_VALUE"""),8.0)</f>
        <v>8</v>
      </c>
      <c r="C2276" s="11">
        <f>IFERROR(__xludf.DUMMYFUNCTION("""COMPUTED_VALUE"""),93833.0)</f>
        <v>93833</v>
      </c>
      <c r="D2276" s="11">
        <f>IFERROR(__xludf.DUMMYFUNCTION("""COMPUTED_VALUE"""),1537.0)</f>
        <v>1537</v>
      </c>
      <c r="E2276" s="9"/>
    </row>
    <row r="2277">
      <c r="A2277" s="11">
        <f>IFERROR(__xludf.DUMMYFUNCTION("""COMPUTED_VALUE"""),2021.0)</f>
        <v>2021</v>
      </c>
      <c r="B2277" s="11">
        <f>IFERROR(__xludf.DUMMYFUNCTION("""COMPUTED_VALUE"""),11.0)</f>
        <v>11</v>
      </c>
      <c r="C2277" s="11">
        <f>IFERROR(__xludf.DUMMYFUNCTION("""COMPUTED_VALUE"""),76693.0)</f>
        <v>76693</v>
      </c>
      <c r="D2277" s="11">
        <f>IFERROR(__xludf.DUMMYFUNCTION("""COMPUTED_VALUE"""),1925.0)</f>
        <v>1925</v>
      </c>
      <c r="E2277" s="9"/>
    </row>
    <row r="2278">
      <c r="A2278" s="11">
        <f>IFERROR(__xludf.DUMMYFUNCTION("""COMPUTED_VALUE"""),2021.0)</f>
        <v>2021</v>
      </c>
      <c r="B2278" s="11">
        <f>IFERROR(__xludf.DUMMYFUNCTION("""COMPUTED_VALUE"""),10.0)</f>
        <v>10</v>
      </c>
      <c r="C2278" s="11">
        <f>IFERROR(__xludf.DUMMYFUNCTION("""COMPUTED_VALUE"""),100441.0)</f>
        <v>100441</v>
      </c>
      <c r="D2278" s="11">
        <f>IFERROR(__xludf.DUMMYFUNCTION("""COMPUTED_VALUE"""),1165.0)</f>
        <v>1165</v>
      </c>
      <c r="E2278" s="9"/>
    </row>
    <row r="2279">
      <c r="A2279" s="11">
        <f>IFERROR(__xludf.DUMMYFUNCTION("""COMPUTED_VALUE"""),2021.0)</f>
        <v>2021</v>
      </c>
      <c r="B2279" s="11">
        <f>IFERROR(__xludf.DUMMYFUNCTION("""COMPUTED_VALUE"""),9.0)</f>
        <v>9</v>
      </c>
      <c r="C2279" s="11">
        <f>IFERROR(__xludf.DUMMYFUNCTION("""COMPUTED_VALUE"""),103230.0)</f>
        <v>103230</v>
      </c>
      <c r="D2279" s="11">
        <f>IFERROR(__xludf.DUMMYFUNCTION("""COMPUTED_VALUE"""),1237.0)</f>
        <v>1237</v>
      </c>
      <c r="E2279" s="9"/>
    </row>
    <row r="2280">
      <c r="A2280" s="11">
        <f>IFERROR(__xludf.DUMMYFUNCTION("""COMPUTED_VALUE"""),2021.0)</f>
        <v>2021</v>
      </c>
      <c r="B2280" s="11">
        <f>IFERROR(__xludf.DUMMYFUNCTION("""COMPUTED_VALUE"""),11.0)</f>
        <v>11</v>
      </c>
      <c r="C2280" s="11">
        <f>IFERROR(__xludf.DUMMYFUNCTION("""COMPUTED_VALUE"""),117902.0)</f>
        <v>117902</v>
      </c>
      <c r="D2280" s="11">
        <f>IFERROR(__xludf.DUMMYFUNCTION("""COMPUTED_VALUE"""),1117.0)</f>
        <v>1117</v>
      </c>
      <c r="E2280" s="9"/>
    </row>
    <row r="2281">
      <c r="A2281" s="11">
        <f>IFERROR(__xludf.DUMMYFUNCTION("""COMPUTED_VALUE"""),2021.0)</f>
        <v>2021</v>
      </c>
      <c r="B2281" s="11">
        <f>IFERROR(__xludf.DUMMYFUNCTION("""COMPUTED_VALUE"""),10.0)</f>
        <v>10</v>
      </c>
      <c r="C2281" s="11">
        <f>IFERROR(__xludf.DUMMYFUNCTION("""COMPUTED_VALUE"""),105745.0)</f>
        <v>105745</v>
      </c>
      <c r="D2281" s="11">
        <f>IFERROR(__xludf.DUMMYFUNCTION("""COMPUTED_VALUE"""),125.0)</f>
        <v>125</v>
      </c>
      <c r="E2281" s="9"/>
    </row>
    <row r="2282">
      <c r="A2282" s="11">
        <f>IFERROR(__xludf.DUMMYFUNCTION("""COMPUTED_VALUE"""),2021.0)</f>
        <v>2021</v>
      </c>
      <c r="B2282" s="11">
        <f>IFERROR(__xludf.DUMMYFUNCTION("""COMPUTED_VALUE"""),11.0)</f>
        <v>11</v>
      </c>
      <c r="C2282" s="11">
        <f>IFERROR(__xludf.DUMMYFUNCTION("""COMPUTED_VALUE"""),100811.0)</f>
        <v>100811</v>
      </c>
      <c r="D2282" s="11">
        <f>IFERROR(__xludf.DUMMYFUNCTION("""COMPUTED_VALUE"""),535.0)</f>
        <v>535</v>
      </c>
      <c r="E2282" s="9"/>
    </row>
    <row r="2283">
      <c r="A2283" s="11">
        <f>IFERROR(__xludf.DUMMYFUNCTION("""COMPUTED_VALUE"""),2021.0)</f>
        <v>2021</v>
      </c>
      <c r="B2283" s="11">
        <f>IFERROR(__xludf.DUMMYFUNCTION("""COMPUTED_VALUE"""),10.0)</f>
        <v>10</v>
      </c>
      <c r="C2283" s="11">
        <f>IFERROR(__xludf.DUMMYFUNCTION("""COMPUTED_VALUE"""),102505.0)</f>
        <v>102505</v>
      </c>
      <c r="D2283" s="11">
        <f>IFERROR(__xludf.DUMMYFUNCTION("""COMPUTED_VALUE"""),1441.0)</f>
        <v>1441</v>
      </c>
      <c r="E2283" s="9"/>
    </row>
    <row r="2284">
      <c r="A2284" s="11">
        <f>IFERROR(__xludf.DUMMYFUNCTION("""COMPUTED_VALUE"""),2021.0)</f>
        <v>2021</v>
      </c>
      <c r="B2284" s="11">
        <f>IFERROR(__xludf.DUMMYFUNCTION("""COMPUTED_VALUE"""),8.0)</f>
        <v>8</v>
      </c>
      <c r="C2284" s="11">
        <f>IFERROR(__xludf.DUMMYFUNCTION("""COMPUTED_VALUE"""),121317.0)</f>
        <v>121317</v>
      </c>
      <c r="D2284" s="11">
        <f>IFERROR(__xludf.DUMMYFUNCTION("""COMPUTED_VALUE"""),112.0)</f>
        <v>112</v>
      </c>
      <c r="E2284" s="9"/>
    </row>
    <row r="2285">
      <c r="A2285" s="11">
        <f>IFERROR(__xludf.DUMMYFUNCTION("""COMPUTED_VALUE"""),2021.0)</f>
        <v>2021</v>
      </c>
      <c r="B2285" s="11">
        <f>IFERROR(__xludf.DUMMYFUNCTION("""COMPUTED_VALUE"""),8.0)</f>
        <v>8</v>
      </c>
      <c r="C2285" s="11">
        <f>IFERROR(__xludf.DUMMYFUNCTION("""COMPUTED_VALUE"""),121318.0)</f>
        <v>121318</v>
      </c>
      <c r="D2285" s="11">
        <f>IFERROR(__xludf.DUMMYFUNCTION("""COMPUTED_VALUE"""),594.0)</f>
        <v>594</v>
      </c>
      <c r="E2285" s="9"/>
    </row>
    <row r="2286">
      <c r="A2286" s="11">
        <f>IFERROR(__xludf.DUMMYFUNCTION("""COMPUTED_VALUE"""),2021.0)</f>
        <v>2021</v>
      </c>
      <c r="B2286" s="11">
        <f>IFERROR(__xludf.DUMMYFUNCTION("""COMPUTED_VALUE"""),10.0)</f>
        <v>10</v>
      </c>
      <c r="C2286" s="11">
        <f>IFERROR(__xludf.DUMMYFUNCTION("""COMPUTED_VALUE"""),95155.0)</f>
        <v>95155</v>
      </c>
      <c r="D2286" s="11">
        <f>IFERROR(__xludf.DUMMYFUNCTION("""COMPUTED_VALUE"""),357.0)</f>
        <v>357</v>
      </c>
      <c r="E2286" s="9"/>
    </row>
    <row r="2287">
      <c r="A2287" s="11">
        <f>IFERROR(__xludf.DUMMYFUNCTION("""COMPUTED_VALUE"""),2021.0)</f>
        <v>2021</v>
      </c>
      <c r="B2287" s="11">
        <f>IFERROR(__xludf.DUMMYFUNCTION("""COMPUTED_VALUE"""),11.0)</f>
        <v>11</v>
      </c>
      <c r="C2287" s="11">
        <f>IFERROR(__xludf.DUMMYFUNCTION("""COMPUTED_VALUE"""),25199.0)</f>
        <v>25199</v>
      </c>
      <c r="D2287" s="11">
        <f>IFERROR(__xludf.DUMMYFUNCTION("""COMPUTED_VALUE"""),59.0)</f>
        <v>59</v>
      </c>
      <c r="E2287" s="9"/>
    </row>
    <row r="2288">
      <c r="A2288" s="11">
        <f>IFERROR(__xludf.DUMMYFUNCTION("""COMPUTED_VALUE"""),2021.0)</f>
        <v>2021</v>
      </c>
      <c r="B2288" s="11">
        <f>IFERROR(__xludf.DUMMYFUNCTION("""COMPUTED_VALUE"""),11.0)</f>
        <v>11</v>
      </c>
      <c r="C2288" s="11">
        <f>IFERROR(__xludf.DUMMYFUNCTION("""COMPUTED_VALUE"""),156020.0)</f>
        <v>156020</v>
      </c>
      <c r="D2288" s="11">
        <f>IFERROR(__xludf.DUMMYFUNCTION("""COMPUTED_VALUE"""),1821.0)</f>
        <v>1821</v>
      </c>
      <c r="E2288" s="9"/>
    </row>
    <row r="2289">
      <c r="A2289" s="11">
        <f>IFERROR(__xludf.DUMMYFUNCTION("""COMPUTED_VALUE"""),2021.0)</f>
        <v>2021</v>
      </c>
      <c r="B2289" s="11">
        <f>IFERROR(__xludf.DUMMYFUNCTION("""COMPUTED_VALUE"""),11.0)</f>
        <v>11</v>
      </c>
      <c r="C2289" s="11">
        <f>IFERROR(__xludf.DUMMYFUNCTION("""COMPUTED_VALUE"""),28587.0)</f>
        <v>28587</v>
      </c>
      <c r="D2289" s="11">
        <f>IFERROR(__xludf.DUMMYFUNCTION("""COMPUTED_VALUE"""),1872.0)</f>
        <v>1872</v>
      </c>
      <c r="E2289" s="9"/>
    </row>
    <row r="2290">
      <c r="A2290" s="11">
        <f>IFERROR(__xludf.DUMMYFUNCTION("""COMPUTED_VALUE"""),2021.0)</f>
        <v>2021</v>
      </c>
      <c r="B2290" s="11">
        <f>IFERROR(__xludf.DUMMYFUNCTION("""COMPUTED_VALUE"""),10.0)</f>
        <v>10</v>
      </c>
      <c r="C2290" s="11">
        <f>IFERROR(__xludf.DUMMYFUNCTION("""COMPUTED_VALUE"""),16050.0)</f>
        <v>16050</v>
      </c>
      <c r="D2290" s="11">
        <f>IFERROR(__xludf.DUMMYFUNCTION("""COMPUTED_VALUE"""),1501.0)</f>
        <v>1501</v>
      </c>
      <c r="E2290" s="9"/>
    </row>
    <row r="2291">
      <c r="A2291" s="11">
        <f>IFERROR(__xludf.DUMMYFUNCTION("""COMPUTED_VALUE"""),2021.0)</f>
        <v>2021</v>
      </c>
      <c r="B2291" s="11">
        <f>IFERROR(__xludf.DUMMYFUNCTION("""COMPUTED_VALUE"""),8.0)</f>
        <v>8</v>
      </c>
      <c r="C2291" s="11">
        <f>IFERROR(__xludf.DUMMYFUNCTION("""COMPUTED_VALUE"""),119453.0)</f>
        <v>119453</v>
      </c>
      <c r="D2291" s="11">
        <f>IFERROR(__xludf.DUMMYFUNCTION("""COMPUTED_VALUE"""),1460.0)</f>
        <v>1460</v>
      </c>
      <c r="E2291" s="9"/>
    </row>
    <row r="2292">
      <c r="A2292" s="11">
        <f>IFERROR(__xludf.DUMMYFUNCTION("""COMPUTED_VALUE"""),2021.0)</f>
        <v>2021</v>
      </c>
      <c r="B2292" s="11">
        <f>IFERROR(__xludf.DUMMYFUNCTION("""COMPUTED_VALUE"""),11.0)</f>
        <v>11</v>
      </c>
      <c r="C2292" s="11">
        <f>IFERROR(__xludf.DUMMYFUNCTION("""COMPUTED_VALUE"""),113070.0)</f>
        <v>113070</v>
      </c>
      <c r="D2292" s="11">
        <f>IFERROR(__xludf.DUMMYFUNCTION("""COMPUTED_VALUE"""),313.0)</f>
        <v>313</v>
      </c>
      <c r="E2292" s="9"/>
    </row>
    <row r="2293">
      <c r="A2293" s="11">
        <f>IFERROR(__xludf.DUMMYFUNCTION("""COMPUTED_VALUE"""),2021.0)</f>
        <v>2021</v>
      </c>
      <c r="B2293" s="11">
        <f>IFERROR(__xludf.DUMMYFUNCTION("""COMPUTED_VALUE"""),10.0)</f>
        <v>10</v>
      </c>
      <c r="C2293" s="11">
        <f>IFERROR(__xludf.DUMMYFUNCTION("""COMPUTED_VALUE"""),99097.0)</f>
        <v>99097</v>
      </c>
      <c r="D2293" s="11">
        <f>IFERROR(__xludf.DUMMYFUNCTION("""COMPUTED_VALUE"""),1135.0)</f>
        <v>1135</v>
      </c>
      <c r="E2293" s="9"/>
    </row>
    <row r="2294">
      <c r="A2294" s="11">
        <f>IFERROR(__xludf.DUMMYFUNCTION("""COMPUTED_VALUE"""),2021.0)</f>
        <v>2021</v>
      </c>
      <c r="B2294" s="11">
        <f>IFERROR(__xludf.DUMMYFUNCTION("""COMPUTED_VALUE"""),11.0)</f>
        <v>11</v>
      </c>
      <c r="C2294" s="11">
        <f>IFERROR(__xludf.DUMMYFUNCTION("""COMPUTED_VALUE"""),99099.0)</f>
        <v>99099</v>
      </c>
      <c r="D2294" s="11">
        <f>IFERROR(__xludf.DUMMYFUNCTION("""COMPUTED_VALUE"""),450.0)</f>
        <v>450</v>
      </c>
      <c r="E2294" s="9"/>
    </row>
    <row r="2295">
      <c r="A2295" s="11">
        <f>IFERROR(__xludf.DUMMYFUNCTION("""COMPUTED_VALUE"""),2021.0)</f>
        <v>2021</v>
      </c>
      <c r="B2295" s="11">
        <f>IFERROR(__xludf.DUMMYFUNCTION("""COMPUTED_VALUE"""),8.0)</f>
        <v>8</v>
      </c>
      <c r="C2295" s="11">
        <f>IFERROR(__xludf.DUMMYFUNCTION("""COMPUTED_VALUE"""),104998.0)</f>
        <v>104998</v>
      </c>
      <c r="D2295" s="11">
        <f>IFERROR(__xludf.DUMMYFUNCTION("""COMPUTED_VALUE"""),340.0)</f>
        <v>340</v>
      </c>
      <c r="E2295" s="9"/>
    </row>
    <row r="2296">
      <c r="A2296" s="11">
        <f>IFERROR(__xludf.DUMMYFUNCTION("""COMPUTED_VALUE"""),2021.0)</f>
        <v>2021</v>
      </c>
      <c r="B2296" s="11">
        <f>IFERROR(__xludf.DUMMYFUNCTION("""COMPUTED_VALUE"""),9.0)</f>
        <v>9</v>
      </c>
      <c r="C2296" s="11">
        <f>IFERROR(__xludf.DUMMYFUNCTION("""COMPUTED_VALUE"""),110524.0)</f>
        <v>110524</v>
      </c>
      <c r="D2296" s="11">
        <f>IFERROR(__xludf.DUMMYFUNCTION("""COMPUTED_VALUE"""),1390.0)</f>
        <v>1390</v>
      </c>
      <c r="E2296" s="9"/>
    </row>
    <row r="2297">
      <c r="A2297" s="11">
        <f>IFERROR(__xludf.DUMMYFUNCTION("""COMPUTED_VALUE"""),2021.0)</f>
        <v>2021</v>
      </c>
      <c r="B2297" s="11">
        <f>IFERROR(__xludf.DUMMYFUNCTION("""COMPUTED_VALUE"""),10.0)</f>
        <v>10</v>
      </c>
      <c r="C2297" s="11">
        <f>IFERROR(__xludf.DUMMYFUNCTION("""COMPUTED_VALUE"""),117133.0)</f>
        <v>117133</v>
      </c>
      <c r="D2297" s="11">
        <f>IFERROR(__xludf.DUMMYFUNCTION("""COMPUTED_VALUE"""),729.0)</f>
        <v>729</v>
      </c>
      <c r="E2297" s="9"/>
    </row>
    <row r="2298">
      <c r="A2298" s="11">
        <f>IFERROR(__xludf.DUMMYFUNCTION("""COMPUTED_VALUE"""),2021.0)</f>
        <v>2021</v>
      </c>
      <c r="B2298" s="11">
        <f>IFERROR(__xludf.DUMMYFUNCTION("""COMPUTED_VALUE"""),11.0)</f>
        <v>11</v>
      </c>
      <c r="C2298" s="11">
        <f>IFERROR(__xludf.DUMMYFUNCTION("""COMPUTED_VALUE"""),70696.0)</f>
        <v>70696</v>
      </c>
      <c r="D2298" s="11">
        <f>IFERROR(__xludf.DUMMYFUNCTION("""COMPUTED_VALUE"""),1616.0)</f>
        <v>1616</v>
      </c>
      <c r="E2298" s="9"/>
    </row>
    <row r="2299">
      <c r="A2299" s="11">
        <f>IFERROR(__xludf.DUMMYFUNCTION("""COMPUTED_VALUE"""),2021.0)</f>
        <v>2021</v>
      </c>
      <c r="B2299" s="11">
        <f>IFERROR(__xludf.DUMMYFUNCTION("""COMPUTED_VALUE"""),10.0)</f>
        <v>10</v>
      </c>
      <c r="C2299" s="11">
        <f>IFERROR(__xludf.DUMMYFUNCTION("""COMPUTED_VALUE"""),121278.0)</f>
        <v>121278</v>
      </c>
      <c r="D2299" s="11">
        <f>IFERROR(__xludf.DUMMYFUNCTION("""COMPUTED_VALUE"""),1435.0)</f>
        <v>1435</v>
      </c>
      <c r="E2299" s="9"/>
    </row>
    <row r="2300">
      <c r="A2300" s="11">
        <f>IFERROR(__xludf.DUMMYFUNCTION("""COMPUTED_VALUE"""),2021.0)</f>
        <v>2021</v>
      </c>
      <c r="B2300" s="11">
        <f>IFERROR(__xludf.DUMMYFUNCTION("""COMPUTED_VALUE"""),9.0)</f>
        <v>9</v>
      </c>
      <c r="C2300" s="11">
        <f>IFERROR(__xludf.DUMMYFUNCTION("""COMPUTED_VALUE"""),74382.0)</f>
        <v>74382</v>
      </c>
      <c r="D2300" s="11">
        <f>IFERROR(__xludf.DUMMYFUNCTION("""COMPUTED_VALUE"""),1911.0)</f>
        <v>1911</v>
      </c>
      <c r="E2300" s="9"/>
    </row>
    <row r="2301">
      <c r="A2301" s="11">
        <f>IFERROR(__xludf.DUMMYFUNCTION("""COMPUTED_VALUE"""),2021.0)</f>
        <v>2021</v>
      </c>
      <c r="B2301" s="11">
        <f>IFERROR(__xludf.DUMMYFUNCTION("""COMPUTED_VALUE"""),9.0)</f>
        <v>9</v>
      </c>
      <c r="C2301" s="11">
        <f>IFERROR(__xludf.DUMMYFUNCTION("""COMPUTED_VALUE"""),121921.0)</f>
        <v>121921</v>
      </c>
      <c r="D2301" s="11">
        <f>IFERROR(__xludf.DUMMYFUNCTION("""COMPUTED_VALUE"""),633.0)</f>
        <v>633</v>
      </c>
      <c r="E2301" s="9"/>
    </row>
    <row r="2302">
      <c r="A2302" s="11">
        <f>IFERROR(__xludf.DUMMYFUNCTION("""COMPUTED_VALUE"""),2021.0)</f>
        <v>2021</v>
      </c>
      <c r="B2302" s="11">
        <f>IFERROR(__xludf.DUMMYFUNCTION("""COMPUTED_VALUE"""),8.0)</f>
        <v>8</v>
      </c>
      <c r="C2302" s="11">
        <f>IFERROR(__xludf.DUMMYFUNCTION("""COMPUTED_VALUE"""),83853.0)</f>
        <v>83853</v>
      </c>
      <c r="D2302" s="11">
        <f>IFERROR(__xludf.DUMMYFUNCTION("""COMPUTED_VALUE"""),1782.0)</f>
        <v>1782</v>
      </c>
      <c r="E2302" s="9"/>
    </row>
    <row r="2303">
      <c r="A2303" s="11">
        <f>IFERROR(__xludf.DUMMYFUNCTION("""COMPUTED_VALUE"""),2021.0)</f>
        <v>2021</v>
      </c>
      <c r="B2303" s="11">
        <f>IFERROR(__xludf.DUMMYFUNCTION("""COMPUTED_VALUE"""),11.0)</f>
        <v>11</v>
      </c>
      <c r="C2303" s="11">
        <f>IFERROR(__xludf.DUMMYFUNCTION("""COMPUTED_VALUE"""),111706.0)</f>
        <v>111706</v>
      </c>
      <c r="D2303" s="11">
        <f>IFERROR(__xludf.DUMMYFUNCTION("""COMPUTED_VALUE"""),107.0)</f>
        <v>107</v>
      </c>
      <c r="E2303" s="9"/>
    </row>
    <row r="2304">
      <c r="A2304" s="11">
        <f>IFERROR(__xludf.DUMMYFUNCTION("""COMPUTED_VALUE"""),2021.0)</f>
        <v>2021</v>
      </c>
      <c r="B2304" s="11">
        <f>IFERROR(__xludf.DUMMYFUNCTION("""COMPUTED_VALUE"""),8.0)</f>
        <v>8</v>
      </c>
      <c r="C2304" s="11">
        <f>IFERROR(__xludf.DUMMYFUNCTION("""COMPUTED_VALUE"""),15062.0)</f>
        <v>15062</v>
      </c>
      <c r="D2304" s="11">
        <f>IFERROR(__xludf.DUMMYFUNCTION("""COMPUTED_VALUE"""),586.0)</f>
        <v>586</v>
      </c>
      <c r="E2304" s="9"/>
    </row>
    <row r="2305">
      <c r="A2305" s="11">
        <f>IFERROR(__xludf.DUMMYFUNCTION("""COMPUTED_VALUE"""),2021.0)</f>
        <v>2021</v>
      </c>
      <c r="B2305" s="11">
        <f>IFERROR(__xludf.DUMMYFUNCTION("""COMPUTED_VALUE"""),11.0)</f>
        <v>11</v>
      </c>
      <c r="C2305" s="11">
        <f>IFERROR(__xludf.DUMMYFUNCTION("""COMPUTED_VALUE"""),79948.0)</f>
        <v>79948</v>
      </c>
      <c r="D2305" s="11">
        <f>IFERROR(__xludf.DUMMYFUNCTION("""COMPUTED_VALUE"""),689.0)</f>
        <v>689</v>
      </c>
      <c r="E2305" s="9"/>
    </row>
    <row r="2306">
      <c r="A2306" s="11">
        <f>IFERROR(__xludf.DUMMYFUNCTION("""COMPUTED_VALUE"""),2021.0)</f>
        <v>2021</v>
      </c>
      <c r="B2306" s="11">
        <f>IFERROR(__xludf.DUMMYFUNCTION("""COMPUTED_VALUE"""),11.0)</f>
        <v>11</v>
      </c>
      <c r="C2306" s="11">
        <f>IFERROR(__xludf.DUMMYFUNCTION("""COMPUTED_VALUE"""),84400.0)</f>
        <v>84400</v>
      </c>
      <c r="D2306" s="11">
        <f>IFERROR(__xludf.DUMMYFUNCTION("""COMPUTED_VALUE"""),1618.0)</f>
        <v>1618</v>
      </c>
      <c r="E2306" s="9"/>
    </row>
    <row r="2307">
      <c r="A2307" s="11">
        <f>IFERROR(__xludf.DUMMYFUNCTION("""COMPUTED_VALUE"""),2021.0)</f>
        <v>2021</v>
      </c>
      <c r="B2307" s="11">
        <f>IFERROR(__xludf.DUMMYFUNCTION("""COMPUTED_VALUE"""),10.0)</f>
        <v>10</v>
      </c>
      <c r="C2307" s="11">
        <f>IFERROR(__xludf.DUMMYFUNCTION("""COMPUTED_VALUE"""),79299.0)</f>
        <v>79299</v>
      </c>
      <c r="D2307" s="11">
        <f>IFERROR(__xludf.DUMMYFUNCTION("""COMPUTED_VALUE"""),1417.0)</f>
        <v>1417</v>
      </c>
      <c r="E2307" s="9"/>
    </row>
    <row r="2308">
      <c r="A2308" s="11">
        <f>IFERROR(__xludf.DUMMYFUNCTION("""COMPUTED_VALUE"""),2021.0)</f>
        <v>2021</v>
      </c>
      <c r="B2308" s="11">
        <f>IFERROR(__xludf.DUMMYFUNCTION("""COMPUTED_VALUE"""),10.0)</f>
        <v>10</v>
      </c>
      <c r="C2308" s="11">
        <f>IFERROR(__xludf.DUMMYFUNCTION("""COMPUTED_VALUE"""),19776.0)</f>
        <v>19776</v>
      </c>
      <c r="D2308" s="11">
        <f>IFERROR(__xludf.DUMMYFUNCTION("""COMPUTED_VALUE"""),1145.0)</f>
        <v>1145</v>
      </c>
      <c r="E2308" s="9"/>
    </row>
    <row r="2309">
      <c r="A2309" s="11">
        <f>IFERROR(__xludf.DUMMYFUNCTION("""COMPUTED_VALUE"""),2021.0)</f>
        <v>2021</v>
      </c>
      <c r="B2309" s="11">
        <f>IFERROR(__xludf.DUMMYFUNCTION("""COMPUTED_VALUE"""),11.0)</f>
        <v>11</v>
      </c>
      <c r="C2309" s="11">
        <f>IFERROR(__xludf.DUMMYFUNCTION("""COMPUTED_VALUE"""),74392.0)</f>
        <v>74392</v>
      </c>
      <c r="D2309" s="11">
        <f>IFERROR(__xludf.DUMMYFUNCTION("""COMPUTED_VALUE"""),1520.0)</f>
        <v>1520</v>
      </c>
      <c r="E2309" s="9"/>
    </row>
    <row r="2310">
      <c r="A2310" s="11">
        <f>IFERROR(__xludf.DUMMYFUNCTION("""COMPUTED_VALUE"""),2021.0)</f>
        <v>2021</v>
      </c>
      <c r="B2310" s="11">
        <f>IFERROR(__xludf.DUMMYFUNCTION("""COMPUTED_VALUE"""),11.0)</f>
        <v>11</v>
      </c>
      <c r="C2310" s="11">
        <f>IFERROR(__xludf.DUMMYFUNCTION("""COMPUTED_VALUE"""),83399.0)</f>
        <v>83399</v>
      </c>
      <c r="D2310" s="11">
        <f>IFERROR(__xludf.DUMMYFUNCTION("""COMPUTED_VALUE"""),1154.0)</f>
        <v>1154</v>
      </c>
      <c r="E2310" s="9"/>
    </row>
    <row r="2311">
      <c r="A2311" s="11">
        <f>IFERROR(__xludf.DUMMYFUNCTION("""COMPUTED_VALUE"""),2021.0)</f>
        <v>2021</v>
      </c>
      <c r="B2311" s="11">
        <f>IFERROR(__xludf.DUMMYFUNCTION("""COMPUTED_VALUE"""),10.0)</f>
        <v>10</v>
      </c>
      <c r="C2311" s="11">
        <f>IFERROR(__xludf.DUMMYFUNCTION("""COMPUTED_VALUE"""),74383.0)</f>
        <v>74383</v>
      </c>
      <c r="D2311" s="11">
        <f>IFERROR(__xludf.DUMMYFUNCTION("""COMPUTED_VALUE"""),1471.0)</f>
        <v>1471</v>
      </c>
      <c r="E2311" s="9"/>
    </row>
    <row r="2312">
      <c r="A2312" s="11">
        <f>IFERROR(__xludf.DUMMYFUNCTION("""COMPUTED_VALUE"""),2021.0)</f>
        <v>2021</v>
      </c>
      <c r="B2312" s="11">
        <f>IFERROR(__xludf.DUMMYFUNCTION("""COMPUTED_VALUE"""),10.0)</f>
        <v>10</v>
      </c>
      <c r="C2312" s="11">
        <f>IFERROR(__xludf.DUMMYFUNCTION("""COMPUTED_VALUE"""),100819.0)</f>
        <v>100819</v>
      </c>
      <c r="D2312" s="11">
        <f>IFERROR(__xludf.DUMMYFUNCTION("""COMPUTED_VALUE"""),1012.0)</f>
        <v>1012</v>
      </c>
      <c r="E2312" s="9"/>
    </row>
    <row r="2313">
      <c r="A2313" s="11">
        <f>IFERROR(__xludf.DUMMYFUNCTION("""COMPUTED_VALUE"""),2021.0)</f>
        <v>2021</v>
      </c>
      <c r="B2313" s="11">
        <f>IFERROR(__xludf.DUMMYFUNCTION("""COMPUTED_VALUE"""),10.0)</f>
        <v>10</v>
      </c>
      <c r="C2313" s="11">
        <f>IFERROR(__xludf.DUMMYFUNCTION("""COMPUTED_VALUE"""),190857.0)</f>
        <v>190857</v>
      </c>
      <c r="D2313" s="11">
        <f>IFERROR(__xludf.DUMMYFUNCTION("""COMPUTED_VALUE"""),1223.0)</f>
        <v>1223</v>
      </c>
      <c r="E2313" s="9"/>
    </row>
    <row r="2314">
      <c r="A2314" s="11">
        <f>IFERROR(__xludf.DUMMYFUNCTION("""COMPUTED_VALUE"""),2021.0)</f>
        <v>2021</v>
      </c>
      <c r="B2314" s="11">
        <f>IFERROR(__xludf.DUMMYFUNCTION("""COMPUTED_VALUE"""),11.0)</f>
        <v>11</v>
      </c>
      <c r="C2314" s="11">
        <f>IFERROR(__xludf.DUMMYFUNCTION("""COMPUTED_VALUE"""),120331.0)</f>
        <v>120331</v>
      </c>
      <c r="D2314" s="11">
        <f>IFERROR(__xludf.DUMMYFUNCTION("""COMPUTED_VALUE"""),1068.0)</f>
        <v>1068</v>
      </c>
      <c r="E2314" s="9"/>
    </row>
    <row r="2315">
      <c r="A2315" s="11">
        <f>IFERROR(__xludf.DUMMYFUNCTION("""COMPUTED_VALUE"""),2021.0)</f>
        <v>2021</v>
      </c>
      <c r="B2315" s="11">
        <f>IFERROR(__xludf.DUMMYFUNCTION("""COMPUTED_VALUE"""),9.0)</f>
        <v>9</v>
      </c>
      <c r="C2315" s="11">
        <f>IFERROR(__xludf.DUMMYFUNCTION("""COMPUTED_VALUE"""),87580.0)</f>
        <v>87580</v>
      </c>
      <c r="D2315" s="11">
        <f>IFERROR(__xludf.DUMMYFUNCTION("""COMPUTED_VALUE"""),1790.0)</f>
        <v>1790</v>
      </c>
      <c r="E2315" s="9"/>
    </row>
    <row r="2316">
      <c r="A2316" s="11">
        <f>IFERROR(__xludf.DUMMYFUNCTION("""COMPUTED_VALUE"""),2021.0)</f>
        <v>2021</v>
      </c>
      <c r="B2316" s="11">
        <f>IFERROR(__xludf.DUMMYFUNCTION("""COMPUTED_VALUE"""),11.0)</f>
        <v>11</v>
      </c>
      <c r="C2316" s="11">
        <f>IFERROR(__xludf.DUMMYFUNCTION("""COMPUTED_VALUE"""),79300.0)</f>
        <v>79300</v>
      </c>
      <c r="D2316" s="11">
        <f>IFERROR(__xludf.DUMMYFUNCTION("""COMPUTED_VALUE"""),1925.0)</f>
        <v>1925</v>
      </c>
      <c r="E2316" s="9"/>
    </row>
    <row r="2317">
      <c r="A2317" s="11">
        <f>IFERROR(__xludf.DUMMYFUNCTION("""COMPUTED_VALUE"""),2021.0)</f>
        <v>2021</v>
      </c>
      <c r="B2317" s="11">
        <f>IFERROR(__xludf.DUMMYFUNCTION("""COMPUTED_VALUE"""),9.0)</f>
        <v>9</v>
      </c>
      <c r="C2317" s="11">
        <f>IFERROR(__xludf.DUMMYFUNCTION("""COMPUTED_VALUE"""),79950.0)</f>
        <v>79950</v>
      </c>
      <c r="D2317" s="11">
        <f>IFERROR(__xludf.DUMMYFUNCTION("""COMPUTED_VALUE"""),616.0)</f>
        <v>616</v>
      </c>
      <c r="E2317" s="9"/>
    </row>
    <row r="2318">
      <c r="A2318" s="11">
        <f>IFERROR(__xludf.DUMMYFUNCTION("""COMPUTED_VALUE"""),2021.0)</f>
        <v>2021</v>
      </c>
      <c r="B2318" s="11">
        <f>IFERROR(__xludf.DUMMYFUNCTION("""COMPUTED_VALUE"""),11.0)</f>
        <v>11</v>
      </c>
      <c r="C2318" s="11">
        <f>IFERROR(__xludf.DUMMYFUNCTION("""COMPUTED_VALUE"""),84402.0)</f>
        <v>84402</v>
      </c>
      <c r="D2318" s="11">
        <f>IFERROR(__xludf.DUMMYFUNCTION("""COMPUTED_VALUE"""),848.0)</f>
        <v>848</v>
      </c>
      <c r="E2318" s="9"/>
    </row>
    <row r="2319">
      <c r="A2319" s="11">
        <f>IFERROR(__xludf.DUMMYFUNCTION("""COMPUTED_VALUE"""),2021.0)</f>
        <v>2021</v>
      </c>
      <c r="B2319" s="11">
        <f>IFERROR(__xludf.DUMMYFUNCTION("""COMPUTED_VALUE"""),11.0)</f>
        <v>11</v>
      </c>
      <c r="C2319" s="11">
        <f>IFERROR(__xludf.DUMMYFUNCTION("""COMPUTED_VALUE"""),79298.0)</f>
        <v>79298</v>
      </c>
      <c r="D2319" s="11">
        <f>IFERROR(__xludf.DUMMYFUNCTION("""COMPUTED_VALUE"""),747.0)</f>
        <v>747</v>
      </c>
      <c r="E2319" s="9"/>
    </row>
    <row r="2320">
      <c r="A2320" s="11">
        <f>IFERROR(__xludf.DUMMYFUNCTION("""COMPUTED_VALUE"""),2021.0)</f>
        <v>2021</v>
      </c>
      <c r="B2320" s="11">
        <f>IFERROR(__xludf.DUMMYFUNCTION("""COMPUTED_VALUE"""),9.0)</f>
        <v>9</v>
      </c>
      <c r="C2320" s="11">
        <f>IFERROR(__xludf.DUMMYFUNCTION("""COMPUTED_VALUE"""),145105.0)</f>
        <v>145105</v>
      </c>
      <c r="D2320" s="11">
        <f>IFERROR(__xludf.DUMMYFUNCTION("""COMPUTED_VALUE"""),25.0)</f>
        <v>25</v>
      </c>
      <c r="E2320" s="9"/>
    </row>
    <row r="2321">
      <c r="A2321" s="11">
        <f>IFERROR(__xludf.DUMMYFUNCTION("""COMPUTED_VALUE"""),2021.0)</f>
        <v>2021</v>
      </c>
      <c r="B2321" s="11">
        <f>IFERROR(__xludf.DUMMYFUNCTION("""COMPUTED_VALUE"""),8.0)</f>
        <v>8</v>
      </c>
      <c r="C2321" s="11">
        <f>IFERROR(__xludf.DUMMYFUNCTION("""COMPUTED_VALUE"""),92313.0)</f>
        <v>92313</v>
      </c>
      <c r="D2321" s="11">
        <f>IFERROR(__xludf.DUMMYFUNCTION("""COMPUTED_VALUE"""),341.0)</f>
        <v>341</v>
      </c>
      <c r="E2321" s="9"/>
    </row>
    <row r="2322">
      <c r="A2322" s="11">
        <f>IFERROR(__xludf.DUMMYFUNCTION("""COMPUTED_VALUE"""),2021.0)</f>
        <v>2021</v>
      </c>
      <c r="B2322" s="11">
        <f>IFERROR(__xludf.DUMMYFUNCTION("""COMPUTED_VALUE"""),9.0)</f>
        <v>9</v>
      </c>
      <c r="C2322" s="11">
        <f>IFERROR(__xludf.DUMMYFUNCTION("""COMPUTED_VALUE"""),121735.0)</f>
        <v>121735</v>
      </c>
      <c r="D2322" s="11">
        <f>IFERROR(__xludf.DUMMYFUNCTION("""COMPUTED_VALUE"""),1463.0)</f>
        <v>1463</v>
      </c>
      <c r="E2322" s="9"/>
    </row>
    <row r="2323">
      <c r="A2323" s="11">
        <f>IFERROR(__xludf.DUMMYFUNCTION("""COMPUTED_VALUE"""),2021.0)</f>
        <v>2021</v>
      </c>
      <c r="B2323" s="11">
        <f>IFERROR(__xludf.DUMMYFUNCTION("""COMPUTED_VALUE"""),9.0)</f>
        <v>9</v>
      </c>
      <c r="C2323" s="11">
        <f>IFERROR(__xludf.DUMMYFUNCTION("""COMPUTED_VALUE"""),47545.0)</f>
        <v>47545</v>
      </c>
      <c r="D2323" s="11">
        <f>IFERROR(__xludf.DUMMYFUNCTION("""COMPUTED_VALUE"""),1705.0)</f>
        <v>1705</v>
      </c>
      <c r="E2323" s="9"/>
    </row>
    <row r="2324">
      <c r="A2324" s="11">
        <f>IFERROR(__xludf.DUMMYFUNCTION("""COMPUTED_VALUE"""),2021.0)</f>
        <v>2021</v>
      </c>
      <c r="B2324" s="11">
        <f>IFERROR(__xludf.DUMMYFUNCTION("""COMPUTED_VALUE"""),8.0)</f>
        <v>8</v>
      </c>
      <c r="C2324" s="11">
        <f>IFERROR(__xludf.DUMMYFUNCTION("""COMPUTED_VALUE"""),122630.0)</f>
        <v>122630</v>
      </c>
      <c r="D2324" s="11">
        <f>IFERROR(__xludf.DUMMYFUNCTION("""COMPUTED_VALUE"""),1959.0)</f>
        <v>1959</v>
      </c>
      <c r="E2324" s="9"/>
    </row>
    <row r="2325">
      <c r="A2325" s="11">
        <f>IFERROR(__xludf.DUMMYFUNCTION("""COMPUTED_VALUE"""),2021.0)</f>
        <v>2021</v>
      </c>
      <c r="B2325" s="11">
        <f>IFERROR(__xludf.DUMMYFUNCTION("""COMPUTED_VALUE"""),10.0)</f>
        <v>10</v>
      </c>
      <c r="C2325" s="11">
        <f>IFERROR(__xludf.DUMMYFUNCTION("""COMPUTED_VALUE"""),159490.0)</f>
        <v>159490</v>
      </c>
      <c r="D2325" s="11">
        <f>IFERROR(__xludf.DUMMYFUNCTION("""COMPUTED_VALUE"""),257.0)</f>
        <v>257</v>
      </c>
      <c r="E2325" s="9"/>
    </row>
    <row r="2326">
      <c r="A2326" s="11">
        <f>IFERROR(__xludf.DUMMYFUNCTION("""COMPUTED_VALUE"""),2021.0)</f>
        <v>2021</v>
      </c>
      <c r="B2326" s="11">
        <f>IFERROR(__xludf.DUMMYFUNCTION("""COMPUTED_VALUE"""),8.0)</f>
        <v>8</v>
      </c>
      <c r="C2326" s="11">
        <f>IFERROR(__xludf.DUMMYFUNCTION("""COMPUTED_VALUE"""),120519.0)</f>
        <v>120519</v>
      </c>
      <c r="D2326" s="11">
        <f>IFERROR(__xludf.DUMMYFUNCTION("""COMPUTED_VALUE"""),1747.0)</f>
        <v>1747</v>
      </c>
      <c r="E2326" s="9"/>
    </row>
    <row r="2327">
      <c r="A2327" s="11">
        <f>IFERROR(__xludf.DUMMYFUNCTION("""COMPUTED_VALUE"""),2021.0)</f>
        <v>2021</v>
      </c>
      <c r="B2327" s="11">
        <f>IFERROR(__xludf.DUMMYFUNCTION("""COMPUTED_VALUE"""),11.0)</f>
        <v>11</v>
      </c>
      <c r="C2327" s="11">
        <f>IFERROR(__xludf.DUMMYFUNCTION("""COMPUTED_VALUE"""),159403.0)</f>
        <v>159403</v>
      </c>
      <c r="D2327" s="11">
        <f>IFERROR(__xludf.DUMMYFUNCTION("""COMPUTED_VALUE"""),1404.0)</f>
        <v>1404</v>
      </c>
      <c r="E2327" s="9"/>
    </row>
    <row r="2328">
      <c r="A2328" s="11">
        <f>IFERROR(__xludf.DUMMYFUNCTION("""COMPUTED_VALUE"""),2021.0)</f>
        <v>2021</v>
      </c>
      <c r="B2328" s="11">
        <f>IFERROR(__xludf.DUMMYFUNCTION("""COMPUTED_VALUE"""),8.0)</f>
        <v>8</v>
      </c>
      <c r="C2328" s="11">
        <f>IFERROR(__xludf.DUMMYFUNCTION("""COMPUTED_VALUE"""),159617.0)</f>
        <v>159617</v>
      </c>
      <c r="D2328" s="11">
        <f>IFERROR(__xludf.DUMMYFUNCTION("""COMPUTED_VALUE"""),1884.0)</f>
        <v>1884</v>
      </c>
      <c r="E2328" s="9"/>
    </row>
    <row r="2329">
      <c r="A2329" s="11">
        <f>IFERROR(__xludf.DUMMYFUNCTION("""COMPUTED_VALUE"""),2021.0)</f>
        <v>2021</v>
      </c>
      <c r="B2329" s="11">
        <f>IFERROR(__xludf.DUMMYFUNCTION("""COMPUTED_VALUE"""),8.0)</f>
        <v>8</v>
      </c>
      <c r="C2329" s="11">
        <f>IFERROR(__xludf.DUMMYFUNCTION("""COMPUTED_VALUE"""),85839.0)</f>
        <v>85839</v>
      </c>
      <c r="D2329" s="11">
        <f>IFERROR(__xludf.DUMMYFUNCTION("""COMPUTED_VALUE"""),1276.0)</f>
        <v>1276</v>
      </c>
      <c r="E2329" s="9"/>
    </row>
    <row r="2330">
      <c r="A2330" s="11">
        <f>IFERROR(__xludf.DUMMYFUNCTION("""COMPUTED_VALUE"""),2021.0)</f>
        <v>2021</v>
      </c>
      <c r="B2330" s="11">
        <f>IFERROR(__xludf.DUMMYFUNCTION("""COMPUTED_VALUE"""),10.0)</f>
        <v>10</v>
      </c>
      <c r="C2330" s="11">
        <f>IFERROR(__xludf.DUMMYFUNCTION("""COMPUTED_VALUE"""),85838.0)</f>
        <v>85838</v>
      </c>
      <c r="D2330" s="11">
        <f>IFERROR(__xludf.DUMMYFUNCTION("""COMPUTED_VALUE"""),776.0)</f>
        <v>776</v>
      </c>
      <c r="E2330" s="9"/>
    </row>
    <row r="2331">
      <c r="A2331" s="11">
        <f>IFERROR(__xludf.DUMMYFUNCTION("""COMPUTED_VALUE"""),2021.0)</f>
        <v>2021</v>
      </c>
      <c r="B2331" s="11">
        <f>IFERROR(__xludf.DUMMYFUNCTION("""COMPUTED_VALUE"""),8.0)</f>
        <v>8</v>
      </c>
      <c r="C2331" s="11">
        <f>IFERROR(__xludf.DUMMYFUNCTION("""COMPUTED_VALUE"""),8868.0)</f>
        <v>8868</v>
      </c>
      <c r="D2331" s="11">
        <f>IFERROR(__xludf.DUMMYFUNCTION("""COMPUTED_VALUE"""),1693.0)</f>
        <v>1693</v>
      </c>
      <c r="E2331" s="9"/>
    </row>
    <row r="2332">
      <c r="A2332" s="11">
        <f>IFERROR(__xludf.DUMMYFUNCTION("""COMPUTED_VALUE"""),2021.0)</f>
        <v>2021</v>
      </c>
      <c r="B2332" s="11">
        <f>IFERROR(__xludf.DUMMYFUNCTION("""COMPUTED_VALUE"""),8.0)</f>
        <v>8</v>
      </c>
      <c r="C2332" s="11">
        <f>IFERROR(__xludf.DUMMYFUNCTION("""COMPUTED_VALUE"""),116191.0)</f>
        <v>116191</v>
      </c>
      <c r="D2332" s="11">
        <f>IFERROR(__xludf.DUMMYFUNCTION("""COMPUTED_VALUE"""),783.0)</f>
        <v>783</v>
      </c>
      <c r="E2332" s="9"/>
    </row>
    <row r="2333">
      <c r="A2333" s="11">
        <f>IFERROR(__xludf.DUMMYFUNCTION("""COMPUTED_VALUE"""),2021.0)</f>
        <v>2021</v>
      </c>
      <c r="B2333" s="11">
        <f>IFERROR(__xludf.DUMMYFUNCTION("""COMPUTED_VALUE"""),11.0)</f>
        <v>11</v>
      </c>
      <c r="C2333" s="11">
        <f>IFERROR(__xludf.DUMMYFUNCTION("""COMPUTED_VALUE"""),90828.0)</f>
        <v>90828</v>
      </c>
      <c r="D2333" s="11">
        <f>IFERROR(__xludf.DUMMYFUNCTION("""COMPUTED_VALUE"""),1286.0)</f>
        <v>1286</v>
      </c>
      <c r="E2333" s="9"/>
    </row>
    <row r="2334">
      <c r="A2334" s="11">
        <f>IFERROR(__xludf.DUMMYFUNCTION("""COMPUTED_VALUE"""),2021.0)</f>
        <v>2021</v>
      </c>
      <c r="B2334" s="11">
        <f>IFERROR(__xludf.DUMMYFUNCTION("""COMPUTED_VALUE"""),9.0)</f>
        <v>9</v>
      </c>
      <c r="C2334" s="11">
        <f>IFERROR(__xludf.DUMMYFUNCTION("""COMPUTED_VALUE"""),26276.0)</f>
        <v>26276</v>
      </c>
      <c r="D2334" s="11">
        <f>IFERROR(__xludf.DUMMYFUNCTION("""COMPUTED_VALUE"""),708.0)</f>
        <v>708</v>
      </c>
      <c r="E2334" s="9"/>
    </row>
    <row r="2335">
      <c r="A2335" s="11">
        <f>IFERROR(__xludf.DUMMYFUNCTION("""COMPUTED_VALUE"""),2021.0)</f>
        <v>2021</v>
      </c>
      <c r="B2335" s="11">
        <f>IFERROR(__xludf.DUMMYFUNCTION("""COMPUTED_VALUE"""),10.0)</f>
        <v>10</v>
      </c>
      <c r="C2335" s="11">
        <f>IFERROR(__xludf.DUMMYFUNCTION("""COMPUTED_VALUE"""),29022.0)</f>
        <v>29022</v>
      </c>
      <c r="D2335" s="11">
        <f>IFERROR(__xludf.DUMMYFUNCTION("""COMPUTED_VALUE"""),1411.0)</f>
        <v>1411</v>
      </c>
      <c r="E2335" s="9"/>
    </row>
    <row r="2336">
      <c r="A2336" s="11">
        <f>IFERROR(__xludf.DUMMYFUNCTION("""COMPUTED_VALUE"""),2021.0)</f>
        <v>2021</v>
      </c>
      <c r="B2336" s="11">
        <f>IFERROR(__xludf.DUMMYFUNCTION("""COMPUTED_VALUE"""),11.0)</f>
        <v>11</v>
      </c>
      <c r="C2336" s="11">
        <f>IFERROR(__xludf.DUMMYFUNCTION("""COMPUTED_VALUE"""),111081.0)</f>
        <v>111081</v>
      </c>
      <c r="D2336" s="11">
        <f>IFERROR(__xludf.DUMMYFUNCTION("""COMPUTED_VALUE"""),1189.0)</f>
        <v>1189</v>
      </c>
      <c r="E2336" s="9"/>
    </row>
    <row r="2337">
      <c r="A2337" s="11">
        <f>IFERROR(__xludf.DUMMYFUNCTION("""COMPUTED_VALUE"""),2021.0)</f>
        <v>2021</v>
      </c>
      <c r="B2337" s="11">
        <f>IFERROR(__xludf.DUMMYFUNCTION("""COMPUTED_VALUE"""),9.0)</f>
        <v>9</v>
      </c>
      <c r="C2337" s="11">
        <f>IFERROR(__xludf.DUMMYFUNCTION("""COMPUTED_VALUE"""),26277.0)</f>
        <v>26277</v>
      </c>
      <c r="D2337" s="11">
        <f>IFERROR(__xludf.DUMMYFUNCTION("""COMPUTED_VALUE"""),1458.0)</f>
        <v>1458</v>
      </c>
      <c r="E2337" s="9"/>
    </row>
    <row r="2338">
      <c r="A2338" s="11">
        <f>IFERROR(__xludf.DUMMYFUNCTION("""COMPUTED_VALUE"""),2021.0)</f>
        <v>2021</v>
      </c>
      <c r="B2338" s="11">
        <f>IFERROR(__xludf.DUMMYFUNCTION("""COMPUTED_VALUE"""),10.0)</f>
        <v>10</v>
      </c>
      <c r="C2338" s="11">
        <f>IFERROR(__xludf.DUMMYFUNCTION("""COMPUTED_VALUE"""),100251.0)</f>
        <v>100251</v>
      </c>
      <c r="D2338" s="11">
        <f>IFERROR(__xludf.DUMMYFUNCTION("""COMPUTED_VALUE"""),775.0)</f>
        <v>775</v>
      </c>
      <c r="E2338" s="9"/>
    </row>
    <row r="2339">
      <c r="A2339" s="11">
        <f>IFERROR(__xludf.DUMMYFUNCTION("""COMPUTED_VALUE"""),2021.0)</f>
        <v>2021</v>
      </c>
      <c r="B2339" s="11">
        <f>IFERROR(__xludf.DUMMYFUNCTION("""COMPUTED_VALUE"""),11.0)</f>
        <v>11</v>
      </c>
      <c r="C2339" s="11">
        <f>IFERROR(__xludf.DUMMYFUNCTION("""COMPUTED_VALUE"""),87885.0)</f>
        <v>87885</v>
      </c>
      <c r="D2339" s="11">
        <f>IFERROR(__xludf.DUMMYFUNCTION("""COMPUTED_VALUE"""),526.0)</f>
        <v>526</v>
      </c>
      <c r="E2339" s="9"/>
    </row>
    <row r="2340">
      <c r="A2340" s="11">
        <f>IFERROR(__xludf.DUMMYFUNCTION("""COMPUTED_VALUE"""),2021.0)</f>
        <v>2021</v>
      </c>
      <c r="B2340" s="11">
        <f>IFERROR(__xludf.DUMMYFUNCTION("""COMPUTED_VALUE"""),8.0)</f>
        <v>8</v>
      </c>
      <c r="C2340" s="11">
        <f>IFERROR(__xludf.DUMMYFUNCTION("""COMPUTED_VALUE"""),29023.0)</f>
        <v>29023</v>
      </c>
      <c r="D2340" s="11">
        <f>IFERROR(__xludf.DUMMYFUNCTION("""COMPUTED_VALUE"""),681.0)</f>
        <v>681</v>
      </c>
      <c r="E2340" s="9"/>
    </row>
    <row r="2341">
      <c r="A2341" s="11">
        <f>IFERROR(__xludf.DUMMYFUNCTION("""COMPUTED_VALUE"""),2021.0)</f>
        <v>2021</v>
      </c>
      <c r="B2341" s="11">
        <f>IFERROR(__xludf.DUMMYFUNCTION("""COMPUTED_VALUE"""),10.0)</f>
        <v>10</v>
      </c>
      <c r="C2341" s="11">
        <f>IFERROR(__xludf.DUMMYFUNCTION("""COMPUTED_VALUE"""),100250.0)</f>
        <v>100250</v>
      </c>
      <c r="D2341" s="11">
        <f>IFERROR(__xludf.DUMMYFUNCTION("""COMPUTED_VALUE"""),925.0)</f>
        <v>925</v>
      </c>
      <c r="E2341" s="9"/>
    </row>
    <row r="2342">
      <c r="A2342" s="11">
        <f>IFERROR(__xludf.DUMMYFUNCTION("""COMPUTED_VALUE"""),2021.0)</f>
        <v>2021</v>
      </c>
      <c r="B2342" s="11">
        <f>IFERROR(__xludf.DUMMYFUNCTION("""COMPUTED_VALUE"""),10.0)</f>
        <v>10</v>
      </c>
      <c r="C2342" s="11">
        <f>IFERROR(__xludf.DUMMYFUNCTION("""COMPUTED_VALUE"""),116320.0)</f>
        <v>116320</v>
      </c>
      <c r="D2342" s="11">
        <f>IFERROR(__xludf.DUMMYFUNCTION("""COMPUTED_VALUE"""),1037.0)</f>
        <v>1037</v>
      </c>
      <c r="E2342" s="9"/>
    </row>
    <row r="2343">
      <c r="A2343" s="11">
        <f>IFERROR(__xludf.DUMMYFUNCTION("""COMPUTED_VALUE"""),2021.0)</f>
        <v>2021</v>
      </c>
      <c r="B2343" s="11">
        <f>IFERROR(__xludf.DUMMYFUNCTION("""COMPUTED_VALUE"""),9.0)</f>
        <v>9</v>
      </c>
      <c r="C2343" s="11">
        <f>IFERROR(__xludf.DUMMYFUNCTION("""COMPUTED_VALUE"""),122149.0)</f>
        <v>122149</v>
      </c>
      <c r="D2343" s="11">
        <f>IFERROR(__xludf.DUMMYFUNCTION("""COMPUTED_VALUE"""),1162.0)</f>
        <v>1162</v>
      </c>
      <c r="E2343" s="9"/>
    </row>
    <row r="2344">
      <c r="A2344" s="11">
        <f>IFERROR(__xludf.DUMMYFUNCTION("""COMPUTED_VALUE"""),2021.0)</f>
        <v>2021</v>
      </c>
      <c r="B2344" s="11">
        <f>IFERROR(__xludf.DUMMYFUNCTION("""COMPUTED_VALUE"""),11.0)</f>
        <v>11</v>
      </c>
      <c r="C2344" s="11">
        <f>IFERROR(__xludf.DUMMYFUNCTION("""COMPUTED_VALUE"""),107220.0)</f>
        <v>107220</v>
      </c>
      <c r="D2344" s="11">
        <f>IFERROR(__xludf.DUMMYFUNCTION("""COMPUTED_VALUE"""),1017.0)</f>
        <v>1017</v>
      </c>
      <c r="E2344" s="9"/>
    </row>
    <row r="2345">
      <c r="A2345" s="11">
        <f>IFERROR(__xludf.DUMMYFUNCTION("""COMPUTED_VALUE"""),2021.0)</f>
        <v>2021</v>
      </c>
      <c r="B2345" s="11">
        <f>IFERROR(__xludf.DUMMYFUNCTION("""COMPUTED_VALUE"""),9.0)</f>
        <v>9</v>
      </c>
      <c r="C2345" s="11">
        <f>IFERROR(__xludf.DUMMYFUNCTION("""COMPUTED_VALUE"""),122151.0)</f>
        <v>122151</v>
      </c>
      <c r="D2345" s="11">
        <f>IFERROR(__xludf.DUMMYFUNCTION("""COMPUTED_VALUE"""),1732.0)</f>
        <v>1732</v>
      </c>
      <c r="E2345" s="9"/>
    </row>
    <row r="2346">
      <c r="A2346" s="11">
        <f>IFERROR(__xludf.DUMMYFUNCTION("""COMPUTED_VALUE"""),2021.0)</f>
        <v>2021</v>
      </c>
      <c r="B2346" s="11">
        <f>IFERROR(__xludf.DUMMYFUNCTION("""COMPUTED_VALUE"""),8.0)</f>
        <v>8</v>
      </c>
      <c r="C2346" s="11">
        <f>IFERROR(__xludf.DUMMYFUNCTION("""COMPUTED_VALUE"""),115766.0)</f>
        <v>115766</v>
      </c>
      <c r="D2346" s="11">
        <f>IFERROR(__xludf.DUMMYFUNCTION("""COMPUTED_VALUE"""),1917.0)</f>
        <v>1917</v>
      </c>
      <c r="E2346" s="9"/>
    </row>
    <row r="2347">
      <c r="A2347" s="11">
        <f>IFERROR(__xludf.DUMMYFUNCTION("""COMPUTED_VALUE"""),2021.0)</f>
        <v>2021</v>
      </c>
      <c r="B2347" s="11">
        <f>IFERROR(__xludf.DUMMYFUNCTION("""COMPUTED_VALUE"""),11.0)</f>
        <v>11</v>
      </c>
      <c r="C2347" s="11">
        <f>IFERROR(__xludf.DUMMYFUNCTION("""COMPUTED_VALUE"""),114033.0)</f>
        <v>114033</v>
      </c>
      <c r="D2347" s="11">
        <f>IFERROR(__xludf.DUMMYFUNCTION("""COMPUTED_VALUE"""),385.0)</f>
        <v>385</v>
      </c>
      <c r="E2347" s="9"/>
    </row>
    <row r="2348">
      <c r="A2348" s="11">
        <f>IFERROR(__xludf.DUMMYFUNCTION("""COMPUTED_VALUE"""),2021.0)</f>
        <v>2021</v>
      </c>
      <c r="B2348" s="11">
        <f>IFERROR(__xludf.DUMMYFUNCTION("""COMPUTED_VALUE"""),10.0)</f>
        <v>10</v>
      </c>
      <c r="C2348" s="11">
        <f>IFERROR(__xludf.DUMMYFUNCTION("""COMPUTED_VALUE"""),149508.0)</f>
        <v>149508</v>
      </c>
      <c r="D2348" s="11">
        <f>IFERROR(__xludf.DUMMYFUNCTION("""COMPUTED_VALUE"""),1394.0)</f>
        <v>1394</v>
      </c>
      <c r="E2348" s="9"/>
    </row>
    <row r="2349">
      <c r="A2349" s="11">
        <f>IFERROR(__xludf.DUMMYFUNCTION("""COMPUTED_VALUE"""),2021.0)</f>
        <v>2021</v>
      </c>
      <c r="B2349" s="11">
        <f>IFERROR(__xludf.DUMMYFUNCTION("""COMPUTED_VALUE"""),8.0)</f>
        <v>8</v>
      </c>
      <c r="C2349" s="11">
        <f>IFERROR(__xludf.DUMMYFUNCTION("""COMPUTED_VALUE"""),107256.0)</f>
        <v>107256</v>
      </c>
      <c r="D2349" s="11">
        <f>IFERROR(__xludf.DUMMYFUNCTION("""COMPUTED_VALUE"""),1390.0)</f>
        <v>1390</v>
      </c>
      <c r="E2349" s="9"/>
    </row>
    <row r="2350">
      <c r="A2350" s="11">
        <f>IFERROR(__xludf.DUMMYFUNCTION("""COMPUTED_VALUE"""),2021.0)</f>
        <v>2021</v>
      </c>
      <c r="B2350" s="11">
        <f>IFERROR(__xludf.DUMMYFUNCTION("""COMPUTED_VALUE"""),8.0)</f>
        <v>8</v>
      </c>
      <c r="C2350" s="11">
        <f>IFERROR(__xludf.DUMMYFUNCTION("""COMPUTED_VALUE"""),121615.0)</f>
        <v>121615</v>
      </c>
      <c r="D2350" s="11">
        <f>IFERROR(__xludf.DUMMYFUNCTION("""COMPUTED_VALUE"""),335.0)</f>
        <v>335</v>
      </c>
      <c r="E2350" s="9"/>
    </row>
    <row r="2351">
      <c r="A2351" s="11">
        <f>IFERROR(__xludf.DUMMYFUNCTION("""COMPUTED_VALUE"""),2021.0)</f>
        <v>2021</v>
      </c>
      <c r="B2351" s="11">
        <f>IFERROR(__xludf.DUMMYFUNCTION("""COMPUTED_VALUE"""),9.0)</f>
        <v>9</v>
      </c>
      <c r="C2351" s="11">
        <f>IFERROR(__xludf.DUMMYFUNCTION("""COMPUTED_VALUE"""),107226.0)</f>
        <v>107226</v>
      </c>
      <c r="D2351" s="11">
        <f>IFERROR(__xludf.DUMMYFUNCTION("""COMPUTED_VALUE"""),216.0)</f>
        <v>216</v>
      </c>
      <c r="E2351" s="9"/>
    </row>
    <row r="2352">
      <c r="A2352" s="11">
        <f>IFERROR(__xludf.DUMMYFUNCTION("""COMPUTED_VALUE"""),2021.0)</f>
        <v>2021</v>
      </c>
      <c r="B2352" s="11">
        <f>IFERROR(__xludf.DUMMYFUNCTION("""COMPUTED_VALUE"""),10.0)</f>
        <v>10</v>
      </c>
      <c r="C2352" s="11">
        <f>IFERROR(__xludf.DUMMYFUNCTION("""COMPUTED_VALUE"""),120188.0)</f>
        <v>120188</v>
      </c>
      <c r="D2352" s="11">
        <f>IFERROR(__xludf.DUMMYFUNCTION("""COMPUTED_VALUE"""),1222.0)</f>
        <v>1222</v>
      </c>
      <c r="E2352" s="9"/>
    </row>
    <row r="2353">
      <c r="A2353" s="11">
        <f>IFERROR(__xludf.DUMMYFUNCTION("""COMPUTED_VALUE"""),2021.0)</f>
        <v>2021</v>
      </c>
      <c r="B2353" s="11">
        <f>IFERROR(__xludf.DUMMYFUNCTION("""COMPUTED_VALUE"""),9.0)</f>
        <v>9</v>
      </c>
      <c r="C2353" s="11">
        <f>IFERROR(__xludf.DUMMYFUNCTION("""COMPUTED_VALUE"""),107944.0)</f>
        <v>107944</v>
      </c>
      <c r="D2353" s="11">
        <f>IFERROR(__xludf.DUMMYFUNCTION("""COMPUTED_VALUE"""),1742.0)</f>
        <v>1742</v>
      </c>
      <c r="E2353" s="9"/>
    </row>
    <row r="2354">
      <c r="A2354" s="11">
        <f>IFERROR(__xludf.DUMMYFUNCTION("""COMPUTED_VALUE"""),2021.0)</f>
        <v>2021</v>
      </c>
      <c r="B2354" s="11">
        <f>IFERROR(__xludf.DUMMYFUNCTION("""COMPUTED_VALUE"""),9.0)</f>
        <v>9</v>
      </c>
      <c r="C2354" s="11">
        <f>IFERROR(__xludf.DUMMYFUNCTION("""COMPUTED_VALUE"""),70243.0)</f>
        <v>70243</v>
      </c>
      <c r="D2354" s="11">
        <f>IFERROR(__xludf.DUMMYFUNCTION("""COMPUTED_VALUE"""),326.0)</f>
        <v>326</v>
      </c>
      <c r="E2354" s="9"/>
    </row>
    <row r="2355">
      <c r="A2355" s="11">
        <f>IFERROR(__xludf.DUMMYFUNCTION("""COMPUTED_VALUE"""),2021.0)</f>
        <v>2021</v>
      </c>
      <c r="B2355" s="11">
        <f>IFERROR(__xludf.DUMMYFUNCTION("""COMPUTED_VALUE"""),9.0)</f>
        <v>9</v>
      </c>
      <c r="C2355" s="11">
        <f>IFERROR(__xludf.DUMMYFUNCTION("""COMPUTED_VALUE"""),149505.0)</f>
        <v>149505</v>
      </c>
      <c r="D2355" s="11">
        <f>IFERROR(__xludf.DUMMYFUNCTION("""COMPUTED_VALUE"""),1566.0)</f>
        <v>1566</v>
      </c>
      <c r="E2355" s="9"/>
    </row>
    <row r="2356">
      <c r="A2356" s="11">
        <f>IFERROR(__xludf.DUMMYFUNCTION("""COMPUTED_VALUE"""),2021.0)</f>
        <v>2021</v>
      </c>
      <c r="B2356" s="11">
        <f>IFERROR(__xludf.DUMMYFUNCTION("""COMPUTED_VALUE"""),11.0)</f>
        <v>11</v>
      </c>
      <c r="C2356" s="11">
        <f>IFERROR(__xludf.DUMMYFUNCTION("""COMPUTED_VALUE"""),101428.0)</f>
        <v>101428</v>
      </c>
      <c r="D2356" s="11">
        <f>IFERROR(__xludf.DUMMYFUNCTION("""COMPUTED_VALUE"""),1775.0)</f>
        <v>1775</v>
      </c>
      <c r="E2356" s="9"/>
    </row>
    <row r="2357">
      <c r="A2357" s="11">
        <f>IFERROR(__xludf.DUMMYFUNCTION("""COMPUTED_VALUE"""),2021.0)</f>
        <v>2021</v>
      </c>
      <c r="B2357" s="11">
        <f>IFERROR(__xludf.DUMMYFUNCTION("""COMPUTED_VALUE"""),10.0)</f>
        <v>10</v>
      </c>
      <c r="C2357" s="11">
        <f>IFERROR(__xludf.DUMMYFUNCTION("""COMPUTED_VALUE"""),121798.0)</f>
        <v>121798</v>
      </c>
      <c r="D2357" s="11">
        <f>IFERROR(__xludf.DUMMYFUNCTION("""COMPUTED_VALUE"""),301.0)</f>
        <v>301</v>
      </c>
      <c r="E2357" s="9"/>
    </row>
    <row r="2358">
      <c r="A2358" s="11">
        <f>IFERROR(__xludf.DUMMYFUNCTION("""COMPUTED_VALUE"""),2021.0)</f>
        <v>2021</v>
      </c>
      <c r="B2358" s="11">
        <f>IFERROR(__xludf.DUMMYFUNCTION("""COMPUTED_VALUE"""),10.0)</f>
        <v>10</v>
      </c>
      <c r="C2358" s="11">
        <f>IFERROR(__xludf.DUMMYFUNCTION("""COMPUTED_VALUE"""),88636.0)</f>
        <v>88636</v>
      </c>
      <c r="D2358" s="11">
        <f>IFERROR(__xludf.DUMMYFUNCTION("""COMPUTED_VALUE"""),833.0)</f>
        <v>833</v>
      </c>
      <c r="E2358" s="9"/>
    </row>
    <row r="2359">
      <c r="A2359" s="11">
        <f>IFERROR(__xludf.DUMMYFUNCTION("""COMPUTED_VALUE"""),2021.0)</f>
        <v>2021</v>
      </c>
      <c r="B2359" s="11">
        <f>IFERROR(__xludf.DUMMYFUNCTION("""COMPUTED_VALUE"""),9.0)</f>
        <v>9</v>
      </c>
      <c r="C2359" s="11">
        <f>IFERROR(__xludf.DUMMYFUNCTION("""COMPUTED_VALUE"""),111038.0)</f>
        <v>111038</v>
      </c>
      <c r="D2359" s="11">
        <f>IFERROR(__xludf.DUMMYFUNCTION("""COMPUTED_VALUE"""),596.0)</f>
        <v>596</v>
      </c>
      <c r="E2359" s="9"/>
    </row>
    <row r="2360">
      <c r="A2360" s="11">
        <f>IFERROR(__xludf.DUMMYFUNCTION("""COMPUTED_VALUE"""),2021.0)</f>
        <v>2021</v>
      </c>
      <c r="B2360" s="11">
        <f>IFERROR(__xludf.DUMMYFUNCTION("""COMPUTED_VALUE"""),11.0)</f>
        <v>11</v>
      </c>
      <c r="C2360" s="11">
        <f>IFERROR(__xludf.DUMMYFUNCTION("""COMPUTED_VALUE"""),75032.0)</f>
        <v>75032</v>
      </c>
      <c r="D2360" s="11">
        <f>IFERROR(__xludf.DUMMYFUNCTION("""COMPUTED_VALUE"""),672.0)</f>
        <v>672</v>
      </c>
      <c r="E2360" s="9"/>
    </row>
    <row r="2361">
      <c r="A2361" s="11">
        <f>IFERROR(__xludf.DUMMYFUNCTION("""COMPUTED_VALUE"""),2021.0)</f>
        <v>2021</v>
      </c>
      <c r="B2361" s="11">
        <f>IFERROR(__xludf.DUMMYFUNCTION("""COMPUTED_VALUE"""),8.0)</f>
        <v>8</v>
      </c>
      <c r="C2361" s="11">
        <f>IFERROR(__xludf.DUMMYFUNCTION("""COMPUTED_VALUE"""),70187.0)</f>
        <v>70187</v>
      </c>
      <c r="D2361" s="11">
        <f>IFERROR(__xludf.DUMMYFUNCTION("""COMPUTED_VALUE"""),802.0)</f>
        <v>802</v>
      </c>
      <c r="E2361" s="9"/>
    </row>
    <row r="2362">
      <c r="A2362" s="11">
        <f>IFERROR(__xludf.DUMMYFUNCTION("""COMPUTED_VALUE"""),2021.0)</f>
        <v>2021</v>
      </c>
      <c r="B2362" s="11">
        <f>IFERROR(__xludf.DUMMYFUNCTION("""COMPUTED_VALUE"""),8.0)</f>
        <v>8</v>
      </c>
      <c r="C2362" s="11">
        <f>IFERROR(__xludf.DUMMYFUNCTION("""COMPUTED_VALUE"""),147278.0)</f>
        <v>147278</v>
      </c>
      <c r="D2362" s="11">
        <f>IFERROR(__xludf.DUMMYFUNCTION("""COMPUTED_VALUE"""),1823.0)</f>
        <v>1823</v>
      </c>
      <c r="E2362" s="9"/>
    </row>
    <row r="2363">
      <c r="A2363" s="11">
        <f>IFERROR(__xludf.DUMMYFUNCTION("""COMPUTED_VALUE"""),2021.0)</f>
        <v>2021</v>
      </c>
      <c r="B2363" s="11">
        <f>IFERROR(__xludf.DUMMYFUNCTION("""COMPUTED_VALUE"""),8.0)</f>
        <v>8</v>
      </c>
      <c r="C2363" s="11">
        <f>IFERROR(__xludf.DUMMYFUNCTION("""COMPUTED_VALUE"""),114972.0)</f>
        <v>114972</v>
      </c>
      <c r="D2363" s="11">
        <f>IFERROR(__xludf.DUMMYFUNCTION("""COMPUTED_VALUE"""),1773.0)</f>
        <v>1773</v>
      </c>
      <c r="E2363" s="9"/>
    </row>
    <row r="2364">
      <c r="A2364" s="11">
        <f>IFERROR(__xludf.DUMMYFUNCTION("""COMPUTED_VALUE"""),2021.0)</f>
        <v>2021</v>
      </c>
      <c r="B2364" s="11">
        <f>IFERROR(__xludf.DUMMYFUNCTION("""COMPUTED_VALUE"""),11.0)</f>
        <v>11</v>
      </c>
      <c r="C2364" s="11">
        <f>IFERROR(__xludf.DUMMYFUNCTION("""COMPUTED_VALUE"""),75072.0)</f>
        <v>75072</v>
      </c>
      <c r="D2364" s="11">
        <f>IFERROR(__xludf.DUMMYFUNCTION("""COMPUTED_VALUE"""),452.0)</f>
        <v>452</v>
      </c>
      <c r="E2364" s="9"/>
    </row>
    <row r="2365">
      <c r="A2365" s="11">
        <f>IFERROR(__xludf.DUMMYFUNCTION("""COMPUTED_VALUE"""),2021.0)</f>
        <v>2021</v>
      </c>
      <c r="B2365" s="11">
        <f>IFERROR(__xludf.DUMMYFUNCTION("""COMPUTED_VALUE"""),9.0)</f>
        <v>9</v>
      </c>
      <c r="C2365" s="11">
        <f>IFERROR(__xludf.DUMMYFUNCTION("""COMPUTED_VALUE"""),114971.0)</f>
        <v>114971</v>
      </c>
      <c r="D2365" s="11">
        <f>IFERROR(__xludf.DUMMYFUNCTION("""COMPUTED_VALUE"""),1105.0)</f>
        <v>1105</v>
      </c>
      <c r="E2365" s="9"/>
    </row>
    <row r="2366">
      <c r="A2366" s="11">
        <f>IFERROR(__xludf.DUMMYFUNCTION("""COMPUTED_VALUE"""),2021.0)</f>
        <v>2021</v>
      </c>
      <c r="B2366" s="11">
        <f>IFERROR(__xludf.DUMMYFUNCTION("""COMPUTED_VALUE"""),10.0)</f>
        <v>10</v>
      </c>
      <c r="C2366" s="11">
        <f>IFERROR(__xludf.DUMMYFUNCTION("""COMPUTED_VALUE"""),99981.0)</f>
        <v>99981</v>
      </c>
      <c r="D2366" s="11">
        <f>IFERROR(__xludf.DUMMYFUNCTION("""COMPUTED_VALUE"""),1586.0)</f>
        <v>1586</v>
      </c>
      <c r="E2366" s="9"/>
    </row>
    <row r="2367">
      <c r="A2367" s="11">
        <f>IFERROR(__xludf.DUMMYFUNCTION("""COMPUTED_VALUE"""),2021.0)</f>
        <v>2021</v>
      </c>
      <c r="B2367" s="11">
        <f>IFERROR(__xludf.DUMMYFUNCTION("""COMPUTED_VALUE"""),9.0)</f>
        <v>9</v>
      </c>
      <c r="C2367" s="11">
        <f>IFERROR(__xludf.DUMMYFUNCTION("""COMPUTED_VALUE"""),86383.0)</f>
        <v>86383</v>
      </c>
      <c r="D2367" s="11">
        <f>IFERROR(__xludf.DUMMYFUNCTION("""COMPUTED_VALUE"""),1552.0)</f>
        <v>1552</v>
      </c>
      <c r="E2367" s="9"/>
    </row>
    <row r="2368">
      <c r="A2368" s="11">
        <f>IFERROR(__xludf.DUMMYFUNCTION("""COMPUTED_VALUE"""),2021.0)</f>
        <v>2021</v>
      </c>
      <c r="B2368" s="11">
        <f>IFERROR(__xludf.DUMMYFUNCTION("""COMPUTED_VALUE"""),11.0)</f>
        <v>11</v>
      </c>
      <c r="C2368" s="11">
        <f>IFERROR(__xludf.DUMMYFUNCTION("""COMPUTED_VALUE"""),89587.0)</f>
        <v>89587</v>
      </c>
      <c r="D2368" s="11">
        <f>IFERROR(__xludf.DUMMYFUNCTION("""COMPUTED_VALUE"""),857.0)</f>
        <v>857</v>
      </c>
      <c r="E2368" s="9"/>
    </row>
    <row r="2369">
      <c r="A2369" s="11">
        <f>IFERROR(__xludf.DUMMYFUNCTION("""COMPUTED_VALUE"""),2021.0)</f>
        <v>2021</v>
      </c>
      <c r="B2369" s="11">
        <f>IFERROR(__xludf.DUMMYFUNCTION("""COMPUTED_VALUE"""),10.0)</f>
        <v>10</v>
      </c>
      <c r="C2369" s="11">
        <f>IFERROR(__xludf.DUMMYFUNCTION("""COMPUTED_VALUE"""),89516.0)</f>
        <v>89516</v>
      </c>
      <c r="D2369" s="11">
        <f>IFERROR(__xludf.DUMMYFUNCTION("""COMPUTED_VALUE"""),576.0)</f>
        <v>576</v>
      </c>
      <c r="E2369" s="9"/>
    </row>
    <row r="2370">
      <c r="A2370" s="11">
        <f>IFERROR(__xludf.DUMMYFUNCTION("""COMPUTED_VALUE"""),2021.0)</f>
        <v>2021</v>
      </c>
      <c r="B2370" s="11">
        <f>IFERROR(__xludf.DUMMYFUNCTION("""COMPUTED_VALUE"""),10.0)</f>
        <v>10</v>
      </c>
      <c r="C2370" s="11">
        <f>IFERROR(__xludf.DUMMYFUNCTION("""COMPUTED_VALUE"""),89519.0)</f>
        <v>89519</v>
      </c>
      <c r="D2370" s="11">
        <f>IFERROR(__xludf.DUMMYFUNCTION("""COMPUTED_VALUE"""),1843.0)</f>
        <v>1843</v>
      </c>
      <c r="E2370" s="9"/>
    </row>
    <row r="2371">
      <c r="A2371" s="11">
        <f>IFERROR(__xludf.DUMMYFUNCTION("""COMPUTED_VALUE"""),2021.0)</f>
        <v>2021</v>
      </c>
      <c r="B2371" s="11">
        <f>IFERROR(__xludf.DUMMYFUNCTION("""COMPUTED_VALUE"""),9.0)</f>
        <v>9</v>
      </c>
      <c r="C2371" s="11">
        <f>IFERROR(__xludf.DUMMYFUNCTION("""COMPUTED_VALUE"""),75060.0)</f>
        <v>75060</v>
      </c>
      <c r="D2371" s="11">
        <f>IFERROR(__xludf.DUMMYFUNCTION("""COMPUTED_VALUE"""),1825.0)</f>
        <v>1825</v>
      </c>
      <c r="E2371" s="9"/>
    </row>
    <row r="2372">
      <c r="A2372" s="11">
        <f>IFERROR(__xludf.DUMMYFUNCTION("""COMPUTED_VALUE"""),2021.0)</f>
        <v>2021</v>
      </c>
      <c r="B2372" s="11">
        <f>IFERROR(__xludf.DUMMYFUNCTION("""COMPUTED_VALUE"""),8.0)</f>
        <v>8</v>
      </c>
      <c r="C2372" s="11">
        <f>IFERROR(__xludf.DUMMYFUNCTION("""COMPUTED_VALUE"""),111745.0)</f>
        <v>111745</v>
      </c>
      <c r="D2372" s="11">
        <f>IFERROR(__xludf.DUMMYFUNCTION("""COMPUTED_VALUE"""),1795.0)</f>
        <v>1795</v>
      </c>
      <c r="E2372" s="9"/>
    </row>
    <row r="2373">
      <c r="A2373" s="11">
        <f>IFERROR(__xludf.DUMMYFUNCTION("""COMPUTED_VALUE"""),2021.0)</f>
        <v>2021</v>
      </c>
      <c r="B2373" s="11">
        <f>IFERROR(__xludf.DUMMYFUNCTION("""COMPUTED_VALUE"""),10.0)</f>
        <v>10</v>
      </c>
      <c r="C2373" s="11">
        <f>IFERROR(__xludf.DUMMYFUNCTION("""COMPUTED_VALUE"""),70242.0)</f>
        <v>70242</v>
      </c>
      <c r="D2373" s="11">
        <f>IFERROR(__xludf.DUMMYFUNCTION("""COMPUTED_VALUE"""),1805.0)</f>
        <v>1805</v>
      </c>
      <c r="E2373" s="9"/>
    </row>
    <row r="2374">
      <c r="A2374" s="11">
        <f>IFERROR(__xludf.DUMMYFUNCTION("""COMPUTED_VALUE"""),2021.0)</f>
        <v>2021</v>
      </c>
      <c r="B2374" s="11">
        <f>IFERROR(__xludf.DUMMYFUNCTION("""COMPUTED_VALUE"""),10.0)</f>
        <v>10</v>
      </c>
      <c r="C2374" s="11">
        <f>IFERROR(__xludf.DUMMYFUNCTION("""COMPUTED_VALUE"""),75061.0)</f>
        <v>75061</v>
      </c>
      <c r="D2374" s="11">
        <f>IFERROR(__xludf.DUMMYFUNCTION("""COMPUTED_VALUE"""),984.0)</f>
        <v>984</v>
      </c>
      <c r="E2374" s="9"/>
    </row>
    <row r="2375">
      <c r="A2375" s="11">
        <f>IFERROR(__xludf.DUMMYFUNCTION("""COMPUTED_VALUE"""),2021.0)</f>
        <v>2021</v>
      </c>
      <c r="B2375" s="11">
        <f>IFERROR(__xludf.DUMMYFUNCTION("""COMPUTED_VALUE"""),11.0)</f>
        <v>11</v>
      </c>
      <c r="C2375" s="11">
        <f>IFERROR(__xludf.DUMMYFUNCTION("""COMPUTED_VALUE"""),69467.0)</f>
        <v>69467</v>
      </c>
      <c r="D2375" s="11">
        <f>IFERROR(__xludf.DUMMYFUNCTION("""COMPUTED_VALUE"""),601.0)</f>
        <v>601</v>
      </c>
      <c r="E2375" s="9"/>
    </row>
    <row r="2376">
      <c r="A2376" s="11">
        <f>IFERROR(__xludf.DUMMYFUNCTION("""COMPUTED_VALUE"""),2021.0)</f>
        <v>2021</v>
      </c>
      <c r="B2376" s="11">
        <f>IFERROR(__xludf.DUMMYFUNCTION("""COMPUTED_VALUE"""),9.0)</f>
        <v>9</v>
      </c>
      <c r="C2376" s="11">
        <f>IFERROR(__xludf.DUMMYFUNCTION("""COMPUTED_VALUE"""),121800.0)</f>
        <v>121800</v>
      </c>
      <c r="D2376" s="11">
        <f>IFERROR(__xludf.DUMMYFUNCTION("""COMPUTED_VALUE"""),714.0)</f>
        <v>714</v>
      </c>
      <c r="E2376" s="9"/>
    </row>
    <row r="2377">
      <c r="A2377" s="11">
        <f>IFERROR(__xludf.DUMMYFUNCTION("""COMPUTED_VALUE"""),2021.0)</f>
        <v>2021</v>
      </c>
      <c r="B2377" s="11">
        <f>IFERROR(__xludf.DUMMYFUNCTION("""COMPUTED_VALUE"""),8.0)</f>
        <v>8</v>
      </c>
      <c r="C2377" s="11">
        <f>IFERROR(__xludf.DUMMYFUNCTION("""COMPUTED_VALUE"""),110974.0)</f>
        <v>110974</v>
      </c>
      <c r="D2377" s="11">
        <f>IFERROR(__xludf.DUMMYFUNCTION("""COMPUTED_VALUE"""),459.0)</f>
        <v>459</v>
      </c>
      <c r="E2377" s="9"/>
    </row>
    <row r="2378">
      <c r="A2378" s="11">
        <f>IFERROR(__xludf.DUMMYFUNCTION("""COMPUTED_VALUE"""),2021.0)</f>
        <v>2021</v>
      </c>
      <c r="B2378" s="11">
        <f>IFERROR(__xludf.DUMMYFUNCTION("""COMPUTED_VALUE"""),9.0)</f>
        <v>9</v>
      </c>
      <c r="C2378" s="11">
        <f>IFERROR(__xludf.DUMMYFUNCTION("""COMPUTED_VALUE"""),114969.0)</f>
        <v>114969</v>
      </c>
      <c r="D2378" s="11">
        <f>IFERROR(__xludf.DUMMYFUNCTION("""COMPUTED_VALUE"""),138.0)</f>
        <v>138</v>
      </c>
      <c r="E2378" s="9"/>
    </row>
    <row r="2379">
      <c r="A2379" s="11">
        <f>IFERROR(__xludf.DUMMYFUNCTION("""COMPUTED_VALUE"""),2021.0)</f>
        <v>2021</v>
      </c>
      <c r="B2379" s="11">
        <f>IFERROR(__xludf.DUMMYFUNCTION("""COMPUTED_VALUE"""),10.0)</f>
        <v>10</v>
      </c>
      <c r="C2379" s="11">
        <f>IFERROR(__xludf.DUMMYFUNCTION("""COMPUTED_VALUE"""),111041.0)</f>
        <v>111041</v>
      </c>
      <c r="D2379" s="11">
        <f>IFERROR(__xludf.DUMMYFUNCTION("""COMPUTED_VALUE"""),447.0)</f>
        <v>447</v>
      </c>
      <c r="E2379" s="9"/>
    </row>
    <row r="2380">
      <c r="A2380" s="11">
        <f>IFERROR(__xludf.DUMMYFUNCTION("""COMPUTED_VALUE"""),2021.0)</f>
        <v>2021</v>
      </c>
      <c r="B2380" s="11">
        <f>IFERROR(__xludf.DUMMYFUNCTION("""COMPUTED_VALUE"""),11.0)</f>
        <v>11</v>
      </c>
      <c r="C2380" s="11">
        <f>IFERROR(__xludf.DUMMYFUNCTION("""COMPUTED_VALUE"""),82382.0)</f>
        <v>82382</v>
      </c>
      <c r="D2380" s="11">
        <f>IFERROR(__xludf.DUMMYFUNCTION("""COMPUTED_VALUE"""),633.0)</f>
        <v>633</v>
      </c>
      <c r="E2380" s="9"/>
    </row>
    <row r="2381">
      <c r="A2381" s="11">
        <f>IFERROR(__xludf.DUMMYFUNCTION("""COMPUTED_VALUE"""),2021.0)</f>
        <v>2021</v>
      </c>
      <c r="B2381" s="11">
        <f>IFERROR(__xludf.DUMMYFUNCTION("""COMPUTED_VALUE"""),11.0)</f>
        <v>11</v>
      </c>
      <c r="C2381" s="11">
        <f>IFERROR(__xludf.DUMMYFUNCTION("""COMPUTED_VALUE"""),89634.0)</f>
        <v>89634</v>
      </c>
      <c r="D2381" s="11">
        <f>IFERROR(__xludf.DUMMYFUNCTION("""COMPUTED_VALUE"""),1219.0)</f>
        <v>1219</v>
      </c>
      <c r="E2381" s="9"/>
    </row>
    <row r="2382">
      <c r="A2382" s="11">
        <f>IFERROR(__xludf.DUMMYFUNCTION("""COMPUTED_VALUE"""),2021.0)</f>
        <v>2021</v>
      </c>
      <c r="B2382" s="11">
        <f>IFERROR(__xludf.DUMMYFUNCTION("""COMPUTED_VALUE"""),11.0)</f>
        <v>11</v>
      </c>
      <c r="C2382" s="11">
        <f>IFERROR(__xludf.DUMMYFUNCTION("""COMPUTED_VALUE"""),82381.0)</f>
        <v>82381</v>
      </c>
      <c r="D2382" s="11">
        <f>IFERROR(__xludf.DUMMYFUNCTION("""COMPUTED_VALUE"""),1289.0)</f>
        <v>1289</v>
      </c>
      <c r="E2382" s="9"/>
    </row>
    <row r="2383">
      <c r="A2383" s="11">
        <f>IFERROR(__xludf.DUMMYFUNCTION("""COMPUTED_VALUE"""),2021.0)</f>
        <v>2021</v>
      </c>
      <c r="B2383" s="11">
        <f>IFERROR(__xludf.DUMMYFUNCTION("""COMPUTED_VALUE"""),9.0)</f>
        <v>9</v>
      </c>
      <c r="C2383" s="11">
        <f>IFERROR(__xludf.DUMMYFUNCTION("""COMPUTED_VALUE"""),107232.0)</f>
        <v>107232</v>
      </c>
      <c r="D2383" s="11">
        <f>IFERROR(__xludf.DUMMYFUNCTION("""COMPUTED_VALUE"""),431.0)</f>
        <v>431</v>
      </c>
      <c r="E2383" s="9"/>
    </row>
    <row r="2384">
      <c r="A2384" s="11">
        <f>IFERROR(__xludf.DUMMYFUNCTION("""COMPUTED_VALUE"""),2021.0)</f>
        <v>2021</v>
      </c>
      <c r="B2384" s="11">
        <f>IFERROR(__xludf.DUMMYFUNCTION("""COMPUTED_VALUE"""),9.0)</f>
        <v>9</v>
      </c>
      <c r="C2384" s="11">
        <f>IFERROR(__xludf.DUMMYFUNCTION("""COMPUTED_VALUE"""),70247.0)</f>
        <v>70247</v>
      </c>
      <c r="D2384" s="11">
        <f>IFERROR(__xludf.DUMMYFUNCTION("""COMPUTED_VALUE"""),495.0)</f>
        <v>495</v>
      </c>
      <c r="E2384" s="9"/>
    </row>
    <row r="2385">
      <c r="A2385" s="11">
        <f>IFERROR(__xludf.DUMMYFUNCTION("""COMPUTED_VALUE"""),2021.0)</f>
        <v>2021</v>
      </c>
      <c r="B2385" s="11">
        <f>IFERROR(__xludf.DUMMYFUNCTION("""COMPUTED_VALUE"""),9.0)</f>
        <v>9</v>
      </c>
      <c r="C2385" s="11">
        <f>IFERROR(__xludf.DUMMYFUNCTION("""COMPUTED_VALUE"""),107253.0)</f>
        <v>107253</v>
      </c>
      <c r="D2385" s="11">
        <f>IFERROR(__xludf.DUMMYFUNCTION("""COMPUTED_VALUE"""),597.0)</f>
        <v>597</v>
      </c>
      <c r="E2385" s="9"/>
    </row>
    <row r="2386">
      <c r="A2386" s="11">
        <f>IFERROR(__xludf.DUMMYFUNCTION("""COMPUTED_VALUE"""),2021.0)</f>
        <v>2021</v>
      </c>
      <c r="B2386" s="11">
        <f>IFERROR(__xludf.DUMMYFUNCTION("""COMPUTED_VALUE"""),10.0)</f>
        <v>10</v>
      </c>
      <c r="C2386" s="11">
        <f>IFERROR(__xludf.DUMMYFUNCTION("""COMPUTED_VALUE"""),102709.0)</f>
        <v>102709</v>
      </c>
      <c r="D2386" s="11">
        <f>IFERROR(__xludf.DUMMYFUNCTION("""COMPUTED_VALUE"""),59.0)</f>
        <v>59</v>
      </c>
      <c r="E2386" s="9"/>
    </row>
    <row r="2387">
      <c r="A2387" s="11">
        <f>IFERROR(__xludf.DUMMYFUNCTION("""COMPUTED_VALUE"""),2021.0)</f>
        <v>2021</v>
      </c>
      <c r="B2387" s="11">
        <f>IFERROR(__xludf.DUMMYFUNCTION("""COMPUTED_VALUE"""),11.0)</f>
        <v>11</v>
      </c>
      <c r="C2387" s="11">
        <f>IFERROR(__xludf.DUMMYFUNCTION("""COMPUTED_VALUE"""),75050.0)</f>
        <v>75050</v>
      </c>
      <c r="D2387" s="11">
        <f>IFERROR(__xludf.DUMMYFUNCTION("""COMPUTED_VALUE"""),584.0)</f>
        <v>584</v>
      </c>
      <c r="E2387" s="9"/>
    </row>
    <row r="2388">
      <c r="A2388" s="11">
        <f>IFERROR(__xludf.DUMMYFUNCTION("""COMPUTED_VALUE"""),2021.0)</f>
        <v>2021</v>
      </c>
      <c r="B2388" s="11">
        <f>IFERROR(__xludf.DUMMYFUNCTION("""COMPUTED_VALUE"""),10.0)</f>
        <v>10</v>
      </c>
      <c r="C2388" s="11">
        <f>IFERROR(__xludf.DUMMYFUNCTION("""COMPUTED_VALUE"""),111014.0)</f>
        <v>111014</v>
      </c>
      <c r="D2388" s="11">
        <f>IFERROR(__xludf.DUMMYFUNCTION("""COMPUTED_VALUE"""),40.0)</f>
        <v>40</v>
      </c>
      <c r="E2388" s="9"/>
    </row>
    <row r="2389">
      <c r="A2389" s="11">
        <f>IFERROR(__xludf.DUMMYFUNCTION("""COMPUTED_VALUE"""),2021.0)</f>
        <v>2021</v>
      </c>
      <c r="B2389" s="11">
        <f>IFERROR(__xludf.DUMMYFUNCTION("""COMPUTED_VALUE"""),10.0)</f>
        <v>10</v>
      </c>
      <c r="C2389" s="11">
        <f>IFERROR(__xludf.DUMMYFUNCTION("""COMPUTED_VALUE"""),120282.0)</f>
        <v>120282</v>
      </c>
      <c r="D2389" s="11">
        <f>IFERROR(__xludf.DUMMYFUNCTION("""COMPUTED_VALUE"""),1635.0)</f>
        <v>1635</v>
      </c>
      <c r="E2389" s="9"/>
    </row>
    <row r="2390">
      <c r="A2390" s="11">
        <f>IFERROR(__xludf.DUMMYFUNCTION("""COMPUTED_VALUE"""),2021.0)</f>
        <v>2021</v>
      </c>
      <c r="B2390" s="11">
        <f>IFERROR(__xludf.DUMMYFUNCTION("""COMPUTED_VALUE"""),9.0)</f>
        <v>9</v>
      </c>
      <c r="C2390" s="11">
        <f>IFERROR(__xludf.DUMMYFUNCTION("""COMPUTED_VALUE"""),84512.0)</f>
        <v>84512</v>
      </c>
      <c r="D2390" s="11">
        <f>IFERROR(__xludf.DUMMYFUNCTION("""COMPUTED_VALUE"""),1511.0)</f>
        <v>1511</v>
      </c>
      <c r="E2390" s="9"/>
    </row>
    <row r="2391">
      <c r="A2391" s="11">
        <f>IFERROR(__xludf.DUMMYFUNCTION("""COMPUTED_VALUE"""),2021.0)</f>
        <v>2021</v>
      </c>
      <c r="B2391" s="11">
        <f>IFERROR(__xludf.DUMMYFUNCTION("""COMPUTED_VALUE"""),11.0)</f>
        <v>11</v>
      </c>
      <c r="C2391" s="11">
        <f>IFERROR(__xludf.DUMMYFUNCTION("""COMPUTED_VALUE"""),77197.0)</f>
        <v>77197</v>
      </c>
      <c r="D2391" s="11">
        <f>IFERROR(__xludf.DUMMYFUNCTION("""COMPUTED_VALUE"""),232.0)</f>
        <v>232</v>
      </c>
      <c r="E2391" s="9"/>
    </row>
    <row r="2392">
      <c r="A2392" s="11">
        <f>IFERROR(__xludf.DUMMYFUNCTION("""COMPUTED_VALUE"""),2021.0)</f>
        <v>2021</v>
      </c>
      <c r="B2392" s="11">
        <f>IFERROR(__xludf.DUMMYFUNCTION("""COMPUTED_VALUE"""),10.0)</f>
        <v>10</v>
      </c>
      <c r="C2392" s="11">
        <f>IFERROR(__xludf.DUMMYFUNCTION("""COMPUTED_VALUE"""),29650.0)</f>
        <v>29650</v>
      </c>
      <c r="D2392" s="11">
        <f>IFERROR(__xludf.DUMMYFUNCTION("""COMPUTED_VALUE"""),1596.0)</f>
        <v>1596</v>
      </c>
      <c r="E2392" s="9"/>
    </row>
    <row r="2393">
      <c r="A2393" s="11">
        <f>IFERROR(__xludf.DUMMYFUNCTION("""COMPUTED_VALUE"""),2021.0)</f>
        <v>2021</v>
      </c>
      <c r="B2393" s="11">
        <f>IFERROR(__xludf.DUMMYFUNCTION("""COMPUTED_VALUE"""),8.0)</f>
        <v>8</v>
      </c>
      <c r="C2393" s="11">
        <f>IFERROR(__xludf.DUMMYFUNCTION("""COMPUTED_VALUE"""),4162.0)</f>
        <v>4162</v>
      </c>
      <c r="D2393" s="11">
        <f>IFERROR(__xludf.DUMMYFUNCTION("""COMPUTED_VALUE"""),502.0)</f>
        <v>502</v>
      </c>
      <c r="E2393" s="9"/>
    </row>
    <row r="2394">
      <c r="A2394" s="11">
        <f>IFERROR(__xludf.DUMMYFUNCTION("""COMPUTED_VALUE"""),2021.0)</f>
        <v>2021</v>
      </c>
      <c r="B2394" s="11">
        <f>IFERROR(__xludf.DUMMYFUNCTION("""COMPUTED_VALUE"""),10.0)</f>
        <v>10</v>
      </c>
      <c r="C2394" s="11">
        <f>IFERROR(__xludf.DUMMYFUNCTION("""COMPUTED_VALUE"""),88214.0)</f>
        <v>88214</v>
      </c>
      <c r="D2394" s="11">
        <f>IFERROR(__xludf.DUMMYFUNCTION("""COMPUTED_VALUE"""),1528.0)</f>
        <v>1528</v>
      </c>
      <c r="E2394" s="9"/>
    </row>
    <row r="2395">
      <c r="A2395" s="11">
        <f>IFERROR(__xludf.DUMMYFUNCTION("""COMPUTED_VALUE"""),2021.0)</f>
        <v>2021</v>
      </c>
      <c r="B2395" s="11">
        <f>IFERROR(__xludf.DUMMYFUNCTION("""COMPUTED_VALUE"""),10.0)</f>
        <v>10</v>
      </c>
      <c r="C2395" s="11">
        <f>IFERROR(__xludf.DUMMYFUNCTION("""COMPUTED_VALUE"""),73254.0)</f>
        <v>73254</v>
      </c>
      <c r="D2395" s="11">
        <f>IFERROR(__xludf.DUMMYFUNCTION("""COMPUTED_VALUE"""),1078.0)</f>
        <v>1078</v>
      </c>
      <c r="E2395" s="9"/>
    </row>
    <row r="2396">
      <c r="A2396" s="11">
        <f>IFERROR(__xludf.DUMMYFUNCTION("""COMPUTED_VALUE"""),2021.0)</f>
        <v>2021</v>
      </c>
      <c r="B2396" s="11">
        <f>IFERROR(__xludf.DUMMYFUNCTION("""COMPUTED_VALUE"""),11.0)</f>
        <v>11</v>
      </c>
      <c r="C2396" s="11">
        <f>IFERROR(__xludf.DUMMYFUNCTION("""COMPUTED_VALUE"""),108204.0)</f>
        <v>108204</v>
      </c>
      <c r="D2396" s="11">
        <f>IFERROR(__xludf.DUMMYFUNCTION("""COMPUTED_VALUE"""),1328.0)</f>
        <v>1328</v>
      </c>
      <c r="E2396" s="9"/>
    </row>
    <row r="2397">
      <c r="A2397" s="11">
        <f>IFERROR(__xludf.DUMMYFUNCTION("""COMPUTED_VALUE"""),2021.0)</f>
        <v>2021</v>
      </c>
      <c r="B2397" s="11">
        <f>IFERROR(__xludf.DUMMYFUNCTION("""COMPUTED_VALUE"""),10.0)</f>
        <v>10</v>
      </c>
      <c r="C2397" s="11">
        <f>IFERROR(__xludf.DUMMYFUNCTION("""COMPUTED_VALUE"""),9676.0)</f>
        <v>9676</v>
      </c>
      <c r="D2397" s="11">
        <f>IFERROR(__xludf.DUMMYFUNCTION("""COMPUTED_VALUE"""),997.0)</f>
        <v>997</v>
      </c>
      <c r="E2397" s="9"/>
    </row>
    <row r="2398">
      <c r="A2398" s="11">
        <f>IFERROR(__xludf.DUMMYFUNCTION("""COMPUTED_VALUE"""),2021.0)</f>
        <v>2021</v>
      </c>
      <c r="B2398" s="11">
        <f>IFERROR(__xludf.DUMMYFUNCTION("""COMPUTED_VALUE"""),10.0)</f>
        <v>10</v>
      </c>
      <c r="C2398" s="11">
        <f>IFERROR(__xludf.DUMMYFUNCTION("""COMPUTED_VALUE"""),44412.0)</f>
        <v>44412</v>
      </c>
      <c r="D2398" s="11">
        <f>IFERROR(__xludf.DUMMYFUNCTION("""COMPUTED_VALUE"""),715.0)</f>
        <v>715</v>
      </c>
      <c r="E2398" s="9"/>
    </row>
    <row r="2399">
      <c r="A2399" s="11">
        <f>IFERROR(__xludf.DUMMYFUNCTION("""COMPUTED_VALUE"""),2021.0)</f>
        <v>2021</v>
      </c>
      <c r="B2399" s="11">
        <f>IFERROR(__xludf.DUMMYFUNCTION("""COMPUTED_VALUE"""),8.0)</f>
        <v>8</v>
      </c>
      <c r="C2399" s="11">
        <f>IFERROR(__xludf.DUMMYFUNCTION("""COMPUTED_VALUE"""),73253.0)</f>
        <v>73253</v>
      </c>
      <c r="D2399" s="11">
        <f>IFERROR(__xludf.DUMMYFUNCTION("""COMPUTED_VALUE"""),1427.0)</f>
        <v>1427</v>
      </c>
      <c r="E2399" s="9"/>
    </row>
    <row r="2400">
      <c r="A2400" s="11">
        <f>IFERROR(__xludf.DUMMYFUNCTION("""COMPUTED_VALUE"""),2021.0)</f>
        <v>2021</v>
      </c>
      <c r="B2400" s="11">
        <f>IFERROR(__xludf.DUMMYFUNCTION("""COMPUTED_VALUE"""),9.0)</f>
        <v>9</v>
      </c>
      <c r="C2400" s="11">
        <f>IFERROR(__xludf.DUMMYFUNCTION("""COMPUTED_VALUE"""),122516.0)</f>
        <v>122516</v>
      </c>
      <c r="D2400" s="11">
        <f>IFERROR(__xludf.DUMMYFUNCTION("""COMPUTED_VALUE"""),1523.0)</f>
        <v>1523</v>
      </c>
      <c r="E2400" s="9"/>
    </row>
    <row r="2401">
      <c r="A2401" s="11">
        <f>IFERROR(__xludf.DUMMYFUNCTION("""COMPUTED_VALUE"""),2021.0)</f>
        <v>2021</v>
      </c>
      <c r="B2401" s="11">
        <f>IFERROR(__xludf.DUMMYFUNCTION("""COMPUTED_VALUE"""),9.0)</f>
        <v>9</v>
      </c>
      <c r="C2401" s="11">
        <f>IFERROR(__xludf.DUMMYFUNCTION("""COMPUTED_VALUE"""),70314.0)</f>
        <v>70314</v>
      </c>
      <c r="D2401" s="11">
        <f>IFERROR(__xludf.DUMMYFUNCTION("""COMPUTED_VALUE"""),1347.0)</f>
        <v>1347</v>
      </c>
      <c r="E2401" s="9"/>
    </row>
    <row r="2402">
      <c r="A2402" s="11">
        <f>IFERROR(__xludf.DUMMYFUNCTION("""COMPUTED_VALUE"""),2021.0)</f>
        <v>2021</v>
      </c>
      <c r="B2402" s="11">
        <f>IFERROR(__xludf.DUMMYFUNCTION("""COMPUTED_VALUE"""),9.0)</f>
        <v>9</v>
      </c>
      <c r="C2402" s="11">
        <f>IFERROR(__xludf.DUMMYFUNCTION("""COMPUTED_VALUE"""),17644.0)</f>
        <v>17644</v>
      </c>
      <c r="D2402" s="11">
        <f>IFERROR(__xludf.DUMMYFUNCTION("""COMPUTED_VALUE"""),1215.0)</f>
        <v>1215</v>
      </c>
      <c r="E2402" s="9"/>
    </row>
    <row r="2403">
      <c r="A2403" s="11">
        <f>IFERROR(__xludf.DUMMYFUNCTION("""COMPUTED_VALUE"""),2021.0)</f>
        <v>2021</v>
      </c>
      <c r="B2403" s="11">
        <f>IFERROR(__xludf.DUMMYFUNCTION("""COMPUTED_VALUE"""),11.0)</f>
        <v>11</v>
      </c>
      <c r="C2403" s="11">
        <f>IFERROR(__xludf.DUMMYFUNCTION("""COMPUTED_VALUE"""),118996.0)</f>
        <v>118996</v>
      </c>
      <c r="D2403" s="11">
        <f>IFERROR(__xludf.DUMMYFUNCTION("""COMPUTED_VALUE"""),1043.0)</f>
        <v>1043</v>
      </c>
      <c r="E2403" s="9"/>
    </row>
    <row r="2404">
      <c r="A2404" s="11">
        <f>IFERROR(__xludf.DUMMYFUNCTION("""COMPUTED_VALUE"""),2021.0)</f>
        <v>2021</v>
      </c>
      <c r="B2404" s="11">
        <f>IFERROR(__xludf.DUMMYFUNCTION("""COMPUTED_VALUE"""),8.0)</f>
        <v>8</v>
      </c>
      <c r="C2404" s="11">
        <f>IFERROR(__xludf.DUMMYFUNCTION("""COMPUTED_VALUE"""),79199.0)</f>
        <v>79199</v>
      </c>
      <c r="D2404" s="11">
        <f>IFERROR(__xludf.DUMMYFUNCTION("""COMPUTED_VALUE"""),1954.0)</f>
        <v>1954</v>
      </c>
      <c r="E2404" s="9"/>
    </row>
    <row r="2405">
      <c r="A2405" s="11">
        <f>IFERROR(__xludf.DUMMYFUNCTION("""COMPUTED_VALUE"""),2021.0)</f>
        <v>2021</v>
      </c>
      <c r="B2405" s="11">
        <f>IFERROR(__xludf.DUMMYFUNCTION("""COMPUTED_VALUE"""),8.0)</f>
        <v>8</v>
      </c>
      <c r="C2405" s="11">
        <f>IFERROR(__xludf.DUMMYFUNCTION("""COMPUTED_VALUE"""),128316.0)</f>
        <v>128316</v>
      </c>
      <c r="D2405" s="11">
        <f>IFERROR(__xludf.DUMMYFUNCTION("""COMPUTED_VALUE"""),1551.0)</f>
        <v>1551</v>
      </c>
      <c r="E2405" s="9"/>
    </row>
    <row r="2406">
      <c r="A2406" s="11">
        <f>IFERROR(__xludf.DUMMYFUNCTION("""COMPUTED_VALUE"""),2021.0)</f>
        <v>2021</v>
      </c>
      <c r="B2406" s="11">
        <f>IFERROR(__xludf.DUMMYFUNCTION("""COMPUTED_VALUE"""),8.0)</f>
        <v>8</v>
      </c>
      <c r="C2406" s="11">
        <f>IFERROR(__xludf.DUMMYFUNCTION("""COMPUTED_VALUE"""),7933.0)</f>
        <v>7933</v>
      </c>
      <c r="D2406" s="11">
        <f>IFERROR(__xludf.DUMMYFUNCTION("""COMPUTED_VALUE"""),1028.0)</f>
        <v>1028</v>
      </c>
      <c r="E2406" s="9"/>
    </row>
    <row r="2407">
      <c r="A2407" s="11">
        <f>IFERROR(__xludf.DUMMYFUNCTION("""COMPUTED_VALUE"""),2021.0)</f>
        <v>2021</v>
      </c>
      <c r="B2407" s="11">
        <f>IFERROR(__xludf.DUMMYFUNCTION("""COMPUTED_VALUE"""),9.0)</f>
        <v>9</v>
      </c>
      <c r="C2407" s="11">
        <f>IFERROR(__xludf.DUMMYFUNCTION("""COMPUTED_VALUE"""),85944.0)</f>
        <v>85944</v>
      </c>
      <c r="D2407" s="11">
        <f>IFERROR(__xludf.DUMMYFUNCTION("""COMPUTED_VALUE"""),1448.0)</f>
        <v>1448</v>
      </c>
      <c r="E2407" s="9"/>
    </row>
    <row r="2408">
      <c r="A2408" s="11">
        <f>IFERROR(__xludf.DUMMYFUNCTION("""COMPUTED_VALUE"""),2021.0)</f>
        <v>2021</v>
      </c>
      <c r="B2408" s="11">
        <f>IFERROR(__xludf.DUMMYFUNCTION("""COMPUTED_VALUE"""),9.0)</f>
        <v>9</v>
      </c>
      <c r="C2408" s="11">
        <f>IFERROR(__xludf.DUMMYFUNCTION("""COMPUTED_VALUE"""),76665.0)</f>
        <v>76665</v>
      </c>
      <c r="D2408" s="11">
        <f>IFERROR(__xludf.DUMMYFUNCTION("""COMPUTED_VALUE"""),1325.0)</f>
        <v>1325</v>
      </c>
      <c r="E2408" s="9"/>
    </row>
    <row r="2409">
      <c r="A2409" s="11">
        <f>IFERROR(__xludf.DUMMYFUNCTION("""COMPUTED_VALUE"""),2021.0)</f>
        <v>2021</v>
      </c>
      <c r="B2409" s="11">
        <f>IFERROR(__xludf.DUMMYFUNCTION("""COMPUTED_VALUE"""),11.0)</f>
        <v>11</v>
      </c>
      <c r="C2409" s="11">
        <f>IFERROR(__xludf.DUMMYFUNCTION("""COMPUTED_VALUE"""),102286.0)</f>
        <v>102286</v>
      </c>
      <c r="D2409" s="11">
        <f>IFERROR(__xludf.DUMMYFUNCTION("""COMPUTED_VALUE"""),860.0)</f>
        <v>860</v>
      </c>
      <c r="E2409" s="9"/>
    </row>
    <row r="2410">
      <c r="A2410" s="11">
        <f>IFERROR(__xludf.DUMMYFUNCTION("""COMPUTED_VALUE"""),2021.0)</f>
        <v>2021</v>
      </c>
      <c r="B2410" s="11">
        <f>IFERROR(__xludf.DUMMYFUNCTION("""COMPUTED_VALUE"""),9.0)</f>
        <v>9</v>
      </c>
      <c r="C2410" s="11">
        <f>IFERROR(__xludf.DUMMYFUNCTION("""COMPUTED_VALUE"""),77199.0)</f>
        <v>77199</v>
      </c>
      <c r="D2410" s="11">
        <f>IFERROR(__xludf.DUMMYFUNCTION("""COMPUTED_VALUE"""),212.0)</f>
        <v>212</v>
      </c>
      <c r="E2410" s="9"/>
    </row>
    <row r="2411">
      <c r="A2411" s="11">
        <f>IFERROR(__xludf.DUMMYFUNCTION("""COMPUTED_VALUE"""),2021.0)</f>
        <v>2021</v>
      </c>
      <c r="B2411" s="11">
        <f>IFERROR(__xludf.DUMMYFUNCTION("""COMPUTED_VALUE"""),9.0)</f>
        <v>9</v>
      </c>
      <c r="C2411" s="11">
        <f>IFERROR(__xludf.DUMMYFUNCTION("""COMPUTED_VALUE"""),11722.0)</f>
        <v>11722</v>
      </c>
      <c r="D2411" s="11">
        <f>IFERROR(__xludf.DUMMYFUNCTION("""COMPUTED_VALUE"""),1572.0)</f>
        <v>1572</v>
      </c>
      <c r="E2411" s="9"/>
    </row>
    <row r="2412">
      <c r="A2412" s="11">
        <f>IFERROR(__xludf.DUMMYFUNCTION("""COMPUTED_VALUE"""),2021.0)</f>
        <v>2021</v>
      </c>
      <c r="B2412" s="11">
        <f>IFERROR(__xludf.DUMMYFUNCTION("""COMPUTED_VALUE"""),8.0)</f>
        <v>8</v>
      </c>
      <c r="C2412" s="11">
        <f>IFERROR(__xludf.DUMMYFUNCTION("""COMPUTED_VALUE"""),97949.0)</f>
        <v>97949</v>
      </c>
      <c r="D2412" s="11">
        <f>IFERROR(__xludf.DUMMYFUNCTION("""COMPUTED_VALUE"""),252.0)</f>
        <v>252</v>
      </c>
      <c r="E2412" s="9"/>
    </row>
    <row r="2413">
      <c r="A2413" s="11">
        <f>IFERROR(__xludf.DUMMYFUNCTION("""COMPUTED_VALUE"""),2021.0)</f>
        <v>2021</v>
      </c>
      <c r="B2413" s="11">
        <f>IFERROR(__xludf.DUMMYFUNCTION("""COMPUTED_VALUE"""),11.0)</f>
        <v>11</v>
      </c>
      <c r="C2413" s="11">
        <f>IFERROR(__xludf.DUMMYFUNCTION("""COMPUTED_VALUE"""),9701.0)</f>
        <v>9701</v>
      </c>
      <c r="D2413" s="11">
        <f>IFERROR(__xludf.DUMMYFUNCTION("""COMPUTED_VALUE"""),1600.0)</f>
        <v>1600</v>
      </c>
      <c r="E2413" s="9"/>
    </row>
    <row r="2414">
      <c r="A2414" s="11">
        <f>IFERROR(__xludf.DUMMYFUNCTION("""COMPUTED_VALUE"""),2021.0)</f>
        <v>2021</v>
      </c>
      <c r="B2414" s="11">
        <f>IFERROR(__xludf.DUMMYFUNCTION("""COMPUTED_VALUE"""),9.0)</f>
        <v>9</v>
      </c>
      <c r="C2414" s="11">
        <f>IFERROR(__xludf.DUMMYFUNCTION("""COMPUTED_VALUE"""),117615.0)</f>
        <v>117615</v>
      </c>
      <c r="D2414" s="11">
        <f>IFERROR(__xludf.DUMMYFUNCTION("""COMPUTED_VALUE"""),67.0)</f>
        <v>67</v>
      </c>
      <c r="E2414" s="9"/>
    </row>
    <row r="2415">
      <c r="A2415" s="11">
        <f>IFERROR(__xludf.DUMMYFUNCTION("""COMPUTED_VALUE"""),2021.0)</f>
        <v>2021</v>
      </c>
      <c r="B2415" s="11">
        <f>IFERROR(__xludf.DUMMYFUNCTION("""COMPUTED_VALUE"""),10.0)</f>
        <v>10</v>
      </c>
      <c r="C2415" s="11">
        <f>IFERROR(__xludf.DUMMYFUNCTION("""COMPUTED_VALUE"""),10076.0)</f>
        <v>10076</v>
      </c>
      <c r="D2415" s="11">
        <f>IFERROR(__xludf.DUMMYFUNCTION("""COMPUTED_VALUE"""),652.0)</f>
        <v>652</v>
      </c>
      <c r="E2415" s="9"/>
    </row>
    <row r="2416">
      <c r="A2416" s="11">
        <f>IFERROR(__xludf.DUMMYFUNCTION("""COMPUTED_VALUE"""),2021.0)</f>
        <v>2021</v>
      </c>
      <c r="B2416" s="11">
        <f>IFERROR(__xludf.DUMMYFUNCTION("""COMPUTED_VALUE"""),8.0)</f>
        <v>8</v>
      </c>
      <c r="C2416" s="11">
        <f>IFERROR(__xludf.DUMMYFUNCTION("""COMPUTED_VALUE"""),106572.0)</f>
        <v>106572</v>
      </c>
      <c r="D2416" s="11">
        <f>IFERROR(__xludf.DUMMYFUNCTION("""COMPUTED_VALUE"""),147.0)</f>
        <v>147</v>
      </c>
      <c r="E2416" s="9"/>
    </row>
    <row r="2417">
      <c r="A2417" s="11">
        <f>IFERROR(__xludf.DUMMYFUNCTION("""COMPUTED_VALUE"""),2021.0)</f>
        <v>2021</v>
      </c>
      <c r="B2417" s="11">
        <f>IFERROR(__xludf.DUMMYFUNCTION("""COMPUTED_VALUE"""),9.0)</f>
        <v>9</v>
      </c>
      <c r="C2417" s="11">
        <f>IFERROR(__xludf.DUMMYFUNCTION("""COMPUTED_VALUE"""),10081.0)</f>
        <v>10081</v>
      </c>
      <c r="D2417" s="11">
        <f>IFERROR(__xludf.DUMMYFUNCTION("""COMPUTED_VALUE"""),1659.0)</f>
        <v>1659</v>
      </c>
      <c r="E2417" s="9"/>
    </row>
    <row r="2418">
      <c r="A2418" s="11">
        <f>IFERROR(__xludf.DUMMYFUNCTION("""COMPUTED_VALUE"""),2021.0)</f>
        <v>2021</v>
      </c>
      <c r="B2418" s="11">
        <f>IFERROR(__xludf.DUMMYFUNCTION("""COMPUTED_VALUE"""),9.0)</f>
        <v>9</v>
      </c>
      <c r="C2418" s="11">
        <f>IFERROR(__xludf.DUMMYFUNCTION("""COMPUTED_VALUE"""),46424.0)</f>
        <v>46424</v>
      </c>
      <c r="D2418" s="11">
        <f>IFERROR(__xludf.DUMMYFUNCTION("""COMPUTED_VALUE"""),356.0)</f>
        <v>356</v>
      </c>
      <c r="E2418" s="9"/>
    </row>
    <row r="2419">
      <c r="A2419" s="11">
        <f>IFERROR(__xludf.DUMMYFUNCTION("""COMPUTED_VALUE"""),2021.0)</f>
        <v>2021</v>
      </c>
      <c r="B2419" s="11">
        <f>IFERROR(__xludf.DUMMYFUNCTION("""COMPUTED_VALUE"""),11.0)</f>
        <v>11</v>
      </c>
      <c r="C2419" s="11">
        <f>IFERROR(__xludf.DUMMYFUNCTION("""COMPUTED_VALUE"""),118931.0)</f>
        <v>118931</v>
      </c>
      <c r="D2419" s="11">
        <f>IFERROR(__xludf.DUMMYFUNCTION("""COMPUTED_VALUE"""),1708.0)</f>
        <v>1708</v>
      </c>
      <c r="E2419" s="9"/>
    </row>
    <row r="2420">
      <c r="A2420" s="11">
        <f>IFERROR(__xludf.DUMMYFUNCTION("""COMPUTED_VALUE"""),2021.0)</f>
        <v>2021</v>
      </c>
      <c r="B2420" s="11">
        <f>IFERROR(__xludf.DUMMYFUNCTION("""COMPUTED_VALUE"""),9.0)</f>
        <v>9</v>
      </c>
      <c r="C2420" s="11">
        <f>IFERROR(__xludf.DUMMYFUNCTION("""COMPUTED_VALUE"""),10078.0)</f>
        <v>10078</v>
      </c>
      <c r="D2420" s="11">
        <f>IFERROR(__xludf.DUMMYFUNCTION("""COMPUTED_VALUE"""),569.0)</f>
        <v>569</v>
      </c>
      <c r="E2420" s="9"/>
    </row>
    <row r="2421">
      <c r="A2421" s="11">
        <f>IFERROR(__xludf.DUMMYFUNCTION("""COMPUTED_VALUE"""),2021.0)</f>
        <v>2021</v>
      </c>
      <c r="B2421" s="11">
        <f>IFERROR(__xludf.DUMMYFUNCTION("""COMPUTED_VALUE"""),10.0)</f>
        <v>10</v>
      </c>
      <c r="C2421" s="11">
        <f>IFERROR(__xludf.DUMMYFUNCTION("""COMPUTED_VALUE"""),75824.0)</f>
        <v>75824</v>
      </c>
      <c r="D2421" s="11">
        <f>IFERROR(__xludf.DUMMYFUNCTION("""COMPUTED_VALUE"""),240.0)</f>
        <v>240</v>
      </c>
      <c r="E2421" s="9"/>
    </row>
    <row r="2422">
      <c r="A2422" s="11">
        <f>IFERROR(__xludf.DUMMYFUNCTION("""COMPUTED_VALUE"""),2021.0)</f>
        <v>2021</v>
      </c>
      <c r="B2422" s="11">
        <f>IFERROR(__xludf.DUMMYFUNCTION("""COMPUTED_VALUE"""),11.0)</f>
        <v>11</v>
      </c>
      <c r="C2422" s="11">
        <f>IFERROR(__xludf.DUMMYFUNCTION("""COMPUTED_VALUE"""),80433.0)</f>
        <v>80433</v>
      </c>
      <c r="D2422" s="11">
        <f>IFERROR(__xludf.DUMMYFUNCTION("""COMPUTED_VALUE"""),299.0)</f>
        <v>299</v>
      </c>
      <c r="E2422" s="9"/>
    </row>
    <row r="2423">
      <c r="A2423" s="11">
        <f>IFERROR(__xludf.DUMMYFUNCTION("""COMPUTED_VALUE"""),2021.0)</f>
        <v>2021</v>
      </c>
      <c r="B2423" s="11">
        <f>IFERROR(__xludf.DUMMYFUNCTION("""COMPUTED_VALUE"""),8.0)</f>
        <v>8</v>
      </c>
      <c r="C2423" s="11">
        <f>IFERROR(__xludf.DUMMYFUNCTION("""COMPUTED_VALUE"""),106566.0)</f>
        <v>106566</v>
      </c>
      <c r="D2423" s="11">
        <f>IFERROR(__xludf.DUMMYFUNCTION("""COMPUTED_VALUE"""),907.0)</f>
        <v>907</v>
      </c>
      <c r="E2423" s="9"/>
    </row>
    <row r="2424">
      <c r="A2424" s="11">
        <f>IFERROR(__xludf.DUMMYFUNCTION("""COMPUTED_VALUE"""),2021.0)</f>
        <v>2021</v>
      </c>
      <c r="B2424" s="11">
        <f>IFERROR(__xludf.DUMMYFUNCTION("""COMPUTED_VALUE"""),8.0)</f>
        <v>8</v>
      </c>
      <c r="C2424" s="11">
        <f>IFERROR(__xludf.DUMMYFUNCTION("""COMPUTED_VALUE"""),9702.0)</f>
        <v>9702</v>
      </c>
      <c r="D2424" s="11">
        <f>IFERROR(__xludf.DUMMYFUNCTION("""COMPUTED_VALUE"""),1102.0)</f>
        <v>1102</v>
      </c>
      <c r="E2424" s="9"/>
    </row>
    <row r="2425">
      <c r="A2425" s="11">
        <f>IFERROR(__xludf.DUMMYFUNCTION("""COMPUTED_VALUE"""),2021.0)</f>
        <v>2021</v>
      </c>
      <c r="B2425" s="11">
        <f>IFERROR(__xludf.DUMMYFUNCTION("""COMPUTED_VALUE"""),10.0)</f>
        <v>10</v>
      </c>
      <c r="C2425" s="11">
        <f>IFERROR(__xludf.DUMMYFUNCTION("""COMPUTED_VALUE"""),122445.0)</f>
        <v>122445</v>
      </c>
      <c r="D2425" s="11">
        <f>IFERROR(__xludf.DUMMYFUNCTION("""COMPUTED_VALUE"""),1363.0)</f>
        <v>1363</v>
      </c>
      <c r="E2425" s="9"/>
    </row>
    <row r="2426">
      <c r="A2426" s="11">
        <f>IFERROR(__xludf.DUMMYFUNCTION("""COMPUTED_VALUE"""),2021.0)</f>
        <v>2021</v>
      </c>
      <c r="B2426" s="11">
        <f>IFERROR(__xludf.DUMMYFUNCTION("""COMPUTED_VALUE"""),10.0)</f>
        <v>10</v>
      </c>
      <c r="C2426" s="11">
        <f>IFERROR(__xludf.DUMMYFUNCTION("""COMPUTED_VALUE"""),77178.0)</f>
        <v>77178</v>
      </c>
      <c r="D2426" s="11">
        <f>IFERROR(__xludf.DUMMYFUNCTION("""COMPUTED_VALUE"""),278.0)</f>
        <v>278</v>
      </c>
      <c r="E2426" s="9"/>
    </row>
    <row r="2427">
      <c r="A2427" s="11">
        <f>IFERROR(__xludf.DUMMYFUNCTION("""COMPUTED_VALUE"""),2021.0)</f>
        <v>2021</v>
      </c>
      <c r="B2427" s="11">
        <f>IFERROR(__xludf.DUMMYFUNCTION("""COMPUTED_VALUE"""),8.0)</f>
        <v>8</v>
      </c>
      <c r="C2427" s="11">
        <f>IFERROR(__xludf.DUMMYFUNCTION("""COMPUTED_VALUE"""),10075.0)</f>
        <v>10075</v>
      </c>
      <c r="D2427" s="11">
        <f>IFERROR(__xludf.DUMMYFUNCTION("""COMPUTED_VALUE"""),1756.0)</f>
        <v>1756</v>
      </c>
      <c r="E2427" s="9"/>
    </row>
    <row r="2428">
      <c r="A2428" s="11">
        <f>IFERROR(__xludf.DUMMYFUNCTION("""COMPUTED_VALUE"""),2021.0)</f>
        <v>2021</v>
      </c>
      <c r="B2428" s="11">
        <f>IFERROR(__xludf.DUMMYFUNCTION("""COMPUTED_VALUE"""),11.0)</f>
        <v>11</v>
      </c>
      <c r="C2428" s="11">
        <f>IFERROR(__xludf.DUMMYFUNCTION("""COMPUTED_VALUE"""),10079.0)</f>
        <v>10079</v>
      </c>
      <c r="D2428" s="11">
        <f>IFERROR(__xludf.DUMMYFUNCTION("""COMPUTED_VALUE"""),1038.0)</f>
        <v>1038</v>
      </c>
      <c r="E2428" s="9"/>
    </row>
    <row r="2429">
      <c r="A2429" s="11">
        <f>IFERROR(__xludf.DUMMYFUNCTION("""COMPUTED_VALUE"""),2021.0)</f>
        <v>2021</v>
      </c>
      <c r="B2429" s="11">
        <f>IFERROR(__xludf.DUMMYFUNCTION("""COMPUTED_VALUE"""),10.0)</f>
        <v>10</v>
      </c>
      <c r="C2429" s="11">
        <f>IFERROR(__xludf.DUMMYFUNCTION("""COMPUTED_VALUE"""),111469.0)</f>
        <v>111469</v>
      </c>
      <c r="D2429" s="11">
        <f>IFERROR(__xludf.DUMMYFUNCTION("""COMPUTED_VALUE"""),356.0)</f>
        <v>356</v>
      </c>
      <c r="E2429" s="9"/>
    </row>
    <row r="2430">
      <c r="A2430" s="11">
        <f>IFERROR(__xludf.DUMMYFUNCTION("""COMPUTED_VALUE"""),2021.0)</f>
        <v>2021</v>
      </c>
      <c r="B2430" s="11">
        <f>IFERROR(__xludf.DUMMYFUNCTION("""COMPUTED_VALUE"""),11.0)</f>
        <v>11</v>
      </c>
      <c r="C2430" s="11">
        <f>IFERROR(__xludf.DUMMYFUNCTION("""COMPUTED_VALUE"""),166324.0)</f>
        <v>166324</v>
      </c>
      <c r="D2430" s="11">
        <f>IFERROR(__xludf.DUMMYFUNCTION("""COMPUTED_VALUE"""),554.0)</f>
        <v>554</v>
      </c>
      <c r="E2430" s="9"/>
    </row>
    <row r="2431">
      <c r="A2431" s="11">
        <f>IFERROR(__xludf.DUMMYFUNCTION("""COMPUTED_VALUE"""),2021.0)</f>
        <v>2021</v>
      </c>
      <c r="B2431" s="11">
        <f>IFERROR(__xludf.DUMMYFUNCTION("""COMPUTED_VALUE"""),10.0)</f>
        <v>10</v>
      </c>
      <c r="C2431" s="11">
        <f>IFERROR(__xludf.DUMMYFUNCTION("""COMPUTED_VALUE"""),7829.0)</f>
        <v>7829</v>
      </c>
      <c r="D2431" s="11">
        <f>IFERROR(__xludf.DUMMYFUNCTION("""COMPUTED_VALUE"""),361.0)</f>
        <v>361</v>
      </c>
      <c r="E2431" s="9"/>
    </row>
    <row r="2432">
      <c r="A2432" s="11">
        <f>IFERROR(__xludf.DUMMYFUNCTION("""COMPUTED_VALUE"""),2021.0)</f>
        <v>2021</v>
      </c>
      <c r="B2432" s="11">
        <f>IFERROR(__xludf.DUMMYFUNCTION("""COMPUTED_VALUE"""),8.0)</f>
        <v>8</v>
      </c>
      <c r="C2432" s="11">
        <f>IFERROR(__xludf.DUMMYFUNCTION("""COMPUTED_VALUE"""),105507.0)</f>
        <v>105507</v>
      </c>
      <c r="D2432" s="11">
        <f>IFERROR(__xludf.DUMMYFUNCTION("""COMPUTED_VALUE"""),180.0)</f>
        <v>180</v>
      </c>
      <c r="E2432" s="9"/>
    </row>
    <row r="2433">
      <c r="A2433" s="11">
        <f>IFERROR(__xludf.DUMMYFUNCTION("""COMPUTED_VALUE"""),2021.0)</f>
        <v>2021</v>
      </c>
      <c r="B2433" s="11">
        <f>IFERROR(__xludf.DUMMYFUNCTION("""COMPUTED_VALUE"""),8.0)</f>
        <v>8</v>
      </c>
      <c r="C2433" s="11">
        <f>IFERROR(__xludf.DUMMYFUNCTION("""COMPUTED_VALUE"""),12834.0)</f>
        <v>12834</v>
      </c>
      <c r="D2433" s="11">
        <f>IFERROR(__xludf.DUMMYFUNCTION("""COMPUTED_VALUE"""),5.0)</f>
        <v>5</v>
      </c>
      <c r="E2433" s="9"/>
    </row>
    <row r="2434">
      <c r="A2434" s="11">
        <f>IFERROR(__xludf.DUMMYFUNCTION("""COMPUTED_VALUE"""),2021.0)</f>
        <v>2021</v>
      </c>
      <c r="B2434" s="11">
        <f>IFERROR(__xludf.DUMMYFUNCTION("""COMPUTED_VALUE"""),9.0)</f>
        <v>9</v>
      </c>
      <c r="C2434" s="11">
        <f>IFERROR(__xludf.DUMMYFUNCTION("""COMPUTED_VALUE"""),27984.0)</f>
        <v>27984</v>
      </c>
      <c r="D2434" s="11">
        <f>IFERROR(__xludf.DUMMYFUNCTION("""COMPUTED_VALUE"""),775.0)</f>
        <v>775</v>
      </c>
      <c r="E2434" s="9"/>
    </row>
    <row r="2435">
      <c r="A2435" s="11">
        <f>IFERROR(__xludf.DUMMYFUNCTION("""COMPUTED_VALUE"""),2021.0)</f>
        <v>2021</v>
      </c>
      <c r="B2435" s="11">
        <f>IFERROR(__xludf.DUMMYFUNCTION("""COMPUTED_VALUE"""),11.0)</f>
        <v>11</v>
      </c>
      <c r="C2435" s="11">
        <f>IFERROR(__xludf.DUMMYFUNCTION("""COMPUTED_VALUE"""),29444.0)</f>
        <v>29444</v>
      </c>
      <c r="D2435" s="11">
        <f>IFERROR(__xludf.DUMMYFUNCTION("""COMPUTED_VALUE"""),72.0)</f>
        <v>72</v>
      </c>
      <c r="E2435" s="9"/>
    </row>
    <row r="2436">
      <c r="A2436" s="11">
        <f>IFERROR(__xludf.DUMMYFUNCTION("""COMPUTED_VALUE"""),2021.0)</f>
        <v>2021</v>
      </c>
      <c r="B2436" s="11">
        <f>IFERROR(__xludf.DUMMYFUNCTION("""COMPUTED_VALUE"""),11.0)</f>
        <v>11</v>
      </c>
      <c r="C2436" s="11">
        <f>IFERROR(__xludf.DUMMYFUNCTION("""COMPUTED_VALUE"""),107878.0)</f>
        <v>107878</v>
      </c>
      <c r="D2436" s="11">
        <f>IFERROR(__xludf.DUMMYFUNCTION("""COMPUTED_VALUE"""),1675.0)</f>
        <v>1675</v>
      </c>
      <c r="E2436" s="9"/>
    </row>
    <row r="2437">
      <c r="A2437" s="11">
        <f>IFERROR(__xludf.DUMMYFUNCTION("""COMPUTED_VALUE"""),2021.0)</f>
        <v>2021</v>
      </c>
      <c r="B2437" s="11">
        <f>IFERROR(__xludf.DUMMYFUNCTION("""COMPUTED_VALUE"""),11.0)</f>
        <v>11</v>
      </c>
      <c r="C2437" s="11">
        <f>IFERROR(__xludf.DUMMYFUNCTION("""COMPUTED_VALUE"""),122416.0)</f>
        <v>122416</v>
      </c>
      <c r="D2437" s="11">
        <f>IFERROR(__xludf.DUMMYFUNCTION("""COMPUTED_VALUE"""),1514.0)</f>
        <v>1514</v>
      </c>
      <c r="E2437" s="9"/>
    </row>
    <row r="2438">
      <c r="A2438" s="11">
        <f>IFERROR(__xludf.DUMMYFUNCTION("""COMPUTED_VALUE"""),2021.0)</f>
        <v>2021</v>
      </c>
      <c r="B2438" s="11">
        <f>IFERROR(__xludf.DUMMYFUNCTION("""COMPUTED_VALUE"""),11.0)</f>
        <v>11</v>
      </c>
      <c r="C2438" s="11">
        <f>IFERROR(__xludf.DUMMYFUNCTION("""COMPUTED_VALUE"""),95628.0)</f>
        <v>95628</v>
      </c>
      <c r="D2438" s="11">
        <f>IFERROR(__xludf.DUMMYFUNCTION("""COMPUTED_VALUE"""),126.0)</f>
        <v>126</v>
      </c>
      <c r="E2438" s="9"/>
    </row>
    <row r="2439">
      <c r="A2439" s="11">
        <f>IFERROR(__xludf.DUMMYFUNCTION("""COMPUTED_VALUE"""),2021.0)</f>
        <v>2021</v>
      </c>
      <c r="B2439" s="11">
        <f>IFERROR(__xludf.DUMMYFUNCTION("""COMPUTED_VALUE"""),11.0)</f>
        <v>11</v>
      </c>
      <c r="C2439" s="11">
        <f>IFERROR(__xludf.DUMMYFUNCTION("""COMPUTED_VALUE"""),9654.0)</f>
        <v>9654</v>
      </c>
      <c r="D2439" s="11">
        <f>IFERROR(__xludf.DUMMYFUNCTION("""COMPUTED_VALUE"""),1161.0)</f>
        <v>1161</v>
      </c>
      <c r="E2439" s="9"/>
    </row>
    <row r="2440">
      <c r="A2440" s="11">
        <f>IFERROR(__xludf.DUMMYFUNCTION("""COMPUTED_VALUE"""),2021.0)</f>
        <v>2021</v>
      </c>
      <c r="B2440" s="11">
        <f>IFERROR(__xludf.DUMMYFUNCTION("""COMPUTED_VALUE"""),11.0)</f>
        <v>11</v>
      </c>
      <c r="C2440" s="11">
        <f>IFERROR(__xludf.DUMMYFUNCTION("""COMPUTED_VALUE"""),105609.0)</f>
        <v>105609</v>
      </c>
      <c r="D2440" s="11">
        <f>IFERROR(__xludf.DUMMYFUNCTION("""COMPUTED_VALUE"""),1006.0)</f>
        <v>1006</v>
      </c>
      <c r="E2440" s="9"/>
    </row>
    <row r="2441">
      <c r="A2441" s="11">
        <f>IFERROR(__xludf.DUMMYFUNCTION("""COMPUTED_VALUE"""),2021.0)</f>
        <v>2021</v>
      </c>
      <c r="B2441" s="11">
        <f>IFERROR(__xludf.DUMMYFUNCTION("""COMPUTED_VALUE"""),9.0)</f>
        <v>9</v>
      </c>
      <c r="C2441" s="11">
        <f>IFERROR(__xludf.DUMMYFUNCTION("""COMPUTED_VALUE"""),118932.0)</f>
        <v>118932</v>
      </c>
      <c r="D2441" s="11">
        <f>IFERROR(__xludf.DUMMYFUNCTION("""COMPUTED_VALUE"""),1929.0)</f>
        <v>1929</v>
      </c>
      <c r="E2441" s="9"/>
    </row>
    <row r="2442">
      <c r="A2442" s="11">
        <f>IFERROR(__xludf.DUMMYFUNCTION("""COMPUTED_VALUE"""),2021.0)</f>
        <v>2021</v>
      </c>
      <c r="B2442" s="11">
        <f>IFERROR(__xludf.DUMMYFUNCTION("""COMPUTED_VALUE"""),8.0)</f>
        <v>8</v>
      </c>
      <c r="C2442" s="11">
        <f>IFERROR(__xludf.DUMMYFUNCTION("""COMPUTED_VALUE"""),103976.0)</f>
        <v>103976</v>
      </c>
      <c r="D2442" s="11">
        <f>IFERROR(__xludf.DUMMYFUNCTION("""COMPUTED_VALUE"""),173.0)</f>
        <v>173</v>
      </c>
      <c r="E2442" s="9"/>
    </row>
    <row r="2443">
      <c r="A2443" s="11">
        <f>IFERROR(__xludf.DUMMYFUNCTION("""COMPUTED_VALUE"""),2021.0)</f>
        <v>2021</v>
      </c>
      <c r="B2443" s="11">
        <f>IFERROR(__xludf.DUMMYFUNCTION("""COMPUTED_VALUE"""),8.0)</f>
        <v>8</v>
      </c>
      <c r="C2443" s="11">
        <f>IFERROR(__xludf.DUMMYFUNCTION("""COMPUTED_VALUE"""),107881.0)</f>
        <v>107881</v>
      </c>
      <c r="D2443" s="11">
        <f>IFERROR(__xludf.DUMMYFUNCTION("""COMPUTED_VALUE"""),1319.0)</f>
        <v>1319</v>
      </c>
      <c r="E2443" s="9"/>
    </row>
    <row r="2444">
      <c r="A2444" s="11">
        <f>IFERROR(__xludf.DUMMYFUNCTION("""COMPUTED_VALUE"""),2021.0)</f>
        <v>2021</v>
      </c>
      <c r="B2444" s="11">
        <f>IFERROR(__xludf.DUMMYFUNCTION("""COMPUTED_VALUE"""),11.0)</f>
        <v>11</v>
      </c>
      <c r="C2444" s="11">
        <f>IFERROR(__xludf.DUMMYFUNCTION("""COMPUTED_VALUE"""),7830.0)</f>
        <v>7830</v>
      </c>
      <c r="D2444" s="11">
        <f>IFERROR(__xludf.DUMMYFUNCTION("""COMPUTED_VALUE"""),346.0)</f>
        <v>346</v>
      </c>
      <c r="E2444" s="9"/>
    </row>
    <row r="2445">
      <c r="A2445" s="11">
        <f>IFERROR(__xludf.DUMMYFUNCTION("""COMPUTED_VALUE"""),2021.0)</f>
        <v>2021</v>
      </c>
      <c r="B2445" s="11">
        <f>IFERROR(__xludf.DUMMYFUNCTION("""COMPUTED_VALUE"""),8.0)</f>
        <v>8</v>
      </c>
      <c r="C2445" s="11">
        <f>IFERROR(__xludf.DUMMYFUNCTION("""COMPUTED_VALUE"""),159717.0)</f>
        <v>159717</v>
      </c>
      <c r="D2445" s="11">
        <f>IFERROR(__xludf.DUMMYFUNCTION("""COMPUTED_VALUE"""),381.0)</f>
        <v>381</v>
      </c>
      <c r="E2445" s="9"/>
    </row>
    <row r="2446">
      <c r="A2446" s="11">
        <f>IFERROR(__xludf.DUMMYFUNCTION("""COMPUTED_VALUE"""),2021.0)</f>
        <v>2021</v>
      </c>
      <c r="B2446" s="11">
        <f>IFERROR(__xludf.DUMMYFUNCTION("""COMPUTED_VALUE"""),11.0)</f>
        <v>11</v>
      </c>
      <c r="C2446" s="11">
        <f>IFERROR(__xludf.DUMMYFUNCTION("""COMPUTED_VALUE"""),113449.0)</f>
        <v>113449</v>
      </c>
      <c r="D2446" s="11">
        <f>IFERROR(__xludf.DUMMYFUNCTION("""COMPUTED_VALUE"""),1287.0)</f>
        <v>1287</v>
      </c>
      <c r="E2446" s="9"/>
    </row>
    <row r="2447">
      <c r="A2447" s="11">
        <f>IFERROR(__xludf.DUMMYFUNCTION("""COMPUTED_VALUE"""),2021.0)</f>
        <v>2021</v>
      </c>
      <c r="B2447" s="11">
        <f>IFERROR(__xludf.DUMMYFUNCTION("""COMPUTED_VALUE"""),10.0)</f>
        <v>10</v>
      </c>
      <c r="C2447" s="11">
        <f>IFERROR(__xludf.DUMMYFUNCTION("""COMPUTED_VALUE"""),79942.0)</f>
        <v>79942</v>
      </c>
      <c r="D2447" s="11">
        <f>IFERROR(__xludf.DUMMYFUNCTION("""COMPUTED_VALUE"""),315.0)</f>
        <v>315</v>
      </c>
      <c r="E2447" s="9"/>
    </row>
    <row r="2448">
      <c r="A2448" s="11">
        <f>IFERROR(__xludf.DUMMYFUNCTION("""COMPUTED_VALUE"""),2021.0)</f>
        <v>2021</v>
      </c>
      <c r="B2448" s="11">
        <f>IFERROR(__xludf.DUMMYFUNCTION("""COMPUTED_VALUE"""),10.0)</f>
        <v>10</v>
      </c>
      <c r="C2448" s="11">
        <f>IFERROR(__xludf.DUMMYFUNCTION("""COMPUTED_VALUE"""),29437.0)</f>
        <v>29437</v>
      </c>
      <c r="D2448" s="11">
        <f>IFERROR(__xludf.DUMMYFUNCTION("""COMPUTED_VALUE"""),701.0)</f>
        <v>701</v>
      </c>
      <c r="E2448" s="9"/>
    </row>
    <row r="2449">
      <c r="A2449" s="11">
        <f>IFERROR(__xludf.DUMMYFUNCTION("""COMPUTED_VALUE"""),2021.0)</f>
        <v>2021</v>
      </c>
      <c r="B2449" s="11">
        <f>IFERROR(__xludf.DUMMYFUNCTION("""COMPUTED_VALUE"""),8.0)</f>
        <v>8</v>
      </c>
      <c r="C2449" s="11">
        <f>IFERROR(__xludf.DUMMYFUNCTION("""COMPUTED_VALUE"""),99234.0)</f>
        <v>99234</v>
      </c>
      <c r="D2449" s="11">
        <f>IFERROR(__xludf.DUMMYFUNCTION("""COMPUTED_VALUE"""),1613.0)</f>
        <v>1613</v>
      </c>
      <c r="E2449" s="9"/>
    </row>
    <row r="2450">
      <c r="A2450" s="11">
        <f>IFERROR(__xludf.DUMMYFUNCTION("""COMPUTED_VALUE"""),2021.0)</f>
        <v>2021</v>
      </c>
      <c r="B2450" s="11">
        <f>IFERROR(__xludf.DUMMYFUNCTION("""COMPUTED_VALUE"""),10.0)</f>
        <v>10</v>
      </c>
      <c r="C2450" s="11">
        <f>IFERROR(__xludf.DUMMYFUNCTION("""COMPUTED_VALUE"""),103985.0)</f>
        <v>103985</v>
      </c>
      <c r="D2450" s="11">
        <f>IFERROR(__xludf.DUMMYFUNCTION("""COMPUTED_VALUE"""),81.0)</f>
        <v>81</v>
      </c>
      <c r="E2450" s="9"/>
    </row>
    <row r="2451">
      <c r="A2451" s="11">
        <f>IFERROR(__xludf.DUMMYFUNCTION("""COMPUTED_VALUE"""),2021.0)</f>
        <v>2021</v>
      </c>
      <c r="B2451" s="11">
        <f>IFERROR(__xludf.DUMMYFUNCTION("""COMPUTED_VALUE"""),8.0)</f>
        <v>8</v>
      </c>
      <c r="C2451" s="11">
        <f>IFERROR(__xludf.DUMMYFUNCTION("""COMPUTED_VALUE"""),97947.0)</f>
        <v>97947</v>
      </c>
      <c r="D2451" s="11">
        <f>IFERROR(__xludf.DUMMYFUNCTION("""COMPUTED_VALUE"""),1727.0)</f>
        <v>1727</v>
      </c>
      <c r="E2451" s="9"/>
    </row>
    <row r="2452">
      <c r="A2452" s="11">
        <f>IFERROR(__xludf.DUMMYFUNCTION("""COMPUTED_VALUE"""),2021.0)</f>
        <v>2021</v>
      </c>
      <c r="B2452" s="11">
        <f>IFERROR(__xludf.DUMMYFUNCTION("""COMPUTED_VALUE"""),11.0)</f>
        <v>11</v>
      </c>
      <c r="C2452" s="11">
        <f>IFERROR(__xludf.DUMMYFUNCTION("""COMPUTED_VALUE"""),101083.0)</f>
        <v>101083</v>
      </c>
      <c r="D2452" s="11">
        <f>IFERROR(__xludf.DUMMYFUNCTION("""COMPUTED_VALUE"""),1536.0)</f>
        <v>1536</v>
      </c>
      <c r="E2452" s="9"/>
    </row>
    <row r="2453">
      <c r="A2453" s="11">
        <f>IFERROR(__xludf.DUMMYFUNCTION("""COMPUTED_VALUE"""),2021.0)</f>
        <v>2021</v>
      </c>
      <c r="B2453" s="11">
        <f>IFERROR(__xludf.DUMMYFUNCTION("""COMPUTED_VALUE"""),10.0)</f>
        <v>10</v>
      </c>
      <c r="C2453" s="11">
        <f>IFERROR(__xludf.DUMMYFUNCTION("""COMPUTED_VALUE"""),111287.0)</f>
        <v>111287</v>
      </c>
      <c r="D2453" s="11">
        <f>IFERROR(__xludf.DUMMYFUNCTION("""COMPUTED_VALUE"""),1095.0)</f>
        <v>1095</v>
      </c>
      <c r="E2453" s="9"/>
    </row>
    <row r="2454">
      <c r="A2454" s="11">
        <f>IFERROR(__xludf.DUMMYFUNCTION("""COMPUTED_VALUE"""),2021.0)</f>
        <v>2021</v>
      </c>
      <c r="B2454" s="11">
        <f>IFERROR(__xludf.DUMMYFUNCTION("""COMPUTED_VALUE"""),11.0)</f>
        <v>11</v>
      </c>
      <c r="C2454" s="11">
        <f>IFERROR(__xludf.DUMMYFUNCTION("""COMPUTED_VALUE"""),11728.0)</f>
        <v>11728</v>
      </c>
      <c r="D2454" s="11">
        <f>IFERROR(__xludf.DUMMYFUNCTION("""COMPUTED_VALUE"""),442.0)</f>
        <v>442</v>
      </c>
      <c r="E2454" s="9"/>
    </row>
    <row r="2455">
      <c r="A2455" s="11">
        <f>IFERROR(__xludf.DUMMYFUNCTION("""COMPUTED_VALUE"""),2021.0)</f>
        <v>2021</v>
      </c>
      <c r="B2455" s="11">
        <f>IFERROR(__xludf.DUMMYFUNCTION("""COMPUTED_VALUE"""),8.0)</f>
        <v>8</v>
      </c>
      <c r="C2455" s="11">
        <f>IFERROR(__xludf.DUMMYFUNCTION("""COMPUTED_VALUE"""),111286.0)</f>
        <v>111286</v>
      </c>
      <c r="D2455" s="11">
        <f>IFERROR(__xludf.DUMMYFUNCTION("""COMPUTED_VALUE"""),1059.0)</f>
        <v>1059</v>
      </c>
      <c r="E2455" s="9"/>
    </row>
    <row r="2456">
      <c r="A2456" s="11">
        <f>IFERROR(__xludf.DUMMYFUNCTION("""COMPUTED_VALUE"""),2021.0)</f>
        <v>2021</v>
      </c>
      <c r="B2456" s="11">
        <f>IFERROR(__xludf.DUMMYFUNCTION("""COMPUTED_VALUE"""),10.0)</f>
        <v>10</v>
      </c>
      <c r="C2456" s="11">
        <f>IFERROR(__xludf.DUMMYFUNCTION("""COMPUTED_VALUE"""),29426.0)</f>
        <v>29426</v>
      </c>
      <c r="D2456" s="11">
        <f>IFERROR(__xludf.DUMMYFUNCTION("""COMPUTED_VALUE"""),448.0)</f>
        <v>448</v>
      </c>
      <c r="E2456" s="9"/>
    </row>
    <row r="2457">
      <c r="A2457" s="11">
        <f>IFERROR(__xludf.DUMMYFUNCTION("""COMPUTED_VALUE"""),2021.0)</f>
        <v>2021</v>
      </c>
      <c r="B2457" s="11">
        <f>IFERROR(__xludf.DUMMYFUNCTION("""COMPUTED_VALUE"""),9.0)</f>
        <v>9</v>
      </c>
      <c r="C2457" s="11">
        <f>IFERROR(__xludf.DUMMYFUNCTION("""COMPUTED_VALUE"""),93419.0)</f>
        <v>93419</v>
      </c>
      <c r="D2457" s="11">
        <f>IFERROR(__xludf.DUMMYFUNCTION("""COMPUTED_VALUE"""),199.0)</f>
        <v>199</v>
      </c>
      <c r="E2457" s="9"/>
    </row>
    <row r="2458">
      <c r="A2458" s="11">
        <f>IFERROR(__xludf.DUMMYFUNCTION("""COMPUTED_VALUE"""),2021.0)</f>
        <v>2021</v>
      </c>
      <c r="B2458" s="11">
        <f>IFERROR(__xludf.DUMMYFUNCTION("""COMPUTED_VALUE"""),10.0)</f>
        <v>10</v>
      </c>
      <c r="C2458" s="11">
        <f>IFERROR(__xludf.DUMMYFUNCTION("""COMPUTED_VALUE"""),93418.0)</f>
        <v>93418</v>
      </c>
      <c r="D2458" s="11">
        <f>IFERROR(__xludf.DUMMYFUNCTION("""COMPUTED_VALUE"""),1199.0)</f>
        <v>1199</v>
      </c>
      <c r="E2458" s="9"/>
    </row>
    <row r="2459">
      <c r="A2459" s="11">
        <f>IFERROR(__xludf.DUMMYFUNCTION("""COMPUTED_VALUE"""),2021.0)</f>
        <v>2021</v>
      </c>
      <c r="B2459" s="11">
        <f>IFERROR(__xludf.DUMMYFUNCTION("""COMPUTED_VALUE"""),10.0)</f>
        <v>10</v>
      </c>
      <c r="C2459" s="11">
        <f>IFERROR(__xludf.DUMMYFUNCTION("""COMPUTED_VALUE"""),79198.0)</f>
        <v>79198</v>
      </c>
      <c r="D2459" s="11">
        <f>IFERROR(__xludf.DUMMYFUNCTION("""COMPUTED_VALUE"""),1710.0)</f>
        <v>1710</v>
      </c>
      <c r="E2459" s="9"/>
    </row>
    <row r="2460">
      <c r="A2460" s="11">
        <f>IFERROR(__xludf.DUMMYFUNCTION("""COMPUTED_VALUE"""),2021.0)</f>
        <v>2021</v>
      </c>
      <c r="B2460" s="11">
        <f>IFERROR(__xludf.DUMMYFUNCTION("""COMPUTED_VALUE"""),11.0)</f>
        <v>11</v>
      </c>
      <c r="C2460" s="11">
        <f>IFERROR(__xludf.DUMMYFUNCTION("""COMPUTED_VALUE"""),11720.0)</f>
        <v>11720</v>
      </c>
      <c r="D2460" s="11">
        <f>IFERROR(__xludf.DUMMYFUNCTION("""COMPUTED_VALUE"""),558.0)</f>
        <v>558</v>
      </c>
      <c r="E2460" s="9"/>
    </row>
    <row r="2461">
      <c r="A2461" s="11">
        <f>IFERROR(__xludf.DUMMYFUNCTION("""COMPUTED_VALUE"""),2021.0)</f>
        <v>2021</v>
      </c>
      <c r="B2461" s="11">
        <f>IFERROR(__xludf.DUMMYFUNCTION("""COMPUTED_VALUE"""),9.0)</f>
        <v>9</v>
      </c>
      <c r="C2461" s="11">
        <f>IFERROR(__xludf.DUMMYFUNCTION("""COMPUTED_VALUE"""),122534.0)</f>
        <v>122534</v>
      </c>
      <c r="D2461" s="11">
        <f>IFERROR(__xludf.DUMMYFUNCTION("""COMPUTED_VALUE"""),1250.0)</f>
        <v>1250</v>
      </c>
      <c r="E2461" s="9"/>
    </row>
    <row r="2462">
      <c r="A2462" s="11">
        <f>IFERROR(__xludf.DUMMYFUNCTION("""COMPUTED_VALUE"""),2021.0)</f>
        <v>2021</v>
      </c>
      <c r="B2462" s="11">
        <f>IFERROR(__xludf.DUMMYFUNCTION("""COMPUTED_VALUE"""),11.0)</f>
        <v>11</v>
      </c>
      <c r="C2462" s="11">
        <f>IFERROR(__xludf.DUMMYFUNCTION("""COMPUTED_VALUE"""),92209.0)</f>
        <v>92209</v>
      </c>
      <c r="D2462" s="11">
        <f>IFERROR(__xludf.DUMMYFUNCTION("""COMPUTED_VALUE"""),1794.0)</f>
        <v>1794</v>
      </c>
      <c r="E2462" s="9"/>
    </row>
    <row r="2463">
      <c r="A2463" s="11">
        <f>IFERROR(__xludf.DUMMYFUNCTION("""COMPUTED_VALUE"""),2021.0)</f>
        <v>2021</v>
      </c>
      <c r="B2463" s="11">
        <f>IFERROR(__xludf.DUMMYFUNCTION("""COMPUTED_VALUE"""),9.0)</f>
        <v>9</v>
      </c>
      <c r="C2463" s="11">
        <f>IFERROR(__xludf.DUMMYFUNCTION("""COMPUTED_VALUE"""),93417.0)</f>
        <v>93417</v>
      </c>
      <c r="D2463" s="11">
        <f>IFERROR(__xludf.DUMMYFUNCTION("""COMPUTED_VALUE"""),211.0)</f>
        <v>211</v>
      </c>
      <c r="E2463" s="9"/>
    </row>
    <row r="2464">
      <c r="A2464" s="11">
        <f>IFERROR(__xludf.DUMMYFUNCTION("""COMPUTED_VALUE"""),2021.0)</f>
        <v>2021</v>
      </c>
      <c r="B2464" s="11">
        <f>IFERROR(__xludf.DUMMYFUNCTION("""COMPUTED_VALUE"""),10.0)</f>
        <v>10</v>
      </c>
      <c r="C2464" s="11">
        <f>IFERROR(__xludf.DUMMYFUNCTION("""COMPUTED_VALUE"""),103197.0)</f>
        <v>103197</v>
      </c>
      <c r="D2464" s="11">
        <f>IFERROR(__xludf.DUMMYFUNCTION("""COMPUTED_VALUE"""),715.0)</f>
        <v>715</v>
      </c>
      <c r="E2464" s="9"/>
    </row>
    <row r="2465">
      <c r="A2465" s="11">
        <f>IFERROR(__xludf.DUMMYFUNCTION("""COMPUTED_VALUE"""),2021.0)</f>
        <v>2021</v>
      </c>
      <c r="B2465" s="11">
        <f>IFERROR(__xludf.DUMMYFUNCTION("""COMPUTED_VALUE"""),9.0)</f>
        <v>9</v>
      </c>
      <c r="C2465" s="11">
        <f>IFERROR(__xludf.DUMMYFUNCTION("""COMPUTED_VALUE"""),118930.0)</f>
        <v>118930</v>
      </c>
      <c r="D2465" s="11">
        <f>IFERROR(__xludf.DUMMYFUNCTION("""COMPUTED_VALUE"""),18.0)</f>
        <v>18</v>
      </c>
      <c r="E2465" s="9"/>
    </row>
    <row r="2466">
      <c r="A2466" s="11">
        <f>IFERROR(__xludf.DUMMYFUNCTION("""COMPUTED_VALUE"""),2021.0)</f>
        <v>2021</v>
      </c>
      <c r="B2466" s="11">
        <f>IFERROR(__xludf.DUMMYFUNCTION("""COMPUTED_VALUE"""),11.0)</f>
        <v>11</v>
      </c>
      <c r="C2466" s="11">
        <f>IFERROR(__xludf.DUMMYFUNCTION("""COMPUTED_VALUE"""),92199.0)</f>
        <v>92199</v>
      </c>
      <c r="D2466" s="11">
        <f>IFERROR(__xludf.DUMMYFUNCTION("""COMPUTED_VALUE"""),774.0)</f>
        <v>774</v>
      </c>
      <c r="E2466" s="9"/>
    </row>
    <row r="2467">
      <c r="A2467" s="11">
        <f>IFERROR(__xludf.DUMMYFUNCTION("""COMPUTED_VALUE"""),2021.0)</f>
        <v>2021</v>
      </c>
      <c r="B2467" s="11">
        <f>IFERROR(__xludf.DUMMYFUNCTION("""COMPUTED_VALUE"""),11.0)</f>
        <v>11</v>
      </c>
      <c r="C2467" s="11">
        <f>IFERROR(__xludf.DUMMYFUNCTION("""COMPUTED_VALUE"""),29647.0)</f>
        <v>29647</v>
      </c>
      <c r="D2467" s="11">
        <f>IFERROR(__xludf.DUMMYFUNCTION("""COMPUTED_VALUE"""),588.0)</f>
        <v>588</v>
      </c>
      <c r="E2467" s="9"/>
    </row>
    <row r="2468">
      <c r="A2468" s="11">
        <f>IFERROR(__xludf.DUMMYFUNCTION("""COMPUTED_VALUE"""),2021.0)</f>
        <v>2021</v>
      </c>
      <c r="B2468" s="11">
        <f>IFERROR(__xludf.DUMMYFUNCTION("""COMPUTED_VALUE"""),10.0)</f>
        <v>10</v>
      </c>
      <c r="C2468" s="11">
        <f>IFERROR(__xludf.DUMMYFUNCTION("""COMPUTED_VALUE"""),121857.0)</f>
        <v>121857</v>
      </c>
      <c r="D2468" s="11">
        <f>IFERROR(__xludf.DUMMYFUNCTION("""COMPUTED_VALUE"""),498.0)</f>
        <v>498</v>
      </c>
      <c r="E2468" s="9"/>
    </row>
    <row r="2469">
      <c r="A2469" s="11">
        <f>IFERROR(__xludf.DUMMYFUNCTION("""COMPUTED_VALUE"""),2021.0)</f>
        <v>2021</v>
      </c>
      <c r="B2469" s="11">
        <f>IFERROR(__xludf.DUMMYFUNCTION("""COMPUTED_VALUE"""),10.0)</f>
        <v>10</v>
      </c>
      <c r="C2469" s="11">
        <f>IFERROR(__xludf.DUMMYFUNCTION("""COMPUTED_VALUE"""),129484.0)</f>
        <v>129484</v>
      </c>
      <c r="D2469" s="11">
        <f>IFERROR(__xludf.DUMMYFUNCTION("""COMPUTED_VALUE"""),41.0)</f>
        <v>41</v>
      </c>
      <c r="E2469" s="9"/>
    </row>
    <row r="2470">
      <c r="A2470" s="11">
        <f>IFERROR(__xludf.DUMMYFUNCTION("""COMPUTED_VALUE"""),2021.0)</f>
        <v>2021</v>
      </c>
      <c r="B2470" s="11">
        <f>IFERROR(__xludf.DUMMYFUNCTION("""COMPUTED_VALUE"""),8.0)</f>
        <v>8</v>
      </c>
      <c r="C2470" s="11">
        <f>IFERROR(__xludf.DUMMYFUNCTION("""COMPUTED_VALUE"""),122405.0)</f>
        <v>122405</v>
      </c>
      <c r="D2470" s="11">
        <f>IFERROR(__xludf.DUMMYFUNCTION("""COMPUTED_VALUE"""),1590.0)</f>
        <v>1590</v>
      </c>
      <c r="E2470" s="9"/>
    </row>
    <row r="2471">
      <c r="A2471" s="11">
        <f>IFERROR(__xludf.DUMMYFUNCTION("""COMPUTED_VALUE"""),2021.0)</f>
        <v>2021</v>
      </c>
      <c r="B2471" s="11">
        <f>IFERROR(__xludf.DUMMYFUNCTION("""COMPUTED_VALUE"""),10.0)</f>
        <v>10</v>
      </c>
      <c r="C2471" s="11">
        <f>IFERROR(__xludf.DUMMYFUNCTION("""COMPUTED_VALUE"""),108690.0)</f>
        <v>108690</v>
      </c>
      <c r="D2471" s="11">
        <f>IFERROR(__xludf.DUMMYFUNCTION("""COMPUTED_VALUE"""),1624.0)</f>
        <v>1624</v>
      </c>
      <c r="E2471" s="9"/>
    </row>
    <row r="2472">
      <c r="A2472" s="11">
        <f>IFERROR(__xludf.DUMMYFUNCTION("""COMPUTED_VALUE"""),2021.0)</f>
        <v>2021</v>
      </c>
      <c r="B2472" s="11">
        <f>IFERROR(__xludf.DUMMYFUNCTION("""COMPUTED_VALUE"""),9.0)</f>
        <v>9</v>
      </c>
      <c r="C2472" s="11">
        <f>IFERROR(__xludf.DUMMYFUNCTION("""COMPUTED_VALUE"""),11726.0)</f>
        <v>11726</v>
      </c>
      <c r="D2472" s="11">
        <f>IFERROR(__xludf.DUMMYFUNCTION("""COMPUTED_VALUE"""),427.0)</f>
        <v>427</v>
      </c>
      <c r="E2472" s="9"/>
    </row>
    <row r="2473">
      <c r="A2473" s="11">
        <f>IFERROR(__xludf.DUMMYFUNCTION("""COMPUTED_VALUE"""),2021.0)</f>
        <v>2021</v>
      </c>
      <c r="B2473" s="11">
        <f>IFERROR(__xludf.DUMMYFUNCTION("""COMPUTED_VALUE"""),8.0)</f>
        <v>8</v>
      </c>
      <c r="C2473" s="11">
        <f>IFERROR(__xludf.DUMMYFUNCTION("""COMPUTED_VALUE"""),109074.0)</f>
        <v>109074</v>
      </c>
      <c r="D2473" s="11">
        <f>IFERROR(__xludf.DUMMYFUNCTION("""COMPUTED_VALUE"""),1355.0)</f>
        <v>1355</v>
      </c>
      <c r="E2473" s="9"/>
    </row>
    <row r="2474">
      <c r="A2474" s="11">
        <f>IFERROR(__xludf.DUMMYFUNCTION("""COMPUTED_VALUE"""),2021.0)</f>
        <v>2021</v>
      </c>
      <c r="B2474" s="11">
        <f>IFERROR(__xludf.DUMMYFUNCTION("""COMPUTED_VALUE"""),8.0)</f>
        <v>8</v>
      </c>
      <c r="C2474" s="11">
        <f>IFERROR(__xludf.DUMMYFUNCTION("""COMPUTED_VALUE"""),75818.0)</f>
        <v>75818</v>
      </c>
      <c r="D2474" s="11">
        <f>IFERROR(__xludf.DUMMYFUNCTION("""COMPUTED_VALUE"""),1765.0)</f>
        <v>1765</v>
      </c>
      <c r="E2474" s="9"/>
    </row>
    <row r="2475">
      <c r="A2475" s="11">
        <f>IFERROR(__xludf.DUMMYFUNCTION("""COMPUTED_VALUE"""),2021.0)</f>
        <v>2021</v>
      </c>
      <c r="B2475" s="11">
        <f>IFERROR(__xludf.DUMMYFUNCTION("""COMPUTED_VALUE"""),11.0)</f>
        <v>11</v>
      </c>
      <c r="C2475" s="11">
        <f>IFERROR(__xludf.DUMMYFUNCTION("""COMPUTED_VALUE"""),10663.0)</f>
        <v>10663</v>
      </c>
      <c r="D2475" s="11">
        <f>IFERROR(__xludf.DUMMYFUNCTION("""COMPUTED_VALUE"""),1212.0)</f>
        <v>1212</v>
      </c>
      <c r="E2475" s="9"/>
    </row>
    <row r="2476">
      <c r="A2476" s="11">
        <f>IFERROR(__xludf.DUMMYFUNCTION("""COMPUTED_VALUE"""),2021.0)</f>
        <v>2021</v>
      </c>
      <c r="B2476" s="11">
        <f>IFERROR(__xludf.DUMMYFUNCTION("""COMPUTED_VALUE"""),9.0)</f>
        <v>9</v>
      </c>
      <c r="C2476" s="11">
        <f>IFERROR(__xludf.DUMMYFUNCTION("""COMPUTED_VALUE"""),9667.0)</f>
        <v>9667</v>
      </c>
      <c r="D2476" s="11">
        <f>IFERROR(__xludf.DUMMYFUNCTION("""COMPUTED_VALUE"""),21.0)</f>
        <v>21</v>
      </c>
      <c r="E2476" s="9"/>
    </row>
    <row r="2477">
      <c r="A2477" s="11">
        <f>IFERROR(__xludf.DUMMYFUNCTION("""COMPUTED_VALUE"""),2021.0)</f>
        <v>2021</v>
      </c>
      <c r="B2477" s="11">
        <f>IFERROR(__xludf.DUMMYFUNCTION("""COMPUTED_VALUE"""),11.0)</f>
        <v>11</v>
      </c>
      <c r="C2477" s="11">
        <f>IFERROR(__xludf.DUMMYFUNCTION("""COMPUTED_VALUE"""),109073.0)</f>
        <v>109073</v>
      </c>
      <c r="D2477" s="11">
        <f>IFERROR(__xludf.DUMMYFUNCTION("""COMPUTED_VALUE"""),1099.0)</f>
        <v>1099</v>
      </c>
      <c r="E2477" s="9"/>
    </row>
    <row r="2478">
      <c r="A2478" s="11">
        <f>IFERROR(__xludf.DUMMYFUNCTION("""COMPUTED_VALUE"""),2021.0)</f>
        <v>2021</v>
      </c>
      <c r="B2478" s="11">
        <f>IFERROR(__xludf.DUMMYFUNCTION("""COMPUTED_VALUE"""),9.0)</f>
        <v>9</v>
      </c>
      <c r="C2478" s="11">
        <f>IFERROR(__xludf.DUMMYFUNCTION("""COMPUTED_VALUE"""),11731.0)</f>
        <v>11731</v>
      </c>
      <c r="D2478" s="11">
        <f>IFERROR(__xludf.DUMMYFUNCTION("""COMPUTED_VALUE"""),1325.0)</f>
        <v>1325</v>
      </c>
      <c r="E2478" s="9"/>
    </row>
    <row r="2479">
      <c r="A2479" s="11">
        <f>IFERROR(__xludf.DUMMYFUNCTION("""COMPUTED_VALUE"""),2021.0)</f>
        <v>2021</v>
      </c>
      <c r="B2479" s="11">
        <f>IFERROR(__xludf.DUMMYFUNCTION("""COMPUTED_VALUE"""),9.0)</f>
        <v>9</v>
      </c>
      <c r="C2479" s="11">
        <f>IFERROR(__xludf.DUMMYFUNCTION("""COMPUTED_VALUE"""),155869.0)</f>
        <v>155869</v>
      </c>
      <c r="D2479" s="11">
        <f>IFERROR(__xludf.DUMMYFUNCTION("""COMPUTED_VALUE"""),432.0)</f>
        <v>432</v>
      </c>
      <c r="E2479" s="9"/>
    </row>
    <row r="2480">
      <c r="A2480" s="11">
        <f>IFERROR(__xludf.DUMMYFUNCTION("""COMPUTED_VALUE"""),2021.0)</f>
        <v>2021</v>
      </c>
      <c r="B2480" s="11">
        <f>IFERROR(__xludf.DUMMYFUNCTION("""COMPUTED_VALUE"""),10.0)</f>
        <v>10</v>
      </c>
      <c r="C2480" s="11">
        <f>IFERROR(__xludf.DUMMYFUNCTION("""COMPUTED_VALUE"""),118982.0)</f>
        <v>118982</v>
      </c>
      <c r="D2480" s="11">
        <f>IFERROR(__xludf.DUMMYFUNCTION("""COMPUTED_VALUE"""),238.0)</f>
        <v>238</v>
      </c>
      <c r="E2480" s="9"/>
    </row>
    <row r="2481">
      <c r="A2481" s="11">
        <f>IFERROR(__xludf.DUMMYFUNCTION("""COMPUTED_VALUE"""),2021.0)</f>
        <v>2021</v>
      </c>
      <c r="B2481" s="11">
        <f>IFERROR(__xludf.DUMMYFUNCTION("""COMPUTED_VALUE"""),10.0)</f>
        <v>10</v>
      </c>
      <c r="C2481" s="11">
        <f>IFERROR(__xludf.DUMMYFUNCTION("""COMPUTED_VALUE"""),29642.0)</f>
        <v>29642</v>
      </c>
      <c r="D2481" s="11">
        <f>IFERROR(__xludf.DUMMYFUNCTION("""COMPUTED_VALUE"""),681.0)</f>
        <v>681</v>
      </c>
      <c r="E2481" s="9"/>
    </row>
    <row r="2482">
      <c r="A2482" s="11">
        <f>IFERROR(__xludf.DUMMYFUNCTION("""COMPUTED_VALUE"""),2021.0)</f>
        <v>2021</v>
      </c>
      <c r="B2482" s="11">
        <f>IFERROR(__xludf.DUMMYFUNCTION("""COMPUTED_VALUE"""),11.0)</f>
        <v>11</v>
      </c>
      <c r="C2482" s="11">
        <f>IFERROR(__xludf.DUMMYFUNCTION("""COMPUTED_VALUE"""),111774.0)</f>
        <v>111774</v>
      </c>
      <c r="D2482" s="11">
        <f>IFERROR(__xludf.DUMMYFUNCTION("""COMPUTED_VALUE"""),1171.0)</f>
        <v>1171</v>
      </c>
      <c r="E2482" s="9"/>
    </row>
    <row r="2483">
      <c r="A2483" s="11">
        <f>IFERROR(__xludf.DUMMYFUNCTION("""COMPUTED_VALUE"""),2021.0)</f>
        <v>2021</v>
      </c>
      <c r="B2483" s="11">
        <f>IFERROR(__xludf.DUMMYFUNCTION("""COMPUTED_VALUE"""),9.0)</f>
        <v>9</v>
      </c>
      <c r="C2483" s="11">
        <f>IFERROR(__xludf.DUMMYFUNCTION("""COMPUTED_VALUE"""),117290.0)</f>
        <v>117290</v>
      </c>
      <c r="D2483" s="11">
        <f>IFERROR(__xludf.DUMMYFUNCTION("""COMPUTED_VALUE"""),1807.0)</f>
        <v>1807</v>
      </c>
      <c r="E2483" s="9"/>
    </row>
    <row r="2484">
      <c r="A2484" s="11">
        <f>IFERROR(__xludf.DUMMYFUNCTION("""COMPUTED_VALUE"""),2021.0)</f>
        <v>2021</v>
      </c>
      <c r="B2484" s="11">
        <f>IFERROR(__xludf.DUMMYFUNCTION("""COMPUTED_VALUE"""),11.0)</f>
        <v>11</v>
      </c>
      <c r="C2484" s="11">
        <f>IFERROR(__xludf.DUMMYFUNCTION("""COMPUTED_VALUE"""),105593.0)</f>
        <v>105593</v>
      </c>
      <c r="D2484" s="11">
        <f>IFERROR(__xludf.DUMMYFUNCTION("""COMPUTED_VALUE"""),509.0)</f>
        <v>509</v>
      </c>
      <c r="E2484" s="9"/>
    </row>
    <row r="2485">
      <c r="A2485" s="11">
        <f>IFERROR(__xludf.DUMMYFUNCTION("""COMPUTED_VALUE"""),2021.0)</f>
        <v>2021</v>
      </c>
      <c r="B2485" s="11">
        <f>IFERROR(__xludf.DUMMYFUNCTION("""COMPUTED_VALUE"""),9.0)</f>
        <v>9</v>
      </c>
      <c r="C2485" s="11">
        <f>IFERROR(__xludf.DUMMYFUNCTION("""COMPUTED_VALUE"""),70751.0)</f>
        <v>70751</v>
      </c>
      <c r="D2485" s="11">
        <f>IFERROR(__xludf.DUMMYFUNCTION("""COMPUTED_VALUE"""),674.0)</f>
        <v>674</v>
      </c>
      <c r="E2485" s="9"/>
    </row>
    <row r="2486">
      <c r="A2486" s="11">
        <f>IFERROR(__xludf.DUMMYFUNCTION("""COMPUTED_VALUE"""),2021.0)</f>
        <v>2021</v>
      </c>
      <c r="B2486" s="11">
        <f>IFERROR(__xludf.DUMMYFUNCTION("""COMPUTED_VALUE"""),8.0)</f>
        <v>8</v>
      </c>
      <c r="C2486" s="11">
        <f>IFERROR(__xludf.DUMMYFUNCTION("""COMPUTED_VALUE"""),118929.0)</f>
        <v>118929</v>
      </c>
      <c r="D2486" s="11">
        <f>IFERROR(__xludf.DUMMYFUNCTION("""COMPUTED_VALUE"""),919.0)</f>
        <v>919</v>
      </c>
      <c r="E2486" s="9"/>
    </row>
    <row r="2487">
      <c r="A2487" s="11">
        <f>IFERROR(__xludf.DUMMYFUNCTION("""COMPUTED_VALUE"""),2021.0)</f>
        <v>2021</v>
      </c>
      <c r="B2487" s="11">
        <f>IFERROR(__xludf.DUMMYFUNCTION("""COMPUTED_VALUE"""),9.0)</f>
        <v>9</v>
      </c>
      <c r="C2487" s="11">
        <f>IFERROR(__xludf.DUMMYFUNCTION("""COMPUTED_VALUE"""),70594.0)</f>
        <v>70594</v>
      </c>
      <c r="D2487" s="11">
        <f>IFERROR(__xludf.DUMMYFUNCTION("""COMPUTED_VALUE"""),945.0)</f>
        <v>945</v>
      </c>
      <c r="E2487" s="9"/>
    </row>
    <row r="2488">
      <c r="A2488" s="11">
        <f>IFERROR(__xludf.DUMMYFUNCTION("""COMPUTED_VALUE"""),2021.0)</f>
        <v>2021</v>
      </c>
      <c r="B2488" s="11">
        <f>IFERROR(__xludf.DUMMYFUNCTION("""COMPUTED_VALUE"""),8.0)</f>
        <v>8</v>
      </c>
      <c r="C2488" s="11">
        <f>IFERROR(__xludf.DUMMYFUNCTION("""COMPUTED_VALUE"""),118270.0)</f>
        <v>118270</v>
      </c>
      <c r="D2488" s="11">
        <f>IFERROR(__xludf.DUMMYFUNCTION("""COMPUTED_VALUE"""),749.0)</f>
        <v>749</v>
      </c>
      <c r="E2488" s="9"/>
    </row>
    <row r="2489">
      <c r="A2489" s="11">
        <f>IFERROR(__xludf.DUMMYFUNCTION("""COMPUTED_VALUE"""),2021.0)</f>
        <v>2021</v>
      </c>
      <c r="B2489" s="11">
        <f>IFERROR(__xludf.DUMMYFUNCTION("""COMPUTED_VALUE"""),8.0)</f>
        <v>8</v>
      </c>
      <c r="C2489" s="11">
        <f>IFERROR(__xludf.DUMMYFUNCTION("""COMPUTED_VALUE"""),20584.0)</f>
        <v>20584</v>
      </c>
      <c r="D2489" s="11">
        <f>IFERROR(__xludf.DUMMYFUNCTION("""COMPUTED_VALUE"""),1870.0)</f>
        <v>1870</v>
      </c>
      <c r="E2489" s="9"/>
    </row>
    <row r="2490">
      <c r="A2490" s="11">
        <f>IFERROR(__xludf.DUMMYFUNCTION("""COMPUTED_VALUE"""),2021.0)</f>
        <v>2021</v>
      </c>
      <c r="B2490" s="11">
        <f>IFERROR(__xludf.DUMMYFUNCTION("""COMPUTED_VALUE"""),10.0)</f>
        <v>10</v>
      </c>
      <c r="C2490" s="11">
        <f>IFERROR(__xludf.DUMMYFUNCTION("""COMPUTED_VALUE"""),150541.0)</f>
        <v>150541</v>
      </c>
      <c r="D2490" s="11">
        <f>IFERROR(__xludf.DUMMYFUNCTION("""COMPUTED_VALUE"""),1917.0)</f>
        <v>1917</v>
      </c>
      <c r="E2490" s="9"/>
    </row>
    <row r="2491">
      <c r="A2491" s="11">
        <f>IFERROR(__xludf.DUMMYFUNCTION("""COMPUTED_VALUE"""),2021.0)</f>
        <v>2021</v>
      </c>
      <c r="B2491" s="11">
        <f>IFERROR(__xludf.DUMMYFUNCTION("""COMPUTED_VALUE"""),8.0)</f>
        <v>8</v>
      </c>
      <c r="C2491" s="11">
        <f>IFERROR(__xludf.DUMMYFUNCTION("""COMPUTED_VALUE"""),12633.0)</f>
        <v>12633</v>
      </c>
      <c r="D2491" s="11">
        <f>IFERROR(__xludf.DUMMYFUNCTION("""COMPUTED_VALUE"""),1823.0)</f>
        <v>1823</v>
      </c>
      <c r="E2491" s="9"/>
    </row>
    <row r="2492">
      <c r="A2492" s="11">
        <f>IFERROR(__xludf.DUMMYFUNCTION("""COMPUTED_VALUE"""),2021.0)</f>
        <v>2021</v>
      </c>
      <c r="B2492" s="11">
        <f>IFERROR(__xludf.DUMMYFUNCTION("""COMPUTED_VALUE"""),9.0)</f>
        <v>9</v>
      </c>
      <c r="C2492" s="11">
        <f>IFERROR(__xludf.DUMMYFUNCTION("""COMPUTED_VALUE"""),9666.0)</f>
        <v>9666</v>
      </c>
      <c r="D2492" s="11">
        <f>IFERROR(__xludf.DUMMYFUNCTION("""COMPUTED_VALUE"""),1043.0)</f>
        <v>1043</v>
      </c>
      <c r="E2492" s="9"/>
    </row>
    <row r="2493">
      <c r="A2493" s="11">
        <f>IFERROR(__xludf.DUMMYFUNCTION("""COMPUTED_VALUE"""),2021.0)</f>
        <v>2021</v>
      </c>
      <c r="B2493" s="11">
        <f>IFERROR(__xludf.DUMMYFUNCTION("""COMPUTED_VALUE"""),11.0)</f>
        <v>11</v>
      </c>
      <c r="C2493" s="11">
        <f>IFERROR(__xludf.DUMMYFUNCTION("""COMPUTED_VALUE"""),79940.0)</f>
        <v>79940</v>
      </c>
      <c r="D2493" s="11">
        <f>IFERROR(__xludf.DUMMYFUNCTION("""COMPUTED_VALUE"""),1341.0)</f>
        <v>1341</v>
      </c>
      <c r="E2493" s="9"/>
    </row>
    <row r="2494">
      <c r="A2494" s="11">
        <f>IFERROR(__xludf.DUMMYFUNCTION("""COMPUTED_VALUE"""),2021.0)</f>
        <v>2021</v>
      </c>
      <c r="B2494" s="11">
        <f>IFERROR(__xludf.DUMMYFUNCTION("""COMPUTED_VALUE"""),8.0)</f>
        <v>8</v>
      </c>
      <c r="C2494" s="11">
        <f>IFERROR(__xludf.DUMMYFUNCTION("""COMPUTED_VALUE"""),201198.0)</f>
        <v>201198</v>
      </c>
      <c r="D2494" s="11">
        <f>IFERROR(__xludf.DUMMYFUNCTION("""COMPUTED_VALUE"""),1809.0)</f>
        <v>1809</v>
      </c>
      <c r="E2494" s="9"/>
    </row>
    <row r="2495">
      <c r="A2495" s="11">
        <f>IFERROR(__xludf.DUMMYFUNCTION("""COMPUTED_VALUE"""),2021.0)</f>
        <v>2021</v>
      </c>
      <c r="B2495" s="11">
        <f>IFERROR(__xludf.DUMMYFUNCTION("""COMPUTED_VALUE"""),9.0)</f>
        <v>9</v>
      </c>
      <c r="C2495" s="11">
        <f>IFERROR(__xludf.DUMMYFUNCTION("""COMPUTED_VALUE"""),117268.0)</f>
        <v>117268</v>
      </c>
      <c r="D2495" s="11">
        <f>IFERROR(__xludf.DUMMYFUNCTION("""COMPUTED_VALUE"""),146.0)</f>
        <v>146</v>
      </c>
      <c r="E2495" s="9"/>
    </row>
    <row r="2496">
      <c r="A2496" s="11">
        <f>IFERROR(__xludf.DUMMYFUNCTION("""COMPUTED_VALUE"""),2021.0)</f>
        <v>2021</v>
      </c>
      <c r="B2496" s="11">
        <f>IFERROR(__xludf.DUMMYFUNCTION("""COMPUTED_VALUE"""),11.0)</f>
        <v>11</v>
      </c>
      <c r="C2496" s="11">
        <f>IFERROR(__xludf.DUMMYFUNCTION("""COMPUTED_VALUE"""),80623.0)</f>
        <v>80623</v>
      </c>
      <c r="D2496" s="11">
        <f>IFERROR(__xludf.DUMMYFUNCTION("""COMPUTED_VALUE"""),749.0)</f>
        <v>749</v>
      </c>
      <c r="E2496" s="9"/>
    </row>
    <row r="2497">
      <c r="A2497" s="11">
        <f>IFERROR(__xludf.DUMMYFUNCTION("""COMPUTED_VALUE"""),2021.0)</f>
        <v>2021</v>
      </c>
      <c r="B2497" s="11">
        <f>IFERROR(__xludf.DUMMYFUNCTION("""COMPUTED_VALUE"""),8.0)</f>
        <v>8</v>
      </c>
      <c r="C2497" s="11">
        <f>IFERROR(__xludf.DUMMYFUNCTION("""COMPUTED_VALUE"""),9698.0)</f>
        <v>9698</v>
      </c>
      <c r="D2497" s="11">
        <f>IFERROR(__xludf.DUMMYFUNCTION("""COMPUTED_VALUE"""),1388.0)</f>
        <v>1388</v>
      </c>
      <c r="E2497" s="9"/>
    </row>
    <row r="2498">
      <c r="A2498" s="11">
        <f>IFERROR(__xludf.DUMMYFUNCTION("""COMPUTED_VALUE"""),2021.0)</f>
        <v>2021</v>
      </c>
      <c r="B2498" s="11">
        <f>IFERROR(__xludf.DUMMYFUNCTION("""COMPUTED_VALUE"""),10.0)</f>
        <v>10</v>
      </c>
      <c r="C2498" s="11">
        <f>IFERROR(__xludf.DUMMYFUNCTION("""COMPUTED_VALUE"""),83102.0)</f>
        <v>83102</v>
      </c>
      <c r="D2498" s="11">
        <f>IFERROR(__xludf.DUMMYFUNCTION("""COMPUTED_VALUE"""),1031.0)</f>
        <v>1031</v>
      </c>
      <c r="E2498" s="9"/>
    </row>
    <row r="2499">
      <c r="A2499" s="11">
        <f>IFERROR(__xludf.DUMMYFUNCTION("""COMPUTED_VALUE"""),2021.0)</f>
        <v>2021</v>
      </c>
      <c r="B2499" s="11">
        <f>IFERROR(__xludf.DUMMYFUNCTION("""COMPUTED_VALUE"""),8.0)</f>
        <v>8</v>
      </c>
      <c r="C2499" s="11">
        <f>IFERROR(__xludf.DUMMYFUNCTION("""COMPUTED_VALUE"""),118271.0)</f>
        <v>118271</v>
      </c>
      <c r="D2499" s="11">
        <f>IFERROR(__xludf.DUMMYFUNCTION("""COMPUTED_VALUE"""),118.0)</f>
        <v>118</v>
      </c>
      <c r="E2499" s="9"/>
    </row>
    <row r="2500">
      <c r="A2500" s="11">
        <f>IFERROR(__xludf.DUMMYFUNCTION("""COMPUTED_VALUE"""),2021.0)</f>
        <v>2021</v>
      </c>
      <c r="B2500" s="11">
        <f>IFERROR(__xludf.DUMMYFUNCTION("""COMPUTED_VALUE"""),10.0)</f>
        <v>10</v>
      </c>
      <c r="C2500" s="11">
        <f>IFERROR(__xludf.DUMMYFUNCTION("""COMPUTED_VALUE"""),41659.0)</f>
        <v>41659</v>
      </c>
      <c r="D2500" s="11">
        <f>IFERROR(__xludf.DUMMYFUNCTION("""COMPUTED_VALUE"""),1280.0)</f>
        <v>1280</v>
      </c>
      <c r="E2500" s="9"/>
    </row>
    <row r="2501">
      <c r="A2501" s="11">
        <f>IFERROR(__xludf.DUMMYFUNCTION("""COMPUTED_VALUE"""),2021.0)</f>
        <v>2021</v>
      </c>
      <c r="B2501" s="11">
        <f>IFERROR(__xludf.DUMMYFUNCTION("""COMPUTED_VALUE"""),11.0)</f>
        <v>11</v>
      </c>
      <c r="C2501" s="11">
        <f>IFERROR(__xludf.DUMMYFUNCTION("""COMPUTED_VALUE"""),81564.0)</f>
        <v>81564</v>
      </c>
      <c r="D2501" s="11">
        <f>IFERROR(__xludf.DUMMYFUNCTION("""COMPUTED_VALUE"""),1697.0)</f>
        <v>1697</v>
      </c>
      <c r="E2501" s="9"/>
    </row>
    <row r="2502">
      <c r="A2502" s="11">
        <f>IFERROR(__xludf.DUMMYFUNCTION("""COMPUTED_VALUE"""),2021.0)</f>
        <v>2021</v>
      </c>
      <c r="B2502" s="11">
        <f>IFERROR(__xludf.DUMMYFUNCTION("""COMPUTED_VALUE"""),11.0)</f>
        <v>11</v>
      </c>
      <c r="C2502" s="11">
        <f>IFERROR(__xludf.DUMMYFUNCTION("""COMPUTED_VALUE"""),110132.0)</f>
        <v>110132</v>
      </c>
      <c r="D2502" s="11">
        <f>IFERROR(__xludf.DUMMYFUNCTION("""COMPUTED_VALUE"""),1366.0)</f>
        <v>1366</v>
      </c>
      <c r="E2502" s="9"/>
    </row>
    <row r="2503">
      <c r="A2503" s="11">
        <f>IFERROR(__xludf.DUMMYFUNCTION("""COMPUTED_VALUE"""),2021.0)</f>
        <v>2021</v>
      </c>
      <c r="B2503" s="11">
        <f>IFERROR(__xludf.DUMMYFUNCTION("""COMPUTED_VALUE"""),9.0)</f>
        <v>9</v>
      </c>
      <c r="C2503" s="11">
        <f>IFERROR(__xludf.DUMMYFUNCTION("""COMPUTED_VALUE"""),17639.0)</f>
        <v>17639</v>
      </c>
      <c r="D2503" s="11">
        <f>IFERROR(__xludf.DUMMYFUNCTION("""COMPUTED_VALUE"""),624.0)</f>
        <v>624</v>
      </c>
      <c r="E2503" s="9"/>
    </row>
    <row r="2504">
      <c r="A2504" s="11">
        <f>IFERROR(__xludf.DUMMYFUNCTION("""COMPUTED_VALUE"""),2021.0)</f>
        <v>2021</v>
      </c>
      <c r="B2504" s="11">
        <f>IFERROR(__xludf.DUMMYFUNCTION("""COMPUTED_VALUE"""),10.0)</f>
        <v>10</v>
      </c>
      <c r="C2504" s="11">
        <f>IFERROR(__xludf.DUMMYFUNCTION("""COMPUTED_VALUE"""),201025.0)</f>
        <v>201025</v>
      </c>
      <c r="D2504" s="11">
        <f>IFERROR(__xludf.DUMMYFUNCTION("""COMPUTED_VALUE"""),1011.0)</f>
        <v>1011</v>
      </c>
      <c r="E2504" s="9"/>
    </row>
    <row r="2505">
      <c r="A2505" s="11">
        <f>IFERROR(__xludf.DUMMYFUNCTION("""COMPUTED_VALUE"""),2021.0)</f>
        <v>2021</v>
      </c>
      <c r="B2505" s="11">
        <f>IFERROR(__xludf.DUMMYFUNCTION("""COMPUTED_VALUE"""),9.0)</f>
        <v>9</v>
      </c>
      <c r="C2505" s="11">
        <f>IFERROR(__xludf.DUMMYFUNCTION("""COMPUTED_VALUE"""),70589.0)</f>
        <v>70589</v>
      </c>
      <c r="D2505" s="11">
        <f>IFERROR(__xludf.DUMMYFUNCTION("""COMPUTED_VALUE"""),1115.0)</f>
        <v>1115</v>
      </c>
      <c r="E2505" s="9"/>
    </row>
    <row r="2506">
      <c r="A2506" s="11">
        <f>IFERROR(__xludf.DUMMYFUNCTION("""COMPUTED_VALUE"""),2021.0)</f>
        <v>2021</v>
      </c>
      <c r="B2506" s="11">
        <f>IFERROR(__xludf.DUMMYFUNCTION("""COMPUTED_VALUE"""),9.0)</f>
        <v>9</v>
      </c>
      <c r="C2506" s="11">
        <f>IFERROR(__xludf.DUMMYFUNCTION("""COMPUTED_VALUE"""),75825.0)</f>
        <v>75825</v>
      </c>
      <c r="D2506" s="11">
        <f>IFERROR(__xludf.DUMMYFUNCTION("""COMPUTED_VALUE"""),1466.0)</f>
        <v>1466</v>
      </c>
      <c r="E2506" s="9"/>
    </row>
    <row r="2507">
      <c r="A2507" s="11">
        <f>IFERROR(__xludf.DUMMYFUNCTION("""COMPUTED_VALUE"""),2021.0)</f>
        <v>2021</v>
      </c>
      <c r="B2507" s="11">
        <f>IFERROR(__xludf.DUMMYFUNCTION("""COMPUTED_VALUE"""),11.0)</f>
        <v>11</v>
      </c>
      <c r="C2507" s="11">
        <f>IFERROR(__xludf.DUMMYFUNCTION("""COMPUTED_VALUE"""),9699.0)</f>
        <v>9699</v>
      </c>
      <c r="D2507" s="11">
        <f>IFERROR(__xludf.DUMMYFUNCTION("""COMPUTED_VALUE"""),1463.0)</f>
        <v>1463</v>
      </c>
      <c r="E2507" s="9"/>
    </row>
    <row r="2508">
      <c r="A2508" s="11">
        <f>IFERROR(__xludf.DUMMYFUNCTION("""COMPUTED_VALUE"""),2021.0)</f>
        <v>2021</v>
      </c>
      <c r="B2508" s="11">
        <f>IFERROR(__xludf.DUMMYFUNCTION("""COMPUTED_VALUE"""),10.0)</f>
        <v>10</v>
      </c>
      <c r="C2508" s="11">
        <f>IFERROR(__xludf.DUMMYFUNCTION("""COMPUTED_VALUE"""),122448.0)</f>
        <v>122448</v>
      </c>
      <c r="D2508" s="11">
        <f>IFERROR(__xludf.DUMMYFUNCTION("""COMPUTED_VALUE"""),1318.0)</f>
        <v>1318</v>
      </c>
      <c r="E2508" s="9"/>
    </row>
    <row r="2509">
      <c r="A2509" s="11">
        <f>IFERROR(__xludf.DUMMYFUNCTION("""COMPUTED_VALUE"""),2021.0)</f>
        <v>2021</v>
      </c>
      <c r="B2509" s="11">
        <f>IFERROR(__xludf.DUMMYFUNCTION("""COMPUTED_VALUE"""),8.0)</f>
        <v>8</v>
      </c>
      <c r="C2509" s="11">
        <f>IFERROR(__xludf.DUMMYFUNCTION("""COMPUTED_VALUE"""),105506.0)</f>
        <v>105506</v>
      </c>
      <c r="D2509" s="11">
        <f>IFERROR(__xludf.DUMMYFUNCTION("""COMPUTED_VALUE"""),1245.0)</f>
        <v>1245</v>
      </c>
      <c r="E2509" s="9"/>
    </row>
    <row r="2510">
      <c r="A2510" s="11">
        <f>IFERROR(__xludf.DUMMYFUNCTION("""COMPUTED_VALUE"""),2021.0)</f>
        <v>2021</v>
      </c>
      <c r="B2510" s="11">
        <f>IFERROR(__xludf.DUMMYFUNCTION("""COMPUTED_VALUE"""),11.0)</f>
        <v>11</v>
      </c>
      <c r="C2510" s="11">
        <f>IFERROR(__xludf.DUMMYFUNCTION("""COMPUTED_VALUE"""),142304.0)</f>
        <v>142304</v>
      </c>
      <c r="D2510" s="11">
        <f>IFERROR(__xludf.DUMMYFUNCTION("""COMPUTED_VALUE"""),1717.0)</f>
        <v>1717</v>
      </c>
      <c r="E2510" s="9"/>
    </row>
    <row r="2511">
      <c r="A2511" s="11">
        <f>IFERROR(__xludf.DUMMYFUNCTION("""COMPUTED_VALUE"""),2021.0)</f>
        <v>2021</v>
      </c>
      <c r="B2511" s="11">
        <f>IFERROR(__xludf.DUMMYFUNCTION("""COMPUTED_VALUE"""),8.0)</f>
        <v>8</v>
      </c>
      <c r="C2511" s="11">
        <f>IFERROR(__xludf.DUMMYFUNCTION("""COMPUTED_VALUE"""),105505.0)</f>
        <v>105505</v>
      </c>
      <c r="D2511" s="11">
        <f>IFERROR(__xludf.DUMMYFUNCTION("""COMPUTED_VALUE"""),1563.0)</f>
        <v>1563</v>
      </c>
      <c r="E2511" s="9"/>
    </row>
    <row r="2512">
      <c r="A2512" s="11">
        <f>IFERROR(__xludf.DUMMYFUNCTION("""COMPUTED_VALUE"""),2021.0)</f>
        <v>2021</v>
      </c>
      <c r="B2512" s="11">
        <f>IFERROR(__xludf.DUMMYFUNCTION("""COMPUTED_VALUE"""),11.0)</f>
        <v>11</v>
      </c>
      <c r="C2512" s="11">
        <f>IFERROR(__xludf.DUMMYFUNCTION("""COMPUTED_VALUE"""),122502.0)</f>
        <v>122502</v>
      </c>
      <c r="D2512" s="11">
        <f>IFERROR(__xludf.DUMMYFUNCTION("""COMPUTED_VALUE"""),101.0)</f>
        <v>101</v>
      </c>
      <c r="E2512" s="9"/>
    </row>
    <row r="2513">
      <c r="A2513" s="11">
        <f>IFERROR(__xludf.DUMMYFUNCTION("""COMPUTED_VALUE"""),2021.0)</f>
        <v>2021</v>
      </c>
      <c r="B2513" s="11">
        <f>IFERROR(__xludf.DUMMYFUNCTION("""COMPUTED_VALUE"""),11.0)</f>
        <v>11</v>
      </c>
      <c r="C2513" s="11">
        <f>IFERROR(__xludf.DUMMYFUNCTION("""COMPUTED_VALUE"""),118264.0)</f>
        <v>118264</v>
      </c>
      <c r="D2513" s="11">
        <f>IFERROR(__xludf.DUMMYFUNCTION("""COMPUTED_VALUE"""),994.0)</f>
        <v>994</v>
      </c>
      <c r="E2513" s="9"/>
    </row>
    <row r="2514">
      <c r="A2514" s="11">
        <f>IFERROR(__xludf.DUMMYFUNCTION("""COMPUTED_VALUE"""),2021.0)</f>
        <v>2021</v>
      </c>
      <c r="B2514" s="11">
        <f>IFERROR(__xludf.DUMMYFUNCTION("""COMPUTED_VALUE"""),10.0)</f>
        <v>10</v>
      </c>
      <c r="C2514" s="11">
        <f>IFERROR(__xludf.DUMMYFUNCTION("""COMPUTED_VALUE"""),17632.0)</f>
        <v>17632</v>
      </c>
      <c r="D2514" s="11">
        <f>IFERROR(__xludf.DUMMYFUNCTION("""COMPUTED_VALUE"""),1263.0)</f>
        <v>1263</v>
      </c>
      <c r="E2514" s="9"/>
    </row>
    <row r="2515">
      <c r="A2515" s="11">
        <f>IFERROR(__xludf.DUMMYFUNCTION("""COMPUTED_VALUE"""),2021.0)</f>
        <v>2021</v>
      </c>
      <c r="B2515" s="11">
        <f>IFERROR(__xludf.DUMMYFUNCTION("""COMPUTED_VALUE"""),9.0)</f>
        <v>9</v>
      </c>
      <c r="C2515" s="11">
        <f>IFERROR(__xludf.DUMMYFUNCTION("""COMPUTED_VALUE"""),108790.0)</f>
        <v>108790</v>
      </c>
      <c r="D2515" s="11">
        <f>IFERROR(__xludf.DUMMYFUNCTION("""COMPUTED_VALUE"""),864.0)</f>
        <v>864</v>
      </c>
      <c r="E2515" s="9"/>
    </row>
    <row r="2516">
      <c r="A2516" s="11">
        <f>IFERROR(__xludf.DUMMYFUNCTION("""COMPUTED_VALUE"""),2021.0)</f>
        <v>2021</v>
      </c>
      <c r="B2516" s="11">
        <f>IFERROR(__xludf.DUMMYFUNCTION("""COMPUTED_VALUE"""),9.0)</f>
        <v>9</v>
      </c>
      <c r="C2516" s="11">
        <f>IFERROR(__xludf.DUMMYFUNCTION("""COMPUTED_VALUE"""),92200.0)</f>
        <v>92200</v>
      </c>
      <c r="D2516" s="11">
        <f>IFERROR(__xludf.DUMMYFUNCTION("""COMPUTED_VALUE"""),1929.0)</f>
        <v>1929</v>
      </c>
      <c r="E2516" s="9"/>
    </row>
    <row r="2517">
      <c r="A2517" s="11">
        <f>IFERROR(__xludf.DUMMYFUNCTION("""COMPUTED_VALUE"""),2021.0)</f>
        <v>2021</v>
      </c>
      <c r="B2517" s="11">
        <f>IFERROR(__xludf.DUMMYFUNCTION("""COMPUTED_VALUE"""),8.0)</f>
        <v>8</v>
      </c>
      <c r="C2517" s="11">
        <f>IFERROR(__xludf.DUMMYFUNCTION("""COMPUTED_VALUE"""),17634.0)</f>
        <v>17634</v>
      </c>
      <c r="D2517" s="11">
        <f>IFERROR(__xludf.DUMMYFUNCTION("""COMPUTED_VALUE"""),1312.0)</f>
        <v>1312</v>
      </c>
      <c r="E2517" s="9"/>
    </row>
    <row r="2518">
      <c r="A2518" s="11">
        <f>IFERROR(__xludf.DUMMYFUNCTION("""COMPUTED_VALUE"""),2021.0)</f>
        <v>2021</v>
      </c>
      <c r="B2518" s="11">
        <f>IFERROR(__xludf.DUMMYFUNCTION("""COMPUTED_VALUE"""),10.0)</f>
        <v>10</v>
      </c>
      <c r="C2518" s="11">
        <f>IFERROR(__xludf.DUMMYFUNCTION("""COMPUTED_VALUE"""),122522.0)</f>
        <v>122522</v>
      </c>
      <c r="D2518" s="11">
        <f>IFERROR(__xludf.DUMMYFUNCTION("""COMPUTED_VALUE"""),1634.0)</f>
        <v>1634</v>
      </c>
      <c r="E2518" s="9"/>
    </row>
    <row r="2519">
      <c r="A2519" s="11">
        <f>IFERROR(__xludf.DUMMYFUNCTION("""COMPUTED_VALUE"""),2021.0)</f>
        <v>2021</v>
      </c>
      <c r="B2519" s="11">
        <f>IFERROR(__xludf.DUMMYFUNCTION("""COMPUTED_VALUE"""),8.0)</f>
        <v>8</v>
      </c>
      <c r="C2519" s="11">
        <f>IFERROR(__xludf.DUMMYFUNCTION("""COMPUTED_VALUE"""),122505.0)</f>
        <v>122505</v>
      </c>
      <c r="D2519" s="11">
        <f>IFERROR(__xludf.DUMMYFUNCTION("""COMPUTED_VALUE"""),1229.0)</f>
        <v>1229</v>
      </c>
      <c r="E2519" s="9"/>
    </row>
    <row r="2520">
      <c r="A2520" s="11">
        <f>IFERROR(__xludf.DUMMYFUNCTION("""COMPUTED_VALUE"""),2021.0)</f>
        <v>2021</v>
      </c>
      <c r="B2520" s="11">
        <f>IFERROR(__xludf.DUMMYFUNCTION("""COMPUTED_VALUE"""),8.0)</f>
        <v>8</v>
      </c>
      <c r="C2520" s="11">
        <f>IFERROR(__xludf.DUMMYFUNCTION("""COMPUTED_VALUE"""),93416.0)</f>
        <v>93416</v>
      </c>
      <c r="D2520" s="11">
        <f>IFERROR(__xludf.DUMMYFUNCTION("""COMPUTED_VALUE"""),473.0)</f>
        <v>473</v>
      </c>
      <c r="E2520" s="9"/>
    </row>
    <row r="2521">
      <c r="A2521" s="11">
        <f>IFERROR(__xludf.DUMMYFUNCTION("""COMPUTED_VALUE"""),2021.0)</f>
        <v>2021</v>
      </c>
      <c r="B2521" s="11">
        <f>IFERROR(__xludf.DUMMYFUNCTION("""COMPUTED_VALUE"""),10.0)</f>
        <v>10</v>
      </c>
      <c r="C2521" s="11">
        <f>IFERROR(__xludf.DUMMYFUNCTION("""COMPUTED_VALUE"""),93406.0)</f>
        <v>93406</v>
      </c>
      <c r="D2521" s="11">
        <f>IFERROR(__xludf.DUMMYFUNCTION("""COMPUTED_VALUE"""),624.0)</f>
        <v>624</v>
      </c>
      <c r="E2521" s="9"/>
    </row>
    <row r="2522">
      <c r="A2522" s="11">
        <f>IFERROR(__xludf.DUMMYFUNCTION("""COMPUTED_VALUE"""),2021.0)</f>
        <v>2021</v>
      </c>
      <c r="B2522" s="11">
        <f>IFERROR(__xludf.DUMMYFUNCTION("""COMPUTED_VALUE"""),8.0)</f>
        <v>8</v>
      </c>
      <c r="C2522" s="11">
        <f>IFERROR(__xludf.DUMMYFUNCTION("""COMPUTED_VALUE"""),69329.0)</f>
        <v>69329</v>
      </c>
      <c r="D2522" s="11">
        <f>IFERROR(__xludf.DUMMYFUNCTION("""COMPUTED_VALUE"""),548.0)</f>
        <v>548</v>
      </c>
      <c r="E2522" s="9"/>
    </row>
    <row r="2523">
      <c r="A2523" s="11">
        <f>IFERROR(__xludf.DUMMYFUNCTION("""COMPUTED_VALUE"""),2021.0)</f>
        <v>2021</v>
      </c>
      <c r="B2523" s="11">
        <f>IFERROR(__xludf.DUMMYFUNCTION("""COMPUTED_VALUE"""),11.0)</f>
        <v>11</v>
      </c>
      <c r="C2523" s="11">
        <f>IFERROR(__xludf.DUMMYFUNCTION("""COMPUTED_VALUE"""),155953.0)</f>
        <v>155953</v>
      </c>
      <c r="D2523" s="11">
        <f>IFERROR(__xludf.DUMMYFUNCTION("""COMPUTED_VALUE"""),1909.0)</f>
        <v>1909</v>
      </c>
      <c r="E2523" s="9"/>
    </row>
    <row r="2524">
      <c r="A2524" s="11">
        <f>IFERROR(__xludf.DUMMYFUNCTION("""COMPUTED_VALUE"""),2021.0)</f>
        <v>2021</v>
      </c>
      <c r="B2524" s="11">
        <f>IFERROR(__xludf.DUMMYFUNCTION("""COMPUTED_VALUE"""),11.0)</f>
        <v>11</v>
      </c>
      <c r="C2524" s="11">
        <f>IFERROR(__xludf.DUMMYFUNCTION("""COMPUTED_VALUE"""),11721.0)</f>
        <v>11721</v>
      </c>
      <c r="D2524" s="11">
        <f>IFERROR(__xludf.DUMMYFUNCTION("""COMPUTED_VALUE"""),1135.0)</f>
        <v>1135</v>
      </c>
      <c r="E2524" s="9"/>
    </row>
    <row r="2525">
      <c r="A2525" s="11">
        <f>IFERROR(__xludf.DUMMYFUNCTION("""COMPUTED_VALUE"""),2021.0)</f>
        <v>2021</v>
      </c>
      <c r="B2525" s="11">
        <f>IFERROR(__xludf.DUMMYFUNCTION("""COMPUTED_VALUE"""),11.0)</f>
        <v>11</v>
      </c>
      <c r="C2525" s="11">
        <f>IFERROR(__xludf.DUMMYFUNCTION("""COMPUTED_VALUE"""),41654.0)</f>
        <v>41654</v>
      </c>
      <c r="D2525" s="11">
        <f>IFERROR(__xludf.DUMMYFUNCTION("""COMPUTED_VALUE"""),1016.0)</f>
        <v>1016</v>
      </c>
      <c r="E2525" s="9"/>
    </row>
    <row r="2526">
      <c r="A2526" s="11">
        <f>IFERROR(__xludf.DUMMYFUNCTION("""COMPUTED_VALUE"""),2021.0)</f>
        <v>2021</v>
      </c>
      <c r="B2526" s="11">
        <f>IFERROR(__xludf.DUMMYFUNCTION("""COMPUTED_VALUE"""),9.0)</f>
        <v>9</v>
      </c>
      <c r="C2526" s="11">
        <f>IFERROR(__xludf.DUMMYFUNCTION("""COMPUTED_VALUE"""),92204.0)</f>
        <v>92204</v>
      </c>
      <c r="D2526" s="11">
        <f>IFERROR(__xludf.DUMMYFUNCTION("""COMPUTED_VALUE"""),1432.0)</f>
        <v>1432</v>
      </c>
      <c r="E2526" s="9"/>
    </row>
    <row r="2527">
      <c r="A2527" s="11">
        <f>IFERROR(__xludf.DUMMYFUNCTION("""COMPUTED_VALUE"""),2021.0)</f>
        <v>2021</v>
      </c>
      <c r="B2527" s="11">
        <f>IFERROR(__xludf.DUMMYFUNCTION("""COMPUTED_VALUE"""),10.0)</f>
        <v>10</v>
      </c>
      <c r="C2527" s="11">
        <f>IFERROR(__xludf.DUMMYFUNCTION("""COMPUTED_VALUE"""),105572.0)</f>
        <v>105572</v>
      </c>
      <c r="D2527" s="11">
        <f>IFERROR(__xludf.DUMMYFUNCTION("""COMPUTED_VALUE"""),1733.0)</f>
        <v>1733</v>
      </c>
      <c r="E2527" s="9"/>
    </row>
    <row r="2528">
      <c r="A2528" s="11">
        <f>IFERROR(__xludf.DUMMYFUNCTION("""COMPUTED_VALUE"""),2021.0)</f>
        <v>2021</v>
      </c>
      <c r="B2528" s="11">
        <f>IFERROR(__xludf.DUMMYFUNCTION("""COMPUTED_VALUE"""),9.0)</f>
        <v>9</v>
      </c>
      <c r="C2528" s="11">
        <f>IFERROR(__xludf.DUMMYFUNCTION("""COMPUTED_VALUE"""),110141.0)</f>
        <v>110141</v>
      </c>
      <c r="D2528" s="11">
        <f>IFERROR(__xludf.DUMMYFUNCTION("""COMPUTED_VALUE"""),526.0)</f>
        <v>526</v>
      </c>
      <c r="E2528" s="9"/>
    </row>
    <row r="2529">
      <c r="A2529" s="11">
        <f>IFERROR(__xludf.DUMMYFUNCTION("""COMPUTED_VALUE"""),2021.0)</f>
        <v>2021</v>
      </c>
      <c r="B2529" s="11">
        <f>IFERROR(__xludf.DUMMYFUNCTION("""COMPUTED_VALUE"""),10.0)</f>
        <v>10</v>
      </c>
      <c r="C2529" s="11">
        <f>IFERROR(__xludf.DUMMYFUNCTION("""COMPUTED_VALUE"""),158471.0)</f>
        <v>158471</v>
      </c>
      <c r="D2529" s="11">
        <f>IFERROR(__xludf.DUMMYFUNCTION("""COMPUTED_VALUE"""),245.0)</f>
        <v>245</v>
      </c>
      <c r="E2529" s="9"/>
    </row>
    <row r="2530">
      <c r="A2530" s="11">
        <f>IFERROR(__xludf.DUMMYFUNCTION("""COMPUTED_VALUE"""),2021.0)</f>
        <v>2021</v>
      </c>
      <c r="B2530" s="11">
        <f>IFERROR(__xludf.DUMMYFUNCTION("""COMPUTED_VALUE"""),8.0)</f>
        <v>8</v>
      </c>
      <c r="C2530" s="11">
        <f>IFERROR(__xludf.DUMMYFUNCTION("""COMPUTED_VALUE"""),120876.0)</f>
        <v>120876</v>
      </c>
      <c r="D2530" s="11">
        <f>IFERROR(__xludf.DUMMYFUNCTION("""COMPUTED_VALUE"""),671.0)</f>
        <v>671</v>
      </c>
      <c r="E2530" s="9"/>
    </row>
    <row r="2531">
      <c r="A2531" s="11">
        <f>IFERROR(__xludf.DUMMYFUNCTION("""COMPUTED_VALUE"""),2021.0)</f>
        <v>2021</v>
      </c>
      <c r="B2531" s="11">
        <f>IFERROR(__xludf.DUMMYFUNCTION("""COMPUTED_VALUE"""),10.0)</f>
        <v>10</v>
      </c>
      <c r="C2531" s="11">
        <f>IFERROR(__xludf.DUMMYFUNCTION("""COMPUTED_VALUE"""),87437.0)</f>
        <v>87437</v>
      </c>
      <c r="D2531" s="11">
        <f>IFERROR(__xludf.DUMMYFUNCTION("""COMPUTED_VALUE"""),376.0)</f>
        <v>376</v>
      </c>
      <c r="E2531" s="9"/>
    </row>
    <row r="2532">
      <c r="A2532" s="11">
        <f>IFERROR(__xludf.DUMMYFUNCTION("""COMPUTED_VALUE"""),2021.0)</f>
        <v>2021</v>
      </c>
      <c r="B2532" s="11">
        <f>IFERROR(__xludf.DUMMYFUNCTION("""COMPUTED_VALUE"""),10.0)</f>
        <v>10</v>
      </c>
      <c r="C2532" s="11">
        <f>IFERROR(__xludf.DUMMYFUNCTION("""COMPUTED_VALUE"""),121462.0)</f>
        <v>121462</v>
      </c>
      <c r="D2532" s="11">
        <f>IFERROR(__xludf.DUMMYFUNCTION("""COMPUTED_VALUE"""),1260.0)</f>
        <v>1260</v>
      </c>
      <c r="E2532" s="9"/>
    </row>
    <row r="2533">
      <c r="A2533" s="11">
        <f>IFERROR(__xludf.DUMMYFUNCTION("""COMPUTED_VALUE"""),2021.0)</f>
        <v>2021</v>
      </c>
      <c r="B2533" s="11">
        <f>IFERROR(__xludf.DUMMYFUNCTION("""COMPUTED_VALUE"""),10.0)</f>
        <v>10</v>
      </c>
      <c r="C2533" s="11">
        <f>IFERROR(__xludf.DUMMYFUNCTION("""COMPUTED_VALUE"""),69471.0)</f>
        <v>69471</v>
      </c>
      <c r="D2533" s="11">
        <f>IFERROR(__xludf.DUMMYFUNCTION("""COMPUTED_VALUE"""),1478.0)</f>
        <v>1478</v>
      </c>
      <c r="E2533" s="9"/>
    </row>
    <row r="2534">
      <c r="A2534" s="11">
        <f>IFERROR(__xludf.DUMMYFUNCTION("""COMPUTED_VALUE"""),2021.0)</f>
        <v>2021</v>
      </c>
      <c r="B2534" s="11">
        <f>IFERROR(__xludf.DUMMYFUNCTION("""COMPUTED_VALUE"""),9.0)</f>
        <v>9</v>
      </c>
      <c r="C2534" s="11">
        <f>IFERROR(__xludf.DUMMYFUNCTION("""COMPUTED_VALUE"""),114904.0)</f>
        <v>114904</v>
      </c>
      <c r="D2534" s="11">
        <f>IFERROR(__xludf.DUMMYFUNCTION("""COMPUTED_VALUE"""),322.0)</f>
        <v>322</v>
      </c>
      <c r="E2534" s="9"/>
    </row>
    <row r="2535">
      <c r="A2535" s="11">
        <f>IFERROR(__xludf.DUMMYFUNCTION("""COMPUTED_VALUE"""),2021.0)</f>
        <v>2021</v>
      </c>
      <c r="B2535" s="11">
        <f>IFERROR(__xludf.DUMMYFUNCTION("""COMPUTED_VALUE"""),9.0)</f>
        <v>9</v>
      </c>
      <c r="C2535" s="11">
        <f>IFERROR(__xludf.DUMMYFUNCTION("""COMPUTED_VALUE"""),113910.0)</f>
        <v>113910</v>
      </c>
      <c r="D2535" s="11">
        <f>IFERROR(__xludf.DUMMYFUNCTION("""COMPUTED_VALUE"""),1468.0)</f>
        <v>1468</v>
      </c>
      <c r="E2535" s="9"/>
    </row>
    <row r="2536">
      <c r="A2536" s="11">
        <f>IFERROR(__xludf.DUMMYFUNCTION("""COMPUTED_VALUE"""),2021.0)</f>
        <v>2021</v>
      </c>
      <c r="B2536" s="11">
        <f>IFERROR(__xludf.DUMMYFUNCTION("""COMPUTED_VALUE"""),9.0)</f>
        <v>9</v>
      </c>
      <c r="C2536" s="11">
        <f>IFERROR(__xludf.DUMMYFUNCTION("""COMPUTED_VALUE"""),18100.0)</f>
        <v>18100</v>
      </c>
      <c r="D2536" s="11">
        <f>IFERROR(__xludf.DUMMYFUNCTION("""COMPUTED_VALUE"""),1691.0)</f>
        <v>1691</v>
      </c>
      <c r="E2536" s="9"/>
    </row>
    <row r="2537">
      <c r="A2537" s="11">
        <f>IFERROR(__xludf.DUMMYFUNCTION("""COMPUTED_VALUE"""),2021.0)</f>
        <v>2021</v>
      </c>
      <c r="B2537" s="11">
        <f>IFERROR(__xludf.DUMMYFUNCTION("""COMPUTED_VALUE"""),8.0)</f>
        <v>8</v>
      </c>
      <c r="C2537" s="11">
        <f>IFERROR(__xludf.DUMMYFUNCTION("""COMPUTED_VALUE"""),114963.0)</f>
        <v>114963</v>
      </c>
      <c r="D2537" s="11">
        <f>IFERROR(__xludf.DUMMYFUNCTION("""COMPUTED_VALUE"""),1808.0)</f>
        <v>1808</v>
      </c>
      <c r="E2537" s="9"/>
    </row>
    <row r="2538">
      <c r="A2538" s="11">
        <f>IFERROR(__xludf.DUMMYFUNCTION("""COMPUTED_VALUE"""),2021.0)</f>
        <v>2021</v>
      </c>
      <c r="B2538" s="11">
        <f>IFERROR(__xludf.DUMMYFUNCTION("""COMPUTED_VALUE"""),9.0)</f>
        <v>9</v>
      </c>
      <c r="C2538" s="11">
        <f>IFERROR(__xludf.DUMMYFUNCTION("""COMPUTED_VALUE"""),121495.0)</f>
        <v>121495</v>
      </c>
      <c r="D2538" s="11">
        <f>IFERROR(__xludf.DUMMYFUNCTION("""COMPUTED_VALUE"""),1629.0)</f>
        <v>1629</v>
      </c>
      <c r="E2538" s="9"/>
    </row>
    <row r="2539">
      <c r="A2539" s="11">
        <f>IFERROR(__xludf.DUMMYFUNCTION("""COMPUTED_VALUE"""),2021.0)</f>
        <v>2021</v>
      </c>
      <c r="B2539" s="11">
        <f>IFERROR(__xludf.DUMMYFUNCTION("""COMPUTED_VALUE"""),9.0)</f>
        <v>9</v>
      </c>
      <c r="C2539" s="11">
        <f>IFERROR(__xludf.DUMMYFUNCTION("""COMPUTED_VALUE"""),83041.0)</f>
        <v>83041</v>
      </c>
      <c r="D2539" s="11">
        <f>IFERROR(__xludf.DUMMYFUNCTION("""COMPUTED_VALUE"""),105.0)</f>
        <v>105</v>
      </c>
      <c r="E2539" s="9"/>
    </row>
    <row r="2540">
      <c r="A2540" s="11">
        <f>IFERROR(__xludf.DUMMYFUNCTION("""COMPUTED_VALUE"""),2021.0)</f>
        <v>2021</v>
      </c>
      <c r="B2540" s="11">
        <f>IFERROR(__xludf.DUMMYFUNCTION("""COMPUTED_VALUE"""),11.0)</f>
        <v>11</v>
      </c>
      <c r="C2540" s="11">
        <f>IFERROR(__xludf.DUMMYFUNCTION("""COMPUTED_VALUE"""),121499.0)</f>
        <v>121499</v>
      </c>
      <c r="D2540" s="11">
        <f>IFERROR(__xludf.DUMMYFUNCTION("""COMPUTED_VALUE"""),1871.0)</f>
        <v>1871</v>
      </c>
      <c r="E2540" s="9"/>
    </row>
    <row r="2541">
      <c r="A2541" s="11">
        <f>IFERROR(__xludf.DUMMYFUNCTION("""COMPUTED_VALUE"""),2021.0)</f>
        <v>2021</v>
      </c>
      <c r="B2541" s="11">
        <f>IFERROR(__xludf.DUMMYFUNCTION("""COMPUTED_VALUE"""),10.0)</f>
        <v>10</v>
      </c>
      <c r="C2541" s="11">
        <f>IFERROR(__xludf.DUMMYFUNCTION("""COMPUTED_VALUE"""),108528.0)</f>
        <v>108528</v>
      </c>
      <c r="D2541" s="11">
        <f>IFERROR(__xludf.DUMMYFUNCTION("""COMPUTED_VALUE"""),617.0)</f>
        <v>617</v>
      </c>
      <c r="E2541" s="9"/>
    </row>
    <row r="2542">
      <c r="A2542" s="11">
        <f>IFERROR(__xludf.DUMMYFUNCTION("""COMPUTED_VALUE"""),2021.0)</f>
        <v>2021</v>
      </c>
      <c r="B2542" s="11">
        <f>IFERROR(__xludf.DUMMYFUNCTION("""COMPUTED_VALUE"""),11.0)</f>
        <v>11</v>
      </c>
      <c r="C2542" s="11">
        <f>IFERROR(__xludf.DUMMYFUNCTION("""COMPUTED_VALUE"""),69547.0)</f>
        <v>69547</v>
      </c>
      <c r="D2542" s="11">
        <f>IFERROR(__xludf.DUMMYFUNCTION("""COMPUTED_VALUE"""),1472.0)</f>
        <v>1472</v>
      </c>
      <c r="E2542" s="9"/>
    </row>
    <row r="2543">
      <c r="A2543" s="11">
        <f>IFERROR(__xludf.DUMMYFUNCTION("""COMPUTED_VALUE"""),2021.0)</f>
        <v>2021</v>
      </c>
      <c r="B2543" s="11">
        <f>IFERROR(__xludf.DUMMYFUNCTION("""COMPUTED_VALUE"""),11.0)</f>
        <v>11</v>
      </c>
      <c r="C2543" s="11">
        <f>IFERROR(__xludf.DUMMYFUNCTION("""COMPUTED_VALUE"""),18126.0)</f>
        <v>18126</v>
      </c>
      <c r="D2543" s="11">
        <f>IFERROR(__xludf.DUMMYFUNCTION("""COMPUTED_VALUE"""),317.0)</f>
        <v>317</v>
      </c>
      <c r="E2543" s="9"/>
    </row>
    <row r="2544">
      <c r="A2544" s="11">
        <f>IFERROR(__xludf.DUMMYFUNCTION("""COMPUTED_VALUE"""),2021.0)</f>
        <v>2021</v>
      </c>
      <c r="B2544" s="11">
        <f>IFERROR(__xludf.DUMMYFUNCTION("""COMPUTED_VALUE"""),9.0)</f>
        <v>9</v>
      </c>
      <c r="C2544" s="11">
        <f>IFERROR(__xludf.DUMMYFUNCTION("""COMPUTED_VALUE"""),121812.0)</f>
        <v>121812</v>
      </c>
      <c r="D2544" s="11">
        <f>IFERROR(__xludf.DUMMYFUNCTION("""COMPUTED_VALUE"""),1294.0)</f>
        <v>1294</v>
      </c>
      <c r="E2544" s="9"/>
    </row>
    <row r="2545">
      <c r="A2545" s="11">
        <f>IFERROR(__xludf.DUMMYFUNCTION("""COMPUTED_VALUE"""),2021.0)</f>
        <v>2021</v>
      </c>
      <c r="B2545" s="11">
        <f>IFERROR(__xludf.DUMMYFUNCTION("""COMPUTED_VALUE"""),9.0)</f>
        <v>9</v>
      </c>
      <c r="C2545" s="11">
        <f>IFERROR(__xludf.DUMMYFUNCTION("""COMPUTED_VALUE"""),81497.0)</f>
        <v>81497</v>
      </c>
      <c r="D2545" s="11">
        <f>IFERROR(__xludf.DUMMYFUNCTION("""COMPUTED_VALUE"""),1530.0)</f>
        <v>1530</v>
      </c>
      <c r="E2545" s="9"/>
    </row>
    <row r="2546">
      <c r="A2546" s="11">
        <f>IFERROR(__xludf.DUMMYFUNCTION("""COMPUTED_VALUE"""),2021.0)</f>
        <v>2021</v>
      </c>
      <c r="B2546" s="11">
        <f>IFERROR(__xludf.DUMMYFUNCTION("""COMPUTED_VALUE"""),10.0)</f>
        <v>10</v>
      </c>
      <c r="C2546" s="11">
        <f>IFERROR(__xludf.DUMMYFUNCTION("""COMPUTED_VALUE"""),121500.0)</f>
        <v>121500</v>
      </c>
      <c r="D2546" s="11">
        <f>IFERROR(__xludf.DUMMYFUNCTION("""COMPUTED_VALUE"""),531.0)</f>
        <v>531</v>
      </c>
      <c r="E2546" s="9"/>
    </row>
    <row r="2547">
      <c r="A2547" s="11">
        <f>IFERROR(__xludf.DUMMYFUNCTION("""COMPUTED_VALUE"""),2021.0)</f>
        <v>2021</v>
      </c>
      <c r="B2547" s="11">
        <f>IFERROR(__xludf.DUMMYFUNCTION("""COMPUTED_VALUE"""),8.0)</f>
        <v>8</v>
      </c>
      <c r="C2547" s="11">
        <f>IFERROR(__xludf.DUMMYFUNCTION("""COMPUTED_VALUE"""),45903.0)</f>
        <v>45903</v>
      </c>
      <c r="D2547" s="11">
        <f>IFERROR(__xludf.DUMMYFUNCTION("""COMPUTED_VALUE"""),1199.0)</f>
        <v>1199</v>
      </c>
      <c r="E2547" s="9"/>
    </row>
    <row r="2548">
      <c r="A2548" s="11">
        <f>IFERROR(__xludf.DUMMYFUNCTION("""COMPUTED_VALUE"""),2021.0)</f>
        <v>2021</v>
      </c>
      <c r="B2548" s="11">
        <f>IFERROR(__xludf.DUMMYFUNCTION("""COMPUTED_VALUE"""),10.0)</f>
        <v>10</v>
      </c>
      <c r="C2548" s="11">
        <f>IFERROR(__xludf.DUMMYFUNCTION("""COMPUTED_VALUE"""),121813.0)</f>
        <v>121813</v>
      </c>
      <c r="D2548" s="11">
        <f>IFERROR(__xludf.DUMMYFUNCTION("""COMPUTED_VALUE"""),1564.0)</f>
        <v>1564</v>
      </c>
      <c r="E2548" s="9"/>
    </row>
    <row r="2549">
      <c r="A2549" s="11">
        <f>IFERROR(__xludf.DUMMYFUNCTION("""COMPUTED_VALUE"""),2021.0)</f>
        <v>2021</v>
      </c>
      <c r="B2549" s="11">
        <f>IFERROR(__xludf.DUMMYFUNCTION("""COMPUTED_VALUE"""),8.0)</f>
        <v>8</v>
      </c>
      <c r="C2549" s="11">
        <f>IFERROR(__xludf.DUMMYFUNCTION("""COMPUTED_VALUE"""),108512.0)</f>
        <v>108512</v>
      </c>
      <c r="D2549" s="11">
        <f>IFERROR(__xludf.DUMMYFUNCTION("""COMPUTED_VALUE"""),567.0)</f>
        <v>567</v>
      </c>
      <c r="E2549" s="9"/>
    </row>
    <row r="2550">
      <c r="A2550" s="11">
        <f>IFERROR(__xludf.DUMMYFUNCTION("""COMPUTED_VALUE"""),2021.0)</f>
        <v>2021</v>
      </c>
      <c r="B2550" s="11">
        <f>IFERROR(__xludf.DUMMYFUNCTION("""COMPUTED_VALUE"""),10.0)</f>
        <v>10</v>
      </c>
      <c r="C2550" s="11">
        <f>IFERROR(__xludf.DUMMYFUNCTION("""COMPUTED_VALUE"""),70189.0)</f>
        <v>70189</v>
      </c>
      <c r="D2550" s="11">
        <f>IFERROR(__xludf.DUMMYFUNCTION("""COMPUTED_VALUE"""),1249.0)</f>
        <v>1249</v>
      </c>
      <c r="E2550" s="9"/>
    </row>
    <row r="2551">
      <c r="A2551" s="11">
        <f>IFERROR(__xludf.DUMMYFUNCTION("""COMPUTED_VALUE"""),2021.0)</f>
        <v>2021</v>
      </c>
      <c r="B2551" s="11">
        <f>IFERROR(__xludf.DUMMYFUNCTION("""COMPUTED_VALUE"""),10.0)</f>
        <v>10</v>
      </c>
      <c r="C2551" s="11">
        <f>IFERROR(__xludf.DUMMYFUNCTION("""COMPUTED_VALUE"""),194057.0)</f>
        <v>194057</v>
      </c>
      <c r="D2551" s="11">
        <f>IFERROR(__xludf.DUMMYFUNCTION("""COMPUTED_VALUE"""),92.0)</f>
        <v>92</v>
      </c>
      <c r="E2551" s="9"/>
    </row>
    <row r="2552">
      <c r="A2552" s="11">
        <f>IFERROR(__xludf.DUMMYFUNCTION("""COMPUTED_VALUE"""),2021.0)</f>
        <v>2021</v>
      </c>
      <c r="B2552" s="11">
        <f>IFERROR(__xludf.DUMMYFUNCTION("""COMPUTED_VALUE"""),8.0)</f>
        <v>8</v>
      </c>
      <c r="C2552" s="11">
        <f>IFERROR(__xludf.DUMMYFUNCTION("""COMPUTED_VALUE"""),121460.0)</f>
        <v>121460</v>
      </c>
      <c r="D2552" s="11">
        <f>IFERROR(__xludf.DUMMYFUNCTION("""COMPUTED_VALUE"""),1272.0)</f>
        <v>1272</v>
      </c>
      <c r="E2552" s="9"/>
    </row>
    <row r="2553">
      <c r="A2553" s="11">
        <f>IFERROR(__xludf.DUMMYFUNCTION("""COMPUTED_VALUE"""),2021.0)</f>
        <v>2021</v>
      </c>
      <c r="B2553" s="11">
        <f>IFERROR(__xludf.DUMMYFUNCTION("""COMPUTED_VALUE"""),11.0)</f>
        <v>11</v>
      </c>
      <c r="C2553" s="11">
        <f>IFERROR(__xludf.DUMMYFUNCTION("""COMPUTED_VALUE"""),121950.0)</f>
        <v>121950</v>
      </c>
      <c r="D2553" s="11">
        <f>IFERROR(__xludf.DUMMYFUNCTION("""COMPUTED_VALUE"""),1132.0)</f>
        <v>1132</v>
      </c>
      <c r="E2553" s="9"/>
    </row>
    <row r="2554">
      <c r="A2554" s="11">
        <f>IFERROR(__xludf.DUMMYFUNCTION("""COMPUTED_VALUE"""),2021.0)</f>
        <v>2021</v>
      </c>
      <c r="B2554" s="11">
        <f>IFERROR(__xludf.DUMMYFUNCTION("""COMPUTED_VALUE"""),11.0)</f>
        <v>11</v>
      </c>
      <c r="C2554" s="11">
        <f>IFERROR(__xludf.DUMMYFUNCTION("""COMPUTED_VALUE"""),121811.0)</f>
        <v>121811</v>
      </c>
      <c r="D2554" s="11">
        <f>IFERROR(__xludf.DUMMYFUNCTION("""COMPUTED_VALUE"""),211.0)</f>
        <v>211</v>
      </c>
      <c r="E2554" s="9"/>
    </row>
    <row r="2555">
      <c r="A2555" s="11">
        <f>IFERROR(__xludf.DUMMYFUNCTION("""COMPUTED_VALUE"""),2021.0)</f>
        <v>2021</v>
      </c>
      <c r="B2555" s="11">
        <f>IFERROR(__xludf.DUMMYFUNCTION("""COMPUTED_VALUE"""),10.0)</f>
        <v>10</v>
      </c>
      <c r="C2555" s="11">
        <f>IFERROR(__xludf.DUMMYFUNCTION("""COMPUTED_VALUE"""),86400.0)</f>
        <v>86400</v>
      </c>
      <c r="D2555" s="11">
        <f>IFERROR(__xludf.DUMMYFUNCTION("""COMPUTED_VALUE"""),1073.0)</f>
        <v>1073</v>
      </c>
      <c r="E2555" s="9"/>
    </row>
    <row r="2556">
      <c r="A2556" s="11">
        <f>IFERROR(__xludf.DUMMYFUNCTION("""COMPUTED_VALUE"""),2021.0)</f>
        <v>2021</v>
      </c>
      <c r="B2556" s="11">
        <f>IFERROR(__xludf.DUMMYFUNCTION("""COMPUTED_VALUE"""),9.0)</f>
        <v>9</v>
      </c>
      <c r="C2556" s="11">
        <f>IFERROR(__xludf.DUMMYFUNCTION("""COMPUTED_VALUE"""),108527.0)</f>
        <v>108527</v>
      </c>
      <c r="D2556" s="11">
        <f>IFERROR(__xludf.DUMMYFUNCTION("""COMPUTED_VALUE"""),652.0)</f>
        <v>652</v>
      </c>
      <c r="E2556" s="9"/>
    </row>
    <row r="2557">
      <c r="A2557" s="11">
        <f>IFERROR(__xludf.DUMMYFUNCTION("""COMPUTED_VALUE"""),2021.0)</f>
        <v>2021</v>
      </c>
      <c r="B2557" s="11">
        <f>IFERROR(__xludf.DUMMYFUNCTION("""COMPUTED_VALUE"""),8.0)</f>
        <v>8</v>
      </c>
      <c r="C2557" s="11">
        <f>IFERROR(__xludf.DUMMYFUNCTION("""COMPUTED_VALUE"""),88622.0)</f>
        <v>88622</v>
      </c>
      <c r="D2557" s="11">
        <f>IFERROR(__xludf.DUMMYFUNCTION("""COMPUTED_VALUE"""),1208.0)</f>
        <v>1208</v>
      </c>
      <c r="E2557" s="9"/>
    </row>
    <row r="2558">
      <c r="A2558" s="11">
        <f>IFERROR(__xludf.DUMMYFUNCTION("""COMPUTED_VALUE"""),2021.0)</f>
        <v>2021</v>
      </c>
      <c r="B2558" s="11">
        <f>IFERROR(__xludf.DUMMYFUNCTION("""COMPUTED_VALUE"""),10.0)</f>
        <v>10</v>
      </c>
      <c r="C2558" s="11">
        <f>IFERROR(__xludf.DUMMYFUNCTION("""COMPUTED_VALUE"""),121803.0)</f>
        <v>121803</v>
      </c>
      <c r="D2558" s="11">
        <f>IFERROR(__xludf.DUMMYFUNCTION("""COMPUTED_VALUE"""),463.0)</f>
        <v>463</v>
      </c>
      <c r="E2558" s="9"/>
    </row>
    <row r="2559">
      <c r="A2559" s="11">
        <f>IFERROR(__xludf.DUMMYFUNCTION("""COMPUTED_VALUE"""),2021.0)</f>
        <v>2021</v>
      </c>
      <c r="B2559" s="11">
        <f>IFERROR(__xludf.DUMMYFUNCTION("""COMPUTED_VALUE"""),10.0)</f>
        <v>10</v>
      </c>
      <c r="C2559" s="11">
        <f>IFERROR(__xludf.DUMMYFUNCTION("""COMPUTED_VALUE"""),87418.0)</f>
        <v>87418</v>
      </c>
      <c r="D2559" s="11">
        <f>IFERROR(__xludf.DUMMYFUNCTION("""COMPUTED_VALUE"""),776.0)</f>
        <v>776</v>
      </c>
      <c r="E2559" s="9"/>
    </row>
    <row r="2560">
      <c r="A2560" s="11">
        <f>IFERROR(__xludf.DUMMYFUNCTION("""COMPUTED_VALUE"""),2021.0)</f>
        <v>2021</v>
      </c>
      <c r="B2560" s="11">
        <f>IFERROR(__xludf.DUMMYFUNCTION("""COMPUTED_VALUE"""),10.0)</f>
        <v>10</v>
      </c>
      <c r="C2560" s="11">
        <f>IFERROR(__xludf.DUMMYFUNCTION("""COMPUTED_VALUE"""),26275.0)</f>
        <v>26275</v>
      </c>
      <c r="D2560" s="11">
        <f>IFERROR(__xludf.DUMMYFUNCTION("""COMPUTED_VALUE"""),540.0)</f>
        <v>540</v>
      </c>
      <c r="E2560" s="9"/>
    </row>
    <row r="2561">
      <c r="A2561" s="11">
        <f>IFERROR(__xludf.DUMMYFUNCTION("""COMPUTED_VALUE"""),2021.0)</f>
        <v>2021</v>
      </c>
      <c r="B2561" s="11">
        <f>IFERROR(__xludf.DUMMYFUNCTION("""COMPUTED_VALUE"""),11.0)</f>
        <v>11</v>
      </c>
      <c r="C2561" s="11">
        <f>IFERROR(__xludf.DUMMYFUNCTION("""COMPUTED_VALUE"""),119229.0)</f>
        <v>119229</v>
      </c>
      <c r="D2561" s="11">
        <f>IFERROR(__xludf.DUMMYFUNCTION("""COMPUTED_VALUE"""),705.0)</f>
        <v>705</v>
      </c>
      <c r="E2561" s="9"/>
    </row>
    <row r="2562">
      <c r="A2562" s="11">
        <f>IFERROR(__xludf.DUMMYFUNCTION("""COMPUTED_VALUE"""),2021.0)</f>
        <v>2021</v>
      </c>
      <c r="B2562" s="11">
        <f>IFERROR(__xludf.DUMMYFUNCTION("""COMPUTED_VALUE"""),10.0)</f>
        <v>10</v>
      </c>
      <c r="C2562" s="11">
        <f>IFERROR(__xludf.DUMMYFUNCTION("""COMPUTED_VALUE"""),74881.0)</f>
        <v>74881</v>
      </c>
      <c r="D2562" s="11">
        <f>IFERROR(__xludf.DUMMYFUNCTION("""COMPUTED_VALUE"""),305.0)</f>
        <v>305</v>
      </c>
      <c r="E2562" s="9"/>
    </row>
    <row r="2563">
      <c r="A2563" s="11">
        <f>IFERROR(__xludf.DUMMYFUNCTION("""COMPUTED_VALUE"""),2021.0)</f>
        <v>2021</v>
      </c>
      <c r="B2563" s="11">
        <f>IFERROR(__xludf.DUMMYFUNCTION("""COMPUTED_VALUE"""),11.0)</f>
        <v>11</v>
      </c>
      <c r="C2563" s="11">
        <f>IFERROR(__xludf.DUMMYFUNCTION("""COMPUTED_VALUE"""),86469.0)</f>
        <v>86469</v>
      </c>
      <c r="D2563" s="11">
        <f>IFERROR(__xludf.DUMMYFUNCTION("""COMPUTED_VALUE"""),388.0)</f>
        <v>388</v>
      </c>
      <c r="E2563" s="9"/>
    </row>
    <row r="2564">
      <c r="A2564" s="11">
        <f>IFERROR(__xludf.DUMMYFUNCTION("""COMPUTED_VALUE"""),2021.0)</f>
        <v>2021</v>
      </c>
      <c r="B2564" s="11">
        <f>IFERROR(__xludf.DUMMYFUNCTION("""COMPUTED_VALUE"""),8.0)</f>
        <v>8</v>
      </c>
      <c r="C2564" s="11">
        <f>IFERROR(__xludf.DUMMYFUNCTION("""COMPUTED_VALUE"""),120798.0)</f>
        <v>120798</v>
      </c>
      <c r="D2564" s="11">
        <f>IFERROR(__xludf.DUMMYFUNCTION("""COMPUTED_VALUE"""),1259.0)</f>
        <v>1259</v>
      </c>
      <c r="E2564" s="9"/>
    </row>
    <row r="2565">
      <c r="A2565" s="11">
        <f>IFERROR(__xludf.DUMMYFUNCTION("""COMPUTED_VALUE"""),2021.0)</f>
        <v>2021</v>
      </c>
      <c r="B2565" s="11">
        <f>IFERROR(__xludf.DUMMYFUNCTION("""COMPUTED_VALUE"""),10.0)</f>
        <v>10</v>
      </c>
      <c r="C2565" s="11">
        <f>IFERROR(__xludf.DUMMYFUNCTION("""COMPUTED_VALUE"""),86479.0)</f>
        <v>86479</v>
      </c>
      <c r="D2565" s="11">
        <f>IFERROR(__xludf.DUMMYFUNCTION("""COMPUTED_VALUE"""),888.0)</f>
        <v>888</v>
      </c>
      <c r="E2565" s="9"/>
    </row>
    <row r="2566">
      <c r="A2566" s="11">
        <f>IFERROR(__xludf.DUMMYFUNCTION("""COMPUTED_VALUE"""),2021.0)</f>
        <v>2021</v>
      </c>
      <c r="B2566" s="11">
        <f>IFERROR(__xludf.DUMMYFUNCTION("""COMPUTED_VALUE"""),10.0)</f>
        <v>10</v>
      </c>
      <c r="C2566" s="11">
        <f>IFERROR(__xludf.DUMMYFUNCTION("""COMPUTED_VALUE"""),80411.0)</f>
        <v>80411</v>
      </c>
      <c r="D2566" s="11">
        <f>IFERROR(__xludf.DUMMYFUNCTION("""COMPUTED_VALUE"""),1357.0)</f>
        <v>1357</v>
      </c>
      <c r="E2566" s="9"/>
    </row>
    <row r="2567">
      <c r="A2567" s="11">
        <f>IFERROR(__xludf.DUMMYFUNCTION("""COMPUTED_VALUE"""),2021.0)</f>
        <v>2021</v>
      </c>
      <c r="B2567" s="11">
        <f>IFERROR(__xludf.DUMMYFUNCTION("""COMPUTED_VALUE"""),10.0)</f>
        <v>10</v>
      </c>
      <c r="C2567" s="11">
        <f>IFERROR(__xludf.DUMMYFUNCTION("""COMPUTED_VALUE"""),120797.0)</f>
        <v>120797</v>
      </c>
      <c r="D2567" s="11">
        <f>IFERROR(__xludf.DUMMYFUNCTION("""COMPUTED_VALUE"""),1517.0)</f>
        <v>1517</v>
      </c>
      <c r="E2567" s="9"/>
    </row>
    <row r="2568">
      <c r="A2568" s="11">
        <f>IFERROR(__xludf.DUMMYFUNCTION("""COMPUTED_VALUE"""),2021.0)</f>
        <v>2021</v>
      </c>
      <c r="B2568" s="11">
        <f>IFERROR(__xludf.DUMMYFUNCTION("""COMPUTED_VALUE"""),8.0)</f>
        <v>8</v>
      </c>
      <c r="C2568" s="11">
        <f>IFERROR(__xludf.DUMMYFUNCTION("""COMPUTED_VALUE"""),86480.0)</f>
        <v>86480</v>
      </c>
      <c r="D2568" s="11">
        <f>IFERROR(__xludf.DUMMYFUNCTION("""COMPUTED_VALUE"""),85.0)</f>
        <v>85</v>
      </c>
      <c r="E2568" s="9"/>
    </row>
    <row r="2569">
      <c r="A2569" s="11">
        <f>IFERROR(__xludf.DUMMYFUNCTION("""COMPUTED_VALUE"""),2021.0)</f>
        <v>2021</v>
      </c>
      <c r="B2569" s="11">
        <f>IFERROR(__xludf.DUMMYFUNCTION("""COMPUTED_VALUE"""),9.0)</f>
        <v>9</v>
      </c>
      <c r="C2569" s="11">
        <f>IFERROR(__xludf.DUMMYFUNCTION("""COMPUTED_VALUE"""),86478.0)</f>
        <v>86478</v>
      </c>
      <c r="D2569" s="11">
        <f>IFERROR(__xludf.DUMMYFUNCTION("""COMPUTED_VALUE"""),1386.0)</f>
        <v>1386</v>
      </c>
      <c r="E2569" s="9"/>
    </row>
    <row r="2570">
      <c r="A2570" s="11">
        <f>IFERROR(__xludf.DUMMYFUNCTION("""COMPUTED_VALUE"""),2021.0)</f>
        <v>2021</v>
      </c>
      <c r="B2570" s="11">
        <f>IFERROR(__xludf.DUMMYFUNCTION("""COMPUTED_VALUE"""),8.0)</f>
        <v>8</v>
      </c>
      <c r="C2570" s="11">
        <f>IFERROR(__xludf.DUMMYFUNCTION("""COMPUTED_VALUE"""),118887.0)</f>
        <v>118887</v>
      </c>
      <c r="D2570" s="11">
        <f>IFERROR(__xludf.DUMMYFUNCTION("""COMPUTED_VALUE"""),524.0)</f>
        <v>524</v>
      </c>
      <c r="E2570" s="9"/>
    </row>
    <row r="2571">
      <c r="A2571" s="11">
        <f>IFERROR(__xludf.DUMMYFUNCTION("""COMPUTED_VALUE"""),2021.0)</f>
        <v>2021</v>
      </c>
      <c r="B2571" s="11">
        <f>IFERROR(__xludf.DUMMYFUNCTION("""COMPUTED_VALUE"""),11.0)</f>
        <v>11</v>
      </c>
      <c r="C2571" s="11">
        <f>IFERROR(__xludf.DUMMYFUNCTION("""COMPUTED_VALUE"""),121802.0)</f>
        <v>121802</v>
      </c>
      <c r="D2571" s="11">
        <f>IFERROR(__xludf.DUMMYFUNCTION("""COMPUTED_VALUE"""),469.0)</f>
        <v>469</v>
      </c>
      <c r="E2571" s="9"/>
    </row>
    <row r="2572">
      <c r="A2572" s="11">
        <f>IFERROR(__xludf.DUMMYFUNCTION("""COMPUTED_VALUE"""),2021.0)</f>
        <v>2021</v>
      </c>
      <c r="B2572" s="11">
        <f>IFERROR(__xludf.DUMMYFUNCTION("""COMPUTED_VALUE"""),9.0)</f>
        <v>9</v>
      </c>
      <c r="C2572" s="11">
        <f>IFERROR(__xludf.DUMMYFUNCTION("""COMPUTED_VALUE"""),87440.0)</f>
        <v>87440</v>
      </c>
      <c r="D2572" s="11">
        <f>IFERROR(__xludf.DUMMYFUNCTION("""COMPUTED_VALUE"""),1785.0)</f>
        <v>1785</v>
      </c>
      <c r="E2572" s="9"/>
    </row>
    <row r="2573">
      <c r="A2573" s="11">
        <f>IFERROR(__xludf.DUMMYFUNCTION("""COMPUTED_VALUE"""),2021.0)</f>
        <v>2021</v>
      </c>
      <c r="B2573" s="11">
        <f>IFERROR(__xludf.DUMMYFUNCTION("""COMPUTED_VALUE"""),10.0)</f>
        <v>10</v>
      </c>
      <c r="C2573" s="11">
        <f>IFERROR(__xludf.DUMMYFUNCTION("""COMPUTED_VALUE"""),86477.0)</f>
        <v>86477</v>
      </c>
      <c r="D2573" s="11">
        <f>IFERROR(__xludf.DUMMYFUNCTION("""COMPUTED_VALUE"""),369.0)</f>
        <v>369</v>
      </c>
      <c r="E2573" s="9"/>
    </row>
    <row r="2574">
      <c r="A2574" s="11">
        <f>IFERROR(__xludf.DUMMYFUNCTION("""COMPUTED_VALUE"""),2021.0)</f>
        <v>2021</v>
      </c>
      <c r="B2574" s="11">
        <f>IFERROR(__xludf.DUMMYFUNCTION("""COMPUTED_VALUE"""),11.0)</f>
        <v>11</v>
      </c>
      <c r="C2574" s="11">
        <f>IFERROR(__xludf.DUMMYFUNCTION("""COMPUTED_VALUE"""),83059.0)</f>
        <v>83059</v>
      </c>
      <c r="D2574" s="11">
        <f>IFERROR(__xludf.DUMMYFUNCTION("""COMPUTED_VALUE"""),1652.0)</f>
        <v>1652</v>
      </c>
      <c r="E2574" s="9"/>
    </row>
    <row r="2575">
      <c r="A2575" s="11">
        <f>IFERROR(__xludf.DUMMYFUNCTION("""COMPUTED_VALUE"""),2021.0)</f>
        <v>2021</v>
      </c>
      <c r="B2575" s="11">
        <f>IFERROR(__xludf.DUMMYFUNCTION("""COMPUTED_VALUE"""),11.0)</f>
        <v>11</v>
      </c>
      <c r="C2575" s="11">
        <f>IFERROR(__xludf.DUMMYFUNCTION("""COMPUTED_VALUE"""),86449.0)</f>
        <v>86449</v>
      </c>
      <c r="D2575" s="11">
        <f>IFERROR(__xludf.DUMMYFUNCTION("""COMPUTED_VALUE"""),75.0)</f>
        <v>75</v>
      </c>
      <c r="E2575" s="9"/>
    </row>
    <row r="2576">
      <c r="A2576" s="11">
        <f>IFERROR(__xludf.DUMMYFUNCTION("""COMPUTED_VALUE"""),2021.0)</f>
        <v>2021</v>
      </c>
      <c r="B2576" s="11">
        <f>IFERROR(__xludf.DUMMYFUNCTION("""COMPUTED_VALUE"""),8.0)</f>
        <v>8</v>
      </c>
      <c r="C2576" s="11">
        <f>IFERROR(__xludf.DUMMYFUNCTION("""COMPUTED_VALUE"""),86416.0)</f>
        <v>86416</v>
      </c>
      <c r="D2576" s="11">
        <f>IFERROR(__xludf.DUMMYFUNCTION("""COMPUTED_VALUE"""),1363.0)</f>
        <v>1363</v>
      </c>
      <c r="E2576" s="9"/>
    </row>
    <row r="2577">
      <c r="A2577" s="11">
        <f>IFERROR(__xludf.DUMMYFUNCTION("""COMPUTED_VALUE"""),2021.0)</f>
        <v>2021</v>
      </c>
      <c r="B2577" s="11">
        <f>IFERROR(__xludf.DUMMYFUNCTION("""COMPUTED_VALUE"""),11.0)</f>
        <v>11</v>
      </c>
      <c r="C2577" s="11">
        <f>IFERROR(__xludf.DUMMYFUNCTION("""COMPUTED_VALUE"""),83064.0)</f>
        <v>83064</v>
      </c>
      <c r="D2577" s="11">
        <f>IFERROR(__xludf.DUMMYFUNCTION("""COMPUTED_VALUE"""),1388.0)</f>
        <v>1388</v>
      </c>
      <c r="E2577" s="9"/>
    </row>
    <row r="2578">
      <c r="A2578" s="11">
        <f>IFERROR(__xludf.DUMMYFUNCTION("""COMPUTED_VALUE"""),2021.0)</f>
        <v>2021</v>
      </c>
      <c r="B2578" s="11">
        <f>IFERROR(__xludf.DUMMYFUNCTION("""COMPUTED_VALUE"""),11.0)</f>
        <v>11</v>
      </c>
      <c r="C2578" s="11">
        <f>IFERROR(__xludf.DUMMYFUNCTION("""COMPUTED_VALUE"""),108514.0)</f>
        <v>108514</v>
      </c>
      <c r="D2578" s="11">
        <f>IFERROR(__xludf.DUMMYFUNCTION("""COMPUTED_VALUE"""),1184.0)</f>
        <v>1184</v>
      </c>
      <c r="E2578" s="9"/>
    </row>
    <row r="2579">
      <c r="A2579" s="11">
        <f>IFERROR(__xludf.DUMMYFUNCTION("""COMPUTED_VALUE"""),2021.0)</f>
        <v>2021</v>
      </c>
      <c r="B2579" s="11">
        <f>IFERROR(__xludf.DUMMYFUNCTION("""COMPUTED_VALUE"""),9.0)</f>
        <v>9</v>
      </c>
      <c r="C2579" s="11">
        <f>IFERROR(__xludf.DUMMYFUNCTION("""COMPUTED_VALUE"""),86454.0)</f>
        <v>86454</v>
      </c>
      <c r="D2579" s="11">
        <f>IFERROR(__xludf.DUMMYFUNCTION("""COMPUTED_VALUE"""),891.0)</f>
        <v>891</v>
      </c>
      <c r="E2579" s="9"/>
    </row>
    <row r="2580">
      <c r="A2580" s="11">
        <f>IFERROR(__xludf.DUMMYFUNCTION("""COMPUTED_VALUE"""),2021.0)</f>
        <v>2021</v>
      </c>
      <c r="B2580" s="11">
        <f>IFERROR(__xludf.DUMMYFUNCTION("""COMPUTED_VALUE"""),10.0)</f>
        <v>10</v>
      </c>
      <c r="C2580" s="11">
        <f>IFERROR(__xludf.DUMMYFUNCTION("""COMPUTED_VALUE"""),143238.0)</f>
        <v>143238</v>
      </c>
      <c r="D2580" s="11">
        <f>IFERROR(__xludf.DUMMYFUNCTION("""COMPUTED_VALUE"""),851.0)</f>
        <v>851</v>
      </c>
      <c r="E2580" s="9"/>
    </row>
    <row r="2581">
      <c r="A2581" s="11">
        <f>IFERROR(__xludf.DUMMYFUNCTION("""COMPUTED_VALUE"""),2021.0)</f>
        <v>2021</v>
      </c>
      <c r="B2581" s="11">
        <f>IFERROR(__xludf.DUMMYFUNCTION("""COMPUTED_VALUE"""),9.0)</f>
        <v>9</v>
      </c>
      <c r="C2581" s="11">
        <f>IFERROR(__xludf.DUMMYFUNCTION("""COMPUTED_VALUE"""),107070.0)</f>
        <v>107070</v>
      </c>
      <c r="D2581" s="11">
        <f>IFERROR(__xludf.DUMMYFUNCTION("""COMPUTED_VALUE"""),680.0)</f>
        <v>680</v>
      </c>
      <c r="E2581" s="9"/>
    </row>
    <row r="2582">
      <c r="A2582" s="11">
        <f>IFERROR(__xludf.DUMMYFUNCTION("""COMPUTED_VALUE"""),2021.0)</f>
        <v>2021</v>
      </c>
      <c r="B2582" s="11">
        <f>IFERROR(__xludf.DUMMYFUNCTION("""COMPUTED_VALUE"""),11.0)</f>
        <v>11</v>
      </c>
      <c r="C2582" s="11">
        <f>IFERROR(__xludf.DUMMYFUNCTION("""COMPUTED_VALUE"""),114467.0)</f>
        <v>114467</v>
      </c>
      <c r="D2582" s="11">
        <f>IFERROR(__xludf.DUMMYFUNCTION("""COMPUTED_VALUE"""),1389.0)</f>
        <v>1389</v>
      </c>
      <c r="E2582" s="9"/>
    </row>
    <row r="2583">
      <c r="A2583" s="11">
        <f>IFERROR(__xludf.DUMMYFUNCTION("""COMPUTED_VALUE"""),2021.0)</f>
        <v>2021</v>
      </c>
      <c r="B2583" s="11">
        <f>IFERROR(__xludf.DUMMYFUNCTION("""COMPUTED_VALUE"""),10.0)</f>
        <v>10</v>
      </c>
      <c r="C2583" s="11">
        <f>IFERROR(__xludf.DUMMYFUNCTION("""COMPUTED_VALUE"""),143237.0)</f>
        <v>143237</v>
      </c>
      <c r="D2583" s="11">
        <f>IFERROR(__xludf.DUMMYFUNCTION("""COMPUTED_VALUE"""),645.0)</f>
        <v>645</v>
      </c>
      <c r="E2583" s="9"/>
    </row>
    <row r="2584">
      <c r="A2584" s="11">
        <f>IFERROR(__xludf.DUMMYFUNCTION("""COMPUTED_VALUE"""),2021.0)</f>
        <v>2021</v>
      </c>
      <c r="B2584" s="11">
        <f>IFERROR(__xludf.DUMMYFUNCTION("""COMPUTED_VALUE"""),11.0)</f>
        <v>11</v>
      </c>
      <c r="C2584" s="11">
        <f>IFERROR(__xludf.DUMMYFUNCTION("""COMPUTED_VALUE"""),86417.0)</f>
        <v>86417</v>
      </c>
      <c r="D2584" s="11">
        <f>IFERROR(__xludf.DUMMYFUNCTION("""COMPUTED_VALUE"""),580.0)</f>
        <v>580</v>
      </c>
      <c r="E2584" s="9"/>
    </row>
    <row r="2585">
      <c r="A2585" s="11">
        <f>IFERROR(__xludf.DUMMYFUNCTION("""COMPUTED_VALUE"""),2021.0)</f>
        <v>2021</v>
      </c>
      <c r="B2585" s="11">
        <f>IFERROR(__xludf.DUMMYFUNCTION("""COMPUTED_VALUE"""),9.0)</f>
        <v>9</v>
      </c>
      <c r="C2585" s="11">
        <f>IFERROR(__xludf.DUMMYFUNCTION("""COMPUTED_VALUE"""),147317.0)</f>
        <v>147317</v>
      </c>
      <c r="D2585" s="11">
        <f>IFERROR(__xludf.DUMMYFUNCTION("""COMPUTED_VALUE"""),809.0)</f>
        <v>809</v>
      </c>
      <c r="E2585" s="9"/>
    </row>
    <row r="2586">
      <c r="A2586" s="11">
        <f>IFERROR(__xludf.DUMMYFUNCTION("""COMPUTED_VALUE"""),2021.0)</f>
        <v>2021</v>
      </c>
      <c r="B2586" s="11">
        <f>IFERROR(__xludf.DUMMYFUNCTION("""COMPUTED_VALUE"""),9.0)</f>
        <v>9</v>
      </c>
      <c r="C2586" s="11">
        <f>IFERROR(__xludf.DUMMYFUNCTION("""COMPUTED_VALUE"""),122177.0)</f>
        <v>122177</v>
      </c>
      <c r="D2586" s="11">
        <f>IFERROR(__xludf.DUMMYFUNCTION("""COMPUTED_VALUE"""),301.0)</f>
        <v>301</v>
      </c>
      <c r="E2586" s="9"/>
    </row>
    <row r="2587">
      <c r="A2587" s="11">
        <f>IFERROR(__xludf.DUMMYFUNCTION("""COMPUTED_VALUE"""),2021.0)</f>
        <v>2021</v>
      </c>
      <c r="B2587" s="11">
        <f>IFERROR(__xludf.DUMMYFUNCTION("""COMPUTED_VALUE"""),8.0)</f>
        <v>8</v>
      </c>
      <c r="C2587" s="11">
        <f>IFERROR(__xludf.DUMMYFUNCTION("""COMPUTED_VALUE"""),114909.0)</f>
        <v>114909</v>
      </c>
      <c r="D2587" s="11">
        <f>IFERROR(__xludf.DUMMYFUNCTION("""COMPUTED_VALUE"""),523.0)</f>
        <v>523</v>
      </c>
      <c r="E2587" s="9"/>
    </row>
    <row r="2588">
      <c r="A2588" s="11">
        <f>IFERROR(__xludf.DUMMYFUNCTION("""COMPUTED_VALUE"""),2021.0)</f>
        <v>2021</v>
      </c>
      <c r="B2588" s="11">
        <f>IFERROR(__xludf.DUMMYFUNCTION("""COMPUTED_VALUE"""),10.0)</f>
        <v>10</v>
      </c>
      <c r="C2588" s="11">
        <f>IFERROR(__xludf.DUMMYFUNCTION("""COMPUTED_VALUE"""),119230.0)</f>
        <v>119230</v>
      </c>
      <c r="D2588" s="11">
        <f>IFERROR(__xludf.DUMMYFUNCTION("""COMPUTED_VALUE"""),842.0)</f>
        <v>842</v>
      </c>
      <c r="E2588" s="9"/>
    </row>
    <row r="2589">
      <c r="A2589" s="11">
        <f>IFERROR(__xludf.DUMMYFUNCTION("""COMPUTED_VALUE"""),2021.0)</f>
        <v>2021</v>
      </c>
      <c r="B2589" s="11">
        <f>IFERROR(__xludf.DUMMYFUNCTION("""COMPUTED_VALUE"""),11.0)</f>
        <v>11</v>
      </c>
      <c r="C2589" s="11">
        <f>IFERROR(__xludf.DUMMYFUNCTION("""COMPUTED_VALUE"""),107109.0)</f>
        <v>107109</v>
      </c>
      <c r="D2589" s="11">
        <f>IFERROR(__xludf.DUMMYFUNCTION("""COMPUTED_VALUE"""),1703.0)</f>
        <v>1703</v>
      </c>
      <c r="E2589" s="9"/>
    </row>
    <row r="2590">
      <c r="A2590" s="11">
        <f>IFERROR(__xludf.DUMMYFUNCTION("""COMPUTED_VALUE"""),2021.0)</f>
        <v>2021</v>
      </c>
      <c r="B2590" s="11">
        <f>IFERROR(__xludf.DUMMYFUNCTION("""COMPUTED_VALUE"""),10.0)</f>
        <v>10</v>
      </c>
      <c r="C2590" s="11">
        <f>IFERROR(__xludf.DUMMYFUNCTION("""COMPUTED_VALUE"""),121461.0)</f>
        <v>121461</v>
      </c>
      <c r="D2590" s="11">
        <f>IFERROR(__xludf.DUMMYFUNCTION("""COMPUTED_VALUE"""),1511.0)</f>
        <v>1511</v>
      </c>
      <c r="E2590" s="9"/>
    </row>
    <row r="2591">
      <c r="A2591" s="11">
        <f>IFERROR(__xludf.DUMMYFUNCTION("""COMPUTED_VALUE"""),2021.0)</f>
        <v>2021</v>
      </c>
      <c r="B2591" s="11">
        <f>IFERROR(__xludf.DUMMYFUNCTION("""COMPUTED_VALUE"""),11.0)</f>
        <v>11</v>
      </c>
      <c r="C2591" s="11">
        <f>IFERROR(__xludf.DUMMYFUNCTION("""COMPUTED_VALUE"""),86413.0)</f>
        <v>86413</v>
      </c>
      <c r="D2591" s="11">
        <f>IFERROR(__xludf.DUMMYFUNCTION("""COMPUTED_VALUE"""),1225.0)</f>
        <v>1225</v>
      </c>
      <c r="E2591" s="9"/>
    </row>
    <row r="2592">
      <c r="A2592" s="11">
        <f>IFERROR(__xludf.DUMMYFUNCTION("""COMPUTED_VALUE"""),2021.0)</f>
        <v>2021</v>
      </c>
      <c r="B2592" s="11">
        <f>IFERROR(__xludf.DUMMYFUNCTION("""COMPUTED_VALUE"""),9.0)</f>
        <v>9</v>
      </c>
      <c r="C2592" s="11">
        <f>IFERROR(__xludf.DUMMYFUNCTION("""COMPUTED_VALUE"""),108511.0)</f>
        <v>108511</v>
      </c>
      <c r="D2592" s="11">
        <f>IFERROR(__xludf.DUMMYFUNCTION("""COMPUTED_VALUE"""),1597.0)</f>
        <v>1597</v>
      </c>
      <c r="E2592" s="9"/>
    </row>
    <row r="2593">
      <c r="A2593" s="11">
        <f>IFERROR(__xludf.DUMMYFUNCTION("""COMPUTED_VALUE"""),2021.0)</f>
        <v>2021</v>
      </c>
      <c r="B2593" s="11">
        <f>IFERROR(__xludf.DUMMYFUNCTION("""COMPUTED_VALUE"""),10.0)</f>
        <v>10</v>
      </c>
      <c r="C2593" s="11">
        <f>IFERROR(__xludf.DUMMYFUNCTION("""COMPUTED_VALUE"""),120877.0)</f>
        <v>120877</v>
      </c>
      <c r="D2593" s="11">
        <f>IFERROR(__xludf.DUMMYFUNCTION("""COMPUTED_VALUE"""),1712.0)</f>
        <v>1712</v>
      </c>
      <c r="E2593" s="9"/>
    </row>
    <row r="2594">
      <c r="A2594" s="11">
        <f>IFERROR(__xludf.DUMMYFUNCTION("""COMPUTED_VALUE"""),2021.0)</f>
        <v>2021</v>
      </c>
      <c r="B2594" s="11">
        <f>IFERROR(__xludf.DUMMYFUNCTION("""COMPUTED_VALUE"""),11.0)</f>
        <v>11</v>
      </c>
      <c r="C2594" s="11">
        <f>IFERROR(__xludf.DUMMYFUNCTION("""COMPUTED_VALUE"""),194052.0)</f>
        <v>194052</v>
      </c>
      <c r="D2594" s="11">
        <f>IFERROR(__xludf.DUMMYFUNCTION("""COMPUTED_VALUE"""),785.0)</f>
        <v>785</v>
      </c>
      <c r="E2594" s="9"/>
    </row>
    <row r="2595">
      <c r="A2595" s="11">
        <f>IFERROR(__xludf.DUMMYFUNCTION("""COMPUTED_VALUE"""),2021.0)</f>
        <v>2021</v>
      </c>
      <c r="B2595" s="11">
        <f>IFERROR(__xludf.DUMMYFUNCTION("""COMPUTED_VALUE"""),8.0)</f>
        <v>8</v>
      </c>
      <c r="C2595" s="11">
        <f>IFERROR(__xludf.DUMMYFUNCTION("""COMPUTED_VALUE"""),121493.0)</f>
        <v>121493</v>
      </c>
      <c r="D2595" s="11">
        <f>IFERROR(__xludf.DUMMYFUNCTION("""COMPUTED_VALUE"""),1882.0)</f>
        <v>1882</v>
      </c>
      <c r="E2595" s="9"/>
    </row>
    <row r="2596">
      <c r="A2596" s="11">
        <f>IFERROR(__xludf.DUMMYFUNCTION("""COMPUTED_VALUE"""),2021.0)</f>
        <v>2021</v>
      </c>
      <c r="B2596" s="11">
        <f>IFERROR(__xludf.DUMMYFUNCTION("""COMPUTED_VALUE"""),10.0)</f>
        <v>10</v>
      </c>
      <c r="C2596" s="11">
        <f>IFERROR(__xludf.DUMMYFUNCTION("""COMPUTED_VALUE"""),121479.0)</f>
        <v>121479</v>
      </c>
      <c r="D2596" s="11">
        <f>IFERROR(__xludf.DUMMYFUNCTION("""COMPUTED_VALUE"""),1649.0)</f>
        <v>1649</v>
      </c>
      <c r="E2596" s="9"/>
    </row>
    <row r="2597">
      <c r="A2597" s="11">
        <f>IFERROR(__xludf.DUMMYFUNCTION("""COMPUTED_VALUE"""),2021.0)</f>
        <v>2021</v>
      </c>
      <c r="B2597" s="11">
        <f>IFERROR(__xludf.DUMMYFUNCTION("""COMPUTED_VALUE"""),8.0)</f>
        <v>8</v>
      </c>
      <c r="C2597" s="11">
        <f>IFERROR(__xludf.DUMMYFUNCTION("""COMPUTED_VALUE"""),79011.0)</f>
        <v>79011</v>
      </c>
      <c r="D2597" s="11">
        <f>IFERROR(__xludf.DUMMYFUNCTION("""COMPUTED_VALUE"""),982.0)</f>
        <v>982</v>
      </c>
      <c r="E2597" s="9"/>
    </row>
    <row r="2598">
      <c r="A2598" s="11">
        <f>IFERROR(__xludf.DUMMYFUNCTION("""COMPUTED_VALUE"""),2021.0)</f>
        <v>2021</v>
      </c>
      <c r="B2598" s="11">
        <f>IFERROR(__xludf.DUMMYFUNCTION("""COMPUTED_VALUE"""),10.0)</f>
        <v>10</v>
      </c>
      <c r="C2598" s="11">
        <f>IFERROR(__xludf.DUMMYFUNCTION("""COMPUTED_VALUE"""),86470.0)</f>
        <v>86470</v>
      </c>
      <c r="D2598" s="11">
        <f>IFERROR(__xludf.DUMMYFUNCTION("""COMPUTED_VALUE"""),1097.0)</f>
        <v>1097</v>
      </c>
      <c r="E2598" s="9"/>
    </row>
    <row r="2599">
      <c r="A2599" s="11">
        <f>IFERROR(__xludf.DUMMYFUNCTION("""COMPUTED_VALUE"""),2021.0)</f>
        <v>2021</v>
      </c>
      <c r="B2599" s="11">
        <f>IFERROR(__xludf.DUMMYFUNCTION("""COMPUTED_VALUE"""),8.0)</f>
        <v>8</v>
      </c>
      <c r="C2599" s="11">
        <f>IFERROR(__xludf.DUMMYFUNCTION("""COMPUTED_VALUE"""),194997.0)</f>
        <v>194997</v>
      </c>
      <c r="D2599" s="11">
        <f>IFERROR(__xludf.DUMMYFUNCTION("""COMPUTED_VALUE"""),821.0)</f>
        <v>821</v>
      </c>
      <c r="E2599" s="9"/>
    </row>
    <row r="2600">
      <c r="A2600" s="11">
        <f>IFERROR(__xludf.DUMMYFUNCTION("""COMPUTED_VALUE"""),2021.0)</f>
        <v>2021</v>
      </c>
      <c r="B2600" s="11">
        <f>IFERROR(__xludf.DUMMYFUNCTION("""COMPUTED_VALUE"""),10.0)</f>
        <v>10</v>
      </c>
      <c r="C2600" s="11">
        <f>IFERROR(__xludf.DUMMYFUNCTION("""COMPUTED_VALUE"""),108515.0)</f>
        <v>108515</v>
      </c>
      <c r="D2600" s="11">
        <f>IFERROR(__xludf.DUMMYFUNCTION("""COMPUTED_VALUE"""),45.0)</f>
        <v>45</v>
      </c>
      <c r="E2600" s="9"/>
    </row>
    <row r="2601">
      <c r="A2601" s="11">
        <f>IFERROR(__xludf.DUMMYFUNCTION("""COMPUTED_VALUE"""),2021.0)</f>
        <v>2021</v>
      </c>
      <c r="B2601" s="11">
        <f>IFERROR(__xludf.DUMMYFUNCTION("""COMPUTED_VALUE"""),10.0)</f>
        <v>10</v>
      </c>
      <c r="C2601" s="11">
        <f>IFERROR(__xludf.DUMMYFUNCTION("""COMPUTED_VALUE"""),69346.0)</f>
        <v>69346</v>
      </c>
      <c r="D2601" s="11">
        <f>IFERROR(__xludf.DUMMYFUNCTION("""COMPUTED_VALUE"""),270.0)</f>
        <v>270</v>
      </c>
      <c r="E2601" s="9"/>
    </row>
    <row r="2602">
      <c r="A2602" s="11">
        <f>IFERROR(__xludf.DUMMYFUNCTION("""COMPUTED_VALUE"""),2021.0)</f>
        <v>2021</v>
      </c>
      <c r="B2602" s="11">
        <f>IFERROR(__xludf.DUMMYFUNCTION("""COMPUTED_VALUE"""),10.0)</f>
        <v>10</v>
      </c>
      <c r="C2602" s="11">
        <f>IFERROR(__xludf.DUMMYFUNCTION("""COMPUTED_VALUE"""),119971.0)</f>
        <v>119971</v>
      </c>
      <c r="D2602" s="11">
        <f>IFERROR(__xludf.DUMMYFUNCTION("""COMPUTED_VALUE"""),538.0)</f>
        <v>538</v>
      </c>
      <c r="E2602" s="9"/>
    </row>
    <row r="2603">
      <c r="A2603" s="11">
        <f>IFERROR(__xludf.DUMMYFUNCTION("""COMPUTED_VALUE"""),2021.0)</f>
        <v>2021</v>
      </c>
      <c r="B2603" s="11">
        <f>IFERROR(__xludf.DUMMYFUNCTION("""COMPUTED_VALUE"""),11.0)</f>
        <v>11</v>
      </c>
      <c r="C2603" s="11">
        <f>IFERROR(__xludf.DUMMYFUNCTION("""COMPUTED_VALUE"""),107274.0)</f>
        <v>107274</v>
      </c>
      <c r="D2603" s="11">
        <f>IFERROR(__xludf.DUMMYFUNCTION("""COMPUTED_VALUE"""),1491.0)</f>
        <v>1491</v>
      </c>
      <c r="E2603" s="9"/>
    </row>
    <row r="2604">
      <c r="A2604" s="11">
        <f>IFERROR(__xludf.DUMMYFUNCTION("""COMPUTED_VALUE"""),2021.0)</f>
        <v>2021</v>
      </c>
      <c r="B2604" s="11">
        <f>IFERROR(__xludf.DUMMYFUNCTION("""COMPUTED_VALUE"""),10.0)</f>
        <v>10</v>
      </c>
      <c r="C2604" s="11">
        <f>IFERROR(__xludf.DUMMYFUNCTION("""COMPUTED_VALUE"""),69451.0)</f>
        <v>69451</v>
      </c>
      <c r="D2604" s="11">
        <f>IFERROR(__xludf.DUMMYFUNCTION("""COMPUTED_VALUE"""),1188.0)</f>
        <v>1188</v>
      </c>
      <c r="E2604" s="9"/>
    </row>
    <row r="2605">
      <c r="A2605" s="11">
        <f>IFERROR(__xludf.DUMMYFUNCTION("""COMPUTED_VALUE"""),2021.0)</f>
        <v>2021</v>
      </c>
      <c r="B2605" s="11">
        <f>IFERROR(__xludf.DUMMYFUNCTION("""COMPUTED_VALUE"""),9.0)</f>
        <v>9</v>
      </c>
      <c r="C2605" s="11">
        <f>IFERROR(__xludf.DUMMYFUNCTION("""COMPUTED_VALUE"""),87416.0)</f>
        <v>87416</v>
      </c>
      <c r="D2605" s="11">
        <f>IFERROR(__xludf.DUMMYFUNCTION("""COMPUTED_VALUE"""),580.0)</f>
        <v>580</v>
      </c>
      <c r="E2605" s="9"/>
    </row>
    <row r="2606">
      <c r="A2606" s="11">
        <f>IFERROR(__xludf.DUMMYFUNCTION("""COMPUTED_VALUE"""),2021.0)</f>
        <v>2021</v>
      </c>
      <c r="B2606" s="11">
        <f>IFERROR(__xludf.DUMMYFUNCTION("""COMPUTED_VALUE"""),8.0)</f>
        <v>8</v>
      </c>
      <c r="C2606" s="11">
        <f>IFERROR(__xludf.DUMMYFUNCTION("""COMPUTED_VALUE"""),23667.0)</f>
        <v>23667</v>
      </c>
      <c r="D2606" s="11">
        <f>IFERROR(__xludf.DUMMYFUNCTION("""COMPUTED_VALUE"""),628.0)</f>
        <v>628</v>
      </c>
      <c r="E2606" s="9"/>
    </row>
    <row r="2607">
      <c r="A2607" s="11">
        <f>IFERROR(__xludf.DUMMYFUNCTION("""COMPUTED_VALUE"""),2021.0)</f>
        <v>2021</v>
      </c>
      <c r="B2607" s="11">
        <f>IFERROR(__xludf.DUMMYFUNCTION("""COMPUTED_VALUE"""),9.0)</f>
        <v>9</v>
      </c>
      <c r="C2607" s="11">
        <f>IFERROR(__xludf.DUMMYFUNCTION("""COMPUTED_VALUE"""),112770.0)</f>
        <v>112770</v>
      </c>
      <c r="D2607" s="11">
        <f>IFERROR(__xludf.DUMMYFUNCTION("""COMPUTED_VALUE"""),619.0)</f>
        <v>619</v>
      </c>
      <c r="E2607" s="9"/>
    </row>
    <row r="2608">
      <c r="A2608" s="11">
        <f>IFERROR(__xludf.DUMMYFUNCTION("""COMPUTED_VALUE"""),2021.0)</f>
        <v>2021</v>
      </c>
      <c r="B2608" s="11">
        <f>IFERROR(__xludf.DUMMYFUNCTION("""COMPUTED_VALUE"""),11.0)</f>
        <v>11</v>
      </c>
      <c r="C2608" s="11">
        <f>IFERROR(__xludf.DUMMYFUNCTION("""COMPUTED_VALUE"""),116186.0)</f>
        <v>116186</v>
      </c>
      <c r="D2608" s="11">
        <f>IFERROR(__xludf.DUMMYFUNCTION("""COMPUTED_VALUE"""),1577.0)</f>
        <v>1577</v>
      </c>
      <c r="E2608" s="9"/>
    </row>
    <row r="2609">
      <c r="A2609" s="11">
        <f>IFERROR(__xludf.DUMMYFUNCTION("""COMPUTED_VALUE"""),2021.0)</f>
        <v>2021</v>
      </c>
      <c r="B2609" s="11">
        <f>IFERROR(__xludf.DUMMYFUNCTION("""COMPUTED_VALUE"""),8.0)</f>
        <v>8</v>
      </c>
      <c r="C2609" s="11">
        <f>IFERROR(__xludf.DUMMYFUNCTION("""COMPUTED_VALUE"""),95413.0)</f>
        <v>95413</v>
      </c>
      <c r="D2609" s="11">
        <f>IFERROR(__xludf.DUMMYFUNCTION("""COMPUTED_VALUE"""),1587.0)</f>
        <v>1587</v>
      </c>
      <c r="E2609" s="9"/>
    </row>
    <row r="2610">
      <c r="A2610" s="11">
        <f>IFERROR(__xludf.DUMMYFUNCTION("""COMPUTED_VALUE"""),2021.0)</f>
        <v>2021</v>
      </c>
      <c r="B2610" s="11">
        <f>IFERROR(__xludf.DUMMYFUNCTION("""COMPUTED_VALUE"""),11.0)</f>
        <v>11</v>
      </c>
      <c r="C2610" s="11">
        <f>IFERROR(__xludf.DUMMYFUNCTION("""COMPUTED_VALUE"""),116184.0)</f>
        <v>116184</v>
      </c>
      <c r="D2610" s="11">
        <f>IFERROR(__xludf.DUMMYFUNCTION("""COMPUTED_VALUE"""),1550.0)</f>
        <v>1550</v>
      </c>
      <c r="E2610" s="9"/>
    </row>
    <row r="2611">
      <c r="A2611" s="11">
        <f>IFERROR(__xludf.DUMMYFUNCTION("""COMPUTED_VALUE"""),2021.0)</f>
        <v>2021</v>
      </c>
      <c r="B2611" s="11">
        <f>IFERROR(__xludf.DUMMYFUNCTION("""COMPUTED_VALUE"""),8.0)</f>
        <v>8</v>
      </c>
      <c r="C2611" s="11">
        <f>IFERROR(__xludf.DUMMYFUNCTION("""COMPUTED_VALUE"""),95412.0)</f>
        <v>95412</v>
      </c>
      <c r="D2611" s="11">
        <f>IFERROR(__xludf.DUMMYFUNCTION("""COMPUTED_VALUE"""),413.0)</f>
        <v>413</v>
      </c>
      <c r="E2611" s="9"/>
    </row>
    <row r="2612">
      <c r="A2612" s="11">
        <f>IFERROR(__xludf.DUMMYFUNCTION("""COMPUTED_VALUE"""),2021.0)</f>
        <v>2021</v>
      </c>
      <c r="B2612" s="11">
        <f>IFERROR(__xludf.DUMMYFUNCTION("""COMPUTED_VALUE"""),11.0)</f>
        <v>11</v>
      </c>
      <c r="C2612" s="11">
        <f>IFERROR(__xludf.DUMMYFUNCTION("""COMPUTED_VALUE"""),95414.0)</f>
        <v>95414</v>
      </c>
      <c r="D2612" s="11">
        <f>IFERROR(__xludf.DUMMYFUNCTION("""COMPUTED_VALUE"""),167.0)</f>
        <v>167</v>
      </c>
      <c r="E2612" s="9"/>
    </row>
    <row r="2613">
      <c r="A2613" s="11">
        <f>IFERROR(__xludf.DUMMYFUNCTION("""COMPUTED_VALUE"""),2021.0)</f>
        <v>2021</v>
      </c>
      <c r="B2613" s="11">
        <f>IFERROR(__xludf.DUMMYFUNCTION("""COMPUTED_VALUE"""),11.0)</f>
        <v>11</v>
      </c>
      <c r="C2613" s="11">
        <f>IFERROR(__xludf.DUMMYFUNCTION("""COMPUTED_VALUE"""),24088.0)</f>
        <v>24088</v>
      </c>
      <c r="D2613" s="11">
        <f>IFERROR(__xludf.DUMMYFUNCTION("""COMPUTED_VALUE"""),883.0)</f>
        <v>883</v>
      </c>
      <c r="E2613" s="9"/>
    </row>
    <row r="2614">
      <c r="A2614" s="11">
        <f>IFERROR(__xludf.DUMMYFUNCTION("""COMPUTED_VALUE"""),2021.0)</f>
        <v>2021</v>
      </c>
      <c r="B2614" s="11">
        <f>IFERROR(__xludf.DUMMYFUNCTION("""COMPUTED_VALUE"""),9.0)</f>
        <v>9</v>
      </c>
      <c r="C2614" s="11">
        <f>IFERROR(__xludf.DUMMYFUNCTION("""COMPUTED_VALUE"""),75156.0)</f>
        <v>75156</v>
      </c>
      <c r="D2614" s="11">
        <f>IFERROR(__xludf.DUMMYFUNCTION("""COMPUTED_VALUE"""),1538.0)</f>
        <v>1538</v>
      </c>
      <c r="E2614" s="9"/>
    </row>
    <row r="2615">
      <c r="A2615" s="11">
        <f>IFERROR(__xludf.DUMMYFUNCTION("""COMPUTED_VALUE"""),2021.0)</f>
        <v>2021</v>
      </c>
      <c r="B2615" s="11">
        <f>IFERROR(__xludf.DUMMYFUNCTION("""COMPUTED_VALUE"""),10.0)</f>
        <v>10</v>
      </c>
      <c r="C2615" s="11">
        <f>IFERROR(__xludf.DUMMYFUNCTION("""COMPUTED_VALUE"""),6216.0)</f>
        <v>6216</v>
      </c>
      <c r="D2615" s="11">
        <f>IFERROR(__xludf.DUMMYFUNCTION("""COMPUTED_VALUE"""),1179.0)</f>
        <v>1179</v>
      </c>
      <c r="E2615" s="9"/>
    </row>
    <row r="2616">
      <c r="A2616" s="11">
        <f>IFERROR(__xludf.DUMMYFUNCTION("""COMPUTED_VALUE"""),2021.0)</f>
        <v>2021</v>
      </c>
      <c r="B2616" s="11">
        <f>IFERROR(__xludf.DUMMYFUNCTION("""COMPUTED_VALUE"""),9.0)</f>
        <v>9</v>
      </c>
      <c r="C2616" s="11">
        <f>IFERROR(__xludf.DUMMYFUNCTION("""COMPUTED_VALUE"""),149867.0)</f>
        <v>149867</v>
      </c>
      <c r="D2616" s="11">
        <f>IFERROR(__xludf.DUMMYFUNCTION("""COMPUTED_VALUE"""),381.0)</f>
        <v>381</v>
      </c>
      <c r="E2616" s="9"/>
    </row>
    <row r="2617">
      <c r="A2617" s="11">
        <f>IFERROR(__xludf.DUMMYFUNCTION("""COMPUTED_VALUE"""),2021.0)</f>
        <v>2021</v>
      </c>
      <c r="B2617" s="11">
        <f>IFERROR(__xludf.DUMMYFUNCTION("""COMPUTED_VALUE"""),9.0)</f>
        <v>9</v>
      </c>
      <c r="C2617" s="11">
        <f>IFERROR(__xludf.DUMMYFUNCTION("""COMPUTED_VALUE"""),44037.0)</f>
        <v>44037</v>
      </c>
      <c r="D2617" s="11">
        <f>IFERROR(__xludf.DUMMYFUNCTION("""COMPUTED_VALUE"""),69.0)</f>
        <v>69</v>
      </c>
      <c r="E2617" s="9"/>
    </row>
    <row r="2618">
      <c r="A2618" s="11">
        <f>IFERROR(__xludf.DUMMYFUNCTION("""COMPUTED_VALUE"""),2021.0)</f>
        <v>2021</v>
      </c>
      <c r="B2618" s="11">
        <f>IFERROR(__xludf.DUMMYFUNCTION("""COMPUTED_VALUE"""),11.0)</f>
        <v>11</v>
      </c>
      <c r="C2618" s="11">
        <f>IFERROR(__xludf.DUMMYFUNCTION("""COMPUTED_VALUE"""),83029.0)</f>
        <v>83029</v>
      </c>
      <c r="D2618" s="11">
        <f>IFERROR(__xludf.DUMMYFUNCTION("""COMPUTED_VALUE"""),29.0)</f>
        <v>29</v>
      </c>
      <c r="E2618" s="9"/>
    </row>
    <row r="2619">
      <c r="A2619" s="11">
        <f>IFERROR(__xludf.DUMMYFUNCTION("""COMPUTED_VALUE"""),2021.0)</f>
        <v>2021</v>
      </c>
      <c r="B2619" s="11">
        <f>IFERROR(__xludf.DUMMYFUNCTION("""COMPUTED_VALUE"""),9.0)</f>
        <v>9</v>
      </c>
      <c r="C2619" s="11">
        <f>IFERROR(__xludf.DUMMYFUNCTION("""COMPUTED_VALUE"""),100395.0)</f>
        <v>100395</v>
      </c>
      <c r="D2619" s="11">
        <f>IFERROR(__xludf.DUMMYFUNCTION("""COMPUTED_VALUE"""),997.0)</f>
        <v>997</v>
      </c>
      <c r="E2619" s="9"/>
    </row>
    <row r="2620">
      <c r="A2620" s="11">
        <f>IFERROR(__xludf.DUMMYFUNCTION("""COMPUTED_VALUE"""),2021.0)</f>
        <v>2021</v>
      </c>
      <c r="B2620" s="11">
        <f>IFERROR(__xludf.DUMMYFUNCTION("""COMPUTED_VALUE"""),10.0)</f>
        <v>10</v>
      </c>
      <c r="C2620" s="11">
        <f>IFERROR(__xludf.DUMMYFUNCTION("""COMPUTED_VALUE"""),110437.0)</f>
        <v>110437</v>
      </c>
      <c r="D2620" s="11">
        <f>IFERROR(__xludf.DUMMYFUNCTION("""COMPUTED_VALUE"""),1206.0)</f>
        <v>1206</v>
      </c>
      <c r="E2620" s="9"/>
    </row>
    <row r="2621">
      <c r="A2621" s="11">
        <f>IFERROR(__xludf.DUMMYFUNCTION("""COMPUTED_VALUE"""),2021.0)</f>
        <v>2021</v>
      </c>
      <c r="B2621" s="11">
        <f>IFERROR(__xludf.DUMMYFUNCTION("""COMPUTED_VALUE"""),11.0)</f>
        <v>11</v>
      </c>
      <c r="C2621" s="11">
        <f>IFERROR(__xludf.DUMMYFUNCTION("""COMPUTED_VALUE"""),29430.0)</f>
        <v>29430</v>
      </c>
      <c r="D2621" s="11">
        <f>IFERROR(__xludf.DUMMYFUNCTION("""COMPUTED_VALUE"""),1902.0)</f>
        <v>1902</v>
      </c>
      <c r="E2621" s="9"/>
    </row>
    <row r="2622">
      <c r="A2622" s="11">
        <f>IFERROR(__xludf.DUMMYFUNCTION("""COMPUTED_VALUE"""),2021.0)</f>
        <v>2021</v>
      </c>
      <c r="B2622" s="11">
        <f>IFERROR(__xludf.DUMMYFUNCTION("""COMPUTED_VALUE"""),11.0)</f>
        <v>11</v>
      </c>
      <c r="C2622" s="11">
        <f>IFERROR(__xludf.DUMMYFUNCTION("""COMPUTED_VALUE"""),95416.0)</f>
        <v>95416</v>
      </c>
      <c r="D2622" s="11">
        <f>IFERROR(__xludf.DUMMYFUNCTION("""COMPUTED_VALUE"""),593.0)</f>
        <v>593</v>
      </c>
      <c r="E2622" s="9"/>
    </row>
    <row r="2623">
      <c r="A2623" s="11">
        <f>IFERROR(__xludf.DUMMYFUNCTION("""COMPUTED_VALUE"""),2021.0)</f>
        <v>2021</v>
      </c>
      <c r="B2623" s="11">
        <f>IFERROR(__xludf.DUMMYFUNCTION("""COMPUTED_VALUE"""),8.0)</f>
        <v>8</v>
      </c>
      <c r="C2623" s="11">
        <f>IFERROR(__xludf.DUMMYFUNCTION("""COMPUTED_VALUE"""),108493.0)</f>
        <v>108493</v>
      </c>
      <c r="D2623" s="11">
        <f>IFERROR(__xludf.DUMMYFUNCTION("""COMPUTED_VALUE"""),154.0)</f>
        <v>154</v>
      </c>
      <c r="E2623" s="9"/>
    </row>
    <row r="2624">
      <c r="A2624" s="11">
        <f>IFERROR(__xludf.DUMMYFUNCTION("""COMPUTED_VALUE"""),2021.0)</f>
        <v>2021</v>
      </c>
      <c r="B2624" s="11">
        <f>IFERROR(__xludf.DUMMYFUNCTION("""COMPUTED_VALUE"""),9.0)</f>
        <v>9</v>
      </c>
      <c r="C2624" s="11">
        <f>IFERROR(__xludf.DUMMYFUNCTION("""COMPUTED_VALUE"""),109293.0)</f>
        <v>109293</v>
      </c>
      <c r="D2624" s="11">
        <f>IFERROR(__xludf.DUMMYFUNCTION("""COMPUTED_VALUE"""),1463.0)</f>
        <v>1463</v>
      </c>
      <c r="E2624" s="9"/>
    </row>
    <row r="2625">
      <c r="A2625" s="11">
        <f>IFERROR(__xludf.DUMMYFUNCTION("""COMPUTED_VALUE"""),2021.0)</f>
        <v>2021</v>
      </c>
      <c r="B2625" s="11">
        <f>IFERROR(__xludf.DUMMYFUNCTION("""COMPUTED_VALUE"""),11.0)</f>
        <v>11</v>
      </c>
      <c r="C2625" s="11">
        <f>IFERROR(__xludf.DUMMYFUNCTION("""COMPUTED_VALUE"""),73581.0)</f>
        <v>73581</v>
      </c>
      <c r="D2625" s="11">
        <f>IFERROR(__xludf.DUMMYFUNCTION("""COMPUTED_VALUE"""),70.0)</f>
        <v>70</v>
      </c>
      <c r="E2625" s="9"/>
    </row>
    <row r="2626">
      <c r="A2626" s="11">
        <f>IFERROR(__xludf.DUMMYFUNCTION("""COMPUTED_VALUE"""),2021.0)</f>
        <v>2021</v>
      </c>
      <c r="B2626" s="11">
        <f>IFERROR(__xludf.DUMMYFUNCTION("""COMPUTED_VALUE"""),11.0)</f>
        <v>11</v>
      </c>
      <c r="C2626" s="11">
        <f>IFERROR(__xludf.DUMMYFUNCTION("""COMPUTED_VALUE"""),100396.0)</f>
        <v>100396</v>
      </c>
      <c r="D2626" s="11">
        <f>IFERROR(__xludf.DUMMYFUNCTION("""COMPUTED_VALUE"""),490.0)</f>
        <v>490</v>
      </c>
      <c r="E2626" s="9"/>
    </row>
    <row r="2627">
      <c r="A2627" s="11">
        <f>IFERROR(__xludf.DUMMYFUNCTION("""COMPUTED_VALUE"""),2021.0)</f>
        <v>2021</v>
      </c>
      <c r="B2627" s="11">
        <f>IFERROR(__xludf.DUMMYFUNCTION("""COMPUTED_VALUE"""),10.0)</f>
        <v>10</v>
      </c>
      <c r="C2627" s="11">
        <f>IFERROR(__xludf.DUMMYFUNCTION("""COMPUTED_VALUE"""),45917.0)</f>
        <v>45917</v>
      </c>
      <c r="D2627" s="11">
        <f>IFERROR(__xludf.DUMMYFUNCTION("""COMPUTED_VALUE"""),1438.0)</f>
        <v>1438</v>
      </c>
      <c r="E2627" s="9"/>
    </row>
    <row r="2628">
      <c r="A2628" s="11">
        <f>IFERROR(__xludf.DUMMYFUNCTION("""COMPUTED_VALUE"""),2021.0)</f>
        <v>2021</v>
      </c>
      <c r="B2628" s="11">
        <f>IFERROR(__xludf.DUMMYFUNCTION("""COMPUTED_VALUE"""),10.0)</f>
        <v>10</v>
      </c>
      <c r="C2628" s="11">
        <f>IFERROR(__xludf.DUMMYFUNCTION("""COMPUTED_VALUE"""),83420.0)</f>
        <v>83420</v>
      </c>
      <c r="D2628" s="11">
        <f>IFERROR(__xludf.DUMMYFUNCTION("""COMPUTED_VALUE"""),762.0)</f>
        <v>762</v>
      </c>
      <c r="E2628" s="9"/>
    </row>
    <row r="2629">
      <c r="A2629" s="11">
        <f>IFERROR(__xludf.DUMMYFUNCTION("""COMPUTED_VALUE"""),2021.0)</f>
        <v>2021</v>
      </c>
      <c r="B2629" s="11">
        <f>IFERROR(__xludf.DUMMYFUNCTION("""COMPUTED_VALUE"""),9.0)</f>
        <v>9</v>
      </c>
      <c r="C2629" s="11">
        <f>IFERROR(__xludf.DUMMYFUNCTION("""COMPUTED_VALUE"""),101591.0)</f>
        <v>101591</v>
      </c>
      <c r="D2629" s="11">
        <f>IFERROR(__xludf.DUMMYFUNCTION("""COMPUTED_VALUE"""),1777.0)</f>
        <v>1777</v>
      </c>
      <c r="E2629" s="9"/>
    </row>
    <row r="2630">
      <c r="A2630" s="11">
        <f>IFERROR(__xludf.DUMMYFUNCTION("""COMPUTED_VALUE"""),2021.0)</f>
        <v>2021</v>
      </c>
      <c r="B2630" s="11">
        <f>IFERROR(__xludf.DUMMYFUNCTION("""COMPUTED_VALUE"""),8.0)</f>
        <v>8</v>
      </c>
      <c r="C2630" s="11">
        <f>IFERROR(__xludf.DUMMYFUNCTION("""COMPUTED_VALUE"""),116181.0)</f>
        <v>116181</v>
      </c>
      <c r="D2630" s="11">
        <f>IFERROR(__xludf.DUMMYFUNCTION("""COMPUTED_VALUE"""),1708.0)</f>
        <v>1708</v>
      </c>
      <c r="E2630" s="9"/>
    </row>
    <row r="2631">
      <c r="A2631" s="11">
        <f>IFERROR(__xludf.DUMMYFUNCTION("""COMPUTED_VALUE"""),2021.0)</f>
        <v>2021</v>
      </c>
      <c r="B2631" s="11">
        <f>IFERROR(__xludf.DUMMYFUNCTION("""COMPUTED_VALUE"""),9.0)</f>
        <v>9</v>
      </c>
      <c r="C2631" s="11">
        <f>IFERROR(__xludf.DUMMYFUNCTION("""COMPUTED_VALUE"""),109300.0)</f>
        <v>109300</v>
      </c>
      <c r="D2631" s="11">
        <f>IFERROR(__xludf.DUMMYFUNCTION("""COMPUTED_VALUE"""),1439.0)</f>
        <v>1439</v>
      </c>
      <c r="E2631" s="9"/>
    </row>
    <row r="2632">
      <c r="A2632" s="11">
        <f>IFERROR(__xludf.DUMMYFUNCTION("""COMPUTED_VALUE"""),2021.0)</f>
        <v>2021</v>
      </c>
      <c r="B2632" s="11">
        <f>IFERROR(__xludf.DUMMYFUNCTION("""COMPUTED_VALUE"""),9.0)</f>
        <v>9</v>
      </c>
      <c r="C2632" s="11">
        <f>IFERROR(__xludf.DUMMYFUNCTION("""COMPUTED_VALUE"""),46160.0)</f>
        <v>46160</v>
      </c>
      <c r="D2632" s="11">
        <f>IFERROR(__xludf.DUMMYFUNCTION("""COMPUTED_VALUE"""),83.0)</f>
        <v>83</v>
      </c>
      <c r="E2632" s="9"/>
    </row>
    <row r="2633">
      <c r="A2633" s="11">
        <f>IFERROR(__xludf.DUMMYFUNCTION("""COMPUTED_VALUE"""),2021.0)</f>
        <v>2021</v>
      </c>
      <c r="B2633" s="11">
        <f>IFERROR(__xludf.DUMMYFUNCTION("""COMPUTED_VALUE"""),8.0)</f>
        <v>8</v>
      </c>
      <c r="C2633" s="11">
        <f>IFERROR(__xludf.DUMMYFUNCTION("""COMPUTED_VALUE"""),116202.0)</f>
        <v>116202</v>
      </c>
      <c r="D2633" s="11">
        <f>IFERROR(__xludf.DUMMYFUNCTION("""COMPUTED_VALUE"""),1065.0)</f>
        <v>1065</v>
      </c>
      <c r="E2633" s="9"/>
    </row>
    <row r="2634">
      <c r="A2634" s="11">
        <f>IFERROR(__xludf.DUMMYFUNCTION("""COMPUTED_VALUE"""),2021.0)</f>
        <v>2021</v>
      </c>
      <c r="B2634" s="11">
        <f>IFERROR(__xludf.DUMMYFUNCTION("""COMPUTED_VALUE"""),9.0)</f>
        <v>9</v>
      </c>
      <c r="C2634" s="11">
        <f>IFERROR(__xludf.DUMMYFUNCTION("""COMPUTED_VALUE"""),106884.0)</f>
        <v>106884</v>
      </c>
      <c r="D2634" s="11">
        <f>IFERROR(__xludf.DUMMYFUNCTION("""COMPUTED_VALUE"""),1160.0)</f>
        <v>1160</v>
      </c>
      <c r="E2634" s="9"/>
    </row>
    <row r="2635">
      <c r="A2635" s="11">
        <f>IFERROR(__xludf.DUMMYFUNCTION("""COMPUTED_VALUE"""),2021.0)</f>
        <v>2021</v>
      </c>
      <c r="B2635" s="11">
        <f>IFERROR(__xludf.DUMMYFUNCTION("""COMPUTED_VALUE"""),10.0)</f>
        <v>10</v>
      </c>
      <c r="C2635" s="11">
        <f>IFERROR(__xludf.DUMMYFUNCTION("""COMPUTED_VALUE"""),98598.0)</f>
        <v>98598</v>
      </c>
      <c r="D2635" s="11">
        <f>IFERROR(__xludf.DUMMYFUNCTION("""COMPUTED_VALUE"""),280.0)</f>
        <v>280</v>
      </c>
      <c r="E2635" s="9"/>
    </row>
    <row r="2636">
      <c r="A2636" s="11">
        <f>IFERROR(__xludf.DUMMYFUNCTION("""COMPUTED_VALUE"""),2021.0)</f>
        <v>2021</v>
      </c>
      <c r="B2636" s="11">
        <f>IFERROR(__xludf.DUMMYFUNCTION("""COMPUTED_VALUE"""),9.0)</f>
        <v>9</v>
      </c>
      <c r="C2636" s="11">
        <f>IFERROR(__xludf.DUMMYFUNCTION("""COMPUTED_VALUE"""),78515.0)</f>
        <v>78515</v>
      </c>
      <c r="D2636" s="11">
        <f>IFERROR(__xludf.DUMMYFUNCTION("""COMPUTED_VALUE"""),241.0)</f>
        <v>241</v>
      </c>
      <c r="E2636" s="9"/>
    </row>
    <row r="2637">
      <c r="A2637" s="11">
        <f>IFERROR(__xludf.DUMMYFUNCTION("""COMPUTED_VALUE"""),2021.0)</f>
        <v>2021</v>
      </c>
      <c r="B2637" s="11">
        <f>IFERROR(__xludf.DUMMYFUNCTION("""COMPUTED_VALUE"""),11.0)</f>
        <v>11</v>
      </c>
      <c r="C2637" s="11">
        <f>IFERROR(__xludf.DUMMYFUNCTION("""COMPUTED_VALUE"""),46154.0)</f>
        <v>46154</v>
      </c>
      <c r="D2637" s="11">
        <f>IFERROR(__xludf.DUMMYFUNCTION("""COMPUTED_VALUE"""),285.0)</f>
        <v>285</v>
      </c>
      <c r="E2637" s="9"/>
    </row>
    <row r="2638">
      <c r="A2638" s="11">
        <f>IFERROR(__xludf.DUMMYFUNCTION("""COMPUTED_VALUE"""),2021.0)</f>
        <v>2021</v>
      </c>
      <c r="B2638" s="11">
        <f>IFERROR(__xludf.DUMMYFUNCTION("""COMPUTED_VALUE"""),10.0)</f>
        <v>10</v>
      </c>
      <c r="C2638" s="11">
        <f>IFERROR(__xludf.DUMMYFUNCTION("""COMPUTED_VALUE"""),23668.0)</f>
        <v>23668</v>
      </c>
      <c r="D2638" s="11">
        <f>IFERROR(__xludf.DUMMYFUNCTION("""COMPUTED_VALUE"""),1602.0)</f>
        <v>1602</v>
      </c>
      <c r="E2638" s="9"/>
    </row>
    <row r="2639">
      <c r="A2639" s="11">
        <f>IFERROR(__xludf.DUMMYFUNCTION("""COMPUTED_VALUE"""),2021.0)</f>
        <v>2021</v>
      </c>
      <c r="B2639" s="11">
        <f>IFERROR(__xludf.DUMMYFUNCTION("""COMPUTED_VALUE"""),8.0)</f>
        <v>8</v>
      </c>
      <c r="C2639" s="11">
        <f>IFERROR(__xludf.DUMMYFUNCTION("""COMPUTED_VALUE"""),107900.0)</f>
        <v>107900</v>
      </c>
      <c r="D2639" s="11">
        <f>IFERROR(__xludf.DUMMYFUNCTION("""COMPUTED_VALUE"""),36.0)</f>
        <v>36</v>
      </c>
      <c r="E2639" s="9"/>
    </row>
    <row r="2640">
      <c r="A2640" s="11">
        <f>IFERROR(__xludf.DUMMYFUNCTION("""COMPUTED_VALUE"""),2021.0)</f>
        <v>2021</v>
      </c>
      <c r="B2640" s="11">
        <f>IFERROR(__xludf.DUMMYFUNCTION("""COMPUTED_VALUE"""),11.0)</f>
        <v>11</v>
      </c>
      <c r="C2640" s="11">
        <f>IFERROR(__xludf.DUMMYFUNCTION("""COMPUTED_VALUE"""),85037.0)</f>
        <v>85037</v>
      </c>
      <c r="D2640" s="11">
        <f>IFERROR(__xludf.DUMMYFUNCTION("""COMPUTED_VALUE"""),871.0)</f>
        <v>871</v>
      </c>
      <c r="E2640" s="9"/>
    </row>
    <row r="2641">
      <c r="A2641" s="11">
        <f>IFERROR(__xludf.DUMMYFUNCTION("""COMPUTED_VALUE"""),2021.0)</f>
        <v>2021</v>
      </c>
      <c r="B2641" s="11">
        <f>IFERROR(__xludf.DUMMYFUNCTION("""COMPUTED_VALUE"""),10.0)</f>
        <v>10</v>
      </c>
      <c r="C2641" s="11">
        <f>IFERROR(__xludf.DUMMYFUNCTION("""COMPUTED_VALUE"""),49182.0)</f>
        <v>49182</v>
      </c>
      <c r="D2641" s="11">
        <f>IFERROR(__xludf.DUMMYFUNCTION("""COMPUTED_VALUE"""),1479.0)</f>
        <v>1479</v>
      </c>
      <c r="E2641" s="9"/>
    </row>
    <row r="2642">
      <c r="A2642" s="11">
        <f>IFERROR(__xludf.DUMMYFUNCTION("""COMPUTED_VALUE"""),2021.0)</f>
        <v>2021</v>
      </c>
      <c r="B2642" s="11">
        <f>IFERROR(__xludf.DUMMYFUNCTION("""COMPUTED_VALUE"""),10.0)</f>
        <v>10</v>
      </c>
      <c r="C2642" s="11">
        <f>IFERROR(__xludf.DUMMYFUNCTION("""COMPUTED_VALUE"""),69111.0)</f>
        <v>69111</v>
      </c>
      <c r="D2642" s="11">
        <f>IFERROR(__xludf.DUMMYFUNCTION("""COMPUTED_VALUE"""),478.0)</f>
        <v>478</v>
      </c>
      <c r="E2642" s="9"/>
    </row>
    <row r="2643">
      <c r="A2643" s="11">
        <f>IFERROR(__xludf.DUMMYFUNCTION("""COMPUTED_VALUE"""),2021.0)</f>
        <v>2021</v>
      </c>
      <c r="B2643" s="11">
        <f>IFERROR(__xludf.DUMMYFUNCTION("""COMPUTED_VALUE"""),9.0)</f>
        <v>9</v>
      </c>
      <c r="C2643" s="11">
        <f>IFERROR(__xludf.DUMMYFUNCTION("""COMPUTED_VALUE"""),80054.0)</f>
        <v>80054</v>
      </c>
      <c r="D2643" s="11">
        <f>IFERROR(__xludf.DUMMYFUNCTION("""COMPUTED_VALUE"""),1887.0)</f>
        <v>1887</v>
      </c>
      <c r="E2643" s="9"/>
    </row>
    <row r="2644">
      <c r="A2644" s="11">
        <f>IFERROR(__xludf.DUMMYFUNCTION("""COMPUTED_VALUE"""),2021.0)</f>
        <v>2021</v>
      </c>
      <c r="B2644" s="11">
        <f>IFERROR(__xludf.DUMMYFUNCTION("""COMPUTED_VALUE"""),9.0)</f>
        <v>9</v>
      </c>
      <c r="C2644" s="11">
        <f>IFERROR(__xludf.DUMMYFUNCTION("""COMPUTED_VALUE"""),79782.0)</f>
        <v>79782</v>
      </c>
      <c r="D2644" s="11">
        <f>IFERROR(__xludf.DUMMYFUNCTION("""COMPUTED_VALUE"""),431.0)</f>
        <v>431</v>
      </c>
      <c r="E2644" s="9"/>
    </row>
    <row r="2645">
      <c r="A2645" s="11">
        <f>IFERROR(__xludf.DUMMYFUNCTION("""COMPUTED_VALUE"""),2021.0)</f>
        <v>2021</v>
      </c>
      <c r="B2645" s="11">
        <f>IFERROR(__xludf.DUMMYFUNCTION("""COMPUTED_VALUE"""),8.0)</f>
        <v>8</v>
      </c>
      <c r="C2645" s="11">
        <f>IFERROR(__xludf.DUMMYFUNCTION("""COMPUTED_VALUE"""),80045.0)</f>
        <v>80045</v>
      </c>
      <c r="D2645" s="11">
        <f>IFERROR(__xludf.DUMMYFUNCTION("""COMPUTED_VALUE"""),1953.0)</f>
        <v>1953</v>
      </c>
      <c r="E2645" s="9"/>
    </row>
    <row r="2646">
      <c r="A2646" s="11">
        <f>IFERROR(__xludf.DUMMYFUNCTION("""COMPUTED_VALUE"""),2021.0)</f>
        <v>2021</v>
      </c>
      <c r="B2646" s="11">
        <f>IFERROR(__xludf.DUMMYFUNCTION("""COMPUTED_VALUE"""),10.0)</f>
        <v>10</v>
      </c>
      <c r="C2646" s="11">
        <f>IFERROR(__xludf.DUMMYFUNCTION("""COMPUTED_VALUE"""),69108.0)</f>
        <v>69108</v>
      </c>
      <c r="D2646" s="11">
        <f>IFERROR(__xludf.DUMMYFUNCTION("""COMPUTED_VALUE"""),304.0)</f>
        <v>304</v>
      </c>
      <c r="E2646" s="9"/>
    </row>
    <row r="2647">
      <c r="A2647" s="11">
        <f>IFERROR(__xludf.DUMMYFUNCTION("""COMPUTED_VALUE"""),2021.0)</f>
        <v>2021</v>
      </c>
      <c r="B2647" s="11">
        <f>IFERROR(__xludf.DUMMYFUNCTION("""COMPUTED_VALUE"""),9.0)</f>
        <v>9</v>
      </c>
      <c r="C2647" s="11">
        <f>IFERROR(__xludf.DUMMYFUNCTION("""COMPUTED_VALUE"""),69112.0)</f>
        <v>69112</v>
      </c>
      <c r="D2647" s="11">
        <f>IFERROR(__xludf.DUMMYFUNCTION("""COMPUTED_VALUE"""),1590.0)</f>
        <v>1590</v>
      </c>
      <c r="E2647" s="9"/>
    </row>
    <row r="2648">
      <c r="A2648" s="11">
        <f>IFERROR(__xludf.DUMMYFUNCTION("""COMPUTED_VALUE"""),2021.0)</f>
        <v>2021</v>
      </c>
      <c r="B2648" s="11">
        <f>IFERROR(__xludf.DUMMYFUNCTION("""COMPUTED_VALUE"""),10.0)</f>
        <v>10</v>
      </c>
      <c r="C2648" s="11">
        <f>IFERROR(__xludf.DUMMYFUNCTION("""COMPUTED_VALUE"""),121992.0)</f>
        <v>121992</v>
      </c>
      <c r="D2648" s="11">
        <f>IFERROR(__xludf.DUMMYFUNCTION("""COMPUTED_VALUE"""),787.0)</f>
        <v>787</v>
      </c>
      <c r="E2648" s="9"/>
    </row>
    <row r="2649">
      <c r="A2649" s="11">
        <f>IFERROR(__xludf.DUMMYFUNCTION("""COMPUTED_VALUE"""),2021.0)</f>
        <v>2021</v>
      </c>
      <c r="B2649" s="11">
        <f>IFERROR(__xludf.DUMMYFUNCTION("""COMPUTED_VALUE"""),9.0)</f>
        <v>9</v>
      </c>
      <c r="C2649" s="11">
        <f>IFERROR(__xludf.DUMMYFUNCTION("""COMPUTED_VALUE"""),80048.0)</f>
        <v>80048</v>
      </c>
      <c r="D2649" s="11">
        <f>IFERROR(__xludf.DUMMYFUNCTION("""COMPUTED_VALUE"""),1311.0)</f>
        <v>1311</v>
      </c>
      <c r="E2649" s="9"/>
    </row>
    <row r="2650">
      <c r="A2650" s="11">
        <f>IFERROR(__xludf.DUMMYFUNCTION("""COMPUTED_VALUE"""),2021.0)</f>
        <v>2021</v>
      </c>
      <c r="B2650" s="11">
        <f>IFERROR(__xludf.DUMMYFUNCTION("""COMPUTED_VALUE"""),9.0)</f>
        <v>9</v>
      </c>
      <c r="C2650" s="11">
        <f>IFERROR(__xludf.DUMMYFUNCTION("""COMPUTED_VALUE"""),121982.0)</f>
        <v>121982</v>
      </c>
      <c r="D2650" s="11">
        <f>IFERROR(__xludf.DUMMYFUNCTION("""COMPUTED_VALUE"""),476.0)</f>
        <v>476</v>
      </c>
      <c r="E2650" s="9"/>
    </row>
    <row r="2651">
      <c r="A2651" s="11">
        <f>IFERROR(__xludf.DUMMYFUNCTION("""COMPUTED_VALUE"""),2021.0)</f>
        <v>2021</v>
      </c>
      <c r="B2651" s="11">
        <f>IFERROR(__xludf.DUMMYFUNCTION("""COMPUTED_VALUE"""),9.0)</f>
        <v>9</v>
      </c>
      <c r="C2651" s="11">
        <f>IFERROR(__xludf.DUMMYFUNCTION("""COMPUTED_VALUE"""),121974.0)</f>
        <v>121974</v>
      </c>
      <c r="D2651" s="11">
        <f>IFERROR(__xludf.DUMMYFUNCTION("""COMPUTED_VALUE"""),666.0)</f>
        <v>666</v>
      </c>
      <c r="E2651" s="9"/>
    </row>
    <row r="2652">
      <c r="A2652" s="11">
        <f>IFERROR(__xludf.DUMMYFUNCTION("""COMPUTED_VALUE"""),2021.0)</f>
        <v>2021</v>
      </c>
      <c r="B2652" s="11">
        <f>IFERROR(__xludf.DUMMYFUNCTION("""COMPUTED_VALUE"""),10.0)</f>
        <v>10</v>
      </c>
      <c r="C2652" s="11">
        <f>IFERROR(__xludf.DUMMYFUNCTION("""COMPUTED_VALUE"""),69110.0)</f>
        <v>69110</v>
      </c>
      <c r="D2652" s="11">
        <f>IFERROR(__xludf.DUMMYFUNCTION("""COMPUTED_VALUE"""),732.0)</f>
        <v>732</v>
      </c>
      <c r="E2652" s="9"/>
    </row>
    <row r="2653">
      <c r="A2653" s="11">
        <f>IFERROR(__xludf.DUMMYFUNCTION("""COMPUTED_VALUE"""),2021.0)</f>
        <v>2021</v>
      </c>
      <c r="B2653" s="11">
        <f>IFERROR(__xludf.DUMMYFUNCTION("""COMPUTED_VALUE"""),10.0)</f>
        <v>10</v>
      </c>
      <c r="C2653" s="11">
        <f>IFERROR(__xludf.DUMMYFUNCTION("""COMPUTED_VALUE"""),23540.0)</f>
        <v>23540</v>
      </c>
      <c r="D2653" s="11">
        <f>IFERROR(__xludf.DUMMYFUNCTION("""COMPUTED_VALUE"""),109.0)</f>
        <v>109</v>
      </c>
      <c r="E2653" s="9"/>
    </row>
    <row r="2654">
      <c r="A2654" s="11">
        <f>IFERROR(__xludf.DUMMYFUNCTION("""COMPUTED_VALUE"""),2021.0)</f>
        <v>2021</v>
      </c>
      <c r="B2654" s="11">
        <f>IFERROR(__xludf.DUMMYFUNCTION("""COMPUTED_VALUE"""),8.0)</f>
        <v>8</v>
      </c>
      <c r="C2654" s="11">
        <f>IFERROR(__xludf.DUMMYFUNCTION("""COMPUTED_VALUE"""),69123.0)</f>
        <v>69123</v>
      </c>
      <c r="D2654" s="11">
        <f>IFERROR(__xludf.DUMMYFUNCTION("""COMPUTED_VALUE"""),1759.0)</f>
        <v>1759</v>
      </c>
      <c r="E2654" s="9"/>
    </row>
    <row r="2655">
      <c r="A2655" s="11">
        <f>IFERROR(__xludf.DUMMYFUNCTION("""COMPUTED_VALUE"""),2021.0)</f>
        <v>2021</v>
      </c>
      <c r="B2655" s="11">
        <f>IFERROR(__xludf.DUMMYFUNCTION("""COMPUTED_VALUE"""),11.0)</f>
        <v>11</v>
      </c>
      <c r="C2655" s="11">
        <f>IFERROR(__xludf.DUMMYFUNCTION("""COMPUTED_VALUE"""),121984.0)</f>
        <v>121984</v>
      </c>
      <c r="D2655" s="11">
        <f>IFERROR(__xludf.DUMMYFUNCTION("""COMPUTED_VALUE"""),687.0)</f>
        <v>687</v>
      </c>
      <c r="E2655" s="9"/>
    </row>
    <row r="2656">
      <c r="A2656" s="11">
        <f>IFERROR(__xludf.DUMMYFUNCTION("""COMPUTED_VALUE"""),2021.0)</f>
        <v>2021</v>
      </c>
      <c r="B2656" s="11">
        <f>IFERROR(__xludf.DUMMYFUNCTION("""COMPUTED_VALUE"""),11.0)</f>
        <v>11</v>
      </c>
      <c r="C2656" s="11">
        <f>IFERROR(__xludf.DUMMYFUNCTION("""COMPUTED_VALUE"""),121979.0)</f>
        <v>121979</v>
      </c>
      <c r="D2656" s="11">
        <f>IFERROR(__xludf.DUMMYFUNCTION("""COMPUTED_VALUE"""),1791.0)</f>
        <v>1791</v>
      </c>
      <c r="E2656" s="9"/>
    </row>
    <row r="2657">
      <c r="A2657" s="11">
        <f>IFERROR(__xludf.DUMMYFUNCTION("""COMPUTED_VALUE"""),2021.0)</f>
        <v>2021</v>
      </c>
      <c r="B2657" s="11">
        <f>IFERROR(__xludf.DUMMYFUNCTION("""COMPUTED_VALUE"""),11.0)</f>
        <v>11</v>
      </c>
      <c r="C2657" s="11">
        <f>IFERROR(__xludf.DUMMYFUNCTION("""COMPUTED_VALUE"""),80043.0)</f>
        <v>80043</v>
      </c>
      <c r="D2657" s="11">
        <f>IFERROR(__xludf.DUMMYFUNCTION("""COMPUTED_VALUE"""),1806.0)</f>
        <v>1806</v>
      </c>
      <c r="E2657" s="9"/>
    </row>
    <row r="2658">
      <c r="A2658" s="11">
        <f>IFERROR(__xludf.DUMMYFUNCTION("""COMPUTED_VALUE"""),2021.0)</f>
        <v>2021</v>
      </c>
      <c r="B2658" s="11">
        <f>IFERROR(__xludf.DUMMYFUNCTION("""COMPUTED_VALUE"""),10.0)</f>
        <v>10</v>
      </c>
      <c r="C2658" s="11">
        <f>IFERROR(__xludf.DUMMYFUNCTION("""COMPUTED_VALUE"""),100326.0)</f>
        <v>100326</v>
      </c>
      <c r="D2658" s="11">
        <f>IFERROR(__xludf.DUMMYFUNCTION("""COMPUTED_VALUE"""),936.0)</f>
        <v>936</v>
      </c>
      <c r="E2658" s="9"/>
    </row>
    <row r="2659">
      <c r="A2659" s="11">
        <f>IFERROR(__xludf.DUMMYFUNCTION("""COMPUTED_VALUE"""),2021.0)</f>
        <v>2021</v>
      </c>
      <c r="B2659" s="11">
        <f>IFERROR(__xludf.DUMMYFUNCTION("""COMPUTED_VALUE"""),8.0)</f>
        <v>8</v>
      </c>
      <c r="C2659" s="11">
        <f>IFERROR(__xludf.DUMMYFUNCTION("""COMPUTED_VALUE"""),69117.0)</f>
        <v>69117</v>
      </c>
      <c r="D2659" s="11">
        <f>IFERROR(__xludf.DUMMYFUNCTION("""COMPUTED_VALUE"""),774.0)</f>
        <v>774</v>
      </c>
      <c r="E2659" s="9"/>
    </row>
    <row r="2660">
      <c r="A2660" s="11">
        <f>IFERROR(__xludf.DUMMYFUNCTION("""COMPUTED_VALUE"""),2021.0)</f>
        <v>2021</v>
      </c>
      <c r="B2660" s="11">
        <f>IFERROR(__xludf.DUMMYFUNCTION("""COMPUTED_VALUE"""),8.0)</f>
        <v>8</v>
      </c>
      <c r="C2660" s="11">
        <f>IFERROR(__xludf.DUMMYFUNCTION("""COMPUTED_VALUE"""),100334.0)</f>
        <v>100334</v>
      </c>
      <c r="D2660" s="11">
        <f>IFERROR(__xludf.DUMMYFUNCTION("""COMPUTED_VALUE"""),1647.0)</f>
        <v>1647</v>
      </c>
      <c r="E2660" s="9"/>
    </row>
    <row r="2661">
      <c r="A2661" s="11">
        <f>IFERROR(__xludf.DUMMYFUNCTION("""COMPUTED_VALUE"""),2021.0)</f>
        <v>2021</v>
      </c>
      <c r="B2661" s="11">
        <f>IFERROR(__xludf.DUMMYFUNCTION("""COMPUTED_VALUE"""),8.0)</f>
        <v>8</v>
      </c>
      <c r="C2661" s="11">
        <f>IFERROR(__xludf.DUMMYFUNCTION("""COMPUTED_VALUE"""),69120.0)</f>
        <v>69120</v>
      </c>
      <c r="D2661" s="11">
        <f>IFERROR(__xludf.DUMMYFUNCTION("""COMPUTED_VALUE"""),191.0)</f>
        <v>191</v>
      </c>
      <c r="E2661" s="9"/>
    </row>
    <row r="2662">
      <c r="A2662" s="11">
        <f>IFERROR(__xludf.DUMMYFUNCTION("""COMPUTED_VALUE"""),2021.0)</f>
        <v>2021</v>
      </c>
      <c r="B2662" s="11">
        <f>IFERROR(__xludf.DUMMYFUNCTION("""COMPUTED_VALUE"""),8.0)</f>
        <v>8</v>
      </c>
      <c r="C2662" s="11">
        <f>IFERROR(__xludf.DUMMYFUNCTION("""COMPUTED_VALUE"""),69119.0)</f>
        <v>69119</v>
      </c>
      <c r="D2662" s="11">
        <f>IFERROR(__xludf.DUMMYFUNCTION("""COMPUTED_VALUE"""),1621.0)</f>
        <v>1621</v>
      </c>
      <c r="E2662" s="9"/>
    </row>
    <row r="2663">
      <c r="A2663" s="11">
        <f>IFERROR(__xludf.DUMMYFUNCTION("""COMPUTED_VALUE"""),2021.0)</f>
        <v>2021</v>
      </c>
      <c r="B2663" s="11">
        <f>IFERROR(__xludf.DUMMYFUNCTION("""COMPUTED_VALUE"""),10.0)</f>
        <v>10</v>
      </c>
      <c r="C2663" s="11">
        <f>IFERROR(__xludf.DUMMYFUNCTION("""COMPUTED_VALUE"""),69118.0)</f>
        <v>69118</v>
      </c>
      <c r="D2663" s="11">
        <f>IFERROR(__xludf.DUMMYFUNCTION("""COMPUTED_VALUE"""),1366.0)</f>
        <v>1366</v>
      </c>
      <c r="E2663" s="9"/>
    </row>
    <row r="2664">
      <c r="A2664" s="11">
        <f>IFERROR(__xludf.DUMMYFUNCTION("""COMPUTED_VALUE"""),2021.0)</f>
        <v>2021</v>
      </c>
      <c r="B2664" s="11">
        <f>IFERROR(__xludf.DUMMYFUNCTION("""COMPUTED_VALUE"""),11.0)</f>
        <v>11</v>
      </c>
      <c r="C2664" s="11">
        <f>IFERROR(__xludf.DUMMYFUNCTION("""COMPUTED_VALUE"""),80044.0)</f>
        <v>80044</v>
      </c>
      <c r="D2664" s="11">
        <f>IFERROR(__xludf.DUMMYFUNCTION("""COMPUTED_VALUE"""),1898.0)</f>
        <v>1898</v>
      </c>
      <c r="E2664" s="9"/>
    </row>
    <row r="2665">
      <c r="A2665" s="11">
        <f>IFERROR(__xludf.DUMMYFUNCTION("""COMPUTED_VALUE"""),2021.0)</f>
        <v>2021</v>
      </c>
      <c r="B2665" s="11">
        <f>IFERROR(__xludf.DUMMYFUNCTION("""COMPUTED_VALUE"""),8.0)</f>
        <v>8</v>
      </c>
      <c r="C2665" s="11">
        <f>IFERROR(__xludf.DUMMYFUNCTION("""COMPUTED_VALUE"""),23556.0)</f>
        <v>23556</v>
      </c>
      <c r="D2665" s="11">
        <f>IFERROR(__xludf.DUMMYFUNCTION("""COMPUTED_VALUE"""),930.0)</f>
        <v>930</v>
      </c>
      <c r="E2665" s="9"/>
    </row>
    <row r="2666">
      <c r="A2666" s="11">
        <f>IFERROR(__xludf.DUMMYFUNCTION("""COMPUTED_VALUE"""),2021.0)</f>
        <v>2021</v>
      </c>
      <c r="B2666" s="11">
        <f>IFERROR(__xludf.DUMMYFUNCTION("""COMPUTED_VALUE"""),9.0)</f>
        <v>9</v>
      </c>
      <c r="C2666" s="11">
        <f>IFERROR(__xludf.DUMMYFUNCTION("""COMPUTED_VALUE"""),69114.0)</f>
        <v>69114</v>
      </c>
      <c r="D2666" s="11">
        <f>IFERROR(__xludf.DUMMYFUNCTION("""COMPUTED_VALUE"""),312.0)</f>
        <v>312</v>
      </c>
      <c r="E2666" s="9"/>
    </row>
    <row r="2667">
      <c r="A2667" s="11">
        <f>IFERROR(__xludf.DUMMYFUNCTION("""COMPUTED_VALUE"""),2021.0)</f>
        <v>2021</v>
      </c>
      <c r="B2667" s="11">
        <f>IFERROR(__xludf.DUMMYFUNCTION("""COMPUTED_VALUE"""),10.0)</f>
        <v>10</v>
      </c>
      <c r="C2667" s="11">
        <f>IFERROR(__xludf.DUMMYFUNCTION("""COMPUTED_VALUE"""),79778.0)</f>
        <v>79778</v>
      </c>
      <c r="D2667" s="11">
        <f>IFERROR(__xludf.DUMMYFUNCTION("""COMPUTED_VALUE"""),1063.0)</f>
        <v>1063</v>
      </c>
      <c r="E2667" s="9"/>
    </row>
    <row r="2668">
      <c r="A2668" s="11">
        <f>IFERROR(__xludf.DUMMYFUNCTION("""COMPUTED_VALUE"""),2021.0)</f>
        <v>2021</v>
      </c>
      <c r="B2668" s="11">
        <f>IFERROR(__xludf.DUMMYFUNCTION("""COMPUTED_VALUE"""),9.0)</f>
        <v>9</v>
      </c>
      <c r="C2668" s="11">
        <f>IFERROR(__xludf.DUMMYFUNCTION("""COMPUTED_VALUE"""),100323.0)</f>
        <v>100323</v>
      </c>
      <c r="D2668" s="11">
        <f>IFERROR(__xludf.DUMMYFUNCTION("""COMPUTED_VALUE"""),1605.0)</f>
        <v>1605</v>
      </c>
      <c r="E2668" s="9"/>
    </row>
    <row r="2669">
      <c r="A2669" s="11">
        <f>IFERROR(__xludf.DUMMYFUNCTION("""COMPUTED_VALUE"""),2021.0)</f>
        <v>2021</v>
      </c>
      <c r="B2669" s="11">
        <f>IFERROR(__xludf.DUMMYFUNCTION("""COMPUTED_VALUE"""),11.0)</f>
        <v>11</v>
      </c>
      <c r="C2669" s="11">
        <f>IFERROR(__xludf.DUMMYFUNCTION("""COMPUTED_VALUE"""),69116.0)</f>
        <v>69116</v>
      </c>
      <c r="D2669" s="11">
        <f>IFERROR(__xludf.DUMMYFUNCTION("""COMPUTED_VALUE"""),1905.0)</f>
        <v>1905</v>
      </c>
      <c r="E2669" s="9"/>
    </row>
    <row r="2670">
      <c r="A2670" s="11">
        <f>IFERROR(__xludf.DUMMYFUNCTION("""COMPUTED_VALUE"""),2021.0)</f>
        <v>2021</v>
      </c>
      <c r="B2670" s="11">
        <f>IFERROR(__xludf.DUMMYFUNCTION("""COMPUTED_VALUE"""),9.0)</f>
        <v>9</v>
      </c>
      <c r="C2670" s="11">
        <f>IFERROR(__xludf.DUMMYFUNCTION("""COMPUTED_VALUE"""),68938.0)</f>
        <v>68938</v>
      </c>
      <c r="D2670" s="11">
        <f>IFERROR(__xludf.DUMMYFUNCTION("""COMPUTED_VALUE"""),999.0)</f>
        <v>999</v>
      </c>
      <c r="E2670" s="9"/>
    </row>
    <row r="2671">
      <c r="A2671" s="11">
        <f>IFERROR(__xludf.DUMMYFUNCTION("""COMPUTED_VALUE"""),2021.0)</f>
        <v>2021</v>
      </c>
      <c r="B2671" s="11">
        <f>IFERROR(__xludf.DUMMYFUNCTION("""COMPUTED_VALUE"""),10.0)</f>
        <v>10</v>
      </c>
      <c r="C2671" s="11">
        <f>IFERROR(__xludf.DUMMYFUNCTION("""COMPUTED_VALUE"""),121987.0)</f>
        <v>121987</v>
      </c>
      <c r="D2671" s="11">
        <f>IFERROR(__xludf.DUMMYFUNCTION("""COMPUTED_VALUE"""),1016.0)</f>
        <v>1016</v>
      </c>
      <c r="E2671" s="9"/>
    </row>
    <row r="2672">
      <c r="A2672" s="11">
        <f>IFERROR(__xludf.DUMMYFUNCTION("""COMPUTED_VALUE"""),2021.0)</f>
        <v>2021</v>
      </c>
      <c r="B2672" s="11">
        <f>IFERROR(__xludf.DUMMYFUNCTION("""COMPUTED_VALUE"""),10.0)</f>
        <v>10</v>
      </c>
      <c r="C2672" s="11">
        <f>IFERROR(__xludf.DUMMYFUNCTION("""COMPUTED_VALUE"""),69113.0)</f>
        <v>69113</v>
      </c>
      <c r="D2672" s="11">
        <f>IFERROR(__xludf.DUMMYFUNCTION("""COMPUTED_VALUE"""),82.0)</f>
        <v>82</v>
      </c>
      <c r="E2672" s="9"/>
    </row>
    <row r="2673">
      <c r="A2673" s="11">
        <f>IFERROR(__xludf.DUMMYFUNCTION("""COMPUTED_VALUE"""),2021.0)</f>
        <v>2021</v>
      </c>
      <c r="B2673" s="11">
        <f>IFERROR(__xludf.DUMMYFUNCTION("""COMPUTED_VALUE"""),9.0)</f>
        <v>9</v>
      </c>
      <c r="C2673" s="11">
        <f>IFERROR(__xludf.DUMMYFUNCTION("""COMPUTED_VALUE"""),80053.0)</f>
        <v>80053</v>
      </c>
      <c r="D2673" s="11">
        <f>IFERROR(__xludf.DUMMYFUNCTION("""COMPUTED_VALUE"""),1530.0)</f>
        <v>1530</v>
      </c>
      <c r="E2673" s="9"/>
    </row>
    <row r="2674">
      <c r="A2674" s="11">
        <f>IFERROR(__xludf.DUMMYFUNCTION("""COMPUTED_VALUE"""),2021.0)</f>
        <v>2021</v>
      </c>
      <c r="B2674" s="11">
        <f>IFERROR(__xludf.DUMMYFUNCTION("""COMPUTED_VALUE"""),11.0)</f>
        <v>11</v>
      </c>
      <c r="C2674" s="11">
        <f>IFERROR(__xludf.DUMMYFUNCTION("""COMPUTED_VALUE"""),121986.0)</f>
        <v>121986</v>
      </c>
      <c r="D2674" s="11">
        <f>IFERROR(__xludf.DUMMYFUNCTION("""COMPUTED_VALUE"""),252.0)</f>
        <v>252</v>
      </c>
      <c r="E2674" s="9"/>
    </row>
    <row r="2675">
      <c r="A2675" s="11">
        <f>IFERROR(__xludf.DUMMYFUNCTION("""COMPUTED_VALUE"""),2021.0)</f>
        <v>2021</v>
      </c>
      <c r="B2675" s="11">
        <f>IFERROR(__xludf.DUMMYFUNCTION("""COMPUTED_VALUE"""),10.0)</f>
        <v>10</v>
      </c>
      <c r="C2675" s="11">
        <f>IFERROR(__xludf.DUMMYFUNCTION("""COMPUTED_VALUE"""),121988.0)</f>
        <v>121988</v>
      </c>
      <c r="D2675" s="11">
        <f>IFERROR(__xludf.DUMMYFUNCTION("""COMPUTED_VALUE"""),991.0)</f>
        <v>991</v>
      </c>
      <c r="E2675" s="9"/>
    </row>
    <row r="2676">
      <c r="A2676" s="11">
        <f>IFERROR(__xludf.DUMMYFUNCTION("""COMPUTED_VALUE"""),2021.0)</f>
        <v>2021</v>
      </c>
      <c r="B2676" s="11">
        <f>IFERROR(__xludf.DUMMYFUNCTION("""COMPUTED_VALUE"""),9.0)</f>
        <v>9</v>
      </c>
      <c r="C2676" s="11">
        <f>IFERROR(__xludf.DUMMYFUNCTION("""COMPUTED_VALUE"""),121990.0)</f>
        <v>121990</v>
      </c>
      <c r="D2676" s="11">
        <f>IFERROR(__xludf.DUMMYFUNCTION("""COMPUTED_VALUE"""),1278.0)</f>
        <v>1278</v>
      </c>
      <c r="E2676" s="9"/>
    </row>
    <row r="2677">
      <c r="A2677" s="11">
        <f>IFERROR(__xludf.DUMMYFUNCTION("""COMPUTED_VALUE"""),2021.0)</f>
        <v>2021</v>
      </c>
      <c r="B2677" s="11">
        <f>IFERROR(__xludf.DUMMYFUNCTION("""COMPUTED_VALUE"""),10.0)</f>
        <v>10</v>
      </c>
      <c r="C2677" s="11">
        <f>IFERROR(__xludf.DUMMYFUNCTION("""COMPUTED_VALUE"""),68941.0)</f>
        <v>68941</v>
      </c>
      <c r="D2677" s="11">
        <f>IFERROR(__xludf.DUMMYFUNCTION("""COMPUTED_VALUE"""),1462.0)</f>
        <v>1462</v>
      </c>
      <c r="E2677" s="9"/>
    </row>
    <row r="2678">
      <c r="A2678" s="11">
        <f>IFERROR(__xludf.DUMMYFUNCTION("""COMPUTED_VALUE"""),2021.0)</f>
        <v>2021</v>
      </c>
      <c r="B2678" s="11">
        <f>IFERROR(__xludf.DUMMYFUNCTION("""COMPUTED_VALUE"""),9.0)</f>
        <v>9</v>
      </c>
      <c r="C2678" s="11">
        <f>IFERROR(__xludf.DUMMYFUNCTION("""COMPUTED_VALUE"""),69122.0)</f>
        <v>69122</v>
      </c>
      <c r="D2678" s="11">
        <f>IFERROR(__xludf.DUMMYFUNCTION("""COMPUTED_VALUE"""),1096.0)</f>
        <v>1096</v>
      </c>
      <c r="E2678" s="9"/>
    </row>
    <row r="2679">
      <c r="A2679" s="11">
        <f>IFERROR(__xludf.DUMMYFUNCTION("""COMPUTED_VALUE"""),2021.0)</f>
        <v>2021</v>
      </c>
      <c r="B2679" s="11">
        <f>IFERROR(__xludf.DUMMYFUNCTION("""COMPUTED_VALUE"""),10.0)</f>
        <v>10</v>
      </c>
      <c r="C2679" s="11">
        <f>IFERROR(__xludf.DUMMYFUNCTION("""COMPUTED_VALUE"""),80049.0)</f>
        <v>80049</v>
      </c>
      <c r="D2679" s="11">
        <f>IFERROR(__xludf.DUMMYFUNCTION("""COMPUTED_VALUE"""),498.0)</f>
        <v>498</v>
      </c>
      <c r="E2679" s="9"/>
    </row>
    <row r="2680">
      <c r="A2680" s="11">
        <f>IFERROR(__xludf.DUMMYFUNCTION("""COMPUTED_VALUE"""),2021.0)</f>
        <v>2021</v>
      </c>
      <c r="B2680" s="11">
        <f>IFERROR(__xludf.DUMMYFUNCTION("""COMPUTED_VALUE"""),10.0)</f>
        <v>10</v>
      </c>
      <c r="C2680" s="11">
        <f>IFERROR(__xludf.DUMMYFUNCTION("""COMPUTED_VALUE"""),121971.0)</f>
        <v>121971</v>
      </c>
      <c r="D2680" s="11">
        <f>IFERROR(__xludf.DUMMYFUNCTION("""COMPUTED_VALUE"""),1946.0)</f>
        <v>1946</v>
      </c>
      <c r="E2680" s="9"/>
    </row>
    <row r="2681">
      <c r="A2681" s="11">
        <f>IFERROR(__xludf.DUMMYFUNCTION("""COMPUTED_VALUE"""),2021.0)</f>
        <v>2021</v>
      </c>
      <c r="B2681" s="11">
        <f>IFERROR(__xludf.DUMMYFUNCTION("""COMPUTED_VALUE"""),10.0)</f>
        <v>10</v>
      </c>
      <c r="C2681" s="11">
        <f>IFERROR(__xludf.DUMMYFUNCTION("""COMPUTED_VALUE"""),68945.0)</f>
        <v>68945</v>
      </c>
      <c r="D2681" s="11">
        <f>IFERROR(__xludf.DUMMYFUNCTION("""COMPUTED_VALUE"""),547.0)</f>
        <v>547</v>
      </c>
      <c r="E2681" s="9"/>
    </row>
    <row r="2682">
      <c r="A2682" s="11">
        <f>IFERROR(__xludf.DUMMYFUNCTION("""COMPUTED_VALUE"""),2021.0)</f>
        <v>2021</v>
      </c>
      <c r="B2682" s="11">
        <f>IFERROR(__xludf.DUMMYFUNCTION("""COMPUTED_VALUE"""),8.0)</f>
        <v>8</v>
      </c>
      <c r="C2682" s="11">
        <f>IFERROR(__xludf.DUMMYFUNCTION("""COMPUTED_VALUE"""),79780.0)</f>
        <v>79780</v>
      </c>
      <c r="D2682" s="11">
        <f>IFERROR(__xludf.DUMMYFUNCTION("""COMPUTED_VALUE"""),1272.0)</f>
        <v>1272</v>
      </c>
      <c r="E2682" s="9"/>
    </row>
    <row r="2683">
      <c r="A2683" s="11">
        <f>IFERROR(__xludf.DUMMYFUNCTION("""COMPUTED_VALUE"""),2021.0)</f>
        <v>2021</v>
      </c>
      <c r="B2683" s="11">
        <f>IFERROR(__xludf.DUMMYFUNCTION("""COMPUTED_VALUE"""),11.0)</f>
        <v>11</v>
      </c>
      <c r="C2683" s="11">
        <f>IFERROR(__xludf.DUMMYFUNCTION("""COMPUTED_VALUE"""),80056.0)</f>
        <v>80056</v>
      </c>
      <c r="D2683" s="11">
        <f>IFERROR(__xludf.DUMMYFUNCTION("""COMPUTED_VALUE"""),1382.0)</f>
        <v>1382</v>
      </c>
      <c r="E2683" s="9"/>
    </row>
    <row r="2684">
      <c r="A2684" s="11">
        <f>IFERROR(__xludf.DUMMYFUNCTION("""COMPUTED_VALUE"""),2021.0)</f>
        <v>2021</v>
      </c>
      <c r="B2684" s="11">
        <f>IFERROR(__xludf.DUMMYFUNCTION("""COMPUTED_VALUE"""),11.0)</f>
        <v>11</v>
      </c>
      <c r="C2684" s="11">
        <f>IFERROR(__xludf.DUMMYFUNCTION("""COMPUTED_VALUE"""),80040.0)</f>
        <v>80040</v>
      </c>
      <c r="D2684" s="11">
        <f>IFERROR(__xludf.DUMMYFUNCTION("""COMPUTED_VALUE"""),1585.0)</f>
        <v>1585</v>
      </c>
      <c r="E2684" s="9"/>
    </row>
    <row r="2685">
      <c r="A2685" s="11">
        <f>IFERROR(__xludf.DUMMYFUNCTION("""COMPUTED_VALUE"""),2021.0)</f>
        <v>2021</v>
      </c>
      <c r="B2685" s="11">
        <f>IFERROR(__xludf.DUMMYFUNCTION("""COMPUTED_VALUE"""),9.0)</f>
        <v>9</v>
      </c>
      <c r="C2685" s="11">
        <f>IFERROR(__xludf.DUMMYFUNCTION("""COMPUTED_VALUE"""),114480.0)</f>
        <v>114480</v>
      </c>
      <c r="D2685" s="11">
        <f>IFERROR(__xludf.DUMMYFUNCTION("""COMPUTED_VALUE"""),1155.0)</f>
        <v>1155</v>
      </c>
      <c r="E2685" s="9"/>
    </row>
    <row r="2686">
      <c r="A2686" s="11">
        <f>IFERROR(__xludf.DUMMYFUNCTION("""COMPUTED_VALUE"""),2021.0)</f>
        <v>2021</v>
      </c>
      <c r="B2686" s="11">
        <f>IFERROR(__xludf.DUMMYFUNCTION("""COMPUTED_VALUE"""),10.0)</f>
        <v>10</v>
      </c>
      <c r="C2686" s="11">
        <f>IFERROR(__xludf.DUMMYFUNCTION("""COMPUTED_VALUE"""),111922.0)</f>
        <v>111922</v>
      </c>
      <c r="D2686" s="11">
        <f>IFERROR(__xludf.DUMMYFUNCTION("""COMPUTED_VALUE"""),836.0)</f>
        <v>836</v>
      </c>
      <c r="E2686" s="9"/>
    </row>
    <row r="2687">
      <c r="A2687" s="11">
        <f>IFERROR(__xludf.DUMMYFUNCTION("""COMPUTED_VALUE"""),2021.0)</f>
        <v>2021</v>
      </c>
      <c r="B2687" s="11">
        <f>IFERROR(__xludf.DUMMYFUNCTION("""COMPUTED_VALUE"""),11.0)</f>
        <v>11</v>
      </c>
      <c r="C2687" s="11">
        <f>IFERROR(__xludf.DUMMYFUNCTION("""COMPUTED_VALUE"""),111924.0)</f>
        <v>111924</v>
      </c>
      <c r="D2687" s="11">
        <f>IFERROR(__xludf.DUMMYFUNCTION("""COMPUTED_VALUE"""),1878.0)</f>
        <v>1878</v>
      </c>
      <c r="E2687" s="9"/>
    </row>
    <row r="2688">
      <c r="A2688" s="11">
        <f>IFERROR(__xludf.DUMMYFUNCTION("""COMPUTED_VALUE"""),2021.0)</f>
        <v>2021</v>
      </c>
      <c r="B2688" s="11">
        <f>IFERROR(__xludf.DUMMYFUNCTION("""COMPUTED_VALUE"""),9.0)</f>
        <v>9</v>
      </c>
      <c r="C2688" s="11">
        <f>IFERROR(__xludf.DUMMYFUNCTION("""COMPUTED_VALUE"""),80047.0)</f>
        <v>80047</v>
      </c>
      <c r="D2688" s="11">
        <f>IFERROR(__xludf.DUMMYFUNCTION("""COMPUTED_VALUE"""),1823.0)</f>
        <v>1823</v>
      </c>
      <c r="E2688" s="9"/>
    </row>
    <row r="2689">
      <c r="A2689" s="11">
        <f>IFERROR(__xludf.DUMMYFUNCTION("""COMPUTED_VALUE"""),2021.0)</f>
        <v>2021</v>
      </c>
      <c r="B2689" s="11">
        <f>IFERROR(__xludf.DUMMYFUNCTION("""COMPUTED_VALUE"""),8.0)</f>
        <v>8</v>
      </c>
      <c r="C2689" s="11">
        <f>IFERROR(__xludf.DUMMYFUNCTION("""COMPUTED_VALUE"""),69121.0)</f>
        <v>69121</v>
      </c>
      <c r="D2689" s="11">
        <f>IFERROR(__xludf.DUMMYFUNCTION("""COMPUTED_VALUE"""),682.0)</f>
        <v>682</v>
      </c>
      <c r="E2689" s="9"/>
    </row>
    <row r="2690">
      <c r="A2690" s="11">
        <f>IFERROR(__xludf.DUMMYFUNCTION("""COMPUTED_VALUE"""),2021.0)</f>
        <v>2021</v>
      </c>
      <c r="B2690" s="11">
        <f>IFERROR(__xludf.DUMMYFUNCTION("""COMPUTED_VALUE"""),9.0)</f>
        <v>9</v>
      </c>
      <c r="C2690" s="11">
        <f>IFERROR(__xludf.DUMMYFUNCTION("""COMPUTED_VALUE"""),68939.0)</f>
        <v>68939</v>
      </c>
      <c r="D2690" s="11">
        <f>IFERROR(__xludf.DUMMYFUNCTION("""COMPUTED_VALUE"""),1126.0)</f>
        <v>1126</v>
      </c>
      <c r="E2690" s="9"/>
    </row>
    <row r="2691">
      <c r="A2691" s="11">
        <f>IFERROR(__xludf.DUMMYFUNCTION("""COMPUTED_VALUE"""),2021.0)</f>
        <v>2021</v>
      </c>
      <c r="B2691" s="11">
        <f>IFERROR(__xludf.DUMMYFUNCTION("""COMPUTED_VALUE"""),10.0)</f>
        <v>10</v>
      </c>
      <c r="C2691" s="11">
        <f>IFERROR(__xludf.DUMMYFUNCTION("""COMPUTED_VALUE"""),69124.0)</f>
        <v>69124</v>
      </c>
      <c r="D2691" s="11">
        <f>IFERROR(__xludf.DUMMYFUNCTION("""COMPUTED_VALUE"""),1844.0)</f>
        <v>1844</v>
      </c>
      <c r="E2691" s="9"/>
    </row>
    <row r="2692">
      <c r="A2692" s="11">
        <f>IFERROR(__xludf.DUMMYFUNCTION("""COMPUTED_VALUE"""),2021.0)</f>
        <v>2021</v>
      </c>
      <c r="B2692" s="11">
        <f>IFERROR(__xludf.DUMMYFUNCTION("""COMPUTED_VALUE"""),11.0)</f>
        <v>11</v>
      </c>
      <c r="C2692" s="11">
        <f>IFERROR(__xludf.DUMMYFUNCTION("""COMPUTED_VALUE"""),23552.0)</f>
        <v>23552</v>
      </c>
      <c r="D2692" s="11">
        <f>IFERROR(__xludf.DUMMYFUNCTION("""COMPUTED_VALUE"""),1661.0)</f>
        <v>1661</v>
      </c>
      <c r="E2692" s="9"/>
    </row>
    <row r="2693">
      <c r="A2693" s="11">
        <f>IFERROR(__xludf.DUMMYFUNCTION("""COMPUTED_VALUE"""),2021.0)</f>
        <v>2021</v>
      </c>
      <c r="B2693" s="11">
        <f>IFERROR(__xludf.DUMMYFUNCTION("""COMPUTED_VALUE"""),8.0)</f>
        <v>8</v>
      </c>
      <c r="C2693" s="11">
        <f>IFERROR(__xludf.DUMMYFUNCTION("""COMPUTED_VALUE"""),68943.0)</f>
        <v>68943</v>
      </c>
      <c r="D2693" s="11">
        <f>IFERROR(__xludf.DUMMYFUNCTION("""COMPUTED_VALUE"""),246.0)</f>
        <v>246</v>
      </c>
      <c r="E2693" s="9"/>
    </row>
    <row r="2694">
      <c r="A2694" s="11">
        <f>IFERROR(__xludf.DUMMYFUNCTION("""COMPUTED_VALUE"""),2021.0)</f>
        <v>2021</v>
      </c>
      <c r="B2694" s="11">
        <f>IFERROR(__xludf.DUMMYFUNCTION("""COMPUTED_VALUE"""),9.0)</f>
        <v>9</v>
      </c>
      <c r="C2694" s="11">
        <f>IFERROR(__xludf.DUMMYFUNCTION("""COMPUTED_VALUE"""),69115.0)</f>
        <v>69115</v>
      </c>
      <c r="D2694" s="11">
        <f>IFERROR(__xludf.DUMMYFUNCTION("""COMPUTED_VALUE"""),471.0)</f>
        <v>471</v>
      </c>
      <c r="E2694" s="9"/>
    </row>
    <row r="2695">
      <c r="A2695" s="11">
        <f>IFERROR(__xludf.DUMMYFUNCTION("""COMPUTED_VALUE"""),2021.0)</f>
        <v>2021</v>
      </c>
      <c r="B2695" s="11">
        <f>IFERROR(__xludf.DUMMYFUNCTION("""COMPUTED_VALUE"""),10.0)</f>
        <v>10</v>
      </c>
      <c r="C2695" s="11">
        <f>IFERROR(__xludf.DUMMYFUNCTION("""COMPUTED_VALUE"""),81122.0)</f>
        <v>81122</v>
      </c>
      <c r="D2695" s="11">
        <f>IFERROR(__xludf.DUMMYFUNCTION("""COMPUTED_VALUE"""),718.0)</f>
        <v>718</v>
      </c>
      <c r="E2695" s="9"/>
    </row>
    <row r="2696">
      <c r="A2696" s="11">
        <f>IFERROR(__xludf.DUMMYFUNCTION("""COMPUTED_VALUE"""),2021.0)</f>
        <v>2021</v>
      </c>
      <c r="B2696" s="11">
        <f>IFERROR(__xludf.DUMMYFUNCTION("""COMPUTED_VALUE"""),10.0)</f>
        <v>10</v>
      </c>
      <c r="C2696" s="11">
        <f>IFERROR(__xludf.DUMMYFUNCTION("""COMPUTED_VALUE"""),84672.0)</f>
        <v>84672</v>
      </c>
      <c r="D2696" s="11">
        <f>IFERROR(__xludf.DUMMYFUNCTION("""COMPUTED_VALUE"""),1747.0)</f>
        <v>1747</v>
      </c>
      <c r="E2696" s="9"/>
    </row>
    <row r="2697">
      <c r="A2697" s="11">
        <f>IFERROR(__xludf.DUMMYFUNCTION("""COMPUTED_VALUE"""),2021.0)</f>
        <v>2021</v>
      </c>
      <c r="B2697" s="11">
        <f>IFERROR(__xludf.DUMMYFUNCTION("""COMPUTED_VALUE"""),10.0)</f>
        <v>10</v>
      </c>
      <c r="C2697" s="11">
        <f>IFERROR(__xludf.DUMMYFUNCTION("""COMPUTED_VALUE"""),81127.0)</f>
        <v>81127</v>
      </c>
      <c r="D2697" s="11">
        <f>IFERROR(__xludf.DUMMYFUNCTION("""COMPUTED_VALUE"""),114.0)</f>
        <v>114</v>
      </c>
      <c r="E2697" s="9"/>
    </row>
    <row r="2698">
      <c r="A2698" s="11">
        <f>IFERROR(__xludf.DUMMYFUNCTION("""COMPUTED_VALUE"""),2021.0)</f>
        <v>2021</v>
      </c>
      <c r="B2698" s="11">
        <f>IFERROR(__xludf.DUMMYFUNCTION("""COMPUTED_VALUE"""),9.0)</f>
        <v>9</v>
      </c>
      <c r="C2698" s="11">
        <f>IFERROR(__xludf.DUMMYFUNCTION("""COMPUTED_VALUE"""),87858.0)</f>
        <v>87858</v>
      </c>
      <c r="D2698" s="11">
        <f>IFERROR(__xludf.DUMMYFUNCTION("""COMPUTED_VALUE"""),89.0)</f>
        <v>89</v>
      </c>
      <c r="E2698" s="9"/>
    </row>
    <row r="2699">
      <c r="A2699" s="11">
        <f>IFERROR(__xludf.DUMMYFUNCTION("""COMPUTED_VALUE"""),2021.0)</f>
        <v>2021</v>
      </c>
      <c r="B2699" s="11">
        <f>IFERROR(__xludf.DUMMYFUNCTION("""COMPUTED_VALUE"""),9.0)</f>
        <v>9</v>
      </c>
      <c r="C2699" s="11">
        <f>IFERROR(__xludf.DUMMYFUNCTION("""COMPUTED_VALUE"""),84673.0)</f>
        <v>84673</v>
      </c>
      <c r="D2699" s="11">
        <f>IFERROR(__xludf.DUMMYFUNCTION("""COMPUTED_VALUE"""),1081.0)</f>
        <v>1081</v>
      </c>
      <c r="E2699" s="9"/>
    </row>
    <row r="2700">
      <c r="A2700" s="11">
        <f>IFERROR(__xludf.DUMMYFUNCTION("""COMPUTED_VALUE"""),2021.0)</f>
        <v>2021</v>
      </c>
      <c r="B2700" s="11">
        <f>IFERROR(__xludf.DUMMYFUNCTION("""COMPUTED_VALUE"""),9.0)</f>
        <v>9</v>
      </c>
      <c r="C2700" s="11">
        <f>IFERROR(__xludf.DUMMYFUNCTION("""COMPUTED_VALUE"""),81064.0)</f>
        <v>81064</v>
      </c>
      <c r="D2700" s="11">
        <f>IFERROR(__xludf.DUMMYFUNCTION("""COMPUTED_VALUE"""),1618.0)</f>
        <v>1618</v>
      </c>
      <c r="E2700" s="9"/>
    </row>
    <row r="2701">
      <c r="A2701" s="11">
        <f>IFERROR(__xludf.DUMMYFUNCTION("""COMPUTED_VALUE"""),2021.0)</f>
        <v>2021</v>
      </c>
      <c r="B2701" s="11">
        <f>IFERROR(__xludf.DUMMYFUNCTION("""COMPUTED_VALUE"""),11.0)</f>
        <v>11</v>
      </c>
      <c r="C2701" s="11">
        <f>IFERROR(__xludf.DUMMYFUNCTION("""COMPUTED_VALUE"""),81139.0)</f>
        <v>81139</v>
      </c>
      <c r="D2701" s="11">
        <f>IFERROR(__xludf.DUMMYFUNCTION("""COMPUTED_VALUE"""),492.0)</f>
        <v>492</v>
      </c>
      <c r="E2701" s="9"/>
    </row>
    <row r="2702">
      <c r="A2702" s="11">
        <f>IFERROR(__xludf.DUMMYFUNCTION("""COMPUTED_VALUE"""),2021.0)</f>
        <v>2021</v>
      </c>
      <c r="B2702" s="11">
        <f>IFERROR(__xludf.DUMMYFUNCTION("""COMPUTED_VALUE"""),10.0)</f>
        <v>10</v>
      </c>
      <c r="C2702" s="11">
        <f>IFERROR(__xludf.DUMMYFUNCTION("""COMPUTED_VALUE"""),81141.0)</f>
        <v>81141</v>
      </c>
      <c r="D2702" s="11">
        <f>IFERROR(__xludf.DUMMYFUNCTION("""COMPUTED_VALUE"""),888.0)</f>
        <v>888</v>
      </c>
      <c r="E2702" s="9"/>
    </row>
    <row r="2703">
      <c r="A2703" s="11">
        <f>IFERROR(__xludf.DUMMYFUNCTION("""COMPUTED_VALUE"""),2021.0)</f>
        <v>2021</v>
      </c>
      <c r="B2703" s="11">
        <f>IFERROR(__xludf.DUMMYFUNCTION("""COMPUTED_VALUE"""),10.0)</f>
        <v>10</v>
      </c>
      <c r="C2703" s="11">
        <f>IFERROR(__xludf.DUMMYFUNCTION("""COMPUTED_VALUE"""),81054.0)</f>
        <v>81054</v>
      </c>
      <c r="D2703" s="11">
        <f>IFERROR(__xludf.DUMMYFUNCTION("""COMPUTED_VALUE"""),4.0)</f>
        <v>4</v>
      </c>
      <c r="E2703" s="9"/>
    </row>
    <row r="2704">
      <c r="A2704" s="11">
        <f>IFERROR(__xludf.DUMMYFUNCTION("""COMPUTED_VALUE"""),2021.0)</f>
        <v>2021</v>
      </c>
      <c r="B2704" s="11">
        <f>IFERROR(__xludf.DUMMYFUNCTION("""COMPUTED_VALUE"""),10.0)</f>
        <v>10</v>
      </c>
      <c r="C2704" s="11">
        <f>IFERROR(__xludf.DUMMYFUNCTION("""COMPUTED_VALUE"""),118352.0)</f>
        <v>118352</v>
      </c>
      <c r="D2704" s="11">
        <f>IFERROR(__xludf.DUMMYFUNCTION("""COMPUTED_VALUE"""),796.0)</f>
        <v>796</v>
      </c>
      <c r="E2704" s="9"/>
    </row>
    <row r="2705">
      <c r="A2705" s="11">
        <f>IFERROR(__xludf.DUMMYFUNCTION("""COMPUTED_VALUE"""),2021.0)</f>
        <v>2021</v>
      </c>
      <c r="B2705" s="11">
        <f>IFERROR(__xludf.DUMMYFUNCTION("""COMPUTED_VALUE"""),8.0)</f>
        <v>8</v>
      </c>
      <c r="C2705" s="11">
        <f>IFERROR(__xludf.DUMMYFUNCTION("""COMPUTED_VALUE"""),81091.0)</f>
        <v>81091</v>
      </c>
      <c r="D2705" s="11">
        <f>IFERROR(__xludf.DUMMYFUNCTION("""COMPUTED_VALUE"""),708.0)</f>
        <v>708</v>
      </c>
      <c r="E2705" s="9"/>
    </row>
    <row r="2706">
      <c r="A2706" s="11">
        <f>IFERROR(__xludf.DUMMYFUNCTION("""COMPUTED_VALUE"""),2021.0)</f>
        <v>2021</v>
      </c>
      <c r="B2706" s="11">
        <f>IFERROR(__xludf.DUMMYFUNCTION("""COMPUTED_VALUE"""),8.0)</f>
        <v>8</v>
      </c>
      <c r="C2706" s="11">
        <f>IFERROR(__xludf.DUMMYFUNCTION("""COMPUTED_VALUE"""),81025.0)</f>
        <v>81025</v>
      </c>
      <c r="D2706" s="11">
        <f>IFERROR(__xludf.DUMMYFUNCTION("""COMPUTED_VALUE"""),199.0)</f>
        <v>199</v>
      </c>
      <c r="E2706" s="9"/>
    </row>
    <row r="2707">
      <c r="A2707" s="11">
        <f>IFERROR(__xludf.DUMMYFUNCTION("""COMPUTED_VALUE"""),2021.0)</f>
        <v>2021</v>
      </c>
      <c r="B2707" s="11">
        <f>IFERROR(__xludf.DUMMYFUNCTION("""COMPUTED_VALUE"""),10.0)</f>
        <v>10</v>
      </c>
      <c r="C2707" s="11">
        <f>IFERROR(__xludf.DUMMYFUNCTION("""COMPUTED_VALUE"""),81129.0)</f>
        <v>81129</v>
      </c>
      <c r="D2707" s="11">
        <f>IFERROR(__xludf.DUMMYFUNCTION("""COMPUTED_VALUE"""),925.0)</f>
        <v>925</v>
      </c>
      <c r="E2707" s="9"/>
    </row>
    <row r="2708">
      <c r="A2708" s="11">
        <f>IFERROR(__xludf.DUMMYFUNCTION("""COMPUTED_VALUE"""),2021.0)</f>
        <v>2021</v>
      </c>
      <c r="B2708" s="11">
        <f>IFERROR(__xludf.DUMMYFUNCTION("""COMPUTED_VALUE"""),9.0)</f>
        <v>9</v>
      </c>
      <c r="C2708" s="11">
        <f>IFERROR(__xludf.DUMMYFUNCTION("""COMPUTED_VALUE"""),81043.0)</f>
        <v>81043</v>
      </c>
      <c r="D2708" s="11">
        <f>IFERROR(__xludf.DUMMYFUNCTION("""COMPUTED_VALUE"""),1679.0)</f>
        <v>1679</v>
      </c>
      <c r="E2708" s="9"/>
    </row>
    <row r="2709">
      <c r="A2709" s="11">
        <f>IFERROR(__xludf.DUMMYFUNCTION("""COMPUTED_VALUE"""),2021.0)</f>
        <v>2021</v>
      </c>
      <c r="B2709" s="11">
        <f>IFERROR(__xludf.DUMMYFUNCTION("""COMPUTED_VALUE"""),10.0)</f>
        <v>10</v>
      </c>
      <c r="C2709" s="11">
        <f>IFERROR(__xludf.DUMMYFUNCTION("""COMPUTED_VALUE"""),81120.0)</f>
        <v>81120</v>
      </c>
      <c r="D2709" s="11">
        <f>IFERROR(__xludf.DUMMYFUNCTION("""COMPUTED_VALUE"""),1274.0)</f>
        <v>1274</v>
      </c>
      <c r="E2709" s="9"/>
    </row>
    <row r="2710">
      <c r="A2710" s="11">
        <f>IFERROR(__xludf.DUMMYFUNCTION("""COMPUTED_VALUE"""),2021.0)</f>
        <v>2021</v>
      </c>
      <c r="B2710" s="11">
        <f>IFERROR(__xludf.DUMMYFUNCTION("""COMPUTED_VALUE"""),9.0)</f>
        <v>9</v>
      </c>
      <c r="C2710" s="11">
        <f>IFERROR(__xludf.DUMMYFUNCTION("""COMPUTED_VALUE"""),81109.0)</f>
        <v>81109</v>
      </c>
      <c r="D2710" s="11">
        <f>IFERROR(__xludf.DUMMYFUNCTION("""COMPUTED_VALUE"""),643.0)</f>
        <v>643</v>
      </c>
      <c r="E2710" s="9"/>
    </row>
    <row r="2711">
      <c r="A2711" s="11">
        <f>IFERROR(__xludf.DUMMYFUNCTION("""COMPUTED_VALUE"""),2021.0)</f>
        <v>2021</v>
      </c>
      <c r="B2711" s="11">
        <f>IFERROR(__xludf.DUMMYFUNCTION("""COMPUTED_VALUE"""),11.0)</f>
        <v>11</v>
      </c>
      <c r="C2711" s="11">
        <f>IFERROR(__xludf.DUMMYFUNCTION("""COMPUTED_VALUE"""),81082.0)</f>
        <v>81082</v>
      </c>
      <c r="D2711" s="11">
        <f>IFERROR(__xludf.DUMMYFUNCTION("""COMPUTED_VALUE"""),693.0)</f>
        <v>693</v>
      </c>
      <c r="E2711" s="9"/>
    </row>
    <row r="2712">
      <c r="A2712" s="11">
        <f>IFERROR(__xludf.DUMMYFUNCTION("""COMPUTED_VALUE"""),2021.0)</f>
        <v>2021</v>
      </c>
      <c r="B2712" s="11">
        <f>IFERROR(__xludf.DUMMYFUNCTION("""COMPUTED_VALUE"""),8.0)</f>
        <v>8</v>
      </c>
      <c r="C2712" s="11">
        <f>IFERROR(__xludf.DUMMYFUNCTION("""COMPUTED_VALUE"""),81036.0)</f>
        <v>81036</v>
      </c>
      <c r="D2712" s="11">
        <f>IFERROR(__xludf.DUMMYFUNCTION("""COMPUTED_VALUE"""),561.0)</f>
        <v>561</v>
      </c>
      <c r="E2712" s="9"/>
    </row>
    <row r="2713">
      <c r="A2713" s="11">
        <f>IFERROR(__xludf.DUMMYFUNCTION("""COMPUTED_VALUE"""),2021.0)</f>
        <v>2021</v>
      </c>
      <c r="B2713" s="11">
        <f>IFERROR(__xludf.DUMMYFUNCTION("""COMPUTED_VALUE"""),9.0)</f>
        <v>9</v>
      </c>
      <c r="C2713" s="11">
        <f>IFERROR(__xludf.DUMMYFUNCTION("""COMPUTED_VALUE"""),81690.0)</f>
        <v>81690</v>
      </c>
      <c r="D2713" s="11">
        <f>IFERROR(__xludf.DUMMYFUNCTION("""COMPUTED_VALUE"""),1093.0)</f>
        <v>1093</v>
      </c>
      <c r="E2713" s="9"/>
    </row>
    <row r="2714">
      <c r="A2714" s="11">
        <f>IFERROR(__xludf.DUMMYFUNCTION("""COMPUTED_VALUE"""),2021.0)</f>
        <v>2021</v>
      </c>
      <c r="B2714" s="11">
        <f>IFERROR(__xludf.DUMMYFUNCTION("""COMPUTED_VALUE"""),9.0)</f>
        <v>9</v>
      </c>
      <c r="C2714" s="11">
        <f>IFERROR(__xludf.DUMMYFUNCTION("""COMPUTED_VALUE"""),87849.0)</f>
        <v>87849</v>
      </c>
      <c r="D2714" s="11">
        <f>IFERROR(__xludf.DUMMYFUNCTION("""COMPUTED_VALUE"""),1671.0)</f>
        <v>1671</v>
      </c>
      <c r="E2714" s="9"/>
    </row>
    <row r="2715">
      <c r="A2715" s="11">
        <f>IFERROR(__xludf.DUMMYFUNCTION("""COMPUTED_VALUE"""),2021.0)</f>
        <v>2021</v>
      </c>
      <c r="B2715" s="11">
        <f>IFERROR(__xludf.DUMMYFUNCTION("""COMPUTED_VALUE"""),9.0)</f>
        <v>9</v>
      </c>
      <c r="C2715" s="11">
        <f>IFERROR(__xludf.DUMMYFUNCTION("""COMPUTED_VALUE"""),81094.0)</f>
        <v>81094</v>
      </c>
      <c r="D2715" s="11">
        <f>IFERROR(__xludf.DUMMYFUNCTION("""COMPUTED_VALUE"""),1687.0)</f>
        <v>1687</v>
      </c>
      <c r="E2715" s="9"/>
    </row>
    <row r="2716">
      <c r="A2716" s="11">
        <f>IFERROR(__xludf.DUMMYFUNCTION("""COMPUTED_VALUE"""),2021.0)</f>
        <v>2021</v>
      </c>
      <c r="B2716" s="11">
        <f>IFERROR(__xludf.DUMMYFUNCTION("""COMPUTED_VALUE"""),9.0)</f>
        <v>9</v>
      </c>
      <c r="C2716" s="11">
        <f>IFERROR(__xludf.DUMMYFUNCTION("""COMPUTED_VALUE"""),202726.0)</f>
        <v>202726</v>
      </c>
      <c r="D2716" s="11">
        <f>IFERROR(__xludf.DUMMYFUNCTION("""COMPUTED_VALUE"""),1514.0)</f>
        <v>1514</v>
      </c>
      <c r="E2716" s="9"/>
    </row>
    <row r="2717">
      <c r="A2717" s="11">
        <f>IFERROR(__xludf.DUMMYFUNCTION("""COMPUTED_VALUE"""),2021.0)</f>
        <v>2021</v>
      </c>
      <c r="B2717" s="11">
        <f>IFERROR(__xludf.DUMMYFUNCTION("""COMPUTED_VALUE"""),9.0)</f>
        <v>9</v>
      </c>
      <c r="C2717" s="11">
        <f>IFERROR(__xludf.DUMMYFUNCTION("""COMPUTED_VALUE"""),101516.0)</f>
        <v>101516</v>
      </c>
      <c r="D2717" s="11">
        <f>IFERROR(__xludf.DUMMYFUNCTION("""COMPUTED_VALUE"""),981.0)</f>
        <v>981</v>
      </c>
      <c r="E2717" s="9"/>
    </row>
    <row r="2718">
      <c r="A2718" s="11">
        <f>IFERROR(__xludf.DUMMYFUNCTION("""COMPUTED_VALUE"""),2021.0)</f>
        <v>2021</v>
      </c>
      <c r="B2718" s="11">
        <f>IFERROR(__xludf.DUMMYFUNCTION("""COMPUTED_VALUE"""),8.0)</f>
        <v>8</v>
      </c>
      <c r="C2718" s="11">
        <f>IFERROR(__xludf.DUMMYFUNCTION("""COMPUTED_VALUE"""),84332.0)</f>
        <v>84332</v>
      </c>
      <c r="D2718" s="11">
        <f>IFERROR(__xludf.DUMMYFUNCTION("""COMPUTED_VALUE"""),1029.0)</f>
        <v>1029</v>
      </c>
      <c r="E2718" s="9"/>
    </row>
    <row r="2719">
      <c r="A2719" s="11">
        <f>IFERROR(__xludf.DUMMYFUNCTION("""COMPUTED_VALUE"""),2021.0)</f>
        <v>2021</v>
      </c>
      <c r="B2719" s="11">
        <f>IFERROR(__xludf.DUMMYFUNCTION("""COMPUTED_VALUE"""),11.0)</f>
        <v>11</v>
      </c>
      <c r="C2719" s="11">
        <f>IFERROR(__xludf.DUMMYFUNCTION("""COMPUTED_VALUE"""),16959.0)</f>
        <v>16959</v>
      </c>
      <c r="D2719" s="11">
        <f>IFERROR(__xludf.DUMMYFUNCTION("""COMPUTED_VALUE"""),854.0)</f>
        <v>854</v>
      </c>
      <c r="E2719" s="9"/>
    </row>
    <row r="2720">
      <c r="A2720" s="11">
        <f>IFERROR(__xludf.DUMMYFUNCTION("""COMPUTED_VALUE"""),2021.0)</f>
        <v>2021</v>
      </c>
      <c r="B2720" s="11">
        <f>IFERROR(__xludf.DUMMYFUNCTION("""COMPUTED_VALUE"""),11.0)</f>
        <v>11</v>
      </c>
      <c r="C2720" s="11">
        <f>IFERROR(__xludf.DUMMYFUNCTION("""COMPUTED_VALUE"""),87762.0)</f>
        <v>87762</v>
      </c>
      <c r="D2720" s="11">
        <f>IFERROR(__xludf.DUMMYFUNCTION("""COMPUTED_VALUE"""),422.0)</f>
        <v>422</v>
      </c>
      <c r="E2720" s="9"/>
    </row>
    <row r="2721">
      <c r="A2721" s="11">
        <f>IFERROR(__xludf.DUMMYFUNCTION("""COMPUTED_VALUE"""),2021.0)</f>
        <v>2021</v>
      </c>
      <c r="B2721" s="11">
        <f>IFERROR(__xludf.DUMMYFUNCTION("""COMPUTED_VALUE"""),11.0)</f>
        <v>11</v>
      </c>
      <c r="C2721" s="11">
        <f>IFERROR(__xludf.DUMMYFUNCTION("""COMPUTED_VALUE"""),16952.0)</f>
        <v>16952</v>
      </c>
      <c r="D2721" s="11">
        <f>IFERROR(__xludf.DUMMYFUNCTION("""COMPUTED_VALUE"""),344.0)</f>
        <v>344</v>
      </c>
      <c r="E2721" s="9"/>
    </row>
    <row r="2722">
      <c r="A2722" s="11">
        <f>IFERROR(__xludf.DUMMYFUNCTION("""COMPUTED_VALUE"""),2021.0)</f>
        <v>2021</v>
      </c>
      <c r="B2722" s="11">
        <f>IFERROR(__xludf.DUMMYFUNCTION("""COMPUTED_VALUE"""),11.0)</f>
        <v>11</v>
      </c>
      <c r="C2722" s="11">
        <f>IFERROR(__xludf.DUMMYFUNCTION("""COMPUTED_VALUE"""),16958.0)</f>
        <v>16958</v>
      </c>
      <c r="D2722" s="11">
        <f>IFERROR(__xludf.DUMMYFUNCTION("""COMPUTED_VALUE"""),216.0)</f>
        <v>216</v>
      </c>
      <c r="E2722" s="9"/>
    </row>
    <row r="2723">
      <c r="A2723" s="11">
        <f>IFERROR(__xludf.DUMMYFUNCTION("""COMPUTED_VALUE"""),2021.0)</f>
        <v>2021</v>
      </c>
      <c r="B2723" s="11">
        <f>IFERROR(__xludf.DUMMYFUNCTION("""COMPUTED_VALUE"""),9.0)</f>
        <v>9</v>
      </c>
      <c r="C2723" s="11">
        <f>IFERROR(__xludf.DUMMYFUNCTION("""COMPUTED_VALUE"""),16950.0)</f>
        <v>16950</v>
      </c>
      <c r="D2723" s="11">
        <f>IFERROR(__xludf.DUMMYFUNCTION("""COMPUTED_VALUE"""),453.0)</f>
        <v>453</v>
      </c>
      <c r="E2723" s="9"/>
    </row>
    <row r="2724">
      <c r="A2724" s="11">
        <f>IFERROR(__xludf.DUMMYFUNCTION("""COMPUTED_VALUE"""),2021.0)</f>
        <v>2021</v>
      </c>
      <c r="B2724" s="11">
        <f>IFERROR(__xludf.DUMMYFUNCTION("""COMPUTED_VALUE"""),10.0)</f>
        <v>10</v>
      </c>
      <c r="C2724" s="11">
        <f>IFERROR(__xludf.DUMMYFUNCTION("""COMPUTED_VALUE"""),102266.0)</f>
        <v>102266</v>
      </c>
      <c r="D2724" s="11">
        <f>IFERROR(__xludf.DUMMYFUNCTION("""COMPUTED_VALUE"""),196.0)</f>
        <v>196</v>
      </c>
      <c r="E2724" s="9"/>
    </row>
    <row r="2725">
      <c r="A2725" s="11">
        <f>IFERROR(__xludf.DUMMYFUNCTION("""COMPUTED_VALUE"""),2021.0)</f>
        <v>2021</v>
      </c>
      <c r="B2725" s="11">
        <f>IFERROR(__xludf.DUMMYFUNCTION("""COMPUTED_VALUE"""),10.0)</f>
        <v>10</v>
      </c>
      <c r="C2725" s="11">
        <f>IFERROR(__xludf.DUMMYFUNCTION("""COMPUTED_VALUE"""),202746.0)</f>
        <v>202746</v>
      </c>
      <c r="D2725" s="11">
        <f>IFERROR(__xludf.DUMMYFUNCTION("""COMPUTED_VALUE"""),218.0)</f>
        <v>218</v>
      </c>
      <c r="E2725" s="9"/>
    </row>
    <row r="2726">
      <c r="A2726" s="11">
        <f>IFERROR(__xludf.DUMMYFUNCTION("""COMPUTED_VALUE"""),2021.0)</f>
        <v>2021</v>
      </c>
      <c r="B2726" s="11">
        <f>IFERROR(__xludf.DUMMYFUNCTION("""COMPUTED_VALUE"""),11.0)</f>
        <v>11</v>
      </c>
      <c r="C2726" s="11">
        <f>IFERROR(__xludf.DUMMYFUNCTION("""COMPUTED_VALUE"""),101519.0)</f>
        <v>101519</v>
      </c>
      <c r="D2726" s="11">
        <f>IFERROR(__xludf.DUMMYFUNCTION("""COMPUTED_VALUE"""),609.0)</f>
        <v>609</v>
      </c>
      <c r="E2726" s="9"/>
    </row>
    <row r="2727">
      <c r="A2727" s="11">
        <f>IFERROR(__xludf.DUMMYFUNCTION("""COMPUTED_VALUE"""),2021.0)</f>
        <v>2021</v>
      </c>
      <c r="B2727" s="11">
        <f>IFERROR(__xludf.DUMMYFUNCTION("""COMPUTED_VALUE"""),10.0)</f>
        <v>10</v>
      </c>
      <c r="C2727" s="11">
        <f>IFERROR(__xludf.DUMMYFUNCTION("""COMPUTED_VALUE"""),81688.0)</f>
        <v>81688</v>
      </c>
      <c r="D2727" s="11">
        <f>IFERROR(__xludf.DUMMYFUNCTION("""COMPUTED_VALUE"""),560.0)</f>
        <v>560</v>
      </c>
      <c r="E2727" s="9"/>
    </row>
    <row r="2728">
      <c r="A2728" s="11">
        <f>IFERROR(__xludf.DUMMYFUNCTION("""COMPUTED_VALUE"""),2021.0)</f>
        <v>2021</v>
      </c>
      <c r="B2728" s="11">
        <f>IFERROR(__xludf.DUMMYFUNCTION("""COMPUTED_VALUE"""),11.0)</f>
        <v>11</v>
      </c>
      <c r="C2728" s="11">
        <f>IFERROR(__xludf.DUMMYFUNCTION("""COMPUTED_VALUE"""),120365.0)</f>
        <v>120365</v>
      </c>
      <c r="D2728" s="11">
        <f>IFERROR(__xludf.DUMMYFUNCTION("""COMPUTED_VALUE"""),1911.0)</f>
        <v>1911</v>
      </c>
      <c r="E2728" s="9"/>
    </row>
    <row r="2729">
      <c r="A2729" s="11">
        <f>IFERROR(__xludf.DUMMYFUNCTION("""COMPUTED_VALUE"""),2021.0)</f>
        <v>2021</v>
      </c>
      <c r="B2729" s="11">
        <f>IFERROR(__xludf.DUMMYFUNCTION("""COMPUTED_VALUE"""),8.0)</f>
        <v>8</v>
      </c>
      <c r="C2729" s="11">
        <f>IFERROR(__xludf.DUMMYFUNCTION("""COMPUTED_VALUE"""),3438.0)</f>
        <v>3438</v>
      </c>
      <c r="D2729" s="11">
        <f>IFERROR(__xludf.DUMMYFUNCTION("""COMPUTED_VALUE"""),1190.0)</f>
        <v>1190</v>
      </c>
      <c r="E2729" s="9"/>
    </row>
    <row r="2730">
      <c r="A2730" s="11">
        <f>IFERROR(__xludf.DUMMYFUNCTION("""COMPUTED_VALUE"""),2021.0)</f>
        <v>2021</v>
      </c>
      <c r="B2730" s="11">
        <f>IFERROR(__xludf.DUMMYFUNCTION("""COMPUTED_VALUE"""),10.0)</f>
        <v>10</v>
      </c>
      <c r="C2730" s="11">
        <f>IFERROR(__xludf.DUMMYFUNCTION("""COMPUTED_VALUE"""),102262.0)</f>
        <v>102262</v>
      </c>
      <c r="D2730" s="11">
        <f>IFERROR(__xludf.DUMMYFUNCTION("""COMPUTED_VALUE"""),1221.0)</f>
        <v>1221</v>
      </c>
      <c r="E2730" s="9"/>
    </row>
    <row r="2731">
      <c r="A2731" s="11">
        <f>IFERROR(__xludf.DUMMYFUNCTION("""COMPUTED_VALUE"""),2021.0)</f>
        <v>2021</v>
      </c>
      <c r="B2731" s="11">
        <f>IFERROR(__xludf.DUMMYFUNCTION("""COMPUTED_VALUE"""),9.0)</f>
        <v>9</v>
      </c>
      <c r="C2731" s="11">
        <f>IFERROR(__xludf.DUMMYFUNCTION("""COMPUTED_VALUE"""),87764.0)</f>
        <v>87764</v>
      </c>
      <c r="D2731" s="11">
        <f>IFERROR(__xludf.DUMMYFUNCTION("""COMPUTED_VALUE"""),513.0)</f>
        <v>513</v>
      </c>
      <c r="E2731" s="9"/>
    </row>
    <row r="2732">
      <c r="A2732" s="11">
        <f>IFERROR(__xludf.DUMMYFUNCTION("""COMPUTED_VALUE"""),2021.0)</f>
        <v>2021</v>
      </c>
      <c r="B2732" s="11">
        <f>IFERROR(__xludf.DUMMYFUNCTION("""COMPUTED_VALUE"""),9.0)</f>
        <v>9</v>
      </c>
      <c r="C2732" s="11">
        <f>IFERROR(__xludf.DUMMYFUNCTION("""COMPUTED_VALUE"""),3437.0)</f>
        <v>3437</v>
      </c>
      <c r="D2732" s="11">
        <f>IFERROR(__xludf.DUMMYFUNCTION("""COMPUTED_VALUE"""),1587.0)</f>
        <v>1587</v>
      </c>
      <c r="E2732" s="9"/>
    </row>
    <row r="2733">
      <c r="A2733" s="11">
        <f>IFERROR(__xludf.DUMMYFUNCTION("""COMPUTED_VALUE"""),2021.0)</f>
        <v>2021</v>
      </c>
      <c r="B2733" s="11">
        <f>IFERROR(__xludf.DUMMYFUNCTION("""COMPUTED_VALUE"""),8.0)</f>
        <v>8</v>
      </c>
      <c r="C2733" s="11">
        <f>IFERROR(__xludf.DUMMYFUNCTION("""COMPUTED_VALUE"""),111017.0)</f>
        <v>111017</v>
      </c>
      <c r="D2733" s="11">
        <f>IFERROR(__xludf.DUMMYFUNCTION("""COMPUTED_VALUE"""),912.0)</f>
        <v>912</v>
      </c>
      <c r="E2733" s="9"/>
    </row>
    <row r="2734">
      <c r="A2734" s="11">
        <f>IFERROR(__xludf.DUMMYFUNCTION("""COMPUTED_VALUE"""),2021.0)</f>
        <v>2021</v>
      </c>
      <c r="B2734" s="11">
        <f>IFERROR(__xludf.DUMMYFUNCTION("""COMPUTED_VALUE"""),11.0)</f>
        <v>11</v>
      </c>
      <c r="C2734" s="11">
        <f>IFERROR(__xludf.DUMMYFUNCTION("""COMPUTED_VALUE"""),102264.0)</f>
        <v>102264</v>
      </c>
      <c r="D2734" s="11">
        <f>IFERROR(__xludf.DUMMYFUNCTION("""COMPUTED_VALUE"""),320.0)</f>
        <v>320</v>
      </c>
      <c r="E2734" s="9"/>
    </row>
    <row r="2735">
      <c r="A2735" s="11">
        <f>IFERROR(__xludf.DUMMYFUNCTION("""COMPUTED_VALUE"""),2021.0)</f>
        <v>2021</v>
      </c>
      <c r="B2735" s="11">
        <f>IFERROR(__xludf.DUMMYFUNCTION("""COMPUTED_VALUE"""),8.0)</f>
        <v>8</v>
      </c>
      <c r="C2735" s="11">
        <f>IFERROR(__xludf.DUMMYFUNCTION("""COMPUTED_VALUE"""),18088.0)</f>
        <v>18088</v>
      </c>
      <c r="D2735" s="11">
        <f>IFERROR(__xludf.DUMMYFUNCTION("""COMPUTED_VALUE"""),369.0)</f>
        <v>369</v>
      </c>
      <c r="E2735" s="9"/>
    </row>
    <row r="2736">
      <c r="A2736" s="11">
        <f>IFERROR(__xludf.DUMMYFUNCTION("""COMPUTED_VALUE"""),2021.0)</f>
        <v>2021</v>
      </c>
      <c r="B2736" s="11">
        <f>IFERROR(__xludf.DUMMYFUNCTION("""COMPUTED_VALUE"""),11.0)</f>
        <v>11</v>
      </c>
      <c r="C2736" s="11">
        <f>IFERROR(__xludf.DUMMYFUNCTION("""COMPUTED_VALUE"""),87836.0)</f>
        <v>87836</v>
      </c>
      <c r="D2736" s="11">
        <f>IFERROR(__xludf.DUMMYFUNCTION("""COMPUTED_VALUE"""),761.0)</f>
        <v>761</v>
      </c>
      <c r="E2736" s="9"/>
    </row>
    <row r="2737">
      <c r="A2737" s="11">
        <f>IFERROR(__xludf.DUMMYFUNCTION("""COMPUTED_VALUE"""),2021.0)</f>
        <v>2021</v>
      </c>
      <c r="B2737" s="11">
        <f>IFERROR(__xludf.DUMMYFUNCTION("""COMPUTED_VALUE"""),8.0)</f>
        <v>8</v>
      </c>
      <c r="C2737" s="11">
        <f>IFERROR(__xludf.DUMMYFUNCTION("""COMPUTED_VALUE"""),87804.0)</f>
        <v>87804</v>
      </c>
      <c r="D2737" s="11">
        <f>IFERROR(__xludf.DUMMYFUNCTION("""COMPUTED_VALUE"""),249.0)</f>
        <v>249</v>
      </c>
      <c r="E2737" s="9"/>
    </row>
    <row r="2738">
      <c r="A2738" s="11">
        <f>IFERROR(__xludf.DUMMYFUNCTION("""COMPUTED_VALUE"""),2021.0)</f>
        <v>2021</v>
      </c>
      <c r="B2738" s="11">
        <f>IFERROR(__xludf.DUMMYFUNCTION("""COMPUTED_VALUE"""),8.0)</f>
        <v>8</v>
      </c>
      <c r="C2738" s="11">
        <f>IFERROR(__xludf.DUMMYFUNCTION("""COMPUTED_VALUE"""),108207.0)</f>
        <v>108207</v>
      </c>
      <c r="D2738" s="11">
        <f>IFERROR(__xludf.DUMMYFUNCTION("""COMPUTED_VALUE"""),589.0)</f>
        <v>589</v>
      </c>
      <c r="E2738" s="9"/>
    </row>
    <row r="2739">
      <c r="A2739" s="11">
        <f>IFERROR(__xludf.DUMMYFUNCTION("""COMPUTED_VALUE"""),2021.0)</f>
        <v>2021</v>
      </c>
      <c r="B2739" s="11">
        <f>IFERROR(__xludf.DUMMYFUNCTION("""COMPUTED_VALUE"""),9.0)</f>
        <v>9</v>
      </c>
      <c r="C2739" s="11">
        <f>IFERROR(__xludf.DUMMYFUNCTION("""COMPUTED_VALUE"""),111043.0)</f>
        <v>111043</v>
      </c>
      <c r="D2739" s="11">
        <f>IFERROR(__xludf.DUMMYFUNCTION("""COMPUTED_VALUE"""),1376.0)</f>
        <v>1376</v>
      </c>
      <c r="E2739" s="9"/>
    </row>
    <row r="2740">
      <c r="A2740" s="11">
        <f>IFERROR(__xludf.DUMMYFUNCTION("""COMPUTED_VALUE"""),2021.0)</f>
        <v>2021</v>
      </c>
      <c r="B2740" s="11">
        <f>IFERROR(__xludf.DUMMYFUNCTION("""COMPUTED_VALUE"""),11.0)</f>
        <v>11</v>
      </c>
      <c r="C2740" s="11">
        <f>IFERROR(__xludf.DUMMYFUNCTION("""COMPUTED_VALUE"""),100223.0)</f>
        <v>100223</v>
      </c>
      <c r="D2740" s="11">
        <f>IFERROR(__xludf.DUMMYFUNCTION("""COMPUTED_VALUE"""),1054.0)</f>
        <v>1054</v>
      </c>
      <c r="E2740" s="9"/>
    </row>
    <row r="2741">
      <c r="A2741" s="11">
        <f>IFERROR(__xludf.DUMMYFUNCTION("""COMPUTED_VALUE"""),2021.0)</f>
        <v>2021</v>
      </c>
      <c r="B2741" s="11">
        <f>IFERROR(__xludf.DUMMYFUNCTION("""COMPUTED_VALUE"""),10.0)</f>
        <v>10</v>
      </c>
      <c r="C2741" s="11">
        <f>IFERROR(__xludf.DUMMYFUNCTION("""COMPUTED_VALUE"""),92161.0)</f>
        <v>92161</v>
      </c>
      <c r="D2741" s="11">
        <f>IFERROR(__xludf.DUMMYFUNCTION("""COMPUTED_VALUE"""),1813.0)</f>
        <v>1813</v>
      </c>
      <c r="E2741" s="9"/>
    </row>
    <row r="2742">
      <c r="A2742" s="11">
        <f>IFERROR(__xludf.DUMMYFUNCTION("""COMPUTED_VALUE"""),2021.0)</f>
        <v>2021</v>
      </c>
      <c r="B2742" s="11">
        <f>IFERROR(__xludf.DUMMYFUNCTION("""COMPUTED_VALUE"""),10.0)</f>
        <v>10</v>
      </c>
      <c r="C2742" s="11">
        <f>IFERROR(__xludf.DUMMYFUNCTION("""COMPUTED_VALUE"""),113405.0)</f>
        <v>113405</v>
      </c>
      <c r="D2742" s="11">
        <f>IFERROR(__xludf.DUMMYFUNCTION("""COMPUTED_VALUE"""),1539.0)</f>
        <v>1539</v>
      </c>
      <c r="E2742" s="9"/>
    </row>
    <row r="2743">
      <c r="A2743" s="11">
        <f>IFERROR(__xludf.DUMMYFUNCTION("""COMPUTED_VALUE"""),2021.0)</f>
        <v>2021</v>
      </c>
      <c r="B2743" s="11">
        <f>IFERROR(__xludf.DUMMYFUNCTION("""COMPUTED_VALUE"""),11.0)</f>
        <v>11</v>
      </c>
      <c r="C2743" s="11">
        <f>IFERROR(__xludf.DUMMYFUNCTION("""COMPUTED_VALUE"""),120817.0)</f>
        <v>120817</v>
      </c>
      <c r="D2743" s="11">
        <f>IFERROR(__xludf.DUMMYFUNCTION("""COMPUTED_VALUE"""),1346.0)</f>
        <v>1346</v>
      </c>
      <c r="E2743" s="9"/>
    </row>
    <row r="2744">
      <c r="A2744" s="11">
        <f>IFERROR(__xludf.DUMMYFUNCTION("""COMPUTED_VALUE"""),2021.0)</f>
        <v>2021</v>
      </c>
      <c r="B2744" s="11">
        <f>IFERROR(__xludf.DUMMYFUNCTION("""COMPUTED_VALUE"""),11.0)</f>
        <v>11</v>
      </c>
      <c r="C2744" s="11">
        <f>IFERROR(__xludf.DUMMYFUNCTION("""COMPUTED_VALUE"""),14520.0)</f>
        <v>14520</v>
      </c>
      <c r="D2744" s="11">
        <f>IFERROR(__xludf.DUMMYFUNCTION("""COMPUTED_VALUE"""),620.0)</f>
        <v>620</v>
      </c>
      <c r="E2744" s="9"/>
    </row>
    <row r="2745">
      <c r="A2745" s="11">
        <f>IFERROR(__xludf.DUMMYFUNCTION("""COMPUTED_VALUE"""),2021.0)</f>
        <v>2021</v>
      </c>
      <c r="B2745" s="11">
        <f>IFERROR(__xludf.DUMMYFUNCTION("""COMPUTED_VALUE"""),10.0)</f>
        <v>10</v>
      </c>
      <c r="C2745" s="11">
        <f>IFERROR(__xludf.DUMMYFUNCTION("""COMPUTED_VALUE"""),104928.0)</f>
        <v>104928</v>
      </c>
      <c r="D2745" s="11">
        <f>IFERROR(__xludf.DUMMYFUNCTION("""COMPUTED_VALUE"""),294.0)</f>
        <v>294</v>
      </c>
      <c r="E2745" s="9"/>
    </row>
    <row r="2746">
      <c r="A2746" s="11">
        <f>IFERROR(__xludf.DUMMYFUNCTION("""COMPUTED_VALUE"""),2021.0)</f>
        <v>2021</v>
      </c>
      <c r="B2746" s="11">
        <f>IFERROR(__xludf.DUMMYFUNCTION("""COMPUTED_VALUE"""),8.0)</f>
        <v>8</v>
      </c>
      <c r="C2746" s="11">
        <f>IFERROR(__xludf.DUMMYFUNCTION("""COMPUTED_VALUE"""),14517.0)</f>
        <v>14517</v>
      </c>
      <c r="D2746" s="11">
        <f>IFERROR(__xludf.DUMMYFUNCTION("""COMPUTED_VALUE"""),165.0)</f>
        <v>165</v>
      </c>
      <c r="E2746" s="9"/>
    </row>
    <row r="2747">
      <c r="A2747" s="11">
        <f>IFERROR(__xludf.DUMMYFUNCTION("""COMPUTED_VALUE"""),2021.0)</f>
        <v>2021</v>
      </c>
      <c r="B2747" s="11">
        <f>IFERROR(__xludf.DUMMYFUNCTION("""COMPUTED_VALUE"""),11.0)</f>
        <v>11</v>
      </c>
      <c r="C2747" s="11">
        <f>IFERROR(__xludf.DUMMYFUNCTION("""COMPUTED_VALUE"""),122563.0)</f>
        <v>122563</v>
      </c>
      <c r="D2747" s="11">
        <f>IFERROR(__xludf.DUMMYFUNCTION("""COMPUTED_VALUE"""),116.0)</f>
        <v>116</v>
      </c>
      <c r="E2747" s="9"/>
    </row>
    <row r="2748">
      <c r="A2748" s="11">
        <f>IFERROR(__xludf.DUMMYFUNCTION("""COMPUTED_VALUE"""),2021.0)</f>
        <v>2021</v>
      </c>
      <c r="B2748" s="11">
        <f>IFERROR(__xludf.DUMMYFUNCTION("""COMPUTED_VALUE"""),11.0)</f>
        <v>11</v>
      </c>
      <c r="C2748" s="11">
        <f>IFERROR(__xludf.DUMMYFUNCTION("""COMPUTED_VALUE"""),96404.0)</f>
        <v>96404</v>
      </c>
      <c r="D2748" s="11">
        <f>IFERROR(__xludf.DUMMYFUNCTION("""COMPUTED_VALUE"""),481.0)</f>
        <v>481</v>
      </c>
      <c r="E2748" s="9"/>
    </row>
    <row r="2749">
      <c r="A2749" s="11">
        <f>IFERROR(__xludf.DUMMYFUNCTION("""COMPUTED_VALUE"""),2021.0)</f>
        <v>2021</v>
      </c>
      <c r="B2749" s="11">
        <f>IFERROR(__xludf.DUMMYFUNCTION("""COMPUTED_VALUE"""),10.0)</f>
        <v>10</v>
      </c>
      <c r="C2749" s="11">
        <f>IFERROR(__xludf.DUMMYFUNCTION("""COMPUTED_VALUE"""),121469.0)</f>
        <v>121469</v>
      </c>
      <c r="D2749" s="11">
        <f>IFERROR(__xludf.DUMMYFUNCTION("""COMPUTED_VALUE"""),1126.0)</f>
        <v>1126</v>
      </c>
      <c r="E2749" s="9"/>
    </row>
    <row r="2750">
      <c r="A2750" s="11">
        <f>IFERROR(__xludf.DUMMYFUNCTION("""COMPUTED_VALUE"""),2021.0)</f>
        <v>2021</v>
      </c>
      <c r="B2750" s="11">
        <f>IFERROR(__xludf.DUMMYFUNCTION("""COMPUTED_VALUE"""),11.0)</f>
        <v>11</v>
      </c>
      <c r="C2750" s="11">
        <f>IFERROR(__xludf.DUMMYFUNCTION("""COMPUTED_VALUE"""),122579.0)</f>
        <v>122579</v>
      </c>
      <c r="D2750" s="11">
        <f>IFERROR(__xludf.DUMMYFUNCTION("""COMPUTED_VALUE"""),1565.0)</f>
        <v>1565</v>
      </c>
      <c r="E2750" s="9"/>
    </row>
    <row r="2751">
      <c r="A2751" s="11">
        <f>IFERROR(__xludf.DUMMYFUNCTION("""COMPUTED_VALUE"""),2021.0)</f>
        <v>2021</v>
      </c>
      <c r="B2751" s="11">
        <f>IFERROR(__xludf.DUMMYFUNCTION("""COMPUTED_VALUE"""),10.0)</f>
        <v>10</v>
      </c>
      <c r="C2751" s="11">
        <f>IFERROR(__xludf.DUMMYFUNCTION("""COMPUTED_VALUE"""),113407.0)</f>
        <v>113407</v>
      </c>
      <c r="D2751" s="11">
        <f>IFERROR(__xludf.DUMMYFUNCTION("""COMPUTED_VALUE"""),1327.0)</f>
        <v>1327</v>
      </c>
      <c r="E2751" s="9"/>
    </row>
    <row r="2752">
      <c r="A2752" s="11">
        <f>IFERROR(__xludf.DUMMYFUNCTION("""COMPUTED_VALUE"""),2021.0)</f>
        <v>2021</v>
      </c>
      <c r="B2752" s="11">
        <f>IFERROR(__xludf.DUMMYFUNCTION("""COMPUTED_VALUE"""),9.0)</f>
        <v>9</v>
      </c>
      <c r="C2752" s="11">
        <f>IFERROR(__xludf.DUMMYFUNCTION("""COMPUTED_VALUE"""),91995.0)</f>
        <v>91995</v>
      </c>
      <c r="D2752" s="11">
        <f>IFERROR(__xludf.DUMMYFUNCTION("""COMPUTED_VALUE"""),551.0)</f>
        <v>551</v>
      </c>
      <c r="E2752" s="9"/>
    </row>
    <row r="2753">
      <c r="A2753" s="11">
        <f>IFERROR(__xludf.DUMMYFUNCTION("""COMPUTED_VALUE"""),2021.0)</f>
        <v>2021</v>
      </c>
      <c r="B2753" s="11">
        <f>IFERROR(__xludf.DUMMYFUNCTION("""COMPUTED_VALUE"""),10.0)</f>
        <v>10</v>
      </c>
      <c r="C2753" s="11">
        <f>IFERROR(__xludf.DUMMYFUNCTION("""COMPUTED_VALUE"""),81178.0)</f>
        <v>81178</v>
      </c>
      <c r="D2753" s="11">
        <f>IFERROR(__xludf.DUMMYFUNCTION("""COMPUTED_VALUE"""),1660.0)</f>
        <v>1660</v>
      </c>
      <c r="E2753" s="9"/>
    </row>
    <row r="2754">
      <c r="A2754" s="11">
        <f>IFERROR(__xludf.DUMMYFUNCTION("""COMPUTED_VALUE"""),2021.0)</f>
        <v>2021</v>
      </c>
      <c r="B2754" s="11">
        <f>IFERROR(__xludf.DUMMYFUNCTION("""COMPUTED_VALUE"""),11.0)</f>
        <v>11</v>
      </c>
      <c r="C2754" s="11">
        <f>IFERROR(__xludf.DUMMYFUNCTION("""COMPUTED_VALUE"""),12918.0)</f>
        <v>12918</v>
      </c>
      <c r="D2754" s="11">
        <f>IFERROR(__xludf.DUMMYFUNCTION("""COMPUTED_VALUE"""),687.0)</f>
        <v>687</v>
      </c>
      <c r="E2754" s="9"/>
    </row>
    <row r="2755">
      <c r="A2755" s="11">
        <f>IFERROR(__xludf.DUMMYFUNCTION("""COMPUTED_VALUE"""),2021.0)</f>
        <v>2021</v>
      </c>
      <c r="B2755" s="11">
        <f>IFERROR(__xludf.DUMMYFUNCTION("""COMPUTED_VALUE"""),10.0)</f>
        <v>10</v>
      </c>
      <c r="C2755" s="11">
        <f>IFERROR(__xludf.DUMMYFUNCTION("""COMPUTED_VALUE"""),122411.0)</f>
        <v>122411</v>
      </c>
      <c r="D2755" s="11">
        <f>IFERROR(__xludf.DUMMYFUNCTION("""COMPUTED_VALUE"""),1943.0)</f>
        <v>1943</v>
      </c>
      <c r="E2755" s="9"/>
    </row>
    <row r="2756">
      <c r="A2756" s="11">
        <f>IFERROR(__xludf.DUMMYFUNCTION("""COMPUTED_VALUE"""),2021.0)</f>
        <v>2021</v>
      </c>
      <c r="B2756" s="11">
        <f>IFERROR(__xludf.DUMMYFUNCTION("""COMPUTED_VALUE"""),11.0)</f>
        <v>11</v>
      </c>
      <c r="C2756" s="11">
        <f>IFERROR(__xludf.DUMMYFUNCTION("""COMPUTED_VALUE"""),81194.0)</f>
        <v>81194</v>
      </c>
      <c r="D2756" s="11">
        <f>IFERROR(__xludf.DUMMYFUNCTION("""COMPUTED_VALUE"""),1020.0)</f>
        <v>1020</v>
      </c>
      <c r="E2756" s="9"/>
    </row>
    <row r="2757">
      <c r="A2757" s="11">
        <f>IFERROR(__xludf.DUMMYFUNCTION("""COMPUTED_VALUE"""),2021.0)</f>
        <v>2021</v>
      </c>
      <c r="B2757" s="11">
        <f>IFERROR(__xludf.DUMMYFUNCTION("""COMPUTED_VALUE"""),10.0)</f>
        <v>10</v>
      </c>
      <c r="C2757" s="11">
        <f>IFERROR(__xludf.DUMMYFUNCTION("""COMPUTED_VALUE"""),71876.0)</f>
        <v>71876</v>
      </c>
      <c r="D2757" s="11">
        <f>IFERROR(__xludf.DUMMYFUNCTION("""COMPUTED_VALUE"""),1855.0)</f>
        <v>1855</v>
      </c>
      <c r="E2757" s="9"/>
    </row>
    <row r="2758">
      <c r="A2758" s="11">
        <f>IFERROR(__xludf.DUMMYFUNCTION("""COMPUTED_VALUE"""),2021.0)</f>
        <v>2021</v>
      </c>
      <c r="B2758" s="11">
        <f>IFERROR(__xludf.DUMMYFUNCTION("""COMPUTED_VALUE"""),8.0)</f>
        <v>8</v>
      </c>
      <c r="C2758" s="11">
        <f>IFERROR(__xludf.DUMMYFUNCTION("""COMPUTED_VALUE"""),129493.0)</f>
        <v>129493</v>
      </c>
      <c r="D2758" s="11">
        <f>IFERROR(__xludf.DUMMYFUNCTION("""COMPUTED_VALUE"""),1263.0)</f>
        <v>1263</v>
      </c>
      <c r="E2758" s="9"/>
    </row>
    <row r="2759">
      <c r="A2759" s="11">
        <f>IFERROR(__xludf.DUMMYFUNCTION("""COMPUTED_VALUE"""),2021.0)</f>
        <v>2021</v>
      </c>
      <c r="B2759" s="11">
        <f>IFERROR(__xludf.DUMMYFUNCTION("""COMPUTED_VALUE"""),9.0)</f>
        <v>9</v>
      </c>
      <c r="C2759" s="11">
        <f>IFERROR(__xludf.DUMMYFUNCTION("""COMPUTED_VALUE"""),81190.0)</f>
        <v>81190</v>
      </c>
      <c r="D2759" s="11">
        <f>IFERROR(__xludf.DUMMYFUNCTION("""COMPUTED_VALUE"""),267.0)</f>
        <v>267</v>
      </c>
      <c r="E2759" s="9"/>
    </row>
    <row r="2760">
      <c r="A2760" s="11">
        <f>IFERROR(__xludf.DUMMYFUNCTION("""COMPUTED_VALUE"""),2021.0)</f>
        <v>2021</v>
      </c>
      <c r="B2760" s="11">
        <f>IFERROR(__xludf.DUMMYFUNCTION("""COMPUTED_VALUE"""),8.0)</f>
        <v>8</v>
      </c>
      <c r="C2760" s="11">
        <f>IFERROR(__xludf.DUMMYFUNCTION("""COMPUTED_VALUE"""),71875.0)</f>
        <v>71875</v>
      </c>
      <c r="D2760" s="11">
        <f>IFERROR(__xludf.DUMMYFUNCTION("""COMPUTED_VALUE"""),1087.0)</f>
        <v>1087</v>
      </c>
      <c r="E2760" s="9"/>
    </row>
    <row r="2761">
      <c r="A2761" s="11">
        <f>IFERROR(__xludf.DUMMYFUNCTION("""COMPUTED_VALUE"""),2021.0)</f>
        <v>2021</v>
      </c>
      <c r="B2761" s="11">
        <f>IFERROR(__xludf.DUMMYFUNCTION("""COMPUTED_VALUE"""),10.0)</f>
        <v>10</v>
      </c>
      <c r="C2761" s="11">
        <f>IFERROR(__xludf.DUMMYFUNCTION("""COMPUTED_VALUE"""),81198.0)</f>
        <v>81198</v>
      </c>
      <c r="D2761" s="11">
        <f>IFERROR(__xludf.DUMMYFUNCTION("""COMPUTED_VALUE"""),926.0)</f>
        <v>926</v>
      </c>
      <c r="E2761" s="9"/>
    </row>
    <row r="2762">
      <c r="A2762" s="11">
        <f>IFERROR(__xludf.DUMMYFUNCTION("""COMPUTED_VALUE"""),2021.0)</f>
        <v>2021</v>
      </c>
      <c r="B2762" s="11">
        <f>IFERROR(__xludf.DUMMYFUNCTION("""COMPUTED_VALUE"""),11.0)</f>
        <v>11</v>
      </c>
      <c r="C2762" s="11">
        <f>IFERROR(__xludf.DUMMYFUNCTION("""COMPUTED_VALUE"""),188723.0)</f>
        <v>188723</v>
      </c>
      <c r="D2762" s="11">
        <f>IFERROR(__xludf.DUMMYFUNCTION("""COMPUTED_VALUE"""),1949.0)</f>
        <v>1949</v>
      </c>
      <c r="E2762" s="9"/>
    </row>
    <row r="2763">
      <c r="A2763" s="11">
        <f>IFERROR(__xludf.DUMMYFUNCTION("""COMPUTED_VALUE"""),2021.0)</f>
        <v>2021</v>
      </c>
      <c r="B2763" s="11">
        <f>IFERROR(__xludf.DUMMYFUNCTION("""COMPUTED_VALUE"""),8.0)</f>
        <v>8</v>
      </c>
      <c r="C2763" s="11">
        <f>IFERROR(__xludf.DUMMYFUNCTION("""COMPUTED_VALUE"""),115053.0)</f>
        <v>115053</v>
      </c>
      <c r="D2763" s="11">
        <f>IFERROR(__xludf.DUMMYFUNCTION("""COMPUTED_VALUE"""),1119.0)</f>
        <v>1119</v>
      </c>
      <c r="E2763" s="9"/>
    </row>
    <row r="2764">
      <c r="A2764" s="11">
        <f>IFERROR(__xludf.DUMMYFUNCTION("""COMPUTED_VALUE"""),2021.0)</f>
        <v>2021</v>
      </c>
      <c r="B2764" s="11">
        <f>IFERROR(__xludf.DUMMYFUNCTION("""COMPUTED_VALUE"""),10.0)</f>
        <v>10</v>
      </c>
      <c r="C2764" s="11">
        <f>IFERROR(__xludf.DUMMYFUNCTION("""COMPUTED_VALUE"""),104609.0)</f>
        <v>104609</v>
      </c>
      <c r="D2764" s="11">
        <f>IFERROR(__xludf.DUMMYFUNCTION("""COMPUTED_VALUE"""),1910.0)</f>
        <v>1910</v>
      </c>
      <c r="E2764" s="9"/>
    </row>
    <row r="2765">
      <c r="A2765" s="11">
        <f>IFERROR(__xludf.DUMMYFUNCTION("""COMPUTED_VALUE"""),2021.0)</f>
        <v>2021</v>
      </c>
      <c r="B2765" s="11">
        <f>IFERROR(__xludf.DUMMYFUNCTION("""COMPUTED_VALUE"""),9.0)</f>
        <v>9</v>
      </c>
      <c r="C2765" s="11">
        <f>IFERROR(__xludf.DUMMYFUNCTION("""COMPUTED_VALUE"""),12916.0)</f>
        <v>12916</v>
      </c>
      <c r="D2765" s="11">
        <f>IFERROR(__xludf.DUMMYFUNCTION("""COMPUTED_VALUE"""),216.0)</f>
        <v>216</v>
      </c>
      <c r="E2765" s="9"/>
    </row>
    <row r="2766">
      <c r="A2766" s="11">
        <f>IFERROR(__xludf.DUMMYFUNCTION("""COMPUTED_VALUE"""),2021.0)</f>
        <v>2021</v>
      </c>
      <c r="B2766" s="11">
        <f>IFERROR(__xludf.DUMMYFUNCTION("""COMPUTED_VALUE"""),8.0)</f>
        <v>8</v>
      </c>
      <c r="C2766" s="11">
        <f>IFERROR(__xludf.DUMMYFUNCTION("""COMPUTED_VALUE"""),129488.0)</f>
        <v>129488</v>
      </c>
      <c r="D2766" s="11">
        <f>IFERROR(__xludf.DUMMYFUNCTION("""COMPUTED_VALUE"""),883.0)</f>
        <v>883</v>
      </c>
      <c r="E2766" s="9"/>
    </row>
    <row r="2767">
      <c r="A2767" s="11">
        <f>IFERROR(__xludf.DUMMYFUNCTION("""COMPUTED_VALUE"""),2021.0)</f>
        <v>2021</v>
      </c>
      <c r="B2767" s="11">
        <f>IFERROR(__xludf.DUMMYFUNCTION("""COMPUTED_VALUE"""),8.0)</f>
        <v>8</v>
      </c>
      <c r="C2767" s="11">
        <f>IFERROR(__xludf.DUMMYFUNCTION("""COMPUTED_VALUE"""),78566.0)</f>
        <v>78566</v>
      </c>
      <c r="D2767" s="11">
        <f>IFERROR(__xludf.DUMMYFUNCTION("""COMPUTED_VALUE"""),569.0)</f>
        <v>569</v>
      </c>
      <c r="E2767" s="9"/>
    </row>
    <row r="2768">
      <c r="A2768" s="11">
        <f>IFERROR(__xludf.DUMMYFUNCTION("""COMPUTED_VALUE"""),2021.0)</f>
        <v>2021</v>
      </c>
      <c r="B2768" s="11">
        <f>IFERROR(__xludf.DUMMYFUNCTION("""COMPUTED_VALUE"""),8.0)</f>
        <v>8</v>
      </c>
      <c r="C2768" s="11">
        <f>IFERROR(__xludf.DUMMYFUNCTION("""COMPUTED_VALUE"""),15090.0)</f>
        <v>15090</v>
      </c>
      <c r="D2768" s="11">
        <f>IFERROR(__xludf.DUMMYFUNCTION("""COMPUTED_VALUE"""),1557.0)</f>
        <v>1557</v>
      </c>
      <c r="E2768" s="9"/>
    </row>
    <row r="2769">
      <c r="A2769" s="11">
        <f>IFERROR(__xludf.DUMMYFUNCTION("""COMPUTED_VALUE"""),2021.0)</f>
        <v>2021</v>
      </c>
      <c r="B2769" s="11">
        <f>IFERROR(__xludf.DUMMYFUNCTION("""COMPUTED_VALUE"""),8.0)</f>
        <v>8</v>
      </c>
      <c r="C2769" s="11">
        <f>IFERROR(__xludf.DUMMYFUNCTION("""COMPUTED_VALUE"""),81209.0)</f>
        <v>81209</v>
      </c>
      <c r="D2769" s="11">
        <f>IFERROR(__xludf.DUMMYFUNCTION("""COMPUTED_VALUE"""),65.0)</f>
        <v>65</v>
      </c>
      <c r="E2769" s="9"/>
    </row>
    <row r="2770">
      <c r="A2770" s="11">
        <f>IFERROR(__xludf.DUMMYFUNCTION("""COMPUTED_VALUE"""),2021.0)</f>
        <v>2021</v>
      </c>
      <c r="B2770" s="11">
        <f>IFERROR(__xludf.DUMMYFUNCTION("""COMPUTED_VALUE"""),10.0)</f>
        <v>10</v>
      </c>
      <c r="C2770" s="11">
        <f>IFERROR(__xludf.DUMMYFUNCTION("""COMPUTED_VALUE"""),108141.0)</f>
        <v>108141</v>
      </c>
      <c r="D2770" s="11">
        <f>IFERROR(__xludf.DUMMYFUNCTION("""COMPUTED_VALUE"""),1144.0)</f>
        <v>1144</v>
      </c>
      <c r="E2770" s="9"/>
    </row>
    <row r="2771">
      <c r="A2771" s="11">
        <f>IFERROR(__xludf.DUMMYFUNCTION("""COMPUTED_VALUE"""),2021.0)</f>
        <v>2021</v>
      </c>
      <c r="B2771" s="11">
        <f>IFERROR(__xludf.DUMMYFUNCTION("""COMPUTED_VALUE"""),8.0)</f>
        <v>8</v>
      </c>
      <c r="C2771" s="11">
        <f>IFERROR(__xludf.DUMMYFUNCTION("""COMPUTED_VALUE"""),12914.0)</f>
        <v>12914</v>
      </c>
      <c r="D2771" s="11">
        <f>IFERROR(__xludf.DUMMYFUNCTION("""COMPUTED_VALUE"""),1696.0)</f>
        <v>1696</v>
      </c>
      <c r="E2771" s="9"/>
    </row>
    <row r="2772">
      <c r="A2772" s="11">
        <f>IFERROR(__xludf.DUMMYFUNCTION("""COMPUTED_VALUE"""),2021.0)</f>
        <v>2021</v>
      </c>
      <c r="B2772" s="11">
        <f>IFERROR(__xludf.DUMMYFUNCTION("""COMPUTED_VALUE"""),11.0)</f>
        <v>11</v>
      </c>
      <c r="C2772" s="11">
        <f>IFERROR(__xludf.DUMMYFUNCTION("""COMPUTED_VALUE"""),129492.0)</f>
        <v>129492</v>
      </c>
      <c r="D2772" s="11">
        <f>IFERROR(__xludf.DUMMYFUNCTION("""COMPUTED_VALUE"""),873.0)</f>
        <v>873</v>
      </c>
      <c r="E2772" s="9"/>
    </row>
    <row r="2773">
      <c r="A2773" s="11">
        <f>IFERROR(__xludf.DUMMYFUNCTION("""COMPUTED_VALUE"""),2021.0)</f>
        <v>2021</v>
      </c>
      <c r="B2773" s="11">
        <f>IFERROR(__xludf.DUMMYFUNCTION("""COMPUTED_VALUE"""),11.0)</f>
        <v>11</v>
      </c>
      <c r="C2773" s="11">
        <f>IFERROR(__xludf.DUMMYFUNCTION("""COMPUTED_VALUE"""),120473.0)</f>
        <v>120473</v>
      </c>
      <c r="D2773" s="11">
        <f>IFERROR(__xludf.DUMMYFUNCTION("""COMPUTED_VALUE"""),737.0)</f>
        <v>737</v>
      </c>
      <c r="E2773" s="9"/>
    </row>
    <row r="2774">
      <c r="A2774" s="11">
        <f>IFERROR(__xludf.DUMMYFUNCTION("""COMPUTED_VALUE"""),2021.0)</f>
        <v>2021</v>
      </c>
      <c r="B2774" s="11">
        <f>IFERROR(__xludf.DUMMYFUNCTION("""COMPUTED_VALUE"""),11.0)</f>
        <v>11</v>
      </c>
      <c r="C2774" s="11">
        <f>IFERROR(__xludf.DUMMYFUNCTION("""COMPUTED_VALUE"""),12924.0)</f>
        <v>12924</v>
      </c>
      <c r="D2774" s="11">
        <f>IFERROR(__xludf.DUMMYFUNCTION("""COMPUTED_VALUE"""),1737.0)</f>
        <v>1737</v>
      </c>
      <c r="E2774" s="9"/>
    </row>
    <row r="2775">
      <c r="A2775" s="11">
        <f>IFERROR(__xludf.DUMMYFUNCTION("""COMPUTED_VALUE"""),2021.0)</f>
        <v>2021</v>
      </c>
      <c r="B2775" s="11">
        <f>IFERROR(__xludf.DUMMYFUNCTION("""COMPUTED_VALUE"""),10.0)</f>
        <v>10</v>
      </c>
      <c r="C2775" s="11">
        <f>IFERROR(__xludf.DUMMYFUNCTION("""COMPUTED_VALUE"""),12920.0)</f>
        <v>12920</v>
      </c>
      <c r="D2775" s="11">
        <f>IFERROR(__xludf.DUMMYFUNCTION("""COMPUTED_VALUE"""),517.0)</f>
        <v>517</v>
      </c>
      <c r="E2775" s="9"/>
    </row>
    <row r="2776">
      <c r="A2776" s="11">
        <f>IFERROR(__xludf.DUMMYFUNCTION("""COMPUTED_VALUE"""),2021.0)</f>
        <v>2021</v>
      </c>
      <c r="B2776" s="11">
        <f>IFERROR(__xludf.DUMMYFUNCTION("""COMPUTED_VALUE"""),9.0)</f>
        <v>9</v>
      </c>
      <c r="C2776" s="11">
        <f>IFERROR(__xludf.DUMMYFUNCTION("""COMPUTED_VALUE"""),81200.0)</f>
        <v>81200</v>
      </c>
      <c r="D2776" s="11">
        <f>IFERROR(__xludf.DUMMYFUNCTION("""COMPUTED_VALUE"""),1091.0)</f>
        <v>1091</v>
      </c>
      <c r="E2776" s="9"/>
    </row>
    <row r="2777">
      <c r="A2777" s="11">
        <f>IFERROR(__xludf.DUMMYFUNCTION("""COMPUTED_VALUE"""),2021.0)</f>
        <v>2021</v>
      </c>
      <c r="B2777" s="11">
        <f>IFERROR(__xludf.DUMMYFUNCTION("""COMPUTED_VALUE"""),8.0)</f>
        <v>8</v>
      </c>
      <c r="C2777" s="11">
        <f>IFERROR(__xludf.DUMMYFUNCTION("""COMPUTED_VALUE"""),122410.0)</f>
        <v>122410</v>
      </c>
      <c r="D2777" s="11">
        <f>IFERROR(__xludf.DUMMYFUNCTION("""COMPUTED_VALUE"""),278.0)</f>
        <v>278</v>
      </c>
      <c r="E2777" s="9"/>
    </row>
    <row r="2778">
      <c r="A2778" s="11">
        <f>IFERROR(__xludf.DUMMYFUNCTION("""COMPUTED_VALUE"""),2021.0)</f>
        <v>2021</v>
      </c>
      <c r="B2778" s="11">
        <f>IFERROR(__xludf.DUMMYFUNCTION("""COMPUTED_VALUE"""),11.0)</f>
        <v>11</v>
      </c>
      <c r="C2778" s="11">
        <f>IFERROR(__xludf.DUMMYFUNCTION("""COMPUTED_VALUE"""),81720.0)</f>
        <v>81720</v>
      </c>
      <c r="D2778" s="11">
        <f>IFERROR(__xludf.DUMMYFUNCTION("""COMPUTED_VALUE"""),468.0)</f>
        <v>468</v>
      </c>
      <c r="E2778" s="9"/>
    </row>
    <row r="2779">
      <c r="A2779" s="11">
        <f>IFERROR(__xludf.DUMMYFUNCTION("""COMPUTED_VALUE"""),2021.0)</f>
        <v>2021</v>
      </c>
      <c r="B2779" s="11">
        <f>IFERROR(__xludf.DUMMYFUNCTION("""COMPUTED_VALUE"""),10.0)</f>
        <v>10</v>
      </c>
      <c r="C2779" s="11">
        <f>IFERROR(__xludf.DUMMYFUNCTION("""COMPUTED_VALUE"""),12923.0)</f>
        <v>12923</v>
      </c>
      <c r="D2779" s="11">
        <f>IFERROR(__xludf.DUMMYFUNCTION("""COMPUTED_VALUE"""),952.0)</f>
        <v>952</v>
      </c>
      <c r="E2779" s="9"/>
    </row>
    <row r="2780">
      <c r="A2780" s="11">
        <f>IFERROR(__xludf.DUMMYFUNCTION("""COMPUTED_VALUE"""),2021.0)</f>
        <v>2021</v>
      </c>
      <c r="B2780" s="11">
        <f>IFERROR(__xludf.DUMMYFUNCTION("""COMPUTED_VALUE"""),10.0)</f>
        <v>10</v>
      </c>
      <c r="C2780" s="11">
        <f>IFERROR(__xludf.DUMMYFUNCTION("""COMPUTED_VALUE"""),81173.0)</f>
        <v>81173</v>
      </c>
      <c r="D2780" s="11">
        <f>IFERROR(__xludf.DUMMYFUNCTION("""COMPUTED_VALUE"""),1896.0)</f>
        <v>1896</v>
      </c>
      <c r="E2780" s="9"/>
    </row>
    <row r="2781">
      <c r="A2781" s="11">
        <f>IFERROR(__xludf.DUMMYFUNCTION("""COMPUTED_VALUE"""),2021.0)</f>
        <v>2021</v>
      </c>
      <c r="B2781" s="11">
        <f>IFERROR(__xludf.DUMMYFUNCTION("""COMPUTED_VALUE"""),8.0)</f>
        <v>8</v>
      </c>
      <c r="C2781" s="11">
        <f>IFERROR(__xludf.DUMMYFUNCTION("""COMPUTED_VALUE"""),12910.0)</f>
        <v>12910</v>
      </c>
      <c r="D2781" s="11">
        <f>IFERROR(__xludf.DUMMYFUNCTION("""COMPUTED_VALUE"""),169.0)</f>
        <v>169</v>
      </c>
      <c r="E2781" s="9"/>
    </row>
    <row r="2782">
      <c r="A2782" s="11">
        <f>IFERROR(__xludf.DUMMYFUNCTION("""COMPUTED_VALUE"""),2021.0)</f>
        <v>2021</v>
      </c>
      <c r="B2782" s="11">
        <f>IFERROR(__xludf.DUMMYFUNCTION("""COMPUTED_VALUE"""),11.0)</f>
        <v>11</v>
      </c>
      <c r="C2782" s="11">
        <f>IFERROR(__xludf.DUMMYFUNCTION("""COMPUTED_VALUE"""),81193.0)</f>
        <v>81193</v>
      </c>
      <c r="D2782" s="11">
        <f>IFERROR(__xludf.DUMMYFUNCTION("""COMPUTED_VALUE"""),551.0)</f>
        <v>551</v>
      </c>
      <c r="E2782" s="9"/>
    </row>
    <row r="2783">
      <c r="A2783" s="11">
        <f>IFERROR(__xludf.DUMMYFUNCTION("""COMPUTED_VALUE"""),2021.0)</f>
        <v>2021</v>
      </c>
      <c r="B2783" s="11">
        <f>IFERROR(__xludf.DUMMYFUNCTION("""COMPUTED_VALUE"""),10.0)</f>
        <v>10</v>
      </c>
      <c r="C2783" s="11">
        <f>IFERROR(__xludf.DUMMYFUNCTION("""COMPUTED_VALUE"""),12917.0)</f>
        <v>12917</v>
      </c>
      <c r="D2783" s="11">
        <f>IFERROR(__xludf.DUMMYFUNCTION("""COMPUTED_VALUE"""),1020.0)</f>
        <v>1020</v>
      </c>
      <c r="E2783" s="9"/>
    </row>
    <row r="2784">
      <c r="A2784" s="11">
        <f>IFERROR(__xludf.DUMMYFUNCTION("""COMPUTED_VALUE"""),2021.0)</f>
        <v>2021</v>
      </c>
      <c r="B2784" s="11">
        <f>IFERROR(__xludf.DUMMYFUNCTION("""COMPUTED_VALUE"""),10.0)</f>
        <v>10</v>
      </c>
      <c r="C2784" s="11">
        <f>IFERROR(__xludf.DUMMYFUNCTION("""COMPUTED_VALUE"""),129491.0)</f>
        <v>129491</v>
      </c>
      <c r="D2784" s="11">
        <f>IFERROR(__xludf.DUMMYFUNCTION("""COMPUTED_VALUE"""),523.0)</f>
        <v>523</v>
      </c>
      <c r="E2784" s="9"/>
    </row>
    <row r="2785">
      <c r="A2785" s="11">
        <f>IFERROR(__xludf.DUMMYFUNCTION("""COMPUTED_VALUE"""),2021.0)</f>
        <v>2021</v>
      </c>
      <c r="B2785" s="11">
        <f>IFERROR(__xludf.DUMMYFUNCTION("""COMPUTED_VALUE"""),10.0)</f>
        <v>10</v>
      </c>
      <c r="C2785" s="11">
        <f>IFERROR(__xludf.DUMMYFUNCTION("""COMPUTED_VALUE"""),15104.0)</f>
        <v>15104</v>
      </c>
      <c r="D2785" s="11">
        <f>IFERROR(__xludf.DUMMYFUNCTION("""COMPUTED_VALUE"""),360.0)</f>
        <v>360</v>
      </c>
      <c r="E2785" s="9"/>
    </row>
    <row r="2786">
      <c r="A2786" s="11">
        <f>IFERROR(__xludf.DUMMYFUNCTION("""COMPUTED_VALUE"""),2021.0)</f>
        <v>2021</v>
      </c>
      <c r="B2786" s="11">
        <f>IFERROR(__xludf.DUMMYFUNCTION("""COMPUTED_VALUE"""),10.0)</f>
        <v>10</v>
      </c>
      <c r="C2786" s="11">
        <f>IFERROR(__xludf.DUMMYFUNCTION("""COMPUTED_VALUE"""),122407.0)</f>
        <v>122407</v>
      </c>
      <c r="D2786" s="11">
        <f>IFERROR(__xludf.DUMMYFUNCTION("""COMPUTED_VALUE"""),233.0)</f>
        <v>233</v>
      </c>
      <c r="E2786" s="9"/>
    </row>
    <row r="2787">
      <c r="A2787" s="11">
        <f>IFERROR(__xludf.DUMMYFUNCTION("""COMPUTED_VALUE"""),2021.0)</f>
        <v>2021</v>
      </c>
      <c r="B2787" s="11">
        <f>IFERROR(__xludf.DUMMYFUNCTION("""COMPUTED_VALUE"""),8.0)</f>
        <v>8</v>
      </c>
      <c r="C2787" s="11">
        <f>IFERROR(__xludf.DUMMYFUNCTION("""COMPUTED_VALUE"""),81191.0)</f>
        <v>81191</v>
      </c>
      <c r="D2787" s="11">
        <f>IFERROR(__xludf.DUMMYFUNCTION("""COMPUTED_VALUE"""),107.0)</f>
        <v>107</v>
      </c>
      <c r="E2787" s="9"/>
    </row>
    <row r="2788">
      <c r="A2788" s="11">
        <f>IFERROR(__xludf.DUMMYFUNCTION("""COMPUTED_VALUE"""),2021.0)</f>
        <v>2021</v>
      </c>
      <c r="B2788" s="11">
        <f>IFERROR(__xludf.DUMMYFUNCTION("""COMPUTED_VALUE"""),8.0)</f>
        <v>8</v>
      </c>
      <c r="C2788" s="11">
        <f>IFERROR(__xludf.DUMMYFUNCTION("""COMPUTED_VALUE"""),188725.0)</f>
        <v>188725</v>
      </c>
      <c r="D2788" s="11">
        <f>IFERROR(__xludf.DUMMYFUNCTION("""COMPUTED_VALUE"""),1381.0)</f>
        <v>1381</v>
      </c>
      <c r="E2788" s="9"/>
    </row>
    <row r="2789">
      <c r="A2789" s="11">
        <f>IFERROR(__xludf.DUMMYFUNCTION("""COMPUTED_VALUE"""),2021.0)</f>
        <v>2021</v>
      </c>
      <c r="B2789" s="11">
        <f>IFERROR(__xludf.DUMMYFUNCTION("""COMPUTED_VALUE"""),10.0)</f>
        <v>10</v>
      </c>
      <c r="C2789" s="11">
        <f>IFERROR(__xludf.DUMMYFUNCTION("""COMPUTED_VALUE"""),188724.0)</f>
        <v>188724</v>
      </c>
      <c r="D2789" s="11">
        <f>IFERROR(__xludf.DUMMYFUNCTION("""COMPUTED_VALUE"""),479.0)</f>
        <v>479</v>
      </c>
      <c r="E2789" s="9"/>
    </row>
    <row r="2790">
      <c r="A2790" s="11">
        <f>IFERROR(__xludf.DUMMYFUNCTION("""COMPUTED_VALUE"""),2021.0)</f>
        <v>2021</v>
      </c>
      <c r="B2790" s="11">
        <f>IFERROR(__xludf.DUMMYFUNCTION("""COMPUTED_VALUE"""),8.0)</f>
        <v>8</v>
      </c>
      <c r="C2790" s="11">
        <f>IFERROR(__xludf.DUMMYFUNCTION("""COMPUTED_VALUE"""),12911.0)</f>
        <v>12911</v>
      </c>
      <c r="D2790" s="11">
        <f>IFERROR(__xludf.DUMMYFUNCTION("""COMPUTED_VALUE"""),1026.0)</f>
        <v>1026</v>
      </c>
      <c r="E2790" s="9"/>
    </row>
    <row r="2791">
      <c r="A2791" s="11">
        <f>IFERROR(__xludf.DUMMYFUNCTION("""COMPUTED_VALUE"""),2021.0)</f>
        <v>2021</v>
      </c>
      <c r="B2791" s="11">
        <f>IFERROR(__xludf.DUMMYFUNCTION("""COMPUTED_VALUE"""),10.0)</f>
        <v>10</v>
      </c>
      <c r="C2791" s="11">
        <f>IFERROR(__xludf.DUMMYFUNCTION("""COMPUTED_VALUE"""),21612.0)</f>
        <v>21612</v>
      </c>
      <c r="D2791" s="11">
        <f>IFERROR(__xludf.DUMMYFUNCTION("""COMPUTED_VALUE"""),1254.0)</f>
        <v>1254</v>
      </c>
      <c r="E2791" s="9"/>
    </row>
    <row r="2792">
      <c r="A2792" s="11">
        <f>IFERROR(__xludf.DUMMYFUNCTION("""COMPUTED_VALUE"""),2021.0)</f>
        <v>2021</v>
      </c>
      <c r="B2792" s="11">
        <f>IFERROR(__xludf.DUMMYFUNCTION("""COMPUTED_VALUE"""),10.0)</f>
        <v>10</v>
      </c>
      <c r="C2792" s="11">
        <f>IFERROR(__xludf.DUMMYFUNCTION("""COMPUTED_VALUE"""),21603.0)</f>
        <v>21603</v>
      </c>
      <c r="D2792" s="11">
        <f>IFERROR(__xludf.DUMMYFUNCTION("""COMPUTED_VALUE"""),952.0)</f>
        <v>952</v>
      </c>
      <c r="E2792" s="9"/>
    </row>
    <row r="2793">
      <c r="A2793" s="11">
        <f>IFERROR(__xludf.DUMMYFUNCTION("""COMPUTED_VALUE"""),2021.0)</f>
        <v>2021</v>
      </c>
      <c r="B2793" s="11">
        <f>IFERROR(__xludf.DUMMYFUNCTION("""COMPUTED_VALUE"""),8.0)</f>
        <v>8</v>
      </c>
      <c r="C2793" s="11">
        <f>IFERROR(__xludf.DUMMYFUNCTION("""COMPUTED_VALUE"""),81218.0)</f>
        <v>81218</v>
      </c>
      <c r="D2793" s="11">
        <f>IFERROR(__xludf.DUMMYFUNCTION("""COMPUTED_VALUE"""),301.0)</f>
        <v>301</v>
      </c>
      <c r="E2793" s="9"/>
    </row>
    <row r="2794">
      <c r="A2794" s="11">
        <f>IFERROR(__xludf.DUMMYFUNCTION("""COMPUTED_VALUE"""),2021.0)</f>
        <v>2021</v>
      </c>
      <c r="B2794" s="11">
        <f>IFERROR(__xludf.DUMMYFUNCTION("""COMPUTED_VALUE"""),10.0)</f>
        <v>10</v>
      </c>
      <c r="C2794" s="11">
        <f>IFERROR(__xludf.DUMMYFUNCTION("""COMPUTED_VALUE"""),70543.0)</f>
        <v>70543</v>
      </c>
      <c r="D2794" s="11">
        <f>IFERROR(__xludf.DUMMYFUNCTION("""COMPUTED_VALUE"""),1312.0)</f>
        <v>1312</v>
      </c>
      <c r="E2794" s="9"/>
    </row>
    <row r="2795">
      <c r="A2795" s="11">
        <f>IFERROR(__xludf.DUMMYFUNCTION("""COMPUTED_VALUE"""),2021.0)</f>
        <v>2021</v>
      </c>
      <c r="B2795" s="11">
        <f>IFERROR(__xludf.DUMMYFUNCTION("""COMPUTED_VALUE"""),10.0)</f>
        <v>10</v>
      </c>
      <c r="C2795" s="11">
        <f>IFERROR(__xludf.DUMMYFUNCTION("""COMPUTED_VALUE"""),80549.0)</f>
        <v>80549</v>
      </c>
      <c r="D2795" s="11">
        <f>IFERROR(__xludf.DUMMYFUNCTION("""COMPUTED_VALUE"""),1460.0)</f>
        <v>1460</v>
      </c>
      <c r="E2795" s="9"/>
    </row>
    <row r="2796">
      <c r="A2796" s="11">
        <f>IFERROR(__xludf.DUMMYFUNCTION("""COMPUTED_VALUE"""),2021.0)</f>
        <v>2021</v>
      </c>
      <c r="B2796" s="11">
        <f>IFERROR(__xludf.DUMMYFUNCTION("""COMPUTED_VALUE"""),11.0)</f>
        <v>11</v>
      </c>
      <c r="C2796" s="11">
        <f>IFERROR(__xludf.DUMMYFUNCTION("""COMPUTED_VALUE"""),79404.0)</f>
        <v>79404</v>
      </c>
      <c r="D2796" s="11">
        <f>IFERROR(__xludf.DUMMYFUNCTION("""COMPUTED_VALUE"""),616.0)</f>
        <v>616</v>
      </c>
      <c r="E2796" s="9"/>
    </row>
    <row r="2797">
      <c r="A2797" s="11">
        <f>IFERROR(__xludf.DUMMYFUNCTION("""COMPUTED_VALUE"""),2021.0)</f>
        <v>2021</v>
      </c>
      <c r="B2797" s="11">
        <f>IFERROR(__xludf.DUMMYFUNCTION("""COMPUTED_VALUE"""),11.0)</f>
        <v>11</v>
      </c>
      <c r="C2797" s="11">
        <f>IFERROR(__xludf.DUMMYFUNCTION("""COMPUTED_VALUE"""),110596.0)</f>
        <v>110596</v>
      </c>
      <c r="D2797" s="11">
        <f>IFERROR(__xludf.DUMMYFUNCTION("""COMPUTED_VALUE"""),1889.0)</f>
        <v>1889</v>
      </c>
      <c r="E2797" s="9"/>
    </row>
    <row r="2798">
      <c r="A2798" s="11">
        <f>IFERROR(__xludf.DUMMYFUNCTION("""COMPUTED_VALUE"""),2021.0)</f>
        <v>2021</v>
      </c>
      <c r="B2798" s="11">
        <f>IFERROR(__xludf.DUMMYFUNCTION("""COMPUTED_VALUE"""),8.0)</f>
        <v>8</v>
      </c>
      <c r="C2798" s="11">
        <f>IFERROR(__xludf.DUMMYFUNCTION("""COMPUTED_VALUE"""),70547.0)</f>
        <v>70547</v>
      </c>
      <c r="D2798" s="11">
        <f>IFERROR(__xludf.DUMMYFUNCTION("""COMPUTED_VALUE"""),983.0)</f>
        <v>983</v>
      </c>
      <c r="E2798" s="9"/>
    </row>
    <row r="2799">
      <c r="A2799" s="11">
        <f>IFERROR(__xludf.DUMMYFUNCTION("""COMPUTED_VALUE"""),2021.0)</f>
        <v>2021</v>
      </c>
      <c r="B2799" s="11">
        <f>IFERROR(__xludf.DUMMYFUNCTION("""COMPUTED_VALUE"""),10.0)</f>
        <v>10</v>
      </c>
      <c r="C2799" s="11">
        <f>IFERROR(__xludf.DUMMYFUNCTION("""COMPUTED_VALUE"""),11410.0)</f>
        <v>11410</v>
      </c>
      <c r="D2799" s="11">
        <f>IFERROR(__xludf.DUMMYFUNCTION("""COMPUTED_VALUE"""),460.0)</f>
        <v>460</v>
      </c>
      <c r="E2799" s="9"/>
    </row>
    <row r="2800">
      <c r="A2800" s="11">
        <f>IFERROR(__xludf.DUMMYFUNCTION("""COMPUTED_VALUE"""),2021.0)</f>
        <v>2021</v>
      </c>
      <c r="B2800" s="11">
        <f>IFERROR(__xludf.DUMMYFUNCTION("""COMPUTED_VALUE"""),9.0)</f>
        <v>9</v>
      </c>
      <c r="C2800" s="11">
        <f>IFERROR(__xludf.DUMMYFUNCTION("""COMPUTED_VALUE"""),116632.0)</f>
        <v>116632</v>
      </c>
      <c r="D2800" s="11">
        <f>IFERROR(__xludf.DUMMYFUNCTION("""COMPUTED_VALUE"""),1068.0)</f>
        <v>1068</v>
      </c>
      <c r="E2800" s="9"/>
    </row>
    <row r="2801">
      <c r="A2801" s="11">
        <f>IFERROR(__xludf.DUMMYFUNCTION("""COMPUTED_VALUE"""),2021.0)</f>
        <v>2021</v>
      </c>
      <c r="B2801" s="11">
        <f>IFERROR(__xludf.DUMMYFUNCTION("""COMPUTED_VALUE"""),8.0)</f>
        <v>8</v>
      </c>
      <c r="C2801" s="11">
        <f>IFERROR(__xludf.DUMMYFUNCTION("""COMPUTED_VALUE"""),80546.0)</f>
        <v>80546</v>
      </c>
      <c r="D2801" s="11">
        <f>IFERROR(__xludf.DUMMYFUNCTION("""COMPUTED_VALUE"""),1527.0)</f>
        <v>1527</v>
      </c>
      <c r="E2801" s="9"/>
    </row>
    <row r="2802">
      <c r="A2802" s="11">
        <f>IFERROR(__xludf.DUMMYFUNCTION("""COMPUTED_VALUE"""),2021.0)</f>
        <v>2021</v>
      </c>
      <c r="B2802" s="11">
        <f>IFERROR(__xludf.DUMMYFUNCTION("""COMPUTED_VALUE"""),10.0)</f>
        <v>10</v>
      </c>
      <c r="C2802" s="11">
        <f>IFERROR(__xludf.DUMMYFUNCTION("""COMPUTED_VALUE"""),80572.0)</f>
        <v>80572</v>
      </c>
      <c r="D2802" s="11">
        <f>IFERROR(__xludf.DUMMYFUNCTION("""COMPUTED_VALUE"""),36.0)</f>
        <v>36</v>
      </c>
      <c r="E2802" s="9"/>
    </row>
    <row r="2803">
      <c r="A2803" s="11">
        <f>IFERROR(__xludf.DUMMYFUNCTION("""COMPUTED_VALUE"""),2021.0)</f>
        <v>2021</v>
      </c>
      <c r="B2803" s="11">
        <f>IFERROR(__xludf.DUMMYFUNCTION("""COMPUTED_VALUE"""),8.0)</f>
        <v>8</v>
      </c>
      <c r="C2803" s="11">
        <f>IFERROR(__xludf.DUMMYFUNCTION("""COMPUTED_VALUE"""),70558.0)</f>
        <v>70558</v>
      </c>
      <c r="D2803" s="11">
        <f>IFERROR(__xludf.DUMMYFUNCTION("""COMPUTED_VALUE"""),654.0)</f>
        <v>654</v>
      </c>
      <c r="E2803" s="9"/>
    </row>
    <row r="2804">
      <c r="A2804" s="11">
        <f>IFERROR(__xludf.DUMMYFUNCTION("""COMPUTED_VALUE"""),2021.0)</f>
        <v>2021</v>
      </c>
      <c r="B2804" s="11">
        <f>IFERROR(__xludf.DUMMYFUNCTION("""COMPUTED_VALUE"""),8.0)</f>
        <v>8</v>
      </c>
      <c r="C2804" s="11">
        <f>IFERROR(__xludf.DUMMYFUNCTION("""COMPUTED_VALUE"""),79405.0)</f>
        <v>79405</v>
      </c>
      <c r="D2804" s="11">
        <f>IFERROR(__xludf.DUMMYFUNCTION("""COMPUTED_VALUE"""),870.0)</f>
        <v>870</v>
      </c>
      <c r="E2804" s="9"/>
    </row>
    <row r="2805">
      <c r="A2805" s="11">
        <f>IFERROR(__xludf.DUMMYFUNCTION("""COMPUTED_VALUE"""),2021.0)</f>
        <v>2021</v>
      </c>
      <c r="B2805" s="11">
        <f>IFERROR(__xludf.DUMMYFUNCTION("""COMPUTED_VALUE"""),10.0)</f>
        <v>10</v>
      </c>
      <c r="C2805" s="11">
        <f>IFERROR(__xludf.DUMMYFUNCTION("""COMPUTED_VALUE"""),80543.0)</f>
        <v>80543</v>
      </c>
      <c r="D2805" s="11">
        <f>IFERROR(__xludf.DUMMYFUNCTION("""COMPUTED_VALUE"""),1914.0)</f>
        <v>1914</v>
      </c>
      <c r="E2805" s="9"/>
    </row>
    <row r="2806">
      <c r="A2806" s="11">
        <f>IFERROR(__xludf.DUMMYFUNCTION("""COMPUTED_VALUE"""),2021.0)</f>
        <v>2021</v>
      </c>
      <c r="B2806" s="11">
        <f>IFERROR(__xludf.DUMMYFUNCTION("""COMPUTED_VALUE"""),9.0)</f>
        <v>9</v>
      </c>
      <c r="C2806" s="11">
        <f>IFERROR(__xludf.DUMMYFUNCTION("""COMPUTED_VALUE"""),14041.0)</f>
        <v>14041</v>
      </c>
      <c r="D2806" s="11">
        <f>IFERROR(__xludf.DUMMYFUNCTION("""COMPUTED_VALUE"""),234.0)</f>
        <v>234</v>
      </c>
      <c r="E2806" s="9"/>
    </row>
    <row r="2807">
      <c r="A2807" s="11">
        <f>IFERROR(__xludf.DUMMYFUNCTION("""COMPUTED_VALUE"""),2021.0)</f>
        <v>2021</v>
      </c>
      <c r="B2807" s="11">
        <f>IFERROR(__xludf.DUMMYFUNCTION("""COMPUTED_VALUE"""),8.0)</f>
        <v>8</v>
      </c>
      <c r="C2807" s="11">
        <f>IFERROR(__xludf.DUMMYFUNCTION("""COMPUTED_VALUE"""),70559.0)</f>
        <v>70559</v>
      </c>
      <c r="D2807" s="11">
        <f>IFERROR(__xludf.DUMMYFUNCTION("""COMPUTED_VALUE"""),112.0)</f>
        <v>112</v>
      </c>
      <c r="E2807" s="9"/>
    </row>
    <row r="2808">
      <c r="A2808" s="11">
        <f>IFERROR(__xludf.DUMMYFUNCTION("""COMPUTED_VALUE"""),2021.0)</f>
        <v>2021</v>
      </c>
      <c r="B2808" s="11">
        <f>IFERROR(__xludf.DUMMYFUNCTION("""COMPUTED_VALUE"""),11.0)</f>
        <v>11</v>
      </c>
      <c r="C2808" s="11">
        <f>IFERROR(__xludf.DUMMYFUNCTION("""COMPUTED_VALUE"""),80582.0)</f>
        <v>80582</v>
      </c>
      <c r="D2808" s="11">
        <f>IFERROR(__xludf.DUMMYFUNCTION("""COMPUTED_VALUE"""),1752.0)</f>
        <v>1752</v>
      </c>
      <c r="E2808" s="9"/>
    </row>
    <row r="2809">
      <c r="A2809" s="11">
        <f>IFERROR(__xludf.DUMMYFUNCTION("""COMPUTED_VALUE"""),2021.0)</f>
        <v>2021</v>
      </c>
      <c r="B2809" s="11">
        <f>IFERROR(__xludf.DUMMYFUNCTION("""COMPUTED_VALUE"""),9.0)</f>
        <v>9</v>
      </c>
      <c r="C2809" s="11">
        <f>IFERROR(__xludf.DUMMYFUNCTION("""COMPUTED_VALUE"""),90004.0)</f>
        <v>90004</v>
      </c>
      <c r="D2809" s="11">
        <f>IFERROR(__xludf.DUMMYFUNCTION("""COMPUTED_VALUE"""),1539.0)</f>
        <v>1539</v>
      </c>
      <c r="E2809" s="9"/>
    </row>
    <row r="2810">
      <c r="A2810" s="11">
        <f>IFERROR(__xludf.DUMMYFUNCTION("""COMPUTED_VALUE"""),2021.0)</f>
        <v>2021</v>
      </c>
      <c r="B2810" s="11">
        <f>IFERROR(__xludf.DUMMYFUNCTION("""COMPUTED_VALUE"""),11.0)</f>
        <v>11</v>
      </c>
      <c r="C2810" s="11">
        <f>IFERROR(__xludf.DUMMYFUNCTION("""COMPUTED_VALUE"""),117907.0)</f>
        <v>117907</v>
      </c>
      <c r="D2810" s="11">
        <f>IFERROR(__xludf.DUMMYFUNCTION("""COMPUTED_VALUE"""),342.0)</f>
        <v>342</v>
      </c>
      <c r="E2810" s="9"/>
    </row>
    <row r="2811">
      <c r="A2811" s="11">
        <f>IFERROR(__xludf.DUMMYFUNCTION("""COMPUTED_VALUE"""),2021.0)</f>
        <v>2021</v>
      </c>
      <c r="B2811" s="11">
        <f>IFERROR(__xludf.DUMMYFUNCTION("""COMPUTED_VALUE"""),8.0)</f>
        <v>8</v>
      </c>
      <c r="C2811" s="11">
        <f>IFERROR(__xludf.DUMMYFUNCTION("""COMPUTED_VALUE"""),70542.0)</f>
        <v>70542</v>
      </c>
      <c r="D2811" s="11">
        <f>IFERROR(__xludf.DUMMYFUNCTION("""COMPUTED_VALUE"""),859.0)</f>
        <v>859</v>
      </c>
      <c r="E2811" s="9"/>
    </row>
    <row r="2812">
      <c r="A2812" s="11">
        <f>IFERROR(__xludf.DUMMYFUNCTION("""COMPUTED_VALUE"""),2021.0)</f>
        <v>2021</v>
      </c>
      <c r="B2812" s="11">
        <f>IFERROR(__xludf.DUMMYFUNCTION("""COMPUTED_VALUE"""),8.0)</f>
        <v>8</v>
      </c>
      <c r="C2812" s="11">
        <f>IFERROR(__xludf.DUMMYFUNCTION("""COMPUTED_VALUE"""),81210.0)</f>
        <v>81210</v>
      </c>
      <c r="D2812" s="11">
        <f>IFERROR(__xludf.DUMMYFUNCTION("""COMPUTED_VALUE"""),619.0)</f>
        <v>619</v>
      </c>
      <c r="E2812" s="9"/>
    </row>
    <row r="2813">
      <c r="A2813" s="11">
        <f>IFERROR(__xludf.DUMMYFUNCTION("""COMPUTED_VALUE"""),2021.0)</f>
        <v>2021</v>
      </c>
      <c r="B2813" s="11">
        <f>IFERROR(__xludf.DUMMYFUNCTION("""COMPUTED_VALUE"""),11.0)</f>
        <v>11</v>
      </c>
      <c r="C2813" s="11">
        <f>IFERROR(__xludf.DUMMYFUNCTION("""COMPUTED_VALUE"""),81211.0)</f>
        <v>81211</v>
      </c>
      <c r="D2813" s="11">
        <f>IFERROR(__xludf.DUMMYFUNCTION("""COMPUTED_VALUE"""),1357.0)</f>
        <v>1357</v>
      </c>
      <c r="E2813" s="9"/>
    </row>
    <row r="2814">
      <c r="A2814" s="11">
        <f>IFERROR(__xludf.DUMMYFUNCTION("""COMPUTED_VALUE"""),2021.0)</f>
        <v>2021</v>
      </c>
      <c r="B2814" s="11">
        <f>IFERROR(__xludf.DUMMYFUNCTION("""COMPUTED_VALUE"""),9.0)</f>
        <v>9</v>
      </c>
      <c r="C2814" s="11">
        <f>IFERROR(__xludf.DUMMYFUNCTION("""COMPUTED_VALUE"""),80573.0)</f>
        <v>80573</v>
      </c>
      <c r="D2814" s="11">
        <f>IFERROR(__xludf.DUMMYFUNCTION("""COMPUTED_VALUE"""),287.0)</f>
        <v>287</v>
      </c>
      <c r="E2814" s="9"/>
    </row>
    <row r="2815">
      <c r="A2815" s="11">
        <f>IFERROR(__xludf.DUMMYFUNCTION("""COMPUTED_VALUE"""),2021.0)</f>
        <v>2021</v>
      </c>
      <c r="B2815" s="11">
        <f>IFERROR(__xludf.DUMMYFUNCTION("""COMPUTED_VALUE"""),10.0)</f>
        <v>10</v>
      </c>
      <c r="C2815" s="11">
        <f>IFERROR(__xludf.DUMMYFUNCTION("""COMPUTED_VALUE"""),117909.0)</f>
        <v>117909</v>
      </c>
      <c r="D2815" s="11">
        <f>IFERROR(__xludf.DUMMYFUNCTION("""COMPUTED_VALUE"""),1168.0)</f>
        <v>1168</v>
      </c>
      <c r="E2815" s="9"/>
    </row>
    <row r="2816">
      <c r="A2816" s="11">
        <f>IFERROR(__xludf.DUMMYFUNCTION("""COMPUTED_VALUE"""),2021.0)</f>
        <v>2021</v>
      </c>
      <c r="B2816" s="11">
        <f>IFERROR(__xludf.DUMMYFUNCTION("""COMPUTED_VALUE"""),11.0)</f>
        <v>11</v>
      </c>
      <c r="C2816" s="11">
        <f>IFERROR(__xludf.DUMMYFUNCTION("""COMPUTED_VALUE"""),80584.0)</f>
        <v>80584</v>
      </c>
      <c r="D2816" s="11">
        <f>IFERROR(__xludf.DUMMYFUNCTION("""COMPUTED_VALUE"""),1426.0)</f>
        <v>1426</v>
      </c>
      <c r="E2816" s="9"/>
    </row>
    <row r="2817">
      <c r="A2817" s="11">
        <f>IFERROR(__xludf.DUMMYFUNCTION("""COMPUTED_VALUE"""),2021.0)</f>
        <v>2021</v>
      </c>
      <c r="B2817" s="11">
        <f>IFERROR(__xludf.DUMMYFUNCTION("""COMPUTED_VALUE"""),11.0)</f>
        <v>11</v>
      </c>
      <c r="C2817" s="11">
        <f>IFERROR(__xludf.DUMMYFUNCTION("""COMPUTED_VALUE"""),80550.0)</f>
        <v>80550</v>
      </c>
      <c r="D2817" s="11">
        <f>IFERROR(__xludf.DUMMYFUNCTION("""COMPUTED_VALUE"""),841.0)</f>
        <v>841</v>
      </c>
      <c r="E2817" s="9"/>
    </row>
    <row r="2818">
      <c r="A2818" s="11">
        <f>IFERROR(__xludf.DUMMYFUNCTION("""COMPUTED_VALUE"""),2021.0)</f>
        <v>2021</v>
      </c>
      <c r="B2818" s="11">
        <f>IFERROR(__xludf.DUMMYFUNCTION("""COMPUTED_VALUE"""),9.0)</f>
        <v>9</v>
      </c>
      <c r="C2818" s="11">
        <f>IFERROR(__xludf.DUMMYFUNCTION("""COMPUTED_VALUE"""),81227.0)</f>
        <v>81227</v>
      </c>
      <c r="D2818" s="11">
        <f>IFERROR(__xludf.DUMMYFUNCTION("""COMPUTED_VALUE"""),1789.0)</f>
        <v>1789</v>
      </c>
      <c r="E2818" s="9"/>
    </row>
    <row r="2819">
      <c r="A2819" s="11">
        <f>IFERROR(__xludf.DUMMYFUNCTION("""COMPUTED_VALUE"""),2021.0)</f>
        <v>2021</v>
      </c>
      <c r="B2819" s="11">
        <f>IFERROR(__xludf.DUMMYFUNCTION("""COMPUTED_VALUE"""),9.0)</f>
        <v>9</v>
      </c>
      <c r="C2819" s="11">
        <f>IFERROR(__xludf.DUMMYFUNCTION("""COMPUTED_VALUE"""),80578.0)</f>
        <v>80578</v>
      </c>
      <c r="D2819" s="11">
        <f>IFERROR(__xludf.DUMMYFUNCTION("""COMPUTED_VALUE"""),1690.0)</f>
        <v>1690</v>
      </c>
      <c r="E2819" s="9"/>
    </row>
    <row r="2820">
      <c r="A2820" s="11">
        <f>IFERROR(__xludf.DUMMYFUNCTION("""COMPUTED_VALUE"""),2021.0)</f>
        <v>2021</v>
      </c>
      <c r="B2820" s="11">
        <f>IFERROR(__xludf.DUMMYFUNCTION("""COMPUTED_VALUE"""),9.0)</f>
        <v>9</v>
      </c>
      <c r="C2820" s="11">
        <f>IFERROR(__xludf.DUMMYFUNCTION("""COMPUTED_VALUE"""),110595.0)</f>
        <v>110595</v>
      </c>
      <c r="D2820" s="11">
        <f>IFERROR(__xludf.DUMMYFUNCTION("""COMPUTED_VALUE"""),1204.0)</f>
        <v>1204</v>
      </c>
      <c r="E2820" s="9"/>
    </row>
    <row r="2821">
      <c r="A2821" s="11">
        <f>IFERROR(__xludf.DUMMYFUNCTION("""COMPUTED_VALUE"""),2021.0)</f>
        <v>2021</v>
      </c>
      <c r="B2821" s="11">
        <f>IFERROR(__xludf.DUMMYFUNCTION("""COMPUTED_VALUE"""),8.0)</f>
        <v>8</v>
      </c>
      <c r="C2821" s="11">
        <f>IFERROR(__xludf.DUMMYFUNCTION("""COMPUTED_VALUE"""),70557.0)</f>
        <v>70557</v>
      </c>
      <c r="D2821" s="11">
        <f>IFERROR(__xludf.DUMMYFUNCTION("""COMPUTED_VALUE"""),1061.0)</f>
        <v>1061</v>
      </c>
      <c r="E2821" s="9"/>
    </row>
    <row r="2822">
      <c r="A2822" s="11">
        <f>IFERROR(__xludf.DUMMYFUNCTION("""COMPUTED_VALUE"""),2021.0)</f>
        <v>2021</v>
      </c>
      <c r="B2822" s="11">
        <f>IFERROR(__xludf.DUMMYFUNCTION("""COMPUTED_VALUE"""),10.0)</f>
        <v>10</v>
      </c>
      <c r="C2822" s="11">
        <f>IFERROR(__xludf.DUMMYFUNCTION("""COMPUTED_VALUE"""),147284.0)</f>
        <v>147284</v>
      </c>
      <c r="D2822" s="11">
        <f>IFERROR(__xludf.DUMMYFUNCTION("""COMPUTED_VALUE"""),837.0)</f>
        <v>837</v>
      </c>
      <c r="E2822" s="9"/>
    </row>
    <row r="2823">
      <c r="A2823" s="11">
        <f>IFERROR(__xludf.DUMMYFUNCTION("""COMPUTED_VALUE"""),2021.0)</f>
        <v>2021</v>
      </c>
      <c r="B2823" s="11">
        <f>IFERROR(__xludf.DUMMYFUNCTION("""COMPUTED_VALUE"""),9.0)</f>
        <v>9</v>
      </c>
      <c r="C2823" s="11">
        <f>IFERROR(__xludf.DUMMYFUNCTION("""COMPUTED_VALUE"""),70553.0)</f>
        <v>70553</v>
      </c>
      <c r="D2823" s="11">
        <f>IFERROR(__xludf.DUMMYFUNCTION("""COMPUTED_VALUE"""),1398.0)</f>
        <v>1398</v>
      </c>
      <c r="E2823" s="9"/>
    </row>
    <row r="2824">
      <c r="A2824" s="11">
        <f>IFERROR(__xludf.DUMMYFUNCTION("""COMPUTED_VALUE"""),2021.0)</f>
        <v>2021</v>
      </c>
      <c r="B2824" s="11">
        <f>IFERROR(__xludf.DUMMYFUNCTION("""COMPUTED_VALUE"""),8.0)</f>
        <v>8</v>
      </c>
      <c r="C2824" s="11">
        <f>IFERROR(__xludf.DUMMYFUNCTION("""COMPUTED_VALUE"""),81212.0)</f>
        <v>81212</v>
      </c>
      <c r="D2824" s="11">
        <f>IFERROR(__xludf.DUMMYFUNCTION("""COMPUTED_VALUE"""),1455.0)</f>
        <v>1455</v>
      </c>
      <c r="E2824" s="9"/>
    </row>
    <row r="2825">
      <c r="A2825" s="11">
        <f>IFERROR(__xludf.DUMMYFUNCTION("""COMPUTED_VALUE"""),2021.0)</f>
        <v>2021</v>
      </c>
      <c r="B2825" s="11">
        <f>IFERROR(__xludf.DUMMYFUNCTION("""COMPUTED_VALUE"""),10.0)</f>
        <v>10</v>
      </c>
      <c r="C2825" s="11">
        <f>IFERROR(__xludf.DUMMYFUNCTION("""COMPUTED_VALUE"""),120427.0)</f>
        <v>120427</v>
      </c>
      <c r="D2825" s="11">
        <f>IFERROR(__xludf.DUMMYFUNCTION("""COMPUTED_VALUE"""),1280.0)</f>
        <v>1280</v>
      </c>
      <c r="E2825" s="9"/>
    </row>
    <row r="2826">
      <c r="A2826" s="11">
        <f>IFERROR(__xludf.DUMMYFUNCTION("""COMPUTED_VALUE"""),2021.0)</f>
        <v>2021</v>
      </c>
      <c r="B2826" s="11">
        <f>IFERROR(__xludf.DUMMYFUNCTION("""COMPUTED_VALUE"""),9.0)</f>
        <v>9</v>
      </c>
      <c r="C2826" s="11">
        <f>IFERROR(__xludf.DUMMYFUNCTION("""COMPUTED_VALUE"""),46049.0)</f>
        <v>46049</v>
      </c>
      <c r="D2826" s="11">
        <f>IFERROR(__xludf.DUMMYFUNCTION("""COMPUTED_VALUE"""),968.0)</f>
        <v>968</v>
      </c>
      <c r="E2826" s="9"/>
    </row>
    <row r="2827">
      <c r="A2827" s="11">
        <f>IFERROR(__xludf.DUMMYFUNCTION("""COMPUTED_VALUE"""),2021.0)</f>
        <v>2021</v>
      </c>
      <c r="B2827" s="11">
        <f>IFERROR(__xludf.DUMMYFUNCTION("""COMPUTED_VALUE"""),10.0)</f>
        <v>10</v>
      </c>
      <c r="C2827" s="11">
        <f>IFERROR(__xludf.DUMMYFUNCTION("""COMPUTED_VALUE"""),46039.0)</f>
        <v>46039</v>
      </c>
      <c r="D2827" s="11">
        <f>IFERROR(__xludf.DUMMYFUNCTION("""COMPUTED_VALUE"""),440.0)</f>
        <v>440</v>
      </c>
      <c r="E2827" s="9"/>
    </row>
    <row r="2828">
      <c r="A2828" s="11">
        <f>IFERROR(__xludf.DUMMYFUNCTION("""COMPUTED_VALUE"""),2021.0)</f>
        <v>2021</v>
      </c>
      <c r="B2828" s="11">
        <f>IFERROR(__xludf.DUMMYFUNCTION("""COMPUTED_VALUE"""),11.0)</f>
        <v>11</v>
      </c>
      <c r="C2828" s="11">
        <f>IFERROR(__xludf.DUMMYFUNCTION("""COMPUTED_VALUE"""),46037.0)</f>
        <v>46037</v>
      </c>
      <c r="D2828" s="11">
        <f>IFERROR(__xludf.DUMMYFUNCTION("""COMPUTED_VALUE"""),241.0)</f>
        <v>241</v>
      </c>
      <c r="E2828" s="9"/>
    </row>
    <row r="2829">
      <c r="A2829" s="11">
        <f>IFERROR(__xludf.DUMMYFUNCTION("""COMPUTED_VALUE"""),2021.0)</f>
        <v>2021</v>
      </c>
      <c r="B2829" s="11">
        <f>IFERROR(__xludf.DUMMYFUNCTION("""COMPUTED_VALUE"""),8.0)</f>
        <v>8</v>
      </c>
      <c r="C2829" s="11">
        <f>IFERROR(__xludf.DUMMYFUNCTION("""COMPUTED_VALUE"""),88965.0)</f>
        <v>88965</v>
      </c>
      <c r="D2829" s="11">
        <f>IFERROR(__xludf.DUMMYFUNCTION("""COMPUTED_VALUE"""),1162.0)</f>
        <v>1162</v>
      </c>
      <c r="E2829" s="9"/>
    </row>
    <row r="2830">
      <c r="A2830" s="11">
        <f>IFERROR(__xludf.DUMMYFUNCTION("""COMPUTED_VALUE"""),2021.0)</f>
        <v>2021</v>
      </c>
      <c r="B2830" s="11">
        <f>IFERROR(__xludf.DUMMYFUNCTION("""COMPUTED_VALUE"""),8.0)</f>
        <v>8</v>
      </c>
      <c r="C2830" s="11">
        <f>IFERROR(__xludf.DUMMYFUNCTION("""COMPUTED_VALUE"""),102614.0)</f>
        <v>102614</v>
      </c>
      <c r="D2830" s="11">
        <f>IFERROR(__xludf.DUMMYFUNCTION("""COMPUTED_VALUE"""),418.0)</f>
        <v>418</v>
      </c>
      <c r="E2830" s="9"/>
    </row>
    <row r="2831">
      <c r="A2831" s="11">
        <f>IFERROR(__xludf.DUMMYFUNCTION("""COMPUTED_VALUE"""),2021.0)</f>
        <v>2021</v>
      </c>
      <c r="B2831" s="11">
        <f>IFERROR(__xludf.DUMMYFUNCTION("""COMPUTED_VALUE"""),9.0)</f>
        <v>9</v>
      </c>
      <c r="C2831" s="11">
        <f>IFERROR(__xludf.DUMMYFUNCTION("""COMPUTED_VALUE"""),122704.0)</f>
        <v>122704</v>
      </c>
      <c r="D2831" s="11">
        <f>IFERROR(__xludf.DUMMYFUNCTION("""COMPUTED_VALUE"""),246.0)</f>
        <v>246</v>
      </c>
      <c r="E2831" s="9"/>
    </row>
    <row r="2832">
      <c r="A2832" s="11">
        <f>IFERROR(__xludf.DUMMYFUNCTION("""COMPUTED_VALUE"""),2021.0)</f>
        <v>2021</v>
      </c>
      <c r="B2832" s="11">
        <f>IFERROR(__xludf.DUMMYFUNCTION("""COMPUTED_VALUE"""),10.0)</f>
        <v>10</v>
      </c>
      <c r="C2832" s="11">
        <f>IFERROR(__xludf.DUMMYFUNCTION("""COMPUTED_VALUE"""),164902.0)</f>
        <v>164902</v>
      </c>
      <c r="D2832" s="11">
        <f>IFERROR(__xludf.DUMMYFUNCTION("""COMPUTED_VALUE"""),170.0)</f>
        <v>170</v>
      </c>
      <c r="E2832" s="9"/>
    </row>
    <row r="2833">
      <c r="A2833" s="11">
        <f>IFERROR(__xludf.DUMMYFUNCTION("""COMPUTED_VALUE"""),2021.0)</f>
        <v>2021</v>
      </c>
      <c r="B2833" s="11">
        <f>IFERROR(__xludf.DUMMYFUNCTION("""COMPUTED_VALUE"""),10.0)</f>
        <v>10</v>
      </c>
      <c r="C2833" s="11">
        <f>IFERROR(__xludf.DUMMYFUNCTION("""COMPUTED_VALUE"""),117783.0)</f>
        <v>117783</v>
      </c>
      <c r="D2833" s="11">
        <f>IFERROR(__xludf.DUMMYFUNCTION("""COMPUTED_VALUE"""),931.0)</f>
        <v>931</v>
      </c>
      <c r="E2833" s="9"/>
    </row>
    <row r="2834">
      <c r="A2834" s="11">
        <f>IFERROR(__xludf.DUMMYFUNCTION("""COMPUTED_VALUE"""),2021.0)</f>
        <v>2021</v>
      </c>
      <c r="B2834" s="11">
        <f>IFERROR(__xludf.DUMMYFUNCTION("""COMPUTED_VALUE"""),9.0)</f>
        <v>9</v>
      </c>
      <c r="C2834" s="11">
        <f>IFERROR(__xludf.DUMMYFUNCTION("""COMPUTED_VALUE"""),114278.0)</f>
        <v>114278</v>
      </c>
      <c r="D2834" s="11">
        <f>IFERROR(__xludf.DUMMYFUNCTION("""COMPUTED_VALUE"""),1220.0)</f>
        <v>1220</v>
      </c>
      <c r="E2834" s="9"/>
    </row>
    <row r="2835">
      <c r="A2835" s="11">
        <f>IFERROR(__xludf.DUMMYFUNCTION("""COMPUTED_VALUE"""),2021.0)</f>
        <v>2021</v>
      </c>
      <c r="B2835" s="11">
        <f>IFERROR(__xludf.DUMMYFUNCTION("""COMPUTED_VALUE"""),10.0)</f>
        <v>10</v>
      </c>
      <c r="C2835" s="11">
        <f>IFERROR(__xludf.DUMMYFUNCTION("""COMPUTED_VALUE"""),46056.0)</f>
        <v>46056</v>
      </c>
      <c r="D2835" s="11">
        <f>IFERROR(__xludf.DUMMYFUNCTION("""COMPUTED_VALUE"""),595.0)</f>
        <v>595</v>
      </c>
      <c r="E2835" s="9"/>
    </row>
    <row r="2836">
      <c r="A2836" s="11">
        <f>IFERROR(__xludf.DUMMYFUNCTION("""COMPUTED_VALUE"""),2021.0)</f>
        <v>2021</v>
      </c>
      <c r="B2836" s="11">
        <f>IFERROR(__xludf.DUMMYFUNCTION("""COMPUTED_VALUE"""),10.0)</f>
        <v>10</v>
      </c>
      <c r="C2836" s="11">
        <f>IFERROR(__xludf.DUMMYFUNCTION("""COMPUTED_VALUE"""),5703.0)</f>
        <v>5703</v>
      </c>
      <c r="D2836" s="11">
        <f>IFERROR(__xludf.DUMMYFUNCTION("""COMPUTED_VALUE"""),1625.0)</f>
        <v>1625</v>
      </c>
      <c r="E2836" s="9"/>
    </row>
    <row r="2837">
      <c r="A2837" s="11">
        <f>IFERROR(__xludf.DUMMYFUNCTION("""COMPUTED_VALUE"""),2021.0)</f>
        <v>2021</v>
      </c>
      <c r="B2837" s="11">
        <f>IFERROR(__xludf.DUMMYFUNCTION("""COMPUTED_VALUE"""),10.0)</f>
        <v>10</v>
      </c>
      <c r="C2837" s="11">
        <f>IFERROR(__xludf.DUMMYFUNCTION("""COMPUTED_VALUE"""),102607.0)</f>
        <v>102607</v>
      </c>
      <c r="D2837" s="11">
        <f>IFERROR(__xludf.DUMMYFUNCTION("""COMPUTED_VALUE"""),1345.0)</f>
        <v>1345</v>
      </c>
      <c r="E2837" s="9"/>
    </row>
    <row r="2838">
      <c r="A2838" s="11">
        <f>IFERROR(__xludf.DUMMYFUNCTION("""COMPUTED_VALUE"""),2021.0)</f>
        <v>2021</v>
      </c>
      <c r="B2838" s="11">
        <f>IFERROR(__xludf.DUMMYFUNCTION("""COMPUTED_VALUE"""),9.0)</f>
        <v>9</v>
      </c>
      <c r="C2838" s="11">
        <f>IFERROR(__xludf.DUMMYFUNCTION("""COMPUTED_VALUE"""),87913.0)</f>
        <v>87913</v>
      </c>
      <c r="D2838" s="11">
        <f>IFERROR(__xludf.DUMMYFUNCTION("""COMPUTED_VALUE"""),1271.0)</f>
        <v>1271</v>
      </c>
      <c r="E2838" s="9"/>
    </row>
    <row r="2839">
      <c r="A2839" s="11">
        <f>IFERROR(__xludf.DUMMYFUNCTION("""COMPUTED_VALUE"""),2021.0)</f>
        <v>2021</v>
      </c>
      <c r="B2839" s="11">
        <f>IFERROR(__xludf.DUMMYFUNCTION("""COMPUTED_VALUE"""),11.0)</f>
        <v>11</v>
      </c>
      <c r="C2839" s="11">
        <f>IFERROR(__xludf.DUMMYFUNCTION("""COMPUTED_VALUE"""),149513.0)</f>
        <v>149513</v>
      </c>
      <c r="D2839" s="11">
        <f>IFERROR(__xludf.DUMMYFUNCTION("""COMPUTED_VALUE"""),1527.0)</f>
        <v>1527</v>
      </c>
      <c r="E2839" s="9"/>
    </row>
    <row r="2840">
      <c r="A2840" s="11">
        <f>IFERROR(__xludf.DUMMYFUNCTION("""COMPUTED_VALUE"""),2021.0)</f>
        <v>2021</v>
      </c>
      <c r="B2840" s="11">
        <f>IFERROR(__xludf.DUMMYFUNCTION("""COMPUTED_VALUE"""),10.0)</f>
        <v>10</v>
      </c>
      <c r="C2840" s="11">
        <f>IFERROR(__xludf.DUMMYFUNCTION("""COMPUTED_VALUE"""),87909.0)</f>
        <v>87909</v>
      </c>
      <c r="D2840" s="11">
        <f>IFERROR(__xludf.DUMMYFUNCTION("""COMPUTED_VALUE"""),1668.0)</f>
        <v>1668</v>
      </c>
      <c r="E2840" s="9"/>
    </row>
    <row r="2841">
      <c r="A2841" s="11">
        <f>IFERROR(__xludf.DUMMYFUNCTION("""COMPUTED_VALUE"""),2021.0)</f>
        <v>2021</v>
      </c>
      <c r="B2841" s="11">
        <f>IFERROR(__xludf.DUMMYFUNCTION("""COMPUTED_VALUE"""),11.0)</f>
        <v>11</v>
      </c>
      <c r="C2841" s="11">
        <f>IFERROR(__xludf.DUMMYFUNCTION("""COMPUTED_VALUE"""),101897.0)</f>
        <v>101897</v>
      </c>
      <c r="D2841" s="11">
        <f>IFERROR(__xludf.DUMMYFUNCTION("""COMPUTED_VALUE"""),947.0)</f>
        <v>947</v>
      </c>
      <c r="E2841" s="9"/>
    </row>
    <row r="2842">
      <c r="A2842" s="11">
        <f>IFERROR(__xludf.DUMMYFUNCTION("""COMPUTED_VALUE"""),2021.0)</f>
        <v>2021</v>
      </c>
      <c r="B2842" s="11">
        <f>IFERROR(__xludf.DUMMYFUNCTION("""COMPUTED_VALUE"""),11.0)</f>
        <v>11</v>
      </c>
      <c r="C2842" s="11">
        <f>IFERROR(__xludf.DUMMYFUNCTION("""COMPUTED_VALUE"""),121675.0)</f>
        <v>121675</v>
      </c>
      <c r="D2842" s="11">
        <f>IFERROR(__xludf.DUMMYFUNCTION("""COMPUTED_VALUE"""),524.0)</f>
        <v>524</v>
      </c>
      <c r="E2842" s="9"/>
    </row>
    <row r="2843">
      <c r="A2843" s="11">
        <f>IFERROR(__xludf.DUMMYFUNCTION("""COMPUTED_VALUE"""),2021.0)</f>
        <v>2021</v>
      </c>
      <c r="B2843" s="11">
        <f>IFERROR(__xludf.DUMMYFUNCTION("""COMPUTED_VALUE"""),9.0)</f>
        <v>9</v>
      </c>
      <c r="C2843" s="11">
        <f>IFERROR(__xludf.DUMMYFUNCTION("""COMPUTED_VALUE"""),99349.0)</f>
        <v>99349</v>
      </c>
      <c r="D2843" s="11">
        <f>IFERROR(__xludf.DUMMYFUNCTION("""COMPUTED_VALUE"""),1502.0)</f>
        <v>1502</v>
      </c>
      <c r="E2843" s="9"/>
    </row>
    <row r="2844">
      <c r="A2844" s="11">
        <f>IFERROR(__xludf.DUMMYFUNCTION("""COMPUTED_VALUE"""),2021.0)</f>
        <v>2021</v>
      </c>
      <c r="B2844" s="11">
        <f>IFERROR(__xludf.DUMMYFUNCTION("""COMPUTED_VALUE"""),11.0)</f>
        <v>11</v>
      </c>
      <c r="C2844" s="11">
        <f>IFERROR(__xludf.DUMMYFUNCTION("""COMPUTED_VALUE"""),117785.0)</f>
        <v>117785</v>
      </c>
      <c r="D2844" s="11">
        <f>IFERROR(__xludf.DUMMYFUNCTION("""COMPUTED_VALUE"""),856.0)</f>
        <v>856</v>
      </c>
      <c r="E2844" s="9"/>
    </row>
    <row r="2845">
      <c r="A2845" s="11">
        <f>IFERROR(__xludf.DUMMYFUNCTION("""COMPUTED_VALUE"""),2021.0)</f>
        <v>2021</v>
      </c>
      <c r="B2845" s="11">
        <f>IFERROR(__xludf.DUMMYFUNCTION("""COMPUTED_VALUE"""),8.0)</f>
        <v>8</v>
      </c>
      <c r="C2845" s="11">
        <f>IFERROR(__xludf.DUMMYFUNCTION("""COMPUTED_VALUE"""),120558.0)</f>
        <v>120558</v>
      </c>
      <c r="D2845" s="11">
        <f>IFERROR(__xludf.DUMMYFUNCTION("""COMPUTED_VALUE"""),1105.0)</f>
        <v>1105</v>
      </c>
      <c r="E2845" s="9"/>
    </row>
    <row r="2846">
      <c r="A2846" s="11">
        <f>IFERROR(__xludf.DUMMYFUNCTION("""COMPUTED_VALUE"""),2021.0)</f>
        <v>2021</v>
      </c>
      <c r="B2846" s="11">
        <f>IFERROR(__xludf.DUMMYFUNCTION("""COMPUTED_VALUE"""),8.0)</f>
        <v>8</v>
      </c>
      <c r="C2846" s="11">
        <f>IFERROR(__xludf.DUMMYFUNCTION("""COMPUTED_VALUE"""),99351.0)</f>
        <v>99351</v>
      </c>
      <c r="D2846" s="11">
        <f>IFERROR(__xludf.DUMMYFUNCTION("""COMPUTED_VALUE"""),1297.0)</f>
        <v>1297</v>
      </c>
      <c r="E2846" s="9"/>
    </row>
    <row r="2847">
      <c r="A2847" s="11">
        <f>IFERROR(__xludf.DUMMYFUNCTION("""COMPUTED_VALUE"""),2021.0)</f>
        <v>2021</v>
      </c>
      <c r="B2847" s="11">
        <f>IFERROR(__xludf.DUMMYFUNCTION("""COMPUTED_VALUE"""),11.0)</f>
        <v>11</v>
      </c>
      <c r="C2847" s="11">
        <f>IFERROR(__xludf.DUMMYFUNCTION("""COMPUTED_VALUE"""),113058.0)</f>
        <v>113058</v>
      </c>
      <c r="D2847" s="11">
        <f>IFERROR(__xludf.DUMMYFUNCTION("""COMPUTED_VALUE"""),808.0)</f>
        <v>808</v>
      </c>
      <c r="E2847" s="9"/>
    </row>
    <row r="2848">
      <c r="A2848" s="11">
        <f>IFERROR(__xludf.DUMMYFUNCTION("""COMPUTED_VALUE"""),2021.0)</f>
        <v>2021</v>
      </c>
      <c r="B2848" s="11">
        <f>IFERROR(__xludf.DUMMYFUNCTION("""COMPUTED_VALUE"""),10.0)</f>
        <v>10</v>
      </c>
      <c r="C2848" s="11">
        <f>IFERROR(__xludf.DUMMYFUNCTION("""COMPUTED_VALUE"""),118917.0)</f>
        <v>118917</v>
      </c>
      <c r="D2848" s="11">
        <f>IFERROR(__xludf.DUMMYFUNCTION("""COMPUTED_VALUE"""),1308.0)</f>
        <v>1308</v>
      </c>
      <c r="E2848" s="9"/>
    </row>
    <row r="2849">
      <c r="A2849" s="11">
        <f>IFERROR(__xludf.DUMMYFUNCTION("""COMPUTED_VALUE"""),2021.0)</f>
        <v>2021</v>
      </c>
      <c r="B2849" s="11">
        <f>IFERROR(__xludf.DUMMYFUNCTION("""COMPUTED_VALUE"""),11.0)</f>
        <v>11</v>
      </c>
      <c r="C2849" s="11">
        <f>IFERROR(__xludf.DUMMYFUNCTION("""COMPUTED_VALUE"""),164891.0)</f>
        <v>164891</v>
      </c>
      <c r="D2849" s="11">
        <f>IFERROR(__xludf.DUMMYFUNCTION("""COMPUTED_VALUE"""),1065.0)</f>
        <v>1065</v>
      </c>
      <c r="E2849" s="9"/>
    </row>
    <row r="2850">
      <c r="A2850" s="11">
        <f>IFERROR(__xludf.DUMMYFUNCTION("""COMPUTED_VALUE"""),2021.0)</f>
        <v>2021</v>
      </c>
      <c r="B2850" s="11">
        <f>IFERROR(__xludf.DUMMYFUNCTION("""COMPUTED_VALUE"""),11.0)</f>
        <v>11</v>
      </c>
      <c r="C2850" s="11">
        <f>IFERROR(__xludf.DUMMYFUNCTION("""COMPUTED_VALUE"""),101901.0)</f>
        <v>101901</v>
      </c>
      <c r="D2850" s="11">
        <f>IFERROR(__xludf.DUMMYFUNCTION("""COMPUTED_VALUE"""),519.0)</f>
        <v>519</v>
      </c>
      <c r="E2850" s="9"/>
    </row>
    <row r="2851">
      <c r="A2851" s="11">
        <f>IFERROR(__xludf.DUMMYFUNCTION("""COMPUTED_VALUE"""),2021.0)</f>
        <v>2021</v>
      </c>
      <c r="B2851" s="11">
        <f>IFERROR(__xludf.DUMMYFUNCTION("""COMPUTED_VALUE"""),11.0)</f>
        <v>11</v>
      </c>
      <c r="C2851" s="11">
        <f>IFERROR(__xludf.DUMMYFUNCTION("""COMPUTED_VALUE"""),197164.0)</f>
        <v>197164</v>
      </c>
      <c r="D2851" s="11">
        <f>IFERROR(__xludf.DUMMYFUNCTION("""COMPUTED_VALUE"""),409.0)</f>
        <v>409</v>
      </c>
      <c r="E2851" s="9"/>
    </row>
    <row r="2852">
      <c r="A2852" s="11">
        <f>IFERROR(__xludf.DUMMYFUNCTION("""COMPUTED_VALUE"""),2021.0)</f>
        <v>2021</v>
      </c>
      <c r="B2852" s="11">
        <f>IFERROR(__xludf.DUMMYFUNCTION("""COMPUTED_VALUE"""),8.0)</f>
        <v>8</v>
      </c>
      <c r="C2852" s="11">
        <f>IFERROR(__xludf.DUMMYFUNCTION("""COMPUTED_VALUE"""),114277.0)</f>
        <v>114277</v>
      </c>
      <c r="D2852" s="11">
        <f>IFERROR(__xludf.DUMMYFUNCTION("""COMPUTED_VALUE"""),1018.0)</f>
        <v>1018</v>
      </c>
      <c r="E2852" s="9"/>
    </row>
    <row r="2853">
      <c r="A2853" s="11">
        <f>IFERROR(__xludf.DUMMYFUNCTION("""COMPUTED_VALUE"""),2021.0)</f>
        <v>2021</v>
      </c>
      <c r="B2853" s="11">
        <f>IFERROR(__xludf.DUMMYFUNCTION("""COMPUTED_VALUE"""),11.0)</f>
        <v>11</v>
      </c>
      <c r="C2853" s="11">
        <f>IFERROR(__xludf.DUMMYFUNCTION("""COMPUTED_VALUE"""),86913.0)</f>
        <v>86913</v>
      </c>
      <c r="D2853" s="11">
        <f>IFERROR(__xludf.DUMMYFUNCTION("""COMPUTED_VALUE"""),1459.0)</f>
        <v>1459</v>
      </c>
      <c r="E2853" s="9"/>
    </row>
    <row r="2854">
      <c r="A2854" s="11">
        <f>IFERROR(__xludf.DUMMYFUNCTION("""COMPUTED_VALUE"""),2021.0)</f>
        <v>2021</v>
      </c>
      <c r="B2854" s="11">
        <f>IFERROR(__xludf.DUMMYFUNCTION("""COMPUTED_VALUE"""),9.0)</f>
        <v>9</v>
      </c>
      <c r="C2854" s="11">
        <f>IFERROR(__xludf.DUMMYFUNCTION("""COMPUTED_VALUE"""),88971.0)</f>
        <v>88971</v>
      </c>
      <c r="D2854" s="11">
        <f>IFERROR(__xludf.DUMMYFUNCTION("""COMPUTED_VALUE"""),1573.0)</f>
        <v>1573</v>
      </c>
      <c r="E2854" s="9"/>
    </row>
    <row r="2855">
      <c r="A2855" s="11">
        <f>IFERROR(__xludf.DUMMYFUNCTION("""COMPUTED_VALUE"""),2021.0)</f>
        <v>2021</v>
      </c>
      <c r="B2855" s="11">
        <f>IFERROR(__xludf.DUMMYFUNCTION("""COMPUTED_VALUE"""),10.0)</f>
        <v>10</v>
      </c>
      <c r="C2855" s="11">
        <f>IFERROR(__xludf.DUMMYFUNCTION("""COMPUTED_VALUE"""),188840.0)</f>
        <v>188840</v>
      </c>
      <c r="D2855" s="11">
        <f>IFERROR(__xludf.DUMMYFUNCTION("""COMPUTED_VALUE"""),1707.0)</f>
        <v>1707</v>
      </c>
      <c r="E2855" s="9"/>
    </row>
    <row r="2856">
      <c r="A2856" s="11">
        <f>IFERROR(__xludf.DUMMYFUNCTION("""COMPUTED_VALUE"""),2021.0)</f>
        <v>2021</v>
      </c>
      <c r="B2856" s="11">
        <f>IFERROR(__xludf.DUMMYFUNCTION("""COMPUTED_VALUE"""),10.0)</f>
        <v>10</v>
      </c>
      <c r="C2856" s="11">
        <f>IFERROR(__xludf.DUMMYFUNCTION("""COMPUTED_VALUE"""),95652.0)</f>
        <v>95652</v>
      </c>
      <c r="D2856" s="11">
        <f>IFERROR(__xludf.DUMMYFUNCTION("""COMPUTED_VALUE"""),522.0)</f>
        <v>522</v>
      </c>
      <c r="E2856" s="9"/>
    </row>
    <row r="2857">
      <c r="A2857" s="11">
        <f>IFERROR(__xludf.DUMMYFUNCTION("""COMPUTED_VALUE"""),2021.0)</f>
        <v>2021</v>
      </c>
      <c r="B2857" s="11">
        <f>IFERROR(__xludf.DUMMYFUNCTION("""COMPUTED_VALUE"""),9.0)</f>
        <v>9</v>
      </c>
      <c r="C2857" s="11">
        <f>IFERROR(__xludf.DUMMYFUNCTION("""COMPUTED_VALUE"""),68627.0)</f>
        <v>68627</v>
      </c>
      <c r="D2857" s="11">
        <f>IFERROR(__xludf.DUMMYFUNCTION("""COMPUTED_VALUE"""),161.0)</f>
        <v>161</v>
      </c>
      <c r="E2857" s="9"/>
    </row>
    <row r="2858">
      <c r="A2858" s="11">
        <f>IFERROR(__xludf.DUMMYFUNCTION("""COMPUTED_VALUE"""),2021.0)</f>
        <v>2021</v>
      </c>
      <c r="B2858" s="11">
        <f>IFERROR(__xludf.DUMMYFUNCTION("""COMPUTED_VALUE"""),8.0)</f>
        <v>8</v>
      </c>
      <c r="C2858" s="11">
        <f>IFERROR(__xludf.DUMMYFUNCTION("""COMPUTED_VALUE"""),46043.0)</f>
        <v>46043</v>
      </c>
      <c r="D2858" s="11">
        <f>IFERROR(__xludf.DUMMYFUNCTION("""COMPUTED_VALUE"""),1616.0)</f>
        <v>1616</v>
      </c>
      <c r="E2858" s="9"/>
    </row>
    <row r="2859">
      <c r="A2859" s="11">
        <f>IFERROR(__xludf.DUMMYFUNCTION("""COMPUTED_VALUE"""),2021.0)</f>
        <v>2021</v>
      </c>
      <c r="B2859" s="11">
        <f>IFERROR(__xludf.DUMMYFUNCTION("""COMPUTED_VALUE"""),11.0)</f>
        <v>11</v>
      </c>
      <c r="C2859" s="11">
        <f>IFERROR(__xludf.DUMMYFUNCTION("""COMPUTED_VALUE"""),60592.0)</f>
        <v>60592</v>
      </c>
      <c r="D2859" s="11">
        <f>IFERROR(__xludf.DUMMYFUNCTION("""COMPUTED_VALUE"""),1349.0)</f>
        <v>1349</v>
      </c>
      <c r="E2859" s="9"/>
    </row>
    <row r="2860">
      <c r="A2860" s="11">
        <f>IFERROR(__xludf.DUMMYFUNCTION("""COMPUTED_VALUE"""),2021.0)</f>
        <v>2021</v>
      </c>
      <c r="B2860" s="11">
        <f>IFERROR(__xludf.DUMMYFUNCTION("""COMPUTED_VALUE"""),11.0)</f>
        <v>11</v>
      </c>
      <c r="C2860" s="11">
        <f>IFERROR(__xludf.DUMMYFUNCTION("""COMPUTED_VALUE"""),99350.0)</f>
        <v>99350</v>
      </c>
      <c r="D2860" s="11">
        <f>IFERROR(__xludf.DUMMYFUNCTION("""COMPUTED_VALUE"""),1461.0)</f>
        <v>1461</v>
      </c>
      <c r="E2860" s="9"/>
    </row>
    <row r="2861">
      <c r="A2861" s="11">
        <f>IFERROR(__xludf.DUMMYFUNCTION("""COMPUTED_VALUE"""),2021.0)</f>
        <v>2021</v>
      </c>
      <c r="B2861" s="11">
        <f>IFERROR(__xludf.DUMMYFUNCTION("""COMPUTED_VALUE"""),11.0)</f>
        <v>11</v>
      </c>
      <c r="C2861" s="11">
        <f>IFERROR(__xludf.DUMMYFUNCTION("""COMPUTED_VALUE"""),78983.0)</f>
        <v>78983</v>
      </c>
      <c r="D2861" s="11">
        <f>IFERROR(__xludf.DUMMYFUNCTION("""COMPUTED_VALUE"""),239.0)</f>
        <v>239</v>
      </c>
      <c r="E2861" s="9"/>
    </row>
    <row r="2862">
      <c r="A2862" s="11">
        <f>IFERROR(__xludf.DUMMYFUNCTION("""COMPUTED_VALUE"""),2021.0)</f>
        <v>2021</v>
      </c>
      <c r="B2862" s="11">
        <f>IFERROR(__xludf.DUMMYFUNCTION("""COMPUTED_VALUE"""),10.0)</f>
        <v>10</v>
      </c>
      <c r="C2862" s="11">
        <f>IFERROR(__xludf.DUMMYFUNCTION("""COMPUTED_VALUE"""),188845.0)</f>
        <v>188845</v>
      </c>
      <c r="D2862" s="11">
        <f>IFERROR(__xludf.DUMMYFUNCTION("""COMPUTED_VALUE"""),1522.0)</f>
        <v>1522</v>
      </c>
      <c r="E2862" s="9"/>
    </row>
    <row r="2863">
      <c r="A2863" s="11">
        <f>IFERROR(__xludf.DUMMYFUNCTION("""COMPUTED_VALUE"""),2021.0)</f>
        <v>2021</v>
      </c>
      <c r="B2863" s="11">
        <f>IFERROR(__xludf.DUMMYFUNCTION("""COMPUTED_VALUE"""),9.0)</f>
        <v>9</v>
      </c>
      <c r="C2863" s="11">
        <f>IFERROR(__xludf.DUMMYFUNCTION("""COMPUTED_VALUE"""),117787.0)</f>
        <v>117787</v>
      </c>
      <c r="D2863" s="11">
        <f>IFERROR(__xludf.DUMMYFUNCTION("""COMPUTED_VALUE"""),1886.0)</f>
        <v>1886</v>
      </c>
      <c r="E2863" s="9"/>
    </row>
    <row r="2864">
      <c r="A2864" s="11">
        <f>IFERROR(__xludf.DUMMYFUNCTION("""COMPUTED_VALUE"""),2021.0)</f>
        <v>2021</v>
      </c>
      <c r="B2864" s="11">
        <f>IFERROR(__xludf.DUMMYFUNCTION("""COMPUTED_VALUE"""),8.0)</f>
        <v>8</v>
      </c>
      <c r="C2864" s="11">
        <f>IFERROR(__xludf.DUMMYFUNCTION("""COMPUTED_VALUE"""),119986.0)</f>
        <v>119986</v>
      </c>
      <c r="D2864" s="11">
        <f>IFERROR(__xludf.DUMMYFUNCTION("""COMPUTED_VALUE"""),107.0)</f>
        <v>107</v>
      </c>
      <c r="E2864" s="9"/>
    </row>
    <row r="2865">
      <c r="A2865" s="11">
        <f>IFERROR(__xludf.DUMMYFUNCTION("""COMPUTED_VALUE"""),2021.0)</f>
        <v>2021</v>
      </c>
      <c r="B2865" s="11">
        <f>IFERROR(__xludf.DUMMYFUNCTION("""COMPUTED_VALUE"""),11.0)</f>
        <v>11</v>
      </c>
      <c r="C2865" s="11">
        <f>IFERROR(__xludf.DUMMYFUNCTION("""COMPUTED_VALUE"""),188841.0)</f>
        <v>188841</v>
      </c>
      <c r="D2865" s="11">
        <f>IFERROR(__xludf.DUMMYFUNCTION("""COMPUTED_VALUE"""),1107.0)</f>
        <v>1107</v>
      </c>
      <c r="E2865" s="9"/>
    </row>
    <row r="2866">
      <c r="A2866" s="11">
        <f>IFERROR(__xludf.DUMMYFUNCTION("""COMPUTED_VALUE"""),2021.0)</f>
        <v>2021</v>
      </c>
      <c r="B2866" s="11">
        <f>IFERROR(__xludf.DUMMYFUNCTION("""COMPUTED_VALUE"""),10.0)</f>
        <v>10</v>
      </c>
      <c r="C2866" s="11">
        <f>IFERROR(__xludf.DUMMYFUNCTION("""COMPUTED_VALUE"""),99348.0)</f>
        <v>99348</v>
      </c>
      <c r="D2866" s="11">
        <f>IFERROR(__xludf.DUMMYFUNCTION("""COMPUTED_VALUE"""),686.0)</f>
        <v>686</v>
      </c>
      <c r="E2866" s="9"/>
    </row>
    <row r="2867">
      <c r="A2867" s="11">
        <f>IFERROR(__xludf.DUMMYFUNCTION("""COMPUTED_VALUE"""),2021.0)</f>
        <v>2021</v>
      </c>
      <c r="B2867" s="11">
        <f>IFERROR(__xludf.DUMMYFUNCTION("""COMPUTED_VALUE"""),11.0)</f>
        <v>11</v>
      </c>
      <c r="C2867" s="11">
        <f>IFERROR(__xludf.DUMMYFUNCTION("""COMPUTED_VALUE"""),78978.0)</f>
        <v>78978</v>
      </c>
      <c r="D2867" s="11">
        <f>IFERROR(__xludf.DUMMYFUNCTION("""COMPUTED_VALUE"""),329.0)</f>
        <v>329</v>
      </c>
      <c r="E2867" s="9"/>
    </row>
    <row r="2868">
      <c r="A2868" s="11">
        <f>IFERROR(__xludf.DUMMYFUNCTION("""COMPUTED_VALUE"""),2021.0)</f>
        <v>2021</v>
      </c>
      <c r="B2868" s="11">
        <f>IFERROR(__xludf.DUMMYFUNCTION("""COMPUTED_VALUE"""),11.0)</f>
        <v>11</v>
      </c>
      <c r="C2868" s="11">
        <f>IFERROR(__xludf.DUMMYFUNCTION("""COMPUTED_VALUE"""),120556.0)</f>
        <v>120556</v>
      </c>
      <c r="D2868" s="11">
        <f>IFERROR(__xludf.DUMMYFUNCTION("""COMPUTED_VALUE"""),1752.0)</f>
        <v>1752</v>
      </c>
      <c r="E2868" s="9"/>
    </row>
    <row r="2869">
      <c r="A2869" s="11">
        <f>IFERROR(__xludf.DUMMYFUNCTION("""COMPUTED_VALUE"""),2021.0)</f>
        <v>2021</v>
      </c>
      <c r="B2869" s="11">
        <f>IFERROR(__xludf.DUMMYFUNCTION("""COMPUTED_VALUE"""),10.0)</f>
        <v>10</v>
      </c>
      <c r="C2869" s="11">
        <f>IFERROR(__xludf.DUMMYFUNCTION("""COMPUTED_VALUE"""),80254.0)</f>
        <v>80254</v>
      </c>
      <c r="D2869" s="11">
        <f>IFERROR(__xludf.DUMMYFUNCTION("""COMPUTED_VALUE"""),1046.0)</f>
        <v>1046</v>
      </c>
      <c r="E2869" s="9"/>
    </row>
    <row r="2870">
      <c r="A2870" s="11">
        <f>IFERROR(__xludf.DUMMYFUNCTION("""COMPUTED_VALUE"""),2021.0)</f>
        <v>2021</v>
      </c>
      <c r="B2870" s="11">
        <f>IFERROR(__xludf.DUMMYFUNCTION("""COMPUTED_VALUE"""),8.0)</f>
        <v>8</v>
      </c>
      <c r="C2870" s="11">
        <f>IFERROR(__xludf.DUMMYFUNCTION("""COMPUTED_VALUE"""),121911.0)</f>
        <v>121911</v>
      </c>
      <c r="D2870" s="11">
        <f>IFERROR(__xludf.DUMMYFUNCTION("""COMPUTED_VALUE"""),1389.0)</f>
        <v>1389</v>
      </c>
      <c r="E2870" s="9"/>
    </row>
    <row r="2871">
      <c r="A2871" s="11">
        <f>IFERROR(__xludf.DUMMYFUNCTION("""COMPUTED_VALUE"""),2021.0)</f>
        <v>2021</v>
      </c>
      <c r="B2871" s="11">
        <f>IFERROR(__xludf.DUMMYFUNCTION("""COMPUTED_VALUE"""),8.0)</f>
        <v>8</v>
      </c>
      <c r="C2871" s="11">
        <f>IFERROR(__xludf.DUMMYFUNCTION("""COMPUTED_VALUE"""),120328.0)</f>
        <v>120328</v>
      </c>
      <c r="D2871" s="11">
        <f>IFERROR(__xludf.DUMMYFUNCTION("""COMPUTED_VALUE"""),1782.0)</f>
        <v>1782</v>
      </c>
      <c r="E2871" s="9"/>
    </row>
    <row r="2872">
      <c r="A2872" s="11">
        <f>IFERROR(__xludf.DUMMYFUNCTION("""COMPUTED_VALUE"""),2021.0)</f>
        <v>2021</v>
      </c>
      <c r="B2872" s="11">
        <f>IFERROR(__xludf.DUMMYFUNCTION("""COMPUTED_VALUE"""),9.0)</f>
        <v>9</v>
      </c>
      <c r="C2872" s="11">
        <f>IFERROR(__xludf.DUMMYFUNCTION("""COMPUTED_VALUE"""),122702.0)</f>
        <v>122702</v>
      </c>
      <c r="D2872" s="11">
        <f>IFERROR(__xludf.DUMMYFUNCTION("""COMPUTED_VALUE"""),122.0)</f>
        <v>122</v>
      </c>
      <c r="E2872" s="9"/>
    </row>
    <row r="2873">
      <c r="A2873" s="11">
        <f>IFERROR(__xludf.DUMMYFUNCTION("""COMPUTED_VALUE"""),2021.0)</f>
        <v>2021</v>
      </c>
      <c r="B2873" s="11">
        <f>IFERROR(__xludf.DUMMYFUNCTION("""COMPUTED_VALUE"""),8.0)</f>
        <v>8</v>
      </c>
      <c r="C2873" s="11">
        <f>IFERROR(__xludf.DUMMYFUNCTION("""COMPUTED_VALUE"""),92542.0)</f>
        <v>92542</v>
      </c>
      <c r="D2873" s="11">
        <f>IFERROR(__xludf.DUMMYFUNCTION("""COMPUTED_VALUE"""),41.0)</f>
        <v>41</v>
      </c>
      <c r="E2873" s="9"/>
    </row>
    <row r="2874">
      <c r="A2874" s="11">
        <f>IFERROR(__xludf.DUMMYFUNCTION("""COMPUTED_VALUE"""),2021.0)</f>
        <v>2021</v>
      </c>
      <c r="B2874" s="11">
        <f>IFERROR(__xludf.DUMMYFUNCTION("""COMPUTED_VALUE"""),10.0)</f>
        <v>10</v>
      </c>
      <c r="C2874" s="11">
        <f>IFERROR(__xludf.DUMMYFUNCTION("""COMPUTED_VALUE"""),15423.0)</f>
        <v>15423</v>
      </c>
      <c r="D2874" s="11">
        <f>IFERROR(__xludf.DUMMYFUNCTION("""COMPUTED_VALUE"""),413.0)</f>
        <v>413</v>
      </c>
      <c r="E2874" s="9"/>
    </row>
    <row r="2875">
      <c r="A2875" s="11">
        <f>IFERROR(__xludf.DUMMYFUNCTION("""COMPUTED_VALUE"""),2021.0)</f>
        <v>2021</v>
      </c>
      <c r="B2875" s="11">
        <f>IFERROR(__xludf.DUMMYFUNCTION("""COMPUTED_VALUE"""),8.0)</f>
        <v>8</v>
      </c>
      <c r="C2875" s="11">
        <f>IFERROR(__xludf.DUMMYFUNCTION("""COMPUTED_VALUE"""),111797.0)</f>
        <v>111797</v>
      </c>
      <c r="D2875" s="11">
        <f>IFERROR(__xludf.DUMMYFUNCTION("""COMPUTED_VALUE"""),1084.0)</f>
        <v>1084</v>
      </c>
      <c r="E2875" s="9"/>
    </row>
    <row r="2876">
      <c r="A2876" s="11">
        <f>IFERROR(__xludf.DUMMYFUNCTION("""COMPUTED_VALUE"""),2021.0)</f>
        <v>2021</v>
      </c>
      <c r="B2876" s="11">
        <f>IFERROR(__xludf.DUMMYFUNCTION("""COMPUTED_VALUE"""),8.0)</f>
        <v>8</v>
      </c>
      <c r="C2876" s="11">
        <f>IFERROR(__xludf.DUMMYFUNCTION("""COMPUTED_VALUE"""),112626.0)</f>
        <v>112626</v>
      </c>
      <c r="D2876" s="11">
        <f>IFERROR(__xludf.DUMMYFUNCTION("""COMPUTED_VALUE"""),1224.0)</f>
        <v>1224</v>
      </c>
      <c r="E2876" s="9"/>
    </row>
    <row r="2877">
      <c r="A2877" s="11">
        <f>IFERROR(__xludf.DUMMYFUNCTION("""COMPUTED_VALUE"""),2021.0)</f>
        <v>2021</v>
      </c>
      <c r="B2877" s="11">
        <f>IFERROR(__xludf.DUMMYFUNCTION("""COMPUTED_VALUE"""),8.0)</f>
        <v>8</v>
      </c>
      <c r="C2877" s="11">
        <f>IFERROR(__xludf.DUMMYFUNCTION("""COMPUTED_VALUE"""),12925.0)</f>
        <v>12925</v>
      </c>
      <c r="D2877" s="11">
        <f>IFERROR(__xludf.DUMMYFUNCTION("""COMPUTED_VALUE"""),1526.0)</f>
        <v>1526</v>
      </c>
      <c r="E2877" s="9"/>
    </row>
    <row r="2878">
      <c r="A2878" s="11">
        <f>IFERROR(__xludf.DUMMYFUNCTION("""COMPUTED_VALUE"""),2021.0)</f>
        <v>2021</v>
      </c>
      <c r="B2878" s="11">
        <f>IFERROR(__xludf.DUMMYFUNCTION("""COMPUTED_VALUE"""),10.0)</f>
        <v>10</v>
      </c>
      <c r="C2878" s="11">
        <f>IFERROR(__xludf.DUMMYFUNCTION("""COMPUTED_VALUE"""),107034.0)</f>
        <v>107034</v>
      </c>
      <c r="D2878" s="11">
        <f>IFERROR(__xludf.DUMMYFUNCTION("""COMPUTED_VALUE"""),779.0)</f>
        <v>779</v>
      </c>
      <c r="E2878" s="9"/>
    </row>
    <row r="2879">
      <c r="A2879" s="11">
        <f>IFERROR(__xludf.DUMMYFUNCTION("""COMPUTED_VALUE"""),2021.0)</f>
        <v>2021</v>
      </c>
      <c r="B2879" s="11">
        <f>IFERROR(__xludf.DUMMYFUNCTION("""COMPUTED_VALUE"""),10.0)</f>
        <v>10</v>
      </c>
      <c r="C2879" s="11">
        <f>IFERROR(__xludf.DUMMYFUNCTION("""COMPUTED_VALUE"""),88319.0)</f>
        <v>88319</v>
      </c>
      <c r="D2879" s="11">
        <f>IFERROR(__xludf.DUMMYFUNCTION("""COMPUTED_VALUE"""),1369.0)</f>
        <v>1369</v>
      </c>
      <c r="E2879" s="9"/>
    </row>
    <row r="2880">
      <c r="A2880" s="11">
        <f>IFERROR(__xludf.DUMMYFUNCTION("""COMPUTED_VALUE"""),2021.0)</f>
        <v>2021</v>
      </c>
      <c r="B2880" s="11">
        <f>IFERROR(__xludf.DUMMYFUNCTION("""COMPUTED_VALUE"""),8.0)</f>
        <v>8</v>
      </c>
      <c r="C2880" s="11">
        <f>IFERROR(__xludf.DUMMYFUNCTION("""COMPUTED_VALUE"""),3453.0)</f>
        <v>3453</v>
      </c>
      <c r="D2880" s="11">
        <f>IFERROR(__xludf.DUMMYFUNCTION("""COMPUTED_VALUE"""),1624.0)</f>
        <v>1624</v>
      </c>
      <c r="E2880" s="9"/>
    </row>
    <row r="2881">
      <c r="A2881" s="11">
        <f>IFERROR(__xludf.DUMMYFUNCTION("""COMPUTED_VALUE"""),2021.0)</f>
        <v>2021</v>
      </c>
      <c r="B2881" s="11">
        <f>IFERROR(__xludf.DUMMYFUNCTION("""COMPUTED_VALUE"""),11.0)</f>
        <v>11</v>
      </c>
      <c r="C2881" s="11">
        <f>IFERROR(__xludf.DUMMYFUNCTION("""COMPUTED_VALUE"""),121425.0)</f>
        <v>121425</v>
      </c>
      <c r="D2881" s="11">
        <f>IFERROR(__xludf.DUMMYFUNCTION("""COMPUTED_VALUE"""),1460.0)</f>
        <v>1460</v>
      </c>
      <c r="E2881" s="9"/>
    </row>
    <row r="2882">
      <c r="A2882" s="11">
        <f>IFERROR(__xludf.DUMMYFUNCTION("""COMPUTED_VALUE"""),2021.0)</f>
        <v>2021</v>
      </c>
      <c r="B2882" s="11">
        <f>IFERROR(__xludf.DUMMYFUNCTION("""COMPUTED_VALUE"""),11.0)</f>
        <v>11</v>
      </c>
      <c r="C2882" s="11">
        <f>IFERROR(__xludf.DUMMYFUNCTION("""COMPUTED_VALUE"""),10561.0)</f>
        <v>10561</v>
      </c>
      <c r="D2882" s="11">
        <f>IFERROR(__xludf.DUMMYFUNCTION("""COMPUTED_VALUE"""),709.0)</f>
        <v>709</v>
      </c>
      <c r="E2882" s="9"/>
    </row>
    <row r="2883">
      <c r="A2883" s="11">
        <f>IFERROR(__xludf.DUMMYFUNCTION("""COMPUTED_VALUE"""),2021.0)</f>
        <v>2021</v>
      </c>
      <c r="B2883" s="11">
        <f>IFERROR(__xludf.DUMMYFUNCTION("""COMPUTED_VALUE"""),10.0)</f>
        <v>10</v>
      </c>
      <c r="C2883" s="11">
        <f>IFERROR(__xludf.DUMMYFUNCTION("""COMPUTED_VALUE"""),90294.0)</f>
        <v>90294</v>
      </c>
      <c r="D2883" s="11">
        <f>IFERROR(__xludf.DUMMYFUNCTION("""COMPUTED_VALUE"""),469.0)</f>
        <v>469</v>
      </c>
      <c r="E2883" s="9"/>
    </row>
    <row r="2884">
      <c r="A2884" s="11">
        <f>IFERROR(__xludf.DUMMYFUNCTION("""COMPUTED_VALUE"""),2021.0)</f>
        <v>2021</v>
      </c>
      <c r="B2884" s="11">
        <f>IFERROR(__xludf.DUMMYFUNCTION("""COMPUTED_VALUE"""),10.0)</f>
        <v>10</v>
      </c>
      <c r="C2884" s="11">
        <f>IFERROR(__xludf.DUMMYFUNCTION("""COMPUTED_VALUE"""),70804.0)</f>
        <v>70804</v>
      </c>
      <c r="D2884" s="11">
        <f>IFERROR(__xludf.DUMMYFUNCTION("""COMPUTED_VALUE"""),377.0)</f>
        <v>377</v>
      </c>
      <c r="E2884" s="9"/>
    </row>
    <row r="2885">
      <c r="A2885" s="11">
        <f>IFERROR(__xludf.DUMMYFUNCTION("""COMPUTED_VALUE"""),2021.0)</f>
        <v>2021</v>
      </c>
      <c r="B2885" s="11">
        <f>IFERROR(__xludf.DUMMYFUNCTION("""COMPUTED_VALUE"""),11.0)</f>
        <v>11</v>
      </c>
      <c r="C2885" s="11">
        <f>IFERROR(__xludf.DUMMYFUNCTION("""COMPUTED_VALUE"""),81237.0)</f>
        <v>81237</v>
      </c>
      <c r="D2885" s="11">
        <f>IFERROR(__xludf.DUMMYFUNCTION("""COMPUTED_VALUE"""),1632.0)</f>
        <v>1632</v>
      </c>
      <c r="E2885" s="9"/>
    </row>
    <row r="2886">
      <c r="A2886" s="11">
        <f>IFERROR(__xludf.DUMMYFUNCTION("""COMPUTED_VALUE"""),2021.0)</f>
        <v>2021</v>
      </c>
      <c r="B2886" s="11">
        <f>IFERROR(__xludf.DUMMYFUNCTION("""COMPUTED_VALUE"""),11.0)</f>
        <v>11</v>
      </c>
      <c r="C2886" s="11">
        <f>IFERROR(__xludf.DUMMYFUNCTION("""COMPUTED_VALUE"""),47564.0)</f>
        <v>47564</v>
      </c>
      <c r="D2886" s="11">
        <f>IFERROR(__xludf.DUMMYFUNCTION("""COMPUTED_VALUE"""),165.0)</f>
        <v>165</v>
      </c>
      <c r="E2886" s="9"/>
    </row>
    <row r="2887">
      <c r="A2887" s="11">
        <f>IFERROR(__xludf.DUMMYFUNCTION("""COMPUTED_VALUE"""),2021.0)</f>
        <v>2021</v>
      </c>
      <c r="B2887" s="11">
        <f>IFERROR(__xludf.DUMMYFUNCTION("""COMPUTED_VALUE"""),9.0)</f>
        <v>9</v>
      </c>
      <c r="C2887" s="11">
        <f>IFERROR(__xludf.DUMMYFUNCTION("""COMPUTED_VALUE"""),24055.0)</f>
        <v>24055</v>
      </c>
      <c r="D2887" s="11">
        <f>IFERROR(__xludf.DUMMYFUNCTION("""COMPUTED_VALUE"""),1721.0)</f>
        <v>1721</v>
      </c>
      <c r="E2887" s="9"/>
    </row>
    <row r="2888">
      <c r="A2888" s="11">
        <f>IFERROR(__xludf.DUMMYFUNCTION("""COMPUTED_VALUE"""),2021.0)</f>
        <v>2021</v>
      </c>
      <c r="B2888" s="11">
        <f>IFERROR(__xludf.DUMMYFUNCTION("""COMPUTED_VALUE"""),8.0)</f>
        <v>8</v>
      </c>
      <c r="C2888" s="11">
        <f>IFERROR(__xludf.DUMMYFUNCTION("""COMPUTED_VALUE"""),48637.0)</f>
        <v>48637</v>
      </c>
      <c r="D2888" s="11">
        <f>IFERROR(__xludf.DUMMYFUNCTION("""COMPUTED_VALUE"""),127.0)</f>
        <v>127</v>
      </c>
      <c r="E2888" s="9"/>
    </row>
    <row r="2889">
      <c r="A2889" s="11">
        <f>IFERROR(__xludf.DUMMYFUNCTION("""COMPUTED_VALUE"""),2021.0)</f>
        <v>2021</v>
      </c>
      <c r="B2889" s="11">
        <f>IFERROR(__xludf.DUMMYFUNCTION("""COMPUTED_VALUE"""),9.0)</f>
        <v>9</v>
      </c>
      <c r="C2889" s="11">
        <f>IFERROR(__xludf.DUMMYFUNCTION("""COMPUTED_VALUE"""),3447.0)</f>
        <v>3447</v>
      </c>
      <c r="D2889" s="11">
        <f>IFERROR(__xludf.DUMMYFUNCTION("""COMPUTED_VALUE"""),1020.0)</f>
        <v>1020</v>
      </c>
      <c r="E2889" s="9"/>
    </row>
    <row r="2890">
      <c r="A2890" s="11">
        <f>IFERROR(__xludf.DUMMYFUNCTION("""COMPUTED_VALUE"""),2021.0)</f>
        <v>2021</v>
      </c>
      <c r="B2890" s="11">
        <f>IFERROR(__xludf.DUMMYFUNCTION("""COMPUTED_VALUE"""),10.0)</f>
        <v>10</v>
      </c>
      <c r="C2890" s="11">
        <f>IFERROR(__xludf.DUMMYFUNCTION("""COMPUTED_VALUE"""),117921.0)</f>
        <v>117921</v>
      </c>
      <c r="D2890" s="11">
        <f>IFERROR(__xludf.DUMMYFUNCTION("""COMPUTED_VALUE"""),1871.0)</f>
        <v>1871</v>
      </c>
      <c r="E2890" s="9"/>
    </row>
    <row r="2891">
      <c r="A2891" s="11">
        <f>IFERROR(__xludf.DUMMYFUNCTION("""COMPUTED_VALUE"""),2021.0)</f>
        <v>2021</v>
      </c>
      <c r="B2891" s="11">
        <f>IFERROR(__xludf.DUMMYFUNCTION("""COMPUTED_VALUE"""),9.0)</f>
        <v>9</v>
      </c>
      <c r="C2891" s="11">
        <f>IFERROR(__xludf.DUMMYFUNCTION("""COMPUTED_VALUE"""),128322.0)</f>
        <v>128322</v>
      </c>
      <c r="D2891" s="11">
        <f>IFERROR(__xludf.DUMMYFUNCTION("""COMPUTED_VALUE"""),703.0)</f>
        <v>703</v>
      </c>
      <c r="E2891" s="9"/>
    </row>
    <row r="2892">
      <c r="A2892" s="11">
        <f>IFERROR(__xludf.DUMMYFUNCTION("""COMPUTED_VALUE"""),2021.0)</f>
        <v>2021</v>
      </c>
      <c r="B2892" s="11">
        <f>IFERROR(__xludf.DUMMYFUNCTION("""COMPUTED_VALUE"""),9.0)</f>
        <v>9</v>
      </c>
      <c r="C2892" s="11">
        <f>IFERROR(__xludf.DUMMYFUNCTION("""COMPUTED_VALUE"""),42207.0)</f>
        <v>42207</v>
      </c>
      <c r="D2892" s="11">
        <f>IFERROR(__xludf.DUMMYFUNCTION("""COMPUTED_VALUE"""),1139.0)</f>
        <v>1139</v>
      </c>
      <c r="E2892" s="9"/>
    </row>
    <row r="2893">
      <c r="A2893" s="11">
        <f>IFERROR(__xludf.DUMMYFUNCTION("""COMPUTED_VALUE"""),2021.0)</f>
        <v>2021</v>
      </c>
      <c r="B2893" s="11">
        <f>IFERROR(__xludf.DUMMYFUNCTION("""COMPUTED_VALUE"""),10.0)</f>
        <v>10</v>
      </c>
      <c r="C2893" s="11">
        <f>IFERROR(__xludf.DUMMYFUNCTION("""COMPUTED_VALUE"""),108394.0)</f>
        <v>108394</v>
      </c>
      <c r="D2893" s="11">
        <f>IFERROR(__xludf.DUMMYFUNCTION("""COMPUTED_VALUE"""),474.0)</f>
        <v>474</v>
      </c>
      <c r="E2893" s="9"/>
    </row>
    <row r="2894">
      <c r="A2894" s="11">
        <f>IFERROR(__xludf.DUMMYFUNCTION("""COMPUTED_VALUE"""),2021.0)</f>
        <v>2021</v>
      </c>
      <c r="B2894" s="11">
        <f>IFERROR(__xludf.DUMMYFUNCTION("""COMPUTED_VALUE"""),8.0)</f>
        <v>8</v>
      </c>
      <c r="C2894" s="11">
        <f>IFERROR(__xludf.DUMMYFUNCTION("""COMPUTED_VALUE"""),119967.0)</f>
        <v>119967</v>
      </c>
      <c r="D2894" s="11">
        <f>IFERROR(__xludf.DUMMYFUNCTION("""COMPUTED_VALUE"""),993.0)</f>
        <v>993</v>
      </c>
      <c r="E2894" s="9"/>
    </row>
    <row r="2895">
      <c r="A2895" s="11">
        <f>IFERROR(__xludf.DUMMYFUNCTION("""COMPUTED_VALUE"""),2021.0)</f>
        <v>2021</v>
      </c>
      <c r="B2895" s="11">
        <f>IFERROR(__xludf.DUMMYFUNCTION("""COMPUTED_VALUE"""),8.0)</f>
        <v>8</v>
      </c>
      <c r="C2895" s="11">
        <f>IFERROR(__xludf.DUMMYFUNCTION("""COMPUTED_VALUE"""),81235.0)</f>
        <v>81235</v>
      </c>
      <c r="D2895" s="11">
        <f>IFERROR(__xludf.DUMMYFUNCTION("""COMPUTED_VALUE"""),1179.0)</f>
        <v>1179</v>
      </c>
      <c r="E2895" s="9"/>
    </row>
    <row r="2896">
      <c r="A2896" s="11">
        <f>IFERROR(__xludf.DUMMYFUNCTION("""COMPUTED_VALUE"""),2021.0)</f>
        <v>2021</v>
      </c>
      <c r="B2896" s="11">
        <f>IFERROR(__xludf.DUMMYFUNCTION("""COMPUTED_VALUE"""),9.0)</f>
        <v>9</v>
      </c>
      <c r="C2896" s="11">
        <f>IFERROR(__xludf.DUMMYFUNCTION("""COMPUTED_VALUE"""),24053.0)</f>
        <v>24053</v>
      </c>
      <c r="D2896" s="11">
        <f>IFERROR(__xludf.DUMMYFUNCTION("""COMPUTED_VALUE"""),355.0)</f>
        <v>355</v>
      </c>
      <c r="E2896" s="9"/>
    </row>
    <row r="2897">
      <c r="A2897" s="11">
        <f>IFERROR(__xludf.DUMMYFUNCTION("""COMPUTED_VALUE"""),2021.0)</f>
        <v>2021</v>
      </c>
      <c r="B2897" s="11">
        <f>IFERROR(__xludf.DUMMYFUNCTION("""COMPUTED_VALUE"""),11.0)</f>
        <v>11</v>
      </c>
      <c r="C2897" s="11">
        <f>IFERROR(__xludf.DUMMYFUNCTION("""COMPUTED_VALUE"""),116936.0)</f>
        <v>116936</v>
      </c>
      <c r="D2897" s="11">
        <f>IFERROR(__xludf.DUMMYFUNCTION("""COMPUTED_VALUE"""),1946.0)</f>
        <v>1946</v>
      </c>
      <c r="E2897" s="9"/>
    </row>
    <row r="2898">
      <c r="A2898" s="11">
        <f>IFERROR(__xludf.DUMMYFUNCTION("""COMPUTED_VALUE"""),2021.0)</f>
        <v>2021</v>
      </c>
      <c r="B2898" s="11">
        <f>IFERROR(__xludf.DUMMYFUNCTION("""COMPUTED_VALUE"""),9.0)</f>
        <v>9</v>
      </c>
      <c r="C2898" s="11">
        <f>IFERROR(__xludf.DUMMYFUNCTION("""COMPUTED_VALUE"""),44268.0)</f>
        <v>44268</v>
      </c>
      <c r="D2898" s="11">
        <f>IFERROR(__xludf.DUMMYFUNCTION("""COMPUTED_VALUE"""),654.0)</f>
        <v>654</v>
      </c>
      <c r="E2898" s="9"/>
    </row>
    <row r="2899">
      <c r="A2899" s="11">
        <f>IFERROR(__xludf.DUMMYFUNCTION("""COMPUTED_VALUE"""),2021.0)</f>
        <v>2021</v>
      </c>
      <c r="B2899" s="11">
        <f>IFERROR(__xludf.DUMMYFUNCTION("""COMPUTED_VALUE"""),9.0)</f>
        <v>9</v>
      </c>
      <c r="C2899" s="11">
        <f>IFERROR(__xludf.DUMMYFUNCTION("""COMPUTED_VALUE"""),111946.0)</f>
        <v>111946</v>
      </c>
      <c r="D2899" s="11">
        <f>IFERROR(__xludf.DUMMYFUNCTION("""COMPUTED_VALUE"""),270.0)</f>
        <v>270</v>
      </c>
      <c r="E2899" s="9"/>
    </row>
    <row r="2900">
      <c r="A2900" s="11">
        <f>IFERROR(__xludf.DUMMYFUNCTION("""COMPUTED_VALUE"""),2021.0)</f>
        <v>2021</v>
      </c>
      <c r="B2900" s="11">
        <f>IFERROR(__xludf.DUMMYFUNCTION("""COMPUTED_VALUE"""),8.0)</f>
        <v>8</v>
      </c>
      <c r="C2900" s="11">
        <f>IFERROR(__xludf.DUMMYFUNCTION("""COMPUTED_VALUE"""),81234.0)</f>
        <v>81234</v>
      </c>
      <c r="D2900" s="11">
        <f>IFERROR(__xludf.DUMMYFUNCTION("""COMPUTED_VALUE"""),1468.0)</f>
        <v>1468</v>
      </c>
      <c r="E2900" s="9"/>
    </row>
    <row r="2901">
      <c r="A2901" s="11">
        <f>IFERROR(__xludf.DUMMYFUNCTION("""COMPUTED_VALUE"""),2021.0)</f>
        <v>2021</v>
      </c>
      <c r="B2901" s="11">
        <f>IFERROR(__xludf.DUMMYFUNCTION("""COMPUTED_VALUE"""),9.0)</f>
        <v>9</v>
      </c>
      <c r="C2901" s="11">
        <f>IFERROR(__xludf.DUMMYFUNCTION("""COMPUTED_VALUE"""),24038.0)</f>
        <v>24038</v>
      </c>
      <c r="D2901" s="11">
        <f>IFERROR(__xludf.DUMMYFUNCTION("""COMPUTED_VALUE"""),1838.0)</f>
        <v>1838</v>
      </c>
      <c r="E2901" s="9"/>
    </row>
    <row r="2902">
      <c r="A2902" s="11">
        <f>IFERROR(__xludf.DUMMYFUNCTION("""COMPUTED_VALUE"""),2021.0)</f>
        <v>2021</v>
      </c>
      <c r="B2902" s="11">
        <f>IFERROR(__xludf.DUMMYFUNCTION("""COMPUTED_VALUE"""),8.0)</f>
        <v>8</v>
      </c>
      <c r="C2902" s="11">
        <f>IFERROR(__xludf.DUMMYFUNCTION("""COMPUTED_VALUE"""),44882.0)</f>
        <v>44882</v>
      </c>
      <c r="D2902" s="11">
        <f>IFERROR(__xludf.DUMMYFUNCTION("""COMPUTED_VALUE"""),495.0)</f>
        <v>495</v>
      </c>
      <c r="E2902" s="9"/>
    </row>
    <row r="2903">
      <c r="A2903" s="11">
        <f>IFERROR(__xludf.DUMMYFUNCTION("""COMPUTED_VALUE"""),2021.0)</f>
        <v>2021</v>
      </c>
      <c r="B2903" s="11">
        <f>IFERROR(__xludf.DUMMYFUNCTION("""COMPUTED_VALUE"""),8.0)</f>
        <v>8</v>
      </c>
      <c r="C2903" s="11">
        <f>IFERROR(__xludf.DUMMYFUNCTION("""COMPUTED_VALUE"""),44266.0)</f>
        <v>44266</v>
      </c>
      <c r="D2903" s="11">
        <f>IFERROR(__xludf.DUMMYFUNCTION("""COMPUTED_VALUE"""),1909.0)</f>
        <v>1909</v>
      </c>
      <c r="E2903" s="9"/>
    </row>
    <row r="2904">
      <c r="A2904" s="11">
        <f>IFERROR(__xludf.DUMMYFUNCTION("""COMPUTED_VALUE"""),2021.0)</f>
        <v>2021</v>
      </c>
      <c r="B2904" s="11">
        <f>IFERROR(__xludf.DUMMYFUNCTION("""COMPUTED_VALUE"""),8.0)</f>
        <v>8</v>
      </c>
      <c r="C2904" s="11">
        <f>IFERROR(__xludf.DUMMYFUNCTION("""COMPUTED_VALUE"""),3452.0)</f>
        <v>3452</v>
      </c>
      <c r="D2904" s="11">
        <f>IFERROR(__xludf.DUMMYFUNCTION("""COMPUTED_VALUE"""),1955.0)</f>
        <v>1955</v>
      </c>
      <c r="E2904" s="9"/>
    </row>
    <row r="2905">
      <c r="A2905" s="11">
        <f>IFERROR(__xludf.DUMMYFUNCTION("""COMPUTED_VALUE"""),2021.0)</f>
        <v>2021</v>
      </c>
      <c r="B2905" s="11">
        <f>IFERROR(__xludf.DUMMYFUNCTION("""COMPUTED_VALUE"""),10.0)</f>
        <v>10</v>
      </c>
      <c r="C2905" s="11">
        <f>IFERROR(__xludf.DUMMYFUNCTION("""COMPUTED_VALUE"""),118569.0)</f>
        <v>118569</v>
      </c>
      <c r="D2905" s="11">
        <f>IFERROR(__xludf.DUMMYFUNCTION("""COMPUTED_VALUE"""),92.0)</f>
        <v>92</v>
      </c>
      <c r="E2905" s="9"/>
    </row>
    <row r="2906">
      <c r="A2906" s="11">
        <f>IFERROR(__xludf.DUMMYFUNCTION("""COMPUTED_VALUE"""),2021.0)</f>
        <v>2021</v>
      </c>
      <c r="B2906" s="11">
        <f>IFERROR(__xludf.DUMMYFUNCTION("""COMPUTED_VALUE"""),10.0)</f>
        <v>10</v>
      </c>
      <c r="C2906" s="11">
        <f>IFERROR(__xludf.DUMMYFUNCTION("""COMPUTED_VALUE"""),84378.0)</f>
        <v>84378</v>
      </c>
      <c r="D2906" s="11">
        <f>IFERROR(__xludf.DUMMYFUNCTION("""COMPUTED_VALUE"""),133.0)</f>
        <v>133</v>
      </c>
      <c r="E2906" s="9"/>
    </row>
    <row r="2907">
      <c r="A2907" s="11">
        <f>IFERROR(__xludf.DUMMYFUNCTION("""COMPUTED_VALUE"""),2021.0)</f>
        <v>2021</v>
      </c>
      <c r="B2907" s="11">
        <f>IFERROR(__xludf.DUMMYFUNCTION("""COMPUTED_VALUE"""),11.0)</f>
        <v>11</v>
      </c>
      <c r="C2907" s="11">
        <f>IFERROR(__xludf.DUMMYFUNCTION("""COMPUTED_VALUE"""),112731.0)</f>
        <v>112731</v>
      </c>
      <c r="D2907" s="11">
        <f>IFERROR(__xludf.DUMMYFUNCTION("""COMPUTED_VALUE"""),102.0)</f>
        <v>102</v>
      </c>
      <c r="E2907" s="9"/>
    </row>
    <row r="2908">
      <c r="A2908" s="11">
        <f>IFERROR(__xludf.DUMMYFUNCTION("""COMPUTED_VALUE"""),2021.0)</f>
        <v>2021</v>
      </c>
      <c r="B2908" s="11">
        <f>IFERROR(__xludf.DUMMYFUNCTION("""COMPUTED_VALUE"""),10.0)</f>
        <v>10</v>
      </c>
      <c r="C2908" s="11">
        <f>IFERROR(__xludf.DUMMYFUNCTION("""COMPUTED_VALUE"""),166201.0)</f>
        <v>166201</v>
      </c>
      <c r="D2908" s="11">
        <f>IFERROR(__xludf.DUMMYFUNCTION("""COMPUTED_VALUE"""),1865.0)</f>
        <v>1865</v>
      </c>
      <c r="E2908" s="9"/>
    </row>
    <row r="2909">
      <c r="A2909" s="11">
        <f>IFERROR(__xludf.DUMMYFUNCTION("""COMPUTED_VALUE"""),2021.0)</f>
        <v>2021</v>
      </c>
      <c r="B2909" s="11">
        <f>IFERROR(__xludf.DUMMYFUNCTION("""COMPUTED_VALUE"""),11.0)</f>
        <v>11</v>
      </c>
      <c r="C2909" s="11">
        <f>IFERROR(__xludf.DUMMYFUNCTION("""COMPUTED_VALUE"""),48495.0)</f>
        <v>48495</v>
      </c>
      <c r="D2909" s="11">
        <f>IFERROR(__xludf.DUMMYFUNCTION("""COMPUTED_VALUE"""),1875.0)</f>
        <v>1875</v>
      </c>
      <c r="E2909" s="9"/>
    </row>
    <row r="2910">
      <c r="A2910" s="11">
        <f>IFERROR(__xludf.DUMMYFUNCTION("""COMPUTED_VALUE"""),2021.0)</f>
        <v>2021</v>
      </c>
      <c r="B2910" s="11">
        <f>IFERROR(__xludf.DUMMYFUNCTION("""COMPUTED_VALUE"""),9.0)</f>
        <v>9</v>
      </c>
      <c r="C2910" s="11">
        <f>IFERROR(__xludf.DUMMYFUNCTION("""COMPUTED_VALUE"""),10383.0)</f>
        <v>10383</v>
      </c>
      <c r="D2910" s="11">
        <f>IFERROR(__xludf.DUMMYFUNCTION("""COMPUTED_VALUE"""),1344.0)</f>
        <v>1344</v>
      </c>
      <c r="E2910" s="9"/>
    </row>
    <row r="2911">
      <c r="A2911" s="11">
        <f>IFERROR(__xludf.DUMMYFUNCTION("""COMPUTED_VALUE"""),2021.0)</f>
        <v>2021</v>
      </c>
      <c r="B2911" s="11">
        <f>IFERROR(__xludf.DUMMYFUNCTION("""COMPUTED_VALUE"""),10.0)</f>
        <v>10</v>
      </c>
      <c r="C2911" s="11">
        <f>IFERROR(__xludf.DUMMYFUNCTION("""COMPUTED_VALUE"""),116284.0)</f>
        <v>116284</v>
      </c>
      <c r="D2911" s="11">
        <f>IFERROR(__xludf.DUMMYFUNCTION("""COMPUTED_VALUE"""),1951.0)</f>
        <v>1951</v>
      </c>
      <c r="E2911" s="9"/>
    </row>
    <row r="2912">
      <c r="A2912" s="11">
        <f>IFERROR(__xludf.DUMMYFUNCTION("""COMPUTED_VALUE"""),2021.0)</f>
        <v>2021</v>
      </c>
      <c r="B2912" s="11">
        <f>IFERROR(__xludf.DUMMYFUNCTION("""COMPUTED_VALUE"""),9.0)</f>
        <v>9</v>
      </c>
      <c r="C2912" s="11">
        <f>IFERROR(__xludf.DUMMYFUNCTION("""COMPUTED_VALUE"""),86543.0)</f>
        <v>86543</v>
      </c>
      <c r="D2912" s="11">
        <f>IFERROR(__xludf.DUMMYFUNCTION("""COMPUTED_VALUE"""),440.0)</f>
        <v>440</v>
      </c>
      <c r="E2912" s="9"/>
    </row>
    <row r="2913">
      <c r="A2913" s="11">
        <f>IFERROR(__xludf.DUMMYFUNCTION("""COMPUTED_VALUE"""),2021.0)</f>
        <v>2021</v>
      </c>
      <c r="B2913" s="11">
        <f>IFERROR(__xludf.DUMMYFUNCTION("""COMPUTED_VALUE"""),11.0)</f>
        <v>11</v>
      </c>
      <c r="C2913" s="11">
        <f>IFERROR(__xludf.DUMMYFUNCTION("""COMPUTED_VALUE"""),21165.0)</f>
        <v>21165</v>
      </c>
      <c r="D2913" s="11">
        <f>IFERROR(__xludf.DUMMYFUNCTION("""COMPUTED_VALUE"""),602.0)</f>
        <v>602</v>
      </c>
      <c r="E2913" s="9"/>
    </row>
    <row r="2914">
      <c r="A2914" s="11">
        <f>IFERROR(__xludf.DUMMYFUNCTION("""COMPUTED_VALUE"""),2021.0)</f>
        <v>2021</v>
      </c>
      <c r="B2914" s="11">
        <f>IFERROR(__xludf.DUMMYFUNCTION("""COMPUTED_VALUE"""),9.0)</f>
        <v>9</v>
      </c>
      <c r="C2914" s="11">
        <f>IFERROR(__xludf.DUMMYFUNCTION("""COMPUTED_VALUE"""),10309.0)</f>
        <v>10309</v>
      </c>
      <c r="D2914" s="11">
        <f>IFERROR(__xludf.DUMMYFUNCTION("""COMPUTED_VALUE"""),1774.0)</f>
        <v>1774</v>
      </c>
      <c r="E2914" s="9"/>
    </row>
    <row r="2915">
      <c r="A2915" s="11">
        <f>IFERROR(__xludf.DUMMYFUNCTION("""COMPUTED_VALUE"""),2021.0)</f>
        <v>2021</v>
      </c>
      <c r="B2915" s="11">
        <f>IFERROR(__xludf.DUMMYFUNCTION("""COMPUTED_VALUE"""),9.0)</f>
        <v>9</v>
      </c>
      <c r="C2915" s="11">
        <f>IFERROR(__xludf.DUMMYFUNCTION("""COMPUTED_VALUE"""),10367.0)</f>
        <v>10367</v>
      </c>
      <c r="D2915" s="11">
        <f>IFERROR(__xludf.DUMMYFUNCTION("""COMPUTED_VALUE"""),1371.0)</f>
        <v>1371</v>
      </c>
      <c r="E2915" s="9"/>
    </row>
    <row r="2916">
      <c r="A2916" s="11">
        <f>IFERROR(__xludf.DUMMYFUNCTION("""COMPUTED_VALUE"""),2021.0)</f>
        <v>2021</v>
      </c>
      <c r="B2916" s="11">
        <f>IFERROR(__xludf.DUMMYFUNCTION("""COMPUTED_VALUE"""),8.0)</f>
        <v>8</v>
      </c>
      <c r="C2916" s="11">
        <f>IFERROR(__xludf.DUMMYFUNCTION("""COMPUTED_VALUE"""),86545.0)</f>
        <v>86545</v>
      </c>
      <c r="D2916" s="11">
        <f>IFERROR(__xludf.DUMMYFUNCTION("""COMPUTED_VALUE"""),681.0)</f>
        <v>681</v>
      </c>
      <c r="E2916" s="9"/>
    </row>
    <row r="2917">
      <c r="A2917" s="11">
        <f>IFERROR(__xludf.DUMMYFUNCTION("""COMPUTED_VALUE"""),2021.0)</f>
        <v>2021</v>
      </c>
      <c r="B2917" s="11">
        <f>IFERROR(__xludf.DUMMYFUNCTION("""COMPUTED_VALUE"""),9.0)</f>
        <v>9</v>
      </c>
      <c r="C2917" s="11">
        <f>IFERROR(__xludf.DUMMYFUNCTION("""COMPUTED_VALUE"""),86544.0)</f>
        <v>86544</v>
      </c>
      <c r="D2917" s="11">
        <f>IFERROR(__xludf.DUMMYFUNCTION("""COMPUTED_VALUE"""),1582.0)</f>
        <v>1582</v>
      </c>
      <c r="E2917" s="9"/>
    </row>
    <row r="2918">
      <c r="A2918" s="11">
        <f>IFERROR(__xludf.DUMMYFUNCTION("""COMPUTED_VALUE"""),2021.0)</f>
        <v>2021</v>
      </c>
      <c r="B2918" s="11">
        <f>IFERROR(__xludf.DUMMYFUNCTION("""COMPUTED_VALUE"""),10.0)</f>
        <v>10</v>
      </c>
      <c r="C2918" s="11">
        <f>IFERROR(__xludf.DUMMYFUNCTION("""COMPUTED_VALUE"""),10384.0)</f>
        <v>10384</v>
      </c>
      <c r="D2918" s="11">
        <f>IFERROR(__xludf.DUMMYFUNCTION("""COMPUTED_VALUE"""),1895.0)</f>
        <v>1895</v>
      </c>
      <c r="E2918" s="9"/>
    </row>
    <row r="2919">
      <c r="A2919" s="11">
        <f>IFERROR(__xludf.DUMMYFUNCTION("""COMPUTED_VALUE"""),2021.0)</f>
        <v>2021</v>
      </c>
      <c r="B2919" s="11">
        <f>IFERROR(__xludf.DUMMYFUNCTION("""COMPUTED_VALUE"""),10.0)</f>
        <v>10</v>
      </c>
      <c r="C2919" s="11">
        <f>IFERROR(__xludf.DUMMYFUNCTION("""COMPUTED_VALUE"""),79314.0)</f>
        <v>79314</v>
      </c>
      <c r="D2919" s="11">
        <f>IFERROR(__xludf.DUMMYFUNCTION("""COMPUTED_VALUE"""),1282.0)</f>
        <v>1282</v>
      </c>
      <c r="E2919" s="9"/>
    </row>
    <row r="2920">
      <c r="A2920" s="11">
        <f>IFERROR(__xludf.DUMMYFUNCTION("""COMPUTED_VALUE"""),2021.0)</f>
        <v>2021</v>
      </c>
      <c r="B2920" s="11">
        <f>IFERROR(__xludf.DUMMYFUNCTION("""COMPUTED_VALUE"""),9.0)</f>
        <v>9</v>
      </c>
      <c r="C2920" s="11">
        <f>IFERROR(__xludf.DUMMYFUNCTION("""COMPUTED_VALUE"""),79311.0)</f>
        <v>79311</v>
      </c>
      <c r="D2920" s="11">
        <f>IFERROR(__xludf.DUMMYFUNCTION("""COMPUTED_VALUE"""),1098.0)</f>
        <v>1098</v>
      </c>
      <c r="E2920" s="9"/>
    </row>
    <row r="2921">
      <c r="A2921" s="11">
        <f>IFERROR(__xludf.DUMMYFUNCTION("""COMPUTED_VALUE"""),2021.0)</f>
        <v>2021</v>
      </c>
      <c r="B2921" s="11">
        <f>IFERROR(__xludf.DUMMYFUNCTION("""COMPUTED_VALUE"""),9.0)</f>
        <v>9</v>
      </c>
      <c r="C2921" s="11">
        <f>IFERROR(__xludf.DUMMYFUNCTION("""COMPUTED_VALUE"""),118249.0)</f>
        <v>118249</v>
      </c>
      <c r="D2921" s="11">
        <f>IFERROR(__xludf.DUMMYFUNCTION("""COMPUTED_VALUE"""),229.0)</f>
        <v>229</v>
      </c>
      <c r="E2921" s="9"/>
    </row>
    <row r="2922">
      <c r="A2922" s="11">
        <f>IFERROR(__xludf.DUMMYFUNCTION("""COMPUTED_VALUE"""),2021.0)</f>
        <v>2021</v>
      </c>
      <c r="B2922" s="11">
        <f>IFERROR(__xludf.DUMMYFUNCTION("""COMPUTED_VALUE"""),8.0)</f>
        <v>8</v>
      </c>
      <c r="C2922" s="11">
        <f>IFERROR(__xludf.DUMMYFUNCTION("""COMPUTED_VALUE"""),128420.0)</f>
        <v>128420</v>
      </c>
      <c r="D2922" s="11">
        <f>IFERROR(__xludf.DUMMYFUNCTION("""COMPUTED_VALUE"""),1554.0)</f>
        <v>1554</v>
      </c>
      <c r="E2922" s="9"/>
    </row>
    <row r="2923">
      <c r="A2923" s="11">
        <f>IFERROR(__xludf.DUMMYFUNCTION("""COMPUTED_VALUE"""),2021.0)</f>
        <v>2021</v>
      </c>
      <c r="B2923" s="11">
        <f>IFERROR(__xludf.DUMMYFUNCTION("""COMPUTED_VALUE"""),10.0)</f>
        <v>10</v>
      </c>
      <c r="C2923" s="11">
        <f>IFERROR(__xludf.DUMMYFUNCTION("""COMPUTED_VALUE"""),120692.0)</f>
        <v>120692</v>
      </c>
      <c r="D2923" s="11">
        <f>IFERROR(__xludf.DUMMYFUNCTION("""COMPUTED_VALUE"""),1108.0)</f>
        <v>1108</v>
      </c>
      <c r="E2923" s="9"/>
    </row>
    <row r="2924">
      <c r="A2924" s="11">
        <f>IFERROR(__xludf.DUMMYFUNCTION("""COMPUTED_VALUE"""),2021.0)</f>
        <v>2021</v>
      </c>
      <c r="B2924" s="11">
        <f>IFERROR(__xludf.DUMMYFUNCTION("""COMPUTED_VALUE"""),10.0)</f>
        <v>10</v>
      </c>
      <c r="C2924" s="11">
        <f>IFERROR(__xludf.DUMMYFUNCTION("""COMPUTED_VALUE"""),122464.0)</f>
        <v>122464</v>
      </c>
      <c r="D2924" s="11">
        <f>IFERROR(__xludf.DUMMYFUNCTION("""COMPUTED_VALUE"""),676.0)</f>
        <v>676</v>
      </c>
      <c r="E2924" s="9"/>
    </row>
    <row r="2925">
      <c r="A2925" s="11">
        <f>IFERROR(__xludf.DUMMYFUNCTION("""COMPUTED_VALUE"""),2021.0)</f>
        <v>2021</v>
      </c>
      <c r="B2925" s="11">
        <f>IFERROR(__xludf.DUMMYFUNCTION("""COMPUTED_VALUE"""),11.0)</f>
        <v>11</v>
      </c>
      <c r="C2925" s="11">
        <f>IFERROR(__xludf.DUMMYFUNCTION("""COMPUTED_VALUE"""),79762.0)</f>
        <v>79762</v>
      </c>
      <c r="D2925" s="11">
        <f>IFERROR(__xludf.DUMMYFUNCTION("""COMPUTED_VALUE"""),926.0)</f>
        <v>926</v>
      </c>
      <c r="E2925" s="9"/>
    </row>
    <row r="2926">
      <c r="A2926" s="11">
        <f>IFERROR(__xludf.DUMMYFUNCTION("""COMPUTED_VALUE"""),2021.0)</f>
        <v>2021</v>
      </c>
      <c r="B2926" s="11">
        <f>IFERROR(__xludf.DUMMYFUNCTION("""COMPUTED_VALUE"""),10.0)</f>
        <v>10</v>
      </c>
      <c r="C2926" s="11">
        <f>IFERROR(__xludf.DUMMYFUNCTION("""COMPUTED_VALUE"""),79315.0)</f>
        <v>79315</v>
      </c>
      <c r="D2926" s="11">
        <f>IFERROR(__xludf.DUMMYFUNCTION("""COMPUTED_VALUE"""),1822.0)</f>
        <v>1822</v>
      </c>
      <c r="E2926" s="9"/>
    </row>
    <row r="2927">
      <c r="A2927" s="11">
        <f>IFERROR(__xludf.DUMMYFUNCTION("""COMPUTED_VALUE"""),2021.0)</f>
        <v>2021</v>
      </c>
      <c r="B2927" s="11">
        <f>IFERROR(__xludf.DUMMYFUNCTION("""COMPUTED_VALUE"""),11.0)</f>
        <v>11</v>
      </c>
      <c r="C2927" s="11">
        <f>IFERROR(__xludf.DUMMYFUNCTION("""COMPUTED_VALUE"""),98941.0)</f>
        <v>98941</v>
      </c>
      <c r="D2927" s="11">
        <f>IFERROR(__xludf.DUMMYFUNCTION("""COMPUTED_VALUE"""),1916.0)</f>
        <v>1916</v>
      </c>
      <c r="E2927" s="9"/>
    </row>
    <row r="2928">
      <c r="A2928" s="11">
        <f>IFERROR(__xludf.DUMMYFUNCTION("""COMPUTED_VALUE"""),2021.0)</f>
        <v>2021</v>
      </c>
      <c r="B2928" s="11">
        <f>IFERROR(__xludf.DUMMYFUNCTION("""COMPUTED_VALUE"""),10.0)</f>
        <v>10</v>
      </c>
      <c r="C2928" s="11">
        <f>IFERROR(__xludf.DUMMYFUNCTION("""COMPUTED_VALUE"""),118245.0)</f>
        <v>118245</v>
      </c>
      <c r="D2928" s="11">
        <f>IFERROR(__xludf.DUMMYFUNCTION("""COMPUTED_VALUE"""),900.0)</f>
        <v>900</v>
      </c>
      <c r="E2928" s="9"/>
    </row>
    <row r="2929">
      <c r="A2929" s="11">
        <f>IFERROR(__xludf.DUMMYFUNCTION("""COMPUTED_VALUE"""),2021.0)</f>
        <v>2021</v>
      </c>
      <c r="B2929" s="11">
        <f>IFERROR(__xludf.DUMMYFUNCTION("""COMPUTED_VALUE"""),8.0)</f>
        <v>8</v>
      </c>
      <c r="C2929" s="11">
        <f>IFERROR(__xludf.DUMMYFUNCTION("""COMPUTED_VALUE"""),122333.0)</f>
        <v>122333</v>
      </c>
      <c r="D2929" s="11">
        <f>IFERROR(__xludf.DUMMYFUNCTION("""COMPUTED_VALUE"""),1218.0)</f>
        <v>1218</v>
      </c>
      <c r="E2929" s="9"/>
    </row>
    <row r="2930">
      <c r="A2930" s="11">
        <f>IFERROR(__xludf.DUMMYFUNCTION("""COMPUTED_VALUE"""),2021.0)</f>
        <v>2021</v>
      </c>
      <c r="B2930" s="11">
        <f>IFERROR(__xludf.DUMMYFUNCTION("""COMPUTED_VALUE"""),11.0)</f>
        <v>11</v>
      </c>
      <c r="C2930" s="11">
        <f>IFERROR(__xludf.DUMMYFUNCTION("""COMPUTED_VALUE"""),121901.0)</f>
        <v>121901</v>
      </c>
      <c r="D2930" s="11">
        <f>IFERROR(__xludf.DUMMYFUNCTION("""COMPUTED_VALUE"""),730.0)</f>
        <v>730</v>
      </c>
      <c r="E2930" s="9"/>
    </row>
    <row r="2931">
      <c r="A2931" s="11">
        <f>IFERROR(__xludf.DUMMYFUNCTION("""COMPUTED_VALUE"""),2021.0)</f>
        <v>2021</v>
      </c>
      <c r="B2931" s="11">
        <f>IFERROR(__xludf.DUMMYFUNCTION("""COMPUTED_VALUE"""),8.0)</f>
        <v>8</v>
      </c>
      <c r="C2931" s="11">
        <f>IFERROR(__xludf.DUMMYFUNCTION("""COMPUTED_VALUE"""),79316.0)</f>
        <v>79316</v>
      </c>
      <c r="D2931" s="11">
        <f>IFERROR(__xludf.DUMMYFUNCTION("""COMPUTED_VALUE"""),222.0)</f>
        <v>222</v>
      </c>
      <c r="E2931" s="9"/>
    </row>
    <row r="2932">
      <c r="A2932" s="11">
        <f>IFERROR(__xludf.DUMMYFUNCTION("""COMPUTED_VALUE"""),2021.0)</f>
        <v>2021</v>
      </c>
      <c r="B2932" s="11">
        <f>IFERROR(__xludf.DUMMYFUNCTION("""COMPUTED_VALUE"""),11.0)</f>
        <v>11</v>
      </c>
      <c r="C2932" s="11">
        <f>IFERROR(__xludf.DUMMYFUNCTION("""COMPUTED_VALUE"""),109899.0)</f>
        <v>109899</v>
      </c>
      <c r="D2932" s="11">
        <f>IFERROR(__xludf.DUMMYFUNCTION("""COMPUTED_VALUE"""),757.0)</f>
        <v>757</v>
      </c>
      <c r="E2932" s="9"/>
    </row>
    <row r="2933">
      <c r="A2933" s="11">
        <f>IFERROR(__xludf.DUMMYFUNCTION("""COMPUTED_VALUE"""),2021.0)</f>
        <v>2021</v>
      </c>
      <c r="B2933" s="11">
        <f>IFERROR(__xludf.DUMMYFUNCTION("""COMPUTED_VALUE"""),11.0)</f>
        <v>11</v>
      </c>
      <c r="C2933" s="11">
        <f>IFERROR(__xludf.DUMMYFUNCTION("""COMPUTED_VALUE"""),70570.0)</f>
        <v>70570</v>
      </c>
      <c r="D2933" s="11">
        <f>IFERROR(__xludf.DUMMYFUNCTION("""COMPUTED_VALUE"""),553.0)</f>
        <v>553</v>
      </c>
      <c r="E2933" s="9"/>
    </row>
    <row r="2934">
      <c r="A2934" s="11">
        <f>IFERROR(__xludf.DUMMYFUNCTION("""COMPUTED_VALUE"""),2021.0)</f>
        <v>2021</v>
      </c>
      <c r="B2934" s="11">
        <f>IFERROR(__xludf.DUMMYFUNCTION("""COMPUTED_VALUE"""),9.0)</f>
        <v>9</v>
      </c>
      <c r="C2934" s="11">
        <f>IFERROR(__xludf.DUMMYFUNCTION("""COMPUTED_VALUE"""),79364.0)</f>
        <v>79364</v>
      </c>
      <c r="D2934" s="11">
        <f>IFERROR(__xludf.DUMMYFUNCTION("""COMPUTED_VALUE"""),1656.0)</f>
        <v>1656</v>
      </c>
      <c r="E2934" s="9"/>
    </row>
    <row r="2935">
      <c r="A2935" s="11">
        <f>IFERROR(__xludf.DUMMYFUNCTION("""COMPUTED_VALUE"""),2021.0)</f>
        <v>2021</v>
      </c>
      <c r="B2935" s="11">
        <f>IFERROR(__xludf.DUMMYFUNCTION("""COMPUTED_VALUE"""),8.0)</f>
        <v>8</v>
      </c>
      <c r="C2935" s="11">
        <f>IFERROR(__xludf.DUMMYFUNCTION("""COMPUTED_VALUE"""),113103.0)</f>
        <v>113103</v>
      </c>
      <c r="D2935" s="11">
        <f>IFERROR(__xludf.DUMMYFUNCTION("""COMPUTED_VALUE"""),147.0)</f>
        <v>147</v>
      </c>
      <c r="E2935" s="9"/>
    </row>
    <row r="2936">
      <c r="A2936" s="11">
        <f>IFERROR(__xludf.DUMMYFUNCTION("""COMPUTED_VALUE"""),2021.0)</f>
        <v>2021</v>
      </c>
      <c r="B2936" s="11">
        <f>IFERROR(__xludf.DUMMYFUNCTION("""COMPUTED_VALUE"""),10.0)</f>
        <v>10</v>
      </c>
      <c r="C2936" s="11">
        <f>IFERROR(__xludf.DUMMYFUNCTION("""COMPUTED_VALUE"""),200581.0)</f>
        <v>200581</v>
      </c>
      <c r="D2936" s="11">
        <f>IFERROR(__xludf.DUMMYFUNCTION("""COMPUTED_VALUE"""),1824.0)</f>
        <v>1824</v>
      </c>
      <c r="E2936" s="9"/>
    </row>
    <row r="2937">
      <c r="A2937" s="11">
        <f>IFERROR(__xludf.DUMMYFUNCTION("""COMPUTED_VALUE"""),2021.0)</f>
        <v>2021</v>
      </c>
      <c r="B2937" s="11">
        <f>IFERROR(__xludf.DUMMYFUNCTION("""COMPUTED_VALUE"""),9.0)</f>
        <v>9</v>
      </c>
      <c r="C2937" s="11">
        <f>IFERROR(__xludf.DUMMYFUNCTION("""COMPUTED_VALUE"""),91490.0)</f>
        <v>91490</v>
      </c>
      <c r="D2937" s="11">
        <f>IFERROR(__xludf.DUMMYFUNCTION("""COMPUTED_VALUE"""),1576.0)</f>
        <v>1576</v>
      </c>
      <c r="E2937" s="9"/>
    </row>
    <row r="2938">
      <c r="A2938" s="11">
        <f>IFERROR(__xludf.DUMMYFUNCTION("""COMPUTED_VALUE"""),2021.0)</f>
        <v>2021</v>
      </c>
      <c r="B2938" s="11">
        <f>IFERROR(__xludf.DUMMYFUNCTION("""COMPUTED_VALUE"""),11.0)</f>
        <v>11</v>
      </c>
      <c r="C2938" s="11">
        <f>IFERROR(__xludf.DUMMYFUNCTION("""COMPUTED_VALUE"""),79320.0)</f>
        <v>79320</v>
      </c>
      <c r="D2938" s="11">
        <f>IFERROR(__xludf.DUMMYFUNCTION("""COMPUTED_VALUE"""),1128.0)</f>
        <v>1128</v>
      </c>
      <c r="E2938" s="9"/>
    </row>
    <row r="2939">
      <c r="A2939" s="11">
        <f>IFERROR(__xludf.DUMMYFUNCTION("""COMPUTED_VALUE"""),2021.0)</f>
        <v>2021</v>
      </c>
      <c r="B2939" s="11">
        <f>IFERROR(__xludf.DUMMYFUNCTION("""COMPUTED_VALUE"""),8.0)</f>
        <v>8</v>
      </c>
      <c r="C2939" s="11">
        <f>IFERROR(__xludf.DUMMYFUNCTION("""COMPUTED_VALUE"""),122331.0)</f>
        <v>122331</v>
      </c>
      <c r="D2939" s="11">
        <f>IFERROR(__xludf.DUMMYFUNCTION("""COMPUTED_VALUE"""),1705.0)</f>
        <v>1705</v>
      </c>
      <c r="E2939" s="9"/>
    </row>
    <row r="2940">
      <c r="A2940" s="11">
        <f>IFERROR(__xludf.DUMMYFUNCTION("""COMPUTED_VALUE"""),2021.0)</f>
        <v>2021</v>
      </c>
      <c r="B2940" s="11">
        <f>IFERROR(__xludf.DUMMYFUNCTION("""COMPUTED_VALUE"""),8.0)</f>
        <v>8</v>
      </c>
      <c r="C2940" s="11">
        <f>IFERROR(__xludf.DUMMYFUNCTION("""COMPUTED_VALUE"""),79921.0)</f>
        <v>79921</v>
      </c>
      <c r="D2940" s="11">
        <f>IFERROR(__xludf.DUMMYFUNCTION("""COMPUTED_VALUE"""),288.0)</f>
        <v>288</v>
      </c>
      <c r="E2940" s="9"/>
    </row>
    <row r="2941">
      <c r="A2941" s="11">
        <f>IFERROR(__xludf.DUMMYFUNCTION("""COMPUTED_VALUE"""),2021.0)</f>
        <v>2021</v>
      </c>
      <c r="B2941" s="11">
        <f>IFERROR(__xludf.DUMMYFUNCTION("""COMPUTED_VALUE"""),8.0)</f>
        <v>8</v>
      </c>
      <c r="C2941" s="11">
        <f>IFERROR(__xludf.DUMMYFUNCTION("""COMPUTED_VALUE"""),128421.0)</f>
        <v>128421</v>
      </c>
      <c r="D2941" s="11">
        <f>IFERROR(__xludf.DUMMYFUNCTION("""COMPUTED_VALUE"""),288.0)</f>
        <v>288</v>
      </c>
      <c r="E2941" s="9"/>
    </row>
    <row r="2942">
      <c r="A2942" s="11">
        <f>IFERROR(__xludf.DUMMYFUNCTION("""COMPUTED_VALUE"""),2021.0)</f>
        <v>2021</v>
      </c>
      <c r="B2942" s="11">
        <f>IFERROR(__xludf.DUMMYFUNCTION("""COMPUTED_VALUE"""),10.0)</f>
        <v>10</v>
      </c>
      <c r="C2942" s="11">
        <f>IFERROR(__xludf.DUMMYFUNCTION("""COMPUTED_VALUE"""),80421.0)</f>
        <v>80421</v>
      </c>
      <c r="D2942" s="11">
        <f>IFERROR(__xludf.DUMMYFUNCTION("""COMPUTED_VALUE"""),643.0)</f>
        <v>643</v>
      </c>
      <c r="E2942" s="9"/>
    </row>
    <row r="2943">
      <c r="A2943" s="11">
        <f>IFERROR(__xludf.DUMMYFUNCTION("""COMPUTED_VALUE"""),2021.0)</f>
        <v>2021</v>
      </c>
      <c r="B2943" s="11">
        <f>IFERROR(__xludf.DUMMYFUNCTION("""COMPUTED_VALUE"""),8.0)</f>
        <v>8</v>
      </c>
      <c r="C2943" s="11">
        <f>IFERROR(__xludf.DUMMYFUNCTION("""COMPUTED_VALUE"""),121867.0)</f>
        <v>121867</v>
      </c>
      <c r="D2943" s="11">
        <f>IFERROR(__xludf.DUMMYFUNCTION("""COMPUTED_VALUE"""),970.0)</f>
        <v>970</v>
      </c>
      <c r="E2943" s="9"/>
    </row>
    <row r="2944">
      <c r="A2944" s="11">
        <f>IFERROR(__xludf.DUMMYFUNCTION("""COMPUTED_VALUE"""),2021.0)</f>
        <v>2021</v>
      </c>
      <c r="B2944" s="11">
        <f>IFERROR(__xludf.DUMMYFUNCTION("""COMPUTED_VALUE"""),10.0)</f>
        <v>10</v>
      </c>
      <c r="C2944" s="11">
        <f>IFERROR(__xludf.DUMMYFUNCTION("""COMPUTED_VALUE"""),122501.0)</f>
        <v>122501</v>
      </c>
      <c r="D2944" s="11">
        <f>IFERROR(__xludf.DUMMYFUNCTION("""COMPUTED_VALUE"""),1823.0)</f>
        <v>1823</v>
      </c>
      <c r="E2944" s="9"/>
    </row>
    <row r="2945">
      <c r="A2945" s="11">
        <f>IFERROR(__xludf.DUMMYFUNCTION("""COMPUTED_VALUE"""),2021.0)</f>
        <v>2021</v>
      </c>
      <c r="B2945" s="11">
        <f>IFERROR(__xludf.DUMMYFUNCTION("""COMPUTED_VALUE"""),8.0)</f>
        <v>8</v>
      </c>
      <c r="C2945" s="11">
        <f>IFERROR(__xludf.DUMMYFUNCTION("""COMPUTED_VALUE"""),44531.0)</f>
        <v>44531</v>
      </c>
      <c r="D2945" s="11">
        <f>IFERROR(__xludf.DUMMYFUNCTION("""COMPUTED_VALUE"""),1179.0)</f>
        <v>1179</v>
      </c>
      <c r="E2945" s="9"/>
    </row>
    <row r="2946">
      <c r="A2946" s="11">
        <f>IFERROR(__xludf.DUMMYFUNCTION("""COMPUTED_VALUE"""),2021.0)</f>
        <v>2021</v>
      </c>
      <c r="B2946" s="11">
        <f>IFERROR(__xludf.DUMMYFUNCTION("""COMPUTED_VALUE"""),10.0)</f>
        <v>10</v>
      </c>
      <c r="C2946" s="11">
        <f>IFERROR(__xludf.DUMMYFUNCTION("""COMPUTED_VALUE"""),118153.0)</f>
        <v>118153</v>
      </c>
      <c r="D2946" s="11">
        <f>IFERROR(__xludf.DUMMYFUNCTION("""COMPUTED_VALUE"""),442.0)</f>
        <v>442</v>
      </c>
      <c r="E2946" s="9"/>
    </row>
    <row r="2947">
      <c r="A2947" s="11">
        <f>IFERROR(__xludf.DUMMYFUNCTION("""COMPUTED_VALUE"""),2021.0)</f>
        <v>2021</v>
      </c>
      <c r="B2947" s="11">
        <f>IFERROR(__xludf.DUMMYFUNCTION("""COMPUTED_VALUE"""),8.0)</f>
        <v>8</v>
      </c>
      <c r="C2947" s="11">
        <f>IFERROR(__xludf.DUMMYFUNCTION("""COMPUTED_VALUE"""),118244.0)</f>
        <v>118244</v>
      </c>
      <c r="D2947" s="11">
        <f>IFERROR(__xludf.DUMMYFUNCTION("""COMPUTED_VALUE"""),836.0)</f>
        <v>836</v>
      </c>
      <c r="E2947" s="9"/>
    </row>
    <row r="2948">
      <c r="A2948" s="11">
        <f>IFERROR(__xludf.DUMMYFUNCTION("""COMPUTED_VALUE"""),2021.0)</f>
        <v>2021</v>
      </c>
      <c r="B2948" s="11">
        <f>IFERROR(__xludf.DUMMYFUNCTION("""COMPUTED_VALUE"""),9.0)</f>
        <v>9</v>
      </c>
      <c r="C2948" s="11">
        <f>IFERROR(__xludf.DUMMYFUNCTION("""COMPUTED_VALUE"""),46974.0)</f>
        <v>46974</v>
      </c>
      <c r="D2948" s="11">
        <f>IFERROR(__xludf.DUMMYFUNCTION("""COMPUTED_VALUE"""),658.0)</f>
        <v>658</v>
      </c>
      <c r="E2948" s="9"/>
    </row>
    <row r="2949">
      <c r="A2949" s="11">
        <f>IFERROR(__xludf.DUMMYFUNCTION("""COMPUTED_VALUE"""),2021.0)</f>
        <v>2021</v>
      </c>
      <c r="B2949" s="11">
        <f>IFERROR(__xludf.DUMMYFUNCTION("""COMPUTED_VALUE"""),8.0)</f>
        <v>8</v>
      </c>
      <c r="C2949" s="11">
        <f>IFERROR(__xludf.DUMMYFUNCTION("""COMPUTED_VALUE"""),69232.0)</f>
        <v>69232</v>
      </c>
      <c r="D2949" s="11">
        <f>IFERROR(__xludf.DUMMYFUNCTION("""COMPUTED_VALUE"""),1749.0)</f>
        <v>1749</v>
      </c>
      <c r="E2949" s="9"/>
    </row>
    <row r="2950">
      <c r="A2950" s="11">
        <f>IFERROR(__xludf.DUMMYFUNCTION("""COMPUTED_VALUE"""),2021.0)</f>
        <v>2021</v>
      </c>
      <c r="B2950" s="11">
        <f>IFERROR(__xludf.DUMMYFUNCTION("""COMPUTED_VALUE"""),8.0)</f>
        <v>8</v>
      </c>
      <c r="C2950" s="11">
        <f>IFERROR(__xludf.DUMMYFUNCTION("""COMPUTED_VALUE"""),117461.0)</f>
        <v>117461</v>
      </c>
      <c r="D2950" s="11">
        <f>IFERROR(__xludf.DUMMYFUNCTION("""COMPUTED_VALUE"""),1806.0)</f>
        <v>1806</v>
      </c>
      <c r="E2950" s="9"/>
    </row>
    <row r="2951">
      <c r="A2951" s="11">
        <f>IFERROR(__xludf.DUMMYFUNCTION("""COMPUTED_VALUE"""),2021.0)</f>
        <v>2021</v>
      </c>
      <c r="B2951" s="11">
        <f>IFERROR(__xludf.DUMMYFUNCTION("""COMPUTED_VALUE"""),8.0)</f>
        <v>8</v>
      </c>
      <c r="C2951" s="11">
        <f>IFERROR(__xludf.DUMMYFUNCTION("""COMPUTED_VALUE"""),122324.0)</f>
        <v>122324</v>
      </c>
      <c r="D2951" s="11">
        <f>IFERROR(__xludf.DUMMYFUNCTION("""COMPUTED_VALUE"""),838.0)</f>
        <v>838</v>
      </c>
      <c r="E2951" s="9"/>
    </row>
    <row r="2952">
      <c r="A2952" s="11">
        <f>IFERROR(__xludf.DUMMYFUNCTION("""COMPUTED_VALUE"""),2021.0)</f>
        <v>2021</v>
      </c>
      <c r="B2952" s="11">
        <f>IFERROR(__xludf.DUMMYFUNCTION("""COMPUTED_VALUE"""),10.0)</f>
        <v>10</v>
      </c>
      <c r="C2952" s="11">
        <f>IFERROR(__xludf.DUMMYFUNCTION("""COMPUTED_VALUE"""),119023.0)</f>
        <v>119023</v>
      </c>
      <c r="D2952" s="11">
        <f>IFERROR(__xludf.DUMMYFUNCTION("""COMPUTED_VALUE"""),368.0)</f>
        <v>368</v>
      </c>
      <c r="E2952" s="9"/>
    </row>
    <row r="2953">
      <c r="A2953" s="11">
        <f>IFERROR(__xludf.DUMMYFUNCTION("""COMPUTED_VALUE"""),2021.0)</f>
        <v>2021</v>
      </c>
      <c r="B2953" s="11">
        <f>IFERROR(__xludf.DUMMYFUNCTION("""COMPUTED_VALUE"""),11.0)</f>
        <v>11</v>
      </c>
      <c r="C2953" s="11">
        <f>IFERROR(__xludf.DUMMYFUNCTION("""COMPUTED_VALUE"""),70600.0)</f>
        <v>70600</v>
      </c>
      <c r="D2953" s="11">
        <f>IFERROR(__xludf.DUMMYFUNCTION("""COMPUTED_VALUE"""),889.0)</f>
        <v>889</v>
      </c>
      <c r="E2953" s="9"/>
    </row>
    <row r="2954">
      <c r="A2954" s="11">
        <f>IFERROR(__xludf.DUMMYFUNCTION("""COMPUTED_VALUE"""),2021.0)</f>
        <v>2021</v>
      </c>
      <c r="B2954" s="11">
        <f>IFERROR(__xludf.DUMMYFUNCTION("""COMPUTED_VALUE"""),8.0)</f>
        <v>8</v>
      </c>
      <c r="C2954" s="11">
        <f>IFERROR(__xludf.DUMMYFUNCTION("""COMPUTED_VALUE"""),10689.0)</f>
        <v>10689</v>
      </c>
      <c r="D2954" s="11">
        <f>IFERROR(__xludf.DUMMYFUNCTION("""COMPUTED_VALUE"""),1548.0)</f>
        <v>1548</v>
      </c>
      <c r="E2954" s="9"/>
    </row>
    <row r="2955">
      <c r="A2955" s="11">
        <f>IFERROR(__xludf.DUMMYFUNCTION("""COMPUTED_VALUE"""),2021.0)</f>
        <v>2021</v>
      </c>
      <c r="B2955" s="11">
        <f>IFERROR(__xludf.DUMMYFUNCTION("""COMPUTED_VALUE"""),11.0)</f>
        <v>11</v>
      </c>
      <c r="C2955" s="11">
        <f>IFERROR(__xludf.DUMMYFUNCTION("""COMPUTED_VALUE"""),158427.0)</f>
        <v>158427</v>
      </c>
      <c r="D2955" s="11">
        <f>IFERROR(__xludf.DUMMYFUNCTION("""COMPUTED_VALUE"""),1079.0)</f>
        <v>1079</v>
      </c>
      <c r="E2955" s="9"/>
    </row>
    <row r="2956">
      <c r="A2956" s="11">
        <f>IFERROR(__xludf.DUMMYFUNCTION("""COMPUTED_VALUE"""),2021.0)</f>
        <v>2021</v>
      </c>
      <c r="B2956" s="11">
        <f>IFERROR(__xludf.DUMMYFUNCTION("""COMPUTED_VALUE"""),8.0)</f>
        <v>8</v>
      </c>
      <c r="C2956" s="11">
        <f>IFERROR(__xludf.DUMMYFUNCTION("""COMPUTED_VALUE"""),122462.0)</f>
        <v>122462</v>
      </c>
      <c r="D2956" s="11">
        <f>IFERROR(__xludf.DUMMYFUNCTION("""COMPUTED_VALUE"""),1109.0)</f>
        <v>1109</v>
      </c>
      <c r="E2956" s="9"/>
    </row>
    <row r="2957">
      <c r="A2957" s="11">
        <f>IFERROR(__xludf.DUMMYFUNCTION("""COMPUTED_VALUE"""),2021.0)</f>
        <v>2021</v>
      </c>
      <c r="B2957" s="11">
        <f>IFERROR(__xludf.DUMMYFUNCTION("""COMPUTED_VALUE"""),8.0)</f>
        <v>8</v>
      </c>
      <c r="C2957" s="11">
        <f>IFERROR(__xludf.DUMMYFUNCTION("""COMPUTED_VALUE"""),155951.0)</f>
        <v>155951</v>
      </c>
      <c r="D2957" s="11">
        <f>IFERROR(__xludf.DUMMYFUNCTION("""COMPUTED_VALUE"""),1328.0)</f>
        <v>1328</v>
      </c>
      <c r="E2957" s="9"/>
    </row>
    <row r="2958">
      <c r="A2958" s="11">
        <f>IFERROR(__xludf.DUMMYFUNCTION("""COMPUTED_VALUE"""),2021.0)</f>
        <v>2021</v>
      </c>
      <c r="B2958" s="11">
        <f>IFERROR(__xludf.DUMMYFUNCTION("""COMPUTED_VALUE"""),11.0)</f>
        <v>11</v>
      </c>
      <c r="C2958" s="11">
        <f>IFERROR(__xludf.DUMMYFUNCTION("""COMPUTED_VALUE"""),79338.0)</f>
        <v>79338</v>
      </c>
      <c r="D2958" s="11">
        <f>IFERROR(__xludf.DUMMYFUNCTION("""COMPUTED_VALUE"""),218.0)</f>
        <v>218</v>
      </c>
      <c r="E2958" s="9"/>
    </row>
    <row r="2959">
      <c r="A2959" s="11">
        <f>IFERROR(__xludf.DUMMYFUNCTION("""COMPUTED_VALUE"""),2021.0)</f>
        <v>2021</v>
      </c>
      <c r="B2959" s="11">
        <f>IFERROR(__xludf.DUMMYFUNCTION("""COMPUTED_VALUE"""),11.0)</f>
        <v>11</v>
      </c>
      <c r="C2959" s="11">
        <f>IFERROR(__xludf.DUMMYFUNCTION("""COMPUTED_VALUE"""),79919.0)</f>
        <v>79919</v>
      </c>
      <c r="D2959" s="11">
        <f>IFERROR(__xludf.DUMMYFUNCTION("""COMPUTED_VALUE"""),1106.0)</f>
        <v>1106</v>
      </c>
      <c r="E2959" s="9"/>
    </row>
    <row r="2960">
      <c r="A2960" s="11">
        <f>IFERROR(__xludf.DUMMYFUNCTION("""COMPUTED_VALUE"""),2021.0)</f>
        <v>2021</v>
      </c>
      <c r="B2960" s="11">
        <f>IFERROR(__xludf.DUMMYFUNCTION("""COMPUTED_VALUE"""),8.0)</f>
        <v>8</v>
      </c>
      <c r="C2960" s="11">
        <f>IFERROR(__xludf.DUMMYFUNCTION("""COMPUTED_VALUE"""),117057.0)</f>
        <v>117057</v>
      </c>
      <c r="D2960" s="11">
        <f>IFERROR(__xludf.DUMMYFUNCTION("""COMPUTED_VALUE"""),1080.0)</f>
        <v>1080</v>
      </c>
      <c r="E2960" s="9"/>
    </row>
    <row r="2961">
      <c r="A2961" s="11">
        <f>IFERROR(__xludf.DUMMYFUNCTION("""COMPUTED_VALUE"""),2021.0)</f>
        <v>2021</v>
      </c>
      <c r="B2961" s="11">
        <f>IFERROR(__xludf.DUMMYFUNCTION("""COMPUTED_VALUE"""),8.0)</f>
        <v>8</v>
      </c>
      <c r="C2961" s="11">
        <f>IFERROR(__xludf.DUMMYFUNCTION("""COMPUTED_VALUE"""),122334.0)</f>
        <v>122334</v>
      </c>
      <c r="D2961" s="11">
        <f>IFERROR(__xludf.DUMMYFUNCTION("""COMPUTED_VALUE"""),1771.0)</f>
        <v>1771</v>
      </c>
      <c r="E2961" s="9"/>
    </row>
    <row r="2962">
      <c r="A2962" s="11">
        <f>IFERROR(__xludf.DUMMYFUNCTION("""COMPUTED_VALUE"""),2021.0)</f>
        <v>2021</v>
      </c>
      <c r="B2962" s="11">
        <f>IFERROR(__xludf.DUMMYFUNCTION("""COMPUTED_VALUE"""),10.0)</f>
        <v>10</v>
      </c>
      <c r="C2962" s="11">
        <f>IFERROR(__xludf.DUMMYFUNCTION("""COMPUTED_VALUE"""),122648.0)</f>
        <v>122648</v>
      </c>
      <c r="D2962" s="11">
        <f>IFERROR(__xludf.DUMMYFUNCTION("""COMPUTED_VALUE"""),1317.0)</f>
        <v>1317</v>
      </c>
      <c r="E2962" s="9"/>
    </row>
    <row r="2963">
      <c r="A2963" s="11">
        <f>IFERROR(__xludf.DUMMYFUNCTION("""COMPUTED_VALUE"""),2021.0)</f>
        <v>2021</v>
      </c>
      <c r="B2963" s="11">
        <f>IFERROR(__xludf.DUMMYFUNCTION("""COMPUTED_VALUE"""),8.0)</f>
        <v>8</v>
      </c>
      <c r="C2963" s="11">
        <f>IFERROR(__xludf.DUMMYFUNCTION("""COMPUTED_VALUE"""),128418.0)</f>
        <v>128418</v>
      </c>
      <c r="D2963" s="11">
        <f>IFERROR(__xludf.DUMMYFUNCTION("""COMPUTED_VALUE"""),1587.0)</f>
        <v>1587</v>
      </c>
      <c r="E2963" s="9"/>
    </row>
    <row r="2964">
      <c r="A2964" s="11">
        <f>IFERROR(__xludf.DUMMYFUNCTION("""COMPUTED_VALUE"""),2021.0)</f>
        <v>2021</v>
      </c>
      <c r="B2964" s="11">
        <f>IFERROR(__xludf.DUMMYFUNCTION("""COMPUTED_VALUE"""),9.0)</f>
        <v>9</v>
      </c>
      <c r="C2964" s="11">
        <f>IFERROR(__xludf.DUMMYFUNCTION("""COMPUTED_VALUE"""),109883.0)</f>
        <v>109883</v>
      </c>
      <c r="D2964" s="11">
        <f>IFERROR(__xludf.DUMMYFUNCTION("""COMPUTED_VALUE"""),1.0)</f>
        <v>1</v>
      </c>
      <c r="E2964" s="9"/>
    </row>
    <row r="2965">
      <c r="A2965" s="11">
        <f>IFERROR(__xludf.DUMMYFUNCTION("""COMPUTED_VALUE"""),2021.0)</f>
        <v>2021</v>
      </c>
      <c r="B2965" s="11">
        <f>IFERROR(__xludf.DUMMYFUNCTION("""COMPUTED_VALUE"""),9.0)</f>
        <v>9</v>
      </c>
      <c r="C2965" s="11">
        <f>IFERROR(__xludf.DUMMYFUNCTION("""COMPUTED_VALUE"""),119027.0)</f>
        <v>119027</v>
      </c>
      <c r="D2965" s="11">
        <f>IFERROR(__xludf.DUMMYFUNCTION("""COMPUTED_VALUE"""),1457.0)</f>
        <v>1457</v>
      </c>
      <c r="E2965" s="9"/>
    </row>
    <row r="2966">
      <c r="A2966" s="11">
        <f>IFERROR(__xludf.DUMMYFUNCTION("""COMPUTED_VALUE"""),2021.0)</f>
        <v>2021</v>
      </c>
      <c r="B2966" s="11">
        <f>IFERROR(__xludf.DUMMYFUNCTION("""COMPUTED_VALUE"""),9.0)</f>
        <v>9</v>
      </c>
      <c r="C2966" s="11">
        <f>IFERROR(__xludf.DUMMYFUNCTION("""COMPUTED_VALUE"""),30522.0)</f>
        <v>30522</v>
      </c>
      <c r="D2966" s="11">
        <f>IFERROR(__xludf.DUMMYFUNCTION("""COMPUTED_VALUE"""),1585.0)</f>
        <v>1585</v>
      </c>
      <c r="E2966" s="9"/>
    </row>
    <row r="2967">
      <c r="A2967" s="11">
        <f>IFERROR(__xludf.DUMMYFUNCTION("""COMPUTED_VALUE"""),2021.0)</f>
        <v>2021</v>
      </c>
      <c r="B2967" s="11">
        <f>IFERROR(__xludf.DUMMYFUNCTION("""COMPUTED_VALUE"""),9.0)</f>
        <v>9</v>
      </c>
      <c r="C2967" s="11">
        <f>IFERROR(__xludf.DUMMYFUNCTION("""COMPUTED_VALUE"""),118155.0)</f>
        <v>118155</v>
      </c>
      <c r="D2967" s="11">
        <f>IFERROR(__xludf.DUMMYFUNCTION("""COMPUTED_VALUE"""),1307.0)</f>
        <v>1307</v>
      </c>
      <c r="E2967" s="9"/>
    </row>
    <row r="2968">
      <c r="A2968" s="11">
        <f>IFERROR(__xludf.DUMMYFUNCTION("""COMPUTED_VALUE"""),2021.0)</f>
        <v>2021</v>
      </c>
      <c r="B2968" s="11">
        <f>IFERROR(__xludf.DUMMYFUNCTION("""COMPUTED_VALUE"""),9.0)</f>
        <v>9</v>
      </c>
      <c r="C2968" s="11">
        <f>IFERROR(__xludf.DUMMYFUNCTION("""COMPUTED_VALUE"""),188068.0)</f>
        <v>188068</v>
      </c>
      <c r="D2968" s="11">
        <f>IFERROR(__xludf.DUMMYFUNCTION("""COMPUTED_VALUE"""),331.0)</f>
        <v>331</v>
      </c>
      <c r="E2968" s="9"/>
    </row>
    <row r="2969">
      <c r="A2969" s="11">
        <f>IFERROR(__xludf.DUMMYFUNCTION("""COMPUTED_VALUE"""),2021.0)</f>
        <v>2021</v>
      </c>
      <c r="B2969" s="11">
        <f>IFERROR(__xludf.DUMMYFUNCTION("""COMPUTED_VALUE"""),9.0)</f>
        <v>9</v>
      </c>
      <c r="C2969" s="11">
        <f>IFERROR(__xludf.DUMMYFUNCTION("""COMPUTED_VALUE"""),92613.0)</f>
        <v>92613</v>
      </c>
      <c r="D2969" s="11">
        <f>IFERROR(__xludf.DUMMYFUNCTION("""COMPUTED_VALUE"""),216.0)</f>
        <v>216</v>
      </c>
      <c r="E2969" s="9"/>
    </row>
    <row r="2970">
      <c r="A2970" s="11">
        <f>IFERROR(__xludf.DUMMYFUNCTION("""COMPUTED_VALUE"""),2021.0)</f>
        <v>2021</v>
      </c>
      <c r="B2970" s="11">
        <f>IFERROR(__xludf.DUMMYFUNCTION("""COMPUTED_VALUE"""),11.0)</f>
        <v>11</v>
      </c>
      <c r="C2970" s="11">
        <f>IFERROR(__xludf.DUMMYFUNCTION("""COMPUTED_VALUE"""),69234.0)</f>
        <v>69234</v>
      </c>
      <c r="D2970" s="11">
        <f>IFERROR(__xludf.DUMMYFUNCTION("""COMPUTED_VALUE"""),1356.0)</f>
        <v>1356</v>
      </c>
      <c r="E2970" s="9"/>
    </row>
    <row r="2971">
      <c r="A2971" s="11">
        <f>IFERROR(__xludf.DUMMYFUNCTION("""COMPUTED_VALUE"""),2021.0)</f>
        <v>2021</v>
      </c>
      <c r="B2971" s="11">
        <f>IFERROR(__xludf.DUMMYFUNCTION("""COMPUTED_VALUE"""),9.0)</f>
        <v>9</v>
      </c>
      <c r="C2971" s="11">
        <f>IFERROR(__xludf.DUMMYFUNCTION("""COMPUTED_VALUE"""),109938.0)</f>
        <v>109938</v>
      </c>
      <c r="D2971" s="11">
        <f>IFERROR(__xludf.DUMMYFUNCTION("""COMPUTED_VALUE"""),785.0)</f>
        <v>785</v>
      </c>
      <c r="E2971" s="9"/>
    </row>
    <row r="2972">
      <c r="A2972" s="11">
        <f>IFERROR(__xludf.DUMMYFUNCTION("""COMPUTED_VALUE"""),2021.0)</f>
        <v>2021</v>
      </c>
      <c r="B2972" s="11">
        <f>IFERROR(__xludf.DUMMYFUNCTION("""COMPUTED_VALUE"""),9.0)</f>
        <v>9</v>
      </c>
      <c r="C2972" s="11">
        <f>IFERROR(__xludf.DUMMYFUNCTION("""COMPUTED_VALUE"""),120307.0)</f>
        <v>120307</v>
      </c>
      <c r="D2972" s="11">
        <f>IFERROR(__xludf.DUMMYFUNCTION("""COMPUTED_VALUE"""),1432.0)</f>
        <v>1432</v>
      </c>
      <c r="E2972" s="9"/>
    </row>
    <row r="2973">
      <c r="A2973" s="11">
        <f>IFERROR(__xludf.DUMMYFUNCTION("""COMPUTED_VALUE"""),2021.0)</f>
        <v>2021</v>
      </c>
      <c r="B2973" s="11">
        <f>IFERROR(__xludf.DUMMYFUNCTION("""COMPUTED_VALUE"""),11.0)</f>
        <v>11</v>
      </c>
      <c r="C2973" s="11">
        <f>IFERROR(__xludf.DUMMYFUNCTION("""COMPUTED_VALUE"""),118906.0)</f>
        <v>118906</v>
      </c>
      <c r="D2973" s="11">
        <f>IFERROR(__xludf.DUMMYFUNCTION("""COMPUTED_VALUE"""),1898.0)</f>
        <v>1898</v>
      </c>
      <c r="E2973" s="9"/>
    </row>
    <row r="2974">
      <c r="A2974" s="11">
        <f>IFERROR(__xludf.DUMMYFUNCTION("""COMPUTED_VALUE"""),2021.0)</f>
        <v>2021</v>
      </c>
      <c r="B2974" s="11">
        <f>IFERROR(__xludf.DUMMYFUNCTION("""COMPUTED_VALUE"""),8.0)</f>
        <v>8</v>
      </c>
      <c r="C2974" s="11">
        <f>IFERROR(__xludf.DUMMYFUNCTION("""COMPUTED_VALUE"""),128309.0)</f>
        <v>128309</v>
      </c>
      <c r="D2974" s="11">
        <f>IFERROR(__xludf.DUMMYFUNCTION("""COMPUTED_VALUE"""),1085.0)</f>
        <v>1085</v>
      </c>
      <c r="E2974" s="9"/>
    </row>
    <row r="2975">
      <c r="A2975" s="11">
        <f>IFERROR(__xludf.DUMMYFUNCTION("""COMPUTED_VALUE"""),2021.0)</f>
        <v>2021</v>
      </c>
      <c r="B2975" s="11">
        <f>IFERROR(__xludf.DUMMYFUNCTION("""COMPUTED_VALUE"""),9.0)</f>
        <v>9</v>
      </c>
      <c r="C2975" s="11">
        <f>IFERROR(__xludf.DUMMYFUNCTION("""COMPUTED_VALUE"""),1986.0)</f>
        <v>1986</v>
      </c>
      <c r="D2975" s="11">
        <f>IFERROR(__xludf.DUMMYFUNCTION("""COMPUTED_VALUE"""),263.0)</f>
        <v>263</v>
      </c>
      <c r="E2975" s="9"/>
    </row>
    <row r="2976">
      <c r="A2976" s="11">
        <f>IFERROR(__xludf.DUMMYFUNCTION("""COMPUTED_VALUE"""),2021.0)</f>
        <v>2021</v>
      </c>
      <c r="B2976" s="11">
        <f>IFERROR(__xludf.DUMMYFUNCTION("""COMPUTED_VALUE"""),9.0)</f>
        <v>9</v>
      </c>
      <c r="C2976" s="11">
        <f>IFERROR(__xludf.DUMMYFUNCTION("""COMPUTED_VALUE"""),117749.0)</f>
        <v>117749</v>
      </c>
      <c r="D2976" s="11">
        <f>IFERROR(__xludf.DUMMYFUNCTION("""COMPUTED_VALUE"""),219.0)</f>
        <v>219</v>
      </c>
      <c r="E2976" s="9"/>
    </row>
    <row r="2977">
      <c r="A2977" s="11">
        <f>IFERROR(__xludf.DUMMYFUNCTION("""COMPUTED_VALUE"""),2021.0)</f>
        <v>2021</v>
      </c>
      <c r="B2977" s="11">
        <f>IFERROR(__xludf.DUMMYFUNCTION("""COMPUTED_VALUE"""),8.0)</f>
        <v>8</v>
      </c>
      <c r="C2977" s="11">
        <f>IFERROR(__xludf.DUMMYFUNCTION("""COMPUTED_VALUE"""),117748.0)</f>
        <v>117748</v>
      </c>
      <c r="D2977" s="11">
        <f>IFERROR(__xludf.DUMMYFUNCTION("""COMPUTED_VALUE"""),764.0)</f>
        <v>764</v>
      </c>
      <c r="E2977" s="9"/>
    </row>
    <row r="2978">
      <c r="A2978" s="11">
        <f>IFERROR(__xludf.DUMMYFUNCTION("""COMPUTED_VALUE"""),2021.0)</f>
        <v>2021</v>
      </c>
      <c r="B2978" s="11">
        <f>IFERROR(__xludf.DUMMYFUNCTION("""COMPUTED_VALUE"""),10.0)</f>
        <v>10</v>
      </c>
      <c r="C2978" s="11">
        <f>IFERROR(__xludf.DUMMYFUNCTION("""COMPUTED_VALUE"""),1962.0)</f>
        <v>1962</v>
      </c>
      <c r="D2978" s="11">
        <f>IFERROR(__xludf.DUMMYFUNCTION("""COMPUTED_VALUE"""),1273.0)</f>
        <v>1273</v>
      </c>
      <c r="E2978" s="9"/>
    </row>
    <row r="2979">
      <c r="A2979" s="11">
        <f>IFERROR(__xludf.DUMMYFUNCTION("""COMPUTED_VALUE"""),2021.0)</f>
        <v>2021</v>
      </c>
      <c r="B2979" s="11">
        <f>IFERROR(__xludf.DUMMYFUNCTION("""COMPUTED_VALUE"""),8.0)</f>
        <v>8</v>
      </c>
      <c r="C2979" s="11">
        <f>IFERROR(__xludf.DUMMYFUNCTION("""COMPUTED_VALUE"""),109994.0)</f>
        <v>109994</v>
      </c>
      <c r="D2979" s="11">
        <f>IFERROR(__xludf.DUMMYFUNCTION("""COMPUTED_VALUE"""),201.0)</f>
        <v>201</v>
      </c>
      <c r="E2979" s="9"/>
    </row>
    <row r="2980">
      <c r="A2980" s="11">
        <f>IFERROR(__xludf.DUMMYFUNCTION("""COMPUTED_VALUE"""),2021.0)</f>
        <v>2021</v>
      </c>
      <c r="B2980" s="11">
        <f>IFERROR(__xludf.DUMMYFUNCTION("""COMPUTED_VALUE"""),11.0)</f>
        <v>11</v>
      </c>
      <c r="C2980" s="11">
        <f>IFERROR(__xludf.DUMMYFUNCTION("""COMPUTED_VALUE"""),69364.0)</f>
        <v>69364</v>
      </c>
      <c r="D2980" s="11">
        <f>IFERROR(__xludf.DUMMYFUNCTION("""COMPUTED_VALUE"""),166.0)</f>
        <v>166</v>
      </c>
      <c r="E2980" s="9"/>
    </row>
    <row r="2981">
      <c r="A2981" s="11">
        <f>IFERROR(__xludf.DUMMYFUNCTION("""COMPUTED_VALUE"""),2021.0)</f>
        <v>2021</v>
      </c>
      <c r="B2981" s="11">
        <f>IFERROR(__xludf.DUMMYFUNCTION("""COMPUTED_VALUE"""),9.0)</f>
        <v>9</v>
      </c>
      <c r="C2981" s="11">
        <f>IFERROR(__xludf.DUMMYFUNCTION("""COMPUTED_VALUE"""),69365.0)</f>
        <v>69365</v>
      </c>
      <c r="D2981" s="11">
        <f>IFERROR(__xludf.DUMMYFUNCTION("""COMPUTED_VALUE"""),1930.0)</f>
        <v>1930</v>
      </c>
      <c r="E2981" s="9"/>
    </row>
    <row r="2982">
      <c r="A2982" s="11">
        <f>IFERROR(__xludf.DUMMYFUNCTION("""COMPUTED_VALUE"""),2021.0)</f>
        <v>2021</v>
      </c>
      <c r="B2982" s="11">
        <f>IFERROR(__xludf.DUMMYFUNCTION("""COMPUTED_VALUE"""),9.0)</f>
        <v>9</v>
      </c>
      <c r="C2982" s="11">
        <f>IFERROR(__xludf.DUMMYFUNCTION("""COMPUTED_VALUE"""),46990.0)</f>
        <v>46990</v>
      </c>
      <c r="D2982" s="11">
        <f>IFERROR(__xludf.DUMMYFUNCTION("""COMPUTED_VALUE"""),1905.0)</f>
        <v>1905</v>
      </c>
      <c r="E2982" s="9"/>
    </row>
    <row r="2983">
      <c r="A2983" s="11">
        <f>IFERROR(__xludf.DUMMYFUNCTION("""COMPUTED_VALUE"""),2021.0)</f>
        <v>2021</v>
      </c>
      <c r="B2983" s="11">
        <f>IFERROR(__xludf.DUMMYFUNCTION("""COMPUTED_VALUE"""),9.0)</f>
        <v>9</v>
      </c>
      <c r="C2983" s="11">
        <f>IFERROR(__xludf.DUMMYFUNCTION("""COMPUTED_VALUE"""),11428.0)</f>
        <v>11428</v>
      </c>
      <c r="D2983" s="11">
        <f>IFERROR(__xludf.DUMMYFUNCTION("""COMPUTED_VALUE"""),266.0)</f>
        <v>266</v>
      </c>
      <c r="E2983" s="9"/>
    </row>
    <row r="2984">
      <c r="A2984" s="11">
        <f>IFERROR(__xludf.DUMMYFUNCTION("""COMPUTED_VALUE"""),2021.0)</f>
        <v>2021</v>
      </c>
      <c r="B2984" s="11">
        <f>IFERROR(__xludf.DUMMYFUNCTION("""COMPUTED_VALUE"""),8.0)</f>
        <v>8</v>
      </c>
      <c r="C2984" s="11">
        <f>IFERROR(__xludf.DUMMYFUNCTION("""COMPUTED_VALUE"""),122318.0)</f>
        <v>122318</v>
      </c>
      <c r="D2984" s="11">
        <f>IFERROR(__xludf.DUMMYFUNCTION("""COMPUTED_VALUE"""),481.0)</f>
        <v>481</v>
      </c>
      <c r="E2984" s="9"/>
    </row>
    <row r="2985">
      <c r="A2985" s="11">
        <f>IFERROR(__xludf.DUMMYFUNCTION("""COMPUTED_VALUE"""),2021.0)</f>
        <v>2021</v>
      </c>
      <c r="B2985" s="11">
        <f>IFERROR(__xludf.DUMMYFUNCTION("""COMPUTED_VALUE"""),11.0)</f>
        <v>11</v>
      </c>
      <c r="C2985" s="11">
        <f>IFERROR(__xludf.DUMMYFUNCTION("""COMPUTED_VALUE"""),182194.0)</f>
        <v>182194</v>
      </c>
      <c r="D2985" s="11">
        <f>IFERROR(__xludf.DUMMYFUNCTION("""COMPUTED_VALUE"""),283.0)</f>
        <v>283</v>
      </c>
      <c r="E2985" s="9"/>
    </row>
    <row r="2986">
      <c r="A2986" s="11">
        <f>IFERROR(__xludf.DUMMYFUNCTION("""COMPUTED_VALUE"""),2021.0)</f>
        <v>2021</v>
      </c>
      <c r="B2986" s="11">
        <f>IFERROR(__xludf.DUMMYFUNCTION("""COMPUTED_VALUE"""),8.0)</f>
        <v>8</v>
      </c>
      <c r="C2986" s="11">
        <f>IFERROR(__xludf.DUMMYFUNCTION("""COMPUTED_VALUE"""),147256.0)</f>
        <v>147256</v>
      </c>
      <c r="D2986" s="11">
        <f>IFERROR(__xludf.DUMMYFUNCTION("""COMPUTED_VALUE"""),223.0)</f>
        <v>223</v>
      </c>
      <c r="E2986" s="9"/>
    </row>
    <row r="2987">
      <c r="A2987" s="11">
        <f>IFERROR(__xludf.DUMMYFUNCTION("""COMPUTED_VALUE"""),2021.0)</f>
        <v>2021</v>
      </c>
      <c r="B2987" s="11">
        <f>IFERROR(__xludf.DUMMYFUNCTION("""COMPUTED_VALUE"""),8.0)</f>
        <v>8</v>
      </c>
      <c r="C2987" s="11">
        <f>IFERROR(__xludf.DUMMYFUNCTION("""COMPUTED_VALUE"""),5079.0)</f>
        <v>5079</v>
      </c>
      <c r="D2987" s="11">
        <f>IFERROR(__xludf.DUMMYFUNCTION("""COMPUTED_VALUE"""),1043.0)</f>
        <v>1043</v>
      </c>
      <c r="E2987" s="9"/>
    </row>
    <row r="2988">
      <c r="A2988" s="11">
        <f>IFERROR(__xludf.DUMMYFUNCTION("""COMPUTED_VALUE"""),2021.0)</f>
        <v>2021</v>
      </c>
      <c r="B2988" s="11">
        <f>IFERROR(__xludf.DUMMYFUNCTION("""COMPUTED_VALUE"""),8.0)</f>
        <v>8</v>
      </c>
      <c r="C2988" s="11">
        <f>IFERROR(__xludf.DUMMYFUNCTION("""COMPUTED_VALUE"""),92621.0)</f>
        <v>92621</v>
      </c>
      <c r="D2988" s="11">
        <f>IFERROR(__xludf.DUMMYFUNCTION("""COMPUTED_VALUE"""),676.0)</f>
        <v>676</v>
      </c>
      <c r="E2988" s="9"/>
    </row>
    <row r="2989">
      <c r="A2989" s="11">
        <f>IFERROR(__xludf.DUMMYFUNCTION("""COMPUTED_VALUE"""),2021.0)</f>
        <v>2021</v>
      </c>
      <c r="B2989" s="11">
        <f>IFERROR(__xludf.DUMMYFUNCTION("""COMPUTED_VALUE"""),10.0)</f>
        <v>10</v>
      </c>
      <c r="C2989" s="11">
        <f>IFERROR(__xludf.DUMMYFUNCTION("""COMPUTED_VALUE"""),11003.0)</f>
        <v>11003</v>
      </c>
      <c r="D2989" s="11">
        <f>IFERROR(__xludf.DUMMYFUNCTION("""COMPUTED_VALUE"""),1621.0)</f>
        <v>1621</v>
      </c>
      <c r="E2989" s="9"/>
    </row>
    <row r="2990">
      <c r="A2990" s="11">
        <f>IFERROR(__xludf.DUMMYFUNCTION("""COMPUTED_VALUE"""),2021.0)</f>
        <v>2021</v>
      </c>
      <c r="B2990" s="11">
        <f>IFERROR(__xludf.DUMMYFUNCTION("""COMPUTED_VALUE"""),11.0)</f>
        <v>11</v>
      </c>
      <c r="C2990" s="11">
        <f>IFERROR(__xludf.DUMMYFUNCTION("""COMPUTED_VALUE"""),117560.0)</f>
        <v>117560</v>
      </c>
      <c r="D2990" s="11">
        <f>IFERROR(__xludf.DUMMYFUNCTION("""COMPUTED_VALUE"""),480.0)</f>
        <v>480</v>
      </c>
      <c r="E2990" s="9"/>
    </row>
    <row r="2991">
      <c r="A2991" s="11">
        <f>IFERROR(__xludf.DUMMYFUNCTION("""COMPUTED_VALUE"""),2021.0)</f>
        <v>2021</v>
      </c>
      <c r="B2991" s="11">
        <f>IFERROR(__xludf.DUMMYFUNCTION("""COMPUTED_VALUE"""),8.0)</f>
        <v>8</v>
      </c>
      <c r="C2991" s="11">
        <f>IFERROR(__xludf.DUMMYFUNCTION("""COMPUTED_VALUE"""),188368.0)</f>
        <v>188368</v>
      </c>
      <c r="D2991" s="11">
        <f>IFERROR(__xludf.DUMMYFUNCTION("""COMPUTED_VALUE"""),186.0)</f>
        <v>186</v>
      </c>
      <c r="E2991" s="9"/>
    </row>
    <row r="2992">
      <c r="A2992" s="11">
        <f>IFERROR(__xludf.DUMMYFUNCTION("""COMPUTED_VALUE"""),2021.0)</f>
        <v>2021</v>
      </c>
      <c r="B2992" s="11">
        <f>IFERROR(__xludf.DUMMYFUNCTION("""COMPUTED_VALUE"""),9.0)</f>
        <v>9</v>
      </c>
      <c r="C2992" s="11">
        <f>IFERROR(__xludf.DUMMYFUNCTION("""COMPUTED_VALUE"""),124765.0)</f>
        <v>124765</v>
      </c>
      <c r="D2992" s="11">
        <f>IFERROR(__xludf.DUMMYFUNCTION("""COMPUTED_VALUE"""),887.0)</f>
        <v>887</v>
      </c>
      <c r="E2992" s="9"/>
    </row>
    <row r="2993">
      <c r="A2993" s="11">
        <f>IFERROR(__xludf.DUMMYFUNCTION("""COMPUTED_VALUE"""),2021.0)</f>
        <v>2021</v>
      </c>
      <c r="B2993" s="11">
        <f>IFERROR(__xludf.DUMMYFUNCTION("""COMPUTED_VALUE"""),11.0)</f>
        <v>11</v>
      </c>
      <c r="C2993" s="11">
        <f>IFERROR(__xludf.DUMMYFUNCTION("""COMPUTED_VALUE"""),8726.0)</f>
        <v>8726</v>
      </c>
      <c r="D2993" s="11">
        <f>IFERROR(__xludf.DUMMYFUNCTION("""COMPUTED_VALUE"""),1565.0)</f>
        <v>1565</v>
      </c>
      <c r="E2993" s="9"/>
    </row>
    <row r="2994">
      <c r="A2994" s="11">
        <f>IFERROR(__xludf.DUMMYFUNCTION("""COMPUTED_VALUE"""),2021.0)</f>
        <v>2021</v>
      </c>
      <c r="B2994" s="11">
        <f>IFERROR(__xludf.DUMMYFUNCTION("""COMPUTED_VALUE"""),11.0)</f>
        <v>11</v>
      </c>
      <c r="C2994" s="11">
        <f>IFERROR(__xludf.DUMMYFUNCTION("""COMPUTED_VALUE"""),118158.0)</f>
        <v>118158</v>
      </c>
      <c r="D2994" s="11">
        <f>IFERROR(__xludf.DUMMYFUNCTION("""COMPUTED_VALUE"""),1629.0)</f>
        <v>1629</v>
      </c>
      <c r="E2994" s="9"/>
    </row>
    <row r="2995">
      <c r="A2995" s="11">
        <f>IFERROR(__xludf.DUMMYFUNCTION("""COMPUTED_VALUE"""),2021.0)</f>
        <v>2021</v>
      </c>
      <c r="B2995" s="11">
        <f>IFERROR(__xludf.DUMMYFUNCTION("""COMPUTED_VALUE"""),9.0)</f>
        <v>9</v>
      </c>
      <c r="C2995" s="11">
        <f>IFERROR(__xludf.DUMMYFUNCTION("""COMPUTED_VALUE"""),121871.0)</f>
        <v>121871</v>
      </c>
      <c r="D2995" s="11">
        <f>IFERROR(__xludf.DUMMYFUNCTION("""COMPUTED_VALUE"""),242.0)</f>
        <v>242</v>
      </c>
      <c r="E2995" s="9"/>
    </row>
    <row r="2996">
      <c r="A2996" s="11">
        <f>IFERROR(__xludf.DUMMYFUNCTION("""COMPUTED_VALUE"""),2021.0)</f>
        <v>2021</v>
      </c>
      <c r="B2996" s="11">
        <f>IFERROR(__xludf.DUMMYFUNCTION("""COMPUTED_VALUE"""),8.0)</f>
        <v>8</v>
      </c>
      <c r="C2996" s="11">
        <f>IFERROR(__xludf.DUMMYFUNCTION("""COMPUTED_VALUE"""),121876.0)</f>
        <v>121876</v>
      </c>
      <c r="D2996" s="11">
        <f>IFERROR(__xludf.DUMMYFUNCTION("""COMPUTED_VALUE"""),1085.0)</f>
        <v>1085</v>
      </c>
      <c r="E2996" s="9"/>
    </row>
    <row r="2997">
      <c r="A2997" s="11">
        <f>IFERROR(__xludf.DUMMYFUNCTION("""COMPUTED_VALUE"""),2021.0)</f>
        <v>2021</v>
      </c>
      <c r="B2997" s="11">
        <f>IFERROR(__xludf.DUMMYFUNCTION("""COMPUTED_VALUE"""),8.0)</f>
        <v>8</v>
      </c>
      <c r="C2997" s="11">
        <f>IFERROR(__xludf.DUMMYFUNCTION("""COMPUTED_VALUE"""),121877.0)</f>
        <v>121877</v>
      </c>
      <c r="D2997" s="11">
        <f>IFERROR(__xludf.DUMMYFUNCTION("""COMPUTED_VALUE"""),711.0)</f>
        <v>711</v>
      </c>
      <c r="E2997" s="9"/>
    </row>
    <row r="2998">
      <c r="A2998" s="11">
        <f>IFERROR(__xludf.DUMMYFUNCTION("""COMPUTED_VALUE"""),2021.0)</f>
        <v>2021</v>
      </c>
      <c r="B2998" s="11">
        <f>IFERROR(__xludf.DUMMYFUNCTION("""COMPUTED_VALUE"""),11.0)</f>
        <v>11</v>
      </c>
      <c r="C2998" s="11">
        <f>IFERROR(__xludf.DUMMYFUNCTION("""COMPUTED_VALUE"""),121879.0)</f>
        <v>121879</v>
      </c>
      <c r="D2998" s="11">
        <f>IFERROR(__xludf.DUMMYFUNCTION("""COMPUTED_VALUE"""),1216.0)</f>
        <v>1216</v>
      </c>
      <c r="E2998" s="9"/>
    </row>
    <row r="2999">
      <c r="A2999" s="11">
        <f>IFERROR(__xludf.DUMMYFUNCTION("""COMPUTED_VALUE"""),2021.0)</f>
        <v>2021</v>
      </c>
      <c r="B2999" s="11">
        <f>IFERROR(__xludf.DUMMYFUNCTION("""COMPUTED_VALUE"""),10.0)</f>
        <v>10</v>
      </c>
      <c r="C2999" s="11">
        <f>IFERROR(__xludf.DUMMYFUNCTION("""COMPUTED_VALUE"""),121874.0)</f>
        <v>121874</v>
      </c>
      <c r="D2999" s="11">
        <f>IFERROR(__xludf.DUMMYFUNCTION("""COMPUTED_VALUE"""),1146.0)</f>
        <v>1146</v>
      </c>
      <c r="E2999" s="9"/>
    </row>
    <row r="3000">
      <c r="A3000" s="11">
        <f>IFERROR(__xludf.DUMMYFUNCTION("""COMPUTED_VALUE"""),2021.0)</f>
        <v>2021</v>
      </c>
      <c r="B3000" s="11">
        <f>IFERROR(__xludf.DUMMYFUNCTION("""COMPUTED_VALUE"""),9.0)</f>
        <v>9</v>
      </c>
      <c r="C3000" s="11">
        <f>IFERROR(__xludf.DUMMYFUNCTION("""COMPUTED_VALUE"""),121893.0)</f>
        <v>121893</v>
      </c>
      <c r="D3000" s="11">
        <f>IFERROR(__xludf.DUMMYFUNCTION("""COMPUTED_VALUE"""),1031.0)</f>
        <v>1031</v>
      </c>
      <c r="E3000" s="9"/>
    </row>
    <row r="3001">
      <c r="A3001" s="11">
        <f>IFERROR(__xludf.DUMMYFUNCTION("""COMPUTED_VALUE"""),2021.0)</f>
        <v>2021</v>
      </c>
      <c r="B3001" s="11">
        <f>IFERROR(__xludf.DUMMYFUNCTION("""COMPUTED_VALUE"""),10.0)</f>
        <v>10</v>
      </c>
      <c r="C3001" s="11">
        <f>IFERROR(__xludf.DUMMYFUNCTION("""COMPUTED_VALUE"""),121892.0)</f>
        <v>121892</v>
      </c>
      <c r="D3001" s="11">
        <f>IFERROR(__xludf.DUMMYFUNCTION("""COMPUTED_VALUE"""),1162.0)</f>
        <v>1162</v>
      </c>
      <c r="E3001" s="9"/>
    </row>
    <row r="3002">
      <c r="A3002" s="11">
        <f>IFERROR(__xludf.DUMMYFUNCTION("""COMPUTED_VALUE"""),2021.0)</f>
        <v>2021</v>
      </c>
      <c r="B3002" s="11">
        <f>IFERROR(__xludf.DUMMYFUNCTION("""COMPUTED_VALUE"""),10.0)</f>
        <v>10</v>
      </c>
      <c r="C3002" s="11">
        <f>IFERROR(__xludf.DUMMYFUNCTION("""COMPUTED_VALUE"""),102678.0)</f>
        <v>102678</v>
      </c>
      <c r="D3002" s="11">
        <f>IFERROR(__xludf.DUMMYFUNCTION("""COMPUTED_VALUE"""),785.0)</f>
        <v>785</v>
      </c>
      <c r="E3002" s="9"/>
    </row>
    <row r="3003">
      <c r="A3003" s="11">
        <f>IFERROR(__xludf.DUMMYFUNCTION("""COMPUTED_VALUE"""),2021.0)</f>
        <v>2021</v>
      </c>
      <c r="B3003" s="11">
        <f>IFERROR(__xludf.DUMMYFUNCTION("""COMPUTED_VALUE"""),9.0)</f>
        <v>9</v>
      </c>
      <c r="C3003" s="11">
        <f>IFERROR(__xludf.DUMMYFUNCTION("""COMPUTED_VALUE"""),121887.0)</f>
        <v>121887</v>
      </c>
      <c r="D3003" s="11">
        <f>IFERROR(__xludf.DUMMYFUNCTION("""COMPUTED_VALUE"""),1004.0)</f>
        <v>1004</v>
      </c>
      <c r="E3003" s="9"/>
    </row>
    <row r="3004">
      <c r="A3004" s="11">
        <f>IFERROR(__xludf.DUMMYFUNCTION("""COMPUTED_VALUE"""),2021.0)</f>
        <v>2021</v>
      </c>
      <c r="B3004" s="11">
        <f>IFERROR(__xludf.DUMMYFUNCTION("""COMPUTED_VALUE"""),8.0)</f>
        <v>8</v>
      </c>
      <c r="C3004" s="11">
        <f>IFERROR(__xludf.DUMMYFUNCTION("""COMPUTED_VALUE"""),21344.0)</f>
        <v>21344</v>
      </c>
      <c r="D3004" s="11">
        <f>IFERROR(__xludf.DUMMYFUNCTION("""COMPUTED_VALUE"""),759.0)</f>
        <v>759</v>
      </c>
      <c r="E3004" s="9"/>
    </row>
    <row r="3005">
      <c r="A3005" s="11">
        <f>IFERROR(__xludf.DUMMYFUNCTION("""COMPUTED_VALUE"""),2021.0)</f>
        <v>2021</v>
      </c>
      <c r="B3005" s="11">
        <f>IFERROR(__xludf.DUMMYFUNCTION("""COMPUTED_VALUE"""),11.0)</f>
        <v>11</v>
      </c>
      <c r="C3005" s="11">
        <f>IFERROR(__xludf.DUMMYFUNCTION("""COMPUTED_VALUE"""),121873.0)</f>
        <v>121873</v>
      </c>
      <c r="D3005" s="11">
        <f>IFERROR(__xludf.DUMMYFUNCTION("""COMPUTED_VALUE"""),1949.0)</f>
        <v>1949</v>
      </c>
      <c r="E3005" s="9"/>
    </row>
    <row r="3006">
      <c r="A3006" s="11">
        <f>IFERROR(__xludf.DUMMYFUNCTION("""COMPUTED_VALUE"""),2021.0)</f>
        <v>2021</v>
      </c>
      <c r="B3006" s="11">
        <f>IFERROR(__xludf.DUMMYFUNCTION("""COMPUTED_VALUE"""),11.0)</f>
        <v>11</v>
      </c>
      <c r="C3006" s="11">
        <f>IFERROR(__xludf.DUMMYFUNCTION("""COMPUTED_VALUE"""),108833.0)</f>
        <v>108833</v>
      </c>
      <c r="D3006" s="11">
        <f>IFERROR(__xludf.DUMMYFUNCTION("""COMPUTED_VALUE"""),441.0)</f>
        <v>441</v>
      </c>
      <c r="E3006" s="9"/>
    </row>
    <row r="3007">
      <c r="A3007" s="11">
        <f>IFERROR(__xludf.DUMMYFUNCTION("""COMPUTED_VALUE"""),2021.0)</f>
        <v>2021</v>
      </c>
      <c r="B3007" s="11">
        <f>IFERROR(__xludf.DUMMYFUNCTION("""COMPUTED_VALUE"""),10.0)</f>
        <v>10</v>
      </c>
      <c r="C3007" s="11">
        <f>IFERROR(__xludf.DUMMYFUNCTION("""COMPUTED_VALUE"""),121882.0)</f>
        <v>121882</v>
      </c>
      <c r="D3007" s="11">
        <f>IFERROR(__xludf.DUMMYFUNCTION("""COMPUTED_VALUE"""),1828.0)</f>
        <v>1828</v>
      </c>
      <c r="E3007" s="9"/>
    </row>
    <row r="3008">
      <c r="A3008" s="11">
        <f>IFERROR(__xludf.DUMMYFUNCTION("""COMPUTED_VALUE"""),2021.0)</f>
        <v>2021</v>
      </c>
      <c r="B3008" s="11">
        <f>IFERROR(__xludf.DUMMYFUNCTION("""COMPUTED_VALUE"""),8.0)</f>
        <v>8</v>
      </c>
      <c r="C3008" s="11">
        <f>IFERROR(__xludf.DUMMYFUNCTION("""COMPUTED_VALUE"""),91492.0)</f>
        <v>91492</v>
      </c>
      <c r="D3008" s="11">
        <f>IFERROR(__xludf.DUMMYFUNCTION("""COMPUTED_VALUE"""),628.0)</f>
        <v>628</v>
      </c>
      <c r="E3008" s="9"/>
    </row>
    <row r="3009">
      <c r="A3009" s="11">
        <f>IFERROR(__xludf.DUMMYFUNCTION("""COMPUTED_VALUE"""),2021.0)</f>
        <v>2021</v>
      </c>
      <c r="B3009" s="11">
        <f>IFERROR(__xludf.DUMMYFUNCTION("""COMPUTED_VALUE"""),11.0)</f>
        <v>11</v>
      </c>
      <c r="C3009" s="11">
        <f>IFERROR(__xludf.DUMMYFUNCTION("""COMPUTED_VALUE"""),111392.0)</f>
        <v>111392</v>
      </c>
      <c r="D3009" s="11">
        <f>IFERROR(__xludf.DUMMYFUNCTION("""COMPUTED_VALUE"""),727.0)</f>
        <v>727</v>
      </c>
      <c r="E3009" s="9"/>
    </row>
    <row r="3010">
      <c r="A3010" s="11">
        <f>IFERROR(__xludf.DUMMYFUNCTION("""COMPUTED_VALUE"""),2021.0)</f>
        <v>2021</v>
      </c>
      <c r="B3010" s="11">
        <f>IFERROR(__xludf.DUMMYFUNCTION("""COMPUTED_VALUE"""),8.0)</f>
        <v>8</v>
      </c>
      <c r="C3010" s="11">
        <f>IFERROR(__xludf.DUMMYFUNCTION("""COMPUTED_VALUE"""),108835.0)</f>
        <v>108835</v>
      </c>
      <c r="D3010" s="11">
        <f>IFERROR(__xludf.DUMMYFUNCTION("""COMPUTED_VALUE"""),217.0)</f>
        <v>217</v>
      </c>
      <c r="E3010" s="9"/>
    </row>
    <row r="3011">
      <c r="A3011" s="11">
        <f>IFERROR(__xludf.DUMMYFUNCTION("""COMPUTED_VALUE"""),2021.0)</f>
        <v>2021</v>
      </c>
      <c r="B3011" s="11">
        <f>IFERROR(__xludf.DUMMYFUNCTION("""COMPUTED_VALUE"""),8.0)</f>
        <v>8</v>
      </c>
      <c r="C3011" s="11">
        <f>IFERROR(__xludf.DUMMYFUNCTION("""COMPUTED_VALUE"""),118111.0)</f>
        <v>118111</v>
      </c>
      <c r="D3011" s="11">
        <f>IFERROR(__xludf.DUMMYFUNCTION("""COMPUTED_VALUE"""),487.0)</f>
        <v>487</v>
      </c>
      <c r="E3011" s="9"/>
    </row>
    <row r="3012">
      <c r="A3012" s="11">
        <f>IFERROR(__xludf.DUMMYFUNCTION("""COMPUTED_VALUE"""),2021.0)</f>
        <v>2021</v>
      </c>
      <c r="B3012" s="11">
        <f>IFERROR(__xludf.DUMMYFUNCTION("""COMPUTED_VALUE"""),10.0)</f>
        <v>10</v>
      </c>
      <c r="C3012" s="11">
        <f>IFERROR(__xludf.DUMMYFUNCTION("""COMPUTED_VALUE"""),121872.0)</f>
        <v>121872</v>
      </c>
      <c r="D3012" s="11">
        <f>IFERROR(__xludf.DUMMYFUNCTION("""COMPUTED_VALUE"""),579.0)</f>
        <v>579</v>
      </c>
      <c r="E3012" s="9"/>
    </row>
    <row r="3013">
      <c r="A3013" s="11">
        <f>IFERROR(__xludf.DUMMYFUNCTION("""COMPUTED_VALUE"""),2021.0)</f>
        <v>2021</v>
      </c>
      <c r="B3013" s="11">
        <f>IFERROR(__xludf.DUMMYFUNCTION("""COMPUTED_VALUE"""),10.0)</f>
        <v>10</v>
      </c>
      <c r="C3013" s="11">
        <f>IFERROR(__xludf.DUMMYFUNCTION("""COMPUTED_VALUE"""),112885.0)</f>
        <v>112885</v>
      </c>
      <c r="D3013" s="11">
        <f>IFERROR(__xludf.DUMMYFUNCTION("""COMPUTED_VALUE"""),693.0)</f>
        <v>693</v>
      </c>
      <c r="E3013" s="9"/>
    </row>
    <row r="3014">
      <c r="A3014" s="11">
        <f>IFERROR(__xludf.DUMMYFUNCTION("""COMPUTED_VALUE"""),2021.0)</f>
        <v>2021</v>
      </c>
      <c r="B3014" s="11">
        <f>IFERROR(__xludf.DUMMYFUNCTION("""COMPUTED_VALUE"""),8.0)</f>
        <v>8</v>
      </c>
      <c r="C3014" s="11">
        <f>IFERROR(__xludf.DUMMYFUNCTION("""COMPUTED_VALUE"""),108738.0)</f>
        <v>108738</v>
      </c>
      <c r="D3014" s="11">
        <f>IFERROR(__xludf.DUMMYFUNCTION("""COMPUTED_VALUE"""),1391.0)</f>
        <v>1391</v>
      </c>
      <c r="E3014" s="9"/>
    </row>
    <row r="3015">
      <c r="A3015" s="11">
        <f>IFERROR(__xludf.DUMMYFUNCTION("""COMPUTED_VALUE"""),2021.0)</f>
        <v>2021</v>
      </c>
      <c r="B3015" s="11">
        <f>IFERROR(__xludf.DUMMYFUNCTION("""COMPUTED_VALUE"""),8.0)</f>
        <v>8</v>
      </c>
      <c r="C3015" s="11">
        <f>IFERROR(__xludf.DUMMYFUNCTION("""COMPUTED_VALUE"""),21338.0)</f>
        <v>21338</v>
      </c>
      <c r="D3015" s="11">
        <f>IFERROR(__xludf.DUMMYFUNCTION("""COMPUTED_VALUE"""),161.0)</f>
        <v>161</v>
      </c>
      <c r="E3015" s="9"/>
    </row>
    <row r="3016">
      <c r="A3016" s="11">
        <f>IFERROR(__xludf.DUMMYFUNCTION("""COMPUTED_VALUE"""),2021.0)</f>
        <v>2021</v>
      </c>
      <c r="B3016" s="11">
        <f>IFERROR(__xludf.DUMMYFUNCTION("""COMPUTED_VALUE"""),8.0)</f>
        <v>8</v>
      </c>
      <c r="C3016" s="11">
        <f>IFERROR(__xludf.DUMMYFUNCTION("""COMPUTED_VALUE"""),76513.0)</f>
        <v>76513</v>
      </c>
      <c r="D3016" s="11">
        <f>IFERROR(__xludf.DUMMYFUNCTION("""COMPUTED_VALUE"""),1942.0)</f>
        <v>1942</v>
      </c>
      <c r="E3016" s="9"/>
    </row>
    <row r="3017">
      <c r="A3017" s="11">
        <f>IFERROR(__xludf.DUMMYFUNCTION("""COMPUTED_VALUE"""),2021.0)</f>
        <v>2021</v>
      </c>
      <c r="B3017" s="11">
        <f>IFERROR(__xludf.DUMMYFUNCTION("""COMPUTED_VALUE"""),10.0)</f>
        <v>10</v>
      </c>
      <c r="C3017" s="11">
        <f>IFERROR(__xludf.DUMMYFUNCTION("""COMPUTED_VALUE"""),76514.0)</f>
        <v>76514</v>
      </c>
      <c r="D3017" s="11">
        <f>IFERROR(__xludf.DUMMYFUNCTION("""COMPUTED_VALUE"""),1369.0)</f>
        <v>1369</v>
      </c>
      <c r="E3017" s="9"/>
    </row>
    <row r="3018">
      <c r="A3018" s="11">
        <f>IFERROR(__xludf.DUMMYFUNCTION("""COMPUTED_VALUE"""),2021.0)</f>
        <v>2021</v>
      </c>
      <c r="B3018" s="11">
        <f>IFERROR(__xludf.DUMMYFUNCTION("""COMPUTED_VALUE"""),9.0)</f>
        <v>9</v>
      </c>
      <c r="C3018" s="11">
        <f>IFERROR(__xludf.DUMMYFUNCTION("""COMPUTED_VALUE"""),21339.0)</f>
        <v>21339</v>
      </c>
      <c r="D3018" s="11">
        <f>IFERROR(__xludf.DUMMYFUNCTION("""COMPUTED_VALUE"""),153.0)</f>
        <v>153</v>
      </c>
      <c r="E3018" s="9"/>
    </row>
    <row r="3019">
      <c r="A3019" s="11">
        <f>IFERROR(__xludf.DUMMYFUNCTION("""COMPUTED_VALUE"""),2021.0)</f>
        <v>2021</v>
      </c>
      <c r="B3019" s="11">
        <f>IFERROR(__xludf.DUMMYFUNCTION("""COMPUTED_VALUE"""),9.0)</f>
        <v>9</v>
      </c>
      <c r="C3019" s="11">
        <f>IFERROR(__xludf.DUMMYFUNCTION("""COMPUTED_VALUE"""),75436.0)</f>
        <v>75436</v>
      </c>
      <c r="D3019" s="11">
        <f>IFERROR(__xludf.DUMMYFUNCTION("""COMPUTED_VALUE"""),23.0)</f>
        <v>23</v>
      </c>
      <c r="E3019" s="9"/>
    </row>
    <row r="3020">
      <c r="A3020" s="11">
        <f>IFERROR(__xludf.DUMMYFUNCTION("""COMPUTED_VALUE"""),2021.0)</f>
        <v>2021</v>
      </c>
      <c r="B3020" s="11">
        <f>IFERROR(__xludf.DUMMYFUNCTION("""COMPUTED_VALUE"""),8.0)</f>
        <v>8</v>
      </c>
      <c r="C3020" s="11">
        <f>IFERROR(__xludf.DUMMYFUNCTION("""COMPUTED_VALUE"""),84092.0)</f>
        <v>84092</v>
      </c>
      <c r="D3020" s="11">
        <f>IFERROR(__xludf.DUMMYFUNCTION("""COMPUTED_VALUE"""),707.0)</f>
        <v>707</v>
      </c>
      <c r="E3020" s="9"/>
    </row>
    <row r="3021">
      <c r="A3021" s="11">
        <f>IFERROR(__xludf.DUMMYFUNCTION("""COMPUTED_VALUE"""),2021.0)</f>
        <v>2021</v>
      </c>
      <c r="B3021" s="11">
        <f>IFERROR(__xludf.DUMMYFUNCTION("""COMPUTED_VALUE"""),10.0)</f>
        <v>10</v>
      </c>
      <c r="C3021" s="11">
        <f>IFERROR(__xludf.DUMMYFUNCTION("""COMPUTED_VALUE"""),86943.0)</f>
        <v>86943</v>
      </c>
      <c r="D3021" s="11">
        <f>IFERROR(__xludf.DUMMYFUNCTION("""COMPUTED_VALUE"""),12.0)</f>
        <v>12</v>
      </c>
      <c r="E3021" s="9"/>
    </row>
    <row r="3022">
      <c r="A3022" s="11">
        <f>IFERROR(__xludf.DUMMYFUNCTION("""COMPUTED_VALUE"""),2021.0)</f>
        <v>2021</v>
      </c>
      <c r="B3022" s="11">
        <f>IFERROR(__xludf.DUMMYFUNCTION("""COMPUTED_VALUE"""),8.0)</f>
        <v>8</v>
      </c>
      <c r="C3022" s="11">
        <f>IFERROR(__xludf.DUMMYFUNCTION("""COMPUTED_VALUE"""),8688.0)</f>
        <v>8688</v>
      </c>
      <c r="D3022" s="11">
        <f>IFERROR(__xludf.DUMMYFUNCTION("""COMPUTED_VALUE"""),941.0)</f>
        <v>941</v>
      </c>
      <c r="E3022" s="9"/>
    </row>
    <row r="3023">
      <c r="A3023" s="11">
        <f>IFERROR(__xludf.DUMMYFUNCTION("""COMPUTED_VALUE"""),2021.0)</f>
        <v>2021</v>
      </c>
      <c r="B3023" s="11">
        <f>IFERROR(__xludf.DUMMYFUNCTION("""COMPUTED_VALUE"""),10.0)</f>
        <v>10</v>
      </c>
      <c r="C3023" s="11">
        <f>IFERROR(__xludf.DUMMYFUNCTION("""COMPUTED_VALUE"""),117967.0)</f>
        <v>117967</v>
      </c>
      <c r="D3023" s="11">
        <f>IFERROR(__xludf.DUMMYFUNCTION("""COMPUTED_VALUE"""),1027.0)</f>
        <v>1027</v>
      </c>
      <c r="E3023" s="9"/>
    </row>
    <row r="3024">
      <c r="A3024" s="11">
        <f>IFERROR(__xludf.DUMMYFUNCTION("""COMPUTED_VALUE"""),2021.0)</f>
        <v>2021</v>
      </c>
      <c r="B3024" s="11">
        <f>IFERROR(__xludf.DUMMYFUNCTION("""COMPUTED_VALUE"""),9.0)</f>
        <v>9</v>
      </c>
      <c r="C3024" s="11">
        <f>IFERROR(__xludf.DUMMYFUNCTION("""COMPUTED_VALUE"""),23061.0)</f>
        <v>23061</v>
      </c>
      <c r="D3024" s="11">
        <f>IFERROR(__xludf.DUMMYFUNCTION("""COMPUTED_VALUE"""),787.0)</f>
        <v>787</v>
      </c>
      <c r="E3024" s="9"/>
    </row>
    <row r="3025">
      <c r="A3025" s="11">
        <f>IFERROR(__xludf.DUMMYFUNCTION("""COMPUTED_VALUE"""),2021.0)</f>
        <v>2021</v>
      </c>
      <c r="B3025" s="11">
        <f>IFERROR(__xludf.DUMMYFUNCTION("""COMPUTED_VALUE"""),9.0)</f>
        <v>9</v>
      </c>
      <c r="C3025" s="11">
        <f>IFERROR(__xludf.DUMMYFUNCTION("""COMPUTED_VALUE"""),10688.0)</f>
        <v>10688</v>
      </c>
      <c r="D3025" s="11">
        <f>IFERROR(__xludf.DUMMYFUNCTION("""COMPUTED_VALUE"""),1845.0)</f>
        <v>1845</v>
      </c>
      <c r="E3025" s="9"/>
    </row>
    <row r="3026">
      <c r="A3026" s="11">
        <f>IFERROR(__xludf.DUMMYFUNCTION("""COMPUTED_VALUE"""),2021.0)</f>
        <v>2021</v>
      </c>
      <c r="B3026" s="11">
        <f>IFERROR(__xludf.DUMMYFUNCTION("""COMPUTED_VALUE"""),8.0)</f>
        <v>8</v>
      </c>
      <c r="C3026" s="11">
        <f>IFERROR(__xludf.DUMMYFUNCTION("""COMPUTED_VALUE"""),8690.0)</f>
        <v>8690</v>
      </c>
      <c r="D3026" s="11">
        <f>IFERROR(__xludf.DUMMYFUNCTION("""COMPUTED_VALUE"""),167.0)</f>
        <v>167</v>
      </c>
      <c r="E3026" s="9"/>
    </row>
    <row r="3027">
      <c r="A3027" s="11">
        <f>IFERROR(__xludf.DUMMYFUNCTION("""COMPUTED_VALUE"""),2021.0)</f>
        <v>2021</v>
      </c>
      <c r="B3027" s="11">
        <f>IFERROR(__xludf.DUMMYFUNCTION("""COMPUTED_VALUE"""),11.0)</f>
        <v>11</v>
      </c>
      <c r="C3027" s="11">
        <f>IFERROR(__xludf.DUMMYFUNCTION("""COMPUTED_VALUE"""),79808.0)</f>
        <v>79808</v>
      </c>
      <c r="D3027" s="11">
        <f>IFERROR(__xludf.DUMMYFUNCTION("""COMPUTED_VALUE"""),1491.0)</f>
        <v>1491</v>
      </c>
      <c r="E3027" s="9"/>
    </row>
    <row r="3028">
      <c r="A3028" s="11">
        <f>IFERROR(__xludf.DUMMYFUNCTION("""COMPUTED_VALUE"""),2021.0)</f>
        <v>2021</v>
      </c>
      <c r="B3028" s="11">
        <f>IFERROR(__xludf.DUMMYFUNCTION("""COMPUTED_VALUE"""),11.0)</f>
        <v>11</v>
      </c>
      <c r="C3028" s="11">
        <f>IFERROR(__xludf.DUMMYFUNCTION("""COMPUTED_VALUE"""),44797.0)</f>
        <v>44797</v>
      </c>
      <c r="D3028" s="11">
        <f>IFERROR(__xludf.DUMMYFUNCTION("""COMPUTED_VALUE"""),1159.0)</f>
        <v>1159</v>
      </c>
      <c r="E3028" s="9"/>
    </row>
    <row r="3029">
      <c r="A3029" s="11">
        <f>IFERROR(__xludf.DUMMYFUNCTION("""COMPUTED_VALUE"""),2021.0)</f>
        <v>2021</v>
      </c>
      <c r="B3029" s="11">
        <f>IFERROR(__xludf.DUMMYFUNCTION("""COMPUTED_VALUE"""),8.0)</f>
        <v>8</v>
      </c>
      <c r="C3029" s="11">
        <f>IFERROR(__xludf.DUMMYFUNCTION("""COMPUTED_VALUE"""),79807.0)</f>
        <v>79807</v>
      </c>
      <c r="D3029" s="11">
        <f>IFERROR(__xludf.DUMMYFUNCTION("""COMPUTED_VALUE"""),737.0)</f>
        <v>737</v>
      </c>
      <c r="E3029" s="9"/>
    </row>
    <row r="3030">
      <c r="A3030" s="11">
        <f>IFERROR(__xludf.DUMMYFUNCTION("""COMPUTED_VALUE"""),2021.0)</f>
        <v>2021</v>
      </c>
      <c r="B3030" s="11">
        <f>IFERROR(__xludf.DUMMYFUNCTION("""COMPUTED_VALUE"""),10.0)</f>
        <v>10</v>
      </c>
      <c r="C3030" s="11">
        <f>IFERROR(__xludf.DUMMYFUNCTION("""COMPUTED_VALUE"""),11426.0)</f>
        <v>11426</v>
      </c>
      <c r="D3030" s="11">
        <f>IFERROR(__xludf.DUMMYFUNCTION("""COMPUTED_VALUE"""),1090.0)</f>
        <v>1090</v>
      </c>
      <c r="E3030" s="9"/>
    </row>
    <row r="3031">
      <c r="A3031" s="11">
        <f>IFERROR(__xludf.DUMMYFUNCTION("""COMPUTED_VALUE"""),2021.0)</f>
        <v>2021</v>
      </c>
      <c r="B3031" s="11">
        <f>IFERROR(__xludf.DUMMYFUNCTION("""COMPUTED_VALUE"""),11.0)</f>
        <v>11</v>
      </c>
      <c r="C3031" s="11">
        <f>IFERROR(__xludf.DUMMYFUNCTION("""COMPUTED_VALUE"""),45059.0)</f>
        <v>45059</v>
      </c>
      <c r="D3031" s="11">
        <f>IFERROR(__xludf.DUMMYFUNCTION("""COMPUTED_VALUE"""),637.0)</f>
        <v>637</v>
      </c>
      <c r="E3031" s="9"/>
    </row>
    <row r="3032">
      <c r="A3032" s="11">
        <f>IFERROR(__xludf.DUMMYFUNCTION("""COMPUTED_VALUE"""),2021.0)</f>
        <v>2021</v>
      </c>
      <c r="B3032" s="11">
        <f>IFERROR(__xludf.DUMMYFUNCTION("""COMPUTED_VALUE"""),10.0)</f>
        <v>10</v>
      </c>
      <c r="C3032" s="11">
        <f>IFERROR(__xludf.DUMMYFUNCTION("""COMPUTED_VALUE"""),200582.0)</f>
        <v>200582</v>
      </c>
      <c r="D3032" s="11">
        <f>IFERROR(__xludf.DUMMYFUNCTION("""COMPUTED_VALUE"""),82.0)</f>
        <v>82</v>
      </c>
      <c r="E3032" s="9"/>
    </row>
    <row r="3033">
      <c r="A3033" s="11">
        <f>IFERROR(__xludf.DUMMYFUNCTION("""COMPUTED_VALUE"""),2021.0)</f>
        <v>2021</v>
      </c>
      <c r="B3033" s="11">
        <f>IFERROR(__xludf.DUMMYFUNCTION("""COMPUTED_VALUE"""),9.0)</f>
        <v>9</v>
      </c>
      <c r="C3033" s="11">
        <f>IFERROR(__xludf.DUMMYFUNCTION("""COMPUTED_VALUE"""),143825.0)</f>
        <v>143825</v>
      </c>
      <c r="D3033" s="11">
        <f>IFERROR(__xludf.DUMMYFUNCTION("""COMPUTED_VALUE"""),326.0)</f>
        <v>326</v>
      </c>
      <c r="E3033" s="9"/>
    </row>
    <row r="3034">
      <c r="A3034" s="11">
        <f>IFERROR(__xludf.DUMMYFUNCTION("""COMPUTED_VALUE"""),2021.0)</f>
        <v>2021</v>
      </c>
      <c r="B3034" s="11">
        <f>IFERROR(__xludf.DUMMYFUNCTION("""COMPUTED_VALUE"""),8.0)</f>
        <v>8</v>
      </c>
      <c r="C3034" s="11">
        <f>IFERROR(__xludf.DUMMYFUNCTION("""COMPUTED_VALUE"""),85232.0)</f>
        <v>85232</v>
      </c>
      <c r="D3034" s="11">
        <f>IFERROR(__xludf.DUMMYFUNCTION("""COMPUTED_VALUE"""),1499.0)</f>
        <v>1499</v>
      </c>
      <c r="E3034" s="9"/>
    </row>
    <row r="3035">
      <c r="A3035" s="11">
        <f>IFERROR(__xludf.DUMMYFUNCTION("""COMPUTED_VALUE"""),2021.0)</f>
        <v>2021</v>
      </c>
      <c r="B3035" s="11">
        <f>IFERROR(__xludf.DUMMYFUNCTION("""COMPUTED_VALUE"""),11.0)</f>
        <v>11</v>
      </c>
      <c r="C3035" s="11">
        <f>IFERROR(__xludf.DUMMYFUNCTION("""COMPUTED_VALUE"""),79806.0)</f>
        <v>79806</v>
      </c>
      <c r="D3035" s="11">
        <f>IFERROR(__xludf.DUMMYFUNCTION("""COMPUTED_VALUE"""),942.0)</f>
        <v>942</v>
      </c>
      <c r="E3035" s="9"/>
    </row>
    <row r="3036">
      <c r="A3036" s="11">
        <f>IFERROR(__xludf.DUMMYFUNCTION("""COMPUTED_VALUE"""),2021.0)</f>
        <v>2021</v>
      </c>
      <c r="B3036" s="11">
        <f>IFERROR(__xludf.DUMMYFUNCTION("""COMPUTED_VALUE"""),11.0)</f>
        <v>11</v>
      </c>
      <c r="C3036" s="11">
        <f>IFERROR(__xludf.DUMMYFUNCTION("""COMPUTED_VALUE"""),46991.0)</f>
        <v>46991</v>
      </c>
      <c r="D3036" s="11">
        <f>IFERROR(__xludf.DUMMYFUNCTION("""COMPUTED_VALUE"""),1176.0)</f>
        <v>1176</v>
      </c>
      <c r="E3036" s="9"/>
    </row>
    <row r="3037">
      <c r="A3037" s="11">
        <f>IFERROR(__xludf.DUMMYFUNCTION("""COMPUTED_VALUE"""),2021.0)</f>
        <v>2021</v>
      </c>
      <c r="B3037" s="11">
        <f>IFERROR(__xludf.DUMMYFUNCTION("""COMPUTED_VALUE"""),9.0)</f>
        <v>9</v>
      </c>
      <c r="C3037" s="11">
        <f>IFERROR(__xludf.DUMMYFUNCTION("""COMPUTED_VALUE"""),69360.0)</f>
        <v>69360</v>
      </c>
      <c r="D3037" s="11">
        <f>IFERROR(__xludf.DUMMYFUNCTION("""COMPUTED_VALUE"""),765.0)</f>
        <v>765</v>
      </c>
      <c r="E3037" s="9"/>
    </row>
    <row r="3038">
      <c r="A3038" s="11">
        <f>IFERROR(__xludf.DUMMYFUNCTION("""COMPUTED_VALUE"""),2021.0)</f>
        <v>2021</v>
      </c>
      <c r="B3038" s="11">
        <f>IFERROR(__xludf.DUMMYFUNCTION("""COMPUTED_VALUE"""),10.0)</f>
        <v>10</v>
      </c>
      <c r="C3038" s="11">
        <f>IFERROR(__xludf.DUMMYFUNCTION("""COMPUTED_VALUE"""),110441.0)</f>
        <v>110441</v>
      </c>
      <c r="D3038" s="11">
        <f>IFERROR(__xludf.DUMMYFUNCTION("""COMPUTED_VALUE"""),590.0)</f>
        <v>590</v>
      </c>
      <c r="E3038" s="9"/>
    </row>
    <row r="3039">
      <c r="A3039" s="11">
        <f>IFERROR(__xludf.DUMMYFUNCTION("""COMPUTED_VALUE"""),2021.0)</f>
        <v>2021</v>
      </c>
      <c r="B3039" s="11">
        <f>IFERROR(__xludf.DUMMYFUNCTION("""COMPUTED_VALUE"""),8.0)</f>
        <v>8</v>
      </c>
      <c r="C3039" s="11">
        <f>IFERROR(__xludf.DUMMYFUNCTION("""COMPUTED_VALUE"""),120781.0)</f>
        <v>120781</v>
      </c>
      <c r="D3039" s="11">
        <f>IFERROR(__xludf.DUMMYFUNCTION("""COMPUTED_VALUE"""),1143.0)</f>
        <v>1143</v>
      </c>
      <c r="E3039" s="9"/>
    </row>
    <row r="3040">
      <c r="A3040" s="11">
        <f>IFERROR(__xludf.DUMMYFUNCTION("""COMPUTED_VALUE"""),2021.0)</f>
        <v>2021</v>
      </c>
      <c r="B3040" s="11">
        <f>IFERROR(__xludf.DUMMYFUNCTION("""COMPUTED_VALUE"""),10.0)</f>
        <v>10</v>
      </c>
      <c r="C3040" s="11">
        <f>IFERROR(__xludf.DUMMYFUNCTION("""COMPUTED_VALUE"""),79809.0)</f>
        <v>79809</v>
      </c>
      <c r="D3040" s="11">
        <f>IFERROR(__xludf.DUMMYFUNCTION("""COMPUTED_VALUE"""),45.0)</f>
        <v>45</v>
      </c>
      <c r="E3040" s="9"/>
    </row>
    <row r="3041">
      <c r="A3041" s="11">
        <f>IFERROR(__xludf.DUMMYFUNCTION("""COMPUTED_VALUE"""),2021.0)</f>
        <v>2021</v>
      </c>
      <c r="B3041" s="11">
        <f>IFERROR(__xludf.DUMMYFUNCTION("""COMPUTED_VALUE"""),8.0)</f>
        <v>8</v>
      </c>
      <c r="C3041" s="11">
        <f>IFERROR(__xludf.DUMMYFUNCTION("""COMPUTED_VALUE"""),45057.0)</f>
        <v>45057</v>
      </c>
      <c r="D3041" s="11">
        <f>IFERROR(__xludf.DUMMYFUNCTION("""COMPUTED_VALUE"""),1908.0)</f>
        <v>1908</v>
      </c>
      <c r="E3041" s="9"/>
    </row>
    <row r="3042">
      <c r="A3042" s="11">
        <f>IFERROR(__xludf.DUMMYFUNCTION("""COMPUTED_VALUE"""),2021.0)</f>
        <v>2021</v>
      </c>
      <c r="B3042" s="11">
        <f>IFERROR(__xludf.DUMMYFUNCTION("""COMPUTED_VALUE"""),8.0)</f>
        <v>8</v>
      </c>
      <c r="C3042" s="11">
        <f>IFERROR(__xludf.DUMMYFUNCTION("""COMPUTED_VALUE"""),79805.0)</f>
        <v>79805</v>
      </c>
      <c r="D3042" s="11">
        <f>IFERROR(__xludf.DUMMYFUNCTION("""COMPUTED_VALUE"""),34.0)</f>
        <v>34</v>
      </c>
      <c r="E3042" s="9"/>
    </row>
    <row r="3043">
      <c r="A3043" s="11">
        <f>IFERROR(__xludf.DUMMYFUNCTION("""COMPUTED_VALUE"""),2021.0)</f>
        <v>2021</v>
      </c>
      <c r="B3043" s="11">
        <f>IFERROR(__xludf.DUMMYFUNCTION("""COMPUTED_VALUE"""),11.0)</f>
        <v>11</v>
      </c>
      <c r="C3043" s="11">
        <f>IFERROR(__xludf.DUMMYFUNCTION("""COMPUTED_VALUE"""),45707.0)</f>
        <v>45707</v>
      </c>
      <c r="D3043" s="11">
        <f>IFERROR(__xludf.DUMMYFUNCTION("""COMPUTED_VALUE"""),923.0)</f>
        <v>923</v>
      </c>
      <c r="E3043" s="9"/>
    </row>
    <row r="3044">
      <c r="A3044" s="11">
        <f>IFERROR(__xludf.DUMMYFUNCTION("""COMPUTED_VALUE"""),2021.0)</f>
        <v>2021</v>
      </c>
      <c r="B3044" s="11">
        <f>IFERROR(__xludf.DUMMYFUNCTION("""COMPUTED_VALUE"""),10.0)</f>
        <v>10</v>
      </c>
      <c r="C3044" s="11">
        <f>IFERROR(__xludf.DUMMYFUNCTION("""COMPUTED_VALUE"""),117282.0)</f>
        <v>117282</v>
      </c>
      <c r="D3044" s="11">
        <f>IFERROR(__xludf.DUMMYFUNCTION("""COMPUTED_VALUE"""),1722.0)</f>
        <v>1722</v>
      </c>
      <c r="E3044" s="9"/>
    </row>
    <row r="3045">
      <c r="A3045" s="11">
        <f>IFERROR(__xludf.DUMMYFUNCTION("""COMPUTED_VALUE"""),2021.0)</f>
        <v>2021</v>
      </c>
      <c r="B3045" s="11">
        <f>IFERROR(__xludf.DUMMYFUNCTION("""COMPUTED_VALUE"""),10.0)</f>
        <v>10</v>
      </c>
      <c r="C3045" s="11">
        <f>IFERROR(__xludf.DUMMYFUNCTION("""COMPUTED_VALUE"""),30503.0)</f>
        <v>30503</v>
      </c>
      <c r="D3045" s="11">
        <f>IFERROR(__xludf.DUMMYFUNCTION("""COMPUTED_VALUE"""),1159.0)</f>
        <v>1159</v>
      </c>
      <c r="E3045" s="9"/>
    </row>
    <row r="3046">
      <c r="A3046" s="11">
        <f>IFERROR(__xludf.DUMMYFUNCTION("""COMPUTED_VALUE"""),2021.0)</f>
        <v>2021</v>
      </c>
      <c r="B3046" s="11">
        <f>IFERROR(__xludf.DUMMYFUNCTION("""COMPUTED_VALUE"""),8.0)</f>
        <v>8</v>
      </c>
      <c r="C3046" s="11">
        <f>IFERROR(__xludf.DUMMYFUNCTION("""COMPUTED_VALUE"""),187336.0)</f>
        <v>187336</v>
      </c>
      <c r="D3046" s="11">
        <f>IFERROR(__xludf.DUMMYFUNCTION("""COMPUTED_VALUE"""),1113.0)</f>
        <v>1113</v>
      </c>
      <c r="E3046" s="9"/>
    </row>
    <row r="3047">
      <c r="A3047" s="11">
        <f>IFERROR(__xludf.DUMMYFUNCTION("""COMPUTED_VALUE"""),2021.0)</f>
        <v>2021</v>
      </c>
      <c r="B3047" s="11">
        <f>IFERROR(__xludf.DUMMYFUNCTION("""COMPUTED_VALUE"""),11.0)</f>
        <v>11</v>
      </c>
      <c r="C3047" s="11">
        <f>IFERROR(__xludf.DUMMYFUNCTION("""COMPUTED_VALUE"""),82427.0)</f>
        <v>82427</v>
      </c>
      <c r="D3047" s="11">
        <f>IFERROR(__xludf.DUMMYFUNCTION("""COMPUTED_VALUE"""),1642.0)</f>
        <v>1642</v>
      </c>
      <c r="E3047" s="9"/>
    </row>
    <row r="3048">
      <c r="A3048" s="11">
        <f>IFERROR(__xludf.DUMMYFUNCTION("""COMPUTED_VALUE"""),2021.0)</f>
        <v>2021</v>
      </c>
      <c r="B3048" s="11">
        <f>IFERROR(__xludf.DUMMYFUNCTION("""COMPUTED_VALUE"""),10.0)</f>
        <v>10</v>
      </c>
      <c r="C3048" s="11">
        <f>IFERROR(__xludf.DUMMYFUNCTION("""COMPUTED_VALUE"""),11000.0)</f>
        <v>11000</v>
      </c>
      <c r="D3048" s="11">
        <f>IFERROR(__xludf.DUMMYFUNCTION("""COMPUTED_VALUE"""),1943.0)</f>
        <v>1943</v>
      </c>
      <c r="E3048" s="9"/>
    </row>
    <row r="3049">
      <c r="A3049" s="11">
        <f>IFERROR(__xludf.DUMMYFUNCTION("""COMPUTED_VALUE"""),2021.0)</f>
        <v>2021</v>
      </c>
      <c r="B3049" s="11">
        <f>IFERROR(__xludf.DUMMYFUNCTION("""COMPUTED_VALUE"""),8.0)</f>
        <v>8</v>
      </c>
      <c r="C3049" s="11">
        <f>IFERROR(__xludf.DUMMYFUNCTION("""COMPUTED_VALUE"""),117274.0)</f>
        <v>117274</v>
      </c>
      <c r="D3049" s="11">
        <f>IFERROR(__xludf.DUMMYFUNCTION("""COMPUTED_VALUE"""),1216.0)</f>
        <v>1216</v>
      </c>
      <c r="E3049" s="9"/>
    </row>
    <row r="3050">
      <c r="A3050" s="11">
        <f>IFERROR(__xludf.DUMMYFUNCTION("""COMPUTED_VALUE"""),2021.0)</f>
        <v>2021</v>
      </c>
      <c r="B3050" s="11">
        <f>IFERROR(__xludf.DUMMYFUNCTION("""COMPUTED_VALUE"""),9.0)</f>
        <v>9</v>
      </c>
      <c r="C3050" s="11">
        <f>IFERROR(__xludf.DUMMYFUNCTION("""COMPUTED_VALUE"""),117445.0)</f>
        <v>117445</v>
      </c>
      <c r="D3050" s="11">
        <f>IFERROR(__xludf.DUMMYFUNCTION("""COMPUTED_VALUE"""),1603.0)</f>
        <v>1603</v>
      </c>
      <c r="E3050" s="9"/>
    </row>
    <row r="3051">
      <c r="A3051" s="11">
        <f>IFERROR(__xludf.DUMMYFUNCTION("""COMPUTED_VALUE"""),2021.0)</f>
        <v>2021</v>
      </c>
      <c r="B3051" s="11">
        <f>IFERROR(__xludf.DUMMYFUNCTION("""COMPUTED_VALUE"""),11.0)</f>
        <v>11</v>
      </c>
      <c r="C3051" s="11">
        <f>IFERROR(__xludf.DUMMYFUNCTION("""COMPUTED_VALUE"""),103246.0)</f>
        <v>103246</v>
      </c>
      <c r="D3051" s="11">
        <f>IFERROR(__xludf.DUMMYFUNCTION("""COMPUTED_VALUE"""),656.0)</f>
        <v>656</v>
      </c>
      <c r="E3051" s="9"/>
    </row>
    <row r="3052">
      <c r="A3052" s="11">
        <f>IFERROR(__xludf.DUMMYFUNCTION("""COMPUTED_VALUE"""),2021.0)</f>
        <v>2021</v>
      </c>
      <c r="B3052" s="11">
        <f>IFERROR(__xludf.DUMMYFUNCTION("""COMPUTED_VALUE"""),8.0)</f>
        <v>8</v>
      </c>
      <c r="C3052" s="11">
        <f>IFERROR(__xludf.DUMMYFUNCTION("""COMPUTED_VALUE"""),92626.0)</f>
        <v>92626</v>
      </c>
      <c r="D3052" s="11">
        <f>IFERROR(__xludf.DUMMYFUNCTION("""COMPUTED_VALUE"""),239.0)</f>
        <v>239</v>
      </c>
      <c r="E3052" s="9"/>
    </row>
    <row r="3053">
      <c r="A3053" s="11">
        <f>IFERROR(__xludf.DUMMYFUNCTION("""COMPUTED_VALUE"""),2021.0)</f>
        <v>2021</v>
      </c>
      <c r="B3053" s="11">
        <f>IFERROR(__xludf.DUMMYFUNCTION("""COMPUTED_VALUE"""),11.0)</f>
        <v>11</v>
      </c>
      <c r="C3053" s="11">
        <f>IFERROR(__xludf.DUMMYFUNCTION("""COMPUTED_VALUE"""),79352.0)</f>
        <v>79352</v>
      </c>
      <c r="D3053" s="11">
        <f>IFERROR(__xludf.DUMMYFUNCTION("""COMPUTED_VALUE"""),1344.0)</f>
        <v>1344</v>
      </c>
      <c r="E3053" s="9"/>
    </row>
    <row r="3054">
      <c r="A3054" s="11">
        <f>IFERROR(__xludf.DUMMYFUNCTION("""COMPUTED_VALUE"""),2021.0)</f>
        <v>2021</v>
      </c>
      <c r="B3054" s="11">
        <f>IFERROR(__xludf.DUMMYFUNCTION("""COMPUTED_VALUE"""),8.0)</f>
        <v>8</v>
      </c>
      <c r="C3054" s="11">
        <f>IFERROR(__xludf.DUMMYFUNCTION("""COMPUTED_VALUE"""),128315.0)</f>
        <v>128315</v>
      </c>
      <c r="D3054" s="11">
        <f>IFERROR(__xludf.DUMMYFUNCTION("""COMPUTED_VALUE"""),17.0)</f>
        <v>17</v>
      </c>
      <c r="E3054" s="9"/>
    </row>
    <row r="3055">
      <c r="A3055" s="11">
        <f>IFERROR(__xludf.DUMMYFUNCTION("""COMPUTED_VALUE"""),2021.0)</f>
        <v>2021</v>
      </c>
      <c r="B3055" s="11">
        <f>IFERROR(__xludf.DUMMYFUNCTION("""COMPUTED_VALUE"""),10.0)</f>
        <v>10</v>
      </c>
      <c r="C3055" s="11">
        <f>IFERROR(__xludf.DUMMYFUNCTION("""COMPUTED_VALUE"""),117272.0)</f>
        <v>117272</v>
      </c>
      <c r="D3055" s="11">
        <f>IFERROR(__xludf.DUMMYFUNCTION("""COMPUTED_VALUE"""),480.0)</f>
        <v>480</v>
      </c>
      <c r="E3055" s="9"/>
    </row>
    <row r="3056">
      <c r="A3056" s="11">
        <f>IFERROR(__xludf.DUMMYFUNCTION("""COMPUTED_VALUE"""),2021.0)</f>
        <v>2021</v>
      </c>
      <c r="B3056" s="11">
        <f>IFERROR(__xludf.DUMMYFUNCTION("""COMPUTED_VALUE"""),11.0)</f>
        <v>11</v>
      </c>
      <c r="C3056" s="11">
        <f>IFERROR(__xludf.DUMMYFUNCTION("""COMPUTED_VALUE"""),116770.0)</f>
        <v>116770</v>
      </c>
      <c r="D3056" s="11">
        <f>IFERROR(__xludf.DUMMYFUNCTION("""COMPUTED_VALUE"""),79.0)</f>
        <v>79</v>
      </c>
      <c r="E3056" s="9"/>
    </row>
    <row r="3057">
      <c r="A3057" s="11">
        <f>IFERROR(__xludf.DUMMYFUNCTION("""COMPUTED_VALUE"""),2021.0)</f>
        <v>2021</v>
      </c>
      <c r="B3057" s="11">
        <f>IFERROR(__xludf.DUMMYFUNCTION("""COMPUTED_VALUE"""),8.0)</f>
        <v>8</v>
      </c>
      <c r="C3057" s="11">
        <f>IFERROR(__xludf.DUMMYFUNCTION("""COMPUTED_VALUE"""),118012.0)</f>
        <v>118012</v>
      </c>
      <c r="D3057" s="11">
        <f>IFERROR(__xludf.DUMMYFUNCTION("""COMPUTED_VALUE"""),125.0)</f>
        <v>125</v>
      </c>
      <c r="E3057" s="9"/>
    </row>
    <row r="3058">
      <c r="A3058" s="11">
        <f>IFERROR(__xludf.DUMMYFUNCTION("""COMPUTED_VALUE"""),2021.0)</f>
        <v>2021</v>
      </c>
      <c r="B3058" s="11">
        <f>IFERROR(__xludf.DUMMYFUNCTION("""COMPUTED_VALUE"""),8.0)</f>
        <v>8</v>
      </c>
      <c r="C3058" s="11">
        <f>IFERROR(__xludf.DUMMYFUNCTION("""COMPUTED_VALUE"""),117306.0)</f>
        <v>117306</v>
      </c>
      <c r="D3058" s="11">
        <f>IFERROR(__xludf.DUMMYFUNCTION("""COMPUTED_VALUE"""),1554.0)</f>
        <v>1554</v>
      </c>
      <c r="E3058" s="9"/>
    </row>
    <row r="3059">
      <c r="A3059" s="11">
        <f>IFERROR(__xludf.DUMMYFUNCTION("""COMPUTED_VALUE"""),2021.0)</f>
        <v>2021</v>
      </c>
      <c r="B3059" s="11">
        <f>IFERROR(__xludf.DUMMYFUNCTION("""COMPUTED_VALUE"""),8.0)</f>
        <v>8</v>
      </c>
      <c r="C3059" s="11">
        <f>IFERROR(__xludf.DUMMYFUNCTION("""COMPUTED_VALUE"""),117056.0)</f>
        <v>117056</v>
      </c>
      <c r="D3059" s="11">
        <f>IFERROR(__xludf.DUMMYFUNCTION("""COMPUTED_VALUE"""),204.0)</f>
        <v>204</v>
      </c>
      <c r="E3059" s="9"/>
    </row>
    <row r="3060">
      <c r="A3060" s="11">
        <f>IFERROR(__xludf.DUMMYFUNCTION("""COMPUTED_VALUE"""),2021.0)</f>
        <v>2021</v>
      </c>
      <c r="B3060" s="11">
        <f>IFERROR(__xludf.DUMMYFUNCTION("""COMPUTED_VALUE"""),10.0)</f>
        <v>10</v>
      </c>
      <c r="C3060" s="11">
        <f>IFERROR(__xludf.DUMMYFUNCTION("""COMPUTED_VALUE"""),188066.0)</f>
        <v>188066</v>
      </c>
      <c r="D3060" s="11">
        <f>IFERROR(__xludf.DUMMYFUNCTION("""COMPUTED_VALUE"""),618.0)</f>
        <v>618</v>
      </c>
      <c r="E3060" s="9"/>
    </row>
    <row r="3061">
      <c r="A3061" s="11">
        <f>IFERROR(__xludf.DUMMYFUNCTION("""COMPUTED_VALUE"""),2021.0)</f>
        <v>2021</v>
      </c>
      <c r="B3061" s="11">
        <f>IFERROR(__xludf.DUMMYFUNCTION("""COMPUTED_VALUE"""),11.0)</f>
        <v>11</v>
      </c>
      <c r="C3061" s="11">
        <f>IFERROR(__xludf.DUMMYFUNCTION("""COMPUTED_VALUE"""),181147.0)</f>
        <v>181147</v>
      </c>
      <c r="D3061" s="11">
        <f>IFERROR(__xludf.DUMMYFUNCTION("""COMPUTED_VALUE"""),1534.0)</f>
        <v>1534</v>
      </c>
      <c r="E3061" s="9"/>
    </row>
    <row r="3062">
      <c r="A3062" s="11">
        <f>IFERROR(__xludf.DUMMYFUNCTION("""COMPUTED_VALUE"""),2021.0)</f>
        <v>2021</v>
      </c>
      <c r="B3062" s="11">
        <f>IFERROR(__xludf.DUMMYFUNCTION("""COMPUTED_VALUE"""),9.0)</f>
        <v>9</v>
      </c>
      <c r="C3062" s="11">
        <f>IFERROR(__xludf.DUMMYFUNCTION("""COMPUTED_VALUE"""),79917.0)</f>
        <v>79917</v>
      </c>
      <c r="D3062" s="11">
        <f>IFERROR(__xludf.DUMMYFUNCTION("""COMPUTED_VALUE"""),1149.0)</f>
        <v>1149</v>
      </c>
      <c r="E3062" s="9"/>
    </row>
    <row r="3063">
      <c r="A3063" s="11">
        <f>IFERROR(__xludf.DUMMYFUNCTION("""COMPUTED_VALUE"""),2021.0)</f>
        <v>2021</v>
      </c>
      <c r="B3063" s="11">
        <f>IFERROR(__xludf.DUMMYFUNCTION("""COMPUTED_VALUE"""),10.0)</f>
        <v>10</v>
      </c>
      <c r="C3063" s="11">
        <f>IFERROR(__xludf.DUMMYFUNCTION("""COMPUTED_VALUE"""),110282.0)</f>
        <v>110282</v>
      </c>
      <c r="D3063" s="11">
        <f>IFERROR(__xludf.DUMMYFUNCTION("""COMPUTED_VALUE"""),1120.0)</f>
        <v>1120</v>
      </c>
      <c r="E3063" s="9"/>
    </row>
    <row r="3064">
      <c r="A3064" s="11">
        <f>IFERROR(__xludf.DUMMYFUNCTION("""COMPUTED_VALUE"""),2021.0)</f>
        <v>2021</v>
      </c>
      <c r="B3064" s="11">
        <f>IFERROR(__xludf.DUMMYFUNCTION("""COMPUTED_VALUE"""),10.0)</f>
        <v>10</v>
      </c>
      <c r="C3064" s="11">
        <f>IFERROR(__xludf.DUMMYFUNCTION("""COMPUTED_VALUE"""),200526.0)</f>
        <v>200526</v>
      </c>
      <c r="D3064" s="11">
        <f>IFERROR(__xludf.DUMMYFUNCTION("""COMPUTED_VALUE"""),1883.0)</f>
        <v>1883</v>
      </c>
      <c r="E3064" s="9"/>
    </row>
    <row r="3065">
      <c r="A3065" s="11">
        <f>IFERROR(__xludf.DUMMYFUNCTION("""COMPUTED_VALUE"""),2021.0)</f>
        <v>2021</v>
      </c>
      <c r="B3065" s="11">
        <f>IFERROR(__xludf.DUMMYFUNCTION("""COMPUTED_VALUE"""),10.0)</f>
        <v>10</v>
      </c>
      <c r="C3065" s="11">
        <f>IFERROR(__xludf.DUMMYFUNCTION("""COMPUTED_VALUE"""),193197.0)</f>
        <v>193197</v>
      </c>
      <c r="D3065" s="11">
        <f>IFERROR(__xludf.DUMMYFUNCTION("""COMPUTED_VALUE"""),1504.0)</f>
        <v>1504</v>
      </c>
      <c r="E3065" s="9"/>
    </row>
    <row r="3066">
      <c r="A3066" s="11">
        <f>IFERROR(__xludf.DUMMYFUNCTION("""COMPUTED_VALUE"""),2021.0)</f>
        <v>2021</v>
      </c>
      <c r="B3066" s="11">
        <f>IFERROR(__xludf.DUMMYFUNCTION("""COMPUTED_VALUE"""),11.0)</f>
        <v>11</v>
      </c>
      <c r="C3066" s="11">
        <f>IFERROR(__xludf.DUMMYFUNCTION("""COMPUTED_VALUE"""),79820.0)</f>
        <v>79820</v>
      </c>
      <c r="D3066" s="11">
        <f>IFERROR(__xludf.DUMMYFUNCTION("""COMPUTED_VALUE"""),437.0)</f>
        <v>437</v>
      </c>
      <c r="E3066" s="9"/>
    </row>
    <row r="3067">
      <c r="A3067" s="11">
        <f>IFERROR(__xludf.DUMMYFUNCTION("""COMPUTED_VALUE"""),2021.0)</f>
        <v>2021</v>
      </c>
      <c r="B3067" s="11">
        <f>IFERROR(__xludf.DUMMYFUNCTION("""COMPUTED_VALUE"""),11.0)</f>
        <v>11</v>
      </c>
      <c r="C3067" s="11">
        <f>IFERROR(__xludf.DUMMYFUNCTION("""COMPUTED_VALUE"""),122327.0)</f>
        <v>122327</v>
      </c>
      <c r="D3067" s="11">
        <f>IFERROR(__xludf.DUMMYFUNCTION("""COMPUTED_VALUE"""),337.0)</f>
        <v>337</v>
      </c>
      <c r="E3067" s="9"/>
    </row>
    <row r="3068">
      <c r="A3068" s="11">
        <f>IFERROR(__xludf.DUMMYFUNCTION("""COMPUTED_VALUE"""),2021.0)</f>
        <v>2021</v>
      </c>
      <c r="B3068" s="11">
        <f>IFERROR(__xludf.DUMMYFUNCTION("""COMPUTED_VALUE"""),10.0)</f>
        <v>10</v>
      </c>
      <c r="C3068" s="11">
        <f>IFERROR(__xludf.DUMMYFUNCTION("""COMPUTED_VALUE"""),117956.0)</f>
        <v>117956</v>
      </c>
      <c r="D3068" s="11">
        <f>IFERROR(__xludf.DUMMYFUNCTION("""COMPUTED_VALUE"""),1040.0)</f>
        <v>1040</v>
      </c>
      <c r="E3068" s="9"/>
    </row>
    <row r="3069">
      <c r="A3069" s="11">
        <f>IFERROR(__xludf.DUMMYFUNCTION("""COMPUTED_VALUE"""),2021.0)</f>
        <v>2021</v>
      </c>
      <c r="B3069" s="11">
        <f>IFERROR(__xludf.DUMMYFUNCTION("""COMPUTED_VALUE"""),9.0)</f>
        <v>9</v>
      </c>
      <c r="C3069" s="11">
        <f>IFERROR(__xludf.DUMMYFUNCTION("""COMPUTED_VALUE"""),86182.0)</f>
        <v>86182</v>
      </c>
      <c r="D3069" s="11">
        <f>IFERROR(__xludf.DUMMYFUNCTION("""COMPUTED_VALUE"""),1579.0)</f>
        <v>1579</v>
      </c>
      <c r="E3069" s="9"/>
    </row>
    <row r="3070">
      <c r="A3070" s="11">
        <f>IFERROR(__xludf.DUMMYFUNCTION("""COMPUTED_VALUE"""),2021.0)</f>
        <v>2021</v>
      </c>
      <c r="B3070" s="11">
        <f>IFERROR(__xludf.DUMMYFUNCTION("""COMPUTED_VALUE"""),8.0)</f>
        <v>8</v>
      </c>
      <c r="C3070" s="11">
        <f>IFERROR(__xludf.DUMMYFUNCTION("""COMPUTED_VALUE"""),46989.0)</f>
        <v>46989</v>
      </c>
      <c r="D3070" s="11">
        <f>IFERROR(__xludf.DUMMYFUNCTION("""COMPUTED_VALUE"""),1059.0)</f>
        <v>1059</v>
      </c>
      <c r="E3070" s="9"/>
    </row>
    <row r="3071">
      <c r="A3071" s="11">
        <f>IFERROR(__xludf.DUMMYFUNCTION("""COMPUTED_VALUE"""),2021.0)</f>
        <v>2021</v>
      </c>
      <c r="B3071" s="11">
        <f>IFERROR(__xludf.DUMMYFUNCTION("""COMPUTED_VALUE"""),10.0)</f>
        <v>10</v>
      </c>
      <c r="C3071" s="11">
        <f>IFERROR(__xludf.DUMMYFUNCTION("""COMPUTED_VALUE"""),46976.0)</f>
        <v>46976</v>
      </c>
      <c r="D3071" s="11">
        <f>IFERROR(__xludf.DUMMYFUNCTION("""COMPUTED_VALUE"""),582.0)</f>
        <v>582</v>
      </c>
      <c r="E3071" s="9"/>
    </row>
    <row r="3072">
      <c r="A3072" s="11">
        <f>IFERROR(__xludf.DUMMYFUNCTION("""COMPUTED_VALUE"""),2021.0)</f>
        <v>2021</v>
      </c>
      <c r="B3072" s="11">
        <f>IFERROR(__xludf.DUMMYFUNCTION("""COMPUTED_VALUE"""),10.0)</f>
        <v>10</v>
      </c>
      <c r="C3072" s="11">
        <f>IFERROR(__xludf.DUMMYFUNCTION("""COMPUTED_VALUE"""),79354.0)</f>
        <v>79354</v>
      </c>
      <c r="D3072" s="11">
        <f>IFERROR(__xludf.DUMMYFUNCTION("""COMPUTED_VALUE"""),764.0)</f>
        <v>764</v>
      </c>
      <c r="E3072" s="9"/>
    </row>
    <row r="3073">
      <c r="A3073" s="11">
        <f>IFERROR(__xludf.DUMMYFUNCTION("""COMPUTED_VALUE"""),2021.0)</f>
        <v>2021</v>
      </c>
      <c r="B3073" s="11">
        <f>IFERROR(__xludf.DUMMYFUNCTION("""COMPUTED_VALUE"""),11.0)</f>
        <v>11</v>
      </c>
      <c r="C3073" s="11">
        <f>IFERROR(__xludf.DUMMYFUNCTION("""COMPUTED_VALUE"""),114268.0)</f>
        <v>114268</v>
      </c>
      <c r="D3073" s="11">
        <f>IFERROR(__xludf.DUMMYFUNCTION("""COMPUTED_VALUE"""),780.0)</f>
        <v>780</v>
      </c>
      <c r="E3073" s="9"/>
    </row>
    <row r="3074">
      <c r="A3074" s="11">
        <f>IFERROR(__xludf.DUMMYFUNCTION("""COMPUTED_VALUE"""),2021.0)</f>
        <v>2021</v>
      </c>
      <c r="B3074" s="11">
        <f>IFERROR(__xludf.DUMMYFUNCTION("""COMPUTED_VALUE"""),10.0)</f>
        <v>10</v>
      </c>
      <c r="C3074" s="11">
        <f>IFERROR(__xludf.DUMMYFUNCTION("""COMPUTED_VALUE"""),10685.0)</f>
        <v>10685</v>
      </c>
      <c r="D3074" s="11">
        <f>IFERROR(__xludf.DUMMYFUNCTION("""COMPUTED_VALUE"""),711.0)</f>
        <v>711</v>
      </c>
      <c r="E3074" s="9"/>
    </row>
    <row r="3075">
      <c r="A3075" s="11">
        <f>IFERROR(__xludf.DUMMYFUNCTION("""COMPUTED_VALUE"""),2021.0)</f>
        <v>2021</v>
      </c>
      <c r="B3075" s="11">
        <f>IFERROR(__xludf.DUMMYFUNCTION("""COMPUTED_VALUE"""),8.0)</f>
        <v>8</v>
      </c>
      <c r="C3075" s="11">
        <f>IFERROR(__xludf.DUMMYFUNCTION("""COMPUTED_VALUE"""),118157.0)</f>
        <v>118157</v>
      </c>
      <c r="D3075" s="11">
        <f>IFERROR(__xludf.DUMMYFUNCTION("""COMPUTED_VALUE"""),1883.0)</f>
        <v>1883</v>
      </c>
      <c r="E3075" s="9"/>
    </row>
    <row r="3076">
      <c r="A3076" s="11">
        <f>IFERROR(__xludf.DUMMYFUNCTION("""COMPUTED_VALUE"""),2021.0)</f>
        <v>2021</v>
      </c>
      <c r="B3076" s="11">
        <f>IFERROR(__xludf.DUMMYFUNCTION("""COMPUTED_VALUE"""),8.0)</f>
        <v>8</v>
      </c>
      <c r="C3076" s="11">
        <f>IFERROR(__xludf.DUMMYFUNCTION("""COMPUTED_VALUE"""),122322.0)</f>
        <v>122322</v>
      </c>
      <c r="D3076" s="11">
        <f>IFERROR(__xludf.DUMMYFUNCTION("""COMPUTED_VALUE"""),1277.0)</f>
        <v>1277</v>
      </c>
      <c r="E3076" s="9"/>
    </row>
    <row r="3077">
      <c r="A3077" s="11">
        <f>IFERROR(__xludf.DUMMYFUNCTION("""COMPUTED_VALUE"""),2021.0)</f>
        <v>2021</v>
      </c>
      <c r="B3077" s="11">
        <f>IFERROR(__xludf.DUMMYFUNCTION("""COMPUTED_VALUE"""),8.0)</f>
        <v>8</v>
      </c>
      <c r="C3077" s="11">
        <f>IFERROR(__xludf.DUMMYFUNCTION("""COMPUTED_VALUE"""),27509.0)</f>
        <v>27509</v>
      </c>
      <c r="D3077" s="11">
        <f>IFERROR(__xludf.DUMMYFUNCTION("""COMPUTED_VALUE"""),1595.0)</f>
        <v>1595</v>
      </c>
      <c r="E3077" s="9"/>
    </row>
    <row r="3078">
      <c r="A3078" s="11">
        <f>IFERROR(__xludf.DUMMYFUNCTION("""COMPUTED_VALUE"""),2021.0)</f>
        <v>2021</v>
      </c>
      <c r="B3078" s="11">
        <f>IFERROR(__xludf.DUMMYFUNCTION("""COMPUTED_VALUE"""),11.0)</f>
        <v>11</v>
      </c>
      <c r="C3078" s="11">
        <f>IFERROR(__xludf.DUMMYFUNCTION("""COMPUTED_VALUE"""),110852.0)</f>
        <v>110852</v>
      </c>
      <c r="D3078" s="11">
        <f>IFERROR(__xludf.DUMMYFUNCTION("""COMPUTED_VALUE"""),669.0)</f>
        <v>669</v>
      </c>
      <c r="E3078" s="9"/>
    </row>
    <row r="3079">
      <c r="A3079" s="11">
        <f>IFERROR(__xludf.DUMMYFUNCTION("""COMPUTED_VALUE"""),2021.0)</f>
        <v>2021</v>
      </c>
      <c r="B3079" s="11">
        <f>IFERROR(__xludf.DUMMYFUNCTION("""COMPUTED_VALUE"""),8.0)</f>
        <v>8</v>
      </c>
      <c r="C3079" s="11">
        <f>IFERROR(__xludf.DUMMYFUNCTION("""COMPUTED_VALUE"""),128312.0)</f>
        <v>128312</v>
      </c>
      <c r="D3079" s="11">
        <f>IFERROR(__xludf.DUMMYFUNCTION("""COMPUTED_VALUE"""),770.0)</f>
        <v>770</v>
      </c>
      <c r="E3079" s="9"/>
    </row>
    <row r="3080">
      <c r="A3080" s="11">
        <f>IFERROR(__xludf.DUMMYFUNCTION("""COMPUTED_VALUE"""),2021.0)</f>
        <v>2021</v>
      </c>
      <c r="B3080" s="11">
        <f>IFERROR(__xludf.DUMMYFUNCTION("""COMPUTED_VALUE"""),9.0)</f>
        <v>9</v>
      </c>
      <c r="C3080" s="11">
        <f>IFERROR(__xludf.DUMMYFUNCTION("""COMPUTED_VALUE"""),79355.0)</f>
        <v>79355</v>
      </c>
      <c r="D3080" s="11">
        <f>IFERROR(__xludf.DUMMYFUNCTION("""COMPUTED_VALUE"""),1414.0)</f>
        <v>1414</v>
      </c>
      <c r="E3080" s="9"/>
    </row>
    <row r="3081">
      <c r="A3081" s="11">
        <f>IFERROR(__xludf.DUMMYFUNCTION("""COMPUTED_VALUE"""),2021.0)</f>
        <v>2021</v>
      </c>
      <c r="B3081" s="11">
        <f>IFERROR(__xludf.DUMMYFUNCTION("""COMPUTED_VALUE"""),11.0)</f>
        <v>11</v>
      </c>
      <c r="C3081" s="11">
        <f>IFERROR(__xludf.DUMMYFUNCTION("""COMPUTED_VALUE"""),86185.0)</f>
        <v>86185</v>
      </c>
      <c r="D3081" s="11">
        <f>IFERROR(__xludf.DUMMYFUNCTION("""COMPUTED_VALUE"""),1512.0)</f>
        <v>1512</v>
      </c>
      <c r="E3081" s="9"/>
    </row>
    <row r="3082">
      <c r="A3082" s="11">
        <f>IFERROR(__xludf.DUMMYFUNCTION("""COMPUTED_VALUE"""),2021.0)</f>
        <v>2021</v>
      </c>
      <c r="B3082" s="11">
        <f>IFERROR(__xludf.DUMMYFUNCTION("""COMPUTED_VALUE"""),11.0)</f>
        <v>11</v>
      </c>
      <c r="C3082" s="11">
        <f>IFERROR(__xludf.DUMMYFUNCTION("""COMPUTED_VALUE"""),77138.0)</f>
        <v>77138</v>
      </c>
      <c r="D3082" s="11">
        <f>IFERROR(__xludf.DUMMYFUNCTION("""COMPUTED_VALUE"""),424.0)</f>
        <v>424</v>
      </c>
      <c r="E3082" s="9"/>
    </row>
    <row r="3083">
      <c r="A3083" s="11">
        <f>IFERROR(__xludf.DUMMYFUNCTION("""COMPUTED_VALUE"""),2021.0)</f>
        <v>2021</v>
      </c>
      <c r="B3083" s="11">
        <f>IFERROR(__xludf.DUMMYFUNCTION("""COMPUTED_VALUE"""),9.0)</f>
        <v>9</v>
      </c>
      <c r="C3083" s="11">
        <f>IFERROR(__xludf.DUMMYFUNCTION("""COMPUTED_VALUE"""),86183.0)</f>
        <v>86183</v>
      </c>
      <c r="D3083" s="11">
        <f>IFERROR(__xludf.DUMMYFUNCTION("""COMPUTED_VALUE"""),977.0)</f>
        <v>977</v>
      </c>
      <c r="E3083" s="9"/>
    </row>
    <row r="3084">
      <c r="A3084" s="11">
        <f>IFERROR(__xludf.DUMMYFUNCTION("""COMPUTED_VALUE"""),2021.0)</f>
        <v>2021</v>
      </c>
      <c r="B3084" s="11">
        <f>IFERROR(__xludf.DUMMYFUNCTION("""COMPUTED_VALUE"""),8.0)</f>
        <v>8</v>
      </c>
      <c r="C3084" s="11">
        <f>IFERROR(__xludf.DUMMYFUNCTION("""COMPUTED_VALUE"""),122595.0)</f>
        <v>122595</v>
      </c>
      <c r="D3084" s="11">
        <f>IFERROR(__xludf.DUMMYFUNCTION("""COMPUTED_VALUE"""),928.0)</f>
        <v>928</v>
      </c>
      <c r="E3084" s="9"/>
    </row>
    <row r="3085">
      <c r="A3085" s="11">
        <f>IFERROR(__xludf.DUMMYFUNCTION("""COMPUTED_VALUE"""),2021.0)</f>
        <v>2021</v>
      </c>
      <c r="B3085" s="11">
        <f>IFERROR(__xludf.DUMMYFUNCTION("""COMPUTED_VALUE"""),9.0)</f>
        <v>9</v>
      </c>
      <c r="C3085" s="11">
        <f>IFERROR(__xludf.DUMMYFUNCTION("""COMPUTED_VALUE"""),70338.0)</f>
        <v>70338</v>
      </c>
      <c r="D3085" s="11">
        <f>IFERROR(__xludf.DUMMYFUNCTION("""COMPUTED_VALUE"""),441.0)</f>
        <v>441</v>
      </c>
      <c r="E3085" s="9"/>
    </row>
    <row r="3086">
      <c r="A3086" s="11">
        <f>IFERROR(__xludf.DUMMYFUNCTION("""COMPUTED_VALUE"""),2021.0)</f>
        <v>2021</v>
      </c>
      <c r="B3086" s="11">
        <f>IFERROR(__xludf.DUMMYFUNCTION("""COMPUTED_VALUE"""),11.0)</f>
        <v>11</v>
      </c>
      <c r="C3086" s="11">
        <f>IFERROR(__xludf.DUMMYFUNCTION("""COMPUTED_VALUE"""),114273.0)</f>
        <v>114273</v>
      </c>
      <c r="D3086" s="11">
        <f>IFERROR(__xludf.DUMMYFUNCTION("""COMPUTED_VALUE"""),777.0)</f>
        <v>777</v>
      </c>
      <c r="E3086" s="9"/>
    </row>
    <row r="3087">
      <c r="A3087" s="11">
        <f>IFERROR(__xludf.DUMMYFUNCTION("""COMPUTED_VALUE"""),2021.0)</f>
        <v>2021</v>
      </c>
      <c r="B3087" s="11">
        <f>IFERROR(__xludf.DUMMYFUNCTION("""COMPUTED_VALUE"""),11.0)</f>
        <v>11</v>
      </c>
      <c r="C3087" s="11">
        <f>IFERROR(__xludf.DUMMYFUNCTION("""COMPUTED_VALUE"""),110849.0)</f>
        <v>110849</v>
      </c>
      <c r="D3087" s="11">
        <f>IFERROR(__xludf.DUMMYFUNCTION("""COMPUTED_VALUE"""),1091.0)</f>
        <v>1091</v>
      </c>
      <c r="E3087" s="9"/>
    </row>
    <row r="3088">
      <c r="A3088" s="11">
        <f>IFERROR(__xludf.DUMMYFUNCTION("""COMPUTED_VALUE"""),2021.0)</f>
        <v>2021</v>
      </c>
      <c r="B3088" s="11">
        <f>IFERROR(__xludf.DUMMYFUNCTION("""COMPUTED_VALUE"""),10.0)</f>
        <v>10</v>
      </c>
      <c r="C3088" s="11">
        <f>IFERROR(__xludf.DUMMYFUNCTION("""COMPUTED_VALUE"""),45056.0)</f>
        <v>45056</v>
      </c>
      <c r="D3088" s="11">
        <f>IFERROR(__xludf.DUMMYFUNCTION("""COMPUTED_VALUE"""),1621.0)</f>
        <v>1621</v>
      </c>
      <c r="E3088" s="9"/>
    </row>
    <row r="3089">
      <c r="A3089" s="11">
        <f>IFERROR(__xludf.DUMMYFUNCTION("""COMPUTED_VALUE"""),2021.0)</f>
        <v>2021</v>
      </c>
      <c r="B3089" s="11">
        <f>IFERROR(__xludf.DUMMYFUNCTION("""COMPUTED_VALUE"""),11.0)</f>
        <v>11</v>
      </c>
      <c r="C3089" s="11">
        <f>IFERROR(__xludf.DUMMYFUNCTION("""COMPUTED_VALUE"""),92633.0)</f>
        <v>92633</v>
      </c>
      <c r="D3089" s="11">
        <f>IFERROR(__xludf.DUMMYFUNCTION("""COMPUTED_VALUE"""),1297.0)</f>
        <v>1297</v>
      </c>
      <c r="E3089" s="9"/>
    </row>
    <row r="3090">
      <c r="A3090" s="11">
        <f>IFERROR(__xludf.DUMMYFUNCTION("""COMPUTED_VALUE"""),2021.0)</f>
        <v>2021</v>
      </c>
      <c r="B3090" s="11">
        <f>IFERROR(__xludf.DUMMYFUNCTION("""COMPUTED_VALUE"""),11.0)</f>
        <v>11</v>
      </c>
      <c r="C3090" s="11">
        <f>IFERROR(__xludf.DUMMYFUNCTION("""COMPUTED_VALUE"""),111011.0)</f>
        <v>111011</v>
      </c>
      <c r="D3090" s="11">
        <f>IFERROR(__xludf.DUMMYFUNCTION("""COMPUTED_VALUE"""),342.0)</f>
        <v>342</v>
      </c>
      <c r="E3090" s="9"/>
    </row>
    <row r="3091">
      <c r="A3091" s="11">
        <f>IFERROR(__xludf.DUMMYFUNCTION("""COMPUTED_VALUE"""),2021.0)</f>
        <v>2021</v>
      </c>
      <c r="B3091" s="11">
        <f>IFERROR(__xludf.DUMMYFUNCTION("""COMPUTED_VALUE"""),11.0)</f>
        <v>11</v>
      </c>
      <c r="C3091" s="11">
        <f>IFERROR(__xludf.DUMMYFUNCTION("""COMPUTED_VALUE"""),11002.0)</f>
        <v>11002</v>
      </c>
      <c r="D3091" s="11">
        <f>IFERROR(__xludf.DUMMYFUNCTION("""COMPUTED_VALUE"""),664.0)</f>
        <v>664</v>
      </c>
      <c r="E3091" s="9"/>
    </row>
    <row r="3092">
      <c r="A3092" s="11">
        <f>IFERROR(__xludf.DUMMYFUNCTION("""COMPUTED_VALUE"""),2021.0)</f>
        <v>2021</v>
      </c>
      <c r="B3092" s="11">
        <f>IFERROR(__xludf.DUMMYFUNCTION("""COMPUTED_VALUE"""),8.0)</f>
        <v>8</v>
      </c>
      <c r="C3092" s="11">
        <f>IFERROR(__xludf.DUMMYFUNCTION("""COMPUTED_VALUE"""),80661.0)</f>
        <v>80661</v>
      </c>
      <c r="D3092" s="11">
        <f>IFERROR(__xludf.DUMMYFUNCTION("""COMPUTED_VALUE"""),1754.0)</f>
        <v>1754</v>
      </c>
      <c r="E3092" s="9"/>
    </row>
    <row r="3093">
      <c r="A3093" s="11">
        <f>IFERROR(__xludf.DUMMYFUNCTION("""COMPUTED_VALUE"""),2021.0)</f>
        <v>2021</v>
      </c>
      <c r="B3093" s="11">
        <f>IFERROR(__xludf.DUMMYFUNCTION("""COMPUTED_VALUE"""),11.0)</f>
        <v>11</v>
      </c>
      <c r="C3093" s="11">
        <f>IFERROR(__xludf.DUMMYFUNCTION("""COMPUTED_VALUE"""),128310.0)</f>
        <v>128310</v>
      </c>
      <c r="D3093" s="11">
        <f>IFERROR(__xludf.DUMMYFUNCTION("""COMPUTED_VALUE"""),343.0)</f>
        <v>343</v>
      </c>
      <c r="E3093" s="9"/>
    </row>
    <row r="3094">
      <c r="A3094" s="11">
        <f>IFERROR(__xludf.DUMMYFUNCTION("""COMPUTED_VALUE"""),2021.0)</f>
        <v>2021</v>
      </c>
      <c r="B3094" s="11">
        <f>IFERROR(__xludf.DUMMYFUNCTION("""COMPUTED_VALUE"""),9.0)</f>
        <v>9</v>
      </c>
      <c r="C3094" s="11">
        <f>IFERROR(__xludf.DUMMYFUNCTION("""COMPUTED_VALUE"""),182193.0)</f>
        <v>182193</v>
      </c>
      <c r="D3094" s="11">
        <f>IFERROR(__xludf.DUMMYFUNCTION("""COMPUTED_VALUE"""),1022.0)</f>
        <v>1022</v>
      </c>
      <c r="E3094" s="9"/>
    </row>
    <row r="3095">
      <c r="A3095" s="11">
        <f>IFERROR(__xludf.DUMMYFUNCTION("""COMPUTED_VALUE"""),2021.0)</f>
        <v>2021</v>
      </c>
      <c r="B3095" s="11">
        <f>IFERROR(__xludf.DUMMYFUNCTION("""COMPUTED_VALUE"""),9.0)</f>
        <v>9</v>
      </c>
      <c r="C3095" s="11">
        <f>IFERROR(__xludf.DUMMYFUNCTION("""COMPUTED_VALUE"""),116771.0)</f>
        <v>116771</v>
      </c>
      <c r="D3095" s="11">
        <f>IFERROR(__xludf.DUMMYFUNCTION("""COMPUTED_VALUE"""),1908.0)</f>
        <v>1908</v>
      </c>
      <c r="E3095" s="9"/>
    </row>
    <row r="3096">
      <c r="A3096" s="11">
        <f>IFERROR(__xludf.DUMMYFUNCTION("""COMPUTED_VALUE"""),2021.0)</f>
        <v>2021</v>
      </c>
      <c r="B3096" s="11">
        <f>IFERROR(__xludf.DUMMYFUNCTION("""COMPUTED_VALUE"""),11.0)</f>
        <v>11</v>
      </c>
      <c r="C3096" s="11">
        <f>IFERROR(__xludf.DUMMYFUNCTION("""COMPUTED_VALUE"""),103245.0)</f>
        <v>103245</v>
      </c>
      <c r="D3096" s="11">
        <f>IFERROR(__xludf.DUMMYFUNCTION("""COMPUTED_VALUE"""),1862.0)</f>
        <v>1862</v>
      </c>
      <c r="E3096" s="9"/>
    </row>
    <row r="3097">
      <c r="A3097" s="11">
        <f>IFERROR(__xludf.DUMMYFUNCTION("""COMPUTED_VALUE"""),2021.0)</f>
        <v>2021</v>
      </c>
      <c r="B3097" s="11">
        <f>IFERROR(__xludf.DUMMYFUNCTION("""COMPUTED_VALUE"""),8.0)</f>
        <v>8</v>
      </c>
      <c r="C3097" s="11">
        <f>IFERROR(__xludf.DUMMYFUNCTION("""COMPUTED_VALUE"""),1961.0)</f>
        <v>1961</v>
      </c>
      <c r="D3097" s="11">
        <f>IFERROR(__xludf.DUMMYFUNCTION("""COMPUTED_VALUE"""),652.0)</f>
        <v>652</v>
      </c>
      <c r="E3097" s="9"/>
    </row>
    <row r="3098">
      <c r="A3098" s="11">
        <f>IFERROR(__xludf.DUMMYFUNCTION("""COMPUTED_VALUE"""),2021.0)</f>
        <v>2021</v>
      </c>
      <c r="B3098" s="11">
        <f>IFERROR(__xludf.DUMMYFUNCTION("""COMPUTED_VALUE"""),11.0)</f>
        <v>11</v>
      </c>
      <c r="C3098" s="11">
        <f>IFERROR(__xludf.DUMMYFUNCTION("""COMPUTED_VALUE"""),128314.0)</f>
        <v>128314</v>
      </c>
      <c r="D3098" s="11">
        <f>IFERROR(__xludf.DUMMYFUNCTION("""COMPUTED_VALUE"""),289.0)</f>
        <v>289</v>
      </c>
      <c r="E3098" s="9"/>
    </row>
    <row r="3099">
      <c r="A3099" s="11">
        <f>IFERROR(__xludf.DUMMYFUNCTION("""COMPUTED_VALUE"""),2021.0)</f>
        <v>2021</v>
      </c>
      <c r="B3099" s="11">
        <f>IFERROR(__xludf.DUMMYFUNCTION("""COMPUTED_VALUE"""),11.0)</f>
        <v>11</v>
      </c>
      <c r="C3099" s="11">
        <f>IFERROR(__xludf.DUMMYFUNCTION("""COMPUTED_VALUE"""),109993.0)</f>
        <v>109993</v>
      </c>
      <c r="D3099" s="11">
        <f>IFERROR(__xludf.DUMMYFUNCTION("""COMPUTED_VALUE"""),942.0)</f>
        <v>942</v>
      </c>
      <c r="E3099" s="9"/>
    </row>
    <row r="3100">
      <c r="A3100" s="11">
        <f>IFERROR(__xludf.DUMMYFUNCTION("""COMPUTED_VALUE"""),2021.0)</f>
        <v>2021</v>
      </c>
      <c r="B3100" s="11">
        <f>IFERROR(__xludf.DUMMYFUNCTION("""COMPUTED_VALUE"""),10.0)</f>
        <v>10</v>
      </c>
      <c r="C3100" s="11">
        <f>IFERROR(__xludf.DUMMYFUNCTION("""COMPUTED_VALUE"""),117270.0)</f>
        <v>117270</v>
      </c>
      <c r="D3100" s="11">
        <f>IFERROR(__xludf.DUMMYFUNCTION("""COMPUTED_VALUE"""),287.0)</f>
        <v>287</v>
      </c>
      <c r="E3100" s="9"/>
    </row>
    <row r="3101">
      <c r="A3101" s="11">
        <f>IFERROR(__xludf.DUMMYFUNCTION("""COMPUTED_VALUE"""),2021.0)</f>
        <v>2021</v>
      </c>
      <c r="B3101" s="11">
        <f>IFERROR(__xludf.DUMMYFUNCTION("""COMPUTED_VALUE"""),11.0)</f>
        <v>11</v>
      </c>
      <c r="C3101" s="11">
        <f>IFERROR(__xludf.DUMMYFUNCTION("""COMPUTED_VALUE"""),42748.0)</f>
        <v>42748</v>
      </c>
      <c r="D3101" s="11">
        <f>IFERROR(__xludf.DUMMYFUNCTION("""COMPUTED_VALUE"""),990.0)</f>
        <v>990</v>
      </c>
      <c r="E3101" s="9"/>
    </row>
    <row r="3102">
      <c r="A3102" s="11">
        <f>IFERROR(__xludf.DUMMYFUNCTION("""COMPUTED_VALUE"""),2021.0)</f>
        <v>2021</v>
      </c>
      <c r="B3102" s="11">
        <f>IFERROR(__xludf.DUMMYFUNCTION("""COMPUTED_VALUE"""),10.0)</f>
        <v>10</v>
      </c>
      <c r="C3102" s="11">
        <f>IFERROR(__xludf.DUMMYFUNCTION("""COMPUTED_VALUE"""),110447.0)</f>
        <v>110447</v>
      </c>
      <c r="D3102" s="11">
        <f>IFERROR(__xludf.DUMMYFUNCTION("""COMPUTED_VALUE"""),901.0)</f>
        <v>901</v>
      </c>
      <c r="E3102" s="9"/>
    </row>
    <row r="3103">
      <c r="A3103" s="11">
        <f>IFERROR(__xludf.DUMMYFUNCTION("""COMPUTED_VALUE"""),2021.0)</f>
        <v>2021</v>
      </c>
      <c r="B3103" s="11">
        <f>IFERROR(__xludf.DUMMYFUNCTION("""COMPUTED_VALUE"""),9.0)</f>
        <v>9</v>
      </c>
      <c r="C3103" s="11">
        <f>IFERROR(__xludf.DUMMYFUNCTION("""COMPUTED_VALUE"""),46979.0)</f>
        <v>46979</v>
      </c>
      <c r="D3103" s="11">
        <f>IFERROR(__xludf.DUMMYFUNCTION("""COMPUTED_VALUE"""),1745.0)</f>
        <v>1745</v>
      </c>
      <c r="E3103" s="9"/>
    </row>
    <row r="3104">
      <c r="A3104" s="11">
        <f>IFERROR(__xludf.DUMMYFUNCTION("""COMPUTED_VALUE"""),2021.0)</f>
        <v>2021</v>
      </c>
      <c r="B3104" s="11">
        <f>IFERROR(__xludf.DUMMYFUNCTION("""COMPUTED_VALUE"""),9.0)</f>
        <v>9</v>
      </c>
      <c r="C3104" s="11">
        <f>IFERROR(__xludf.DUMMYFUNCTION("""COMPUTED_VALUE"""),1296.0)</f>
        <v>1296</v>
      </c>
      <c r="D3104" s="11">
        <f>IFERROR(__xludf.DUMMYFUNCTION("""COMPUTED_VALUE"""),648.0)</f>
        <v>648</v>
      </c>
      <c r="E3104" s="9"/>
    </row>
    <row r="3105">
      <c r="A3105" s="11">
        <f>IFERROR(__xludf.DUMMYFUNCTION("""COMPUTED_VALUE"""),2021.0)</f>
        <v>2021</v>
      </c>
      <c r="B3105" s="11">
        <f>IFERROR(__xludf.DUMMYFUNCTION("""COMPUTED_VALUE"""),9.0)</f>
        <v>9</v>
      </c>
      <c r="C3105" s="11">
        <f>IFERROR(__xludf.DUMMYFUNCTION("""COMPUTED_VALUE"""),109973.0)</f>
        <v>109973</v>
      </c>
      <c r="D3105" s="11">
        <f>IFERROR(__xludf.DUMMYFUNCTION("""COMPUTED_VALUE"""),1792.0)</f>
        <v>1792</v>
      </c>
      <c r="E3105" s="9"/>
    </row>
    <row r="3106">
      <c r="A3106" s="11">
        <f>IFERROR(__xludf.DUMMYFUNCTION("""COMPUTED_VALUE"""),2021.0)</f>
        <v>2021</v>
      </c>
      <c r="B3106" s="11">
        <f>IFERROR(__xludf.DUMMYFUNCTION("""COMPUTED_VALUE"""),9.0)</f>
        <v>9</v>
      </c>
      <c r="C3106" s="11">
        <f>IFERROR(__xludf.DUMMYFUNCTION("""COMPUTED_VALUE"""),155949.0)</f>
        <v>155949</v>
      </c>
      <c r="D3106" s="11">
        <f>IFERROR(__xludf.DUMMYFUNCTION("""COMPUTED_VALUE"""),182.0)</f>
        <v>182</v>
      </c>
      <c r="E3106" s="9"/>
    </row>
    <row r="3107">
      <c r="A3107" s="11">
        <f>IFERROR(__xludf.DUMMYFUNCTION("""COMPUTED_VALUE"""),2021.0)</f>
        <v>2021</v>
      </c>
      <c r="B3107" s="11">
        <f>IFERROR(__xludf.DUMMYFUNCTION("""COMPUTED_VALUE"""),10.0)</f>
        <v>10</v>
      </c>
      <c r="C3107" s="11">
        <f>IFERROR(__xludf.DUMMYFUNCTION("""COMPUTED_VALUE"""),187346.0)</f>
        <v>187346</v>
      </c>
      <c r="D3107" s="11">
        <f>IFERROR(__xludf.DUMMYFUNCTION("""COMPUTED_VALUE"""),466.0)</f>
        <v>466</v>
      </c>
      <c r="E3107" s="9"/>
    </row>
    <row r="3108">
      <c r="A3108" s="11">
        <f>IFERROR(__xludf.DUMMYFUNCTION("""COMPUTED_VALUE"""),2021.0)</f>
        <v>2021</v>
      </c>
      <c r="B3108" s="11">
        <f>IFERROR(__xludf.DUMMYFUNCTION("""COMPUTED_VALUE"""),9.0)</f>
        <v>9</v>
      </c>
      <c r="C3108" s="11">
        <f>IFERROR(__xludf.DUMMYFUNCTION("""COMPUTED_VALUE"""),46978.0)</f>
        <v>46978</v>
      </c>
      <c r="D3108" s="11">
        <f>IFERROR(__xludf.DUMMYFUNCTION("""COMPUTED_VALUE"""),547.0)</f>
        <v>547</v>
      </c>
      <c r="E3108" s="9"/>
    </row>
    <row r="3109">
      <c r="A3109" s="11">
        <f>IFERROR(__xludf.DUMMYFUNCTION("""COMPUTED_VALUE"""),2021.0)</f>
        <v>2021</v>
      </c>
      <c r="B3109" s="11">
        <f>IFERROR(__xludf.DUMMYFUNCTION("""COMPUTED_VALUE"""),11.0)</f>
        <v>11</v>
      </c>
      <c r="C3109" s="11">
        <f>IFERROR(__xludf.DUMMYFUNCTION("""COMPUTED_VALUE"""),110283.0)</f>
        <v>110283</v>
      </c>
      <c r="D3109" s="11">
        <f>IFERROR(__xludf.DUMMYFUNCTION("""COMPUTED_VALUE"""),214.0)</f>
        <v>214</v>
      </c>
      <c r="E3109" s="9"/>
    </row>
    <row r="3110">
      <c r="A3110" s="11">
        <f>IFERROR(__xludf.DUMMYFUNCTION("""COMPUTED_VALUE"""),2021.0)</f>
        <v>2021</v>
      </c>
      <c r="B3110" s="11">
        <f>IFERROR(__xludf.DUMMYFUNCTION("""COMPUTED_VALUE"""),9.0)</f>
        <v>9</v>
      </c>
      <c r="C3110" s="11">
        <f>IFERROR(__xludf.DUMMYFUNCTION("""COMPUTED_VALUE"""),147257.0)</f>
        <v>147257</v>
      </c>
      <c r="D3110" s="11">
        <f>IFERROR(__xludf.DUMMYFUNCTION("""COMPUTED_VALUE"""),1874.0)</f>
        <v>1874</v>
      </c>
      <c r="E3110" s="9"/>
    </row>
    <row r="3111">
      <c r="A3111" s="11">
        <f>IFERROR(__xludf.DUMMYFUNCTION("""COMPUTED_VALUE"""),2021.0)</f>
        <v>2021</v>
      </c>
      <c r="B3111" s="11">
        <f>IFERROR(__xludf.DUMMYFUNCTION("""COMPUTED_VALUE"""),8.0)</f>
        <v>8</v>
      </c>
      <c r="C3111" s="11">
        <f>IFERROR(__xludf.DUMMYFUNCTION("""COMPUTED_VALUE"""),182191.0)</f>
        <v>182191</v>
      </c>
      <c r="D3111" s="11">
        <f>IFERROR(__xludf.DUMMYFUNCTION("""COMPUTED_VALUE"""),1106.0)</f>
        <v>1106</v>
      </c>
      <c r="E3111" s="9"/>
    </row>
    <row r="3112">
      <c r="A3112" s="11">
        <f>IFERROR(__xludf.DUMMYFUNCTION("""COMPUTED_VALUE"""),2021.0)</f>
        <v>2021</v>
      </c>
      <c r="B3112" s="11">
        <f>IFERROR(__xludf.DUMMYFUNCTION("""COMPUTED_VALUE"""),11.0)</f>
        <v>11</v>
      </c>
      <c r="C3112" s="11">
        <f>IFERROR(__xludf.DUMMYFUNCTION("""COMPUTED_VALUE"""),9722.0)</f>
        <v>9722</v>
      </c>
      <c r="D3112" s="11">
        <f>IFERROR(__xludf.DUMMYFUNCTION("""COMPUTED_VALUE"""),809.0)</f>
        <v>809</v>
      </c>
      <c r="E3112" s="9"/>
    </row>
    <row r="3113">
      <c r="A3113" s="11">
        <f>IFERROR(__xludf.DUMMYFUNCTION("""COMPUTED_VALUE"""),2021.0)</f>
        <v>2021</v>
      </c>
      <c r="B3113" s="11">
        <f>IFERROR(__xludf.DUMMYFUNCTION("""COMPUTED_VALUE"""),10.0)</f>
        <v>10</v>
      </c>
      <c r="C3113" s="11">
        <f>IFERROR(__xludf.DUMMYFUNCTION("""COMPUTED_VALUE"""),124772.0)</f>
        <v>124772</v>
      </c>
      <c r="D3113" s="11">
        <f>IFERROR(__xludf.DUMMYFUNCTION("""COMPUTED_VALUE"""),1909.0)</f>
        <v>1909</v>
      </c>
      <c r="E3113" s="9"/>
    </row>
    <row r="3114">
      <c r="A3114" s="11">
        <f>IFERROR(__xludf.DUMMYFUNCTION("""COMPUTED_VALUE"""),2021.0)</f>
        <v>2021</v>
      </c>
      <c r="B3114" s="11">
        <f>IFERROR(__xludf.DUMMYFUNCTION("""COMPUTED_VALUE"""),8.0)</f>
        <v>8</v>
      </c>
      <c r="C3114" s="11">
        <f>IFERROR(__xludf.DUMMYFUNCTION("""COMPUTED_VALUE"""),8681.0)</f>
        <v>8681</v>
      </c>
      <c r="D3114" s="11">
        <f>IFERROR(__xludf.DUMMYFUNCTION("""COMPUTED_VALUE"""),162.0)</f>
        <v>162</v>
      </c>
      <c r="E3114" s="9"/>
    </row>
    <row r="3115">
      <c r="A3115" s="11">
        <f>IFERROR(__xludf.DUMMYFUNCTION("""COMPUTED_VALUE"""),2021.0)</f>
        <v>2021</v>
      </c>
      <c r="B3115" s="11">
        <f>IFERROR(__xludf.DUMMYFUNCTION("""COMPUTED_VALUE"""),11.0)</f>
        <v>11</v>
      </c>
      <c r="C3115" s="11">
        <f>IFERROR(__xludf.DUMMYFUNCTION("""COMPUTED_VALUE"""),5077.0)</f>
        <v>5077</v>
      </c>
      <c r="D3115" s="11">
        <f>IFERROR(__xludf.DUMMYFUNCTION("""COMPUTED_VALUE"""),419.0)</f>
        <v>419</v>
      </c>
      <c r="E3115" s="9"/>
    </row>
    <row r="3116">
      <c r="A3116" s="11">
        <f>IFERROR(__xludf.DUMMYFUNCTION("""COMPUTED_VALUE"""),2021.0)</f>
        <v>2021</v>
      </c>
      <c r="B3116" s="11">
        <f>IFERROR(__xludf.DUMMYFUNCTION("""COMPUTED_VALUE"""),9.0)</f>
        <v>9</v>
      </c>
      <c r="C3116" s="11">
        <f>IFERROR(__xludf.DUMMYFUNCTION("""COMPUTED_VALUE"""),114274.0)</f>
        <v>114274</v>
      </c>
      <c r="D3116" s="11">
        <f>IFERROR(__xludf.DUMMYFUNCTION("""COMPUTED_VALUE"""),689.0)</f>
        <v>689</v>
      </c>
      <c r="E3116" s="9"/>
    </row>
    <row r="3117">
      <c r="A3117" s="11">
        <f>IFERROR(__xludf.DUMMYFUNCTION("""COMPUTED_VALUE"""),2021.0)</f>
        <v>2021</v>
      </c>
      <c r="B3117" s="11">
        <f>IFERROR(__xludf.DUMMYFUNCTION("""COMPUTED_VALUE"""),10.0)</f>
        <v>10</v>
      </c>
      <c r="C3117" s="11">
        <f>IFERROR(__xludf.DUMMYFUNCTION("""COMPUTED_VALUE"""),1297.0)</f>
        <v>1297</v>
      </c>
      <c r="D3117" s="11">
        <f>IFERROR(__xludf.DUMMYFUNCTION("""COMPUTED_VALUE"""),1261.0)</f>
        <v>1261</v>
      </c>
      <c r="E3117" s="9"/>
    </row>
    <row r="3118">
      <c r="A3118" s="11">
        <f>IFERROR(__xludf.DUMMYFUNCTION("""COMPUTED_VALUE"""),2021.0)</f>
        <v>2021</v>
      </c>
      <c r="B3118" s="11">
        <f>IFERROR(__xludf.DUMMYFUNCTION("""COMPUTED_VALUE"""),9.0)</f>
        <v>9</v>
      </c>
      <c r="C3118" s="11">
        <f>IFERROR(__xludf.DUMMYFUNCTION("""COMPUTED_VALUE"""),46988.0)</f>
        <v>46988</v>
      </c>
      <c r="D3118" s="11">
        <f>IFERROR(__xludf.DUMMYFUNCTION("""COMPUTED_VALUE"""),323.0)</f>
        <v>323</v>
      </c>
      <c r="E3118" s="9"/>
    </row>
    <row r="3119">
      <c r="A3119" s="11">
        <f>IFERROR(__xludf.DUMMYFUNCTION("""COMPUTED_VALUE"""),2021.0)</f>
        <v>2021</v>
      </c>
      <c r="B3119" s="11">
        <f>IFERROR(__xludf.DUMMYFUNCTION("""COMPUTED_VALUE"""),10.0)</f>
        <v>10</v>
      </c>
      <c r="C3119" s="11">
        <f>IFERROR(__xludf.DUMMYFUNCTION("""COMPUTED_VALUE"""),92623.0)</f>
        <v>92623</v>
      </c>
      <c r="D3119" s="11">
        <f>IFERROR(__xludf.DUMMYFUNCTION("""COMPUTED_VALUE"""),740.0)</f>
        <v>740</v>
      </c>
      <c r="E3119" s="9"/>
    </row>
    <row r="3120">
      <c r="A3120" s="11">
        <f>IFERROR(__xludf.DUMMYFUNCTION("""COMPUTED_VALUE"""),2021.0)</f>
        <v>2021</v>
      </c>
      <c r="B3120" s="11">
        <f>IFERROR(__xludf.DUMMYFUNCTION("""COMPUTED_VALUE"""),11.0)</f>
        <v>11</v>
      </c>
      <c r="C3120" s="11">
        <f>IFERROR(__xludf.DUMMYFUNCTION("""COMPUTED_VALUE"""),79761.0)</f>
        <v>79761</v>
      </c>
      <c r="D3120" s="11">
        <f>IFERROR(__xludf.DUMMYFUNCTION("""COMPUTED_VALUE"""),1362.0)</f>
        <v>1362</v>
      </c>
      <c r="E3120" s="9"/>
    </row>
    <row r="3121">
      <c r="A3121" s="11">
        <f>IFERROR(__xludf.DUMMYFUNCTION("""COMPUTED_VALUE"""),2021.0)</f>
        <v>2021</v>
      </c>
      <c r="B3121" s="11">
        <f>IFERROR(__xludf.DUMMYFUNCTION("""COMPUTED_VALUE"""),10.0)</f>
        <v>10</v>
      </c>
      <c r="C3121" s="11">
        <f>IFERROR(__xludf.DUMMYFUNCTION("""COMPUTED_VALUE"""),11001.0)</f>
        <v>11001</v>
      </c>
      <c r="D3121" s="11">
        <f>IFERROR(__xludf.DUMMYFUNCTION("""COMPUTED_VALUE"""),1790.0)</f>
        <v>1790</v>
      </c>
      <c r="E3121" s="9"/>
    </row>
    <row r="3122">
      <c r="A3122" s="11">
        <f>IFERROR(__xludf.DUMMYFUNCTION("""COMPUTED_VALUE"""),2021.0)</f>
        <v>2021</v>
      </c>
      <c r="B3122" s="11">
        <f>IFERROR(__xludf.DUMMYFUNCTION("""COMPUTED_VALUE"""),10.0)</f>
        <v>10</v>
      </c>
      <c r="C3122" s="11">
        <f>IFERROR(__xludf.DUMMYFUNCTION("""COMPUTED_VALUE"""),9731.0)</f>
        <v>9731</v>
      </c>
      <c r="D3122" s="11">
        <f>IFERROR(__xludf.DUMMYFUNCTION("""COMPUTED_VALUE"""),598.0)</f>
        <v>598</v>
      </c>
      <c r="E3122" s="9"/>
    </row>
    <row r="3123">
      <c r="A3123" s="11">
        <f>IFERROR(__xludf.DUMMYFUNCTION("""COMPUTED_VALUE"""),2021.0)</f>
        <v>2021</v>
      </c>
      <c r="B3123" s="11">
        <f>IFERROR(__xludf.DUMMYFUNCTION("""COMPUTED_VALUE"""),10.0)</f>
        <v>10</v>
      </c>
      <c r="C3123" s="11">
        <f>IFERROR(__xludf.DUMMYFUNCTION("""COMPUTED_VALUE"""),122316.0)</f>
        <v>122316</v>
      </c>
      <c r="D3123" s="11">
        <f>IFERROR(__xludf.DUMMYFUNCTION("""COMPUTED_VALUE"""),1609.0)</f>
        <v>1609</v>
      </c>
      <c r="E3123" s="9"/>
    </row>
    <row r="3124">
      <c r="A3124" s="11">
        <f>IFERROR(__xludf.DUMMYFUNCTION("""COMPUTED_VALUE"""),2021.0)</f>
        <v>2021</v>
      </c>
      <c r="B3124" s="11">
        <f>IFERROR(__xludf.DUMMYFUNCTION("""COMPUTED_VALUE"""),9.0)</f>
        <v>9</v>
      </c>
      <c r="C3124" s="11">
        <f>IFERROR(__xludf.DUMMYFUNCTION("""COMPUTED_VALUE"""),147255.0)</f>
        <v>147255</v>
      </c>
      <c r="D3124" s="11">
        <f>IFERROR(__xludf.DUMMYFUNCTION("""COMPUTED_VALUE"""),73.0)</f>
        <v>73</v>
      </c>
      <c r="E3124" s="9"/>
    </row>
    <row r="3125">
      <c r="A3125" s="11">
        <f>IFERROR(__xludf.DUMMYFUNCTION("""COMPUTED_VALUE"""),2021.0)</f>
        <v>2021</v>
      </c>
      <c r="B3125" s="11">
        <f>IFERROR(__xludf.DUMMYFUNCTION("""COMPUTED_VALUE"""),11.0)</f>
        <v>11</v>
      </c>
      <c r="C3125" s="11">
        <f>IFERROR(__xludf.DUMMYFUNCTION("""COMPUTED_VALUE"""),8675.0)</f>
        <v>8675</v>
      </c>
      <c r="D3125" s="11">
        <f>IFERROR(__xludf.DUMMYFUNCTION("""COMPUTED_VALUE"""),1598.0)</f>
        <v>1598</v>
      </c>
      <c r="E3125" s="9"/>
    </row>
    <row r="3126">
      <c r="A3126" s="11">
        <f>IFERROR(__xludf.DUMMYFUNCTION("""COMPUTED_VALUE"""),2021.0)</f>
        <v>2021</v>
      </c>
      <c r="B3126" s="11">
        <f>IFERROR(__xludf.DUMMYFUNCTION("""COMPUTED_VALUE"""),11.0)</f>
        <v>11</v>
      </c>
      <c r="C3126" s="11">
        <f>IFERROR(__xludf.DUMMYFUNCTION("""COMPUTED_VALUE"""),121900.0)</f>
        <v>121900</v>
      </c>
      <c r="D3126" s="11">
        <f>IFERROR(__xludf.DUMMYFUNCTION("""COMPUTED_VALUE"""),800.0)</f>
        <v>800</v>
      </c>
      <c r="E3126" s="9"/>
    </row>
    <row r="3127">
      <c r="A3127" s="11">
        <f>IFERROR(__xludf.DUMMYFUNCTION("""COMPUTED_VALUE"""),2021.0)</f>
        <v>2021</v>
      </c>
      <c r="B3127" s="11">
        <f>IFERROR(__xludf.DUMMYFUNCTION("""COMPUTED_VALUE"""),10.0)</f>
        <v>10</v>
      </c>
      <c r="C3127" s="11">
        <f>IFERROR(__xludf.DUMMYFUNCTION("""COMPUTED_VALUE"""),124764.0)</f>
        <v>124764</v>
      </c>
      <c r="D3127" s="11">
        <f>IFERROR(__xludf.DUMMYFUNCTION("""COMPUTED_VALUE"""),344.0)</f>
        <v>344</v>
      </c>
      <c r="E3127" s="9"/>
    </row>
    <row r="3128">
      <c r="A3128" s="11">
        <f>IFERROR(__xludf.DUMMYFUNCTION("""COMPUTED_VALUE"""),2021.0)</f>
        <v>2021</v>
      </c>
      <c r="B3128" s="11">
        <f>IFERROR(__xludf.DUMMYFUNCTION("""COMPUTED_VALUE"""),10.0)</f>
        <v>10</v>
      </c>
      <c r="C3128" s="11">
        <f>IFERROR(__xludf.DUMMYFUNCTION("""COMPUTED_VALUE"""),124774.0)</f>
        <v>124774</v>
      </c>
      <c r="D3128" s="11">
        <f>IFERROR(__xludf.DUMMYFUNCTION("""COMPUTED_VALUE"""),1134.0)</f>
        <v>1134</v>
      </c>
      <c r="E3128" s="9"/>
    </row>
    <row r="3129">
      <c r="A3129" s="11">
        <f>IFERROR(__xludf.DUMMYFUNCTION("""COMPUTED_VALUE"""),2021.0)</f>
        <v>2021</v>
      </c>
      <c r="B3129" s="11">
        <f>IFERROR(__xludf.DUMMYFUNCTION("""COMPUTED_VALUE"""),11.0)</f>
        <v>11</v>
      </c>
      <c r="C3129" s="11">
        <f>IFERROR(__xludf.DUMMYFUNCTION("""COMPUTED_VALUE"""),79353.0)</f>
        <v>79353</v>
      </c>
      <c r="D3129" s="11">
        <f>IFERROR(__xludf.DUMMYFUNCTION("""COMPUTED_VALUE"""),66.0)</f>
        <v>66</v>
      </c>
      <c r="E3129" s="9"/>
    </row>
    <row r="3130">
      <c r="A3130" s="11">
        <f>IFERROR(__xludf.DUMMYFUNCTION("""COMPUTED_VALUE"""),2021.0)</f>
        <v>2021</v>
      </c>
      <c r="B3130" s="11">
        <f>IFERROR(__xludf.DUMMYFUNCTION("""COMPUTED_VALUE"""),8.0)</f>
        <v>8</v>
      </c>
      <c r="C3130" s="11">
        <f>IFERROR(__xludf.DUMMYFUNCTION("""COMPUTED_VALUE"""),82703.0)</f>
        <v>82703</v>
      </c>
      <c r="D3130" s="11">
        <f>IFERROR(__xludf.DUMMYFUNCTION("""COMPUTED_VALUE"""),1258.0)</f>
        <v>1258</v>
      </c>
      <c r="E3130" s="9"/>
    </row>
    <row r="3131">
      <c r="A3131" s="11">
        <f>IFERROR(__xludf.DUMMYFUNCTION("""COMPUTED_VALUE"""),2021.0)</f>
        <v>2021</v>
      </c>
      <c r="B3131" s="11">
        <f>IFERROR(__xludf.DUMMYFUNCTION("""COMPUTED_VALUE"""),8.0)</f>
        <v>8</v>
      </c>
      <c r="C3131" s="11">
        <f>IFERROR(__xludf.DUMMYFUNCTION("""COMPUTED_VALUE"""),71820.0)</f>
        <v>71820</v>
      </c>
      <c r="D3131" s="11">
        <f>IFERROR(__xludf.DUMMYFUNCTION("""COMPUTED_VALUE"""),22.0)</f>
        <v>22</v>
      </c>
      <c r="E3131" s="9"/>
    </row>
    <row r="3132">
      <c r="A3132" s="11">
        <f>IFERROR(__xludf.DUMMYFUNCTION("""COMPUTED_VALUE"""),2021.0)</f>
        <v>2021</v>
      </c>
      <c r="B3132" s="11">
        <f>IFERROR(__xludf.DUMMYFUNCTION("""COMPUTED_VALUE"""),8.0)</f>
        <v>8</v>
      </c>
      <c r="C3132" s="11">
        <f>IFERROR(__xludf.DUMMYFUNCTION("""COMPUTED_VALUE"""),128311.0)</f>
        <v>128311</v>
      </c>
      <c r="D3132" s="11">
        <f>IFERROR(__xludf.DUMMYFUNCTION("""COMPUTED_VALUE"""),1183.0)</f>
        <v>1183</v>
      </c>
      <c r="E3132" s="9"/>
    </row>
    <row r="3133">
      <c r="A3133" s="11">
        <f>IFERROR(__xludf.DUMMYFUNCTION("""COMPUTED_VALUE"""),2021.0)</f>
        <v>2021</v>
      </c>
      <c r="B3133" s="11">
        <f>IFERROR(__xludf.DUMMYFUNCTION("""COMPUTED_VALUE"""),11.0)</f>
        <v>11</v>
      </c>
      <c r="C3133" s="11">
        <f>IFERROR(__xludf.DUMMYFUNCTION("""COMPUTED_VALUE"""),70595.0)</f>
        <v>70595</v>
      </c>
      <c r="D3133" s="11">
        <f>IFERROR(__xludf.DUMMYFUNCTION("""COMPUTED_VALUE"""),1494.0)</f>
        <v>1494</v>
      </c>
      <c r="E3133" s="9"/>
    </row>
    <row r="3134">
      <c r="A3134" s="11">
        <f>IFERROR(__xludf.DUMMYFUNCTION("""COMPUTED_VALUE"""),2021.0)</f>
        <v>2021</v>
      </c>
      <c r="B3134" s="11">
        <f>IFERROR(__xludf.DUMMYFUNCTION("""COMPUTED_VALUE"""),11.0)</f>
        <v>11</v>
      </c>
      <c r="C3134" s="11">
        <f>IFERROR(__xludf.DUMMYFUNCTION("""COMPUTED_VALUE"""),8676.0)</f>
        <v>8676</v>
      </c>
      <c r="D3134" s="11">
        <f>IFERROR(__xludf.DUMMYFUNCTION("""COMPUTED_VALUE"""),1068.0)</f>
        <v>1068</v>
      </c>
      <c r="E3134" s="9"/>
    </row>
    <row r="3135">
      <c r="A3135" s="11">
        <f>IFERROR(__xludf.DUMMYFUNCTION("""COMPUTED_VALUE"""),2021.0)</f>
        <v>2021</v>
      </c>
      <c r="B3135" s="11">
        <f>IFERROR(__xludf.DUMMYFUNCTION("""COMPUTED_VALUE"""),11.0)</f>
        <v>11</v>
      </c>
      <c r="C3135" s="11">
        <f>IFERROR(__xludf.DUMMYFUNCTION("""COMPUTED_VALUE"""),128313.0)</f>
        <v>128313</v>
      </c>
      <c r="D3135" s="11">
        <f>IFERROR(__xludf.DUMMYFUNCTION("""COMPUTED_VALUE"""),244.0)</f>
        <v>244</v>
      </c>
      <c r="E3135" s="9"/>
    </row>
    <row r="3136">
      <c r="A3136" s="11">
        <f>IFERROR(__xludf.DUMMYFUNCTION("""COMPUTED_VALUE"""),2021.0)</f>
        <v>2021</v>
      </c>
      <c r="B3136" s="11">
        <f>IFERROR(__xludf.DUMMYFUNCTION("""COMPUTED_VALUE"""),8.0)</f>
        <v>8</v>
      </c>
      <c r="C3136" s="11">
        <f>IFERROR(__xludf.DUMMYFUNCTION("""COMPUTED_VALUE"""),45479.0)</f>
        <v>45479</v>
      </c>
      <c r="D3136" s="11">
        <f>IFERROR(__xludf.DUMMYFUNCTION("""COMPUTED_VALUE"""),1533.0)</f>
        <v>1533</v>
      </c>
      <c r="E3136" s="9"/>
    </row>
    <row r="3137">
      <c r="A3137" s="11">
        <f>IFERROR(__xludf.DUMMYFUNCTION("""COMPUTED_VALUE"""),2021.0)</f>
        <v>2021</v>
      </c>
      <c r="B3137" s="11">
        <f>IFERROR(__xludf.DUMMYFUNCTION("""COMPUTED_VALUE"""),10.0)</f>
        <v>10</v>
      </c>
      <c r="C3137" s="11">
        <f>IFERROR(__xludf.DUMMYFUNCTION("""COMPUTED_VALUE"""),45481.0)</f>
        <v>45481</v>
      </c>
      <c r="D3137" s="11">
        <f>IFERROR(__xludf.DUMMYFUNCTION("""COMPUTED_VALUE"""),788.0)</f>
        <v>788</v>
      </c>
      <c r="E3137" s="9"/>
    </row>
    <row r="3138">
      <c r="A3138" s="11">
        <f>IFERROR(__xludf.DUMMYFUNCTION("""COMPUTED_VALUE"""),2021.0)</f>
        <v>2021</v>
      </c>
      <c r="B3138" s="11">
        <f>IFERROR(__xludf.DUMMYFUNCTION("""COMPUTED_VALUE"""),9.0)</f>
        <v>9</v>
      </c>
      <c r="C3138" s="11">
        <f>IFERROR(__xludf.DUMMYFUNCTION("""COMPUTED_VALUE"""),80001.0)</f>
        <v>80001</v>
      </c>
      <c r="D3138" s="11">
        <f>IFERROR(__xludf.DUMMYFUNCTION("""COMPUTED_VALUE"""),1410.0)</f>
        <v>1410</v>
      </c>
      <c r="E3138" s="9"/>
    </row>
    <row r="3139">
      <c r="A3139" s="11">
        <f>IFERROR(__xludf.DUMMYFUNCTION("""COMPUTED_VALUE"""),2021.0)</f>
        <v>2021</v>
      </c>
      <c r="B3139" s="11">
        <f>IFERROR(__xludf.DUMMYFUNCTION("""COMPUTED_VALUE"""),11.0)</f>
        <v>11</v>
      </c>
      <c r="C3139" s="11">
        <f>IFERROR(__xludf.DUMMYFUNCTION("""COMPUTED_VALUE"""),10068.0)</f>
        <v>10068</v>
      </c>
      <c r="D3139" s="11">
        <f>IFERROR(__xludf.DUMMYFUNCTION("""COMPUTED_VALUE"""),298.0)</f>
        <v>298</v>
      </c>
      <c r="E3139" s="9"/>
    </row>
    <row r="3140">
      <c r="A3140" s="11">
        <f>IFERROR(__xludf.DUMMYFUNCTION("""COMPUTED_VALUE"""),2021.0)</f>
        <v>2021</v>
      </c>
      <c r="B3140" s="11">
        <f>IFERROR(__xludf.DUMMYFUNCTION("""COMPUTED_VALUE"""),9.0)</f>
        <v>9</v>
      </c>
      <c r="C3140" s="11">
        <f>IFERROR(__xludf.DUMMYFUNCTION("""COMPUTED_VALUE"""),10054.0)</f>
        <v>10054</v>
      </c>
      <c r="D3140" s="11">
        <f>IFERROR(__xludf.DUMMYFUNCTION("""COMPUTED_VALUE"""),916.0)</f>
        <v>916</v>
      </c>
      <c r="E3140" s="9"/>
    </row>
    <row r="3141">
      <c r="A3141" s="11">
        <f>IFERROR(__xludf.DUMMYFUNCTION("""COMPUTED_VALUE"""),2021.0)</f>
        <v>2021</v>
      </c>
      <c r="B3141" s="11">
        <f>IFERROR(__xludf.DUMMYFUNCTION("""COMPUTED_VALUE"""),8.0)</f>
        <v>8</v>
      </c>
      <c r="C3141" s="11">
        <f>IFERROR(__xludf.DUMMYFUNCTION("""COMPUTED_VALUE"""),10070.0)</f>
        <v>10070</v>
      </c>
      <c r="D3141" s="11">
        <f>IFERROR(__xludf.DUMMYFUNCTION("""COMPUTED_VALUE"""),472.0)</f>
        <v>472</v>
      </c>
      <c r="E3141" s="9"/>
    </row>
    <row r="3142">
      <c r="A3142" s="11">
        <f>IFERROR(__xludf.DUMMYFUNCTION("""COMPUTED_VALUE"""),2021.0)</f>
        <v>2021</v>
      </c>
      <c r="B3142" s="11">
        <f>IFERROR(__xludf.DUMMYFUNCTION("""COMPUTED_VALUE"""),8.0)</f>
        <v>8</v>
      </c>
      <c r="C3142" s="11">
        <f>IFERROR(__xludf.DUMMYFUNCTION("""COMPUTED_VALUE"""),45480.0)</f>
        <v>45480</v>
      </c>
      <c r="D3142" s="11">
        <f>IFERROR(__xludf.DUMMYFUNCTION("""COMPUTED_VALUE"""),958.0)</f>
        <v>958</v>
      </c>
      <c r="E3142" s="9"/>
    </row>
    <row r="3143">
      <c r="A3143" s="11">
        <f>IFERROR(__xludf.DUMMYFUNCTION("""COMPUTED_VALUE"""),2021.0)</f>
        <v>2021</v>
      </c>
      <c r="B3143" s="11">
        <f>IFERROR(__xludf.DUMMYFUNCTION("""COMPUTED_VALUE"""),8.0)</f>
        <v>8</v>
      </c>
      <c r="C3143" s="11">
        <f>IFERROR(__xludf.DUMMYFUNCTION("""COMPUTED_VALUE"""),92791.0)</f>
        <v>92791</v>
      </c>
      <c r="D3143" s="11">
        <f>IFERROR(__xludf.DUMMYFUNCTION("""COMPUTED_VALUE"""),1263.0)</f>
        <v>1263</v>
      </c>
      <c r="E3143" s="9"/>
    </row>
    <row r="3144">
      <c r="A3144" s="11">
        <f>IFERROR(__xludf.DUMMYFUNCTION("""COMPUTED_VALUE"""),2021.0)</f>
        <v>2021</v>
      </c>
      <c r="B3144" s="11">
        <f>IFERROR(__xludf.DUMMYFUNCTION("""COMPUTED_VALUE"""),8.0)</f>
        <v>8</v>
      </c>
      <c r="C3144" s="11">
        <f>IFERROR(__xludf.DUMMYFUNCTION("""COMPUTED_VALUE"""),188722.0)</f>
        <v>188722</v>
      </c>
      <c r="D3144" s="11">
        <f>IFERROR(__xludf.DUMMYFUNCTION("""COMPUTED_VALUE"""),298.0)</f>
        <v>298</v>
      </c>
      <c r="E3144" s="9"/>
    </row>
    <row r="3145">
      <c r="A3145" s="11">
        <f>IFERROR(__xludf.DUMMYFUNCTION("""COMPUTED_VALUE"""),2021.0)</f>
        <v>2021</v>
      </c>
      <c r="B3145" s="11">
        <f>IFERROR(__xludf.DUMMYFUNCTION("""COMPUTED_VALUE"""),10.0)</f>
        <v>10</v>
      </c>
      <c r="C3145" s="11">
        <f>IFERROR(__xludf.DUMMYFUNCTION("""COMPUTED_VALUE"""),10061.0)</f>
        <v>10061</v>
      </c>
      <c r="D3145" s="11">
        <f>IFERROR(__xludf.DUMMYFUNCTION("""COMPUTED_VALUE"""),1701.0)</f>
        <v>1701</v>
      </c>
      <c r="E3145" s="9"/>
    </row>
    <row r="3146">
      <c r="A3146" s="11">
        <f>IFERROR(__xludf.DUMMYFUNCTION("""COMPUTED_VALUE"""),2021.0)</f>
        <v>2021</v>
      </c>
      <c r="B3146" s="11">
        <f>IFERROR(__xludf.DUMMYFUNCTION("""COMPUTED_VALUE"""),8.0)</f>
        <v>8</v>
      </c>
      <c r="C3146" s="11">
        <f>IFERROR(__xludf.DUMMYFUNCTION("""COMPUTED_VALUE"""),188708.0)</f>
        <v>188708</v>
      </c>
      <c r="D3146" s="11">
        <f>IFERROR(__xludf.DUMMYFUNCTION("""COMPUTED_VALUE"""),1131.0)</f>
        <v>1131</v>
      </c>
      <c r="E3146" s="9"/>
    </row>
    <row r="3147">
      <c r="A3147" s="11">
        <f>IFERROR(__xludf.DUMMYFUNCTION("""COMPUTED_VALUE"""),2021.0)</f>
        <v>2021</v>
      </c>
      <c r="B3147" s="11">
        <f>IFERROR(__xludf.DUMMYFUNCTION("""COMPUTED_VALUE"""),9.0)</f>
        <v>9</v>
      </c>
      <c r="C3147" s="11">
        <f>IFERROR(__xludf.DUMMYFUNCTION("""COMPUTED_VALUE"""),110927.0)</f>
        <v>110927</v>
      </c>
      <c r="D3147" s="11">
        <f>IFERROR(__xludf.DUMMYFUNCTION("""COMPUTED_VALUE"""),418.0)</f>
        <v>418</v>
      </c>
      <c r="E3147" s="9"/>
    </row>
    <row r="3148">
      <c r="A3148" s="11">
        <f>IFERROR(__xludf.DUMMYFUNCTION("""COMPUTED_VALUE"""),2021.0)</f>
        <v>2021</v>
      </c>
      <c r="B3148" s="11">
        <f>IFERROR(__xludf.DUMMYFUNCTION("""COMPUTED_VALUE"""),10.0)</f>
        <v>10</v>
      </c>
      <c r="C3148" s="11">
        <f>IFERROR(__xludf.DUMMYFUNCTION("""COMPUTED_VALUE"""),188729.0)</f>
        <v>188729</v>
      </c>
      <c r="D3148" s="11">
        <f>IFERROR(__xludf.DUMMYFUNCTION("""COMPUTED_VALUE"""),1547.0)</f>
        <v>1547</v>
      </c>
      <c r="E3148" s="9"/>
    </row>
    <row r="3149">
      <c r="A3149" s="11">
        <f>IFERROR(__xludf.DUMMYFUNCTION("""COMPUTED_VALUE"""),2021.0)</f>
        <v>2021</v>
      </c>
      <c r="B3149" s="11">
        <f>IFERROR(__xludf.DUMMYFUNCTION("""COMPUTED_VALUE"""),8.0)</f>
        <v>8</v>
      </c>
      <c r="C3149" s="11">
        <f>IFERROR(__xludf.DUMMYFUNCTION("""COMPUTED_VALUE"""),120969.0)</f>
        <v>120969</v>
      </c>
      <c r="D3149" s="11">
        <f>IFERROR(__xludf.DUMMYFUNCTION("""COMPUTED_VALUE"""),1229.0)</f>
        <v>1229</v>
      </c>
      <c r="E3149" s="9"/>
    </row>
    <row r="3150">
      <c r="A3150" s="11">
        <f>IFERROR(__xludf.DUMMYFUNCTION("""COMPUTED_VALUE"""),2021.0)</f>
        <v>2021</v>
      </c>
      <c r="B3150" s="11">
        <f>IFERROR(__xludf.DUMMYFUNCTION("""COMPUTED_VALUE"""),10.0)</f>
        <v>10</v>
      </c>
      <c r="C3150" s="11">
        <f>IFERROR(__xludf.DUMMYFUNCTION("""COMPUTED_VALUE"""),188728.0)</f>
        <v>188728</v>
      </c>
      <c r="D3150" s="11">
        <f>IFERROR(__xludf.DUMMYFUNCTION("""COMPUTED_VALUE"""),1230.0)</f>
        <v>1230</v>
      </c>
      <c r="E3150" s="9"/>
    </row>
    <row r="3151">
      <c r="A3151" s="11">
        <f>IFERROR(__xludf.DUMMYFUNCTION("""COMPUTED_VALUE"""),2021.0)</f>
        <v>2021</v>
      </c>
      <c r="B3151" s="11">
        <f>IFERROR(__xludf.DUMMYFUNCTION("""COMPUTED_VALUE"""),11.0)</f>
        <v>11</v>
      </c>
      <c r="C3151" s="11">
        <f>IFERROR(__xludf.DUMMYFUNCTION("""COMPUTED_VALUE"""),188663.0)</f>
        <v>188663</v>
      </c>
      <c r="D3151" s="11">
        <f>IFERROR(__xludf.DUMMYFUNCTION("""COMPUTED_VALUE"""),418.0)</f>
        <v>418</v>
      </c>
      <c r="E3151" s="9"/>
    </row>
    <row r="3152">
      <c r="A3152" s="11">
        <f>IFERROR(__xludf.DUMMYFUNCTION("""COMPUTED_VALUE"""),2021.0)</f>
        <v>2021</v>
      </c>
      <c r="B3152" s="11">
        <f>IFERROR(__xludf.DUMMYFUNCTION("""COMPUTED_VALUE"""),9.0)</f>
        <v>9</v>
      </c>
      <c r="C3152" s="11">
        <f>IFERROR(__xludf.DUMMYFUNCTION("""COMPUTED_VALUE"""),188727.0)</f>
        <v>188727</v>
      </c>
      <c r="D3152" s="11">
        <f>IFERROR(__xludf.DUMMYFUNCTION("""COMPUTED_VALUE"""),1893.0)</f>
        <v>1893</v>
      </c>
      <c r="E3152" s="9"/>
    </row>
    <row r="3153">
      <c r="A3153" s="11">
        <f>IFERROR(__xludf.DUMMYFUNCTION("""COMPUTED_VALUE"""),2021.0)</f>
        <v>2021</v>
      </c>
      <c r="B3153" s="11">
        <f>IFERROR(__xludf.DUMMYFUNCTION("""COMPUTED_VALUE"""),11.0)</f>
        <v>11</v>
      </c>
      <c r="C3153" s="11">
        <f>IFERROR(__xludf.DUMMYFUNCTION("""COMPUTED_VALUE"""),9741.0)</f>
        <v>9741</v>
      </c>
      <c r="D3153" s="11">
        <f>IFERROR(__xludf.DUMMYFUNCTION("""COMPUTED_VALUE"""),1666.0)</f>
        <v>1666</v>
      </c>
      <c r="E3153" s="9"/>
    </row>
    <row r="3154">
      <c r="A3154" s="11">
        <f>IFERROR(__xludf.DUMMYFUNCTION("""COMPUTED_VALUE"""),2021.0)</f>
        <v>2021</v>
      </c>
      <c r="B3154" s="11">
        <f>IFERROR(__xludf.DUMMYFUNCTION("""COMPUTED_VALUE"""),10.0)</f>
        <v>10</v>
      </c>
      <c r="C3154" s="11">
        <f>IFERROR(__xludf.DUMMYFUNCTION("""COMPUTED_VALUE"""),70406.0)</f>
        <v>70406</v>
      </c>
      <c r="D3154" s="11">
        <f>IFERROR(__xludf.DUMMYFUNCTION("""COMPUTED_VALUE"""),682.0)</f>
        <v>682</v>
      </c>
      <c r="E3154" s="9"/>
    </row>
    <row r="3155">
      <c r="A3155" s="11">
        <f>IFERROR(__xludf.DUMMYFUNCTION("""COMPUTED_VALUE"""),2021.0)</f>
        <v>2021</v>
      </c>
      <c r="B3155" s="11">
        <f>IFERROR(__xludf.DUMMYFUNCTION("""COMPUTED_VALUE"""),8.0)</f>
        <v>8</v>
      </c>
      <c r="C3155" s="11">
        <f>IFERROR(__xludf.DUMMYFUNCTION("""COMPUTED_VALUE"""),112114.0)</f>
        <v>112114</v>
      </c>
      <c r="D3155" s="11">
        <f>IFERROR(__xludf.DUMMYFUNCTION("""COMPUTED_VALUE"""),1377.0)</f>
        <v>1377</v>
      </c>
      <c r="E3155" s="9"/>
    </row>
    <row r="3156">
      <c r="A3156" s="11">
        <f>IFERROR(__xludf.DUMMYFUNCTION("""COMPUTED_VALUE"""),2021.0)</f>
        <v>2021</v>
      </c>
      <c r="B3156" s="11">
        <f>IFERROR(__xludf.DUMMYFUNCTION("""COMPUTED_VALUE"""),10.0)</f>
        <v>10</v>
      </c>
      <c r="C3156" s="11">
        <f>IFERROR(__xludf.DUMMYFUNCTION("""COMPUTED_VALUE"""),70405.0)</f>
        <v>70405</v>
      </c>
      <c r="D3156" s="11">
        <f>IFERROR(__xludf.DUMMYFUNCTION("""COMPUTED_VALUE"""),1582.0)</f>
        <v>1582</v>
      </c>
      <c r="E3156" s="9"/>
    </row>
    <row r="3157">
      <c r="A3157" s="11">
        <f>IFERROR(__xludf.DUMMYFUNCTION("""COMPUTED_VALUE"""),2021.0)</f>
        <v>2021</v>
      </c>
      <c r="B3157" s="11">
        <f>IFERROR(__xludf.DUMMYFUNCTION("""COMPUTED_VALUE"""),9.0)</f>
        <v>9</v>
      </c>
      <c r="C3157" s="11">
        <f>IFERROR(__xludf.DUMMYFUNCTION("""COMPUTED_VALUE"""),20405.0)</f>
        <v>20405</v>
      </c>
      <c r="D3157" s="11">
        <f>IFERROR(__xludf.DUMMYFUNCTION("""COMPUTED_VALUE"""),1871.0)</f>
        <v>1871</v>
      </c>
      <c r="E3157" s="9"/>
    </row>
    <row r="3158">
      <c r="A3158" s="11">
        <f>IFERROR(__xludf.DUMMYFUNCTION("""COMPUTED_VALUE"""),2021.0)</f>
        <v>2021</v>
      </c>
      <c r="B3158" s="11">
        <f>IFERROR(__xludf.DUMMYFUNCTION("""COMPUTED_VALUE"""),9.0)</f>
        <v>9</v>
      </c>
      <c r="C3158" s="11">
        <f>IFERROR(__xludf.DUMMYFUNCTION("""COMPUTED_VALUE"""),121308.0)</f>
        <v>121308</v>
      </c>
      <c r="D3158" s="11">
        <f>IFERROR(__xludf.DUMMYFUNCTION("""COMPUTED_VALUE"""),339.0)</f>
        <v>339</v>
      </c>
      <c r="E3158" s="9"/>
    </row>
    <row r="3159">
      <c r="A3159" s="11">
        <f>IFERROR(__xludf.DUMMYFUNCTION("""COMPUTED_VALUE"""),2021.0)</f>
        <v>2021</v>
      </c>
      <c r="B3159" s="11">
        <f>IFERROR(__xludf.DUMMYFUNCTION("""COMPUTED_VALUE"""),8.0)</f>
        <v>8</v>
      </c>
      <c r="C3159" s="11">
        <f>IFERROR(__xludf.DUMMYFUNCTION("""COMPUTED_VALUE"""),121311.0)</f>
        <v>121311</v>
      </c>
      <c r="D3159" s="11">
        <f>IFERROR(__xludf.DUMMYFUNCTION("""COMPUTED_VALUE"""),189.0)</f>
        <v>189</v>
      </c>
      <c r="E3159" s="9"/>
    </row>
    <row r="3160">
      <c r="A3160" s="11">
        <f>IFERROR(__xludf.DUMMYFUNCTION("""COMPUTED_VALUE"""),2021.0)</f>
        <v>2021</v>
      </c>
      <c r="B3160" s="11">
        <f>IFERROR(__xludf.DUMMYFUNCTION("""COMPUTED_VALUE"""),9.0)</f>
        <v>9</v>
      </c>
      <c r="C3160" s="11">
        <f>IFERROR(__xludf.DUMMYFUNCTION("""COMPUTED_VALUE"""),124748.0)</f>
        <v>124748</v>
      </c>
      <c r="D3160" s="11">
        <f>IFERROR(__xludf.DUMMYFUNCTION("""COMPUTED_VALUE"""),76.0)</f>
        <v>76</v>
      </c>
      <c r="E3160" s="9"/>
    </row>
    <row r="3161">
      <c r="A3161" s="11">
        <f>IFERROR(__xludf.DUMMYFUNCTION("""COMPUTED_VALUE"""),2021.0)</f>
        <v>2021</v>
      </c>
      <c r="B3161" s="11">
        <f>IFERROR(__xludf.DUMMYFUNCTION("""COMPUTED_VALUE"""),8.0)</f>
        <v>8</v>
      </c>
      <c r="C3161" s="11">
        <f>IFERROR(__xludf.DUMMYFUNCTION("""COMPUTED_VALUE"""),104315.0)</f>
        <v>104315</v>
      </c>
      <c r="D3161" s="11">
        <f>IFERROR(__xludf.DUMMYFUNCTION("""COMPUTED_VALUE"""),1482.0)</f>
        <v>1482</v>
      </c>
      <c r="E3161" s="9"/>
    </row>
    <row r="3162">
      <c r="A3162" s="11">
        <f>IFERROR(__xludf.DUMMYFUNCTION("""COMPUTED_VALUE"""),2021.0)</f>
        <v>2021</v>
      </c>
      <c r="B3162" s="11">
        <f>IFERROR(__xludf.DUMMYFUNCTION("""COMPUTED_VALUE"""),8.0)</f>
        <v>8</v>
      </c>
      <c r="C3162" s="11">
        <f>IFERROR(__xludf.DUMMYFUNCTION("""COMPUTED_VALUE"""),104314.0)</f>
        <v>104314</v>
      </c>
      <c r="D3162" s="11">
        <f>IFERROR(__xludf.DUMMYFUNCTION("""COMPUTED_VALUE"""),1160.0)</f>
        <v>1160</v>
      </c>
      <c r="E3162" s="9"/>
    </row>
    <row r="3163">
      <c r="A3163" s="11">
        <f>IFERROR(__xludf.DUMMYFUNCTION("""COMPUTED_VALUE"""),2021.0)</f>
        <v>2021</v>
      </c>
      <c r="B3163" s="11">
        <f>IFERROR(__xludf.DUMMYFUNCTION("""COMPUTED_VALUE"""),11.0)</f>
        <v>11</v>
      </c>
      <c r="C3163" s="11">
        <f>IFERROR(__xludf.DUMMYFUNCTION("""COMPUTED_VALUE"""),69287.0)</f>
        <v>69287</v>
      </c>
      <c r="D3163" s="11">
        <f>IFERROR(__xludf.DUMMYFUNCTION("""COMPUTED_VALUE"""),28.0)</f>
        <v>28</v>
      </c>
      <c r="E3163" s="9"/>
    </row>
    <row r="3164">
      <c r="A3164" s="11">
        <f>IFERROR(__xludf.DUMMYFUNCTION("""COMPUTED_VALUE"""),2021.0)</f>
        <v>2021</v>
      </c>
      <c r="B3164" s="11">
        <f>IFERROR(__xludf.DUMMYFUNCTION("""COMPUTED_VALUE"""),11.0)</f>
        <v>11</v>
      </c>
      <c r="C3164" s="11">
        <f>IFERROR(__xludf.DUMMYFUNCTION("""COMPUTED_VALUE"""),5789.0)</f>
        <v>5789</v>
      </c>
      <c r="D3164" s="11">
        <f>IFERROR(__xludf.DUMMYFUNCTION("""COMPUTED_VALUE"""),1714.0)</f>
        <v>1714</v>
      </c>
      <c r="E3164" s="9"/>
    </row>
    <row r="3165">
      <c r="A3165" s="11">
        <f>IFERROR(__xludf.DUMMYFUNCTION("""COMPUTED_VALUE"""),2021.0)</f>
        <v>2021</v>
      </c>
      <c r="B3165" s="11">
        <f>IFERROR(__xludf.DUMMYFUNCTION("""COMPUTED_VALUE"""),10.0)</f>
        <v>10</v>
      </c>
      <c r="C3165" s="11">
        <f>IFERROR(__xludf.DUMMYFUNCTION("""COMPUTED_VALUE"""),14013.0)</f>
        <v>14013</v>
      </c>
      <c r="D3165" s="11">
        <f>IFERROR(__xludf.DUMMYFUNCTION("""COMPUTED_VALUE"""),968.0)</f>
        <v>968</v>
      </c>
      <c r="E3165" s="9"/>
    </row>
    <row r="3166">
      <c r="A3166" s="11">
        <f>IFERROR(__xludf.DUMMYFUNCTION("""COMPUTED_VALUE"""),2021.0)</f>
        <v>2021</v>
      </c>
      <c r="B3166" s="11">
        <f>IFERROR(__xludf.DUMMYFUNCTION("""COMPUTED_VALUE"""),8.0)</f>
        <v>8</v>
      </c>
      <c r="C3166" s="11">
        <f>IFERROR(__xludf.DUMMYFUNCTION("""COMPUTED_VALUE"""),14015.0)</f>
        <v>14015</v>
      </c>
      <c r="D3166" s="11">
        <f>IFERROR(__xludf.DUMMYFUNCTION("""COMPUTED_VALUE"""),1386.0)</f>
        <v>1386</v>
      </c>
      <c r="E3166" s="9"/>
    </row>
    <row r="3167">
      <c r="A3167" s="11">
        <f>IFERROR(__xludf.DUMMYFUNCTION("""COMPUTED_VALUE"""),2021.0)</f>
        <v>2021</v>
      </c>
      <c r="B3167" s="11">
        <f>IFERROR(__xludf.DUMMYFUNCTION("""COMPUTED_VALUE"""),8.0)</f>
        <v>8</v>
      </c>
      <c r="C3167" s="11">
        <f>IFERROR(__xludf.DUMMYFUNCTION("""COMPUTED_VALUE"""),69291.0)</f>
        <v>69291</v>
      </c>
      <c r="D3167" s="11">
        <f>IFERROR(__xludf.DUMMYFUNCTION("""COMPUTED_VALUE"""),593.0)</f>
        <v>593</v>
      </c>
      <c r="E3167" s="9"/>
    </row>
    <row r="3168">
      <c r="A3168" s="11">
        <f>IFERROR(__xludf.DUMMYFUNCTION("""COMPUTED_VALUE"""),2021.0)</f>
        <v>2021</v>
      </c>
      <c r="B3168" s="11">
        <f>IFERROR(__xludf.DUMMYFUNCTION("""COMPUTED_VALUE"""),11.0)</f>
        <v>11</v>
      </c>
      <c r="C3168" s="11">
        <f>IFERROR(__xludf.DUMMYFUNCTION("""COMPUTED_VALUE"""),26057.0)</f>
        <v>26057</v>
      </c>
      <c r="D3168" s="11">
        <f>IFERROR(__xludf.DUMMYFUNCTION("""COMPUTED_VALUE"""),471.0)</f>
        <v>471</v>
      </c>
      <c r="E3168" s="9"/>
    </row>
    <row r="3169">
      <c r="A3169" s="11">
        <f>IFERROR(__xludf.DUMMYFUNCTION("""COMPUTED_VALUE"""),2021.0)</f>
        <v>2021</v>
      </c>
      <c r="B3169" s="11">
        <f>IFERROR(__xludf.DUMMYFUNCTION("""COMPUTED_VALUE"""),11.0)</f>
        <v>11</v>
      </c>
      <c r="C3169" s="11">
        <f>IFERROR(__xludf.DUMMYFUNCTION("""COMPUTED_VALUE"""),14022.0)</f>
        <v>14022</v>
      </c>
      <c r="D3169" s="11">
        <f>IFERROR(__xludf.DUMMYFUNCTION("""COMPUTED_VALUE"""),291.0)</f>
        <v>291</v>
      </c>
      <c r="E3169" s="9"/>
    </row>
    <row r="3170">
      <c r="A3170" s="11">
        <f>IFERROR(__xludf.DUMMYFUNCTION("""COMPUTED_VALUE"""),2021.0)</f>
        <v>2021</v>
      </c>
      <c r="B3170" s="11">
        <f>IFERROR(__xludf.DUMMYFUNCTION("""COMPUTED_VALUE"""),10.0)</f>
        <v>10</v>
      </c>
      <c r="C3170" s="11">
        <f>IFERROR(__xludf.DUMMYFUNCTION("""COMPUTED_VALUE"""),80109.0)</f>
        <v>80109</v>
      </c>
      <c r="D3170" s="11">
        <f>IFERROR(__xludf.DUMMYFUNCTION("""COMPUTED_VALUE"""),357.0)</f>
        <v>357</v>
      </c>
      <c r="E3170" s="9"/>
    </row>
    <row r="3171">
      <c r="A3171" s="11">
        <f>IFERROR(__xludf.DUMMYFUNCTION("""COMPUTED_VALUE"""),2021.0)</f>
        <v>2021</v>
      </c>
      <c r="B3171" s="11">
        <f>IFERROR(__xludf.DUMMYFUNCTION("""COMPUTED_VALUE"""),8.0)</f>
        <v>8</v>
      </c>
      <c r="C3171" s="11">
        <f>IFERROR(__xludf.DUMMYFUNCTION("""COMPUTED_VALUE"""),121686.0)</f>
        <v>121686</v>
      </c>
      <c r="D3171" s="11">
        <f>IFERROR(__xludf.DUMMYFUNCTION("""COMPUTED_VALUE"""),247.0)</f>
        <v>247</v>
      </c>
      <c r="E3171" s="9"/>
    </row>
    <row r="3172">
      <c r="A3172" s="11">
        <f>IFERROR(__xludf.DUMMYFUNCTION("""COMPUTED_VALUE"""),2021.0)</f>
        <v>2021</v>
      </c>
      <c r="B3172" s="11">
        <f>IFERROR(__xludf.DUMMYFUNCTION("""COMPUTED_VALUE"""),8.0)</f>
        <v>8</v>
      </c>
      <c r="C3172" s="11">
        <f>IFERROR(__xludf.DUMMYFUNCTION("""COMPUTED_VALUE"""),60365.0)</f>
        <v>60365</v>
      </c>
      <c r="D3172" s="11">
        <f>IFERROR(__xludf.DUMMYFUNCTION("""COMPUTED_VALUE"""),790.0)</f>
        <v>790</v>
      </c>
      <c r="E3172" s="9"/>
    </row>
    <row r="3173">
      <c r="A3173" s="11">
        <f>IFERROR(__xludf.DUMMYFUNCTION("""COMPUTED_VALUE"""),2021.0)</f>
        <v>2021</v>
      </c>
      <c r="B3173" s="11">
        <f>IFERROR(__xludf.DUMMYFUNCTION("""COMPUTED_VALUE"""),11.0)</f>
        <v>11</v>
      </c>
      <c r="C3173" s="11">
        <f>IFERROR(__xludf.DUMMYFUNCTION("""COMPUTED_VALUE"""),86488.0)</f>
        <v>86488</v>
      </c>
      <c r="D3173" s="11">
        <f>IFERROR(__xludf.DUMMYFUNCTION("""COMPUTED_VALUE"""),1167.0)</f>
        <v>1167</v>
      </c>
      <c r="E3173" s="9"/>
    </row>
    <row r="3174">
      <c r="A3174" s="11">
        <f>IFERROR(__xludf.DUMMYFUNCTION("""COMPUTED_VALUE"""),2021.0)</f>
        <v>2021</v>
      </c>
      <c r="B3174" s="11">
        <f>IFERROR(__xludf.DUMMYFUNCTION("""COMPUTED_VALUE"""),8.0)</f>
        <v>8</v>
      </c>
      <c r="C3174" s="11">
        <f>IFERROR(__xludf.DUMMYFUNCTION("""COMPUTED_VALUE"""),122530.0)</f>
        <v>122530</v>
      </c>
      <c r="D3174" s="11">
        <f>IFERROR(__xludf.DUMMYFUNCTION("""COMPUTED_VALUE"""),864.0)</f>
        <v>864</v>
      </c>
      <c r="E3174" s="9"/>
    </row>
    <row r="3175">
      <c r="A3175" s="11">
        <f>IFERROR(__xludf.DUMMYFUNCTION("""COMPUTED_VALUE"""),2021.0)</f>
        <v>2021</v>
      </c>
      <c r="B3175" s="11">
        <f>IFERROR(__xludf.DUMMYFUNCTION("""COMPUTED_VALUE"""),8.0)</f>
        <v>8</v>
      </c>
      <c r="C3175" s="11">
        <f>IFERROR(__xludf.DUMMYFUNCTION("""COMPUTED_VALUE"""),60526.0)</f>
        <v>60526</v>
      </c>
      <c r="D3175" s="11">
        <f>IFERROR(__xludf.DUMMYFUNCTION("""COMPUTED_VALUE"""),604.0)</f>
        <v>604</v>
      </c>
      <c r="E3175" s="9"/>
    </row>
    <row r="3176">
      <c r="A3176" s="11">
        <f>IFERROR(__xludf.DUMMYFUNCTION("""COMPUTED_VALUE"""),2021.0)</f>
        <v>2021</v>
      </c>
      <c r="B3176" s="11">
        <f>IFERROR(__xludf.DUMMYFUNCTION("""COMPUTED_VALUE"""),11.0)</f>
        <v>11</v>
      </c>
      <c r="C3176" s="11">
        <f>IFERROR(__xludf.DUMMYFUNCTION("""COMPUTED_VALUE"""),116807.0)</f>
        <v>116807</v>
      </c>
      <c r="D3176" s="11">
        <f>IFERROR(__xludf.DUMMYFUNCTION("""COMPUTED_VALUE"""),451.0)</f>
        <v>451</v>
      </c>
      <c r="E3176" s="9"/>
    </row>
    <row r="3177">
      <c r="A3177" s="11">
        <f>IFERROR(__xludf.DUMMYFUNCTION("""COMPUTED_VALUE"""),2021.0)</f>
        <v>2021</v>
      </c>
      <c r="B3177" s="11">
        <f>IFERROR(__xludf.DUMMYFUNCTION("""COMPUTED_VALUE"""),10.0)</f>
        <v>10</v>
      </c>
      <c r="C3177" s="11">
        <f>IFERROR(__xludf.DUMMYFUNCTION("""COMPUTED_VALUE"""),80030.0)</f>
        <v>80030</v>
      </c>
      <c r="D3177" s="11">
        <f>IFERROR(__xludf.DUMMYFUNCTION("""COMPUTED_VALUE"""),33.0)</f>
        <v>33</v>
      </c>
      <c r="E3177" s="9"/>
    </row>
    <row r="3178">
      <c r="A3178" s="11">
        <f>IFERROR(__xludf.DUMMYFUNCTION("""COMPUTED_VALUE"""),2021.0)</f>
        <v>2021</v>
      </c>
      <c r="B3178" s="11">
        <f>IFERROR(__xludf.DUMMYFUNCTION("""COMPUTED_VALUE"""),8.0)</f>
        <v>8</v>
      </c>
      <c r="C3178" s="11">
        <f>IFERROR(__xludf.DUMMYFUNCTION("""COMPUTED_VALUE"""),122529.0)</f>
        <v>122529</v>
      </c>
      <c r="D3178" s="11">
        <f>IFERROR(__xludf.DUMMYFUNCTION("""COMPUTED_VALUE"""),1744.0)</f>
        <v>1744</v>
      </c>
      <c r="E3178" s="9"/>
    </row>
    <row r="3179">
      <c r="A3179" s="11">
        <f>IFERROR(__xludf.DUMMYFUNCTION("""COMPUTED_VALUE"""),2021.0)</f>
        <v>2021</v>
      </c>
      <c r="B3179" s="11">
        <f>IFERROR(__xludf.DUMMYFUNCTION("""COMPUTED_VALUE"""),10.0)</f>
        <v>10</v>
      </c>
      <c r="C3179" s="11">
        <f>IFERROR(__xludf.DUMMYFUNCTION("""COMPUTED_VALUE"""),14042.0)</f>
        <v>14042</v>
      </c>
      <c r="D3179" s="11">
        <f>IFERROR(__xludf.DUMMYFUNCTION("""COMPUTED_VALUE"""),1591.0)</f>
        <v>1591</v>
      </c>
      <c r="E3179" s="9"/>
    </row>
    <row r="3180">
      <c r="A3180" s="11">
        <f>IFERROR(__xludf.DUMMYFUNCTION("""COMPUTED_VALUE"""),2021.0)</f>
        <v>2021</v>
      </c>
      <c r="B3180" s="11">
        <f>IFERROR(__xludf.DUMMYFUNCTION("""COMPUTED_VALUE"""),8.0)</f>
        <v>8</v>
      </c>
      <c r="C3180" s="11">
        <f>IFERROR(__xludf.DUMMYFUNCTION("""COMPUTED_VALUE"""),14043.0)</f>
        <v>14043</v>
      </c>
      <c r="D3180" s="11">
        <f>IFERROR(__xludf.DUMMYFUNCTION("""COMPUTED_VALUE"""),329.0)</f>
        <v>329</v>
      </c>
      <c r="E3180" s="9"/>
    </row>
    <row r="3181">
      <c r="A3181" s="11">
        <f>IFERROR(__xludf.DUMMYFUNCTION("""COMPUTED_VALUE"""),2021.0)</f>
        <v>2021</v>
      </c>
      <c r="B3181" s="11">
        <f>IFERROR(__xludf.DUMMYFUNCTION("""COMPUTED_VALUE"""),9.0)</f>
        <v>9</v>
      </c>
      <c r="C3181" s="11">
        <f>IFERROR(__xludf.DUMMYFUNCTION("""COMPUTED_VALUE"""),9157.0)</f>
        <v>9157</v>
      </c>
      <c r="D3181" s="11">
        <f>IFERROR(__xludf.DUMMYFUNCTION("""COMPUTED_VALUE"""),1558.0)</f>
        <v>1558</v>
      </c>
      <c r="E3181" s="9"/>
    </row>
    <row r="3182">
      <c r="A3182" s="11">
        <f>IFERROR(__xludf.DUMMYFUNCTION("""COMPUTED_VALUE"""),2021.0)</f>
        <v>2021</v>
      </c>
      <c r="B3182" s="11">
        <f>IFERROR(__xludf.DUMMYFUNCTION("""COMPUTED_VALUE"""),8.0)</f>
        <v>8</v>
      </c>
      <c r="C3182" s="11">
        <f>IFERROR(__xludf.DUMMYFUNCTION("""COMPUTED_VALUE"""),149968.0)</f>
        <v>149968</v>
      </c>
      <c r="D3182" s="11">
        <f>IFERROR(__xludf.DUMMYFUNCTION("""COMPUTED_VALUE"""),1901.0)</f>
        <v>1901</v>
      </c>
      <c r="E3182" s="9"/>
    </row>
    <row r="3183">
      <c r="A3183" s="11">
        <f>IFERROR(__xludf.DUMMYFUNCTION("""COMPUTED_VALUE"""),2021.0)</f>
        <v>2021</v>
      </c>
      <c r="B3183" s="11">
        <f>IFERROR(__xludf.DUMMYFUNCTION("""COMPUTED_VALUE"""),9.0)</f>
        <v>9</v>
      </c>
      <c r="C3183" s="11">
        <f>IFERROR(__xludf.DUMMYFUNCTION("""COMPUTED_VALUE"""),47299.0)</f>
        <v>47299</v>
      </c>
      <c r="D3183" s="11">
        <f>IFERROR(__xludf.DUMMYFUNCTION("""COMPUTED_VALUE"""),726.0)</f>
        <v>726</v>
      </c>
      <c r="E3183" s="9"/>
    </row>
    <row r="3184">
      <c r="A3184" s="11">
        <f>IFERROR(__xludf.DUMMYFUNCTION("""COMPUTED_VALUE"""),2021.0)</f>
        <v>2021</v>
      </c>
      <c r="B3184" s="11">
        <f>IFERROR(__xludf.DUMMYFUNCTION("""COMPUTED_VALUE"""),11.0)</f>
        <v>11</v>
      </c>
      <c r="C3184" s="11">
        <f>IFERROR(__xludf.DUMMYFUNCTION("""COMPUTED_VALUE"""),109275.0)</f>
        <v>109275</v>
      </c>
      <c r="D3184" s="11">
        <f>IFERROR(__xludf.DUMMYFUNCTION("""COMPUTED_VALUE"""),1000.0)</f>
        <v>1000</v>
      </c>
      <c r="E3184" s="9"/>
    </row>
    <row r="3185">
      <c r="A3185" s="11">
        <f>IFERROR(__xludf.DUMMYFUNCTION("""COMPUTED_VALUE"""),2021.0)</f>
        <v>2021</v>
      </c>
      <c r="B3185" s="11">
        <f>IFERROR(__xludf.DUMMYFUNCTION("""COMPUTED_VALUE"""),11.0)</f>
        <v>11</v>
      </c>
      <c r="C3185" s="11">
        <f>IFERROR(__xludf.DUMMYFUNCTION("""COMPUTED_VALUE"""),122768.0)</f>
        <v>122768</v>
      </c>
      <c r="D3185" s="11">
        <f>IFERROR(__xludf.DUMMYFUNCTION("""COMPUTED_VALUE"""),1515.0)</f>
        <v>1515</v>
      </c>
      <c r="E3185" s="9"/>
    </row>
    <row r="3186">
      <c r="A3186" s="11">
        <f>IFERROR(__xludf.DUMMYFUNCTION("""COMPUTED_VALUE"""),2021.0)</f>
        <v>2021</v>
      </c>
      <c r="B3186" s="11">
        <f>IFERROR(__xludf.DUMMYFUNCTION("""COMPUTED_VALUE"""),8.0)</f>
        <v>8</v>
      </c>
      <c r="C3186" s="11">
        <f>IFERROR(__xludf.DUMMYFUNCTION("""COMPUTED_VALUE"""),80400.0)</f>
        <v>80400</v>
      </c>
      <c r="D3186" s="11">
        <f>IFERROR(__xludf.DUMMYFUNCTION("""COMPUTED_VALUE"""),97.0)</f>
        <v>97</v>
      </c>
      <c r="E3186" s="9"/>
    </row>
    <row r="3187">
      <c r="A3187" s="11">
        <f>IFERROR(__xludf.DUMMYFUNCTION("""COMPUTED_VALUE"""),2021.0)</f>
        <v>2021</v>
      </c>
      <c r="B3187" s="11">
        <f>IFERROR(__xludf.DUMMYFUNCTION("""COMPUTED_VALUE"""),8.0)</f>
        <v>8</v>
      </c>
      <c r="C3187" s="11">
        <f>IFERROR(__xludf.DUMMYFUNCTION("""COMPUTED_VALUE"""),8803.0)</f>
        <v>8803</v>
      </c>
      <c r="D3187" s="11">
        <f>IFERROR(__xludf.DUMMYFUNCTION("""COMPUTED_VALUE"""),1574.0)</f>
        <v>1574</v>
      </c>
      <c r="E3187" s="9"/>
    </row>
    <row r="3188">
      <c r="A3188" s="11">
        <f>IFERROR(__xludf.DUMMYFUNCTION("""COMPUTED_VALUE"""),2021.0)</f>
        <v>2021</v>
      </c>
      <c r="B3188" s="11">
        <f>IFERROR(__xludf.DUMMYFUNCTION("""COMPUTED_VALUE"""),9.0)</f>
        <v>9</v>
      </c>
      <c r="C3188" s="11">
        <f>IFERROR(__xludf.DUMMYFUNCTION("""COMPUTED_VALUE"""),80085.0)</f>
        <v>80085</v>
      </c>
      <c r="D3188" s="11">
        <f>IFERROR(__xludf.DUMMYFUNCTION("""COMPUTED_VALUE"""),1348.0)</f>
        <v>1348</v>
      </c>
      <c r="E3188" s="9"/>
    </row>
    <row r="3189">
      <c r="A3189" s="11">
        <f>IFERROR(__xludf.DUMMYFUNCTION("""COMPUTED_VALUE"""),2021.0)</f>
        <v>2021</v>
      </c>
      <c r="B3189" s="11">
        <f>IFERROR(__xludf.DUMMYFUNCTION("""COMPUTED_VALUE"""),9.0)</f>
        <v>9</v>
      </c>
      <c r="C3189" s="11">
        <f>IFERROR(__xludf.DUMMYFUNCTION("""COMPUTED_VALUE"""),47379.0)</f>
        <v>47379</v>
      </c>
      <c r="D3189" s="11">
        <f>IFERROR(__xludf.DUMMYFUNCTION("""COMPUTED_VALUE"""),810.0)</f>
        <v>810</v>
      </c>
      <c r="E3189" s="9"/>
    </row>
    <row r="3190">
      <c r="A3190" s="11">
        <f>IFERROR(__xludf.DUMMYFUNCTION("""COMPUTED_VALUE"""),2021.0)</f>
        <v>2021</v>
      </c>
      <c r="B3190" s="11">
        <f>IFERROR(__xludf.DUMMYFUNCTION("""COMPUTED_VALUE"""),9.0)</f>
        <v>9</v>
      </c>
      <c r="C3190" s="11">
        <f>IFERROR(__xludf.DUMMYFUNCTION("""COMPUTED_VALUE"""),47366.0)</f>
        <v>47366</v>
      </c>
      <c r="D3190" s="11">
        <f>IFERROR(__xludf.DUMMYFUNCTION("""COMPUTED_VALUE"""),1021.0)</f>
        <v>1021</v>
      </c>
      <c r="E3190" s="9"/>
    </row>
    <row r="3191">
      <c r="A3191" s="11">
        <f>IFERROR(__xludf.DUMMYFUNCTION("""COMPUTED_VALUE"""),2021.0)</f>
        <v>2021</v>
      </c>
      <c r="B3191" s="11">
        <f>IFERROR(__xludf.DUMMYFUNCTION("""COMPUTED_VALUE"""),11.0)</f>
        <v>11</v>
      </c>
      <c r="C3191" s="11">
        <f>IFERROR(__xludf.DUMMYFUNCTION("""COMPUTED_VALUE"""),47376.0)</f>
        <v>47376</v>
      </c>
      <c r="D3191" s="11">
        <f>IFERROR(__xludf.DUMMYFUNCTION("""COMPUTED_VALUE"""),893.0)</f>
        <v>893</v>
      </c>
      <c r="E3191" s="9"/>
    </row>
    <row r="3192">
      <c r="A3192" s="11">
        <f>IFERROR(__xludf.DUMMYFUNCTION("""COMPUTED_VALUE"""),2021.0)</f>
        <v>2021</v>
      </c>
      <c r="B3192" s="11">
        <f>IFERROR(__xludf.DUMMYFUNCTION("""COMPUTED_VALUE"""),9.0)</f>
        <v>9</v>
      </c>
      <c r="C3192" s="11">
        <f>IFERROR(__xludf.DUMMYFUNCTION("""COMPUTED_VALUE"""),95799.0)</f>
        <v>95799</v>
      </c>
      <c r="D3192" s="11">
        <f>IFERROR(__xludf.DUMMYFUNCTION("""COMPUTED_VALUE"""),233.0)</f>
        <v>233</v>
      </c>
      <c r="E3192" s="9"/>
    </row>
    <row r="3193">
      <c r="A3193" s="11">
        <f>IFERROR(__xludf.DUMMYFUNCTION("""COMPUTED_VALUE"""),2021.0)</f>
        <v>2021</v>
      </c>
      <c r="B3193" s="11">
        <f>IFERROR(__xludf.DUMMYFUNCTION("""COMPUTED_VALUE"""),11.0)</f>
        <v>11</v>
      </c>
      <c r="C3193" s="11">
        <f>IFERROR(__xludf.DUMMYFUNCTION("""COMPUTED_VALUE"""),112733.0)</f>
        <v>112733</v>
      </c>
      <c r="D3193" s="11">
        <f>IFERROR(__xludf.DUMMYFUNCTION("""COMPUTED_VALUE"""),1629.0)</f>
        <v>1629</v>
      </c>
      <c r="E3193" s="9"/>
    </row>
    <row r="3194">
      <c r="A3194" s="11">
        <f>IFERROR(__xludf.DUMMYFUNCTION("""COMPUTED_VALUE"""),2021.0)</f>
        <v>2021</v>
      </c>
      <c r="B3194" s="11">
        <f>IFERROR(__xludf.DUMMYFUNCTION("""COMPUTED_VALUE"""),8.0)</f>
        <v>8</v>
      </c>
      <c r="C3194" s="11">
        <f>IFERROR(__xludf.DUMMYFUNCTION("""COMPUTED_VALUE"""),47050.0)</f>
        <v>47050</v>
      </c>
      <c r="D3194" s="11">
        <f>IFERROR(__xludf.DUMMYFUNCTION("""COMPUTED_VALUE"""),1904.0)</f>
        <v>1904</v>
      </c>
      <c r="E3194" s="9"/>
    </row>
    <row r="3195">
      <c r="A3195" s="11">
        <f>IFERROR(__xludf.DUMMYFUNCTION("""COMPUTED_VALUE"""),2021.0)</f>
        <v>2021</v>
      </c>
      <c r="B3195" s="11">
        <f>IFERROR(__xludf.DUMMYFUNCTION("""COMPUTED_VALUE"""),8.0)</f>
        <v>8</v>
      </c>
      <c r="C3195" s="11">
        <f>IFERROR(__xludf.DUMMYFUNCTION("""COMPUTED_VALUE"""),112449.0)</f>
        <v>112449</v>
      </c>
      <c r="D3195" s="11">
        <f>IFERROR(__xludf.DUMMYFUNCTION("""COMPUTED_VALUE"""),1119.0)</f>
        <v>1119</v>
      </c>
      <c r="E3195" s="9"/>
    </row>
    <row r="3196">
      <c r="A3196" s="11">
        <f>IFERROR(__xludf.DUMMYFUNCTION("""COMPUTED_VALUE"""),2021.0)</f>
        <v>2021</v>
      </c>
      <c r="B3196" s="11">
        <f>IFERROR(__xludf.DUMMYFUNCTION("""COMPUTED_VALUE"""),10.0)</f>
        <v>10</v>
      </c>
      <c r="C3196" s="11">
        <f>IFERROR(__xludf.DUMMYFUNCTION("""COMPUTED_VALUE"""),14025.0)</f>
        <v>14025</v>
      </c>
      <c r="D3196" s="11">
        <f>IFERROR(__xludf.DUMMYFUNCTION("""COMPUTED_VALUE"""),1232.0)</f>
        <v>1232</v>
      </c>
      <c r="E3196" s="9"/>
    </row>
    <row r="3197">
      <c r="A3197" s="11">
        <f>IFERROR(__xludf.DUMMYFUNCTION("""COMPUTED_VALUE"""),2021.0)</f>
        <v>2021</v>
      </c>
      <c r="B3197" s="11">
        <f>IFERROR(__xludf.DUMMYFUNCTION("""COMPUTED_VALUE"""),9.0)</f>
        <v>9</v>
      </c>
      <c r="C3197" s="11">
        <f>IFERROR(__xludf.DUMMYFUNCTION("""COMPUTED_VALUE"""),26054.0)</f>
        <v>26054</v>
      </c>
      <c r="D3197" s="11">
        <f>IFERROR(__xludf.DUMMYFUNCTION("""COMPUTED_VALUE"""),290.0)</f>
        <v>290</v>
      </c>
      <c r="E3197" s="9"/>
    </row>
    <row r="3198">
      <c r="A3198" s="11">
        <f>IFERROR(__xludf.DUMMYFUNCTION("""COMPUTED_VALUE"""),2021.0)</f>
        <v>2021</v>
      </c>
      <c r="B3198" s="11">
        <f>IFERROR(__xludf.DUMMYFUNCTION("""COMPUTED_VALUE"""),10.0)</f>
        <v>10</v>
      </c>
      <c r="C3198" s="11">
        <f>IFERROR(__xludf.DUMMYFUNCTION("""COMPUTED_VALUE"""),60366.0)</f>
        <v>60366</v>
      </c>
      <c r="D3198" s="11">
        <f>IFERROR(__xludf.DUMMYFUNCTION("""COMPUTED_VALUE"""),1940.0)</f>
        <v>1940</v>
      </c>
      <c r="E3198" s="9"/>
    </row>
    <row r="3199">
      <c r="A3199" s="11">
        <f>IFERROR(__xludf.DUMMYFUNCTION("""COMPUTED_VALUE"""),2021.0)</f>
        <v>2021</v>
      </c>
      <c r="B3199" s="11">
        <f>IFERROR(__xludf.DUMMYFUNCTION("""COMPUTED_VALUE"""),10.0)</f>
        <v>10</v>
      </c>
      <c r="C3199" s="11">
        <f>IFERROR(__xludf.DUMMYFUNCTION("""COMPUTED_VALUE"""),116805.0)</f>
        <v>116805</v>
      </c>
      <c r="D3199" s="11">
        <f>IFERROR(__xludf.DUMMYFUNCTION("""COMPUTED_VALUE"""),201.0)</f>
        <v>201</v>
      </c>
      <c r="E3199" s="9"/>
    </row>
    <row r="3200">
      <c r="A3200" s="11">
        <f>IFERROR(__xludf.DUMMYFUNCTION("""COMPUTED_VALUE"""),2021.0)</f>
        <v>2021</v>
      </c>
      <c r="B3200" s="11">
        <f>IFERROR(__xludf.DUMMYFUNCTION("""COMPUTED_VALUE"""),8.0)</f>
        <v>8</v>
      </c>
      <c r="C3200" s="11">
        <f>IFERROR(__xludf.DUMMYFUNCTION("""COMPUTED_VALUE"""),8804.0)</f>
        <v>8804</v>
      </c>
      <c r="D3200" s="11">
        <f>IFERROR(__xludf.DUMMYFUNCTION("""COMPUTED_VALUE"""),1083.0)</f>
        <v>1083</v>
      </c>
      <c r="E3200" s="9"/>
    </row>
    <row r="3201">
      <c r="A3201" s="11">
        <f>IFERROR(__xludf.DUMMYFUNCTION("""COMPUTED_VALUE"""),2021.0)</f>
        <v>2021</v>
      </c>
      <c r="B3201" s="11">
        <f>IFERROR(__xludf.DUMMYFUNCTION("""COMPUTED_VALUE"""),10.0)</f>
        <v>10</v>
      </c>
      <c r="C3201" s="11">
        <f>IFERROR(__xludf.DUMMYFUNCTION("""COMPUTED_VALUE"""),48470.0)</f>
        <v>48470</v>
      </c>
      <c r="D3201" s="11">
        <f>IFERROR(__xludf.DUMMYFUNCTION("""COMPUTED_VALUE"""),1743.0)</f>
        <v>1743</v>
      </c>
      <c r="E3201" s="9"/>
    </row>
    <row r="3202">
      <c r="A3202" s="11">
        <f>IFERROR(__xludf.DUMMYFUNCTION("""COMPUTED_VALUE"""),2021.0)</f>
        <v>2021</v>
      </c>
      <c r="B3202" s="11">
        <f>IFERROR(__xludf.DUMMYFUNCTION("""COMPUTED_VALUE"""),8.0)</f>
        <v>8</v>
      </c>
      <c r="C3202" s="11">
        <f>IFERROR(__xludf.DUMMYFUNCTION("""COMPUTED_VALUE"""),86485.0)</f>
        <v>86485</v>
      </c>
      <c r="D3202" s="11">
        <f>IFERROR(__xludf.DUMMYFUNCTION("""COMPUTED_VALUE"""),1897.0)</f>
        <v>1897</v>
      </c>
      <c r="E3202" s="9"/>
    </row>
    <row r="3203">
      <c r="A3203" s="11">
        <f>IFERROR(__xludf.DUMMYFUNCTION("""COMPUTED_VALUE"""),2021.0)</f>
        <v>2021</v>
      </c>
      <c r="B3203" s="11">
        <f>IFERROR(__xludf.DUMMYFUNCTION("""COMPUTED_VALUE"""),11.0)</f>
        <v>11</v>
      </c>
      <c r="C3203" s="11">
        <f>IFERROR(__xludf.DUMMYFUNCTION("""COMPUTED_VALUE"""),73872.0)</f>
        <v>73872</v>
      </c>
      <c r="D3203" s="11">
        <f>IFERROR(__xludf.DUMMYFUNCTION("""COMPUTED_VALUE"""),1284.0)</f>
        <v>1284</v>
      </c>
      <c r="E3203" s="9"/>
    </row>
    <row r="3204">
      <c r="A3204" s="11">
        <f>IFERROR(__xludf.DUMMYFUNCTION("""COMPUTED_VALUE"""),2021.0)</f>
        <v>2021</v>
      </c>
      <c r="B3204" s="11">
        <f>IFERROR(__xludf.DUMMYFUNCTION("""COMPUTED_VALUE"""),10.0)</f>
        <v>10</v>
      </c>
      <c r="C3204" s="11">
        <f>IFERROR(__xludf.DUMMYFUNCTION("""COMPUTED_VALUE"""),72852.0)</f>
        <v>72852</v>
      </c>
      <c r="D3204" s="11">
        <f>IFERROR(__xludf.DUMMYFUNCTION("""COMPUTED_VALUE"""),878.0)</f>
        <v>878</v>
      </c>
      <c r="E3204" s="9"/>
    </row>
    <row r="3205">
      <c r="A3205" s="11">
        <f>IFERROR(__xludf.DUMMYFUNCTION("""COMPUTED_VALUE"""),2021.0)</f>
        <v>2021</v>
      </c>
      <c r="B3205" s="11">
        <f>IFERROR(__xludf.DUMMYFUNCTION("""COMPUTED_VALUE"""),11.0)</f>
        <v>11</v>
      </c>
      <c r="C3205" s="11">
        <f>IFERROR(__xludf.DUMMYFUNCTION("""COMPUTED_VALUE"""),85856.0)</f>
        <v>85856</v>
      </c>
      <c r="D3205" s="11">
        <f>IFERROR(__xludf.DUMMYFUNCTION("""COMPUTED_VALUE"""),750.0)</f>
        <v>750</v>
      </c>
      <c r="E3205" s="9"/>
    </row>
    <row r="3206">
      <c r="A3206" s="11">
        <f>IFERROR(__xludf.DUMMYFUNCTION("""COMPUTED_VALUE"""),2021.0)</f>
        <v>2021</v>
      </c>
      <c r="B3206" s="11">
        <f>IFERROR(__xludf.DUMMYFUNCTION("""COMPUTED_VALUE"""),11.0)</f>
        <v>11</v>
      </c>
      <c r="C3206" s="11">
        <f>IFERROR(__xludf.DUMMYFUNCTION("""COMPUTED_VALUE"""),14018.0)</f>
        <v>14018</v>
      </c>
      <c r="D3206" s="11">
        <f>IFERROR(__xludf.DUMMYFUNCTION("""COMPUTED_VALUE"""),502.0)</f>
        <v>502</v>
      </c>
      <c r="E3206" s="9"/>
    </row>
    <row r="3207">
      <c r="A3207" s="11">
        <f>IFERROR(__xludf.DUMMYFUNCTION("""COMPUTED_VALUE"""),2021.0)</f>
        <v>2021</v>
      </c>
      <c r="B3207" s="11">
        <f>IFERROR(__xludf.DUMMYFUNCTION("""COMPUTED_VALUE"""),9.0)</f>
        <v>9</v>
      </c>
      <c r="C3207" s="11">
        <f>IFERROR(__xludf.DUMMYFUNCTION("""COMPUTED_VALUE"""),100262.0)</f>
        <v>100262</v>
      </c>
      <c r="D3207" s="11">
        <f>IFERROR(__xludf.DUMMYFUNCTION("""COMPUTED_VALUE"""),1498.0)</f>
        <v>1498</v>
      </c>
      <c r="E3207" s="9"/>
    </row>
    <row r="3208">
      <c r="A3208" s="11">
        <f>IFERROR(__xludf.DUMMYFUNCTION("""COMPUTED_VALUE"""),2021.0)</f>
        <v>2021</v>
      </c>
      <c r="B3208" s="11">
        <f>IFERROR(__xludf.DUMMYFUNCTION("""COMPUTED_VALUE"""),11.0)</f>
        <v>11</v>
      </c>
      <c r="C3208" s="11">
        <f>IFERROR(__xludf.DUMMYFUNCTION("""COMPUTED_VALUE"""),114657.0)</f>
        <v>114657</v>
      </c>
      <c r="D3208" s="11">
        <f>IFERROR(__xludf.DUMMYFUNCTION("""COMPUTED_VALUE"""),1448.0)</f>
        <v>1448</v>
      </c>
      <c r="E3208" s="9"/>
    </row>
    <row r="3209">
      <c r="A3209" s="11">
        <f>IFERROR(__xludf.DUMMYFUNCTION("""COMPUTED_VALUE"""),2021.0)</f>
        <v>2021</v>
      </c>
      <c r="B3209" s="11">
        <f>IFERROR(__xludf.DUMMYFUNCTION("""COMPUTED_VALUE"""),9.0)</f>
        <v>9</v>
      </c>
      <c r="C3209" s="11">
        <f>IFERROR(__xludf.DUMMYFUNCTION("""COMPUTED_VALUE"""),150281.0)</f>
        <v>150281</v>
      </c>
      <c r="D3209" s="11">
        <f>IFERROR(__xludf.DUMMYFUNCTION("""COMPUTED_VALUE"""),523.0)</f>
        <v>523</v>
      </c>
      <c r="E3209" s="9"/>
    </row>
    <row r="3210">
      <c r="A3210" s="11">
        <f>IFERROR(__xludf.DUMMYFUNCTION("""COMPUTED_VALUE"""),2021.0)</f>
        <v>2021</v>
      </c>
      <c r="B3210" s="11">
        <f>IFERROR(__xludf.DUMMYFUNCTION("""COMPUTED_VALUE"""),8.0)</f>
        <v>8</v>
      </c>
      <c r="C3210" s="11">
        <f>IFERROR(__xludf.DUMMYFUNCTION("""COMPUTED_VALUE"""),81491.0)</f>
        <v>81491</v>
      </c>
      <c r="D3210" s="11">
        <f>IFERROR(__xludf.DUMMYFUNCTION("""COMPUTED_VALUE"""),322.0)</f>
        <v>322</v>
      </c>
      <c r="E3210" s="9"/>
    </row>
    <row r="3211">
      <c r="A3211" s="11">
        <f>IFERROR(__xludf.DUMMYFUNCTION("""COMPUTED_VALUE"""),2021.0)</f>
        <v>2021</v>
      </c>
      <c r="B3211" s="11">
        <f>IFERROR(__xludf.DUMMYFUNCTION("""COMPUTED_VALUE"""),9.0)</f>
        <v>9</v>
      </c>
      <c r="C3211" s="11">
        <f>IFERROR(__xludf.DUMMYFUNCTION("""COMPUTED_VALUE"""),88519.0)</f>
        <v>88519</v>
      </c>
      <c r="D3211" s="11">
        <f>IFERROR(__xludf.DUMMYFUNCTION("""COMPUTED_VALUE"""),1401.0)</f>
        <v>1401</v>
      </c>
      <c r="E3211" s="9"/>
    </row>
    <row r="3212">
      <c r="A3212" s="11">
        <f>IFERROR(__xludf.DUMMYFUNCTION("""COMPUTED_VALUE"""),2021.0)</f>
        <v>2021</v>
      </c>
      <c r="B3212" s="11">
        <f>IFERROR(__xludf.DUMMYFUNCTION("""COMPUTED_VALUE"""),11.0)</f>
        <v>11</v>
      </c>
      <c r="C3212" s="11">
        <f>IFERROR(__xludf.DUMMYFUNCTION("""COMPUTED_VALUE"""),116800.0)</f>
        <v>116800</v>
      </c>
      <c r="D3212" s="11">
        <f>IFERROR(__xludf.DUMMYFUNCTION("""COMPUTED_VALUE"""),1426.0)</f>
        <v>1426</v>
      </c>
      <c r="E3212" s="9"/>
    </row>
    <row r="3213">
      <c r="A3213" s="11">
        <f>IFERROR(__xludf.DUMMYFUNCTION("""COMPUTED_VALUE"""),2021.0)</f>
        <v>2021</v>
      </c>
      <c r="B3213" s="11">
        <f>IFERROR(__xludf.DUMMYFUNCTION("""COMPUTED_VALUE"""),11.0)</f>
        <v>11</v>
      </c>
      <c r="C3213" s="11">
        <f>IFERROR(__xludf.DUMMYFUNCTION("""COMPUTED_VALUE"""),117675.0)</f>
        <v>117675</v>
      </c>
      <c r="D3213" s="11">
        <f>IFERROR(__xludf.DUMMYFUNCTION("""COMPUTED_VALUE"""),410.0)</f>
        <v>410</v>
      </c>
      <c r="E3213" s="9"/>
    </row>
    <row r="3214">
      <c r="A3214" s="11">
        <f>IFERROR(__xludf.DUMMYFUNCTION("""COMPUTED_VALUE"""),2021.0)</f>
        <v>2021</v>
      </c>
      <c r="B3214" s="11">
        <f>IFERROR(__xludf.DUMMYFUNCTION("""COMPUTED_VALUE"""),10.0)</f>
        <v>10</v>
      </c>
      <c r="C3214" s="11">
        <f>IFERROR(__xludf.DUMMYFUNCTION("""COMPUTED_VALUE"""),47051.0)</f>
        <v>47051</v>
      </c>
      <c r="D3214" s="11">
        <f>IFERROR(__xludf.DUMMYFUNCTION("""COMPUTED_VALUE"""),1142.0)</f>
        <v>1142</v>
      </c>
      <c r="E3214" s="9"/>
    </row>
    <row r="3215">
      <c r="A3215" s="11">
        <f>IFERROR(__xludf.DUMMYFUNCTION("""COMPUTED_VALUE"""),2021.0)</f>
        <v>2021</v>
      </c>
      <c r="B3215" s="11">
        <f>IFERROR(__xludf.DUMMYFUNCTION("""COMPUTED_VALUE"""),11.0)</f>
        <v>11</v>
      </c>
      <c r="C3215" s="11">
        <f>IFERROR(__xludf.DUMMYFUNCTION("""COMPUTED_VALUE"""),103171.0)</f>
        <v>103171</v>
      </c>
      <c r="D3215" s="11">
        <f>IFERROR(__xludf.DUMMYFUNCTION("""COMPUTED_VALUE"""),832.0)</f>
        <v>832</v>
      </c>
      <c r="E3215" s="9"/>
    </row>
    <row r="3216">
      <c r="A3216" s="11">
        <f>IFERROR(__xludf.DUMMYFUNCTION("""COMPUTED_VALUE"""),2021.0)</f>
        <v>2021</v>
      </c>
      <c r="B3216" s="11">
        <f>IFERROR(__xludf.DUMMYFUNCTION("""COMPUTED_VALUE"""),10.0)</f>
        <v>10</v>
      </c>
      <c r="C3216" s="11">
        <f>IFERROR(__xludf.DUMMYFUNCTION("""COMPUTED_VALUE"""),47049.0)</f>
        <v>47049</v>
      </c>
      <c r="D3216" s="11">
        <f>IFERROR(__xludf.DUMMYFUNCTION("""COMPUTED_VALUE"""),310.0)</f>
        <v>310</v>
      </c>
      <c r="E3216" s="9"/>
    </row>
    <row r="3217">
      <c r="A3217" s="11">
        <f>IFERROR(__xludf.DUMMYFUNCTION("""COMPUTED_VALUE"""),2021.0)</f>
        <v>2021</v>
      </c>
      <c r="B3217" s="11">
        <f>IFERROR(__xludf.DUMMYFUNCTION("""COMPUTED_VALUE"""),9.0)</f>
        <v>9</v>
      </c>
      <c r="C3217" s="11">
        <f>IFERROR(__xludf.DUMMYFUNCTION("""COMPUTED_VALUE"""),47351.0)</f>
        <v>47351</v>
      </c>
      <c r="D3217" s="11">
        <f>IFERROR(__xludf.DUMMYFUNCTION("""COMPUTED_VALUE"""),1814.0)</f>
        <v>1814</v>
      </c>
      <c r="E3217" s="9"/>
    </row>
    <row r="3218">
      <c r="A3218" s="11">
        <f>IFERROR(__xludf.DUMMYFUNCTION("""COMPUTED_VALUE"""),2021.0)</f>
        <v>2021</v>
      </c>
      <c r="B3218" s="11">
        <f>IFERROR(__xludf.DUMMYFUNCTION("""COMPUTED_VALUE"""),11.0)</f>
        <v>11</v>
      </c>
      <c r="C3218" s="11">
        <f>IFERROR(__xludf.DUMMYFUNCTION("""COMPUTED_VALUE"""),47575.0)</f>
        <v>47575</v>
      </c>
      <c r="D3218" s="11">
        <f>IFERROR(__xludf.DUMMYFUNCTION("""COMPUTED_VALUE"""),933.0)</f>
        <v>933</v>
      </c>
      <c r="E3218" s="9"/>
    </row>
    <row r="3219">
      <c r="A3219" s="11">
        <f>IFERROR(__xludf.DUMMYFUNCTION("""COMPUTED_VALUE"""),2021.0)</f>
        <v>2021</v>
      </c>
      <c r="B3219" s="11">
        <f>IFERROR(__xludf.DUMMYFUNCTION("""COMPUTED_VALUE"""),8.0)</f>
        <v>8</v>
      </c>
      <c r="C3219" s="11">
        <f>IFERROR(__xludf.DUMMYFUNCTION("""COMPUTED_VALUE"""),80088.0)</f>
        <v>80088</v>
      </c>
      <c r="D3219" s="11">
        <f>IFERROR(__xludf.DUMMYFUNCTION("""COMPUTED_VALUE"""),1430.0)</f>
        <v>1430</v>
      </c>
      <c r="E3219" s="9"/>
    </row>
    <row r="3220">
      <c r="A3220" s="11">
        <f>IFERROR(__xludf.DUMMYFUNCTION("""COMPUTED_VALUE"""),2021.0)</f>
        <v>2021</v>
      </c>
      <c r="B3220" s="11">
        <f>IFERROR(__xludf.DUMMYFUNCTION("""COMPUTED_VALUE"""),9.0)</f>
        <v>9</v>
      </c>
      <c r="C3220" s="11">
        <f>IFERROR(__xludf.DUMMYFUNCTION("""COMPUTED_VALUE"""),47298.0)</f>
        <v>47298</v>
      </c>
      <c r="D3220" s="11">
        <f>IFERROR(__xludf.DUMMYFUNCTION("""COMPUTED_VALUE"""),1773.0)</f>
        <v>1773</v>
      </c>
      <c r="E3220" s="9"/>
    </row>
    <row r="3221">
      <c r="A3221" s="11">
        <f>IFERROR(__xludf.DUMMYFUNCTION("""COMPUTED_VALUE"""),2021.0)</f>
        <v>2021</v>
      </c>
      <c r="B3221" s="11">
        <f>IFERROR(__xludf.DUMMYFUNCTION("""COMPUTED_VALUE"""),9.0)</f>
        <v>9</v>
      </c>
      <c r="C3221" s="11">
        <f>IFERROR(__xludf.DUMMYFUNCTION("""COMPUTED_VALUE"""),100271.0)</f>
        <v>100271</v>
      </c>
      <c r="D3221" s="11">
        <f>IFERROR(__xludf.DUMMYFUNCTION("""COMPUTED_VALUE"""),793.0)</f>
        <v>793</v>
      </c>
      <c r="E3221" s="9"/>
    </row>
    <row r="3222">
      <c r="A3222" s="11">
        <f>IFERROR(__xludf.DUMMYFUNCTION("""COMPUTED_VALUE"""),2021.0)</f>
        <v>2021</v>
      </c>
      <c r="B3222" s="11">
        <f>IFERROR(__xludf.DUMMYFUNCTION("""COMPUTED_VALUE"""),9.0)</f>
        <v>9</v>
      </c>
      <c r="C3222" s="11">
        <f>IFERROR(__xludf.DUMMYFUNCTION("""COMPUTED_VALUE"""),47621.0)</f>
        <v>47621</v>
      </c>
      <c r="D3222" s="11">
        <f>IFERROR(__xludf.DUMMYFUNCTION("""COMPUTED_VALUE"""),152.0)</f>
        <v>152</v>
      </c>
      <c r="E3222" s="9"/>
    </row>
    <row r="3223">
      <c r="A3223" s="11">
        <f>IFERROR(__xludf.DUMMYFUNCTION("""COMPUTED_VALUE"""),2021.0)</f>
        <v>2021</v>
      </c>
      <c r="B3223" s="11">
        <f>IFERROR(__xludf.DUMMYFUNCTION("""COMPUTED_VALUE"""),9.0)</f>
        <v>9</v>
      </c>
      <c r="C3223" s="11">
        <f>IFERROR(__xludf.DUMMYFUNCTION("""COMPUTED_VALUE"""),117609.0)</f>
        <v>117609</v>
      </c>
      <c r="D3223" s="11">
        <f>IFERROR(__xludf.DUMMYFUNCTION("""COMPUTED_VALUE"""),1080.0)</f>
        <v>1080</v>
      </c>
      <c r="E3223" s="9"/>
    </row>
    <row r="3224">
      <c r="A3224" s="11">
        <f>IFERROR(__xludf.DUMMYFUNCTION("""COMPUTED_VALUE"""),2021.0)</f>
        <v>2021</v>
      </c>
      <c r="B3224" s="11">
        <f>IFERROR(__xludf.DUMMYFUNCTION("""COMPUTED_VALUE"""),9.0)</f>
        <v>9</v>
      </c>
      <c r="C3224" s="11">
        <f>IFERROR(__xludf.DUMMYFUNCTION("""COMPUTED_VALUE"""),103873.0)</f>
        <v>103873</v>
      </c>
      <c r="D3224" s="11">
        <f>IFERROR(__xludf.DUMMYFUNCTION("""COMPUTED_VALUE"""),839.0)</f>
        <v>839</v>
      </c>
      <c r="E3224" s="9"/>
    </row>
    <row r="3225">
      <c r="A3225" s="11">
        <f>IFERROR(__xludf.DUMMYFUNCTION("""COMPUTED_VALUE"""),2021.0)</f>
        <v>2021</v>
      </c>
      <c r="B3225" s="11">
        <f>IFERROR(__xludf.DUMMYFUNCTION("""COMPUTED_VALUE"""),9.0)</f>
        <v>9</v>
      </c>
      <c r="C3225" s="11">
        <f>IFERROR(__xludf.DUMMYFUNCTION("""COMPUTED_VALUE"""),14026.0)</f>
        <v>14026</v>
      </c>
      <c r="D3225" s="11">
        <f>IFERROR(__xludf.DUMMYFUNCTION("""COMPUTED_VALUE"""),36.0)</f>
        <v>36</v>
      </c>
      <c r="E3225" s="9"/>
    </row>
    <row r="3226">
      <c r="A3226" s="11">
        <f>IFERROR(__xludf.DUMMYFUNCTION("""COMPUTED_VALUE"""),2021.0)</f>
        <v>2021</v>
      </c>
      <c r="B3226" s="11">
        <f>IFERROR(__xludf.DUMMYFUNCTION("""COMPUTED_VALUE"""),11.0)</f>
        <v>11</v>
      </c>
      <c r="C3226" s="11">
        <f>IFERROR(__xludf.DUMMYFUNCTION("""COMPUTED_VALUE"""),95951.0)</f>
        <v>95951</v>
      </c>
      <c r="D3226" s="11">
        <f>IFERROR(__xludf.DUMMYFUNCTION("""COMPUTED_VALUE"""),767.0)</f>
        <v>767</v>
      </c>
      <c r="E3226" s="9"/>
    </row>
    <row r="3227">
      <c r="A3227" s="11">
        <f>IFERROR(__xludf.DUMMYFUNCTION("""COMPUTED_VALUE"""),2021.0)</f>
        <v>2021</v>
      </c>
      <c r="B3227" s="11">
        <f>IFERROR(__xludf.DUMMYFUNCTION("""COMPUTED_VALUE"""),9.0)</f>
        <v>9</v>
      </c>
      <c r="C3227" s="11">
        <f>IFERROR(__xludf.DUMMYFUNCTION("""COMPUTED_VALUE"""),9162.0)</f>
        <v>9162</v>
      </c>
      <c r="D3227" s="11">
        <f>IFERROR(__xludf.DUMMYFUNCTION("""COMPUTED_VALUE"""),51.0)</f>
        <v>51</v>
      </c>
      <c r="E3227" s="9"/>
    </row>
    <row r="3228">
      <c r="A3228" s="11">
        <f>IFERROR(__xludf.DUMMYFUNCTION("""COMPUTED_VALUE"""),2021.0)</f>
        <v>2021</v>
      </c>
      <c r="B3228" s="11">
        <f>IFERROR(__xludf.DUMMYFUNCTION("""COMPUTED_VALUE"""),8.0)</f>
        <v>8</v>
      </c>
      <c r="C3228" s="11">
        <f>IFERROR(__xludf.DUMMYFUNCTION("""COMPUTED_VALUE"""),80089.0)</f>
        <v>80089</v>
      </c>
      <c r="D3228" s="11">
        <f>IFERROR(__xludf.DUMMYFUNCTION("""COMPUTED_VALUE"""),710.0)</f>
        <v>710</v>
      </c>
      <c r="E3228" s="9"/>
    </row>
    <row r="3229">
      <c r="A3229" s="11">
        <f>IFERROR(__xludf.DUMMYFUNCTION("""COMPUTED_VALUE"""),2021.0)</f>
        <v>2021</v>
      </c>
      <c r="B3229" s="11">
        <f>IFERROR(__xludf.DUMMYFUNCTION("""COMPUTED_VALUE"""),9.0)</f>
        <v>9</v>
      </c>
      <c r="C3229" s="11">
        <f>IFERROR(__xludf.DUMMYFUNCTION("""COMPUTED_VALUE"""),122521.0)</f>
        <v>122521</v>
      </c>
      <c r="D3229" s="11">
        <f>IFERROR(__xludf.DUMMYFUNCTION("""COMPUTED_VALUE"""),1654.0)</f>
        <v>1654</v>
      </c>
      <c r="E3229" s="9"/>
    </row>
    <row r="3230">
      <c r="A3230" s="11">
        <f>IFERROR(__xludf.DUMMYFUNCTION("""COMPUTED_VALUE"""),2021.0)</f>
        <v>2021</v>
      </c>
      <c r="B3230" s="11">
        <f>IFERROR(__xludf.DUMMYFUNCTION("""COMPUTED_VALUE"""),10.0)</f>
        <v>10</v>
      </c>
      <c r="C3230" s="11">
        <f>IFERROR(__xludf.DUMMYFUNCTION("""COMPUTED_VALUE"""),69300.0)</f>
        <v>69300</v>
      </c>
      <c r="D3230" s="11">
        <f>IFERROR(__xludf.DUMMYFUNCTION("""COMPUTED_VALUE"""),1034.0)</f>
        <v>1034</v>
      </c>
      <c r="E3230" s="9"/>
    </row>
    <row r="3231">
      <c r="A3231" s="11">
        <f>IFERROR(__xludf.DUMMYFUNCTION("""COMPUTED_VALUE"""),2021.0)</f>
        <v>2021</v>
      </c>
      <c r="B3231" s="11">
        <f>IFERROR(__xludf.DUMMYFUNCTION("""COMPUTED_VALUE"""),11.0)</f>
        <v>11</v>
      </c>
      <c r="C3231" s="11">
        <f>IFERROR(__xludf.DUMMYFUNCTION("""COMPUTED_VALUE"""),80417.0)</f>
        <v>80417</v>
      </c>
      <c r="D3231" s="11">
        <f>IFERROR(__xludf.DUMMYFUNCTION("""COMPUTED_VALUE"""),1324.0)</f>
        <v>1324</v>
      </c>
      <c r="E3231" s="9"/>
    </row>
    <row r="3232">
      <c r="A3232" s="11">
        <f>IFERROR(__xludf.DUMMYFUNCTION("""COMPUTED_VALUE"""),2021.0)</f>
        <v>2021</v>
      </c>
      <c r="B3232" s="11">
        <f>IFERROR(__xludf.DUMMYFUNCTION("""COMPUTED_VALUE"""),8.0)</f>
        <v>8</v>
      </c>
      <c r="C3232" s="11">
        <f>IFERROR(__xludf.DUMMYFUNCTION("""COMPUTED_VALUE"""),128323.0)</f>
        <v>128323</v>
      </c>
      <c r="D3232" s="11">
        <f>IFERROR(__xludf.DUMMYFUNCTION("""COMPUTED_VALUE"""),1858.0)</f>
        <v>1858</v>
      </c>
      <c r="E3232" s="9"/>
    </row>
    <row r="3233">
      <c r="A3233" s="11">
        <f>IFERROR(__xludf.DUMMYFUNCTION("""COMPUTED_VALUE"""),2021.0)</f>
        <v>2021</v>
      </c>
      <c r="B3233" s="11">
        <f>IFERROR(__xludf.DUMMYFUNCTION("""COMPUTED_VALUE"""),10.0)</f>
        <v>10</v>
      </c>
      <c r="C3233" s="11">
        <f>IFERROR(__xludf.DUMMYFUNCTION("""COMPUTED_VALUE"""),80091.0)</f>
        <v>80091</v>
      </c>
      <c r="D3233" s="11">
        <f>IFERROR(__xludf.DUMMYFUNCTION("""COMPUTED_VALUE"""),198.0)</f>
        <v>198</v>
      </c>
      <c r="E3233" s="9"/>
    </row>
    <row r="3234">
      <c r="A3234" s="11">
        <f>IFERROR(__xludf.DUMMYFUNCTION("""COMPUTED_VALUE"""),2021.0)</f>
        <v>2021</v>
      </c>
      <c r="B3234" s="11">
        <f>IFERROR(__xludf.DUMMYFUNCTION("""COMPUTED_VALUE"""),8.0)</f>
        <v>8</v>
      </c>
      <c r="C3234" s="11">
        <f>IFERROR(__xludf.DUMMYFUNCTION("""COMPUTED_VALUE"""),92927.0)</f>
        <v>92927</v>
      </c>
      <c r="D3234" s="11">
        <f>IFERROR(__xludf.DUMMYFUNCTION("""COMPUTED_VALUE"""),918.0)</f>
        <v>918</v>
      </c>
      <c r="E3234" s="9"/>
    </row>
    <row r="3235">
      <c r="A3235" s="11">
        <f>IFERROR(__xludf.DUMMYFUNCTION("""COMPUTED_VALUE"""),2021.0)</f>
        <v>2021</v>
      </c>
      <c r="B3235" s="11">
        <f>IFERROR(__xludf.DUMMYFUNCTION("""COMPUTED_VALUE"""),8.0)</f>
        <v>8</v>
      </c>
      <c r="C3235" s="11">
        <f>IFERROR(__xludf.DUMMYFUNCTION("""COMPUTED_VALUE"""),9158.0)</f>
        <v>9158</v>
      </c>
      <c r="D3235" s="11">
        <f>IFERROR(__xludf.DUMMYFUNCTION("""COMPUTED_VALUE"""),103.0)</f>
        <v>103</v>
      </c>
      <c r="E3235" s="9"/>
    </row>
    <row r="3236">
      <c r="A3236" s="11">
        <f>IFERROR(__xludf.DUMMYFUNCTION("""COMPUTED_VALUE"""),2021.0)</f>
        <v>2021</v>
      </c>
      <c r="B3236" s="11">
        <f>IFERROR(__xludf.DUMMYFUNCTION("""COMPUTED_VALUE"""),9.0)</f>
        <v>9</v>
      </c>
      <c r="C3236" s="11">
        <f>IFERROR(__xludf.DUMMYFUNCTION("""COMPUTED_VALUE"""),103872.0)</f>
        <v>103872</v>
      </c>
      <c r="D3236" s="11">
        <f>IFERROR(__xludf.DUMMYFUNCTION("""COMPUTED_VALUE"""),161.0)</f>
        <v>161</v>
      </c>
      <c r="E3236" s="9"/>
    </row>
    <row r="3237">
      <c r="A3237" s="11">
        <f>IFERROR(__xludf.DUMMYFUNCTION("""COMPUTED_VALUE"""),2021.0)</f>
        <v>2021</v>
      </c>
      <c r="B3237" s="11">
        <f>IFERROR(__xludf.DUMMYFUNCTION("""COMPUTED_VALUE"""),10.0)</f>
        <v>10</v>
      </c>
      <c r="C3237" s="11">
        <f>IFERROR(__xludf.DUMMYFUNCTION("""COMPUTED_VALUE"""),116809.0)</f>
        <v>116809</v>
      </c>
      <c r="D3237" s="11">
        <f>IFERROR(__xludf.DUMMYFUNCTION("""COMPUTED_VALUE"""),171.0)</f>
        <v>171</v>
      </c>
      <c r="E3237" s="9"/>
    </row>
    <row r="3238">
      <c r="A3238" s="11">
        <f>IFERROR(__xludf.DUMMYFUNCTION("""COMPUTED_VALUE"""),2021.0)</f>
        <v>2021</v>
      </c>
      <c r="B3238" s="11">
        <f>IFERROR(__xludf.DUMMYFUNCTION("""COMPUTED_VALUE"""),9.0)</f>
        <v>9</v>
      </c>
      <c r="C3238" s="11">
        <f>IFERROR(__xludf.DUMMYFUNCTION("""COMPUTED_VALUE"""),114655.0)</f>
        <v>114655</v>
      </c>
      <c r="D3238" s="11">
        <f>IFERROR(__xludf.DUMMYFUNCTION("""COMPUTED_VALUE"""),181.0)</f>
        <v>181</v>
      </c>
      <c r="E3238" s="9"/>
    </row>
    <row r="3239">
      <c r="A3239" s="11">
        <f>IFERROR(__xludf.DUMMYFUNCTION("""COMPUTED_VALUE"""),2021.0)</f>
        <v>2021</v>
      </c>
      <c r="B3239" s="11">
        <f>IFERROR(__xludf.DUMMYFUNCTION("""COMPUTED_VALUE"""),10.0)</f>
        <v>10</v>
      </c>
      <c r="C3239" s="11">
        <f>IFERROR(__xludf.DUMMYFUNCTION("""COMPUTED_VALUE"""),80228.0)</f>
        <v>80228</v>
      </c>
      <c r="D3239" s="11">
        <f>IFERROR(__xludf.DUMMYFUNCTION("""COMPUTED_VALUE"""),311.0)</f>
        <v>311</v>
      </c>
      <c r="E3239" s="9"/>
    </row>
    <row r="3240">
      <c r="A3240" s="11">
        <f>IFERROR(__xludf.DUMMYFUNCTION("""COMPUTED_VALUE"""),2021.0)</f>
        <v>2021</v>
      </c>
      <c r="B3240" s="11">
        <f>IFERROR(__xludf.DUMMYFUNCTION("""COMPUTED_VALUE"""),9.0)</f>
        <v>9</v>
      </c>
      <c r="C3240" s="11">
        <f>IFERROR(__xludf.DUMMYFUNCTION("""COMPUTED_VALUE"""),47207.0)</f>
        <v>47207</v>
      </c>
      <c r="D3240" s="11">
        <f>IFERROR(__xludf.DUMMYFUNCTION("""COMPUTED_VALUE"""),827.0)</f>
        <v>827</v>
      </c>
      <c r="E3240" s="9"/>
    </row>
    <row r="3241">
      <c r="A3241" s="11">
        <f>IFERROR(__xludf.DUMMYFUNCTION("""COMPUTED_VALUE"""),2021.0)</f>
        <v>2021</v>
      </c>
      <c r="B3241" s="11">
        <f>IFERROR(__xludf.DUMMYFUNCTION("""COMPUTED_VALUE"""),8.0)</f>
        <v>8</v>
      </c>
      <c r="C3241" s="11">
        <f>IFERROR(__xludf.DUMMYFUNCTION("""COMPUTED_VALUE"""),116402.0)</f>
        <v>116402</v>
      </c>
      <c r="D3241" s="11">
        <f>IFERROR(__xludf.DUMMYFUNCTION("""COMPUTED_VALUE"""),683.0)</f>
        <v>683</v>
      </c>
      <c r="E3241" s="9"/>
    </row>
    <row r="3242">
      <c r="A3242" s="11">
        <f>IFERROR(__xludf.DUMMYFUNCTION("""COMPUTED_VALUE"""),2021.0)</f>
        <v>2021</v>
      </c>
      <c r="B3242" s="11">
        <f>IFERROR(__xludf.DUMMYFUNCTION("""COMPUTED_VALUE"""),8.0)</f>
        <v>8</v>
      </c>
      <c r="C3242" s="11">
        <f>IFERROR(__xludf.DUMMYFUNCTION("""COMPUTED_VALUE"""),116408.0)</f>
        <v>116408</v>
      </c>
      <c r="D3242" s="11">
        <f>IFERROR(__xludf.DUMMYFUNCTION("""COMPUTED_VALUE"""),1331.0)</f>
        <v>1331</v>
      </c>
      <c r="E3242" s="9"/>
    </row>
    <row r="3243">
      <c r="A3243" s="11">
        <f>IFERROR(__xludf.DUMMYFUNCTION("""COMPUTED_VALUE"""),2021.0)</f>
        <v>2021</v>
      </c>
      <c r="B3243" s="11">
        <f>IFERROR(__xludf.DUMMYFUNCTION("""COMPUTED_VALUE"""),11.0)</f>
        <v>11</v>
      </c>
      <c r="C3243" s="11">
        <f>IFERROR(__xludf.DUMMYFUNCTION("""COMPUTED_VALUE"""),83592.0)</f>
        <v>83592</v>
      </c>
      <c r="D3243" s="11">
        <f>IFERROR(__xludf.DUMMYFUNCTION("""COMPUTED_VALUE"""),154.0)</f>
        <v>154</v>
      </c>
      <c r="E3243" s="9"/>
    </row>
    <row r="3244">
      <c r="A3244" s="11">
        <f>IFERROR(__xludf.DUMMYFUNCTION("""COMPUTED_VALUE"""),2021.0)</f>
        <v>2021</v>
      </c>
      <c r="B3244" s="11">
        <f>IFERROR(__xludf.DUMMYFUNCTION("""COMPUTED_VALUE"""),11.0)</f>
        <v>11</v>
      </c>
      <c r="C3244" s="11">
        <f>IFERROR(__xludf.DUMMYFUNCTION("""COMPUTED_VALUE"""),122241.0)</f>
        <v>122241</v>
      </c>
      <c r="D3244" s="11">
        <f>IFERROR(__xludf.DUMMYFUNCTION("""COMPUTED_VALUE"""),621.0)</f>
        <v>621</v>
      </c>
      <c r="E3244" s="9"/>
    </row>
    <row r="3245">
      <c r="A3245" s="11">
        <f>IFERROR(__xludf.DUMMYFUNCTION("""COMPUTED_VALUE"""),2021.0)</f>
        <v>2021</v>
      </c>
      <c r="B3245" s="11">
        <f>IFERROR(__xludf.DUMMYFUNCTION("""COMPUTED_VALUE"""),10.0)</f>
        <v>10</v>
      </c>
      <c r="C3245" s="11">
        <f>IFERROR(__xludf.DUMMYFUNCTION("""COMPUTED_VALUE"""),112799.0)</f>
        <v>112799</v>
      </c>
      <c r="D3245" s="11">
        <f>IFERROR(__xludf.DUMMYFUNCTION("""COMPUTED_VALUE"""),276.0)</f>
        <v>276</v>
      </c>
      <c r="E3245" s="9"/>
    </row>
    <row r="3246">
      <c r="A3246" s="11">
        <f>IFERROR(__xludf.DUMMYFUNCTION("""COMPUTED_VALUE"""),2021.0)</f>
        <v>2021</v>
      </c>
      <c r="B3246" s="11">
        <f>IFERROR(__xludf.DUMMYFUNCTION("""COMPUTED_VALUE"""),9.0)</f>
        <v>9</v>
      </c>
      <c r="C3246" s="11">
        <f>IFERROR(__xludf.DUMMYFUNCTION("""COMPUTED_VALUE"""),122659.0)</f>
        <v>122659</v>
      </c>
      <c r="D3246" s="11">
        <f>IFERROR(__xludf.DUMMYFUNCTION("""COMPUTED_VALUE"""),1270.0)</f>
        <v>1270</v>
      </c>
      <c r="E3246" s="9"/>
    </row>
    <row r="3247">
      <c r="A3247" s="11">
        <f>IFERROR(__xludf.DUMMYFUNCTION("""COMPUTED_VALUE"""),2021.0)</f>
        <v>2021</v>
      </c>
      <c r="B3247" s="11">
        <f>IFERROR(__xludf.DUMMYFUNCTION("""COMPUTED_VALUE"""),10.0)</f>
        <v>10</v>
      </c>
      <c r="C3247" s="11">
        <f>IFERROR(__xludf.DUMMYFUNCTION("""COMPUTED_VALUE"""),112797.0)</f>
        <v>112797</v>
      </c>
      <c r="D3247" s="11">
        <f>IFERROR(__xludf.DUMMYFUNCTION("""COMPUTED_VALUE"""),1831.0)</f>
        <v>1831</v>
      </c>
      <c r="E3247" s="9"/>
    </row>
    <row r="3248">
      <c r="A3248" s="11">
        <f>IFERROR(__xludf.DUMMYFUNCTION("""COMPUTED_VALUE"""),2021.0)</f>
        <v>2021</v>
      </c>
      <c r="B3248" s="11">
        <f>IFERROR(__xludf.DUMMYFUNCTION("""COMPUTED_VALUE"""),8.0)</f>
        <v>8</v>
      </c>
      <c r="C3248" s="11">
        <f>IFERROR(__xludf.DUMMYFUNCTION("""COMPUTED_VALUE"""),122663.0)</f>
        <v>122663</v>
      </c>
      <c r="D3248" s="11">
        <f>IFERROR(__xludf.DUMMYFUNCTION("""COMPUTED_VALUE"""),707.0)</f>
        <v>707</v>
      </c>
      <c r="E3248" s="9"/>
    </row>
    <row r="3249">
      <c r="A3249" s="11">
        <f>IFERROR(__xludf.DUMMYFUNCTION("""COMPUTED_VALUE"""),2021.0)</f>
        <v>2021</v>
      </c>
      <c r="B3249" s="11">
        <f>IFERROR(__xludf.DUMMYFUNCTION("""COMPUTED_VALUE"""),8.0)</f>
        <v>8</v>
      </c>
      <c r="C3249" s="11">
        <f>IFERROR(__xludf.DUMMYFUNCTION("""COMPUTED_VALUE"""),112809.0)</f>
        <v>112809</v>
      </c>
      <c r="D3249" s="11">
        <f>IFERROR(__xludf.DUMMYFUNCTION("""COMPUTED_VALUE"""),800.0)</f>
        <v>800</v>
      </c>
      <c r="E3249" s="9"/>
    </row>
    <row r="3250">
      <c r="A3250" s="11">
        <f>IFERROR(__xludf.DUMMYFUNCTION("""COMPUTED_VALUE"""),2021.0)</f>
        <v>2021</v>
      </c>
      <c r="B3250" s="11">
        <f>IFERROR(__xludf.DUMMYFUNCTION("""COMPUTED_VALUE"""),9.0)</f>
        <v>9</v>
      </c>
      <c r="C3250" s="11">
        <f>IFERROR(__xludf.DUMMYFUNCTION("""COMPUTED_VALUE"""),80220.0)</f>
        <v>80220</v>
      </c>
      <c r="D3250" s="11">
        <f>IFERROR(__xludf.DUMMYFUNCTION("""COMPUTED_VALUE"""),3.0)</f>
        <v>3</v>
      </c>
      <c r="E3250" s="9"/>
    </row>
    <row r="3251">
      <c r="A3251" s="11">
        <f>IFERROR(__xludf.DUMMYFUNCTION("""COMPUTED_VALUE"""),2021.0)</f>
        <v>2021</v>
      </c>
      <c r="B3251" s="11">
        <f>IFERROR(__xludf.DUMMYFUNCTION("""COMPUTED_VALUE"""),10.0)</f>
        <v>10</v>
      </c>
      <c r="C3251" s="11">
        <f>IFERROR(__xludf.DUMMYFUNCTION("""COMPUTED_VALUE"""),112732.0)</f>
        <v>112732</v>
      </c>
      <c r="D3251" s="11">
        <f>IFERROR(__xludf.DUMMYFUNCTION("""COMPUTED_VALUE"""),493.0)</f>
        <v>493</v>
      </c>
      <c r="E3251" s="9"/>
    </row>
    <row r="3252">
      <c r="A3252" s="11">
        <f>IFERROR(__xludf.DUMMYFUNCTION("""COMPUTED_VALUE"""),2021.0)</f>
        <v>2021</v>
      </c>
      <c r="B3252" s="11">
        <f>IFERROR(__xludf.DUMMYFUNCTION("""COMPUTED_VALUE"""),8.0)</f>
        <v>8</v>
      </c>
      <c r="C3252" s="11">
        <f>IFERROR(__xludf.DUMMYFUNCTION("""COMPUTED_VALUE"""),83354.0)</f>
        <v>83354</v>
      </c>
      <c r="D3252" s="11">
        <f>IFERROR(__xludf.DUMMYFUNCTION("""COMPUTED_VALUE"""),1940.0)</f>
        <v>1940</v>
      </c>
      <c r="E3252" s="9"/>
    </row>
    <row r="3253">
      <c r="A3253" s="11">
        <f>IFERROR(__xludf.DUMMYFUNCTION("""COMPUTED_VALUE"""),2021.0)</f>
        <v>2021</v>
      </c>
      <c r="B3253" s="11">
        <f>IFERROR(__xludf.DUMMYFUNCTION("""COMPUTED_VALUE"""),10.0)</f>
        <v>10</v>
      </c>
      <c r="C3253" s="11">
        <f>IFERROR(__xludf.DUMMYFUNCTION("""COMPUTED_VALUE"""),116410.0)</f>
        <v>116410</v>
      </c>
      <c r="D3253" s="11">
        <f>IFERROR(__xludf.DUMMYFUNCTION("""COMPUTED_VALUE"""),1196.0)</f>
        <v>1196</v>
      </c>
      <c r="E3253" s="9"/>
    </row>
    <row r="3254">
      <c r="A3254" s="11">
        <f>IFERROR(__xludf.DUMMYFUNCTION("""COMPUTED_VALUE"""),2021.0)</f>
        <v>2021</v>
      </c>
      <c r="B3254" s="11">
        <f>IFERROR(__xludf.DUMMYFUNCTION("""COMPUTED_VALUE"""),11.0)</f>
        <v>11</v>
      </c>
      <c r="C3254" s="11">
        <f>IFERROR(__xludf.DUMMYFUNCTION("""COMPUTED_VALUE"""),103841.0)</f>
        <v>103841</v>
      </c>
      <c r="D3254" s="11">
        <f>IFERROR(__xludf.DUMMYFUNCTION("""COMPUTED_VALUE"""),1543.0)</f>
        <v>1543</v>
      </c>
      <c r="E3254" s="9"/>
    </row>
    <row r="3255">
      <c r="A3255" s="11">
        <f>IFERROR(__xludf.DUMMYFUNCTION("""COMPUTED_VALUE"""),2021.0)</f>
        <v>2021</v>
      </c>
      <c r="B3255" s="11">
        <f>IFERROR(__xludf.DUMMYFUNCTION("""COMPUTED_VALUE"""),8.0)</f>
        <v>8</v>
      </c>
      <c r="C3255" s="11">
        <f>IFERROR(__xludf.DUMMYFUNCTION("""COMPUTED_VALUE"""),116746.0)</f>
        <v>116746</v>
      </c>
      <c r="D3255" s="11">
        <f>IFERROR(__xludf.DUMMYFUNCTION("""COMPUTED_VALUE"""),567.0)</f>
        <v>567</v>
      </c>
      <c r="E3255" s="9"/>
    </row>
    <row r="3256">
      <c r="A3256" s="11">
        <f>IFERROR(__xludf.DUMMYFUNCTION("""COMPUTED_VALUE"""),2021.0)</f>
        <v>2021</v>
      </c>
      <c r="B3256" s="11">
        <f>IFERROR(__xludf.DUMMYFUNCTION("""COMPUTED_VALUE"""),9.0)</f>
        <v>9</v>
      </c>
      <c r="C3256" s="11">
        <f>IFERROR(__xludf.DUMMYFUNCTION("""COMPUTED_VALUE"""),116405.0)</f>
        <v>116405</v>
      </c>
      <c r="D3256" s="11">
        <f>IFERROR(__xludf.DUMMYFUNCTION("""COMPUTED_VALUE"""),1704.0)</f>
        <v>1704</v>
      </c>
      <c r="E3256" s="9"/>
    </row>
    <row r="3257">
      <c r="A3257" s="11">
        <f>IFERROR(__xludf.DUMMYFUNCTION("""COMPUTED_VALUE"""),2021.0)</f>
        <v>2021</v>
      </c>
      <c r="B3257" s="11">
        <f>IFERROR(__xludf.DUMMYFUNCTION("""COMPUTED_VALUE"""),8.0)</f>
        <v>8</v>
      </c>
      <c r="C3257" s="11">
        <f>IFERROR(__xludf.DUMMYFUNCTION("""COMPUTED_VALUE"""),112810.0)</f>
        <v>112810</v>
      </c>
      <c r="D3257" s="11">
        <f>IFERROR(__xludf.DUMMYFUNCTION("""COMPUTED_VALUE"""),1445.0)</f>
        <v>1445</v>
      </c>
      <c r="E3257" s="9"/>
    </row>
    <row r="3258">
      <c r="A3258" s="11">
        <f>IFERROR(__xludf.DUMMYFUNCTION("""COMPUTED_VALUE"""),2021.0)</f>
        <v>2021</v>
      </c>
      <c r="B3258" s="11">
        <f>IFERROR(__xludf.DUMMYFUNCTION("""COMPUTED_VALUE"""),11.0)</f>
        <v>11</v>
      </c>
      <c r="C3258" s="11">
        <f>IFERROR(__xludf.DUMMYFUNCTION("""COMPUTED_VALUE"""),47347.0)</f>
        <v>47347</v>
      </c>
      <c r="D3258" s="11">
        <f>IFERROR(__xludf.DUMMYFUNCTION("""COMPUTED_VALUE"""),1769.0)</f>
        <v>1769</v>
      </c>
      <c r="E3258" s="9"/>
    </row>
    <row r="3259">
      <c r="A3259" s="11">
        <f>IFERROR(__xludf.DUMMYFUNCTION("""COMPUTED_VALUE"""),2021.0)</f>
        <v>2021</v>
      </c>
      <c r="B3259" s="11">
        <f>IFERROR(__xludf.DUMMYFUNCTION("""COMPUTED_VALUE"""),11.0)</f>
        <v>11</v>
      </c>
      <c r="C3259" s="11">
        <f>IFERROR(__xludf.DUMMYFUNCTION("""COMPUTED_VALUE"""),101902.0)</f>
        <v>101902</v>
      </c>
      <c r="D3259" s="11">
        <f>IFERROR(__xludf.DUMMYFUNCTION("""COMPUTED_VALUE"""),1325.0)</f>
        <v>1325</v>
      </c>
      <c r="E3259" s="9"/>
    </row>
    <row r="3260">
      <c r="A3260" s="11">
        <f>IFERROR(__xludf.DUMMYFUNCTION("""COMPUTED_VALUE"""),2021.0)</f>
        <v>2021</v>
      </c>
      <c r="B3260" s="11">
        <f>IFERROR(__xludf.DUMMYFUNCTION("""COMPUTED_VALUE"""),8.0)</f>
        <v>8</v>
      </c>
      <c r="C3260" s="11">
        <f>IFERROR(__xludf.DUMMYFUNCTION("""COMPUTED_VALUE"""),92926.0)</f>
        <v>92926</v>
      </c>
      <c r="D3260" s="11">
        <f>IFERROR(__xludf.DUMMYFUNCTION("""COMPUTED_VALUE"""),1527.0)</f>
        <v>1527</v>
      </c>
      <c r="E3260" s="9"/>
    </row>
    <row r="3261">
      <c r="A3261" s="11">
        <f>IFERROR(__xludf.DUMMYFUNCTION("""COMPUTED_VALUE"""),2021.0)</f>
        <v>2021</v>
      </c>
      <c r="B3261" s="11">
        <f>IFERROR(__xludf.DUMMYFUNCTION("""COMPUTED_VALUE"""),11.0)</f>
        <v>11</v>
      </c>
      <c r="C3261" s="11">
        <f>IFERROR(__xludf.DUMMYFUNCTION("""COMPUTED_VALUE"""),47345.0)</f>
        <v>47345</v>
      </c>
      <c r="D3261" s="11">
        <f>IFERROR(__xludf.DUMMYFUNCTION("""COMPUTED_VALUE"""),1480.0)</f>
        <v>1480</v>
      </c>
      <c r="E3261" s="9"/>
    </row>
    <row r="3262">
      <c r="A3262" s="11">
        <f>IFERROR(__xludf.DUMMYFUNCTION("""COMPUTED_VALUE"""),2021.0)</f>
        <v>2021</v>
      </c>
      <c r="B3262" s="11">
        <f>IFERROR(__xludf.DUMMYFUNCTION("""COMPUTED_VALUE"""),11.0)</f>
        <v>11</v>
      </c>
      <c r="C3262" s="11">
        <f>IFERROR(__xludf.DUMMYFUNCTION("""COMPUTED_VALUE"""),121611.0)</f>
        <v>121611</v>
      </c>
      <c r="D3262" s="11">
        <f>IFERROR(__xludf.DUMMYFUNCTION("""COMPUTED_VALUE"""),1483.0)</f>
        <v>1483</v>
      </c>
      <c r="E3262" s="9"/>
    </row>
    <row r="3263">
      <c r="A3263" s="11">
        <f>IFERROR(__xludf.DUMMYFUNCTION("""COMPUTED_VALUE"""),2021.0)</f>
        <v>2021</v>
      </c>
      <c r="B3263" s="11">
        <f>IFERROR(__xludf.DUMMYFUNCTION("""COMPUTED_VALUE"""),9.0)</f>
        <v>9</v>
      </c>
      <c r="C3263" s="11">
        <f>IFERROR(__xludf.DUMMYFUNCTION("""COMPUTED_VALUE"""),73310.0)</f>
        <v>73310</v>
      </c>
      <c r="D3263" s="11">
        <f>IFERROR(__xludf.DUMMYFUNCTION("""COMPUTED_VALUE"""),1921.0)</f>
        <v>1921</v>
      </c>
      <c r="E3263" s="9"/>
    </row>
    <row r="3264">
      <c r="A3264" s="11">
        <f>IFERROR(__xludf.DUMMYFUNCTION("""COMPUTED_VALUE"""),2021.0)</f>
        <v>2021</v>
      </c>
      <c r="B3264" s="11">
        <f>IFERROR(__xludf.DUMMYFUNCTION("""COMPUTED_VALUE"""),9.0)</f>
        <v>9</v>
      </c>
      <c r="C3264" s="11">
        <f>IFERROR(__xludf.DUMMYFUNCTION("""COMPUTED_VALUE"""),80102.0)</f>
        <v>80102</v>
      </c>
      <c r="D3264" s="11">
        <f>IFERROR(__xludf.DUMMYFUNCTION("""COMPUTED_VALUE"""),639.0)</f>
        <v>639</v>
      </c>
      <c r="E3264" s="9"/>
    </row>
    <row r="3265">
      <c r="A3265" s="11">
        <f>IFERROR(__xludf.DUMMYFUNCTION("""COMPUTED_VALUE"""),2021.0)</f>
        <v>2021</v>
      </c>
      <c r="B3265" s="11">
        <f>IFERROR(__xludf.DUMMYFUNCTION("""COMPUTED_VALUE"""),11.0)</f>
        <v>11</v>
      </c>
      <c r="C3265" s="11">
        <f>IFERROR(__xludf.DUMMYFUNCTION("""COMPUTED_VALUE"""),122773.0)</f>
        <v>122773</v>
      </c>
      <c r="D3265" s="11">
        <f>IFERROR(__xludf.DUMMYFUNCTION("""COMPUTED_VALUE"""),1081.0)</f>
        <v>1081</v>
      </c>
      <c r="E3265" s="9"/>
    </row>
    <row r="3266">
      <c r="A3266" s="11">
        <f>IFERROR(__xludf.DUMMYFUNCTION("""COMPUTED_VALUE"""),2021.0)</f>
        <v>2021</v>
      </c>
      <c r="B3266" s="11">
        <f>IFERROR(__xludf.DUMMYFUNCTION("""COMPUTED_VALUE"""),9.0)</f>
        <v>9</v>
      </c>
      <c r="C3266" s="11">
        <f>IFERROR(__xludf.DUMMYFUNCTION("""COMPUTED_VALUE"""),119421.0)</f>
        <v>119421</v>
      </c>
      <c r="D3266" s="11">
        <f>IFERROR(__xludf.DUMMYFUNCTION("""COMPUTED_VALUE"""),1179.0)</f>
        <v>1179</v>
      </c>
      <c r="E3266" s="9"/>
    </row>
    <row r="3267">
      <c r="A3267" s="11">
        <f>IFERROR(__xludf.DUMMYFUNCTION("""COMPUTED_VALUE"""),2021.0)</f>
        <v>2021</v>
      </c>
      <c r="B3267" s="11">
        <f>IFERROR(__xludf.DUMMYFUNCTION("""COMPUTED_VALUE"""),10.0)</f>
        <v>10</v>
      </c>
      <c r="C3267" s="11">
        <f>IFERROR(__xludf.DUMMYFUNCTION("""COMPUTED_VALUE"""),118276.0)</f>
        <v>118276</v>
      </c>
      <c r="D3267" s="11">
        <f>IFERROR(__xludf.DUMMYFUNCTION("""COMPUTED_VALUE"""),879.0)</f>
        <v>879</v>
      </c>
      <c r="E3267" s="9"/>
    </row>
    <row r="3268">
      <c r="A3268" s="11">
        <f>IFERROR(__xludf.DUMMYFUNCTION("""COMPUTED_VALUE"""),2021.0)</f>
        <v>2021</v>
      </c>
      <c r="B3268" s="11">
        <f>IFERROR(__xludf.DUMMYFUNCTION("""COMPUTED_VALUE"""),9.0)</f>
        <v>9</v>
      </c>
      <c r="C3268" s="11">
        <f>IFERROR(__xludf.DUMMYFUNCTION("""COMPUTED_VALUE"""),47314.0)</f>
        <v>47314</v>
      </c>
      <c r="D3268" s="11">
        <f>IFERROR(__xludf.DUMMYFUNCTION("""COMPUTED_VALUE"""),184.0)</f>
        <v>184</v>
      </c>
      <c r="E3268" s="9"/>
    </row>
    <row r="3269">
      <c r="A3269" s="11">
        <f>IFERROR(__xludf.DUMMYFUNCTION("""COMPUTED_VALUE"""),2021.0)</f>
        <v>2021</v>
      </c>
      <c r="B3269" s="11">
        <f>IFERROR(__xludf.DUMMYFUNCTION("""COMPUTED_VALUE"""),9.0)</f>
        <v>9</v>
      </c>
      <c r="C3269" s="11">
        <f>IFERROR(__xludf.DUMMYFUNCTION("""COMPUTED_VALUE"""),122771.0)</f>
        <v>122771</v>
      </c>
      <c r="D3269" s="11">
        <f>IFERROR(__xludf.DUMMYFUNCTION("""COMPUTED_VALUE"""),331.0)</f>
        <v>331</v>
      </c>
      <c r="E3269" s="9"/>
    </row>
    <row r="3270">
      <c r="A3270" s="11">
        <f>IFERROR(__xludf.DUMMYFUNCTION("""COMPUTED_VALUE"""),2021.0)</f>
        <v>2021</v>
      </c>
      <c r="B3270" s="11">
        <f>IFERROR(__xludf.DUMMYFUNCTION("""COMPUTED_VALUE"""),8.0)</f>
        <v>8</v>
      </c>
      <c r="C3270" s="11">
        <f>IFERROR(__xludf.DUMMYFUNCTION("""COMPUTED_VALUE"""),47380.0)</f>
        <v>47380</v>
      </c>
      <c r="D3270" s="11">
        <f>IFERROR(__xludf.DUMMYFUNCTION("""COMPUTED_VALUE"""),1649.0)</f>
        <v>1649</v>
      </c>
      <c r="E3270" s="9"/>
    </row>
    <row r="3271">
      <c r="A3271" s="11">
        <f>IFERROR(__xludf.DUMMYFUNCTION("""COMPUTED_VALUE"""),2021.0)</f>
        <v>2021</v>
      </c>
      <c r="B3271" s="11">
        <f>IFERROR(__xludf.DUMMYFUNCTION("""COMPUTED_VALUE"""),9.0)</f>
        <v>9</v>
      </c>
      <c r="C3271" s="11">
        <f>IFERROR(__xludf.DUMMYFUNCTION("""COMPUTED_VALUE"""),98329.0)</f>
        <v>98329</v>
      </c>
      <c r="D3271" s="11">
        <f>IFERROR(__xludf.DUMMYFUNCTION("""COMPUTED_VALUE"""),447.0)</f>
        <v>447</v>
      </c>
      <c r="E3271" s="9"/>
    </row>
    <row r="3272">
      <c r="A3272" s="11">
        <f>IFERROR(__xludf.DUMMYFUNCTION("""COMPUTED_VALUE"""),2021.0)</f>
        <v>2021</v>
      </c>
      <c r="B3272" s="11">
        <f>IFERROR(__xludf.DUMMYFUNCTION("""COMPUTED_VALUE"""),10.0)</f>
        <v>10</v>
      </c>
      <c r="C3272" s="11">
        <f>IFERROR(__xludf.DUMMYFUNCTION("""COMPUTED_VALUE"""),81485.0)</f>
        <v>81485</v>
      </c>
      <c r="D3272" s="11">
        <f>IFERROR(__xludf.DUMMYFUNCTION("""COMPUTED_VALUE"""),1516.0)</f>
        <v>1516</v>
      </c>
      <c r="E3272" s="9"/>
    </row>
    <row r="3273">
      <c r="A3273" s="11">
        <f>IFERROR(__xludf.DUMMYFUNCTION("""COMPUTED_VALUE"""),2021.0)</f>
        <v>2021</v>
      </c>
      <c r="B3273" s="11">
        <f>IFERROR(__xludf.DUMMYFUNCTION("""COMPUTED_VALUE"""),10.0)</f>
        <v>10</v>
      </c>
      <c r="C3273" s="11">
        <f>IFERROR(__xludf.DUMMYFUNCTION("""COMPUTED_VALUE"""),77847.0)</f>
        <v>77847</v>
      </c>
      <c r="D3273" s="11">
        <f>IFERROR(__xludf.DUMMYFUNCTION("""COMPUTED_VALUE"""),1447.0)</f>
        <v>1447</v>
      </c>
      <c r="E3273" s="9"/>
    </row>
    <row r="3274">
      <c r="A3274" s="11">
        <f>IFERROR(__xludf.DUMMYFUNCTION("""COMPUTED_VALUE"""),2021.0)</f>
        <v>2021</v>
      </c>
      <c r="B3274" s="11">
        <f>IFERROR(__xludf.DUMMYFUNCTION("""COMPUTED_VALUE"""),10.0)</f>
        <v>10</v>
      </c>
      <c r="C3274" s="11">
        <f>IFERROR(__xludf.DUMMYFUNCTION("""COMPUTED_VALUE"""),77290.0)</f>
        <v>77290</v>
      </c>
      <c r="D3274" s="11">
        <f>IFERROR(__xludf.DUMMYFUNCTION("""COMPUTED_VALUE"""),529.0)</f>
        <v>529</v>
      </c>
      <c r="E3274" s="9"/>
    </row>
    <row r="3275">
      <c r="A3275" s="11">
        <f>IFERROR(__xludf.DUMMYFUNCTION("""COMPUTED_VALUE"""),2021.0)</f>
        <v>2021</v>
      </c>
      <c r="B3275" s="11">
        <f>IFERROR(__xludf.DUMMYFUNCTION("""COMPUTED_VALUE"""),8.0)</f>
        <v>8</v>
      </c>
      <c r="C3275" s="11">
        <f>IFERROR(__xludf.DUMMYFUNCTION("""COMPUTED_VALUE"""),114656.0)</f>
        <v>114656</v>
      </c>
      <c r="D3275" s="11">
        <f>IFERROR(__xludf.DUMMYFUNCTION("""COMPUTED_VALUE"""),1610.0)</f>
        <v>1610</v>
      </c>
      <c r="E3275" s="9"/>
    </row>
    <row r="3276">
      <c r="A3276" s="11">
        <f>IFERROR(__xludf.DUMMYFUNCTION("""COMPUTED_VALUE"""),2021.0)</f>
        <v>2021</v>
      </c>
      <c r="B3276" s="11">
        <f>IFERROR(__xludf.DUMMYFUNCTION("""COMPUTED_VALUE"""),8.0)</f>
        <v>8</v>
      </c>
      <c r="C3276" s="11">
        <f>IFERROR(__xludf.DUMMYFUNCTION("""COMPUTED_VALUE"""),118486.0)</f>
        <v>118486</v>
      </c>
      <c r="D3276" s="11">
        <f>IFERROR(__xludf.DUMMYFUNCTION("""COMPUTED_VALUE"""),786.0)</f>
        <v>786</v>
      </c>
      <c r="E3276" s="9"/>
    </row>
    <row r="3277">
      <c r="A3277" s="11">
        <f>IFERROR(__xludf.DUMMYFUNCTION("""COMPUTED_VALUE"""),2021.0)</f>
        <v>2021</v>
      </c>
      <c r="B3277" s="11">
        <f>IFERROR(__xludf.DUMMYFUNCTION("""COMPUTED_VALUE"""),9.0)</f>
        <v>9</v>
      </c>
      <c r="C3277" s="11">
        <f>IFERROR(__xludf.DUMMYFUNCTION("""COMPUTED_VALUE"""),101889.0)</f>
        <v>101889</v>
      </c>
      <c r="D3277" s="11">
        <f>IFERROR(__xludf.DUMMYFUNCTION("""COMPUTED_VALUE"""),155.0)</f>
        <v>155</v>
      </c>
      <c r="E3277" s="9"/>
    </row>
    <row r="3278">
      <c r="A3278" s="11">
        <f>IFERROR(__xludf.DUMMYFUNCTION("""COMPUTED_VALUE"""),2021.0)</f>
        <v>2021</v>
      </c>
      <c r="B3278" s="11">
        <f>IFERROR(__xludf.DUMMYFUNCTION("""COMPUTED_VALUE"""),10.0)</f>
        <v>10</v>
      </c>
      <c r="C3278" s="11">
        <f>IFERROR(__xludf.DUMMYFUNCTION("""COMPUTED_VALUE"""),14030.0)</f>
        <v>14030</v>
      </c>
      <c r="D3278" s="11">
        <f>IFERROR(__xludf.DUMMYFUNCTION("""COMPUTED_VALUE"""),1898.0)</f>
        <v>1898</v>
      </c>
      <c r="E3278" s="9"/>
    </row>
    <row r="3279">
      <c r="A3279" s="11">
        <f>IFERROR(__xludf.DUMMYFUNCTION("""COMPUTED_VALUE"""),2021.0)</f>
        <v>2021</v>
      </c>
      <c r="B3279" s="11">
        <f>IFERROR(__xludf.DUMMYFUNCTION("""COMPUTED_VALUE"""),10.0)</f>
        <v>10</v>
      </c>
      <c r="C3279" s="11">
        <f>IFERROR(__xludf.DUMMYFUNCTION("""COMPUTED_VALUE"""),47381.0)</f>
        <v>47381</v>
      </c>
      <c r="D3279" s="11">
        <f>IFERROR(__xludf.DUMMYFUNCTION("""COMPUTED_VALUE"""),798.0)</f>
        <v>798</v>
      </c>
      <c r="E3279" s="9"/>
    </row>
    <row r="3280">
      <c r="A3280" s="11">
        <f>IFERROR(__xludf.DUMMYFUNCTION("""COMPUTED_VALUE"""),2021.0)</f>
        <v>2021</v>
      </c>
      <c r="B3280" s="11">
        <f>IFERROR(__xludf.DUMMYFUNCTION("""COMPUTED_VALUE"""),9.0)</f>
        <v>9</v>
      </c>
      <c r="C3280" s="11">
        <f>IFERROR(__xludf.DUMMYFUNCTION("""COMPUTED_VALUE"""),101888.0)</f>
        <v>101888</v>
      </c>
      <c r="D3280" s="11">
        <f>IFERROR(__xludf.DUMMYFUNCTION("""COMPUTED_VALUE"""),198.0)</f>
        <v>198</v>
      </c>
      <c r="E3280" s="9"/>
    </row>
    <row r="3281">
      <c r="A3281" s="11">
        <f>IFERROR(__xludf.DUMMYFUNCTION("""COMPUTED_VALUE"""),2021.0)</f>
        <v>2021</v>
      </c>
      <c r="B3281" s="11">
        <f>IFERROR(__xludf.DUMMYFUNCTION("""COMPUTED_VALUE"""),11.0)</f>
        <v>11</v>
      </c>
      <c r="C3281" s="11">
        <f>IFERROR(__xludf.DUMMYFUNCTION("""COMPUTED_VALUE"""),98328.0)</f>
        <v>98328</v>
      </c>
      <c r="D3281" s="11">
        <f>IFERROR(__xludf.DUMMYFUNCTION("""COMPUTED_VALUE"""),686.0)</f>
        <v>686</v>
      </c>
      <c r="E3281" s="9"/>
    </row>
    <row r="3282">
      <c r="A3282" s="11">
        <f>IFERROR(__xludf.DUMMYFUNCTION("""COMPUTED_VALUE"""),2021.0)</f>
        <v>2021</v>
      </c>
      <c r="B3282" s="11">
        <f>IFERROR(__xludf.DUMMYFUNCTION("""COMPUTED_VALUE"""),9.0)</f>
        <v>9</v>
      </c>
      <c r="C3282" s="11">
        <f>IFERROR(__xludf.DUMMYFUNCTION("""COMPUTED_VALUE"""),79775.0)</f>
        <v>79775</v>
      </c>
      <c r="D3282" s="11">
        <f>IFERROR(__xludf.DUMMYFUNCTION("""COMPUTED_VALUE"""),1079.0)</f>
        <v>1079</v>
      </c>
      <c r="E3282" s="9"/>
    </row>
    <row r="3283">
      <c r="A3283" s="11">
        <f>IFERROR(__xludf.DUMMYFUNCTION("""COMPUTED_VALUE"""),2021.0)</f>
        <v>2021</v>
      </c>
      <c r="B3283" s="11">
        <f>IFERROR(__xludf.DUMMYFUNCTION("""COMPUTED_VALUE"""),9.0)</f>
        <v>9</v>
      </c>
      <c r="C3283" s="11">
        <f>IFERROR(__xludf.DUMMYFUNCTION("""COMPUTED_VALUE"""),122616.0)</f>
        <v>122616</v>
      </c>
      <c r="D3283" s="11">
        <f>IFERROR(__xludf.DUMMYFUNCTION("""COMPUTED_VALUE"""),1806.0)</f>
        <v>1806</v>
      </c>
      <c r="E3283" s="9"/>
    </row>
    <row r="3284">
      <c r="A3284" s="11">
        <f>IFERROR(__xludf.DUMMYFUNCTION("""COMPUTED_VALUE"""),2021.0)</f>
        <v>2021</v>
      </c>
      <c r="B3284" s="11">
        <f>IFERROR(__xludf.DUMMYFUNCTION("""COMPUTED_VALUE"""),8.0)</f>
        <v>8</v>
      </c>
      <c r="C3284" s="11">
        <f>IFERROR(__xludf.DUMMYFUNCTION("""COMPUTED_VALUE"""),101950.0)</f>
        <v>101950</v>
      </c>
      <c r="D3284" s="11">
        <f>IFERROR(__xludf.DUMMYFUNCTION("""COMPUTED_VALUE"""),1175.0)</f>
        <v>1175</v>
      </c>
      <c r="E3284" s="9"/>
    </row>
    <row r="3285">
      <c r="A3285" s="11">
        <f>IFERROR(__xludf.DUMMYFUNCTION("""COMPUTED_VALUE"""),2021.0)</f>
        <v>2021</v>
      </c>
      <c r="B3285" s="11">
        <f>IFERROR(__xludf.DUMMYFUNCTION("""COMPUTED_VALUE"""),8.0)</f>
        <v>8</v>
      </c>
      <c r="C3285" s="11">
        <f>IFERROR(__xludf.DUMMYFUNCTION("""COMPUTED_VALUE"""),9163.0)</f>
        <v>9163</v>
      </c>
      <c r="D3285" s="11">
        <f>IFERROR(__xludf.DUMMYFUNCTION("""COMPUTED_VALUE"""),988.0)</f>
        <v>988</v>
      </c>
      <c r="E3285" s="9"/>
    </row>
    <row r="3286">
      <c r="A3286" s="11">
        <f>IFERROR(__xludf.DUMMYFUNCTION("""COMPUTED_VALUE"""),2021.0)</f>
        <v>2021</v>
      </c>
      <c r="B3286" s="11">
        <f>IFERROR(__xludf.DUMMYFUNCTION("""COMPUTED_VALUE"""),9.0)</f>
        <v>9</v>
      </c>
      <c r="C3286" s="11">
        <f>IFERROR(__xludf.DUMMYFUNCTION("""COMPUTED_VALUE"""),110106.0)</f>
        <v>110106</v>
      </c>
      <c r="D3286" s="11">
        <f>IFERROR(__xludf.DUMMYFUNCTION("""COMPUTED_VALUE"""),1090.0)</f>
        <v>1090</v>
      </c>
      <c r="E3286" s="9"/>
    </row>
    <row r="3287">
      <c r="A3287" s="11">
        <f>IFERROR(__xludf.DUMMYFUNCTION("""COMPUTED_VALUE"""),2021.0)</f>
        <v>2021</v>
      </c>
      <c r="B3287" s="11">
        <f>IFERROR(__xludf.DUMMYFUNCTION("""COMPUTED_VALUE"""),11.0)</f>
        <v>11</v>
      </c>
      <c r="C3287" s="11">
        <f>IFERROR(__xludf.DUMMYFUNCTION("""COMPUTED_VALUE"""),14045.0)</f>
        <v>14045</v>
      </c>
      <c r="D3287" s="11">
        <f>IFERROR(__xludf.DUMMYFUNCTION("""COMPUTED_VALUE"""),910.0)</f>
        <v>910</v>
      </c>
      <c r="E3287" s="9"/>
    </row>
    <row r="3288">
      <c r="A3288" s="11">
        <f>IFERROR(__xludf.DUMMYFUNCTION("""COMPUTED_VALUE"""),2021.0)</f>
        <v>2021</v>
      </c>
      <c r="B3288" s="11">
        <f>IFERROR(__xludf.DUMMYFUNCTION("""COMPUTED_VALUE"""),9.0)</f>
        <v>9</v>
      </c>
      <c r="C3288" s="11">
        <f>IFERROR(__xludf.DUMMYFUNCTION("""COMPUTED_VALUE"""),95993.0)</f>
        <v>95993</v>
      </c>
      <c r="D3288" s="11">
        <f>IFERROR(__xludf.DUMMYFUNCTION("""COMPUTED_VALUE"""),710.0)</f>
        <v>710</v>
      </c>
      <c r="E3288" s="9"/>
    </row>
    <row r="3289">
      <c r="A3289" s="11">
        <f>IFERROR(__xludf.DUMMYFUNCTION("""COMPUTED_VALUE"""),2021.0)</f>
        <v>2021</v>
      </c>
      <c r="B3289" s="11">
        <f>IFERROR(__xludf.DUMMYFUNCTION("""COMPUTED_VALUE"""),8.0)</f>
        <v>8</v>
      </c>
      <c r="C3289" s="11">
        <f>IFERROR(__xludf.DUMMYFUNCTION("""COMPUTED_VALUE"""),81488.0)</f>
        <v>81488</v>
      </c>
      <c r="D3289" s="11">
        <f>IFERROR(__xludf.DUMMYFUNCTION("""COMPUTED_VALUE"""),1069.0)</f>
        <v>1069</v>
      </c>
      <c r="E3289" s="9"/>
    </row>
    <row r="3290">
      <c r="A3290" s="11">
        <f>IFERROR(__xludf.DUMMYFUNCTION("""COMPUTED_VALUE"""),2021.0)</f>
        <v>2021</v>
      </c>
      <c r="B3290" s="11">
        <f>IFERROR(__xludf.DUMMYFUNCTION("""COMPUTED_VALUE"""),8.0)</f>
        <v>8</v>
      </c>
      <c r="C3290" s="11">
        <f>IFERROR(__xludf.DUMMYFUNCTION("""COMPUTED_VALUE"""),14049.0)</f>
        <v>14049</v>
      </c>
      <c r="D3290" s="11">
        <f>IFERROR(__xludf.DUMMYFUNCTION("""COMPUTED_VALUE"""),88.0)</f>
        <v>88</v>
      </c>
      <c r="E3290" s="9"/>
    </row>
    <row r="3291">
      <c r="A3291" s="11">
        <f>IFERROR(__xludf.DUMMYFUNCTION("""COMPUTED_VALUE"""),2021.0)</f>
        <v>2021</v>
      </c>
      <c r="B3291" s="11">
        <f>IFERROR(__xludf.DUMMYFUNCTION("""COMPUTED_VALUE"""),10.0)</f>
        <v>10</v>
      </c>
      <c r="C3291" s="11">
        <f>IFERROR(__xludf.DUMMYFUNCTION("""COMPUTED_VALUE"""),121749.0)</f>
        <v>121749</v>
      </c>
      <c r="D3291" s="11">
        <f>IFERROR(__xludf.DUMMYFUNCTION("""COMPUTED_VALUE"""),1371.0)</f>
        <v>1371</v>
      </c>
      <c r="E3291" s="9"/>
    </row>
    <row r="3292">
      <c r="A3292" s="11">
        <f>IFERROR(__xludf.DUMMYFUNCTION("""COMPUTED_VALUE"""),2021.0)</f>
        <v>2021</v>
      </c>
      <c r="B3292" s="11">
        <f>IFERROR(__xludf.DUMMYFUNCTION("""COMPUTED_VALUE"""),11.0)</f>
        <v>11</v>
      </c>
      <c r="C3292" s="11">
        <f>IFERROR(__xludf.DUMMYFUNCTION("""COMPUTED_VALUE"""),101927.0)</f>
        <v>101927</v>
      </c>
      <c r="D3292" s="11">
        <f>IFERROR(__xludf.DUMMYFUNCTION("""COMPUTED_VALUE"""),820.0)</f>
        <v>820</v>
      </c>
      <c r="E3292" s="9"/>
    </row>
    <row r="3293">
      <c r="A3293" s="11">
        <f>IFERROR(__xludf.DUMMYFUNCTION("""COMPUTED_VALUE"""),2021.0)</f>
        <v>2021</v>
      </c>
      <c r="B3293" s="11">
        <f>IFERROR(__xludf.DUMMYFUNCTION("""COMPUTED_VALUE"""),11.0)</f>
        <v>11</v>
      </c>
      <c r="C3293" s="11">
        <f>IFERROR(__xludf.DUMMYFUNCTION("""COMPUTED_VALUE"""),103864.0)</f>
        <v>103864</v>
      </c>
      <c r="D3293" s="11">
        <f>IFERROR(__xludf.DUMMYFUNCTION("""COMPUTED_VALUE"""),1475.0)</f>
        <v>1475</v>
      </c>
      <c r="E3293" s="9"/>
    </row>
    <row r="3294">
      <c r="A3294" s="11">
        <f>IFERROR(__xludf.DUMMYFUNCTION("""COMPUTED_VALUE"""),2021.0)</f>
        <v>2021</v>
      </c>
      <c r="B3294" s="11">
        <f>IFERROR(__xludf.DUMMYFUNCTION("""COMPUTED_VALUE"""),8.0)</f>
        <v>8</v>
      </c>
      <c r="C3294" s="11">
        <f>IFERROR(__xludf.DUMMYFUNCTION("""COMPUTED_VALUE"""),85862.0)</f>
        <v>85862</v>
      </c>
      <c r="D3294" s="11">
        <f>IFERROR(__xludf.DUMMYFUNCTION("""COMPUTED_VALUE"""),1703.0)</f>
        <v>1703</v>
      </c>
      <c r="E3294" s="9"/>
    </row>
    <row r="3295">
      <c r="A3295" s="11">
        <f>IFERROR(__xludf.DUMMYFUNCTION("""COMPUTED_VALUE"""),2021.0)</f>
        <v>2021</v>
      </c>
      <c r="B3295" s="11">
        <f>IFERROR(__xludf.DUMMYFUNCTION("""COMPUTED_VALUE"""),9.0)</f>
        <v>9</v>
      </c>
      <c r="C3295" s="11">
        <f>IFERROR(__xludf.DUMMYFUNCTION("""COMPUTED_VALUE"""),46124.0)</f>
        <v>46124</v>
      </c>
      <c r="D3295" s="11">
        <f>IFERROR(__xludf.DUMMYFUNCTION("""COMPUTED_VALUE"""),740.0)</f>
        <v>740</v>
      </c>
      <c r="E3295" s="9"/>
    </row>
    <row r="3296">
      <c r="A3296" s="11">
        <f>IFERROR(__xludf.DUMMYFUNCTION("""COMPUTED_VALUE"""),2021.0)</f>
        <v>2021</v>
      </c>
      <c r="B3296" s="11">
        <f>IFERROR(__xludf.DUMMYFUNCTION("""COMPUTED_VALUE"""),9.0)</f>
        <v>9</v>
      </c>
      <c r="C3296" s="11">
        <f>IFERROR(__xludf.DUMMYFUNCTION("""COMPUTED_VALUE"""),114346.0)</f>
        <v>114346</v>
      </c>
      <c r="D3296" s="11">
        <f>IFERROR(__xludf.DUMMYFUNCTION("""COMPUTED_VALUE"""),1557.0)</f>
        <v>1557</v>
      </c>
      <c r="E3296" s="9"/>
    </row>
    <row r="3297">
      <c r="A3297" s="11">
        <f>IFERROR(__xludf.DUMMYFUNCTION("""COMPUTED_VALUE"""),2021.0)</f>
        <v>2021</v>
      </c>
      <c r="B3297" s="11">
        <f>IFERROR(__xludf.DUMMYFUNCTION("""COMPUTED_VALUE"""),9.0)</f>
        <v>9</v>
      </c>
      <c r="C3297" s="11">
        <f>IFERROR(__xludf.DUMMYFUNCTION("""COMPUTED_VALUE"""),80194.0)</f>
        <v>80194</v>
      </c>
      <c r="D3297" s="11">
        <f>IFERROR(__xludf.DUMMYFUNCTION("""COMPUTED_VALUE"""),171.0)</f>
        <v>171</v>
      </c>
      <c r="E3297" s="9"/>
    </row>
    <row r="3298">
      <c r="A3298" s="11">
        <f>IFERROR(__xludf.DUMMYFUNCTION("""COMPUTED_VALUE"""),2021.0)</f>
        <v>2021</v>
      </c>
      <c r="B3298" s="11">
        <f>IFERROR(__xludf.DUMMYFUNCTION("""COMPUTED_VALUE"""),8.0)</f>
        <v>8</v>
      </c>
      <c r="C3298" s="11">
        <f>IFERROR(__xludf.DUMMYFUNCTION("""COMPUTED_VALUE"""),80192.0)</f>
        <v>80192</v>
      </c>
      <c r="D3298" s="11">
        <f>IFERROR(__xludf.DUMMYFUNCTION("""COMPUTED_VALUE"""),1312.0)</f>
        <v>1312</v>
      </c>
      <c r="E3298" s="9"/>
    </row>
    <row r="3299">
      <c r="A3299" s="11">
        <f>IFERROR(__xludf.DUMMYFUNCTION("""COMPUTED_VALUE"""),2021.0)</f>
        <v>2021</v>
      </c>
      <c r="B3299" s="11">
        <f>IFERROR(__xludf.DUMMYFUNCTION("""COMPUTED_VALUE"""),9.0)</f>
        <v>9</v>
      </c>
      <c r="C3299" s="11">
        <f>IFERROR(__xludf.DUMMYFUNCTION("""COMPUTED_VALUE"""),46109.0)</f>
        <v>46109</v>
      </c>
      <c r="D3299" s="11">
        <f>IFERROR(__xludf.DUMMYFUNCTION("""COMPUTED_VALUE"""),69.0)</f>
        <v>69</v>
      </c>
      <c r="E3299" s="9"/>
    </row>
    <row r="3300">
      <c r="A3300" s="11">
        <f>IFERROR(__xludf.DUMMYFUNCTION("""COMPUTED_VALUE"""),2021.0)</f>
        <v>2021</v>
      </c>
      <c r="B3300" s="11">
        <f>IFERROR(__xludf.DUMMYFUNCTION("""COMPUTED_VALUE"""),8.0)</f>
        <v>8</v>
      </c>
      <c r="C3300" s="11">
        <f>IFERROR(__xludf.DUMMYFUNCTION("""COMPUTED_VALUE"""),80196.0)</f>
        <v>80196</v>
      </c>
      <c r="D3300" s="11">
        <f>IFERROR(__xludf.DUMMYFUNCTION("""COMPUTED_VALUE"""),48.0)</f>
        <v>48</v>
      </c>
      <c r="E3300" s="9"/>
    </row>
    <row r="3301">
      <c r="A3301" s="11">
        <f>IFERROR(__xludf.DUMMYFUNCTION("""COMPUTED_VALUE"""),2021.0)</f>
        <v>2021</v>
      </c>
      <c r="B3301" s="11">
        <f>IFERROR(__xludf.DUMMYFUNCTION("""COMPUTED_VALUE"""),11.0)</f>
        <v>11</v>
      </c>
      <c r="C3301" s="11">
        <f>IFERROR(__xludf.DUMMYFUNCTION("""COMPUTED_VALUE"""),149602.0)</f>
        <v>149602</v>
      </c>
      <c r="D3301" s="11">
        <f>IFERROR(__xludf.DUMMYFUNCTION("""COMPUTED_VALUE"""),19.0)</f>
        <v>19</v>
      </c>
      <c r="E3301" s="9"/>
    </row>
    <row r="3302">
      <c r="A3302" s="11">
        <f>IFERROR(__xludf.DUMMYFUNCTION("""COMPUTED_VALUE"""),2021.0)</f>
        <v>2021</v>
      </c>
      <c r="B3302" s="11">
        <f>IFERROR(__xludf.DUMMYFUNCTION("""COMPUTED_VALUE"""),9.0)</f>
        <v>9</v>
      </c>
      <c r="C3302" s="11">
        <f>IFERROR(__xludf.DUMMYFUNCTION("""COMPUTED_VALUE"""),46123.0)</f>
        <v>46123</v>
      </c>
      <c r="D3302" s="11">
        <f>IFERROR(__xludf.DUMMYFUNCTION("""COMPUTED_VALUE"""),780.0)</f>
        <v>780</v>
      </c>
      <c r="E3302" s="9"/>
    </row>
    <row r="3303">
      <c r="A3303" s="11">
        <f>IFERROR(__xludf.DUMMYFUNCTION("""COMPUTED_VALUE"""),2021.0)</f>
        <v>2021</v>
      </c>
      <c r="B3303" s="11">
        <f>IFERROR(__xludf.DUMMYFUNCTION("""COMPUTED_VALUE"""),11.0)</f>
        <v>11</v>
      </c>
      <c r="C3303" s="11">
        <f>IFERROR(__xludf.DUMMYFUNCTION("""COMPUTED_VALUE"""),46113.0)</f>
        <v>46113</v>
      </c>
      <c r="D3303" s="11">
        <f>IFERROR(__xludf.DUMMYFUNCTION("""COMPUTED_VALUE"""),401.0)</f>
        <v>401</v>
      </c>
      <c r="E3303" s="9"/>
    </row>
    <row r="3304">
      <c r="A3304" s="11">
        <f>IFERROR(__xludf.DUMMYFUNCTION("""COMPUTED_VALUE"""),2021.0)</f>
        <v>2021</v>
      </c>
      <c r="B3304" s="11">
        <f>IFERROR(__xludf.DUMMYFUNCTION("""COMPUTED_VALUE"""),8.0)</f>
        <v>8</v>
      </c>
      <c r="C3304" s="11">
        <f>IFERROR(__xludf.DUMMYFUNCTION("""COMPUTED_VALUE"""),46116.0)</f>
        <v>46116</v>
      </c>
      <c r="D3304" s="11">
        <f>IFERROR(__xludf.DUMMYFUNCTION("""COMPUTED_VALUE"""),751.0)</f>
        <v>751</v>
      </c>
      <c r="E3304" s="9"/>
    </row>
    <row r="3305">
      <c r="A3305" s="11">
        <f>IFERROR(__xludf.DUMMYFUNCTION("""COMPUTED_VALUE"""),2021.0)</f>
        <v>2021</v>
      </c>
      <c r="B3305" s="11">
        <f>IFERROR(__xludf.DUMMYFUNCTION("""COMPUTED_VALUE"""),9.0)</f>
        <v>9</v>
      </c>
      <c r="C3305" s="11">
        <f>IFERROR(__xludf.DUMMYFUNCTION("""COMPUTED_VALUE"""),46119.0)</f>
        <v>46119</v>
      </c>
      <c r="D3305" s="11">
        <f>IFERROR(__xludf.DUMMYFUNCTION("""COMPUTED_VALUE"""),1492.0)</f>
        <v>1492</v>
      </c>
      <c r="E3305" s="9"/>
    </row>
    <row r="3306">
      <c r="A3306" s="11">
        <f>IFERROR(__xludf.DUMMYFUNCTION("""COMPUTED_VALUE"""),2021.0)</f>
        <v>2021</v>
      </c>
      <c r="B3306" s="11">
        <f>IFERROR(__xludf.DUMMYFUNCTION("""COMPUTED_VALUE"""),9.0)</f>
        <v>9</v>
      </c>
      <c r="C3306" s="11">
        <f>IFERROR(__xludf.DUMMYFUNCTION("""COMPUTED_VALUE"""),63867.0)</f>
        <v>63867</v>
      </c>
      <c r="D3306" s="11">
        <f>IFERROR(__xludf.DUMMYFUNCTION("""COMPUTED_VALUE"""),16.0)</f>
        <v>16</v>
      </c>
      <c r="E3306" s="9"/>
    </row>
    <row r="3307">
      <c r="A3307" s="11">
        <f>IFERROR(__xludf.DUMMYFUNCTION("""COMPUTED_VALUE"""),2021.0)</f>
        <v>2021</v>
      </c>
      <c r="B3307" s="11">
        <f>IFERROR(__xludf.DUMMYFUNCTION("""COMPUTED_VALUE"""),11.0)</f>
        <v>11</v>
      </c>
      <c r="C3307" s="11">
        <f>IFERROR(__xludf.DUMMYFUNCTION("""COMPUTED_VALUE"""),80190.0)</f>
        <v>80190</v>
      </c>
      <c r="D3307" s="11">
        <f>IFERROR(__xludf.DUMMYFUNCTION("""COMPUTED_VALUE"""),352.0)</f>
        <v>352</v>
      </c>
      <c r="E3307" s="9"/>
    </row>
    <row r="3308">
      <c r="A3308" s="11">
        <f>IFERROR(__xludf.DUMMYFUNCTION("""COMPUTED_VALUE"""),2021.0)</f>
        <v>2021</v>
      </c>
      <c r="B3308" s="11">
        <f>IFERROR(__xludf.DUMMYFUNCTION("""COMPUTED_VALUE"""),11.0)</f>
        <v>11</v>
      </c>
      <c r="C3308" s="11">
        <f>IFERROR(__xludf.DUMMYFUNCTION("""COMPUTED_VALUE"""),48485.0)</f>
        <v>48485</v>
      </c>
      <c r="D3308" s="11">
        <f>IFERROR(__xludf.DUMMYFUNCTION("""COMPUTED_VALUE"""),616.0)</f>
        <v>616</v>
      </c>
      <c r="E3308" s="9"/>
    </row>
    <row r="3309">
      <c r="A3309" s="11">
        <f>IFERROR(__xludf.DUMMYFUNCTION("""COMPUTED_VALUE"""),2021.0)</f>
        <v>2021</v>
      </c>
      <c r="B3309" s="11">
        <f>IFERROR(__xludf.DUMMYFUNCTION("""COMPUTED_VALUE"""),11.0)</f>
        <v>11</v>
      </c>
      <c r="C3309" s="11">
        <f>IFERROR(__xludf.DUMMYFUNCTION("""COMPUTED_VALUE"""),80203.0)</f>
        <v>80203</v>
      </c>
      <c r="D3309" s="11">
        <f>IFERROR(__xludf.DUMMYFUNCTION("""COMPUTED_VALUE"""),1953.0)</f>
        <v>1953</v>
      </c>
      <c r="E3309" s="9"/>
    </row>
    <row r="3310">
      <c r="A3310" s="11">
        <f>IFERROR(__xludf.DUMMYFUNCTION("""COMPUTED_VALUE"""),2021.0)</f>
        <v>2021</v>
      </c>
      <c r="B3310" s="11">
        <f>IFERROR(__xludf.DUMMYFUNCTION("""COMPUTED_VALUE"""),8.0)</f>
        <v>8</v>
      </c>
      <c r="C3310" s="11">
        <f>IFERROR(__xludf.DUMMYFUNCTION("""COMPUTED_VALUE"""),100670.0)</f>
        <v>100670</v>
      </c>
      <c r="D3310" s="11">
        <f>IFERROR(__xludf.DUMMYFUNCTION("""COMPUTED_VALUE"""),101.0)</f>
        <v>101</v>
      </c>
      <c r="E3310" s="9"/>
    </row>
    <row r="3311">
      <c r="A3311" s="11">
        <f>IFERROR(__xludf.DUMMYFUNCTION("""COMPUTED_VALUE"""),2021.0)</f>
        <v>2021</v>
      </c>
      <c r="B3311" s="11">
        <f>IFERROR(__xludf.DUMMYFUNCTION("""COMPUTED_VALUE"""),11.0)</f>
        <v>11</v>
      </c>
      <c r="C3311" s="11">
        <f>IFERROR(__xludf.DUMMYFUNCTION("""COMPUTED_VALUE"""),16546.0)</f>
        <v>16546</v>
      </c>
      <c r="D3311" s="11">
        <f>IFERROR(__xludf.DUMMYFUNCTION("""COMPUTED_VALUE"""),1016.0)</f>
        <v>1016</v>
      </c>
      <c r="E3311" s="9"/>
    </row>
    <row r="3312">
      <c r="A3312" s="11">
        <f>IFERROR(__xludf.DUMMYFUNCTION("""COMPUTED_VALUE"""),2021.0)</f>
        <v>2021</v>
      </c>
      <c r="B3312" s="11">
        <f>IFERROR(__xludf.DUMMYFUNCTION("""COMPUTED_VALUE"""),9.0)</f>
        <v>9</v>
      </c>
      <c r="C3312" s="11">
        <f>IFERROR(__xludf.DUMMYFUNCTION("""COMPUTED_VALUE"""),121622.0)</f>
        <v>121622</v>
      </c>
      <c r="D3312" s="11">
        <f>IFERROR(__xludf.DUMMYFUNCTION("""COMPUTED_VALUE"""),109.0)</f>
        <v>109</v>
      </c>
      <c r="E3312" s="9"/>
    </row>
    <row r="3313">
      <c r="A3313" s="11">
        <f>IFERROR(__xludf.DUMMYFUNCTION("""COMPUTED_VALUE"""),2021.0)</f>
        <v>2021</v>
      </c>
      <c r="B3313" s="11">
        <f>IFERROR(__xludf.DUMMYFUNCTION("""COMPUTED_VALUE"""),8.0)</f>
        <v>8</v>
      </c>
      <c r="C3313" s="11">
        <f>IFERROR(__xludf.DUMMYFUNCTION("""COMPUTED_VALUE"""),80202.0)</f>
        <v>80202</v>
      </c>
      <c r="D3313" s="11">
        <f>IFERROR(__xludf.DUMMYFUNCTION("""COMPUTED_VALUE"""),642.0)</f>
        <v>642</v>
      </c>
      <c r="E3313" s="9"/>
    </row>
    <row r="3314">
      <c r="A3314" s="11">
        <f>IFERROR(__xludf.DUMMYFUNCTION("""COMPUTED_VALUE"""),2021.0)</f>
        <v>2021</v>
      </c>
      <c r="B3314" s="11">
        <f>IFERROR(__xludf.DUMMYFUNCTION("""COMPUTED_VALUE"""),9.0)</f>
        <v>9</v>
      </c>
      <c r="C3314" s="11">
        <f>IFERROR(__xludf.DUMMYFUNCTION("""COMPUTED_VALUE"""),24263.0)</f>
        <v>24263</v>
      </c>
      <c r="D3314" s="11">
        <f>IFERROR(__xludf.DUMMYFUNCTION("""COMPUTED_VALUE"""),162.0)</f>
        <v>162</v>
      </c>
      <c r="E3314" s="9"/>
    </row>
    <row r="3315">
      <c r="A3315" s="11">
        <f>IFERROR(__xludf.DUMMYFUNCTION("""COMPUTED_VALUE"""),2021.0)</f>
        <v>2021</v>
      </c>
      <c r="B3315" s="11">
        <f>IFERROR(__xludf.DUMMYFUNCTION("""COMPUTED_VALUE"""),10.0)</f>
        <v>10</v>
      </c>
      <c r="C3315" s="11">
        <f>IFERROR(__xludf.DUMMYFUNCTION("""COMPUTED_VALUE"""),16552.0)</f>
        <v>16552</v>
      </c>
      <c r="D3315" s="11">
        <f>IFERROR(__xludf.DUMMYFUNCTION("""COMPUTED_VALUE"""),1854.0)</f>
        <v>1854</v>
      </c>
      <c r="E3315" s="9"/>
    </row>
    <row r="3316">
      <c r="A3316" s="11">
        <f>IFERROR(__xludf.DUMMYFUNCTION("""COMPUTED_VALUE"""),2021.0)</f>
        <v>2021</v>
      </c>
      <c r="B3316" s="11">
        <f>IFERROR(__xludf.DUMMYFUNCTION("""COMPUTED_VALUE"""),9.0)</f>
        <v>9</v>
      </c>
      <c r="C3316" s="11">
        <f>IFERROR(__xludf.DUMMYFUNCTION("""COMPUTED_VALUE"""),112771.0)</f>
        <v>112771</v>
      </c>
      <c r="D3316" s="11">
        <f>IFERROR(__xludf.DUMMYFUNCTION("""COMPUTED_VALUE"""),1142.0)</f>
        <v>1142</v>
      </c>
      <c r="E3316" s="9"/>
    </row>
    <row r="3317">
      <c r="A3317" s="11">
        <f>IFERROR(__xludf.DUMMYFUNCTION("""COMPUTED_VALUE"""),2021.0)</f>
        <v>2021</v>
      </c>
      <c r="B3317" s="11">
        <f>IFERROR(__xludf.DUMMYFUNCTION("""COMPUTED_VALUE"""),11.0)</f>
        <v>11</v>
      </c>
      <c r="C3317" s="11">
        <f>IFERROR(__xludf.DUMMYFUNCTION("""COMPUTED_VALUE"""),116197.0)</f>
        <v>116197</v>
      </c>
      <c r="D3317" s="11">
        <f>IFERROR(__xludf.DUMMYFUNCTION("""COMPUTED_VALUE"""),1820.0)</f>
        <v>1820</v>
      </c>
      <c r="E3317" s="9"/>
    </row>
    <row r="3318">
      <c r="A3318" s="11">
        <f>IFERROR(__xludf.DUMMYFUNCTION("""COMPUTED_VALUE"""),2021.0)</f>
        <v>2021</v>
      </c>
      <c r="B3318" s="11">
        <f>IFERROR(__xludf.DUMMYFUNCTION("""COMPUTED_VALUE"""),10.0)</f>
        <v>10</v>
      </c>
      <c r="C3318" s="11">
        <f>IFERROR(__xludf.DUMMYFUNCTION("""COMPUTED_VALUE"""),46138.0)</f>
        <v>46138</v>
      </c>
      <c r="D3318" s="11">
        <f>IFERROR(__xludf.DUMMYFUNCTION("""COMPUTED_VALUE"""),295.0)</f>
        <v>295</v>
      </c>
      <c r="E3318" s="9"/>
    </row>
    <row r="3319">
      <c r="A3319" s="11">
        <f>IFERROR(__xludf.DUMMYFUNCTION("""COMPUTED_VALUE"""),2021.0)</f>
        <v>2021</v>
      </c>
      <c r="B3319" s="11">
        <f>IFERROR(__xludf.DUMMYFUNCTION("""COMPUTED_VALUE"""),11.0)</f>
        <v>11</v>
      </c>
      <c r="C3319" s="11">
        <f>IFERROR(__xludf.DUMMYFUNCTION("""COMPUTED_VALUE"""),109546.0)</f>
        <v>109546</v>
      </c>
      <c r="D3319" s="11">
        <f>IFERROR(__xludf.DUMMYFUNCTION("""COMPUTED_VALUE"""),555.0)</f>
        <v>555</v>
      </c>
      <c r="E3319" s="9"/>
    </row>
    <row r="3320">
      <c r="A3320" s="11">
        <f>IFERROR(__xludf.DUMMYFUNCTION("""COMPUTED_VALUE"""),2021.0)</f>
        <v>2021</v>
      </c>
      <c r="B3320" s="11">
        <f>IFERROR(__xludf.DUMMYFUNCTION("""COMPUTED_VALUE"""),9.0)</f>
        <v>9</v>
      </c>
      <c r="C3320" s="11">
        <f>IFERROR(__xludf.DUMMYFUNCTION("""COMPUTED_VALUE"""),199475.0)</f>
        <v>199475</v>
      </c>
      <c r="D3320" s="11">
        <f>IFERROR(__xludf.DUMMYFUNCTION("""COMPUTED_VALUE"""),1608.0)</f>
        <v>1608</v>
      </c>
      <c r="E3320" s="9"/>
    </row>
    <row r="3321">
      <c r="A3321" s="11">
        <f>IFERROR(__xludf.DUMMYFUNCTION("""COMPUTED_VALUE"""),2021.0)</f>
        <v>2021</v>
      </c>
      <c r="B3321" s="11">
        <f>IFERROR(__xludf.DUMMYFUNCTION("""COMPUTED_VALUE"""),9.0)</f>
        <v>9</v>
      </c>
      <c r="C3321" s="11">
        <f>IFERROR(__xludf.DUMMYFUNCTION("""COMPUTED_VALUE"""),199479.0)</f>
        <v>199479</v>
      </c>
      <c r="D3321" s="11">
        <f>IFERROR(__xludf.DUMMYFUNCTION("""COMPUTED_VALUE"""),1715.0)</f>
        <v>1715</v>
      </c>
      <c r="E3321" s="9"/>
    </row>
    <row r="3322">
      <c r="A3322" s="11">
        <f>IFERROR(__xludf.DUMMYFUNCTION("""COMPUTED_VALUE"""),2021.0)</f>
        <v>2021</v>
      </c>
      <c r="B3322" s="11">
        <f>IFERROR(__xludf.DUMMYFUNCTION("""COMPUTED_VALUE"""),10.0)</f>
        <v>10</v>
      </c>
      <c r="C3322" s="11">
        <f>IFERROR(__xludf.DUMMYFUNCTION("""COMPUTED_VALUE"""),48180.0)</f>
        <v>48180</v>
      </c>
      <c r="D3322" s="11">
        <f>IFERROR(__xludf.DUMMYFUNCTION("""COMPUTED_VALUE"""),303.0)</f>
        <v>303</v>
      </c>
      <c r="E3322" s="9"/>
    </row>
    <row r="3323">
      <c r="A3323" s="11">
        <f>IFERROR(__xludf.DUMMYFUNCTION("""COMPUTED_VALUE"""),2021.0)</f>
        <v>2021</v>
      </c>
      <c r="B3323" s="11">
        <f>IFERROR(__xludf.DUMMYFUNCTION("""COMPUTED_VALUE"""),8.0)</f>
        <v>8</v>
      </c>
      <c r="C3323" s="11">
        <f>IFERROR(__xludf.DUMMYFUNCTION("""COMPUTED_VALUE"""),90374.0)</f>
        <v>90374</v>
      </c>
      <c r="D3323" s="11">
        <f>IFERROR(__xludf.DUMMYFUNCTION("""COMPUTED_VALUE"""),672.0)</f>
        <v>672</v>
      </c>
      <c r="E3323" s="9"/>
    </row>
    <row r="3324">
      <c r="A3324" s="11">
        <f>IFERROR(__xludf.DUMMYFUNCTION("""COMPUTED_VALUE"""),2021.0)</f>
        <v>2021</v>
      </c>
      <c r="B3324" s="11">
        <f>IFERROR(__xludf.DUMMYFUNCTION("""COMPUTED_VALUE"""),9.0)</f>
        <v>9</v>
      </c>
      <c r="C3324" s="11">
        <f>IFERROR(__xludf.DUMMYFUNCTION("""COMPUTED_VALUE"""),80318.0)</f>
        <v>80318</v>
      </c>
      <c r="D3324" s="11">
        <f>IFERROR(__xludf.DUMMYFUNCTION("""COMPUTED_VALUE"""),1053.0)</f>
        <v>1053</v>
      </c>
      <c r="E3324" s="9"/>
    </row>
    <row r="3325">
      <c r="A3325" s="11">
        <f>IFERROR(__xludf.DUMMYFUNCTION("""COMPUTED_VALUE"""),2021.0)</f>
        <v>2021</v>
      </c>
      <c r="B3325" s="11">
        <f>IFERROR(__xludf.DUMMYFUNCTION("""COMPUTED_VALUE"""),9.0)</f>
        <v>9</v>
      </c>
      <c r="C3325" s="11">
        <f>IFERROR(__xludf.DUMMYFUNCTION("""COMPUTED_VALUE"""),6206.0)</f>
        <v>6206</v>
      </c>
      <c r="D3325" s="11">
        <f>IFERROR(__xludf.DUMMYFUNCTION("""COMPUTED_VALUE"""),564.0)</f>
        <v>564</v>
      </c>
      <c r="E3325" s="9"/>
    </row>
    <row r="3326">
      <c r="A3326" s="11">
        <f>IFERROR(__xludf.DUMMYFUNCTION("""COMPUTED_VALUE"""),2021.0)</f>
        <v>2021</v>
      </c>
      <c r="B3326" s="11">
        <f>IFERROR(__xludf.DUMMYFUNCTION("""COMPUTED_VALUE"""),11.0)</f>
        <v>11</v>
      </c>
      <c r="C3326" s="11">
        <f>IFERROR(__xludf.DUMMYFUNCTION("""COMPUTED_VALUE"""),181492.0)</f>
        <v>181492</v>
      </c>
      <c r="D3326" s="11">
        <f>IFERROR(__xludf.DUMMYFUNCTION("""COMPUTED_VALUE"""),1020.0)</f>
        <v>1020</v>
      </c>
      <c r="E3326" s="9"/>
    </row>
    <row r="3327">
      <c r="A3327" s="11">
        <f>IFERROR(__xludf.DUMMYFUNCTION("""COMPUTED_VALUE"""),2021.0)</f>
        <v>2021</v>
      </c>
      <c r="B3327" s="11">
        <f>IFERROR(__xludf.DUMMYFUNCTION("""COMPUTED_VALUE"""),11.0)</f>
        <v>11</v>
      </c>
      <c r="C3327" s="11">
        <f>IFERROR(__xludf.DUMMYFUNCTION("""COMPUTED_VALUE"""),148738.0)</f>
        <v>148738</v>
      </c>
      <c r="D3327" s="11">
        <f>IFERROR(__xludf.DUMMYFUNCTION("""COMPUTED_VALUE"""),922.0)</f>
        <v>922</v>
      </c>
      <c r="E3327" s="9"/>
    </row>
    <row r="3328">
      <c r="A3328" s="11">
        <f>IFERROR(__xludf.DUMMYFUNCTION("""COMPUTED_VALUE"""),2021.0)</f>
        <v>2021</v>
      </c>
      <c r="B3328" s="11">
        <f>IFERROR(__xludf.DUMMYFUNCTION("""COMPUTED_VALUE"""),8.0)</f>
        <v>8</v>
      </c>
      <c r="C3328" s="11">
        <f>IFERROR(__xludf.DUMMYFUNCTION("""COMPUTED_VALUE"""),100692.0)</f>
        <v>100692</v>
      </c>
      <c r="D3328" s="11">
        <f>IFERROR(__xludf.DUMMYFUNCTION("""COMPUTED_VALUE"""),885.0)</f>
        <v>885</v>
      </c>
      <c r="E3328" s="9"/>
    </row>
    <row r="3329">
      <c r="A3329" s="11">
        <f>IFERROR(__xludf.DUMMYFUNCTION("""COMPUTED_VALUE"""),2021.0)</f>
        <v>2021</v>
      </c>
      <c r="B3329" s="11">
        <f>IFERROR(__xludf.DUMMYFUNCTION("""COMPUTED_VALUE"""),10.0)</f>
        <v>10</v>
      </c>
      <c r="C3329" s="11">
        <f>IFERROR(__xludf.DUMMYFUNCTION("""COMPUTED_VALUE"""),121708.0)</f>
        <v>121708</v>
      </c>
      <c r="D3329" s="11">
        <f>IFERROR(__xludf.DUMMYFUNCTION("""COMPUTED_VALUE"""),1335.0)</f>
        <v>1335</v>
      </c>
      <c r="E3329" s="9"/>
    </row>
    <row r="3330">
      <c r="A3330" s="11">
        <f>IFERROR(__xludf.DUMMYFUNCTION("""COMPUTED_VALUE"""),2021.0)</f>
        <v>2021</v>
      </c>
      <c r="B3330" s="11">
        <f>IFERROR(__xludf.DUMMYFUNCTION("""COMPUTED_VALUE"""),10.0)</f>
        <v>10</v>
      </c>
      <c r="C3330" s="11">
        <f>IFERROR(__xludf.DUMMYFUNCTION("""COMPUTED_VALUE"""),47508.0)</f>
        <v>47508</v>
      </c>
      <c r="D3330" s="11">
        <f>IFERROR(__xludf.DUMMYFUNCTION("""COMPUTED_VALUE"""),934.0)</f>
        <v>934</v>
      </c>
      <c r="E3330" s="9"/>
    </row>
    <row r="3331">
      <c r="A3331" s="11">
        <f>IFERROR(__xludf.DUMMYFUNCTION("""COMPUTED_VALUE"""),2021.0)</f>
        <v>2021</v>
      </c>
      <c r="B3331" s="11">
        <f>IFERROR(__xludf.DUMMYFUNCTION("""COMPUTED_VALUE"""),11.0)</f>
        <v>11</v>
      </c>
      <c r="C3331" s="11">
        <f>IFERROR(__xludf.DUMMYFUNCTION("""COMPUTED_VALUE"""),89514.0)</f>
        <v>89514</v>
      </c>
      <c r="D3331" s="11">
        <f>IFERROR(__xludf.DUMMYFUNCTION("""COMPUTED_VALUE"""),1110.0)</f>
        <v>1110</v>
      </c>
      <c r="E3331" s="9"/>
    </row>
    <row r="3332">
      <c r="A3332" s="11">
        <f>IFERROR(__xludf.DUMMYFUNCTION("""COMPUTED_VALUE"""),2021.0)</f>
        <v>2021</v>
      </c>
      <c r="B3332" s="11">
        <f>IFERROR(__xludf.DUMMYFUNCTION("""COMPUTED_VALUE"""),11.0)</f>
        <v>11</v>
      </c>
      <c r="C3332" s="11">
        <f>IFERROR(__xludf.DUMMYFUNCTION("""COMPUTED_VALUE"""),117918.0)</f>
        <v>117918</v>
      </c>
      <c r="D3332" s="11">
        <f>IFERROR(__xludf.DUMMYFUNCTION("""COMPUTED_VALUE"""),1685.0)</f>
        <v>1685</v>
      </c>
      <c r="E3332" s="9"/>
    </row>
    <row r="3333">
      <c r="A3333" s="11">
        <f>IFERROR(__xludf.DUMMYFUNCTION("""COMPUTED_VALUE"""),2021.0)</f>
        <v>2021</v>
      </c>
      <c r="B3333" s="11">
        <f>IFERROR(__xludf.DUMMYFUNCTION("""COMPUTED_VALUE"""),8.0)</f>
        <v>8</v>
      </c>
      <c r="C3333" s="11">
        <f>IFERROR(__xludf.DUMMYFUNCTION("""COMPUTED_VALUE"""),16645.0)</f>
        <v>16645</v>
      </c>
      <c r="D3333" s="11">
        <f>IFERROR(__xludf.DUMMYFUNCTION("""COMPUTED_VALUE"""),234.0)</f>
        <v>234</v>
      </c>
      <c r="E3333" s="9"/>
    </row>
    <row r="3334">
      <c r="A3334" s="11">
        <f>IFERROR(__xludf.DUMMYFUNCTION("""COMPUTED_VALUE"""),2021.0)</f>
        <v>2021</v>
      </c>
      <c r="B3334" s="11">
        <f>IFERROR(__xludf.DUMMYFUNCTION("""COMPUTED_VALUE"""),9.0)</f>
        <v>9</v>
      </c>
      <c r="C3334" s="11">
        <f>IFERROR(__xludf.DUMMYFUNCTION("""COMPUTED_VALUE"""),148740.0)</f>
        <v>148740</v>
      </c>
      <c r="D3334" s="11">
        <f>IFERROR(__xludf.DUMMYFUNCTION("""COMPUTED_VALUE"""),363.0)</f>
        <v>363</v>
      </c>
      <c r="E3334" s="9"/>
    </row>
    <row r="3335">
      <c r="A3335" s="11">
        <f>IFERROR(__xludf.DUMMYFUNCTION("""COMPUTED_VALUE"""),2021.0)</f>
        <v>2021</v>
      </c>
      <c r="B3335" s="11">
        <f>IFERROR(__xludf.DUMMYFUNCTION("""COMPUTED_VALUE"""),8.0)</f>
        <v>8</v>
      </c>
      <c r="C3335" s="11">
        <f>IFERROR(__xludf.DUMMYFUNCTION("""COMPUTED_VALUE"""),100688.0)</f>
        <v>100688</v>
      </c>
      <c r="D3335" s="11">
        <f>IFERROR(__xludf.DUMMYFUNCTION("""COMPUTED_VALUE"""),1894.0)</f>
        <v>1894</v>
      </c>
      <c r="E3335" s="9"/>
    </row>
    <row r="3336">
      <c r="A3336" s="11">
        <f>IFERROR(__xludf.DUMMYFUNCTION("""COMPUTED_VALUE"""),2021.0)</f>
        <v>2021</v>
      </c>
      <c r="B3336" s="11">
        <f>IFERROR(__xludf.DUMMYFUNCTION("""COMPUTED_VALUE"""),11.0)</f>
        <v>11</v>
      </c>
      <c r="C3336" s="11">
        <f>IFERROR(__xludf.DUMMYFUNCTION("""COMPUTED_VALUE"""),148741.0)</f>
        <v>148741</v>
      </c>
      <c r="D3336" s="11">
        <f>IFERROR(__xludf.DUMMYFUNCTION("""COMPUTED_VALUE"""),1061.0)</f>
        <v>1061</v>
      </c>
      <c r="E3336" s="9"/>
    </row>
    <row r="3337">
      <c r="A3337" s="11">
        <f>IFERROR(__xludf.DUMMYFUNCTION("""COMPUTED_VALUE"""),2021.0)</f>
        <v>2021</v>
      </c>
      <c r="B3337" s="11">
        <f>IFERROR(__xludf.DUMMYFUNCTION("""COMPUTED_VALUE"""),10.0)</f>
        <v>10</v>
      </c>
      <c r="C3337" s="11">
        <f>IFERROR(__xludf.DUMMYFUNCTION("""COMPUTED_VALUE"""),109299.0)</f>
        <v>109299</v>
      </c>
      <c r="D3337" s="11">
        <f>IFERROR(__xludf.DUMMYFUNCTION("""COMPUTED_VALUE"""),1860.0)</f>
        <v>1860</v>
      </c>
      <c r="E3337" s="9"/>
    </row>
    <row r="3338">
      <c r="A3338" s="11">
        <f>IFERROR(__xludf.DUMMYFUNCTION("""COMPUTED_VALUE"""),2021.0)</f>
        <v>2021</v>
      </c>
      <c r="B3338" s="11">
        <f>IFERROR(__xludf.DUMMYFUNCTION("""COMPUTED_VALUE"""),10.0)</f>
        <v>10</v>
      </c>
      <c r="C3338" s="11">
        <f>IFERROR(__xludf.DUMMYFUNCTION("""COMPUTED_VALUE"""),196109.0)</f>
        <v>196109</v>
      </c>
      <c r="D3338" s="11">
        <f>IFERROR(__xludf.DUMMYFUNCTION("""COMPUTED_VALUE"""),254.0)</f>
        <v>254</v>
      </c>
      <c r="E3338" s="9"/>
    </row>
    <row r="3339">
      <c r="A3339" s="11">
        <f>IFERROR(__xludf.DUMMYFUNCTION("""COMPUTED_VALUE"""),2021.0)</f>
        <v>2021</v>
      </c>
      <c r="B3339" s="11">
        <f>IFERROR(__xludf.DUMMYFUNCTION("""COMPUTED_VALUE"""),8.0)</f>
        <v>8</v>
      </c>
      <c r="C3339" s="11">
        <f>IFERROR(__xludf.DUMMYFUNCTION("""COMPUTED_VALUE"""),72155.0)</f>
        <v>72155</v>
      </c>
      <c r="D3339" s="11">
        <f>IFERROR(__xludf.DUMMYFUNCTION("""COMPUTED_VALUE"""),1021.0)</f>
        <v>1021</v>
      </c>
      <c r="E3339" s="9"/>
    </row>
    <row r="3340">
      <c r="A3340" s="11">
        <f>IFERROR(__xludf.DUMMYFUNCTION("""COMPUTED_VALUE"""),2021.0)</f>
        <v>2021</v>
      </c>
      <c r="B3340" s="11">
        <f>IFERROR(__xludf.DUMMYFUNCTION("""COMPUTED_VALUE"""),8.0)</f>
        <v>8</v>
      </c>
      <c r="C3340" s="11">
        <f>IFERROR(__xludf.DUMMYFUNCTION("""COMPUTED_VALUE"""),80245.0)</f>
        <v>80245</v>
      </c>
      <c r="D3340" s="11">
        <f>IFERROR(__xludf.DUMMYFUNCTION("""COMPUTED_VALUE"""),1506.0)</f>
        <v>1506</v>
      </c>
      <c r="E3340" s="9"/>
    </row>
    <row r="3341">
      <c r="A3341" s="11">
        <f>IFERROR(__xludf.DUMMYFUNCTION("""COMPUTED_VALUE"""),2021.0)</f>
        <v>2021</v>
      </c>
      <c r="B3341" s="11">
        <f>IFERROR(__xludf.DUMMYFUNCTION("""COMPUTED_VALUE"""),11.0)</f>
        <v>11</v>
      </c>
      <c r="C3341" s="11">
        <f>IFERROR(__xludf.DUMMYFUNCTION("""COMPUTED_VALUE"""),6215.0)</f>
        <v>6215</v>
      </c>
      <c r="D3341" s="11">
        <f>IFERROR(__xludf.DUMMYFUNCTION("""COMPUTED_VALUE"""),1685.0)</f>
        <v>1685</v>
      </c>
      <c r="E3341" s="9"/>
    </row>
    <row r="3342">
      <c r="A3342" s="11">
        <f>IFERROR(__xludf.DUMMYFUNCTION("""COMPUTED_VALUE"""),2021.0)</f>
        <v>2021</v>
      </c>
      <c r="B3342" s="11">
        <f>IFERROR(__xludf.DUMMYFUNCTION("""COMPUTED_VALUE"""),11.0)</f>
        <v>11</v>
      </c>
      <c r="C3342" s="11">
        <f>IFERROR(__xludf.DUMMYFUNCTION("""COMPUTED_VALUE"""),45810.0)</f>
        <v>45810</v>
      </c>
      <c r="D3342" s="11">
        <f>IFERROR(__xludf.DUMMYFUNCTION("""COMPUTED_VALUE"""),872.0)</f>
        <v>872</v>
      </c>
      <c r="E3342" s="9"/>
    </row>
    <row r="3343">
      <c r="A3343" s="11">
        <f>IFERROR(__xludf.DUMMYFUNCTION("""COMPUTED_VALUE"""),2021.0)</f>
        <v>2021</v>
      </c>
      <c r="B3343" s="11">
        <f>IFERROR(__xludf.DUMMYFUNCTION("""COMPUTED_VALUE"""),11.0)</f>
        <v>11</v>
      </c>
      <c r="C3343" s="11">
        <f>IFERROR(__xludf.DUMMYFUNCTION("""COMPUTED_VALUE"""),80205.0)</f>
        <v>80205</v>
      </c>
      <c r="D3343" s="11">
        <f>IFERROR(__xludf.DUMMYFUNCTION("""COMPUTED_VALUE"""),1122.0)</f>
        <v>1122</v>
      </c>
      <c r="E3343" s="9"/>
    </row>
    <row r="3344">
      <c r="A3344" s="11">
        <f>IFERROR(__xludf.DUMMYFUNCTION("""COMPUTED_VALUE"""),2021.0)</f>
        <v>2021</v>
      </c>
      <c r="B3344" s="11">
        <f>IFERROR(__xludf.DUMMYFUNCTION("""COMPUTED_VALUE"""),10.0)</f>
        <v>10</v>
      </c>
      <c r="C3344" s="11">
        <f>IFERROR(__xludf.DUMMYFUNCTION("""COMPUTED_VALUE"""),107064.0)</f>
        <v>107064</v>
      </c>
      <c r="D3344" s="11">
        <f>IFERROR(__xludf.DUMMYFUNCTION("""COMPUTED_VALUE"""),10.0)</f>
        <v>10</v>
      </c>
      <c r="E3344" s="9"/>
    </row>
    <row r="3345">
      <c r="A3345" s="11">
        <f>IFERROR(__xludf.DUMMYFUNCTION("""COMPUTED_VALUE"""),2021.0)</f>
        <v>2021</v>
      </c>
      <c r="B3345" s="11">
        <f>IFERROR(__xludf.DUMMYFUNCTION("""COMPUTED_VALUE"""),8.0)</f>
        <v>8</v>
      </c>
      <c r="C3345" s="11">
        <f>IFERROR(__xludf.DUMMYFUNCTION("""COMPUTED_VALUE"""),6211.0)</f>
        <v>6211</v>
      </c>
      <c r="D3345" s="11">
        <f>IFERROR(__xludf.DUMMYFUNCTION("""COMPUTED_VALUE"""),63.0)</f>
        <v>63</v>
      </c>
      <c r="E3345" s="9"/>
    </row>
    <row r="3346">
      <c r="A3346" s="11">
        <f>IFERROR(__xludf.DUMMYFUNCTION("""COMPUTED_VALUE"""),2021.0)</f>
        <v>2021</v>
      </c>
      <c r="B3346" s="11">
        <f>IFERROR(__xludf.DUMMYFUNCTION("""COMPUTED_VALUE"""),9.0)</f>
        <v>9</v>
      </c>
      <c r="C3346" s="11">
        <f>IFERROR(__xludf.DUMMYFUNCTION("""COMPUTED_VALUE"""),44036.0)</f>
        <v>44036</v>
      </c>
      <c r="D3346" s="11">
        <f>IFERROR(__xludf.DUMMYFUNCTION("""COMPUTED_VALUE"""),663.0)</f>
        <v>663</v>
      </c>
      <c r="E3346" s="9"/>
    </row>
    <row r="3347">
      <c r="A3347" s="11">
        <f>IFERROR(__xludf.DUMMYFUNCTION("""COMPUTED_VALUE"""),2021.0)</f>
        <v>2021</v>
      </c>
      <c r="B3347" s="11">
        <f>IFERROR(__xludf.DUMMYFUNCTION("""COMPUTED_VALUE"""),10.0)</f>
        <v>10</v>
      </c>
      <c r="C3347" s="11">
        <f>IFERROR(__xludf.DUMMYFUNCTION("""COMPUTED_VALUE"""),181493.0)</f>
        <v>181493</v>
      </c>
      <c r="D3347" s="11">
        <f>IFERROR(__xludf.DUMMYFUNCTION("""COMPUTED_VALUE"""),607.0)</f>
        <v>607</v>
      </c>
      <c r="E3347" s="9"/>
    </row>
    <row r="3348">
      <c r="A3348" s="11">
        <f>IFERROR(__xludf.DUMMYFUNCTION("""COMPUTED_VALUE"""),2021.0)</f>
        <v>2021</v>
      </c>
      <c r="B3348" s="11">
        <f>IFERROR(__xludf.DUMMYFUNCTION("""COMPUTED_VALUE"""),9.0)</f>
        <v>9</v>
      </c>
      <c r="C3348" s="11">
        <f>IFERROR(__xludf.DUMMYFUNCTION("""COMPUTED_VALUE"""),6210.0)</f>
        <v>6210</v>
      </c>
      <c r="D3348" s="11">
        <f>IFERROR(__xludf.DUMMYFUNCTION("""COMPUTED_VALUE"""),581.0)</f>
        <v>581</v>
      </c>
      <c r="E3348" s="9"/>
    </row>
    <row r="3349">
      <c r="A3349" s="11">
        <f>IFERROR(__xludf.DUMMYFUNCTION("""COMPUTED_VALUE"""),2021.0)</f>
        <v>2021</v>
      </c>
      <c r="B3349" s="11">
        <f>IFERROR(__xludf.DUMMYFUNCTION("""COMPUTED_VALUE"""),9.0)</f>
        <v>9</v>
      </c>
      <c r="C3349" s="11">
        <f>IFERROR(__xludf.DUMMYFUNCTION("""COMPUTED_VALUE"""),110431.0)</f>
        <v>110431</v>
      </c>
      <c r="D3349" s="11">
        <f>IFERROR(__xludf.DUMMYFUNCTION("""COMPUTED_VALUE"""),1805.0)</f>
        <v>1805</v>
      </c>
      <c r="E3349" s="9"/>
    </row>
    <row r="3350">
      <c r="A3350" s="11">
        <f>IFERROR(__xludf.DUMMYFUNCTION("""COMPUTED_VALUE"""),2021.0)</f>
        <v>2021</v>
      </c>
      <c r="B3350" s="11">
        <f>IFERROR(__xludf.DUMMYFUNCTION("""COMPUTED_VALUE"""),10.0)</f>
        <v>10</v>
      </c>
      <c r="C3350" s="11">
        <f>IFERROR(__xludf.DUMMYFUNCTION("""COMPUTED_VALUE"""),122878.0)</f>
        <v>122878</v>
      </c>
      <c r="D3350" s="11">
        <f>IFERROR(__xludf.DUMMYFUNCTION("""COMPUTED_VALUE"""),668.0)</f>
        <v>668</v>
      </c>
      <c r="E3350" s="9"/>
    </row>
    <row r="3351">
      <c r="A3351" s="11">
        <f>IFERROR(__xludf.DUMMYFUNCTION("""COMPUTED_VALUE"""),2021.0)</f>
        <v>2021</v>
      </c>
      <c r="B3351" s="11">
        <f>IFERROR(__xludf.DUMMYFUNCTION("""COMPUTED_VALUE"""),10.0)</f>
        <v>10</v>
      </c>
      <c r="C3351" s="11">
        <f>IFERROR(__xludf.DUMMYFUNCTION("""COMPUTED_VALUE"""),14092.0)</f>
        <v>14092</v>
      </c>
      <c r="D3351" s="11">
        <f>IFERROR(__xludf.DUMMYFUNCTION("""COMPUTED_VALUE"""),289.0)</f>
        <v>289</v>
      </c>
      <c r="E3351" s="9"/>
    </row>
    <row r="3352">
      <c r="A3352" s="11">
        <f>IFERROR(__xludf.DUMMYFUNCTION("""COMPUTED_VALUE"""),2021.0)</f>
        <v>2021</v>
      </c>
      <c r="B3352" s="11">
        <f>IFERROR(__xludf.DUMMYFUNCTION("""COMPUTED_VALUE"""),10.0)</f>
        <v>10</v>
      </c>
      <c r="C3352" s="11">
        <f>IFERROR(__xludf.DUMMYFUNCTION("""COMPUTED_VALUE"""),121621.0)</f>
        <v>121621</v>
      </c>
      <c r="D3352" s="11">
        <f>IFERROR(__xludf.DUMMYFUNCTION("""COMPUTED_VALUE"""),725.0)</f>
        <v>725</v>
      </c>
      <c r="E3352" s="9"/>
    </row>
    <row r="3353">
      <c r="A3353" s="11">
        <f>IFERROR(__xludf.DUMMYFUNCTION("""COMPUTED_VALUE"""),2021.0)</f>
        <v>2021</v>
      </c>
      <c r="B3353" s="11">
        <f>IFERROR(__xludf.DUMMYFUNCTION("""COMPUTED_VALUE"""),9.0)</f>
        <v>9</v>
      </c>
      <c r="C3353" s="11">
        <f>IFERROR(__xludf.DUMMYFUNCTION("""COMPUTED_VALUE"""),120511.0)</f>
        <v>120511</v>
      </c>
      <c r="D3353" s="11">
        <f>IFERROR(__xludf.DUMMYFUNCTION("""COMPUTED_VALUE"""),18.0)</f>
        <v>18</v>
      </c>
      <c r="E3353" s="9"/>
    </row>
    <row r="3354">
      <c r="A3354" s="11">
        <f>IFERROR(__xludf.DUMMYFUNCTION("""COMPUTED_VALUE"""),2021.0)</f>
        <v>2021</v>
      </c>
      <c r="B3354" s="11">
        <f>IFERROR(__xludf.DUMMYFUNCTION("""COMPUTED_VALUE"""),11.0)</f>
        <v>11</v>
      </c>
      <c r="C3354" s="11">
        <f>IFERROR(__xludf.DUMMYFUNCTION("""COMPUTED_VALUE"""),46132.0)</f>
        <v>46132</v>
      </c>
      <c r="D3354" s="11">
        <f>IFERROR(__xludf.DUMMYFUNCTION("""COMPUTED_VALUE"""),1782.0)</f>
        <v>1782</v>
      </c>
      <c r="E3354" s="9"/>
    </row>
    <row r="3355">
      <c r="A3355" s="11">
        <f>IFERROR(__xludf.DUMMYFUNCTION("""COMPUTED_VALUE"""),2021.0)</f>
        <v>2021</v>
      </c>
      <c r="B3355" s="11">
        <f>IFERROR(__xludf.DUMMYFUNCTION("""COMPUTED_VALUE"""),9.0)</f>
        <v>9</v>
      </c>
      <c r="C3355" s="11">
        <f>IFERROR(__xludf.DUMMYFUNCTION("""COMPUTED_VALUE"""),83014.0)</f>
        <v>83014</v>
      </c>
      <c r="D3355" s="11">
        <f>IFERROR(__xludf.DUMMYFUNCTION("""COMPUTED_VALUE"""),703.0)</f>
        <v>703</v>
      </c>
      <c r="E3355" s="9"/>
    </row>
    <row r="3356">
      <c r="A3356" s="11">
        <f>IFERROR(__xludf.DUMMYFUNCTION("""COMPUTED_VALUE"""),2021.0)</f>
        <v>2021</v>
      </c>
      <c r="B3356" s="11">
        <f>IFERROR(__xludf.DUMMYFUNCTION("""COMPUTED_VALUE"""),9.0)</f>
        <v>9</v>
      </c>
      <c r="C3356" s="11">
        <f>IFERROR(__xludf.DUMMYFUNCTION("""COMPUTED_VALUE"""),80199.0)</f>
        <v>80199</v>
      </c>
      <c r="D3356" s="11">
        <f>IFERROR(__xludf.DUMMYFUNCTION("""COMPUTED_VALUE"""),468.0)</f>
        <v>468</v>
      </c>
      <c r="E3356" s="9"/>
    </row>
    <row r="3357">
      <c r="A3357" s="11">
        <f>IFERROR(__xludf.DUMMYFUNCTION("""COMPUTED_VALUE"""),2021.0)</f>
        <v>2021</v>
      </c>
      <c r="B3357" s="11">
        <f>IFERROR(__xludf.DUMMYFUNCTION("""COMPUTED_VALUE"""),10.0)</f>
        <v>10</v>
      </c>
      <c r="C3357" s="11">
        <f>IFERROR(__xludf.DUMMYFUNCTION("""COMPUTED_VALUE"""),80201.0)</f>
        <v>80201</v>
      </c>
      <c r="D3357" s="11">
        <f>IFERROR(__xludf.DUMMYFUNCTION("""COMPUTED_VALUE"""),1048.0)</f>
        <v>1048</v>
      </c>
      <c r="E3357" s="9"/>
    </row>
    <row r="3358">
      <c r="A3358" s="11">
        <f>IFERROR(__xludf.DUMMYFUNCTION("""COMPUTED_VALUE"""),2021.0)</f>
        <v>2021</v>
      </c>
      <c r="B3358" s="11">
        <f>IFERROR(__xludf.DUMMYFUNCTION("""COMPUTED_VALUE"""),11.0)</f>
        <v>11</v>
      </c>
      <c r="C3358" s="11">
        <f>IFERROR(__xludf.DUMMYFUNCTION("""COMPUTED_VALUE"""),46131.0)</f>
        <v>46131</v>
      </c>
      <c r="D3358" s="11">
        <f>IFERROR(__xludf.DUMMYFUNCTION("""COMPUTED_VALUE"""),1555.0)</f>
        <v>1555</v>
      </c>
      <c r="E3358" s="9"/>
    </row>
    <row r="3359">
      <c r="A3359" s="11">
        <f>IFERROR(__xludf.DUMMYFUNCTION("""COMPUTED_VALUE"""),2021.0)</f>
        <v>2021</v>
      </c>
      <c r="B3359" s="11">
        <f>IFERROR(__xludf.DUMMYFUNCTION("""COMPUTED_VALUE"""),8.0)</f>
        <v>8</v>
      </c>
      <c r="C3359" s="11">
        <f>IFERROR(__xludf.DUMMYFUNCTION("""COMPUTED_VALUE"""),102346.0)</f>
        <v>102346</v>
      </c>
      <c r="D3359" s="11">
        <f>IFERROR(__xludf.DUMMYFUNCTION("""COMPUTED_VALUE"""),382.0)</f>
        <v>382</v>
      </c>
      <c r="E3359" s="9"/>
    </row>
    <row r="3360">
      <c r="A3360" s="11">
        <f>IFERROR(__xludf.DUMMYFUNCTION("""COMPUTED_VALUE"""),2021.0)</f>
        <v>2021</v>
      </c>
      <c r="B3360" s="11">
        <f>IFERROR(__xludf.DUMMYFUNCTION("""COMPUTED_VALUE"""),9.0)</f>
        <v>9</v>
      </c>
      <c r="C3360" s="11">
        <f>IFERROR(__xludf.DUMMYFUNCTION("""COMPUTED_VALUE"""),14094.0)</f>
        <v>14094</v>
      </c>
      <c r="D3360" s="11">
        <f>IFERROR(__xludf.DUMMYFUNCTION("""COMPUTED_VALUE"""),833.0)</f>
        <v>833</v>
      </c>
      <c r="E3360" s="9"/>
    </row>
    <row r="3361">
      <c r="A3361" s="11">
        <f>IFERROR(__xludf.DUMMYFUNCTION("""COMPUTED_VALUE"""),2021.0)</f>
        <v>2021</v>
      </c>
      <c r="B3361" s="11">
        <f>IFERROR(__xludf.DUMMYFUNCTION("""COMPUTED_VALUE"""),10.0)</f>
        <v>10</v>
      </c>
      <c r="C3361" s="11">
        <f>IFERROR(__xludf.DUMMYFUNCTION("""COMPUTED_VALUE"""),100679.0)</f>
        <v>100679</v>
      </c>
      <c r="D3361" s="11">
        <f>IFERROR(__xludf.DUMMYFUNCTION("""COMPUTED_VALUE"""),1417.0)</f>
        <v>1417</v>
      </c>
      <c r="E3361" s="9"/>
    </row>
    <row r="3362">
      <c r="A3362" s="11">
        <f>IFERROR(__xludf.DUMMYFUNCTION("""COMPUTED_VALUE"""),2021.0)</f>
        <v>2021</v>
      </c>
      <c r="B3362" s="11">
        <f>IFERROR(__xludf.DUMMYFUNCTION("""COMPUTED_VALUE"""),8.0)</f>
        <v>8</v>
      </c>
      <c r="C3362" s="11">
        <f>IFERROR(__xludf.DUMMYFUNCTION("""COMPUTED_VALUE"""),102345.0)</f>
        <v>102345</v>
      </c>
      <c r="D3362" s="11">
        <f>IFERROR(__xludf.DUMMYFUNCTION("""COMPUTED_VALUE"""),1358.0)</f>
        <v>1358</v>
      </c>
      <c r="E3362" s="9"/>
    </row>
    <row r="3363">
      <c r="A3363" s="11">
        <f>IFERROR(__xludf.DUMMYFUNCTION("""COMPUTED_VALUE"""),2021.0)</f>
        <v>2021</v>
      </c>
      <c r="B3363" s="11">
        <f>IFERROR(__xludf.DUMMYFUNCTION("""COMPUTED_VALUE"""),11.0)</f>
        <v>11</v>
      </c>
      <c r="C3363" s="11">
        <f>IFERROR(__xludf.DUMMYFUNCTION("""COMPUTED_VALUE"""),121695.0)</f>
        <v>121695</v>
      </c>
      <c r="D3363" s="11">
        <f>IFERROR(__xludf.DUMMYFUNCTION("""COMPUTED_VALUE"""),196.0)</f>
        <v>196</v>
      </c>
      <c r="E3363" s="9"/>
    </row>
    <row r="3364">
      <c r="A3364" s="11">
        <f>IFERROR(__xludf.DUMMYFUNCTION("""COMPUTED_VALUE"""),2021.0)</f>
        <v>2021</v>
      </c>
      <c r="B3364" s="11">
        <f>IFERROR(__xludf.DUMMYFUNCTION("""COMPUTED_VALUE"""),10.0)</f>
        <v>10</v>
      </c>
      <c r="C3364" s="11">
        <f>IFERROR(__xludf.DUMMYFUNCTION("""COMPUTED_VALUE"""),6204.0)</f>
        <v>6204</v>
      </c>
      <c r="D3364" s="11">
        <f>IFERROR(__xludf.DUMMYFUNCTION("""COMPUTED_VALUE"""),1902.0)</f>
        <v>1902</v>
      </c>
      <c r="E3364" s="9"/>
    </row>
    <row r="3365">
      <c r="A3365" s="11">
        <f>IFERROR(__xludf.DUMMYFUNCTION("""COMPUTED_VALUE"""),2021.0)</f>
        <v>2021</v>
      </c>
      <c r="B3365" s="11">
        <f>IFERROR(__xludf.DUMMYFUNCTION("""COMPUTED_VALUE"""),11.0)</f>
        <v>11</v>
      </c>
      <c r="C3365" s="11">
        <f>IFERROR(__xludf.DUMMYFUNCTION("""COMPUTED_VALUE"""),16571.0)</f>
        <v>16571</v>
      </c>
      <c r="D3365" s="11">
        <f>IFERROR(__xludf.DUMMYFUNCTION("""COMPUTED_VALUE"""),1139.0)</f>
        <v>1139</v>
      </c>
      <c r="E3365" s="9"/>
    </row>
    <row r="3366">
      <c r="A3366" s="11">
        <f>IFERROR(__xludf.DUMMYFUNCTION("""COMPUTED_VALUE"""),2021.0)</f>
        <v>2021</v>
      </c>
      <c r="B3366" s="11">
        <f>IFERROR(__xludf.DUMMYFUNCTION("""COMPUTED_VALUE"""),9.0)</f>
        <v>9</v>
      </c>
      <c r="C3366" s="11">
        <f>IFERROR(__xludf.DUMMYFUNCTION("""COMPUTED_VALUE"""),181494.0)</f>
        <v>181494</v>
      </c>
      <c r="D3366" s="11">
        <f>IFERROR(__xludf.DUMMYFUNCTION("""COMPUTED_VALUE"""),1804.0)</f>
        <v>1804</v>
      </c>
      <c r="E3366" s="9"/>
    </row>
    <row r="3367">
      <c r="A3367" s="11">
        <f>IFERROR(__xludf.DUMMYFUNCTION("""COMPUTED_VALUE"""),2021.0)</f>
        <v>2021</v>
      </c>
      <c r="B3367" s="11">
        <f>IFERROR(__xludf.DUMMYFUNCTION("""COMPUTED_VALUE"""),10.0)</f>
        <v>10</v>
      </c>
      <c r="C3367" s="11">
        <f>IFERROR(__xludf.DUMMYFUNCTION("""COMPUTED_VALUE"""),80315.0)</f>
        <v>80315</v>
      </c>
      <c r="D3367" s="11">
        <f>IFERROR(__xludf.DUMMYFUNCTION("""COMPUTED_VALUE"""),869.0)</f>
        <v>869</v>
      </c>
      <c r="E3367" s="9"/>
    </row>
    <row r="3368">
      <c r="A3368" s="11">
        <f>IFERROR(__xludf.DUMMYFUNCTION("""COMPUTED_VALUE"""),2021.0)</f>
        <v>2021</v>
      </c>
      <c r="B3368" s="11">
        <f>IFERROR(__xludf.DUMMYFUNCTION("""COMPUTED_VALUE"""),11.0)</f>
        <v>11</v>
      </c>
      <c r="C3368" s="11">
        <f>IFERROR(__xludf.DUMMYFUNCTION("""COMPUTED_VALUE"""),83054.0)</f>
        <v>83054</v>
      </c>
      <c r="D3368" s="11">
        <f>IFERROR(__xludf.DUMMYFUNCTION("""COMPUTED_VALUE"""),158.0)</f>
        <v>158</v>
      </c>
      <c r="E3368" s="9"/>
    </row>
    <row r="3369">
      <c r="A3369" s="11">
        <f>IFERROR(__xludf.DUMMYFUNCTION("""COMPUTED_VALUE"""),2021.0)</f>
        <v>2021</v>
      </c>
      <c r="B3369" s="11">
        <f>IFERROR(__xludf.DUMMYFUNCTION("""COMPUTED_VALUE"""),9.0)</f>
        <v>9</v>
      </c>
      <c r="C3369" s="11">
        <f>IFERROR(__xludf.DUMMYFUNCTION("""COMPUTED_VALUE"""),83056.0)</f>
        <v>83056</v>
      </c>
      <c r="D3369" s="11">
        <f>IFERROR(__xludf.DUMMYFUNCTION("""COMPUTED_VALUE"""),1267.0)</f>
        <v>1267</v>
      </c>
      <c r="E3369" s="9"/>
    </row>
    <row r="3370">
      <c r="A3370" s="11">
        <f>IFERROR(__xludf.DUMMYFUNCTION("""COMPUTED_VALUE"""),2021.0)</f>
        <v>2021</v>
      </c>
      <c r="B3370" s="11">
        <f>IFERROR(__xludf.DUMMYFUNCTION("""COMPUTED_VALUE"""),10.0)</f>
        <v>10</v>
      </c>
      <c r="C3370" s="11">
        <f>IFERROR(__xludf.DUMMYFUNCTION("""COMPUTED_VALUE"""),83055.0)</f>
        <v>83055</v>
      </c>
      <c r="D3370" s="11">
        <f>IFERROR(__xludf.DUMMYFUNCTION("""COMPUTED_VALUE"""),406.0)</f>
        <v>406</v>
      </c>
      <c r="E3370" s="9"/>
    </row>
    <row r="3371">
      <c r="A3371" s="11">
        <f>IFERROR(__xludf.DUMMYFUNCTION("""COMPUTED_VALUE"""),2021.0)</f>
        <v>2021</v>
      </c>
      <c r="B3371" s="11">
        <f>IFERROR(__xludf.DUMMYFUNCTION("""COMPUTED_VALUE"""),11.0)</f>
        <v>11</v>
      </c>
      <c r="C3371" s="11">
        <f>IFERROR(__xludf.DUMMYFUNCTION("""COMPUTED_VALUE"""),46134.0)</f>
        <v>46134</v>
      </c>
      <c r="D3371" s="11">
        <f>IFERROR(__xludf.DUMMYFUNCTION("""COMPUTED_VALUE"""),784.0)</f>
        <v>784</v>
      </c>
      <c r="E3371" s="9"/>
    </row>
    <row r="3372">
      <c r="A3372" s="11">
        <f>IFERROR(__xludf.DUMMYFUNCTION("""COMPUTED_VALUE"""),2021.0)</f>
        <v>2021</v>
      </c>
      <c r="B3372" s="11">
        <f>IFERROR(__xludf.DUMMYFUNCTION("""COMPUTED_VALUE"""),8.0)</f>
        <v>8</v>
      </c>
      <c r="C3372" s="11">
        <f>IFERROR(__xludf.DUMMYFUNCTION("""COMPUTED_VALUE"""),121693.0)</f>
        <v>121693</v>
      </c>
      <c r="D3372" s="11">
        <f>IFERROR(__xludf.DUMMYFUNCTION("""COMPUTED_VALUE"""),1180.0)</f>
        <v>1180</v>
      </c>
      <c r="E3372" s="9"/>
    </row>
    <row r="3373">
      <c r="A3373" s="11">
        <f>IFERROR(__xludf.DUMMYFUNCTION("""COMPUTED_VALUE"""),2021.0)</f>
        <v>2021</v>
      </c>
      <c r="B3373" s="11">
        <f>IFERROR(__xludf.DUMMYFUNCTION("""COMPUTED_VALUE"""),9.0)</f>
        <v>9</v>
      </c>
      <c r="C3373" s="11">
        <f>IFERROR(__xludf.DUMMYFUNCTION("""COMPUTED_VALUE"""),102344.0)</f>
        <v>102344</v>
      </c>
      <c r="D3373" s="11">
        <f>IFERROR(__xludf.DUMMYFUNCTION("""COMPUTED_VALUE"""),772.0)</f>
        <v>772</v>
      </c>
      <c r="E3373" s="9"/>
    </row>
    <row r="3374">
      <c r="A3374" s="11">
        <f>IFERROR(__xludf.DUMMYFUNCTION("""COMPUTED_VALUE"""),2021.0)</f>
        <v>2021</v>
      </c>
      <c r="B3374" s="11">
        <f>IFERROR(__xludf.DUMMYFUNCTION("""COMPUTED_VALUE"""),10.0)</f>
        <v>10</v>
      </c>
      <c r="C3374" s="11">
        <f>IFERROR(__xludf.DUMMYFUNCTION("""COMPUTED_VALUE"""),100687.0)</f>
        <v>100687</v>
      </c>
      <c r="D3374" s="11">
        <f>IFERROR(__xludf.DUMMYFUNCTION("""COMPUTED_VALUE"""),618.0)</f>
        <v>618</v>
      </c>
      <c r="E3374" s="9"/>
    </row>
    <row r="3375">
      <c r="A3375" s="11">
        <f>IFERROR(__xludf.DUMMYFUNCTION("""COMPUTED_VALUE"""),2021.0)</f>
        <v>2021</v>
      </c>
      <c r="B3375" s="11">
        <f>IFERROR(__xludf.DUMMYFUNCTION("""COMPUTED_VALUE"""),11.0)</f>
        <v>11</v>
      </c>
      <c r="C3375" s="11">
        <f>IFERROR(__xludf.DUMMYFUNCTION("""COMPUTED_VALUE"""),70327.0)</f>
        <v>70327</v>
      </c>
      <c r="D3375" s="11">
        <f>IFERROR(__xludf.DUMMYFUNCTION("""COMPUTED_VALUE"""),432.0)</f>
        <v>432</v>
      </c>
      <c r="E3375" s="9"/>
    </row>
    <row r="3376">
      <c r="A3376" s="11">
        <f>IFERROR(__xludf.DUMMYFUNCTION("""COMPUTED_VALUE"""),2021.0)</f>
        <v>2021</v>
      </c>
      <c r="B3376" s="11">
        <f>IFERROR(__xludf.DUMMYFUNCTION("""COMPUTED_VALUE"""),8.0)</f>
        <v>8</v>
      </c>
      <c r="C3376" s="11">
        <f>IFERROR(__xludf.DUMMYFUNCTION("""COMPUTED_VALUE"""),80191.0)</f>
        <v>80191</v>
      </c>
      <c r="D3376" s="11">
        <f>IFERROR(__xludf.DUMMYFUNCTION("""COMPUTED_VALUE"""),973.0)</f>
        <v>973</v>
      </c>
      <c r="E3376" s="9"/>
    </row>
    <row r="3377">
      <c r="A3377" s="11">
        <f>IFERROR(__xludf.DUMMYFUNCTION("""COMPUTED_VALUE"""),2021.0)</f>
        <v>2021</v>
      </c>
      <c r="B3377" s="11">
        <f>IFERROR(__xludf.DUMMYFUNCTION("""COMPUTED_VALUE"""),10.0)</f>
        <v>10</v>
      </c>
      <c r="C3377" s="11">
        <f>IFERROR(__xludf.DUMMYFUNCTION("""COMPUTED_VALUE"""),103037.0)</f>
        <v>103037</v>
      </c>
      <c r="D3377" s="11">
        <f>IFERROR(__xludf.DUMMYFUNCTION("""COMPUTED_VALUE"""),374.0)</f>
        <v>374</v>
      </c>
      <c r="E3377" s="9"/>
    </row>
    <row r="3378">
      <c r="A3378" s="11">
        <f>IFERROR(__xludf.DUMMYFUNCTION("""COMPUTED_VALUE"""),2021.0)</f>
        <v>2021</v>
      </c>
      <c r="B3378" s="11">
        <f>IFERROR(__xludf.DUMMYFUNCTION("""COMPUTED_VALUE"""),8.0)</f>
        <v>8</v>
      </c>
      <c r="C3378" s="11">
        <f>IFERROR(__xludf.DUMMYFUNCTION("""COMPUTED_VALUE"""),6205.0)</f>
        <v>6205</v>
      </c>
      <c r="D3378" s="11">
        <f>IFERROR(__xludf.DUMMYFUNCTION("""COMPUTED_VALUE"""),1608.0)</f>
        <v>1608</v>
      </c>
      <c r="E3378" s="9"/>
    </row>
    <row r="3379">
      <c r="A3379" s="11">
        <f>IFERROR(__xludf.DUMMYFUNCTION("""COMPUTED_VALUE"""),2021.0)</f>
        <v>2021</v>
      </c>
      <c r="B3379" s="11">
        <f>IFERROR(__xludf.DUMMYFUNCTION("""COMPUTED_VALUE"""),8.0)</f>
        <v>8</v>
      </c>
      <c r="C3379" s="11">
        <f>IFERROR(__xludf.DUMMYFUNCTION("""COMPUTED_VALUE"""),70387.0)</f>
        <v>70387</v>
      </c>
      <c r="D3379" s="11">
        <f>IFERROR(__xludf.DUMMYFUNCTION("""COMPUTED_VALUE"""),289.0)</f>
        <v>289</v>
      </c>
      <c r="E3379" s="9"/>
    </row>
    <row r="3380">
      <c r="A3380" s="11">
        <f>IFERROR(__xludf.DUMMYFUNCTION("""COMPUTED_VALUE"""),2021.0)</f>
        <v>2021</v>
      </c>
      <c r="B3380" s="11">
        <f>IFERROR(__xludf.DUMMYFUNCTION("""COMPUTED_VALUE"""),8.0)</f>
        <v>8</v>
      </c>
      <c r="C3380" s="11">
        <f>IFERROR(__xludf.DUMMYFUNCTION("""COMPUTED_VALUE"""),122278.0)</f>
        <v>122278</v>
      </c>
      <c r="D3380" s="11">
        <f>IFERROR(__xludf.DUMMYFUNCTION("""COMPUTED_VALUE"""),343.0)</f>
        <v>343</v>
      </c>
      <c r="E3380" s="9"/>
    </row>
    <row r="3381">
      <c r="A3381" s="11">
        <f>IFERROR(__xludf.DUMMYFUNCTION("""COMPUTED_VALUE"""),2021.0)</f>
        <v>2021</v>
      </c>
      <c r="B3381" s="11">
        <f>IFERROR(__xludf.DUMMYFUNCTION("""COMPUTED_VALUE"""),10.0)</f>
        <v>10</v>
      </c>
      <c r="C3381" s="11">
        <f>IFERROR(__xludf.DUMMYFUNCTION("""COMPUTED_VALUE"""),29365.0)</f>
        <v>29365</v>
      </c>
      <c r="D3381" s="11">
        <f>IFERROR(__xludf.DUMMYFUNCTION("""COMPUTED_VALUE"""),1540.0)</f>
        <v>1540</v>
      </c>
      <c r="E3381" s="9"/>
    </row>
    <row r="3382">
      <c r="A3382" s="11">
        <f>IFERROR(__xludf.DUMMYFUNCTION("""COMPUTED_VALUE"""),2021.0)</f>
        <v>2021</v>
      </c>
      <c r="B3382" s="11">
        <f>IFERROR(__xludf.DUMMYFUNCTION("""COMPUTED_VALUE"""),11.0)</f>
        <v>11</v>
      </c>
      <c r="C3382" s="11">
        <f>IFERROR(__xludf.DUMMYFUNCTION("""COMPUTED_VALUE"""),17769.0)</f>
        <v>17769</v>
      </c>
      <c r="D3382" s="11">
        <f>IFERROR(__xludf.DUMMYFUNCTION("""COMPUTED_VALUE"""),581.0)</f>
        <v>581</v>
      </c>
      <c r="E3382" s="9"/>
    </row>
    <row r="3383">
      <c r="A3383" s="11">
        <f>IFERROR(__xludf.DUMMYFUNCTION("""COMPUTED_VALUE"""),2021.0)</f>
        <v>2021</v>
      </c>
      <c r="B3383" s="11">
        <f>IFERROR(__xludf.DUMMYFUNCTION("""COMPUTED_VALUE"""),11.0)</f>
        <v>11</v>
      </c>
      <c r="C3383" s="11">
        <f>IFERROR(__xludf.DUMMYFUNCTION("""COMPUTED_VALUE"""),23144.0)</f>
        <v>23144</v>
      </c>
      <c r="D3383" s="11">
        <f>IFERROR(__xludf.DUMMYFUNCTION("""COMPUTED_VALUE"""),1330.0)</f>
        <v>1330</v>
      </c>
      <c r="E3383" s="9"/>
    </row>
    <row r="3384">
      <c r="A3384" s="11">
        <f>IFERROR(__xludf.DUMMYFUNCTION("""COMPUTED_VALUE"""),2021.0)</f>
        <v>2021</v>
      </c>
      <c r="B3384" s="11">
        <f>IFERROR(__xludf.DUMMYFUNCTION("""COMPUTED_VALUE"""),10.0)</f>
        <v>10</v>
      </c>
      <c r="C3384" s="11">
        <f>IFERROR(__xludf.DUMMYFUNCTION("""COMPUTED_VALUE"""),120115.0)</f>
        <v>120115</v>
      </c>
      <c r="D3384" s="11">
        <f>IFERROR(__xludf.DUMMYFUNCTION("""COMPUTED_VALUE"""),1619.0)</f>
        <v>1619</v>
      </c>
      <c r="E3384" s="9"/>
    </row>
    <row r="3385">
      <c r="A3385" s="11">
        <f>IFERROR(__xludf.DUMMYFUNCTION("""COMPUTED_VALUE"""),2021.0)</f>
        <v>2021</v>
      </c>
      <c r="B3385" s="11">
        <f>IFERROR(__xludf.DUMMYFUNCTION("""COMPUTED_VALUE"""),8.0)</f>
        <v>8</v>
      </c>
      <c r="C3385" s="11">
        <f>IFERROR(__xludf.DUMMYFUNCTION("""COMPUTED_VALUE"""),29384.0)</f>
        <v>29384</v>
      </c>
      <c r="D3385" s="11">
        <f>IFERROR(__xludf.DUMMYFUNCTION("""COMPUTED_VALUE"""),624.0)</f>
        <v>624</v>
      </c>
      <c r="E3385" s="9"/>
    </row>
    <row r="3386">
      <c r="A3386" s="11">
        <f>IFERROR(__xludf.DUMMYFUNCTION("""COMPUTED_VALUE"""),2021.0)</f>
        <v>2021</v>
      </c>
      <c r="B3386" s="11">
        <f>IFERROR(__xludf.DUMMYFUNCTION("""COMPUTED_VALUE"""),11.0)</f>
        <v>11</v>
      </c>
      <c r="C3386" s="11">
        <f>IFERROR(__xludf.DUMMYFUNCTION("""COMPUTED_VALUE"""),17746.0)</f>
        <v>17746</v>
      </c>
      <c r="D3386" s="11">
        <f>IFERROR(__xludf.DUMMYFUNCTION("""COMPUTED_VALUE"""),262.0)</f>
        <v>262</v>
      </c>
      <c r="E3386" s="9"/>
    </row>
    <row r="3387">
      <c r="A3387" s="11">
        <f>IFERROR(__xludf.DUMMYFUNCTION("""COMPUTED_VALUE"""),2021.0)</f>
        <v>2021</v>
      </c>
      <c r="B3387" s="11">
        <f>IFERROR(__xludf.DUMMYFUNCTION("""COMPUTED_VALUE"""),9.0)</f>
        <v>9</v>
      </c>
      <c r="C3387" s="11">
        <f>IFERROR(__xludf.DUMMYFUNCTION("""COMPUTED_VALUE"""),121630.0)</f>
        <v>121630</v>
      </c>
      <c r="D3387" s="11">
        <f>IFERROR(__xludf.DUMMYFUNCTION("""COMPUTED_VALUE"""),1342.0)</f>
        <v>1342</v>
      </c>
      <c r="E3387" s="9"/>
    </row>
    <row r="3388">
      <c r="A3388" s="11">
        <f>IFERROR(__xludf.DUMMYFUNCTION("""COMPUTED_VALUE"""),2021.0)</f>
        <v>2021</v>
      </c>
      <c r="B3388" s="11">
        <f>IFERROR(__xludf.DUMMYFUNCTION("""COMPUTED_VALUE"""),9.0)</f>
        <v>9</v>
      </c>
      <c r="C3388" s="11">
        <f>IFERROR(__xludf.DUMMYFUNCTION("""COMPUTED_VALUE"""),29385.0)</f>
        <v>29385</v>
      </c>
      <c r="D3388" s="11">
        <f>IFERROR(__xludf.DUMMYFUNCTION("""COMPUTED_VALUE"""),1669.0)</f>
        <v>1669</v>
      </c>
      <c r="E3388" s="9"/>
    </row>
    <row r="3389">
      <c r="A3389" s="11">
        <f>IFERROR(__xludf.DUMMYFUNCTION("""COMPUTED_VALUE"""),2021.0)</f>
        <v>2021</v>
      </c>
      <c r="B3389" s="11">
        <f>IFERROR(__xludf.DUMMYFUNCTION("""COMPUTED_VALUE"""),8.0)</f>
        <v>8</v>
      </c>
      <c r="C3389" s="11">
        <f>IFERROR(__xludf.DUMMYFUNCTION("""COMPUTED_VALUE"""),17767.0)</f>
        <v>17767</v>
      </c>
      <c r="D3389" s="11">
        <f>IFERROR(__xludf.DUMMYFUNCTION("""COMPUTED_VALUE"""),1516.0)</f>
        <v>1516</v>
      </c>
      <c r="E3389" s="9"/>
    </row>
    <row r="3390">
      <c r="A3390" s="11">
        <f>IFERROR(__xludf.DUMMYFUNCTION("""COMPUTED_VALUE"""),2021.0)</f>
        <v>2021</v>
      </c>
      <c r="B3390" s="11">
        <f>IFERROR(__xludf.DUMMYFUNCTION("""COMPUTED_VALUE"""),11.0)</f>
        <v>11</v>
      </c>
      <c r="C3390" s="11">
        <f>IFERROR(__xludf.DUMMYFUNCTION("""COMPUTED_VALUE"""),103047.0)</f>
        <v>103047</v>
      </c>
      <c r="D3390" s="11">
        <f>IFERROR(__xludf.DUMMYFUNCTION("""COMPUTED_VALUE"""),782.0)</f>
        <v>782</v>
      </c>
      <c r="E3390" s="9"/>
    </row>
    <row r="3391">
      <c r="A3391" s="11">
        <f>IFERROR(__xludf.DUMMYFUNCTION("""COMPUTED_VALUE"""),2021.0)</f>
        <v>2021</v>
      </c>
      <c r="B3391" s="11">
        <f>IFERROR(__xludf.DUMMYFUNCTION("""COMPUTED_VALUE"""),10.0)</f>
        <v>10</v>
      </c>
      <c r="C3391" s="11">
        <f>IFERROR(__xludf.DUMMYFUNCTION("""COMPUTED_VALUE"""),70209.0)</f>
        <v>70209</v>
      </c>
      <c r="D3391" s="11">
        <f>IFERROR(__xludf.DUMMYFUNCTION("""COMPUTED_VALUE"""),315.0)</f>
        <v>315</v>
      </c>
      <c r="E3391" s="9"/>
    </row>
    <row r="3392">
      <c r="A3392" s="11">
        <f>IFERROR(__xludf.DUMMYFUNCTION("""COMPUTED_VALUE"""),2021.0)</f>
        <v>2021</v>
      </c>
      <c r="B3392" s="11">
        <f>IFERROR(__xludf.DUMMYFUNCTION("""COMPUTED_VALUE"""),8.0)</f>
        <v>8</v>
      </c>
      <c r="C3392" s="11">
        <f>IFERROR(__xludf.DUMMYFUNCTION("""COMPUTED_VALUE"""),29372.0)</f>
        <v>29372</v>
      </c>
      <c r="D3392" s="11">
        <f>IFERROR(__xludf.DUMMYFUNCTION("""COMPUTED_VALUE"""),310.0)</f>
        <v>310</v>
      </c>
      <c r="E3392" s="9"/>
    </row>
    <row r="3393">
      <c r="A3393" s="11">
        <f>IFERROR(__xludf.DUMMYFUNCTION("""COMPUTED_VALUE"""),2021.0)</f>
        <v>2021</v>
      </c>
      <c r="B3393" s="11">
        <f>IFERROR(__xludf.DUMMYFUNCTION("""COMPUTED_VALUE"""),9.0)</f>
        <v>9</v>
      </c>
      <c r="C3393" s="11">
        <f>IFERROR(__xludf.DUMMYFUNCTION("""COMPUTED_VALUE"""),120485.0)</f>
        <v>120485</v>
      </c>
      <c r="D3393" s="11">
        <f>IFERROR(__xludf.DUMMYFUNCTION("""COMPUTED_VALUE"""),1114.0)</f>
        <v>1114</v>
      </c>
      <c r="E3393" s="9"/>
    </row>
    <row r="3394">
      <c r="A3394" s="11">
        <f>IFERROR(__xludf.DUMMYFUNCTION("""COMPUTED_VALUE"""),2021.0)</f>
        <v>2021</v>
      </c>
      <c r="B3394" s="11">
        <f>IFERROR(__xludf.DUMMYFUNCTION("""COMPUTED_VALUE"""),11.0)</f>
        <v>11</v>
      </c>
      <c r="C3394" s="11">
        <f>IFERROR(__xludf.DUMMYFUNCTION("""COMPUTED_VALUE"""),120486.0)</f>
        <v>120486</v>
      </c>
      <c r="D3394" s="11">
        <f>IFERROR(__xludf.DUMMYFUNCTION("""COMPUTED_VALUE"""),915.0)</f>
        <v>915</v>
      </c>
      <c r="E3394" s="9"/>
    </row>
    <row r="3395">
      <c r="A3395" s="11">
        <f>IFERROR(__xludf.DUMMYFUNCTION("""COMPUTED_VALUE"""),2021.0)</f>
        <v>2021</v>
      </c>
      <c r="B3395" s="11">
        <f>IFERROR(__xludf.DUMMYFUNCTION("""COMPUTED_VALUE"""),11.0)</f>
        <v>11</v>
      </c>
      <c r="C3395" s="11">
        <f>IFERROR(__xludf.DUMMYFUNCTION("""COMPUTED_VALUE"""),70293.0)</f>
        <v>70293</v>
      </c>
      <c r="D3395" s="11">
        <f>IFERROR(__xludf.DUMMYFUNCTION("""COMPUTED_VALUE"""),2.0)</f>
        <v>2</v>
      </c>
      <c r="E3395" s="9"/>
    </row>
    <row r="3396">
      <c r="A3396" s="11">
        <f>IFERROR(__xludf.DUMMYFUNCTION("""COMPUTED_VALUE"""),2021.0)</f>
        <v>2021</v>
      </c>
      <c r="B3396" s="11">
        <f>IFERROR(__xludf.DUMMYFUNCTION("""COMPUTED_VALUE"""),10.0)</f>
        <v>10</v>
      </c>
      <c r="C3396" s="11">
        <f>IFERROR(__xludf.DUMMYFUNCTION("""COMPUTED_VALUE"""),71772.0)</f>
        <v>71772</v>
      </c>
      <c r="D3396" s="11">
        <f>IFERROR(__xludf.DUMMYFUNCTION("""COMPUTED_VALUE"""),603.0)</f>
        <v>603</v>
      </c>
      <c r="E3396" s="9"/>
    </row>
    <row r="3397">
      <c r="A3397" s="11">
        <f>IFERROR(__xludf.DUMMYFUNCTION("""COMPUTED_VALUE"""),2021.0)</f>
        <v>2021</v>
      </c>
      <c r="B3397" s="11">
        <f>IFERROR(__xludf.DUMMYFUNCTION("""COMPUTED_VALUE"""),9.0)</f>
        <v>9</v>
      </c>
      <c r="C3397" s="11">
        <f>IFERROR(__xludf.DUMMYFUNCTION("""COMPUTED_VALUE"""),86111.0)</f>
        <v>86111</v>
      </c>
      <c r="D3397" s="11">
        <f>IFERROR(__xludf.DUMMYFUNCTION("""COMPUTED_VALUE"""),1475.0)</f>
        <v>1475</v>
      </c>
      <c r="E3397" s="9"/>
    </row>
    <row r="3398">
      <c r="A3398" s="11">
        <f>IFERROR(__xludf.DUMMYFUNCTION("""COMPUTED_VALUE"""),2021.0)</f>
        <v>2021</v>
      </c>
      <c r="B3398" s="11">
        <f>IFERROR(__xludf.DUMMYFUNCTION("""COMPUTED_VALUE"""),8.0)</f>
        <v>8</v>
      </c>
      <c r="C3398" s="11">
        <f>IFERROR(__xludf.DUMMYFUNCTION("""COMPUTED_VALUE"""),71840.0)</f>
        <v>71840</v>
      </c>
      <c r="D3398" s="11">
        <f>IFERROR(__xludf.DUMMYFUNCTION("""COMPUTED_VALUE"""),1246.0)</f>
        <v>1246</v>
      </c>
      <c r="E3398" s="9"/>
    </row>
    <row r="3399">
      <c r="A3399" s="11">
        <f>IFERROR(__xludf.DUMMYFUNCTION("""COMPUTED_VALUE"""),2021.0)</f>
        <v>2021</v>
      </c>
      <c r="B3399" s="11">
        <f>IFERROR(__xludf.DUMMYFUNCTION("""COMPUTED_VALUE"""),8.0)</f>
        <v>8</v>
      </c>
      <c r="C3399" s="11">
        <f>IFERROR(__xludf.DUMMYFUNCTION("""COMPUTED_VALUE"""),28533.0)</f>
        <v>28533</v>
      </c>
      <c r="D3399" s="11">
        <f>IFERROR(__xludf.DUMMYFUNCTION("""COMPUTED_VALUE"""),527.0)</f>
        <v>527</v>
      </c>
      <c r="E3399" s="9"/>
    </row>
    <row r="3400">
      <c r="A3400" s="11">
        <f>IFERROR(__xludf.DUMMYFUNCTION("""COMPUTED_VALUE"""),2021.0)</f>
        <v>2021</v>
      </c>
      <c r="B3400" s="11">
        <f>IFERROR(__xludf.DUMMYFUNCTION("""COMPUTED_VALUE"""),11.0)</f>
        <v>11</v>
      </c>
      <c r="C3400" s="11">
        <f>IFERROR(__xludf.DUMMYFUNCTION("""COMPUTED_VALUE"""),86994.0)</f>
        <v>86994</v>
      </c>
      <c r="D3400" s="11">
        <f>IFERROR(__xludf.DUMMYFUNCTION("""COMPUTED_VALUE"""),941.0)</f>
        <v>941</v>
      </c>
      <c r="E3400" s="9"/>
    </row>
    <row r="3401">
      <c r="A3401" s="11">
        <f>IFERROR(__xludf.DUMMYFUNCTION("""COMPUTED_VALUE"""),2021.0)</f>
        <v>2021</v>
      </c>
      <c r="B3401" s="11">
        <f>IFERROR(__xludf.DUMMYFUNCTION("""COMPUTED_VALUE"""),9.0)</f>
        <v>9</v>
      </c>
      <c r="C3401" s="11">
        <f>IFERROR(__xludf.DUMMYFUNCTION("""COMPUTED_VALUE"""),124881.0)</f>
        <v>124881</v>
      </c>
      <c r="D3401" s="11">
        <f>IFERROR(__xludf.DUMMYFUNCTION("""COMPUTED_VALUE"""),1701.0)</f>
        <v>1701</v>
      </c>
      <c r="E3401" s="9"/>
    </row>
    <row r="3402">
      <c r="A3402" s="11">
        <f>IFERROR(__xludf.DUMMYFUNCTION("""COMPUTED_VALUE"""),2021.0)</f>
        <v>2021</v>
      </c>
      <c r="B3402" s="11">
        <f>IFERROR(__xludf.DUMMYFUNCTION("""COMPUTED_VALUE"""),9.0)</f>
        <v>9</v>
      </c>
      <c r="C3402" s="11">
        <f>IFERROR(__xludf.DUMMYFUNCTION("""COMPUTED_VALUE"""),119280.0)</f>
        <v>119280</v>
      </c>
      <c r="D3402" s="11">
        <f>IFERROR(__xludf.DUMMYFUNCTION("""COMPUTED_VALUE"""),1139.0)</f>
        <v>1139</v>
      </c>
      <c r="E3402" s="9"/>
    </row>
    <row r="3403">
      <c r="A3403" s="11">
        <f>IFERROR(__xludf.DUMMYFUNCTION("""COMPUTED_VALUE"""),2021.0)</f>
        <v>2021</v>
      </c>
      <c r="B3403" s="11">
        <f>IFERROR(__xludf.DUMMYFUNCTION("""COMPUTED_VALUE"""),9.0)</f>
        <v>9</v>
      </c>
      <c r="C3403" s="11">
        <f>IFERROR(__xludf.DUMMYFUNCTION("""COMPUTED_VALUE"""),87001.0)</f>
        <v>87001</v>
      </c>
      <c r="D3403" s="11">
        <f>IFERROR(__xludf.DUMMYFUNCTION("""COMPUTED_VALUE"""),1710.0)</f>
        <v>1710</v>
      </c>
      <c r="E3403" s="9"/>
    </row>
    <row r="3404">
      <c r="A3404" s="11">
        <f>IFERROR(__xludf.DUMMYFUNCTION("""COMPUTED_VALUE"""),2021.0)</f>
        <v>2021</v>
      </c>
      <c r="B3404" s="11">
        <f>IFERROR(__xludf.DUMMYFUNCTION("""COMPUTED_VALUE"""),9.0)</f>
        <v>9</v>
      </c>
      <c r="C3404" s="11">
        <f>IFERROR(__xludf.DUMMYFUNCTION("""COMPUTED_VALUE"""),71839.0)</f>
        <v>71839</v>
      </c>
      <c r="D3404" s="11">
        <f>IFERROR(__xludf.DUMMYFUNCTION("""COMPUTED_VALUE"""),1552.0)</f>
        <v>1552</v>
      </c>
      <c r="E3404" s="9"/>
    </row>
    <row r="3405">
      <c r="A3405" s="11">
        <f>IFERROR(__xludf.DUMMYFUNCTION("""COMPUTED_VALUE"""),2021.0)</f>
        <v>2021</v>
      </c>
      <c r="B3405" s="11">
        <f>IFERROR(__xludf.DUMMYFUNCTION("""COMPUTED_VALUE"""),10.0)</f>
        <v>10</v>
      </c>
      <c r="C3405" s="11">
        <f>IFERROR(__xludf.DUMMYFUNCTION("""COMPUTED_VALUE"""),119288.0)</f>
        <v>119288</v>
      </c>
      <c r="D3405" s="11">
        <f>IFERROR(__xludf.DUMMYFUNCTION("""COMPUTED_VALUE"""),186.0)</f>
        <v>186</v>
      </c>
      <c r="E3405" s="9"/>
    </row>
    <row r="3406">
      <c r="A3406" s="11">
        <f>IFERROR(__xludf.DUMMYFUNCTION("""COMPUTED_VALUE"""),2021.0)</f>
        <v>2021</v>
      </c>
      <c r="B3406" s="11">
        <f>IFERROR(__xludf.DUMMYFUNCTION("""COMPUTED_VALUE"""),8.0)</f>
        <v>8</v>
      </c>
      <c r="C3406" s="11">
        <f>IFERROR(__xludf.DUMMYFUNCTION("""COMPUTED_VALUE"""),71770.0)</f>
        <v>71770</v>
      </c>
      <c r="D3406" s="11">
        <f>IFERROR(__xludf.DUMMYFUNCTION("""COMPUTED_VALUE"""),557.0)</f>
        <v>557</v>
      </c>
      <c r="E3406" s="9"/>
    </row>
    <row r="3407">
      <c r="A3407" s="11">
        <f>IFERROR(__xludf.DUMMYFUNCTION("""COMPUTED_VALUE"""),2021.0)</f>
        <v>2021</v>
      </c>
      <c r="B3407" s="11">
        <f>IFERROR(__xludf.DUMMYFUNCTION("""COMPUTED_VALUE"""),11.0)</f>
        <v>11</v>
      </c>
      <c r="C3407" s="11">
        <f>IFERROR(__xludf.DUMMYFUNCTION("""COMPUTED_VALUE"""),28536.0)</f>
        <v>28536</v>
      </c>
      <c r="D3407" s="11">
        <f>IFERROR(__xludf.DUMMYFUNCTION("""COMPUTED_VALUE"""),838.0)</f>
        <v>838</v>
      </c>
      <c r="E3407" s="9"/>
    </row>
    <row r="3408">
      <c r="A3408" s="11">
        <f>IFERROR(__xludf.DUMMYFUNCTION("""COMPUTED_VALUE"""),2021.0)</f>
        <v>2021</v>
      </c>
      <c r="B3408" s="11">
        <f>IFERROR(__xludf.DUMMYFUNCTION("""COMPUTED_VALUE"""),11.0)</f>
        <v>11</v>
      </c>
      <c r="C3408" s="11">
        <f>IFERROR(__xludf.DUMMYFUNCTION("""COMPUTED_VALUE"""),90007.0)</f>
        <v>90007</v>
      </c>
      <c r="D3408" s="11">
        <f>IFERROR(__xludf.DUMMYFUNCTION("""COMPUTED_VALUE"""),1473.0)</f>
        <v>1473</v>
      </c>
      <c r="E3408" s="9"/>
    </row>
    <row r="3409">
      <c r="A3409" s="11">
        <f>IFERROR(__xludf.DUMMYFUNCTION("""COMPUTED_VALUE"""),2021.0)</f>
        <v>2021</v>
      </c>
      <c r="B3409" s="11">
        <f>IFERROR(__xludf.DUMMYFUNCTION("""COMPUTED_VALUE"""),10.0)</f>
        <v>10</v>
      </c>
      <c r="C3409" s="11">
        <f>IFERROR(__xludf.DUMMYFUNCTION("""COMPUTED_VALUE"""),71830.0)</f>
        <v>71830</v>
      </c>
      <c r="D3409" s="11">
        <f>IFERROR(__xludf.DUMMYFUNCTION("""COMPUTED_VALUE"""),1440.0)</f>
        <v>1440</v>
      </c>
      <c r="E3409" s="9"/>
    </row>
    <row r="3410">
      <c r="A3410" s="11">
        <f>IFERROR(__xludf.DUMMYFUNCTION("""COMPUTED_VALUE"""),2021.0)</f>
        <v>2021</v>
      </c>
      <c r="B3410" s="11">
        <f>IFERROR(__xludf.DUMMYFUNCTION("""COMPUTED_VALUE"""),9.0)</f>
        <v>9</v>
      </c>
      <c r="C3410" s="11">
        <f>IFERROR(__xludf.DUMMYFUNCTION("""COMPUTED_VALUE"""),71837.0)</f>
        <v>71837</v>
      </c>
      <c r="D3410" s="11">
        <f>IFERROR(__xludf.DUMMYFUNCTION("""COMPUTED_VALUE"""),77.0)</f>
        <v>77</v>
      </c>
      <c r="E3410" s="9"/>
    </row>
    <row r="3411">
      <c r="A3411" s="11">
        <f>IFERROR(__xludf.DUMMYFUNCTION("""COMPUTED_VALUE"""),2021.0)</f>
        <v>2021</v>
      </c>
      <c r="B3411" s="11">
        <f>IFERROR(__xludf.DUMMYFUNCTION("""COMPUTED_VALUE"""),9.0)</f>
        <v>9</v>
      </c>
      <c r="C3411" s="11">
        <f>IFERROR(__xludf.DUMMYFUNCTION("""COMPUTED_VALUE"""),83640.0)</f>
        <v>83640</v>
      </c>
      <c r="D3411" s="11">
        <f>IFERROR(__xludf.DUMMYFUNCTION("""COMPUTED_VALUE"""),714.0)</f>
        <v>714</v>
      </c>
      <c r="E3411" s="9"/>
    </row>
    <row r="3412">
      <c r="A3412" s="11">
        <f>IFERROR(__xludf.DUMMYFUNCTION("""COMPUTED_VALUE"""),2021.0)</f>
        <v>2021</v>
      </c>
      <c r="B3412" s="11">
        <f>IFERROR(__xludf.DUMMYFUNCTION("""COMPUTED_VALUE"""),9.0)</f>
        <v>9</v>
      </c>
      <c r="C3412" s="11">
        <f>IFERROR(__xludf.DUMMYFUNCTION("""COMPUTED_VALUE"""),111191.0)</f>
        <v>111191</v>
      </c>
      <c r="D3412" s="11">
        <f>IFERROR(__xludf.DUMMYFUNCTION("""COMPUTED_VALUE"""),1073.0)</f>
        <v>1073</v>
      </c>
      <c r="E3412" s="9"/>
    </row>
    <row r="3413">
      <c r="A3413" s="11">
        <f>IFERROR(__xludf.DUMMYFUNCTION("""COMPUTED_VALUE"""),2021.0)</f>
        <v>2021</v>
      </c>
      <c r="B3413" s="11">
        <f>IFERROR(__xludf.DUMMYFUNCTION("""COMPUTED_VALUE"""),10.0)</f>
        <v>10</v>
      </c>
      <c r="C3413" s="11">
        <f>IFERROR(__xludf.DUMMYFUNCTION("""COMPUTED_VALUE"""),70442.0)</f>
        <v>70442</v>
      </c>
      <c r="D3413" s="11">
        <f>IFERROR(__xludf.DUMMYFUNCTION("""COMPUTED_VALUE"""),827.0)</f>
        <v>827</v>
      </c>
      <c r="E3413" s="9"/>
    </row>
    <row r="3414">
      <c r="A3414" s="11">
        <f>IFERROR(__xludf.DUMMYFUNCTION("""COMPUTED_VALUE"""),2021.0)</f>
        <v>2021</v>
      </c>
      <c r="B3414" s="11">
        <f>IFERROR(__xludf.DUMMYFUNCTION("""COMPUTED_VALUE"""),11.0)</f>
        <v>11</v>
      </c>
      <c r="C3414" s="11">
        <f>IFERROR(__xludf.DUMMYFUNCTION("""COMPUTED_VALUE"""),122228.0)</f>
        <v>122228</v>
      </c>
      <c r="D3414" s="11">
        <f>IFERROR(__xludf.DUMMYFUNCTION("""COMPUTED_VALUE"""),454.0)</f>
        <v>454</v>
      </c>
      <c r="E3414" s="9"/>
    </row>
    <row r="3415">
      <c r="A3415" s="11">
        <f>IFERROR(__xludf.DUMMYFUNCTION("""COMPUTED_VALUE"""),2021.0)</f>
        <v>2021</v>
      </c>
      <c r="B3415" s="11">
        <f>IFERROR(__xludf.DUMMYFUNCTION("""COMPUTED_VALUE"""),10.0)</f>
        <v>10</v>
      </c>
      <c r="C3415" s="11">
        <f>IFERROR(__xludf.DUMMYFUNCTION("""COMPUTED_VALUE"""),46822.0)</f>
        <v>46822</v>
      </c>
      <c r="D3415" s="11">
        <f>IFERROR(__xludf.DUMMYFUNCTION("""COMPUTED_VALUE"""),1956.0)</f>
        <v>1956</v>
      </c>
      <c r="E3415" s="9"/>
    </row>
    <row r="3416">
      <c r="A3416" s="11">
        <f>IFERROR(__xludf.DUMMYFUNCTION("""COMPUTED_VALUE"""),2021.0)</f>
        <v>2021</v>
      </c>
      <c r="B3416" s="11">
        <f>IFERROR(__xludf.DUMMYFUNCTION("""COMPUTED_VALUE"""),10.0)</f>
        <v>10</v>
      </c>
      <c r="C3416" s="11">
        <f>IFERROR(__xludf.DUMMYFUNCTION("""COMPUTED_VALUE"""),71769.0)</f>
        <v>71769</v>
      </c>
      <c r="D3416" s="11">
        <f>IFERROR(__xludf.DUMMYFUNCTION("""COMPUTED_VALUE"""),817.0)</f>
        <v>817</v>
      </c>
      <c r="E3416" s="9"/>
    </row>
    <row r="3417">
      <c r="A3417" s="11">
        <f>IFERROR(__xludf.DUMMYFUNCTION("""COMPUTED_VALUE"""),2021.0)</f>
        <v>2021</v>
      </c>
      <c r="B3417" s="11">
        <f>IFERROR(__xludf.DUMMYFUNCTION("""COMPUTED_VALUE"""),9.0)</f>
        <v>9</v>
      </c>
      <c r="C3417" s="11">
        <f>IFERROR(__xludf.DUMMYFUNCTION("""COMPUTED_VALUE"""),9302.0)</f>
        <v>9302</v>
      </c>
      <c r="D3417" s="11">
        <f>IFERROR(__xludf.DUMMYFUNCTION("""COMPUTED_VALUE"""),1447.0)</f>
        <v>1447</v>
      </c>
      <c r="E3417" s="9"/>
    </row>
    <row r="3418">
      <c r="A3418" s="11">
        <f>IFERROR(__xludf.DUMMYFUNCTION("""COMPUTED_VALUE"""),2021.0)</f>
        <v>2021</v>
      </c>
      <c r="B3418" s="11">
        <f>IFERROR(__xludf.DUMMYFUNCTION("""COMPUTED_VALUE"""),9.0)</f>
        <v>9</v>
      </c>
      <c r="C3418" s="11">
        <f>IFERROR(__xludf.DUMMYFUNCTION("""COMPUTED_VALUE"""),90006.0)</f>
        <v>90006</v>
      </c>
      <c r="D3418" s="11">
        <f>IFERROR(__xludf.DUMMYFUNCTION("""COMPUTED_VALUE"""),1672.0)</f>
        <v>1672</v>
      </c>
      <c r="E3418" s="9"/>
    </row>
    <row r="3419">
      <c r="A3419" s="11">
        <f>IFERROR(__xludf.DUMMYFUNCTION("""COMPUTED_VALUE"""),2021.0)</f>
        <v>2021</v>
      </c>
      <c r="B3419" s="11">
        <f>IFERROR(__xludf.DUMMYFUNCTION("""COMPUTED_VALUE"""),8.0)</f>
        <v>8</v>
      </c>
      <c r="C3419" s="11">
        <f>IFERROR(__xludf.DUMMYFUNCTION("""COMPUTED_VALUE"""),80673.0)</f>
        <v>80673</v>
      </c>
      <c r="D3419" s="11">
        <f>IFERROR(__xludf.DUMMYFUNCTION("""COMPUTED_VALUE"""),748.0)</f>
        <v>748</v>
      </c>
      <c r="E3419" s="9"/>
    </row>
    <row r="3420">
      <c r="A3420" s="11">
        <f>IFERROR(__xludf.DUMMYFUNCTION("""COMPUTED_VALUE"""),2021.0)</f>
        <v>2021</v>
      </c>
      <c r="B3420" s="11">
        <f>IFERROR(__xludf.DUMMYFUNCTION("""COMPUTED_VALUE"""),10.0)</f>
        <v>10</v>
      </c>
      <c r="C3420" s="11">
        <f>IFERROR(__xludf.DUMMYFUNCTION("""COMPUTED_VALUE"""),71834.0)</f>
        <v>71834</v>
      </c>
      <c r="D3420" s="11">
        <f>IFERROR(__xludf.DUMMYFUNCTION("""COMPUTED_VALUE"""),1100.0)</f>
        <v>1100</v>
      </c>
      <c r="E3420" s="9"/>
    </row>
    <row r="3421">
      <c r="A3421" s="11">
        <f>IFERROR(__xludf.DUMMYFUNCTION("""COMPUTED_VALUE"""),2021.0)</f>
        <v>2021</v>
      </c>
      <c r="B3421" s="11">
        <f>IFERROR(__xludf.DUMMYFUNCTION("""COMPUTED_VALUE"""),10.0)</f>
        <v>10</v>
      </c>
      <c r="C3421" s="11">
        <f>IFERROR(__xludf.DUMMYFUNCTION("""COMPUTED_VALUE"""),107310.0)</f>
        <v>107310</v>
      </c>
      <c r="D3421" s="11">
        <f>IFERROR(__xludf.DUMMYFUNCTION("""COMPUTED_VALUE"""),59.0)</f>
        <v>59</v>
      </c>
      <c r="E3421" s="9"/>
    </row>
    <row r="3422">
      <c r="A3422" s="11">
        <f>IFERROR(__xludf.DUMMYFUNCTION("""COMPUTED_VALUE"""),2021.0)</f>
        <v>2021</v>
      </c>
      <c r="B3422" s="11">
        <f>IFERROR(__xludf.DUMMYFUNCTION("""COMPUTED_VALUE"""),9.0)</f>
        <v>9</v>
      </c>
      <c r="C3422" s="11">
        <f>IFERROR(__xludf.DUMMYFUNCTION("""COMPUTED_VALUE"""),71843.0)</f>
        <v>71843</v>
      </c>
      <c r="D3422" s="11">
        <f>IFERROR(__xludf.DUMMYFUNCTION("""COMPUTED_VALUE"""),275.0)</f>
        <v>275</v>
      </c>
      <c r="E3422" s="9"/>
    </row>
    <row r="3423">
      <c r="A3423" s="11">
        <f>IFERROR(__xludf.DUMMYFUNCTION("""COMPUTED_VALUE"""),2021.0)</f>
        <v>2021</v>
      </c>
      <c r="B3423" s="11">
        <f>IFERROR(__xludf.DUMMYFUNCTION("""COMPUTED_VALUE"""),11.0)</f>
        <v>11</v>
      </c>
      <c r="C3423" s="11">
        <f>IFERROR(__xludf.DUMMYFUNCTION("""COMPUTED_VALUE"""),107358.0)</f>
        <v>107358</v>
      </c>
      <c r="D3423" s="11">
        <f>IFERROR(__xludf.DUMMYFUNCTION("""COMPUTED_VALUE"""),473.0)</f>
        <v>473</v>
      </c>
      <c r="E3423" s="9"/>
    </row>
    <row r="3424">
      <c r="A3424" s="11">
        <f>IFERROR(__xludf.DUMMYFUNCTION("""COMPUTED_VALUE"""),2021.0)</f>
        <v>2021</v>
      </c>
      <c r="B3424" s="11">
        <f>IFERROR(__xludf.DUMMYFUNCTION("""COMPUTED_VALUE"""),11.0)</f>
        <v>11</v>
      </c>
      <c r="C3424" s="11">
        <f>IFERROR(__xludf.DUMMYFUNCTION("""COMPUTED_VALUE"""),44842.0)</f>
        <v>44842</v>
      </c>
      <c r="D3424" s="11">
        <f>IFERROR(__xludf.DUMMYFUNCTION("""COMPUTED_VALUE"""),1850.0)</f>
        <v>1850</v>
      </c>
      <c r="E3424" s="9"/>
    </row>
    <row r="3425">
      <c r="A3425" s="11">
        <f>IFERROR(__xludf.DUMMYFUNCTION("""COMPUTED_VALUE"""),2021.0)</f>
        <v>2021</v>
      </c>
      <c r="B3425" s="11">
        <f>IFERROR(__xludf.DUMMYFUNCTION("""COMPUTED_VALUE"""),9.0)</f>
        <v>9</v>
      </c>
      <c r="C3425" s="11">
        <f>IFERROR(__xludf.DUMMYFUNCTION("""COMPUTED_VALUE"""),111181.0)</f>
        <v>111181</v>
      </c>
      <c r="D3425" s="11">
        <f>IFERROR(__xludf.DUMMYFUNCTION("""COMPUTED_VALUE"""),644.0)</f>
        <v>644</v>
      </c>
      <c r="E3425" s="9"/>
    </row>
    <row r="3426">
      <c r="A3426" s="11">
        <f>IFERROR(__xludf.DUMMYFUNCTION("""COMPUTED_VALUE"""),2021.0)</f>
        <v>2021</v>
      </c>
      <c r="B3426" s="11">
        <f>IFERROR(__xludf.DUMMYFUNCTION("""COMPUTED_VALUE"""),9.0)</f>
        <v>9</v>
      </c>
      <c r="C3426" s="11">
        <f>IFERROR(__xludf.DUMMYFUNCTION("""COMPUTED_VALUE"""),71773.0)</f>
        <v>71773</v>
      </c>
      <c r="D3426" s="11">
        <f>IFERROR(__xludf.DUMMYFUNCTION("""COMPUTED_VALUE"""),574.0)</f>
        <v>574</v>
      </c>
      <c r="E3426" s="9"/>
    </row>
    <row r="3427">
      <c r="A3427" s="11">
        <f>IFERROR(__xludf.DUMMYFUNCTION("""COMPUTED_VALUE"""),2021.0)</f>
        <v>2021</v>
      </c>
      <c r="B3427" s="11">
        <f>IFERROR(__xludf.DUMMYFUNCTION("""COMPUTED_VALUE"""),8.0)</f>
        <v>8</v>
      </c>
      <c r="C3427" s="11">
        <f>IFERROR(__xludf.DUMMYFUNCTION("""COMPUTED_VALUE"""),71836.0)</f>
        <v>71836</v>
      </c>
      <c r="D3427" s="11">
        <f>IFERROR(__xludf.DUMMYFUNCTION("""COMPUTED_VALUE"""),361.0)</f>
        <v>361</v>
      </c>
      <c r="E3427" s="9"/>
    </row>
    <row r="3428">
      <c r="A3428" s="11">
        <f>IFERROR(__xludf.DUMMYFUNCTION("""COMPUTED_VALUE"""),2021.0)</f>
        <v>2021</v>
      </c>
      <c r="B3428" s="11">
        <f>IFERROR(__xludf.DUMMYFUNCTION("""COMPUTED_VALUE"""),10.0)</f>
        <v>10</v>
      </c>
      <c r="C3428" s="11">
        <f>IFERROR(__xludf.DUMMYFUNCTION("""COMPUTED_VALUE"""),70276.0)</f>
        <v>70276</v>
      </c>
      <c r="D3428" s="11">
        <f>IFERROR(__xludf.DUMMYFUNCTION("""COMPUTED_VALUE"""),1655.0)</f>
        <v>1655</v>
      </c>
      <c r="E3428" s="9"/>
    </row>
    <row r="3429">
      <c r="A3429" s="11">
        <f>IFERROR(__xludf.DUMMYFUNCTION("""COMPUTED_VALUE"""),2021.0)</f>
        <v>2021</v>
      </c>
      <c r="B3429" s="11">
        <f>IFERROR(__xludf.DUMMYFUNCTION("""COMPUTED_VALUE"""),8.0)</f>
        <v>8</v>
      </c>
      <c r="C3429" s="11">
        <f>IFERROR(__xludf.DUMMYFUNCTION("""COMPUTED_VALUE"""),71775.0)</f>
        <v>71775</v>
      </c>
      <c r="D3429" s="11">
        <f>IFERROR(__xludf.DUMMYFUNCTION("""COMPUTED_VALUE"""),427.0)</f>
        <v>427</v>
      </c>
      <c r="E3429" s="9"/>
    </row>
    <row r="3430">
      <c r="A3430" s="11">
        <f>IFERROR(__xludf.DUMMYFUNCTION("""COMPUTED_VALUE"""),2021.0)</f>
        <v>2021</v>
      </c>
      <c r="B3430" s="11">
        <f>IFERROR(__xludf.DUMMYFUNCTION("""COMPUTED_VALUE"""),8.0)</f>
        <v>8</v>
      </c>
      <c r="C3430" s="11">
        <f>IFERROR(__xludf.DUMMYFUNCTION("""COMPUTED_VALUE"""),44844.0)</f>
        <v>44844</v>
      </c>
      <c r="D3430" s="11">
        <f>IFERROR(__xludf.DUMMYFUNCTION("""COMPUTED_VALUE"""),1867.0)</f>
        <v>1867</v>
      </c>
      <c r="E3430" s="9"/>
    </row>
    <row r="3431">
      <c r="A3431" s="11">
        <f>IFERROR(__xludf.DUMMYFUNCTION("""COMPUTED_VALUE"""),2021.0)</f>
        <v>2021</v>
      </c>
      <c r="B3431" s="11">
        <f>IFERROR(__xludf.DUMMYFUNCTION("""COMPUTED_VALUE"""),10.0)</f>
        <v>10</v>
      </c>
      <c r="C3431" s="11">
        <f>IFERROR(__xludf.DUMMYFUNCTION("""COMPUTED_VALUE"""),156181.0)</f>
        <v>156181</v>
      </c>
      <c r="D3431" s="11">
        <f>IFERROR(__xludf.DUMMYFUNCTION("""COMPUTED_VALUE"""),1343.0)</f>
        <v>1343</v>
      </c>
      <c r="E3431" s="9"/>
    </row>
    <row r="3432">
      <c r="A3432" s="11">
        <f>IFERROR(__xludf.DUMMYFUNCTION("""COMPUTED_VALUE"""),2021.0)</f>
        <v>2021</v>
      </c>
      <c r="B3432" s="11">
        <f>IFERROR(__xludf.DUMMYFUNCTION("""COMPUTED_VALUE"""),10.0)</f>
        <v>10</v>
      </c>
      <c r="C3432" s="11">
        <f>IFERROR(__xludf.DUMMYFUNCTION("""COMPUTED_VALUE"""),102898.0)</f>
        <v>102898</v>
      </c>
      <c r="D3432" s="11">
        <f>IFERROR(__xludf.DUMMYFUNCTION("""COMPUTED_VALUE"""),411.0)</f>
        <v>411</v>
      </c>
      <c r="E3432" s="9"/>
    </row>
    <row r="3433">
      <c r="A3433" s="11">
        <f>IFERROR(__xludf.DUMMYFUNCTION("""COMPUTED_VALUE"""),2021.0)</f>
        <v>2021</v>
      </c>
      <c r="B3433" s="11">
        <f>IFERROR(__xludf.DUMMYFUNCTION("""COMPUTED_VALUE"""),9.0)</f>
        <v>9</v>
      </c>
      <c r="C3433" s="11">
        <f>IFERROR(__xludf.DUMMYFUNCTION("""COMPUTED_VALUE"""),47600.0)</f>
        <v>47600</v>
      </c>
      <c r="D3433" s="11">
        <f>IFERROR(__xludf.DUMMYFUNCTION("""COMPUTED_VALUE"""),790.0)</f>
        <v>790</v>
      </c>
      <c r="E3433" s="9"/>
    </row>
    <row r="3434">
      <c r="A3434" s="11">
        <f>IFERROR(__xludf.DUMMYFUNCTION("""COMPUTED_VALUE"""),2021.0)</f>
        <v>2021</v>
      </c>
      <c r="B3434" s="11">
        <f>IFERROR(__xludf.DUMMYFUNCTION("""COMPUTED_VALUE"""),11.0)</f>
        <v>11</v>
      </c>
      <c r="C3434" s="11">
        <f>IFERROR(__xludf.DUMMYFUNCTION("""COMPUTED_VALUE"""),111173.0)</f>
        <v>111173</v>
      </c>
      <c r="D3434" s="11">
        <f>IFERROR(__xludf.DUMMYFUNCTION("""COMPUTED_VALUE"""),64.0)</f>
        <v>64</v>
      </c>
      <c r="E3434" s="9"/>
    </row>
    <row r="3435">
      <c r="A3435" s="11">
        <f>IFERROR(__xludf.DUMMYFUNCTION("""COMPUTED_VALUE"""),2021.0)</f>
        <v>2021</v>
      </c>
      <c r="B3435" s="11">
        <f>IFERROR(__xludf.DUMMYFUNCTION("""COMPUTED_VALUE"""),8.0)</f>
        <v>8</v>
      </c>
      <c r="C3435" s="11">
        <f>IFERROR(__xludf.DUMMYFUNCTION("""COMPUTED_VALUE"""),70201.0)</f>
        <v>70201</v>
      </c>
      <c r="D3435" s="11">
        <f>IFERROR(__xludf.DUMMYFUNCTION("""COMPUTED_VALUE"""),99.0)</f>
        <v>99</v>
      </c>
      <c r="E3435" s="9"/>
    </row>
    <row r="3436">
      <c r="A3436" s="11">
        <f>IFERROR(__xludf.DUMMYFUNCTION("""COMPUTED_VALUE"""),2021.0)</f>
        <v>2021</v>
      </c>
      <c r="B3436" s="11">
        <f>IFERROR(__xludf.DUMMYFUNCTION("""COMPUTED_VALUE"""),8.0)</f>
        <v>8</v>
      </c>
      <c r="C3436" s="11">
        <f>IFERROR(__xludf.DUMMYFUNCTION("""COMPUTED_VALUE"""),71842.0)</f>
        <v>71842</v>
      </c>
      <c r="D3436" s="11">
        <f>IFERROR(__xludf.DUMMYFUNCTION("""COMPUTED_VALUE"""),1378.0)</f>
        <v>1378</v>
      </c>
      <c r="E3436" s="9"/>
    </row>
    <row r="3437">
      <c r="A3437" s="11">
        <f>IFERROR(__xludf.DUMMYFUNCTION("""COMPUTED_VALUE"""),2021.0)</f>
        <v>2021</v>
      </c>
      <c r="B3437" s="11">
        <f>IFERROR(__xludf.DUMMYFUNCTION("""COMPUTED_VALUE"""),8.0)</f>
        <v>8</v>
      </c>
      <c r="C3437" s="11">
        <f>IFERROR(__xludf.DUMMYFUNCTION("""COMPUTED_VALUE"""),47601.0)</f>
        <v>47601</v>
      </c>
      <c r="D3437" s="11">
        <f>IFERROR(__xludf.DUMMYFUNCTION("""COMPUTED_VALUE"""),965.0)</f>
        <v>965</v>
      </c>
      <c r="E3437" s="9"/>
    </row>
    <row r="3438">
      <c r="A3438" s="11">
        <f>IFERROR(__xludf.DUMMYFUNCTION("""COMPUTED_VALUE"""),2021.0)</f>
        <v>2021</v>
      </c>
      <c r="B3438" s="11">
        <f>IFERROR(__xludf.DUMMYFUNCTION("""COMPUTED_VALUE"""),10.0)</f>
        <v>10</v>
      </c>
      <c r="C3438" s="11">
        <f>IFERROR(__xludf.DUMMYFUNCTION("""COMPUTED_VALUE"""),87000.0)</f>
        <v>87000</v>
      </c>
      <c r="D3438" s="11">
        <f>IFERROR(__xludf.DUMMYFUNCTION("""COMPUTED_VALUE"""),1000.0)</f>
        <v>1000</v>
      </c>
      <c r="E3438" s="9"/>
    </row>
    <row r="3439">
      <c r="A3439" s="11">
        <f>IFERROR(__xludf.DUMMYFUNCTION("""COMPUTED_VALUE"""),2021.0)</f>
        <v>2021</v>
      </c>
      <c r="B3439" s="11">
        <f>IFERROR(__xludf.DUMMYFUNCTION("""COMPUTED_VALUE"""),8.0)</f>
        <v>8</v>
      </c>
      <c r="C3439" s="11">
        <f>IFERROR(__xludf.DUMMYFUNCTION("""COMPUTED_VALUE"""),103457.0)</f>
        <v>103457</v>
      </c>
      <c r="D3439" s="11">
        <f>IFERROR(__xludf.DUMMYFUNCTION("""COMPUTED_VALUE"""),1348.0)</f>
        <v>1348</v>
      </c>
      <c r="E3439" s="9"/>
    </row>
    <row r="3440">
      <c r="A3440" s="11">
        <f>IFERROR(__xludf.DUMMYFUNCTION("""COMPUTED_VALUE"""),2021.0)</f>
        <v>2021</v>
      </c>
      <c r="B3440" s="11">
        <f>IFERROR(__xludf.DUMMYFUNCTION("""COMPUTED_VALUE"""),10.0)</f>
        <v>10</v>
      </c>
      <c r="C3440" s="11">
        <f>IFERROR(__xludf.DUMMYFUNCTION("""COMPUTED_VALUE"""),42198.0)</f>
        <v>42198</v>
      </c>
      <c r="D3440" s="11">
        <f>IFERROR(__xludf.DUMMYFUNCTION("""COMPUTED_VALUE"""),1629.0)</f>
        <v>1629</v>
      </c>
      <c r="E3440" s="9"/>
    </row>
    <row r="3441">
      <c r="A3441" s="11">
        <f>IFERROR(__xludf.DUMMYFUNCTION("""COMPUTED_VALUE"""),2021.0)</f>
        <v>2021</v>
      </c>
      <c r="B3441" s="11">
        <f>IFERROR(__xludf.DUMMYFUNCTION("""COMPUTED_VALUE"""),11.0)</f>
        <v>11</v>
      </c>
      <c r="C3441" s="11">
        <f>IFERROR(__xludf.DUMMYFUNCTION("""COMPUTED_VALUE"""),46823.0)</f>
        <v>46823</v>
      </c>
      <c r="D3441" s="11">
        <f>IFERROR(__xludf.DUMMYFUNCTION("""COMPUTED_VALUE"""),424.0)</f>
        <v>424</v>
      </c>
      <c r="E3441" s="9"/>
    </row>
    <row r="3442">
      <c r="A3442" s="11">
        <f>IFERROR(__xludf.DUMMYFUNCTION("""COMPUTED_VALUE"""),2021.0)</f>
        <v>2021</v>
      </c>
      <c r="B3442" s="11">
        <f>IFERROR(__xludf.DUMMYFUNCTION("""COMPUTED_VALUE"""),10.0)</f>
        <v>10</v>
      </c>
      <c r="C3442" s="11">
        <f>IFERROR(__xludf.DUMMYFUNCTION("""COMPUTED_VALUE"""),116196.0)</f>
        <v>116196</v>
      </c>
      <c r="D3442" s="11">
        <f>IFERROR(__xludf.DUMMYFUNCTION("""COMPUTED_VALUE"""),1.0)</f>
        <v>1</v>
      </c>
      <c r="E3442" s="9"/>
    </row>
    <row r="3443">
      <c r="A3443" s="11">
        <f>IFERROR(__xludf.DUMMYFUNCTION("""COMPUTED_VALUE"""),2021.0)</f>
        <v>2021</v>
      </c>
      <c r="B3443" s="11">
        <f>IFERROR(__xludf.DUMMYFUNCTION("""COMPUTED_VALUE"""),9.0)</f>
        <v>9</v>
      </c>
      <c r="C3443" s="11">
        <f>IFERROR(__xludf.DUMMYFUNCTION("""COMPUTED_VALUE"""),111177.0)</f>
        <v>111177</v>
      </c>
      <c r="D3443" s="11">
        <f>IFERROR(__xludf.DUMMYFUNCTION("""COMPUTED_VALUE"""),998.0)</f>
        <v>998</v>
      </c>
      <c r="E3443" s="9"/>
    </row>
    <row r="3444">
      <c r="A3444" s="11">
        <f>IFERROR(__xludf.DUMMYFUNCTION("""COMPUTED_VALUE"""),2021.0)</f>
        <v>2021</v>
      </c>
      <c r="B3444" s="11">
        <f>IFERROR(__xludf.DUMMYFUNCTION("""COMPUTED_VALUE"""),9.0)</f>
        <v>9</v>
      </c>
      <c r="C3444" s="11">
        <f>IFERROR(__xludf.DUMMYFUNCTION("""COMPUTED_VALUE"""),70292.0)</f>
        <v>70292</v>
      </c>
      <c r="D3444" s="11">
        <f>IFERROR(__xludf.DUMMYFUNCTION("""COMPUTED_VALUE"""),1377.0)</f>
        <v>1377</v>
      </c>
      <c r="E3444" s="9"/>
    </row>
    <row r="3445">
      <c r="A3445" s="11">
        <f>IFERROR(__xludf.DUMMYFUNCTION("""COMPUTED_VALUE"""),2021.0)</f>
        <v>2021</v>
      </c>
      <c r="B3445" s="11">
        <f>IFERROR(__xludf.DUMMYFUNCTION("""COMPUTED_VALUE"""),10.0)</f>
        <v>10</v>
      </c>
      <c r="C3445" s="11">
        <f>IFERROR(__xludf.DUMMYFUNCTION("""COMPUTED_VALUE"""),90008.0)</f>
        <v>90008</v>
      </c>
      <c r="D3445" s="11">
        <f>IFERROR(__xludf.DUMMYFUNCTION("""COMPUTED_VALUE"""),1763.0)</f>
        <v>1763</v>
      </c>
      <c r="E3445" s="9"/>
    </row>
    <row r="3446">
      <c r="A3446" s="11">
        <f>IFERROR(__xludf.DUMMYFUNCTION("""COMPUTED_VALUE"""),2021.0)</f>
        <v>2021</v>
      </c>
      <c r="B3446" s="11">
        <f>IFERROR(__xludf.DUMMYFUNCTION("""COMPUTED_VALUE"""),11.0)</f>
        <v>11</v>
      </c>
      <c r="C3446" s="11">
        <f>IFERROR(__xludf.DUMMYFUNCTION("""COMPUTED_VALUE"""),71768.0)</f>
        <v>71768</v>
      </c>
      <c r="D3446" s="11">
        <f>IFERROR(__xludf.DUMMYFUNCTION("""COMPUTED_VALUE"""),593.0)</f>
        <v>593</v>
      </c>
      <c r="E3446" s="9"/>
    </row>
    <row r="3447">
      <c r="A3447" s="11">
        <f>IFERROR(__xludf.DUMMYFUNCTION("""COMPUTED_VALUE"""),2021.0)</f>
        <v>2021</v>
      </c>
      <c r="B3447" s="11">
        <f>IFERROR(__xludf.DUMMYFUNCTION("""COMPUTED_VALUE"""),8.0)</f>
        <v>8</v>
      </c>
      <c r="C3447" s="11">
        <f>IFERROR(__xludf.DUMMYFUNCTION("""COMPUTED_VALUE"""),86972.0)</f>
        <v>86972</v>
      </c>
      <c r="D3447" s="11">
        <f>IFERROR(__xludf.DUMMYFUNCTION("""COMPUTED_VALUE"""),500.0)</f>
        <v>500</v>
      </c>
      <c r="E3447" s="9"/>
    </row>
    <row r="3448">
      <c r="A3448" s="11">
        <f>IFERROR(__xludf.DUMMYFUNCTION("""COMPUTED_VALUE"""),2021.0)</f>
        <v>2021</v>
      </c>
      <c r="B3448" s="11">
        <f>IFERROR(__xludf.DUMMYFUNCTION("""COMPUTED_VALUE"""),9.0)</f>
        <v>9</v>
      </c>
      <c r="C3448" s="11">
        <f>IFERROR(__xludf.DUMMYFUNCTION("""COMPUTED_VALUE"""),111179.0)</f>
        <v>111179</v>
      </c>
      <c r="D3448" s="11">
        <f>IFERROR(__xludf.DUMMYFUNCTION("""COMPUTED_VALUE"""),1483.0)</f>
        <v>1483</v>
      </c>
      <c r="E3448" s="9"/>
    </row>
    <row r="3449">
      <c r="A3449" s="11">
        <f>IFERROR(__xludf.DUMMYFUNCTION("""COMPUTED_VALUE"""),2021.0)</f>
        <v>2021</v>
      </c>
      <c r="B3449" s="11">
        <f>IFERROR(__xludf.DUMMYFUNCTION("""COMPUTED_VALUE"""),11.0)</f>
        <v>11</v>
      </c>
      <c r="C3449" s="11">
        <f>IFERROR(__xludf.DUMMYFUNCTION("""COMPUTED_VALUE"""),81726.0)</f>
        <v>81726</v>
      </c>
      <c r="D3449" s="11">
        <f>IFERROR(__xludf.DUMMYFUNCTION("""COMPUTED_VALUE"""),982.0)</f>
        <v>982</v>
      </c>
      <c r="E3449" s="9"/>
    </row>
    <row r="3450">
      <c r="A3450" s="11">
        <f>IFERROR(__xludf.DUMMYFUNCTION("""COMPUTED_VALUE"""),2021.0)</f>
        <v>2021</v>
      </c>
      <c r="B3450" s="11">
        <f>IFERROR(__xludf.DUMMYFUNCTION("""COMPUTED_VALUE"""),8.0)</f>
        <v>8</v>
      </c>
      <c r="C3450" s="11">
        <f>IFERROR(__xludf.DUMMYFUNCTION("""COMPUTED_VALUE"""),28535.0)</f>
        <v>28535</v>
      </c>
      <c r="D3450" s="11">
        <f>IFERROR(__xludf.DUMMYFUNCTION("""COMPUTED_VALUE"""),1155.0)</f>
        <v>1155</v>
      </c>
      <c r="E3450" s="9"/>
    </row>
    <row r="3451">
      <c r="A3451" s="11">
        <f>IFERROR(__xludf.DUMMYFUNCTION("""COMPUTED_VALUE"""),2021.0)</f>
        <v>2021</v>
      </c>
      <c r="B3451" s="11">
        <f>IFERROR(__xludf.DUMMYFUNCTION("""COMPUTED_VALUE"""),10.0)</f>
        <v>10</v>
      </c>
      <c r="C3451" s="11">
        <f>IFERROR(__xludf.DUMMYFUNCTION("""COMPUTED_VALUE"""),80682.0)</f>
        <v>80682</v>
      </c>
      <c r="D3451" s="11">
        <f>IFERROR(__xludf.DUMMYFUNCTION("""COMPUTED_VALUE"""),1602.0)</f>
        <v>1602</v>
      </c>
      <c r="E3451" s="9"/>
    </row>
    <row r="3452">
      <c r="A3452" s="11">
        <f>IFERROR(__xludf.DUMMYFUNCTION("""COMPUTED_VALUE"""),2021.0)</f>
        <v>2021</v>
      </c>
      <c r="B3452" s="11">
        <f>IFERROR(__xludf.DUMMYFUNCTION("""COMPUTED_VALUE"""),8.0)</f>
        <v>8</v>
      </c>
      <c r="C3452" s="11">
        <f>IFERROR(__xludf.DUMMYFUNCTION("""COMPUTED_VALUE"""),144008.0)</f>
        <v>144008</v>
      </c>
      <c r="D3452" s="11">
        <f>IFERROR(__xludf.DUMMYFUNCTION("""COMPUTED_VALUE"""),566.0)</f>
        <v>566</v>
      </c>
      <c r="E3452" s="9"/>
    </row>
    <row r="3453">
      <c r="A3453" s="11">
        <f>IFERROR(__xludf.DUMMYFUNCTION("""COMPUTED_VALUE"""),2021.0)</f>
        <v>2021</v>
      </c>
      <c r="B3453" s="11">
        <f>IFERROR(__xludf.DUMMYFUNCTION("""COMPUTED_VALUE"""),9.0)</f>
        <v>9</v>
      </c>
      <c r="C3453" s="11">
        <f>IFERROR(__xludf.DUMMYFUNCTION("""COMPUTED_VALUE"""),111129.0)</f>
        <v>111129</v>
      </c>
      <c r="D3453" s="11">
        <f>IFERROR(__xludf.DUMMYFUNCTION("""COMPUTED_VALUE"""),1892.0)</f>
        <v>1892</v>
      </c>
      <c r="E3453" s="9"/>
    </row>
    <row r="3454">
      <c r="A3454" s="11">
        <f>IFERROR(__xludf.DUMMYFUNCTION("""COMPUTED_VALUE"""),2021.0)</f>
        <v>2021</v>
      </c>
      <c r="B3454" s="11">
        <f>IFERROR(__xludf.DUMMYFUNCTION("""COMPUTED_VALUE"""),10.0)</f>
        <v>10</v>
      </c>
      <c r="C3454" s="11">
        <f>IFERROR(__xludf.DUMMYFUNCTION("""COMPUTED_VALUE"""),107307.0)</f>
        <v>107307</v>
      </c>
      <c r="D3454" s="11">
        <f>IFERROR(__xludf.DUMMYFUNCTION("""COMPUTED_VALUE"""),1206.0)</f>
        <v>1206</v>
      </c>
      <c r="E3454" s="9"/>
    </row>
    <row r="3455">
      <c r="A3455" s="11">
        <f>IFERROR(__xludf.DUMMYFUNCTION("""COMPUTED_VALUE"""),2021.0)</f>
        <v>2021</v>
      </c>
      <c r="B3455" s="11">
        <f>IFERROR(__xludf.DUMMYFUNCTION("""COMPUTED_VALUE"""),8.0)</f>
        <v>8</v>
      </c>
      <c r="C3455" s="11">
        <f>IFERROR(__xludf.DUMMYFUNCTION("""COMPUTED_VALUE"""),70206.0)</f>
        <v>70206</v>
      </c>
      <c r="D3455" s="11">
        <f>IFERROR(__xludf.DUMMYFUNCTION("""COMPUTED_VALUE"""),816.0)</f>
        <v>816</v>
      </c>
      <c r="E3455" s="9"/>
    </row>
    <row r="3456">
      <c r="A3456" s="11">
        <f>IFERROR(__xludf.DUMMYFUNCTION("""COMPUTED_VALUE"""),2021.0)</f>
        <v>2021</v>
      </c>
      <c r="B3456" s="11">
        <f>IFERROR(__xludf.DUMMYFUNCTION("""COMPUTED_VALUE"""),11.0)</f>
        <v>11</v>
      </c>
      <c r="C3456" s="11">
        <f>IFERROR(__xludf.DUMMYFUNCTION("""COMPUTED_VALUE"""),107349.0)</f>
        <v>107349</v>
      </c>
      <c r="D3456" s="11">
        <f>IFERROR(__xludf.DUMMYFUNCTION("""COMPUTED_VALUE"""),1397.0)</f>
        <v>1397</v>
      </c>
      <c r="E3456" s="9"/>
    </row>
    <row r="3457">
      <c r="A3457" s="11">
        <f>IFERROR(__xludf.DUMMYFUNCTION("""COMPUTED_VALUE"""),2021.0)</f>
        <v>2021</v>
      </c>
      <c r="B3457" s="11">
        <f>IFERROR(__xludf.DUMMYFUNCTION("""COMPUTED_VALUE"""),10.0)</f>
        <v>10</v>
      </c>
      <c r="C3457" s="11">
        <f>IFERROR(__xludf.DUMMYFUNCTION("""COMPUTED_VALUE"""),122231.0)</f>
        <v>122231</v>
      </c>
      <c r="D3457" s="11">
        <f>IFERROR(__xludf.DUMMYFUNCTION("""COMPUTED_VALUE"""),1795.0)</f>
        <v>1795</v>
      </c>
      <c r="E3457" s="9"/>
    </row>
    <row r="3458">
      <c r="A3458" s="11">
        <f>IFERROR(__xludf.DUMMYFUNCTION("""COMPUTED_VALUE"""),2021.0)</f>
        <v>2021</v>
      </c>
      <c r="B3458" s="11">
        <f>IFERROR(__xludf.DUMMYFUNCTION("""COMPUTED_VALUE"""),9.0)</f>
        <v>9</v>
      </c>
      <c r="C3458" s="11">
        <f>IFERROR(__xludf.DUMMYFUNCTION("""COMPUTED_VALUE"""),103458.0)</f>
        <v>103458</v>
      </c>
      <c r="D3458" s="11">
        <f>IFERROR(__xludf.DUMMYFUNCTION("""COMPUTED_VALUE"""),237.0)</f>
        <v>237</v>
      </c>
      <c r="E3458" s="9"/>
    </row>
    <row r="3459">
      <c r="A3459" s="11">
        <f>IFERROR(__xludf.DUMMYFUNCTION("""COMPUTED_VALUE"""),2021.0)</f>
        <v>2021</v>
      </c>
      <c r="B3459" s="11">
        <f>IFERROR(__xludf.DUMMYFUNCTION("""COMPUTED_VALUE"""),8.0)</f>
        <v>8</v>
      </c>
      <c r="C3459" s="11">
        <f>IFERROR(__xludf.DUMMYFUNCTION("""COMPUTED_VALUE"""),71838.0)</f>
        <v>71838</v>
      </c>
      <c r="D3459" s="11">
        <f>IFERROR(__xludf.DUMMYFUNCTION("""COMPUTED_VALUE"""),1203.0)</f>
        <v>1203</v>
      </c>
      <c r="E3459" s="9"/>
    </row>
    <row r="3460">
      <c r="A3460" s="11">
        <f>IFERROR(__xludf.DUMMYFUNCTION("""COMPUTED_VALUE"""),2021.0)</f>
        <v>2021</v>
      </c>
      <c r="B3460" s="11">
        <f>IFERROR(__xludf.DUMMYFUNCTION("""COMPUTED_VALUE"""),9.0)</f>
        <v>9</v>
      </c>
      <c r="C3460" s="11">
        <f>IFERROR(__xludf.DUMMYFUNCTION("""COMPUTED_VALUE"""),104671.0)</f>
        <v>104671</v>
      </c>
      <c r="D3460" s="11">
        <f>IFERROR(__xludf.DUMMYFUNCTION("""COMPUTED_VALUE"""),523.0)</f>
        <v>523</v>
      </c>
      <c r="E3460" s="9"/>
    </row>
    <row r="3461">
      <c r="A3461" s="11">
        <f>IFERROR(__xludf.DUMMYFUNCTION("""COMPUTED_VALUE"""),2021.0)</f>
        <v>2021</v>
      </c>
      <c r="B3461" s="11">
        <f>IFERROR(__xludf.DUMMYFUNCTION("""COMPUTED_VALUE"""),9.0)</f>
        <v>9</v>
      </c>
      <c r="C3461" s="11">
        <f>IFERROR(__xludf.DUMMYFUNCTION("""COMPUTED_VALUE"""),83793.0)</f>
        <v>83793</v>
      </c>
      <c r="D3461" s="11">
        <f>IFERROR(__xludf.DUMMYFUNCTION("""COMPUTED_VALUE"""),1935.0)</f>
        <v>1935</v>
      </c>
      <c r="E3461" s="9"/>
    </row>
    <row r="3462">
      <c r="A3462" s="11">
        <f>IFERROR(__xludf.DUMMYFUNCTION("""COMPUTED_VALUE"""),2021.0)</f>
        <v>2021</v>
      </c>
      <c r="B3462" s="11">
        <f>IFERROR(__xludf.DUMMYFUNCTION("""COMPUTED_VALUE"""),10.0)</f>
        <v>10</v>
      </c>
      <c r="C3462" s="11">
        <f>IFERROR(__xludf.DUMMYFUNCTION("""COMPUTED_VALUE"""),50478.0)</f>
        <v>50478</v>
      </c>
      <c r="D3462" s="11">
        <f>IFERROR(__xludf.DUMMYFUNCTION("""COMPUTED_VALUE"""),1172.0)</f>
        <v>1172</v>
      </c>
      <c r="E3462" s="9"/>
    </row>
    <row r="3463">
      <c r="A3463" s="11">
        <f>IFERROR(__xludf.DUMMYFUNCTION("""COMPUTED_VALUE"""),2021.0)</f>
        <v>2021</v>
      </c>
      <c r="B3463" s="11">
        <f>IFERROR(__xludf.DUMMYFUNCTION("""COMPUTED_VALUE"""),11.0)</f>
        <v>11</v>
      </c>
      <c r="C3463" s="11">
        <f>IFERROR(__xludf.DUMMYFUNCTION("""COMPUTED_VALUE"""),118891.0)</f>
        <v>118891</v>
      </c>
      <c r="D3463" s="11">
        <f>IFERROR(__xludf.DUMMYFUNCTION("""COMPUTED_VALUE"""),1361.0)</f>
        <v>1361</v>
      </c>
      <c r="E3463" s="9"/>
    </row>
    <row r="3464">
      <c r="A3464" s="11">
        <f>IFERROR(__xludf.DUMMYFUNCTION("""COMPUTED_VALUE"""),2021.0)</f>
        <v>2021</v>
      </c>
      <c r="B3464" s="11">
        <f>IFERROR(__xludf.DUMMYFUNCTION("""COMPUTED_VALUE"""),10.0)</f>
        <v>10</v>
      </c>
      <c r="C3464" s="11">
        <f>IFERROR(__xludf.DUMMYFUNCTION("""COMPUTED_VALUE"""),70440.0)</f>
        <v>70440</v>
      </c>
      <c r="D3464" s="11">
        <f>IFERROR(__xludf.DUMMYFUNCTION("""COMPUTED_VALUE"""),651.0)</f>
        <v>651</v>
      </c>
      <c r="E3464" s="9"/>
    </row>
    <row r="3465">
      <c r="A3465" s="11">
        <f>IFERROR(__xludf.DUMMYFUNCTION("""COMPUTED_VALUE"""),2021.0)</f>
        <v>2021</v>
      </c>
      <c r="B3465" s="11">
        <f>IFERROR(__xludf.DUMMYFUNCTION("""COMPUTED_VALUE"""),8.0)</f>
        <v>8</v>
      </c>
      <c r="C3465" s="11">
        <f>IFERROR(__xludf.DUMMYFUNCTION("""COMPUTED_VALUE"""),44840.0)</f>
        <v>44840</v>
      </c>
      <c r="D3465" s="11">
        <f>IFERROR(__xludf.DUMMYFUNCTION("""COMPUTED_VALUE"""),342.0)</f>
        <v>342</v>
      </c>
      <c r="E3465" s="9"/>
    </row>
    <row r="3466">
      <c r="A3466" s="11">
        <f>IFERROR(__xludf.DUMMYFUNCTION("""COMPUTED_VALUE"""),2021.0)</f>
        <v>2021</v>
      </c>
      <c r="B3466" s="11">
        <f>IFERROR(__xludf.DUMMYFUNCTION("""COMPUTED_VALUE"""),10.0)</f>
        <v>10</v>
      </c>
      <c r="C3466" s="11">
        <f>IFERROR(__xludf.DUMMYFUNCTION("""COMPUTED_VALUE"""),107304.0)</f>
        <v>107304</v>
      </c>
      <c r="D3466" s="11">
        <f>IFERROR(__xludf.DUMMYFUNCTION("""COMPUTED_VALUE"""),1404.0)</f>
        <v>1404</v>
      </c>
      <c r="E3466" s="9"/>
    </row>
    <row r="3467">
      <c r="A3467" s="11">
        <f>IFERROR(__xludf.DUMMYFUNCTION("""COMPUTED_VALUE"""),2021.0)</f>
        <v>2021</v>
      </c>
      <c r="B3467" s="11">
        <f>IFERROR(__xludf.DUMMYFUNCTION("""COMPUTED_VALUE"""),11.0)</f>
        <v>11</v>
      </c>
      <c r="C3467" s="11">
        <f>IFERROR(__xludf.DUMMYFUNCTION("""COMPUTED_VALUE"""),116195.0)</f>
        <v>116195</v>
      </c>
      <c r="D3467" s="11">
        <f>IFERROR(__xludf.DUMMYFUNCTION("""COMPUTED_VALUE"""),1797.0)</f>
        <v>1797</v>
      </c>
      <c r="E3467" s="9"/>
    </row>
    <row r="3468">
      <c r="A3468" s="11">
        <f>IFERROR(__xludf.DUMMYFUNCTION("""COMPUTED_VALUE"""),2021.0)</f>
        <v>2021</v>
      </c>
      <c r="B3468" s="11">
        <f>IFERROR(__xludf.DUMMYFUNCTION("""COMPUTED_VALUE"""),10.0)</f>
        <v>10</v>
      </c>
      <c r="C3468" s="11">
        <f>IFERROR(__xludf.DUMMYFUNCTION("""COMPUTED_VALUE"""),86980.0)</f>
        <v>86980</v>
      </c>
      <c r="D3468" s="11">
        <f>IFERROR(__xludf.DUMMYFUNCTION("""COMPUTED_VALUE"""),1166.0)</f>
        <v>1166</v>
      </c>
      <c r="E3468" s="9"/>
    </row>
    <row r="3469">
      <c r="A3469" s="11">
        <f>IFERROR(__xludf.DUMMYFUNCTION("""COMPUTED_VALUE"""),2021.0)</f>
        <v>2021</v>
      </c>
      <c r="B3469" s="11">
        <f>IFERROR(__xludf.DUMMYFUNCTION("""COMPUTED_VALUE"""),9.0)</f>
        <v>9</v>
      </c>
      <c r="C3469" s="11">
        <f>IFERROR(__xludf.DUMMYFUNCTION("""COMPUTED_VALUE"""),122230.0)</f>
        <v>122230</v>
      </c>
      <c r="D3469" s="11">
        <f>IFERROR(__xludf.DUMMYFUNCTION("""COMPUTED_VALUE"""),1294.0)</f>
        <v>1294</v>
      </c>
      <c r="E3469" s="9"/>
    </row>
    <row r="3470">
      <c r="A3470" s="11">
        <f>IFERROR(__xludf.DUMMYFUNCTION("""COMPUTED_VALUE"""),2021.0)</f>
        <v>2021</v>
      </c>
      <c r="B3470" s="11">
        <f>IFERROR(__xludf.DUMMYFUNCTION("""COMPUTED_VALUE"""),10.0)</f>
        <v>10</v>
      </c>
      <c r="C3470" s="11">
        <f>IFERROR(__xludf.DUMMYFUNCTION("""COMPUTED_VALUE"""),47602.0)</f>
        <v>47602</v>
      </c>
      <c r="D3470" s="11">
        <f>IFERROR(__xludf.DUMMYFUNCTION("""COMPUTED_VALUE"""),44.0)</f>
        <v>44</v>
      </c>
      <c r="E3470" s="9"/>
    </row>
    <row r="3471">
      <c r="A3471" s="11">
        <f>IFERROR(__xludf.DUMMYFUNCTION("""COMPUTED_VALUE"""),2021.0)</f>
        <v>2021</v>
      </c>
      <c r="B3471" s="11">
        <f>IFERROR(__xludf.DUMMYFUNCTION("""COMPUTED_VALUE"""),8.0)</f>
        <v>8</v>
      </c>
      <c r="C3471" s="11">
        <f>IFERROR(__xludf.DUMMYFUNCTION("""COMPUTED_VALUE"""),42190.0)</f>
        <v>42190</v>
      </c>
      <c r="D3471" s="11">
        <f>IFERROR(__xludf.DUMMYFUNCTION("""COMPUTED_VALUE"""),956.0)</f>
        <v>956</v>
      </c>
      <c r="E3471" s="9"/>
    </row>
    <row r="3472">
      <c r="A3472" s="11">
        <f>IFERROR(__xludf.DUMMYFUNCTION("""COMPUTED_VALUE"""),2021.0)</f>
        <v>2021</v>
      </c>
      <c r="B3472" s="11">
        <f>IFERROR(__xludf.DUMMYFUNCTION("""COMPUTED_VALUE"""),11.0)</f>
        <v>11</v>
      </c>
      <c r="C3472" s="11">
        <f>IFERROR(__xludf.DUMMYFUNCTION("""COMPUTED_VALUE"""),111130.0)</f>
        <v>111130</v>
      </c>
      <c r="D3472" s="11">
        <f>IFERROR(__xludf.DUMMYFUNCTION("""COMPUTED_VALUE"""),88.0)</f>
        <v>88</v>
      </c>
      <c r="E3472" s="9"/>
    </row>
    <row r="3473">
      <c r="A3473" s="11">
        <f>IFERROR(__xludf.DUMMYFUNCTION("""COMPUTED_VALUE"""),2021.0)</f>
        <v>2021</v>
      </c>
      <c r="B3473" s="11">
        <f>IFERROR(__xludf.DUMMYFUNCTION("""COMPUTED_VALUE"""),10.0)</f>
        <v>10</v>
      </c>
      <c r="C3473" s="11">
        <f>IFERROR(__xludf.DUMMYFUNCTION("""COMPUTED_VALUE"""),71774.0)</f>
        <v>71774</v>
      </c>
      <c r="D3473" s="11">
        <f>IFERROR(__xludf.DUMMYFUNCTION("""COMPUTED_VALUE"""),942.0)</f>
        <v>942</v>
      </c>
      <c r="E3473" s="9"/>
    </row>
    <row r="3474">
      <c r="A3474" s="11">
        <f>IFERROR(__xludf.DUMMYFUNCTION("""COMPUTED_VALUE"""),2021.0)</f>
        <v>2021</v>
      </c>
      <c r="B3474" s="11">
        <f>IFERROR(__xludf.DUMMYFUNCTION("""COMPUTED_VALUE"""),9.0)</f>
        <v>9</v>
      </c>
      <c r="C3474" s="11">
        <f>IFERROR(__xludf.DUMMYFUNCTION("""COMPUTED_VALUE"""),75010.0)</f>
        <v>75010</v>
      </c>
      <c r="D3474" s="11">
        <f>IFERROR(__xludf.DUMMYFUNCTION("""COMPUTED_VALUE"""),1849.0)</f>
        <v>1849</v>
      </c>
      <c r="E3474" s="9"/>
    </row>
    <row r="3475">
      <c r="A3475" s="11">
        <f>IFERROR(__xludf.DUMMYFUNCTION("""COMPUTED_VALUE"""),2021.0)</f>
        <v>2021</v>
      </c>
      <c r="B3475" s="11">
        <f>IFERROR(__xludf.DUMMYFUNCTION("""COMPUTED_VALUE"""),9.0)</f>
        <v>9</v>
      </c>
      <c r="C3475" s="11">
        <f>IFERROR(__xludf.DUMMYFUNCTION("""COMPUTED_VALUE"""),119276.0)</f>
        <v>119276</v>
      </c>
      <c r="D3475" s="11">
        <f>IFERROR(__xludf.DUMMYFUNCTION("""COMPUTED_VALUE"""),1758.0)</f>
        <v>1758</v>
      </c>
      <c r="E3475" s="9"/>
    </row>
    <row r="3476">
      <c r="A3476" s="11">
        <f>IFERROR(__xludf.DUMMYFUNCTION("""COMPUTED_VALUE"""),2021.0)</f>
        <v>2021</v>
      </c>
      <c r="B3476" s="11">
        <f>IFERROR(__xludf.DUMMYFUNCTION("""COMPUTED_VALUE"""),11.0)</f>
        <v>11</v>
      </c>
      <c r="C3476" s="11">
        <f>IFERROR(__xludf.DUMMYFUNCTION("""COMPUTED_VALUE"""),83789.0)</f>
        <v>83789</v>
      </c>
      <c r="D3476" s="11">
        <f>IFERROR(__xludf.DUMMYFUNCTION("""COMPUTED_VALUE"""),410.0)</f>
        <v>410</v>
      </c>
      <c r="E3476" s="9"/>
    </row>
    <row r="3477">
      <c r="A3477" s="11">
        <f>IFERROR(__xludf.DUMMYFUNCTION("""COMPUTED_VALUE"""),2021.0)</f>
        <v>2021</v>
      </c>
      <c r="B3477" s="11">
        <f>IFERROR(__xludf.DUMMYFUNCTION("""COMPUTED_VALUE"""),9.0)</f>
        <v>9</v>
      </c>
      <c r="C3477" s="11">
        <f>IFERROR(__xludf.DUMMYFUNCTION("""COMPUTED_VALUE"""),86999.0)</f>
        <v>86999</v>
      </c>
      <c r="D3477" s="11">
        <f>IFERROR(__xludf.DUMMYFUNCTION("""COMPUTED_VALUE"""),547.0)</f>
        <v>547</v>
      </c>
      <c r="E3477" s="9"/>
    </row>
    <row r="3478">
      <c r="A3478" s="11">
        <f>IFERROR(__xludf.DUMMYFUNCTION("""COMPUTED_VALUE"""),2021.0)</f>
        <v>2021</v>
      </c>
      <c r="B3478" s="11">
        <f>IFERROR(__xludf.DUMMYFUNCTION("""COMPUTED_VALUE"""),11.0)</f>
        <v>11</v>
      </c>
      <c r="C3478" s="11">
        <f>IFERROR(__xludf.DUMMYFUNCTION("""COMPUTED_VALUE"""),80678.0)</f>
        <v>80678</v>
      </c>
      <c r="D3478" s="11">
        <f>IFERROR(__xludf.DUMMYFUNCTION("""COMPUTED_VALUE"""),1473.0)</f>
        <v>1473</v>
      </c>
      <c r="E3478" s="9"/>
    </row>
    <row r="3479">
      <c r="A3479" s="11">
        <f>IFERROR(__xludf.DUMMYFUNCTION("""COMPUTED_VALUE"""),2021.0)</f>
        <v>2021</v>
      </c>
      <c r="B3479" s="11">
        <f>IFERROR(__xludf.DUMMYFUNCTION("""COMPUTED_VALUE"""),8.0)</f>
        <v>8</v>
      </c>
      <c r="C3479" s="11">
        <f>IFERROR(__xludf.DUMMYFUNCTION("""COMPUTED_VALUE"""),86973.0)</f>
        <v>86973</v>
      </c>
      <c r="D3479" s="11">
        <f>IFERROR(__xludf.DUMMYFUNCTION("""COMPUTED_VALUE"""),796.0)</f>
        <v>796</v>
      </c>
      <c r="E3479" s="9"/>
    </row>
    <row r="3480">
      <c r="A3480" s="11">
        <f>IFERROR(__xludf.DUMMYFUNCTION("""COMPUTED_VALUE"""),2021.0)</f>
        <v>2021</v>
      </c>
      <c r="B3480" s="11">
        <f>IFERROR(__xludf.DUMMYFUNCTION("""COMPUTED_VALUE"""),11.0)</f>
        <v>11</v>
      </c>
      <c r="C3480" s="11">
        <f>IFERROR(__xludf.DUMMYFUNCTION("""COMPUTED_VALUE"""),81724.0)</f>
        <v>81724</v>
      </c>
      <c r="D3480" s="11">
        <f>IFERROR(__xludf.DUMMYFUNCTION("""COMPUTED_VALUE"""),131.0)</f>
        <v>131</v>
      </c>
      <c r="E3480" s="9"/>
    </row>
    <row r="3481">
      <c r="A3481" s="11">
        <f>IFERROR(__xludf.DUMMYFUNCTION("""COMPUTED_VALUE"""),2021.0)</f>
        <v>2021</v>
      </c>
      <c r="B3481" s="11">
        <f>IFERROR(__xludf.DUMMYFUNCTION("""COMPUTED_VALUE"""),8.0)</f>
        <v>8</v>
      </c>
      <c r="C3481" s="11">
        <f>IFERROR(__xludf.DUMMYFUNCTION("""COMPUTED_VALUE"""),104678.0)</f>
        <v>104678</v>
      </c>
      <c r="D3481" s="11">
        <f>IFERROR(__xludf.DUMMYFUNCTION("""COMPUTED_VALUE"""),235.0)</f>
        <v>235</v>
      </c>
      <c r="E3481" s="9"/>
    </row>
    <row r="3482">
      <c r="A3482" s="11">
        <f>IFERROR(__xludf.DUMMYFUNCTION("""COMPUTED_VALUE"""),2021.0)</f>
        <v>2021</v>
      </c>
      <c r="B3482" s="11">
        <f>IFERROR(__xludf.DUMMYFUNCTION("""COMPUTED_VALUE"""),10.0)</f>
        <v>10</v>
      </c>
      <c r="C3482" s="11">
        <f>IFERROR(__xludf.DUMMYFUNCTION("""COMPUTED_VALUE"""),71844.0)</f>
        <v>71844</v>
      </c>
      <c r="D3482" s="11">
        <f>IFERROR(__xludf.DUMMYFUNCTION("""COMPUTED_VALUE"""),1800.0)</f>
        <v>1800</v>
      </c>
      <c r="E3482" s="9"/>
    </row>
    <row r="3483">
      <c r="A3483" s="11">
        <f>IFERROR(__xludf.DUMMYFUNCTION("""COMPUTED_VALUE"""),2021.0)</f>
        <v>2021</v>
      </c>
      <c r="B3483" s="11">
        <f>IFERROR(__xludf.DUMMYFUNCTION("""COMPUTED_VALUE"""),10.0)</f>
        <v>10</v>
      </c>
      <c r="C3483" s="11">
        <f>IFERROR(__xludf.DUMMYFUNCTION("""COMPUTED_VALUE"""),42287.0)</f>
        <v>42287</v>
      </c>
      <c r="D3483" s="11">
        <f>IFERROR(__xludf.DUMMYFUNCTION("""COMPUTED_VALUE"""),197.0)</f>
        <v>197</v>
      </c>
      <c r="E3483" s="9"/>
    </row>
    <row r="3484">
      <c r="A3484" s="11">
        <f>IFERROR(__xludf.DUMMYFUNCTION("""COMPUTED_VALUE"""),2021.0)</f>
        <v>2021</v>
      </c>
      <c r="B3484" s="11">
        <f>IFERROR(__xludf.DUMMYFUNCTION("""COMPUTED_VALUE"""),8.0)</f>
        <v>8</v>
      </c>
      <c r="C3484" s="11">
        <f>IFERROR(__xludf.DUMMYFUNCTION("""COMPUTED_VALUE"""),116678.0)</f>
        <v>116678</v>
      </c>
      <c r="D3484" s="11">
        <f>IFERROR(__xludf.DUMMYFUNCTION("""COMPUTED_VALUE"""),1613.0)</f>
        <v>1613</v>
      </c>
      <c r="E3484" s="9"/>
    </row>
    <row r="3485">
      <c r="A3485" s="11">
        <f>IFERROR(__xludf.DUMMYFUNCTION("""COMPUTED_VALUE"""),2021.0)</f>
        <v>2021</v>
      </c>
      <c r="B3485" s="11">
        <f>IFERROR(__xludf.DUMMYFUNCTION("""COMPUTED_VALUE"""),8.0)</f>
        <v>8</v>
      </c>
      <c r="C3485" s="11">
        <f>IFERROR(__xludf.DUMMYFUNCTION("""COMPUTED_VALUE"""),116845.0)</f>
        <v>116845</v>
      </c>
      <c r="D3485" s="11">
        <f>IFERROR(__xludf.DUMMYFUNCTION("""COMPUTED_VALUE"""),15.0)</f>
        <v>15</v>
      </c>
      <c r="E3485" s="9"/>
    </row>
    <row r="3486">
      <c r="A3486" s="11">
        <f>IFERROR(__xludf.DUMMYFUNCTION("""COMPUTED_VALUE"""),2021.0)</f>
        <v>2021</v>
      </c>
      <c r="B3486" s="11">
        <f>IFERROR(__xludf.DUMMYFUNCTION("""COMPUTED_VALUE"""),11.0)</f>
        <v>11</v>
      </c>
      <c r="C3486" s="11">
        <f>IFERROR(__xludf.DUMMYFUNCTION("""COMPUTED_VALUE"""),114252.0)</f>
        <v>114252</v>
      </c>
      <c r="D3486" s="11">
        <f>IFERROR(__xludf.DUMMYFUNCTION("""COMPUTED_VALUE"""),350.0)</f>
        <v>350</v>
      </c>
      <c r="E3486" s="9"/>
    </row>
    <row r="3487">
      <c r="A3487" s="11">
        <f>IFERROR(__xludf.DUMMYFUNCTION("""COMPUTED_VALUE"""),2021.0)</f>
        <v>2021</v>
      </c>
      <c r="B3487" s="11">
        <f>IFERROR(__xludf.DUMMYFUNCTION("""COMPUTED_VALUE"""),11.0)</f>
        <v>11</v>
      </c>
      <c r="C3487" s="11">
        <f>IFERROR(__xludf.DUMMYFUNCTION("""COMPUTED_VALUE"""),117595.0)</f>
        <v>117595</v>
      </c>
      <c r="D3487" s="11">
        <f>IFERROR(__xludf.DUMMYFUNCTION("""COMPUTED_VALUE"""),1687.0)</f>
        <v>1687</v>
      </c>
      <c r="E3487" s="9"/>
    </row>
    <row r="3488">
      <c r="A3488" s="11">
        <f>IFERROR(__xludf.DUMMYFUNCTION("""COMPUTED_VALUE"""),2021.0)</f>
        <v>2021</v>
      </c>
      <c r="B3488" s="11">
        <f>IFERROR(__xludf.DUMMYFUNCTION("""COMPUTED_VALUE"""),9.0)</f>
        <v>9</v>
      </c>
      <c r="C3488" s="11">
        <f>IFERROR(__xludf.DUMMYFUNCTION("""COMPUTED_VALUE"""),109579.0)</f>
        <v>109579</v>
      </c>
      <c r="D3488" s="11">
        <f>IFERROR(__xludf.DUMMYFUNCTION("""COMPUTED_VALUE"""),134.0)</f>
        <v>134</v>
      </c>
      <c r="E3488" s="9"/>
    </row>
    <row r="3489">
      <c r="A3489" s="11">
        <f>IFERROR(__xludf.DUMMYFUNCTION("""COMPUTED_VALUE"""),2021.0)</f>
        <v>2021</v>
      </c>
      <c r="B3489" s="11">
        <f>IFERROR(__xludf.DUMMYFUNCTION("""COMPUTED_VALUE"""),9.0)</f>
        <v>9</v>
      </c>
      <c r="C3489" s="11">
        <f>IFERROR(__xludf.DUMMYFUNCTION("""COMPUTED_VALUE"""),117597.0)</f>
        <v>117597</v>
      </c>
      <c r="D3489" s="11">
        <f>IFERROR(__xludf.DUMMYFUNCTION("""COMPUTED_VALUE"""),660.0)</f>
        <v>660</v>
      </c>
      <c r="E3489" s="9"/>
    </row>
    <row r="3490">
      <c r="A3490" s="11">
        <f>IFERROR(__xludf.DUMMYFUNCTION("""COMPUTED_VALUE"""),2021.0)</f>
        <v>2021</v>
      </c>
      <c r="B3490" s="11">
        <f>IFERROR(__xludf.DUMMYFUNCTION("""COMPUTED_VALUE"""),9.0)</f>
        <v>9</v>
      </c>
      <c r="C3490" s="11">
        <f>IFERROR(__xludf.DUMMYFUNCTION("""COMPUTED_VALUE"""),14401.0)</f>
        <v>14401</v>
      </c>
      <c r="D3490" s="11">
        <f>IFERROR(__xludf.DUMMYFUNCTION("""COMPUTED_VALUE"""),1424.0)</f>
        <v>1424</v>
      </c>
      <c r="E3490" s="9"/>
    </row>
    <row r="3491">
      <c r="A3491" s="11">
        <f>IFERROR(__xludf.DUMMYFUNCTION("""COMPUTED_VALUE"""),2021.0)</f>
        <v>2021</v>
      </c>
      <c r="B3491" s="11">
        <f>IFERROR(__xludf.DUMMYFUNCTION("""COMPUTED_VALUE"""),10.0)</f>
        <v>10</v>
      </c>
      <c r="C3491" s="11">
        <f>IFERROR(__xludf.DUMMYFUNCTION("""COMPUTED_VALUE"""),109290.0)</f>
        <v>109290</v>
      </c>
      <c r="D3491" s="11">
        <f>IFERROR(__xludf.DUMMYFUNCTION("""COMPUTED_VALUE"""),92.0)</f>
        <v>92</v>
      </c>
      <c r="E3491" s="9"/>
    </row>
    <row r="3492">
      <c r="A3492" s="11">
        <f>IFERROR(__xludf.DUMMYFUNCTION("""COMPUTED_VALUE"""),2021.0)</f>
        <v>2021</v>
      </c>
      <c r="B3492" s="11">
        <f>IFERROR(__xludf.DUMMYFUNCTION("""COMPUTED_VALUE"""),11.0)</f>
        <v>11</v>
      </c>
      <c r="C3492" s="11">
        <f>IFERROR(__xludf.DUMMYFUNCTION("""COMPUTED_VALUE"""),117665.0)</f>
        <v>117665</v>
      </c>
      <c r="D3492" s="11">
        <f>IFERROR(__xludf.DUMMYFUNCTION("""COMPUTED_VALUE"""),1798.0)</f>
        <v>1798</v>
      </c>
      <c r="E3492" s="9"/>
    </row>
    <row r="3493">
      <c r="A3493" s="11">
        <f>IFERROR(__xludf.DUMMYFUNCTION("""COMPUTED_VALUE"""),2021.0)</f>
        <v>2021</v>
      </c>
      <c r="B3493" s="11">
        <f>IFERROR(__xludf.DUMMYFUNCTION("""COMPUTED_VALUE"""),9.0)</f>
        <v>9</v>
      </c>
      <c r="C3493" s="11">
        <f>IFERROR(__xludf.DUMMYFUNCTION("""COMPUTED_VALUE"""),117681.0)</f>
        <v>117681</v>
      </c>
      <c r="D3493" s="11">
        <f>IFERROR(__xludf.DUMMYFUNCTION("""COMPUTED_VALUE"""),1851.0)</f>
        <v>1851</v>
      </c>
      <c r="E3493" s="9"/>
    </row>
    <row r="3494">
      <c r="A3494" s="11">
        <f>IFERROR(__xludf.DUMMYFUNCTION("""COMPUTED_VALUE"""),2021.0)</f>
        <v>2021</v>
      </c>
      <c r="B3494" s="11">
        <f>IFERROR(__xludf.DUMMYFUNCTION("""COMPUTED_VALUE"""),11.0)</f>
        <v>11</v>
      </c>
      <c r="C3494" s="11">
        <f>IFERROR(__xludf.DUMMYFUNCTION("""COMPUTED_VALUE"""),119406.0)</f>
        <v>119406</v>
      </c>
      <c r="D3494" s="11">
        <f>IFERROR(__xludf.DUMMYFUNCTION("""COMPUTED_VALUE"""),346.0)</f>
        <v>346</v>
      </c>
      <c r="E3494" s="9"/>
    </row>
    <row r="3495">
      <c r="A3495" s="11">
        <f>IFERROR(__xludf.DUMMYFUNCTION("""COMPUTED_VALUE"""),2021.0)</f>
        <v>2021</v>
      </c>
      <c r="B3495" s="11">
        <f>IFERROR(__xludf.DUMMYFUNCTION("""COMPUTED_VALUE"""),9.0)</f>
        <v>9</v>
      </c>
      <c r="C3495" s="11">
        <f>IFERROR(__xludf.DUMMYFUNCTION("""COMPUTED_VALUE"""),117676.0)</f>
        <v>117676</v>
      </c>
      <c r="D3495" s="11">
        <f>IFERROR(__xludf.DUMMYFUNCTION("""COMPUTED_VALUE"""),905.0)</f>
        <v>905</v>
      </c>
      <c r="E3495" s="9"/>
    </row>
    <row r="3496">
      <c r="A3496" s="11">
        <f>IFERROR(__xludf.DUMMYFUNCTION("""COMPUTED_VALUE"""),2021.0)</f>
        <v>2021</v>
      </c>
      <c r="B3496" s="11">
        <f>IFERROR(__xludf.DUMMYFUNCTION("""COMPUTED_VALUE"""),8.0)</f>
        <v>8</v>
      </c>
      <c r="C3496" s="11">
        <f>IFERROR(__xludf.DUMMYFUNCTION("""COMPUTED_VALUE"""),109571.0)</f>
        <v>109571</v>
      </c>
      <c r="D3496" s="11">
        <f>IFERROR(__xludf.DUMMYFUNCTION("""COMPUTED_VALUE"""),685.0)</f>
        <v>685</v>
      </c>
      <c r="E3496" s="9"/>
    </row>
    <row r="3497">
      <c r="A3497" s="11">
        <f>IFERROR(__xludf.DUMMYFUNCTION("""COMPUTED_VALUE"""),2021.0)</f>
        <v>2021</v>
      </c>
      <c r="B3497" s="11">
        <f>IFERROR(__xludf.DUMMYFUNCTION("""COMPUTED_VALUE"""),9.0)</f>
        <v>9</v>
      </c>
      <c r="C3497" s="11">
        <f>IFERROR(__xludf.DUMMYFUNCTION("""COMPUTED_VALUE"""),116676.0)</f>
        <v>116676</v>
      </c>
      <c r="D3497" s="11">
        <f>IFERROR(__xludf.DUMMYFUNCTION("""COMPUTED_VALUE"""),1652.0)</f>
        <v>1652</v>
      </c>
      <c r="E3497" s="9"/>
    </row>
    <row r="3498">
      <c r="A3498" s="11">
        <f>IFERROR(__xludf.DUMMYFUNCTION("""COMPUTED_VALUE"""),2021.0)</f>
        <v>2021</v>
      </c>
      <c r="B3498" s="11">
        <f>IFERROR(__xludf.DUMMYFUNCTION("""COMPUTED_VALUE"""),9.0)</f>
        <v>9</v>
      </c>
      <c r="C3498" s="11">
        <f>IFERROR(__xludf.DUMMYFUNCTION("""COMPUTED_VALUE"""),116816.0)</f>
        <v>116816</v>
      </c>
      <c r="D3498" s="11">
        <f>IFERROR(__xludf.DUMMYFUNCTION("""COMPUTED_VALUE"""),643.0)</f>
        <v>643</v>
      </c>
      <c r="E3498" s="9"/>
    </row>
    <row r="3499">
      <c r="A3499" s="11">
        <f>IFERROR(__xludf.DUMMYFUNCTION("""COMPUTED_VALUE"""),2021.0)</f>
        <v>2021</v>
      </c>
      <c r="B3499" s="11">
        <f>IFERROR(__xludf.DUMMYFUNCTION("""COMPUTED_VALUE"""),10.0)</f>
        <v>10</v>
      </c>
      <c r="C3499" s="11">
        <f>IFERROR(__xludf.DUMMYFUNCTION("""COMPUTED_VALUE"""),117663.0)</f>
        <v>117663</v>
      </c>
      <c r="D3499" s="11">
        <f>IFERROR(__xludf.DUMMYFUNCTION("""COMPUTED_VALUE"""),739.0)</f>
        <v>739</v>
      </c>
      <c r="E3499" s="9"/>
    </row>
    <row r="3500">
      <c r="A3500" s="11">
        <f>IFERROR(__xludf.DUMMYFUNCTION("""COMPUTED_VALUE"""),2021.0)</f>
        <v>2021</v>
      </c>
      <c r="B3500" s="11">
        <f>IFERROR(__xludf.DUMMYFUNCTION("""COMPUTED_VALUE"""),10.0)</f>
        <v>10</v>
      </c>
      <c r="C3500" s="11">
        <f>IFERROR(__xludf.DUMMYFUNCTION("""COMPUTED_VALUE"""),117652.0)</f>
        <v>117652</v>
      </c>
      <c r="D3500" s="11">
        <f>IFERROR(__xludf.DUMMYFUNCTION("""COMPUTED_VALUE"""),741.0)</f>
        <v>741</v>
      </c>
      <c r="E3500" s="9"/>
    </row>
    <row r="3501">
      <c r="A3501" s="11">
        <f>IFERROR(__xludf.DUMMYFUNCTION("""COMPUTED_VALUE"""),2021.0)</f>
        <v>2021</v>
      </c>
      <c r="B3501" s="11">
        <f>IFERROR(__xludf.DUMMYFUNCTION("""COMPUTED_VALUE"""),11.0)</f>
        <v>11</v>
      </c>
      <c r="C3501" s="11">
        <f>IFERROR(__xludf.DUMMYFUNCTION("""COMPUTED_VALUE"""),109289.0)</f>
        <v>109289</v>
      </c>
      <c r="D3501" s="11">
        <f>IFERROR(__xludf.DUMMYFUNCTION("""COMPUTED_VALUE"""),1924.0)</f>
        <v>1924</v>
      </c>
      <c r="E3501" s="9"/>
    </row>
    <row r="3502">
      <c r="A3502" s="11">
        <f>IFERROR(__xludf.DUMMYFUNCTION("""COMPUTED_VALUE"""),2021.0)</f>
        <v>2021</v>
      </c>
      <c r="B3502" s="11">
        <f>IFERROR(__xludf.DUMMYFUNCTION("""COMPUTED_VALUE"""),10.0)</f>
        <v>10</v>
      </c>
      <c r="C3502" s="11">
        <f>IFERROR(__xludf.DUMMYFUNCTION("""COMPUTED_VALUE"""),117656.0)</f>
        <v>117656</v>
      </c>
      <c r="D3502" s="11">
        <f>IFERROR(__xludf.DUMMYFUNCTION("""COMPUTED_VALUE"""),594.0)</f>
        <v>594</v>
      </c>
      <c r="E3502" s="9"/>
    </row>
    <row r="3503">
      <c r="A3503" s="11">
        <f>IFERROR(__xludf.DUMMYFUNCTION("""COMPUTED_VALUE"""),2021.0)</f>
        <v>2021</v>
      </c>
      <c r="B3503" s="11">
        <f>IFERROR(__xludf.DUMMYFUNCTION("""COMPUTED_VALUE"""),9.0)</f>
        <v>9</v>
      </c>
      <c r="C3503" s="11">
        <f>IFERROR(__xludf.DUMMYFUNCTION("""COMPUTED_VALUE"""),117677.0)</f>
        <v>117677</v>
      </c>
      <c r="D3503" s="11">
        <f>IFERROR(__xludf.DUMMYFUNCTION("""COMPUTED_VALUE"""),52.0)</f>
        <v>52</v>
      </c>
      <c r="E3503" s="9"/>
    </row>
    <row r="3504">
      <c r="A3504" s="11">
        <f>IFERROR(__xludf.DUMMYFUNCTION("""COMPUTED_VALUE"""),2021.0)</f>
        <v>2021</v>
      </c>
      <c r="B3504" s="11">
        <f>IFERROR(__xludf.DUMMYFUNCTION("""COMPUTED_VALUE"""),10.0)</f>
        <v>10</v>
      </c>
      <c r="C3504" s="11">
        <f>IFERROR(__xludf.DUMMYFUNCTION("""COMPUTED_VALUE"""),116677.0)</f>
        <v>116677</v>
      </c>
      <c r="D3504" s="11">
        <f>IFERROR(__xludf.DUMMYFUNCTION("""COMPUTED_VALUE"""),1201.0)</f>
        <v>1201</v>
      </c>
      <c r="E3504" s="9"/>
    </row>
    <row r="3505">
      <c r="A3505" s="11">
        <f>IFERROR(__xludf.DUMMYFUNCTION("""COMPUTED_VALUE"""),2021.0)</f>
        <v>2021</v>
      </c>
      <c r="B3505" s="11">
        <f>IFERROR(__xludf.DUMMYFUNCTION("""COMPUTED_VALUE"""),8.0)</f>
        <v>8</v>
      </c>
      <c r="C3505" s="11">
        <f>IFERROR(__xludf.DUMMYFUNCTION("""COMPUTED_VALUE"""),117256.0)</f>
        <v>117256</v>
      </c>
      <c r="D3505" s="11">
        <f>IFERROR(__xludf.DUMMYFUNCTION("""COMPUTED_VALUE"""),1142.0)</f>
        <v>1142</v>
      </c>
      <c r="E3505" s="9"/>
    </row>
    <row r="3506">
      <c r="A3506" s="11">
        <f>IFERROR(__xludf.DUMMYFUNCTION("""COMPUTED_VALUE"""),2021.0)</f>
        <v>2021</v>
      </c>
      <c r="B3506" s="11">
        <f>IFERROR(__xludf.DUMMYFUNCTION("""COMPUTED_VALUE"""),10.0)</f>
        <v>10</v>
      </c>
      <c r="C3506" s="11">
        <f>IFERROR(__xludf.DUMMYFUNCTION("""COMPUTED_VALUE"""),122738.0)</f>
        <v>122738</v>
      </c>
      <c r="D3506" s="11">
        <f>IFERROR(__xludf.DUMMYFUNCTION("""COMPUTED_VALUE"""),644.0)</f>
        <v>644</v>
      </c>
      <c r="E3506" s="9"/>
    </row>
    <row r="3507">
      <c r="A3507" s="11">
        <f>IFERROR(__xludf.DUMMYFUNCTION("""COMPUTED_VALUE"""),2021.0)</f>
        <v>2021</v>
      </c>
      <c r="B3507" s="11">
        <f>IFERROR(__xludf.DUMMYFUNCTION("""COMPUTED_VALUE"""),10.0)</f>
        <v>10</v>
      </c>
      <c r="C3507" s="11">
        <f>IFERROR(__xludf.DUMMYFUNCTION("""COMPUTED_VALUE"""),116679.0)</f>
        <v>116679</v>
      </c>
      <c r="D3507" s="11">
        <f>IFERROR(__xludf.DUMMYFUNCTION("""COMPUTED_VALUE"""),1919.0)</f>
        <v>1919</v>
      </c>
      <c r="E3507" s="9"/>
    </row>
    <row r="3508">
      <c r="A3508" s="11">
        <f>IFERROR(__xludf.DUMMYFUNCTION("""COMPUTED_VALUE"""),2021.0)</f>
        <v>2021</v>
      </c>
      <c r="B3508" s="11">
        <f>IFERROR(__xludf.DUMMYFUNCTION("""COMPUTED_VALUE"""),8.0)</f>
        <v>8</v>
      </c>
      <c r="C3508" s="11">
        <f>IFERROR(__xludf.DUMMYFUNCTION("""COMPUTED_VALUE"""),116831.0)</f>
        <v>116831</v>
      </c>
      <c r="D3508" s="11">
        <f>IFERROR(__xludf.DUMMYFUNCTION("""COMPUTED_VALUE"""),945.0)</f>
        <v>945</v>
      </c>
      <c r="E3508" s="9"/>
    </row>
    <row r="3509">
      <c r="A3509" s="11">
        <f>IFERROR(__xludf.DUMMYFUNCTION("""COMPUTED_VALUE"""),2021.0)</f>
        <v>2021</v>
      </c>
      <c r="B3509" s="11">
        <f>IFERROR(__xludf.DUMMYFUNCTION("""COMPUTED_VALUE"""),9.0)</f>
        <v>9</v>
      </c>
      <c r="C3509" s="11">
        <f>IFERROR(__xludf.DUMMYFUNCTION("""COMPUTED_VALUE"""),109577.0)</f>
        <v>109577</v>
      </c>
      <c r="D3509" s="11">
        <f>IFERROR(__xludf.DUMMYFUNCTION("""COMPUTED_VALUE"""),1363.0)</f>
        <v>1363</v>
      </c>
      <c r="E3509" s="9"/>
    </row>
    <row r="3510">
      <c r="A3510" s="11">
        <f>IFERROR(__xludf.DUMMYFUNCTION("""COMPUTED_VALUE"""),2021.0)</f>
        <v>2021</v>
      </c>
      <c r="B3510" s="11">
        <f>IFERROR(__xludf.DUMMYFUNCTION("""COMPUTED_VALUE"""),11.0)</f>
        <v>11</v>
      </c>
      <c r="C3510" s="11">
        <f>IFERROR(__xludf.DUMMYFUNCTION("""COMPUTED_VALUE"""),77790.0)</f>
        <v>77790</v>
      </c>
      <c r="D3510" s="11">
        <f>IFERROR(__xludf.DUMMYFUNCTION("""COMPUTED_VALUE"""),589.0)</f>
        <v>589</v>
      </c>
      <c r="E3510" s="9"/>
    </row>
    <row r="3511">
      <c r="A3511" s="11">
        <f>IFERROR(__xludf.DUMMYFUNCTION("""COMPUTED_VALUE"""),2021.0)</f>
        <v>2021</v>
      </c>
      <c r="B3511" s="11">
        <f>IFERROR(__xludf.DUMMYFUNCTION("""COMPUTED_VALUE"""),8.0)</f>
        <v>8</v>
      </c>
      <c r="C3511" s="11">
        <f>IFERROR(__xludf.DUMMYFUNCTION("""COMPUTED_VALUE"""),101172.0)</f>
        <v>101172</v>
      </c>
      <c r="D3511" s="11">
        <f>IFERROR(__xludf.DUMMYFUNCTION("""COMPUTED_VALUE"""),473.0)</f>
        <v>473</v>
      </c>
      <c r="E3511" s="9"/>
    </row>
    <row r="3512">
      <c r="A3512" s="11">
        <f>IFERROR(__xludf.DUMMYFUNCTION("""COMPUTED_VALUE"""),2021.0)</f>
        <v>2021</v>
      </c>
      <c r="B3512" s="11">
        <f>IFERROR(__xludf.DUMMYFUNCTION("""COMPUTED_VALUE"""),9.0)</f>
        <v>9</v>
      </c>
      <c r="C3512" s="11">
        <f>IFERROR(__xludf.DUMMYFUNCTION("""COMPUTED_VALUE"""),87023.0)</f>
        <v>87023</v>
      </c>
      <c r="D3512" s="11">
        <f>IFERROR(__xludf.DUMMYFUNCTION("""COMPUTED_VALUE"""),1285.0)</f>
        <v>1285</v>
      </c>
      <c r="E3512" s="9"/>
    </row>
    <row r="3513">
      <c r="A3513" s="11">
        <f>IFERROR(__xludf.DUMMYFUNCTION("""COMPUTED_VALUE"""),2021.0)</f>
        <v>2021</v>
      </c>
      <c r="B3513" s="11">
        <f>IFERROR(__xludf.DUMMYFUNCTION("""COMPUTED_VALUE"""),10.0)</f>
        <v>10</v>
      </c>
      <c r="C3513" s="11">
        <f>IFERROR(__xludf.DUMMYFUNCTION("""COMPUTED_VALUE"""),101520.0)</f>
        <v>101520</v>
      </c>
      <c r="D3513" s="11">
        <f>IFERROR(__xludf.DUMMYFUNCTION("""COMPUTED_VALUE"""),1212.0)</f>
        <v>1212</v>
      </c>
      <c r="E3513" s="9"/>
    </row>
    <row r="3514">
      <c r="A3514" s="11">
        <f>IFERROR(__xludf.DUMMYFUNCTION("""COMPUTED_VALUE"""),2021.0)</f>
        <v>2021</v>
      </c>
      <c r="B3514" s="11">
        <f>IFERROR(__xludf.DUMMYFUNCTION("""COMPUTED_VALUE"""),9.0)</f>
        <v>9</v>
      </c>
      <c r="C3514" s="11">
        <f>IFERROR(__xludf.DUMMYFUNCTION("""COMPUTED_VALUE"""),118362.0)</f>
        <v>118362</v>
      </c>
      <c r="D3514" s="11">
        <f>IFERROR(__xludf.DUMMYFUNCTION("""COMPUTED_VALUE"""),525.0)</f>
        <v>525</v>
      </c>
      <c r="E3514" s="9"/>
    </row>
    <row r="3515">
      <c r="A3515" s="11">
        <f>IFERROR(__xludf.DUMMYFUNCTION("""COMPUTED_VALUE"""),2021.0)</f>
        <v>2021</v>
      </c>
      <c r="B3515" s="11">
        <f>IFERROR(__xludf.DUMMYFUNCTION("""COMPUTED_VALUE"""),9.0)</f>
        <v>9</v>
      </c>
      <c r="C3515" s="11">
        <f>IFERROR(__xludf.DUMMYFUNCTION("""COMPUTED_VALUE"""),87313.0)</f>
        <v>87313</v>
      </c>
      <c r="D3515" s="11">
        <f>IFERROR(__xludf.DUMMYFUNCTION("""COMPUTED_VALUE"""),1503.0)</f>
        <v>1503</v>
      </c>
      <c r="E3515" s="9"/>
    </row>
    <row r="3516">
      <c r="A3516" s="11">
        <f>IFERROR(__xludf.DUMMYFUNCTION("""COMPUTED_VALUE"""),2021.0)</f>
        <v>2021</v>
      </c>
      <c r="B3516" s="11">
        <f>IFERROR(__xludf.DUMMYFUNCTION("""COMPUTED_VALUE"""),9.0)</f>
        <v>9</v>
      </c>
      <c r="C3516" s="11">
        <f>IFERROR(__xludf.DUMMYFUNCTION("""COMPUTED_VALUE"""),111015.0)</f>
        <v>111015</v>
      </c>
      <c r="D3516" s="11">
        <f>IFERROR(__xludf.DUMMYFUNCTION("""COMPUTED_VALUE"""),383.0)</f>
        <v>383</v>
      </c>
      <c r="E3516" s="9"/>
    </row>
    <row r="3517">
      <c r="A3517" s="11">
        <f>IFERROR(__xludf.DUMMYFUNCTION("""COMPUTED_VALUE"""),2021.0)</f>
        <v>2021</v>
      </c>
      <c r="B3517" s="11">
        <f>IFERROR(__xludf.DUMMYFUNCTION("""COMPUTED_VALUE"""),10.0)</f>
        <v>10</v>
      </c>
      <c r="C3517" s="11">
        <f>IFERROR(__xludf.DUMMYFUNCTION("""COMPUTED_VALUE"""),87312.0)</f>
        <v>87312</v>
      </c>
      <c r="D3517" s="11">
        <f>IFERROR(__xludf.DUMMYFUNCTION("""COMPUTED_VALUE"""),1468.0)</f>
        <v>1468</v>
      </c>
      <c r="E3517" s="9"/>
    </row>
    <row r="3518">
      <c r="A3518" s="11">
        <f>IFERROR(__xludf.DUMMYFUNCTION("""COMPUTED_VALUE"""),2021.0)</f>
        <v>2021</v>
      </c>
      <c r="B3518" s="11">
        <f>IFERROR(__xludf.DUMMYFUNCTION("""COMPUTED_VALUE"""),11.0)</f>
        <v>11</v>
      </c>
      <c r="C3518" s="11">
        <f>IFERROR(__xludf.DUMMYFUNCTION("""COMPUTED_VALUE"""),87025.0)</f>
        <v>87025</v>
      </c>
      <c r="D3518" s="11">
        <f>IFERROR(__xludf.DUMMYFUNCTION("""COMPUTED_VALUE"""),291.0)</f>
        <v>291</v>
      </c>
      <c r="E3518" s="9"/>
    </row>
    <row r="3519">
      <c r="A3519" s="11">
        <f>IFERROR(__xludf.DUMMYFUNCTION("""COMPUTED_VALUE"""),2021.0)</f>
        <v>2021</v>
      </c>
      <c r="B3519" s="11">
        <f>IFERROR(__xludf.DUMMYFUNCTION("""COMPUTED_VALUE"""),10.0)</f>
        <v>10</v>
      </c>
      <c r="C3519" s="11">
        <f>IFERROR(__xludf.DUMMYFUNCTION("""COMPUTED_VALUE"""),111587.0)</f>
        <v>111587</v>
      </c>
      <c r="D3519" s="11">
        <f>IFERROR(__xludf.DUMMYFUNCTION("""COMPUTED_VALUE"""),563.0)</f>
        <v>563</v>
      </c>
      <c r="E3519" s="9"/>
    </row>
    <row r="3520">
      <c r="A3520" s="11">
        <f>IFERROR(__xludf.DUMMYFUNCTION("""COMPUTED_VALUE"""),2021.0)</f>
        <v>2021</v>
      </c>
      <c r="B3520" s="11">
        <f>IFERROR(__xludf.DUMMYFUNCTION("""COMPUTED_VALUE"""),10.0)</f>
        <v>10</v>
      </c>
      <c r="C3520" s="11">
        <f>IFERROR(__xludf.DUMMYFUNCTION("""COMPUTED_VALUE"""),114934.0)</f>
        <v>114934</v>
      </c>
      <c r="D3520" s="11">
        <f>IFERROR(__xludf.DUMMYFUNCTION("""COMPUTED_VALUE"""),1126.0)</f>
        <v>1126</v>
      </c>
      <c r="E3520" s="9"/>
    </row>
    <row r="3521">
      <c r="A3521" s="11">
        <f>IFERROR(__xludf.DUMMYFUNCTION("""COMPUTED_VALUE"""),2021.0)</f>
        <v>2021</v>
      </c>
      <c r="B3521" s="11">
        <f>IFERROR(__xludf.DUMMYFUNCTION("""COMPUTED_VALUE"""),10.0)</f>
        <v>10</v>
      </c>
      <c r="C3521" s="11">
        <f>IFERROR(__xludf.DUMMYFUNCTION("""COMPUTED_VALUE"""),116519.0)</f>
        <v>116519</v>
      </c>
      <c r="D3521" s="11">
        <f>IFERROR(__xludf.DUMMYFUNCTION("""COMPUTED_VALUE"""),467.0)</f>
        <v>467</v>
      </c>
      <c r="E3521" s="9"/>
    </row>
    <row r="3522">
      <c r="A3522" s="11">
        <f>IFERROR(__xludf.DUMMYFUNCTION("""COMPUTED_VALUE"""),2021.0)</f>
        <v>2021</v>
      </c>
      <c r="B3522" s="11">
        <f>IFERROR(__xludf.DUMMYFUNCTION("""COMPUTED_VALUE"""),8.0)</f>
        <v>8</v>
      </c>
      <c r="C3522" s="11">
        <f>IFERROR(__xludf.DUMMYFUNCTION("""COMPUTED_VALUE"""),116516.0)</f>
        <v>116516</v>
      </c>
      <c r="D3522" s="11">
        <f>IFERROR(__xludf.DUMMYFUNCTION("""COMPUTED_VALUE"""),625.0)</f>
        <v>625</v>
      </c>
      <c r="E3522" s="9"/>
    </row>
    <row r="3523">
      <c r="A3523" s="11">
        <f>IFERROR(__xludf.DUMMYFUNCTION("""COMPUTED_VALUE"""),2021.0)</f>
        <v>2021</v>
      </c>
      <c r="B3523" s="11">
        <f>IFERROR(__xludf.DUMMYFUNCTION("""COMPUTED_VALUE"""),9.0)</f>
        <v>9</v>
      </c>
      <c r="C3523" s="11">
        <f>IFERROR(__xludf.DUMMYFUNCTION("""COMPUTED_VALUE"""),104931.0)</f>
        <v>104931</v>
      </c>
      <c r="D3523" s="11">
        <f>IFERROR(__xludf.DUMMYFUNCTION("""COMPUTED_VALUE"""),71.0)</f>
        <v>71</v>
      </c>
      <c r="E3523" s="9"/>
    </row>
    <row r="3524">
      <c r="A3524" s="11">
        <f>IFERROR(__xludf.DUMMYFUNCTION("""COMPUTED_VALUE"""),2021.0)</f>
        <v>2021</v>
      </c>
      <c r="B3524" s="11">
        <f>IFERROR(__xludf.DUMMYFUNCTION("""COMPUTED_VALUE"""),11.0)</f>
        <v>11</v>
      </c>
      <c r="C3524" s="11">
        <f>IFERROR(__xludf.DUMMYFUNCTION("""COMPUTED_VALUE"""),105656.0)</f>
        <v>105656</v>
      </c>
      <c r="D3524" s="11">
        <f>IFERROR(__xludf.DUMMYFUNCTION("""COMPUTED_VALUE"""),1936.0)</f>
        <v>1936</v>
      </c>
      <c r="E3524" s="9"/>
    </row>
    <row r="3525">
      <c r="A3525" s="11">
        <f>IFERROR(__xludf.DUMMYFUNCTION("""COMPUTED_VALUE"""),2021.0)</f>
        <v>2021</v>
      </c>
      <c r="B3525" s="11">
        <f>IFERROR(__xludf.DUMMYFUNCTION("""COMPUTED_VALUE"""),8.0)</f>
        <v>8</v>
      </c>
      <c r="C3525" s="11">
        <f>IFERROR(__xludf.DUMMYFUNCTION("""COMPUTED_VALUE"""),117702.0)</f>
        <v>117702</v>
      </c>
      <c r="D3525" s="11">
        <f>IFERROR(__xludf.DUMMYFUNCTION("""COMPUTED_VALUE"""),1080.0)</f>
        <v>1080</v>
      </c>
      <c r="E3525" s="9"/>
    </row>
    <row r="3526">
      <c r="A3526" s="11">
        <f>IFERROR(__xludf.DUMMYFUNCTION("""COMPUTED_VALUE"""),2021.0)</f>
        <v>2021</v>
      </c>
      <c r="B3526" s="11">
        <f>IFERROR(__xludf.DUMMYFUNCTION("""COMPUTED_VALUE"""),11.0)</f>
        <v>11</v>
      </c>
      <c r="C3526" s="11">
        <f>IFERROR(__xludf.DUMMYFUNCTION("""COMPUTED_VALUE"""),88385.0)</f>
        <v>88385</v>
      </c>
      <c r="D3526" s="11">
        <f>IFERROR(__xludf.DUMMYFUNCTION("""COMPUTED_VALUE"""),377.0)</f>
        <v>377</v>
      </c>
      <c r="E3526" s="9"/>
    </row>
    <row r="3527">
      <c r="A3527" s="11">
        <f>IFERROR(__xludf.DUMMYFUNCTION("""COMPUTED_VALUE"""),2021.0)</f>
        <v>2021</v>
      </c>
      <c r="B3527" s="11">
        <f>IFERROR(__xludf.DUMMYFUNCTION("""COMPUTED_VALUE"""),8.0)</f>
        <v>8</v>
      </c>
      <c r="C3527" s="11">
        <f>IFERROR(__xludf.DUMMYFUNCTION("""COMPUTED_VALUE"""),76451.0)</f>
        <v>76451</v>
      </c>
      <c r="D3527" s="11">
        <f>IFERROR(__xludf.DUMMYFUNCTION("""COMPUTED_VALUE"""),1906.0)</f>
        <v>1906</v>
      </c>
      <c r="E3527" s="9"/>
    </row>
    <row r="3528">
      <c r="A3528" s="11">
        <f>IFERROR(__xludf.DUMMYFUNCTION("""COMPUTED_VALUE"""),2021.0)</f>
        <v>2021</v>
      </c>
      <c r="B3528" s="11">
        <f>IFERROR(__xludf.DUMMYFUNCTION("""COMPUTED_VALUE"""),10.0)</f>
        <v>10</v>
      </c>
      <c r="C3528" s="11">
        <f>IFERROR(__xludf.DUMMYFUNCTION("""COMPUTED_VALUE"""),199950.0)</f>
        <v>199950</v>
      </c>
      <c r="D3528" s="11">
        <f>IFERROR(__xludf.DUMMYFUNCTION("""COMPUTED_VALUE"""),595.0)</f>
        <v>595</v>
      </c>
      <c r="E3528" s="9"/>
    </row>
    <row r="3529">
      <c r="A3529" s="11">
        <f>IFERROR(__xludf.DUMMYFUNCTION("""COMPUTED_VALUE"""),2021.0)</f>
        <v>2021</v>
      </c>
      <c r="B3529" s="11">
        <f>IFERROR(__xludf.DUMMYFUNCTION("""COMPUTED_VALUE"""),9.0)</f>
        <v>9</v>
      </c>
      <c r="C3529" s="11">
        <f>IFERROR(__xludf.DUMMYFUNCTION("""COMPUTED_VALUE"""),121167.0)</f>
        <v>121167</v>
      </c>
      <c r="D3529" s="11">
        <f>IFERROR(__xludf.DUMMYFUNCTION("""COMPUTED_VALUE"""),1300.0)</f>
        <v>1300</v>
      </c>
      <c r="E3529" s="9"/>
    </row>
    <row r="3530">
      <c r="A3530" s="11">
        <f>IFERROR(__xludf.DUMMYFUNCTION("""COMPUTED_VALUE"""),2021.0)</f>
        <v>2021</v>
      </c>
      <c r="B3530" s="11">
        <f>IFERROR(__xludf.DUMMYFUNCTION("""COMPUTED_VALUE"""),11.0)</f>
        <v>11</v>
      </c>
      <c r="C3530" s="11">
        <f>IFERROR(__xludf.DUMMYFUNCTION("""COMPUTED_VALUE"""),199954.0)</f>
        <v>199954</v>
      </c>
      <c r="D3530" s="11">
        <f>IFERROR(__xludf.DUMMYFUNCTION("""COMPUTED_VALUE"""),1061.0)</f>
        <v>1061</v>
      </c>
      <c r="E3530" s="9"/>
    </row>
    <row r="3531">
      <c r="A3531" s="11">
        <f>IFERROR(__xludf.DUMMYFUNCTION("""COMPUTED_VALUE"""),2021.0)</f>
        <v>2021</v>
      </c>
      <c r="B3531" s="11">
        <f>IFERROR(__xludf.DUMMYFUNCTION("""COMPUTED_VALUE"""),9.0)</f>
        <v>9</v>
      </c>
      <c r="C3531" s="11">
        <f>IFERROR(__xludf.DUMMYFUNCTION("""COMPUTED_VALUE"""),190713.0)</f>
        <v>190713</v>
      </c>
      <c r="D3531" s="11">
        <f>IFERROR(__xludf.DUMMYFUNCTION("""COMPUTED_VALUE"""),1134.0)</f>
        <v>1134</v>
      </c>
      <c r="E3531" s="9"/>
    </row>
    <row r="3532">
      <c r="A3532" s="11">
        <f>IFERROR(__xludf.DUMMYFUNCTION("""COMPUTED_VALUE"""),2021.0)</f>
        <v>2021</v>
      </c>
      <c r="B3532" s="11">
        <f>IFERROR(__xludf.DUMMYFUNCTION("""COMPUTED_VALUE"""),10.0)</f>
        <v>10</v>
      </c>
      <c r="C3532" s="11">
        <f>IFERROR(__xludf.DUMMYFUNCTION("""COMPUTED_VALUE"""),199951.0)</f>
        <v>199951</v>
      </c>
      <c r="D3532" s="11">
        <f>IFERROR(__xludf.DUMMYFUNCTION("""COMPUTED_VALUE"""),1208.0)</f>
        <v>1208</v>
      </c>
      <c r="E3532" s="9"/>
    </row>
    <row r="3533">
      <c r="A3533" s="11">
        <f>IFERROR(__xludf.DUMMYFUNCTION("""COMPUTED_VALUE"""),2021.0)</f>
        <v>2021</v>
      </c>
      <c r="B3533" s="11">
        <f>IFERROR(__xludf.DUMMYFUNCTION("""COMPUTED_VALUE"""),10.0)</f>
        <v>10</v>
      </c>
      <c r="C3533" s="11">
        <f>IFERROR(__xludf.DUMMYFUNCTION("""COMPUTED_VALUE"""),85263.0)</f>
        <v>85263</v>
      </c>
      <c r="D3533" s="11">
        <f>IFERROR(__xludf.DUMMYFUNCTION("""COMPUTED_VALUE"""),316.0)</f>
        <v>316</v>
      </c>
      <c r="E3533" s="9"/>
    </row>
    <row r="3534">
      <c r="A3534" s="11">
        <f>IFERROR(__xludf.DUMMYFUNCTION("""COMPUTED_VALUE"""),2021.0)</f>
        <v>2021</v>
      </c>
      <c r="B3534" s="11">
        <f>IFERROR(__xludf.DUMMYFUNCTION("""COMPUTED_VALUE"""),10.0)</f>
        <v>10</v>
      </c>
      <c r="C3534" s="11">
        <f>IFERROR(__xludf.DUMMYFUNCTION("""COMPUTED_VALUE"""),180016.0)</f>
        <v>180016</v>
      </c>
      <c r="D3534" s="11">
        <f>IFERROR(__xludf.DUMMYFUNCTION("""COMPUTED_VALUE"""),236.0)</f>
        <v>236</v>
      </c>
      <c r="E3534" s="9"/>
    </row>
    <row r="3535">
      <c r="A3535" s="11">
        <f>IFERROR(__xludf.DUMMYFUNCTION("""COMPUTED_VALUE"""),2021.0)</f>
        <v>2021</v>
      </c>
      <c r="B3535" s="11">
        <f>IFERROR(__xludf.DUMMYFUNCTION("""COMPUTED_VALUE"""),8.0)</f>
        <v>8</v>
      </c>
      <c r="C3535" s="11">
        <f>IFERROR(__xludf.DUMMYFUNCTION("""COMPUTED_VALUE"""),129432.0)</f>
        <v>129432</v>
      </c>
      <c r="D3535" s="11">
        <f>IFERROR(__xludf.DUMMYFUNCTION("""COMPUTED_VALUE"""),349.0)</f>
        <v>349</v>
      </c>
      <c r="E3535" s="9"/>
    </row>
    <row r="3536">
      <c r="A3536" s="11">
        <f>IFERROR(__xludf.DUMMYFUNCTION("""COMPUTED_VALUE"""),2021.0)</f>
        <v>2021</v>
      </c>
      <c r="B3536" s="11">
        <f>IFERROR(__xludf.DUMMYFUNCTION("""COMPUTED_VALUE"""),11.0)</f>
        <v>11</v>
      </c>
      <c r="C3536" s="11">
        <f>IFERROR(__xludf.DUMMYFUNCTION("""COMPUTED_VALUE"""),120052.0)</f>
        <v>120052</v>
      </c>
      <c r="D3536" s="11">
        <f>IFERROR(__xludf.DUMMYFUNCTION("""COMPUTED_VALUE"""),1127.0)</f>
        <v>1127</v>
      </c>
      <c r="E3536" s="9"/>
    </row>
    <row r="3537">
      <c r="A3537" s="11">
        <f>IFERROR(__xludf.DUMMYFUNCTION("""COMPUTED_VALUE"""),2021.0)</f>
        <v>2021</v>
      </c>
      <c r="B3537" s="11">
        <f>IFERROR(__xludf.DUMMYFUNCTION("""COMPUTED_VALUE"""),8.0)</f>
        <v>8</v>
      </c>
      <c r="C3537" s="11">
        <f>IFERROR(__xludf.DUMMYFUNCTION("""COMPUTED_VALUE"""),111876.0)</f>
        <v>111876</v>
      </c>
      <c r="D3537" s="11">
        <f>IFERROR(__xludf.DUMMYFUNCTION("""COMPUTED_VALUE"""),1878.0)</f>
        <v>1878</v>
      </c>
      <c r="E3537" s="9"/>
    </row>
    <row r="3538">
      <c r="A3538" s="11">
        <f>IFERROR(__xludf.DUMMYFUNCTION("""COMPUTED_VALUE"""),2021.0)</f>
        <v>2021</v>
      </c>
      <c r="B3538" s="11">
        <f>IFERROR(__xludf.DUMMYFUNCTION("""COMPUTED_VALUE"""),10.0)</f>
        <v>10</v>
      </c>
      <c r="C3538" s="11">
        <f>IFERROR(__xludf.DUMMYFUNCTION("""COMPUTED_VALUE"""),85092.0)</f>
        <v>85092</v>
      </c>
      <c r="D3538" s="11">
        <f>IFERROR(__xludf.DUMMYFUNCTION("""COMPUTED_VALUE"""),161.0)</f>
        <v>161</v>
      </c>
      <c r="E3538" s="9"/>
    </row>
    <row r="3539">
      <c r="A3539" s="11">
        <f>IFERROR(__xludf.DUMMYFUNCTION("""COMPUTED_VALUE"""),2021.0)</f>
        <v>2021</v>
      </c>
      <c r="B3539" s="11">
        <f>IFERROR(__xludf.DUMMYFUNCTION("""COMPUTED_VALUE"""),8.0)</f>
        <v>8</v>
      </c>
      <c r="C3539" s="11">
        <f>IFERROR(__xludf.DUMMYFUNCTION("""COMPUTED_VALUE"""),121046.0)</f>
        <v>121046</v>
      </c>
      <c r="D3539" s="11">
        <f>IFERROR(__xludf.DUMMYFUNCTION("""COMPUTED_VALUE"""),1898.0)</f>
        <v>1898</v>
      </c>
      <c r="E3539" s="9"/>
    </row>
    <row r="3540">
      <c r="A3540" s="11">
        <f>IFERROR(__xludf.DUMMYFUNCTION("""COMPUTED_VALUE"""),2021.0)</f>
        <v>2021</v>
      </c>
      <c r="B3540" s="11">
        <f>IFERROR(__xludf.DUMMYFUNCTION("""COMPUTED_VALUE"""),10.0)</f>
        <v>10</v>
      </c>
      <c r="C3540" s="11">
        <f>IFERROR(__xludf.DUMMYFUNCTION("""COMPUTED_VALUE"""),849.0)</f>
        <v>849</v>
      </c>
      <c r="D3540" s="11">
        <f>IFERROR(__xludf.DUMMYFUNCTION("""COMPUTED_VALUE"""),1175.0)</f>
        <v>1175</v>
      </c>
      <c r="E3540" s="9"/>
    </row>
    <row r="3541">
      <c r="A3541" s="11">
        <f>IFERROR(__xludf.DUMMYFUNCTION("""COMPUTED_VALUE"""),2021.0)</f>
        <v>2021</v>
      </c>
      <c r="B3541" s="11">
        <f>IFERROR(__xludf.DUMMYFUNCTION("""COMPUTED_VALUE"""),10.0)</f>
        <v>10</v>
      </c>
      <c r="C3541" s="11">
        <f>IFERROR(__xludf.DUMMYFUNCTION("""COMPUTED_VALUE"""),21662.0)</f>
        <v>21662</v>
      </c>
      <c r="D3541" s="11">
        <f>IFERROR(__xludf.DUMMYFUNCTION("""COMPUTED_VALUE"""),1322.0)</f>
        <v>1322</v>
      </c>
      <c r="E3541" s="9"/>
    </row>
    <row r="3542">
      <c r="A3542" s="11">
        <f>IFERROR(__xludf.DUMMYFUNCTION("""COMPUTED_VALUE"""),2021.0)</f>
        <v>2021</v>
      </c>
      <c r="B3542" s="11">
        <f>IFERROR(__xludf.DUMMYFUNCTION("""COMPUTED_VALUE"""),9.0)</f>
        <v>9</v>
      </c>
      <c r="C3542" s="11">
        <f>IFERROR(__xludf.DUMMYFUNCTION("""COMPUTED_VALUE"""),127038.0)</f>
        <v>127038</v>
      </c>
      <c r="D3542" s="11">
        <f>IFERROR(__xludf.DUMMYFUNCTION("""COMPUTED_VALUE"""),1573.0)</f>
        <v>1573</v>
      </c>
      <c r="E3542" s="9"/>
    </row>
    <row r="3543">
      <c r="A3543" s="11">
        <f>IFERROR(__xludf.DUMMYFUNCTION("""COMPUTED_VALUE"""),2021.0)</f>
        <v>2021</v>
      </c>
      <c r="B3543" s="11">
        <f>IFERROR(__xludf.DUMMYFUNCTION("""COMPUTED_VALUE"""),8.0)</f>
        <v>8</v>
      </c>
      <c r="C3543" s="11">
        <f>IFERROR(__xludf.DUMMYFUNCTION("""COMPUTED_VALUE"""),91954.0)</f>
        <v>91954</v>
      </c>
      <c r="D3543" s="11">
        <f>IFERROR(__xludf.DUMMYFUNCTION("""COMPUTED_VALUE"""),1301.0)</f>
        <v>1301</v>
      </c>
      <c r="E3543" s="9"/>
    </row>
    <row r="3544">
      <c r="A3544" s="11">
        <f>IFERROR(__xludf.DUMMYFUNCTION("""COMPUTED_VALUE"""),2021.0)</f>
        <v>2021</v>
      </c>
      <c r="B3544" s="11">
        <f>IFERROR(__xludf.DUMMYFUNCTION("""COMPUTED_VALUE"""),10.0)</f>
        <v>10</v>
      </c>
      <c r="C3544" s="11">
        <f>IFERROR(__xludf.DUMMYFUNCTION("""COMPUTED_VALUE"""),96365.0)</f>
        <v>96365</v>
      </c>
      <c r="D3544" s="11">
        <f>IFERROR(__xludf.DUMMYFUNCTION("""COMPUTED_VALUE"""),1244.0)</f>
        <v>1244</v>
      </c>
      <c r="E3544" s="9"/>
    </row>
    <row r="3545">
      <c r="A3545" s="11">
        <f>IFERROR(__xludf.DUMMYFUNCTION("""COMPUTED_VALUE"""),2021.0)</f>
        <v>2021</v>
      </c>
      <c r="B3545" s="11">
        <f>IFERROR(__xludf.DUMMYFUNCTION("""COMPUTED_VALUE"""),9.0)</f>
        <v>9</v>
      </c>
      <c r="C3545" s="11">
        <f>IFERROR(__xludf.DUMMYFUNCTION("""COMPUTED_VALUE"""),121172.0)</f>
        <v>121172</v>
      </c>
      <c r="D3545" s="11">
        <f>IFERROR(__xludf.DUMMYFUNCTION("""COMPUTED_VALUE"""),21.0)</f>
        <v>21</v>
      </c>
      <c r="E3545" s="9"/>
    </row>
    <row r="3546">
      <c r="A3546" s="11">
        <f>IFERROR(__xludf.DUMMYFUNCTION("""COMPUTED_VALUE"""),2021.0)</f>
        <v>2021</v>
      </c>
      <c r="B3546" s="11">
        <f>IFERROR(__xludf.DUMMYFUNCTION("""COMPUTED_VALUE"""),9.0)</f>
        <v>9</v>
      </c>
      <c r="C3546" s="11">
        <f>IFERROR(__xludf.DUMMYFUNCTION("""COMPUTED_VALUE"""),74331.0)</f>
        <v>74331</v>
      </c>
      <c r="D3546" s="11">
        <f>IFERROR(__xludf.DUMMYFUNCTION("""COMPUTED_VALUE"""),1907.0)</f>
        <v>1907</v>
      </c>
      <c r="E3546" s="9"/>
    </row>
    <row r="3547">
      <c r="A3547" s="11">
        <f>IFERROR(__xludf.DUMMYFUNCTION("""COMPUTED_VALUE"""),2021.0)</f>
        <v>2021</v>
      </c>
      <c r="B3547" s="11">
        <f>IFERROR(__xludf.DUMMYFUNCTION("""COMPUTED_VALUE"""),8.0)</f>
        <v>8</v>
      </c>
      <c r="C3547" s="11">
        <f>IFERROR(__xludf.DUMMYFUNCTION("""COMPUTED_VALUE"""),105657.0)</f>
        <v>105657</v>
      </c>
      <c r="D3547" s="11">
        <f>IFERROR(__xludf.DUMMYFUNCTION("""COMPUTED_VALUE"""),1393.0)</f>
        <v>1393</v>
      </c>
      <c r="E3547" s="9"/>
    </row>
    <row r="3548">
      <c r="A3548" s="11">
        <f>IFERROR(__xludf.DUMMYFUNCTION("""COMPUTED_VALUE"""),2021.0)</f>
        <v>2021</v>
      </c>
      <c r="B3548" s="11">
        <f>IFERROR(__xludf.DUMMYFUNCTION("""COMPUTED_VALUE"""),9.0)</f>
        <v>9</v>
      </c>
      <c r="C3548" s="11">
        <f>IFERROR(__xludf.DUMMYFUNCTION("""COMPUTED_VALUE"""),113716.0)</f>
        <v>113716</v>
      </c>
      <c r="D3548" s="11">
        <f>IFERROR(__xludf.DUMMYFUNCTION("""COMPUTED_VALUE"""),620.0)</f>
        <v>620</v>
      </c>
      <c r="E3548" s="9"/>
    </row>
    <row r="3549">
      <c r="A3549" s="11">
        <f>IFERROR(__xludf.DUMMYFUNCTION("""COMPUTED_VALUE"""),2021.0)</f>
        <v>2021</v>
      </c>
      <c r="B3549" s="11">
        <f>IFERROR(__xludf.DUMMYFUNCTION("""COMPUTED_VALUE"""),10.0)</f>
        <v>10</v>
      </c>
      <c r="C3549" s="11">
        <f>IFERROR(__xludf.DUMMYFUNCTION("""COMPUTED_VALUE"""),104510.0)</f>
        <v>104510</v>
      </c>
      <c r="D3549" s="11">
        <f>IFERROR(__xludf.DUMMYFUNCTION("""COMPUTED_VALUE"""),1123.0)</f>
        <v>1123</v>
      </c>
      <c r="E3549" s="9"/>
    </row>
    <row r="3550">
      <c r="A3550" s="11">
        <f>IFERROR(__xludf.DUMMYFUNCTION("""COMPUTED_VALUE"""),2021.0)</f>
        <v>2021</v>
      </c>
      <c r="B3550" s="11">
        <f>IFERROR(__xludf.DUMMYFUNCTION("""COMPUTED_VALUE"""),8.0)</f>
        <v>8</v>
      </c>
      <c r="C3550" s="11">
        <f>IFERROR(__xludf.DUMMYFUNCTION("""COMPUTED_VALUE"""),105059.0)</f>
        <v>105059</v>
      </c>
      <c r="D3550" s="11">
        <f>IFERROR(__xludf.DUMMYFUNCTION("""COMPUTED_VALUE"""),517.0)</f>
        <v>517</v>
      </c>
      <c r="E3550" s="9"/>
    </row>
    <row r="3551">
      <c r="A3551" s="11">
        <f>IFERROR(__xludf.DUMMYFUNCTION("""COMPUTED_VALUE"""),2021.0)</f>
        <v>2021</v>
      </c>
      <c r="B3551" s="11">
        <f>IFERROR(__xludf.DUMMYFUNCTION("""COMPUTED_VALUE"""),10.0)</f>
        <v>10</v>
      </c>
      <c r="C3551" s="11">
        <f>IFERROR(__xludf.DUMMYFUNCTION("""COMPUTED_VALUE"""),63608.0)</f>
        <v>63608</v>
      </c>
      <c r="D3551" s="11">
        <f>IFERROR(__xludf.DUMMYFUNCTION("""COMPUTED_VALUE"""),1050.0)</f>
        <v>1050</v>
      </c>
      <c r="E3551" s="9"/>
    </row>
    <row r="3552">
      <c r="A3552" s="11">
        <f>IFERROR(__xludf.DUMMYFUNCTION("""COMPUTED_VALUE"""),2021.0)</f>
        <v>2021</v>
      </c>
      <c r="B3552" s="11">
        <f>IFERROR(__xludf.DUMMYFUNCTION("""COMPUTED_VALUE"""),10.0)</f>
        <v>10</v>
      </c>
      <c r="C3552" s="11">
        <f>IFERROR(__xludf.DUMMYFUNCTION("""COMPUTED_VALUE"""),121095.0)</f>
        <v>121095</v>
      </c>
      <c r="D3552" s="11">
        <f>IFERROR(__xludf.DUMMYFUNCTION("""COMPUTED_VALUE"""),567.0)</f>
        <v>567</v>
      </c>
      <c r="E3552" s="9"/>
    </row>
    <row r="3553">
      <c r="A3553" s="11">
        <f>IFERROR(__xludf.DUMMYFUNCTION("""COMPUTED_VALUE"""),2021.0)</f>
        <v>2021</v>
      </c>
      <c r="B3553" s="11">
        <f>IFERROR(__xludf.DUMMYFUNCTION("""COMPUTED_VALUE"""),10.0)</f>
        <v>10</v>
      </c>
      <c r="C3553" s="11">
        <f>IFERROR(__xludf.DUMMYFUNCTION("""COMPUTED_VALUE"""),76450.0)</f>
        <v>76450</v>
      </c>
      <c r="D3553" s="11">
        <f>IFERROR(__xludf.DUMMYFUNCTION("""COMPUTED_VALUE"""),1369.0)</f>
        <v>1369</v>
      </c>
      <c r="E3553" s="9"/>
    </row>
    <row r="3554">
      <c r="A3554" s="11">
        <f>IFERROR(__xludf.DUMMYFUNCTION("""COMPUTED_VALUE"""),2021.0)</f>
        <v>2021</v>
      </c>
      <c r="B3554" s="11">
        <f>IFERROR(__xludf.DUMMYFUNCTION("""COMPUTED_VALUE"""),10.0)</f>
        <v>10</v>
      </c>
      <c r="C3554" s="11">
        <f>IFERROR(__xludf.DUMMYFUNCTION("""COMPUTED_VALUE"""),121012.0)</f>
        <v>121012</v>
      </c>
      <c r="D3554" s="11">
        <f>IFERROR(__xludf.DUMMYFUNCTION("""COMPUTED_VALUE"""),804.0)</f>
        <v>804</v>
      </c>
      <c r="E3554" s="9"/>
    </row>
    <row r="3555">
      <c r="A3555" s="11">
        <f>IFERROR(__xludf.DUMMYFUNCTION("""COMPUTED_VALUE"""),2021.0)</f>
        <v>2021</v>
      </c>
      <c r="B3555" s="11">
        <f>IFERROR(__xludf.DUMMYFUNCTION("""COMPUTED_VALUE"""),10.0)</f>
        <v>10</v>
      </c>
      <c r="C3555" s="11">
        <f>IFERROR(__xludf.DUMMYFUNCTION("""COMPUTED_VALUE"""),113187.0)</f>
        <v>113187</v>
      </c>
      <c r="D3555" s="11">
        <f>IFERROR(__xludf.DUMMYFUNCTION("""COMPUTED_VALUE"""),337.0)</f>
        <v>337</v>
      </c>
      <c r="E3555" s="9"/>
    </row>
    <row r="3556">
      <c r="A3556" s="11">
        <f>IFERROR(__xludf.DUMMYFUNCTION("""COMPUTED_VALUE"""),2021.0)</f>
        <v>2021</v>
      </c>
      <c r="B3556" s="11">
        <f>IFERROR(__xludf.DUMMYFUNCTION("""COMPUTED_VALUE"""),11.0)</f>
        <v>11</v>
      </c>
      <c r="C3556" s="11">
        <f>IFERROR(__xludf.DUMMYFUNCTION("""COMPUTED_VALUE"""),101946.0)</f>
        <v>101946</v>
      </c>
      <c r="D3556" s="11">
        <f>IFERROR(__xludf.DUMMYFUNCTION("""COMPUTED_VALUE"""),1880.0)</f>
        <v>1880</v>
      </c>
      <c r="E3556" s="9"/>
    </row>
    <row r="3557">
      <c r="A3557" s="11">
        <f>IFERROR(__xludf.DUMMYFUNCTION("""COMPUTED_VALUE"""),2021.0)</f>
        <v>2021</v>
      </c>
      <c r="B3557" s="11">
        <f>IFERROR(__xludf.DUMMYFUNCTION("""COMPUTED_VALUE"""),10.0)</f>
        <v>10</v>
      </c>
      <c r="C3557" s="11">
        <f>IFERROR(__xludf.DUMMYFUNCTION("""COMPUTED_VALUE"""),117275.0)</f>
        <v>117275</v>
      </c>
      <c r="D3557" s="11">
        <f>IFERROR(__xludf.DUMMYFUNCTION("""COMPUTED_VALUE"""),1558.0)</f>
        <v>1558</v>
      </c>
      <c r="E3557" s="9"/>
    </row>
    <row r="3558">
      <c r="A3558" s="11">
        <f>IFERROR(__xludf.DUMMYFUNCTION("""COMPUTED_VALUE"""),2021.0)</f>
        <v>2021</v>
      </c>
      <c r="B3558" s="11">
        <f>IFERROR(__xludf.DUMMYFUNCTION("""COMPUTED_VALUE"""),10.0)</f>
        <v>10</v>
      </c>
      <c r="C3558" s="11">
        <f>IFERROR(__xludf.DUMMYFUNCTION("""COMPUTED_VALUE"""),117695.0)</f>
        <v>117695</v>
      </c>
      <c r="D3558" s="11">
        <f>IFERROR(__xludf.DUMMYFUNCTION("""COMPUTED_VALUE"""),622.0)</f>
        <v>622</v>
      </c>
      <c r="E3558" s="9"/>
    </row>
    <row r="3559">
      <c r="A3559" s="11">
        <f>IFERROR(__xludf.DUMMYFUNCTION("""COMPUTED_VALUE"""),2021.0)</f>
        <v>2021</v>
      </c>
      <c r="B3559" s="11">
        <f>IFERROR(__xludf.DUMMYFUNCTION("""COMPUTED_VALUE"""),8.0)</f>
        <v>8</v>
      </c>
      <c r="C3559" s="11">
        <f>IFERROR(__xludf.DUMMYFUNCTION("""COMPUTED_VALUE"""),74398.0)</f>
        <v>74398</v>
      </c>
      <c r="D3559" s="11">
        <f>IFERROR(__xludf.DUMMYFUNCTION("""COMPUTED_VALUE"""),1824.0)</f>
        <v>1824</v>
      </c>
      <c r="E3559" s="9"/>
    </row>
    <row r="3560">
      <c r="A3560" s="11">
        <f>IFERROR(__xludf.DUMMYFUNCTION("""COMPUTED_VALUE"""),2021.0)</f>
        <v>2021</v>
      </c>
      <c r="B3560" s="11">
        <f>IFERROR(__xludf.DUMMYFUNCTION("""COMPUTED_VALUE"""),9.0)</f>
        <v>9</v>
      </c>
      <c r="C3560" s="11">
        <f>IFERROR(__xludf.DUMMYFUNCTION("""COMPUTED_VALUE"""),105230.0)</f>
        <v>105230</v>
      </c>
      <c r="D3560" s="11">
        <f>IFERROR(__xludf.DUMMYFUNCTION("""COMPUTED_VALUE"""),238.0)</f>
        <v>238</v>
      </c>
      <c r="E3560" s="9"/>
    </row>
    <row r="3561">
      <c r="A3561" s="11">
        <f>IFERROR(__xludf.DUMMYFUNCTION("""COMPUTED_VALUE"""),2021.0)</f>
        <v>2021</v>
      </c>
      <c r="B3561" s="11">
        <f>IFERROR(__xludf.DUMMYFUNCTION("""COMPUTED_VALUE"""),10.0)</f>
        <v>10</v>
      </c>
      <c r="C3561" s="11">
        <f>IFERROR(__xludf.DUMMYFUNCTION("""COMPUTED_VALUE"""),112776.0)</f>
        <v>112776</v>
      </c>
      <c r="D3561" s="11">
        <f>IFERROR(__xludf.DUMMYFUNCTION("""COMPUTED_VALUE"""),1164.0)</f>
        <v>1164</v>
      </c>
      <c r="E3561" s="9"/>
    </row>
    <row r="3562">
      <c r="A3562" s="11">
        <f>IFERROR(__xludf.DUMMYFUNCTION("""COMPUTED_VALUE"""),2021.0)</f>
        <v>2021</v>
      </c>
      <c r="B3562" s="11">
        <f>IFERROR(__xludf.DUMMYFUNCTION("""COMPUTED_VALUE"""),9.0)</f>
        <v>9</v>
      </c>
      <c r="C3562" s="11">
        <f>IFERROR(__xludf.DUMMYFUNCTION("""COMPUTED_VALUE"""),23968.0)</f>
        <v>23968</v>
      </c>
      <c r="D3562" s="11">
        <f>IFERROR(__xludf.DUMMYFUNCTION("""COMPUTED_VALUE"""),1327.0)</f>
        <v>1327</v>
      </c>
      <c r="E3562" s="9"/>
    </row>
    <row r="3563">
      <c r="A3563" s="11">
        <f>IFERROR(__xludf.DUMMYFUNCTION("""COMPUTED_VALUE"""),2021.0)</f>
        <v>2021</v>
      </c>
      <c r="B3563" s="11">
        <f>IFERROR(__xludf.DUMMYFUNCTION("""COMPUTED_VALUE"""),10.0)</f>
        <v>10</v>
      </c>
      <c r="C3563" s="11">
        <f>IFERROR(__xludf.DUMMYFUNCTION("""COMPUTED_VALUE"""),127025.0)</f>
        <v>127025</v>
      </c>
      <c r="D3563" s="11">
        <f>IFERROR(__xludf.DUMMYFUNCTION("""COMPUTED_VALUE"""),907.0)</f>
        <v>907</v>
      </c>
      <c r="E3563" s="9"/>
    </row>
    <row r="3564">
      <c r="A3564" s="11">
        <f>IFERROR(__xludf.DUMMYFUNCTION("""COMPUTED_VALUE"""),2021.0)</f>
        <v>2021</v>
      </c>
      <c r="B3564" s="11">
        <f>IFERROR(__xludf.DUMMYFUNCTION("""COMPUTED_VALUE"""),11.0)</f>
        <v>11</v>
      </c>
      <c r="C3564" s="11">
        <f>IFERROR(__xludf.DUMMYFUNCTION("""COMPUTED_VALUE"""),118956.0)</f>
        <v>118956</v>
      </c>
      <c r="D3564" s="11">
        <f>IFERROR(__xludf.DUMMYFUNCTION("""COMPUTED_VALUE"""),1536.0)</f>
        <v>1536</v>
      </c>
      <c r="E3564" s="9"/>
    </row>
    <row r="3565">
      <c r="A3565" s="11">
        <f>IFERROR(__xludf.DUMMYFUNCTION("""COMPUTED_VALUE"""),2021.0)</f>
        <v>2021</v>
      </c>
      <c r="B3565" s="11">
        <f>IFERROR(__xludf.DUMMYFUNCTION("""COMPUTED_VALUE"""),10.0)</f>
        <v>10</v>
      </c>
      <c r="C3565" s="11">
        <f>IFERROR(__xludf.DUMMYFUNCTION("""COMPUTED_VALUE"""),118947.0)</f>
        <v>118947</v>
      </c>
      <c r="D3565" s="11">
        <f>IFERROR(__xludf.DUMMYFUNCTION("""COMPUTED_VALUE"""),959.0)</f>
        <v>959</v>
      </c>
      <c r="E3565" s="9"/>
    </row>
    <row r="3566">
      <c r="A3566" s="11">
        <f>IFERROR(__xludf.DUMMYFUNCTION("""COMPUTED_VALUE"""),2021.0)</f>
        <v>2021</v>
      </c>
      <c r="B3566" s="11">
        <f>IFERROR(__xludf.DUMMYFUNCTION("""COMPUTED_VALUE"""),9.0)</f>
        <v>9</v>
      </c>
      <c r="C3566" s="11">
        <f>IFERROR(__xludf.DUMMYFUNCTION("""COMPUTED_VALUE"""),95873.0)</f>
        <v>95873</v>
      </c>
      <c r="D3566" s="11">
        <f>IFERROR(__xludf.DUMMYFUNCTION("""COMPUTED_VALUE"""),1199.0)</f>
        <v>1199</v>
      </c>
      <c r="E3566" s="9"/>
    </row>
    <row r="3567">
      <c r="A3567" s="11">
        <f>IFERROR(__xludf.DUMMYFUNCTION("""COMPUTED_VALUE"""),2021.0)</f>
        <v>2021</v>
      </c>
      <c r="B3567" s="11">
        <f>IFERROR(__xludf.DUMMYFUNCTION("""COMPUTED_VALUE"""),9.0)</f>
        <v>9</v>
      </c>
      <c r="C3567" s="11">
        <f>IFERROR(__xludf.DUMMYFUNCTION("""COMPUTED_VALUE"""),118946.0)</f>
        <v>118946</v>
      </c>
      <c r="D3567" s="11">
        <f>IFERROR(__xludf.DUMMYFUNCTION("""COMPUTED_VALUE"""),1389.0)</f>
        <v>1389</v>
      </c>
      <c r="E3567" s="9"/>
    </row>
    <row r="3568">
      <c r="A3568" s="11">
        <f>IFERROR(__xludf.DUMMYFUNCTION("""COMPUTED_VALUE"""),2021.0)</f>
        <v>2021</v>
      </c>
      <c r="B3568" s="11">
        <f>IFERROR(__xludf.DUMMYFUNCTION("""COMPUTED_VALUE"""),9.0)</f>
        <v>9</v>
      </c>
      <c r="C3568" s="11">
        <f>IFERROR(__xludf.DUMMYFUNCTION("""COMPUTED_VALUE"""),44991.0)</f>
        <v>44991</v>
      </c>
      <c r="D3568" s="11">
        <f>IFERROR(__xludf.DUMMYFUNCTION("""COMPUTED_VALUE"""),1872.0)</f>
        <v>1872</v>
      </c>
      <c r="E3568" s="9"/>
    </row>
    <row r="3569">
      <c r="A3569" s="11">
        <f>IFERROR(__xludf.DUMMYFUNCTION("""COMPUTED_VALUE"""),2021.0)</f>
        <v>2021</v>
      </c>
      <c r="B3569" s="11">
        <f>IFERROR(__xludf.DUMMYFUNCTION("""COMPUTED_VALUE"""),10.0)</f>
        <v>10</v>
      </c>
      <c r="C3569" s="11">
        <f>IFERROR(__xludf.DUMMYFUNCTION("""COMPUTED_VALUE"""),122398.0)</f>
        <v>122398</v>
      </c>
      <c r="D3569" s="11">
        <f>IFERROR(__xludf.DUMMYFUNCTION("""COMPUTED_VALUE"""),1647.0)</f>
        <v>1647</v>
      </c>
      <c r="E3569" s="9"/>
    </row>
    <row r="3570">
      <c r="A3570" s="11">
        <f>IFERROR(__xludf.DUMMYFUNCTION("""COMPUTED_VALUE"""),2021.0)</f>
        <v>2021</v>
      </c>
      <c r="B3570" s="11">
        <f>IFERROR(__xludf.DUMMYFUNCTION("""COMPUTED_VALUE"""),9.0)</f>
        <v>9</v>
      </c>
      <c r="C3570" s="11">
        <f>IFERROR(__xludf.DUMMYFUNCTION("""COMPUTED_VALUE"""),108638.0)</f>
        <v>108638</v>
      </c>
      <c r="D3570" s="11">
        <f>IFERROR(__xludf.DUMMYFUNCTION("""COMPUTED_VALUE"""),158.0)</f>
        <v>158</v>
      </c>
      <c r="E3570" s="9"/>
    </row>
    <row r="3571">
      <c r="A3571" s="11">
        <f>IFERROR(__xludf.DUMMYFUNCTION("""COMPUTED_VALUE"""),2021.0)</f>
        <v>2021</v>
      </c>
      <c r="B3571" s="11">
        <f>IFERROR(__xludf.DUMMYFUNCTION("""COMPUTED_VALUE"""),8.0)</f>
        <v>8</v>
      </c>
      <c r="C3571" s="11">
        <f>IFERROR(__xludf.DUMMYFUNCTION("""COMPUTED_VALUE"""),113633.0)</f>
        <v>113633</v>
      </c>
      <c r="D3571" s="11">
        <f>IFERROR(__xludf.DUMMYFUNCTION("""COMPUTED_VALUE"""),1388.0)</f>
        <v>1388</v>
      </c>
      <c r="E3571" s="9"/>
    </row>
    <row r="3572">
      <c r="A3572" s="11">
        <f>IFERROR(__xludf.DUMMYFUNCTION("""COMPUTED_VALUE"""),2021.0)</f>
        <v>2021</v>
      </c>
      <c r="B3572" s="11">
        <f>IFERROR(__xludf.DUMMYFUNCTION("""COMPUTED_VALUE"""),10.0)</f>
        <v>10</v>
      </c>
      <c r="C3572" s="11">
        <f>IFERROR(__xludf.DUMMYFUNCTION("""COMPUTED_VALUE"""),113649.0)</f>
        <v>113649</v>
      </c>
      <c r="D3572" s="11">
        <f>IFERROR(__xludf.DUMMYFUNCTION("""COMPUTED_VALUE"""),726.0)</f>
        <v>726</v>
      </c>
      <c r="E3572" s="9"/>
    </row>
    <row r="3573">
      <c r="A3573" s="11">
        <f>IFERROR(__xludf.DUMMYFUNCTION("""COMPUTED_VALUE"""),2021.0)</f>
        <v>2021</v>
      </c>
      <c r="B3573" s="11">
        <f>IFERROR(__xludf.DUMMYFUNCTION("""COMPUTED_VALUE"""),9.0)</f>
        <v>9</v>
      </c>
      <c r="C3573" s="11">
        <f>IFERROR(__xludf.DUMMYFUNCTION("""COMPUTED_VALUE"""),113619.0)</f>
        <v>113619</v>
      </c>
      <c r="D3573" s="11">
        <f>IFERROR(__xludf.DUMMYFUNCTION("""COMPUTED_VALUE"""),1399.0)</f>
        <v>1399</v>
      </c>
      <c r="E3573" s="9"/>
    </row>
    <row r="3574">
      <c r="A3574" s="11">
        <f>IFERROR(__xludf.DUMMYFUNCTION("""COMPUTED_VALUE"""),2021.0)</f>
        <v>2021</v>
      </c>
      <c r="B3574" s="11">
        <f>IFERROR(__xludf.DUMMYFUNCTION("""COMPUTED_VALUE"""),9.0)</f>
        <v>9</v>
      </c>
      <c r="C3574" s="11">
        <f>IFERROR(__xludf.DUMMYFUNCTION("""COMPUTED_VALUE"""),113648.0)</f>
        <v>113648</v>
      </c>
      <c r="D3574" s="11">
        <f>IFERROR(__xludf.DUMMYFUNCTION("""COMPUTED_VALUE"""),252.0)</f>
        <v>252</v>
      </c>
      <c r="E3574" s="9"/>
    </row>
    <row r="3575">
      <c r="A3575" s="11">
        <f>IFERROR(__xludf.DUMMYFUNCTION("""COMPUTED_VALUE"""),2021.0)</f>
        <v>2021</v>
      </c>
      <c r="B3575" s="11">
        <f>IFERROR(__xludf.DUMMYFUNCTION("""COMPUTED_VALUE"""),11.0)</f>
        <v>11</v>
      </c>
      <c r="C3575" s="11">
        <f>IFERROR(__xludf.DUMMYFUNCTION("""COMPUTED_VALUE"""),120889.0)</f>
        <v>120889</v>
      </c>
      <c r="D3575" s="11">
        <f>IFERROR(__xludf.DUMMYFUNCTION("""COMPUTED_VALUE"""),425.0)</f>
        <v>425</v>
      </c>
      <c r="E3575" s="9"/>
    </row>
    <row r="3576">
      <c r="A3576" s="11">
        <f>IFERROR(__xludf.DUMMYFUNCTION("""COMPUTED_VALUE"""),2021.0)</f>
        <v>2021</v>
      </c>
      <c r="B3576" s="11">
        <f>IFERROR(__xludf.DUMMYFUNCTION("""COMPUTED_VALUE"""),11.0)</f>
        <v>11</v>
      </c>
      <c r="C3576" s="11">
        <f>IFERROR(__xludf.DUMMYFUNCTION("""COMPUTED_VALUE"""),113620.0)</f>
        <v>113620</v>
      </c>
      <c r="D3576" s="11">
        <f>IFERROR(__xludf.DUMMYFUNCTION("""COMPUTED_VALUE"""),1760.0)</f>
        <v>1760</v>
      </c>
      <c r="E3576" s="9"/>
    </row>
    <row r="3577">
      <c r="A3577" s="11">
        <f>IFERROR(__xludf.DUMMYFUNCTION("""COMPUTED_VALUE"""),2021.0)</f>
        <v>2021</v>
      </c>
      <c r="B3577" s="11">
        <f>IFERROR(__xludf.DUMMYFUNCTION("""COMPUTED_VALUE"""),9.0)</f>
        <v>9</v>
      </c>
      <c r="C3577" s="11">
        <f>IFERROR(__xludf.DUMMYFUNCTION("""COMPUTED_VALUE"""),113626.0)</f>
        <v>113626</v>
      </c>
      <c r="D3577" s="11">
        <f>IFERROR(__xludf.DUMMYFUNCTION("""COMPUTED_VALUE"""),71.0)</f>
        <v>71</v>
      </c>
      <c r="E3577" s="9"/>
    </row>
    <row r="3578">
      <c r="A3578" s="11">
        <f>IFERROR(__xludf.DUMMYFUNCTION("""COMPUTED_VALUE"""),2021.0)</f>
        <v>2021</v>
      </c>
      <c r="B3578" s="11">
        <f>IFERROR(__xludf.DUMMYFUNCTION("""COMPUTED_VALUE"""),11.0)</f>
        <v>11</v>
      </c>
      <c r="C3578" s="11">
        <f>IFERROR(__xludf.DUMMYFUNCTION("""COMPUTED_VALUE"""),113657.0)</f>
        <v>113657</v>
      </c>
      <c r="D3578" s="11">
        <f>IFERROR(__xludf.DUMMYFUNCTION("""COMPUTED_VALUE"""),1123.0)</f>
        <v>1123</v>
      </c>
      <c r="E3578" s="9"/>
    </row>
    <row r="3579">
      <c r="A3579" s="11">
        <f>IFERROR(__xludf.DUMMYFUNCTION("""COMPUTED_VALUE"""),2021.0)</f>
        <v>2021</v>
      </c>
      <c r="B3579" s="11">
        <f>IFERROR(__xludf.DUMMYFUNCTION("""COMPUTED_VALUE"""),10.0)</f>
        <v>10</v>
      </c>
      <c r="C3579" s="11">
        <f>IFERROR(__xludf.DUMMYFUNCTION("""COMPUTED_VALUE"""),113645.0)</f>
        <v>113645</v>
      </c>
      <c r="D3579" s="11">
        <f>IFERROR(__xludf.DUMMYFUNCTION("""COMPUTED_VALUE"""),733.0)</f>
        <v>733</v>
      </c>
      <c r="E3579" s="9"/>
    </row>
    <row r="3580">
      <c r="A3580" s="11">
        <f>IFERROR(__xludf.DUMMYFUNCTION("""COMPUTED_VALUE"""),2021.0)</f>
        <v>2021</v>
      </c>
      <c r="B3580" s="11">
        <f>IFERROR(__xludf.DUMMYFUNCTION("""COMPUTED_VALUE"""),9.0)</f>
        <v>9</v>
      </c>
      <c r="C3580" s="11">
        <f>IFERROR(__xludf.DUMMYFUNCTION("""COMPUTED_VALUE"""),18247.0)</f>
        <v>18247</v>
      </c>
      <c r="D3580" s="11">
        <f>IFERROR(__xludf.DUMMYFUNCTION("""COMPUTED_VALUE"""),1665.0)</f>
        <v>1665</v>
      </c>
      <c r="E3580" s="9"/>
    </row>
    <row r="3581">
      <c r="A3581" s="11">
        <f>IFERROR(__xludf.DUMMYFUNCTION("""COMPUTED_VALUE"""),2021.0)</f>
        <v>2021</v>
      </c>
      <c r="B3581" s="11">
        <f>IFERROR(__xludf.DUMMYFUNCTION("""COMPUTED_VALUE"""),10.0)</f>
        <v>10</v>
      </c>
      <c r="C3581" s="11">
        <f>IFERROR(__xludf.DUMMYFUNCTION("""COMPUTED_VALUE"""),121249.0)</f>
        <v>121249</v>
      </c>
      <c r="D3581" s="11">
        <f>IFERROR(__xludf.DUMMYFUNCTION("""COMPUTED_VALUE"""),1080.0)</f>
        <v>1080</v>
      </c>
      <c r="E3581" s="9"/>
    </row>
    <row r="3582">
      <c r="A3582" s="11">
        <f>IFERROR(__xludf.DUMMYFUNCTION("""COMPUTED_VALUE"""),2021.0)</f>
        <v>2021</v>
      </c>
      <c r="B3582" s="11">
        <f>IFERROR(__xludf.DUMMYFUNCTION("""COMPUTED_VALUE"""),11.0)</f>
        <v>11</v>
      </c>
      <c r="C3582" s="11">
        <f>IFERROR(__xludf.DUMMYFUNCTION("""COMPUTED_VALUE"""),104912.0)</f>
        <v>104912</v>
      </c>
      <c r="D3582" s="11">
        <f>IFERROR(__xludf.DUMMYFUNCTION("""COMPUTED_VALUE"""),772.0)</f>
        <v>772</v>
      </c>
      <c r="E3582" s="9"/>
    </row>
    <row r="3583">
      <c r="A3583" s="11">
        <f>IFERROR(__xludf.DUMMYFUNCTION("""COMPUTED_VALUE"""),2021.0)</f>
        <v>2021</v>
      </c>
      <c r="B3583" s="11">
        <f>IFERROR(__xludf.DUMMYFUNCTION("""COMPUTED_VALUE"""),11.0)</f>
        <v>11</v>
      </c>
      <c r="C3583" s="11">
        <f>IFERROR(__xludf.DUMMYFUNCTION("""COMPUTED_VALUE"""),73222.0)</f>
        <v>73222</v>
      </c>
      <c r="D3583" s="11">
        <f>IFERROR(__xludf.DUMMYFUNCTION("""COMPUTED_VALUE"""),813.0)</f>
        <v>813</v>
      </c>
      <c r="E3583" s="9"/>
    </row>
    <row r="3584">
      <c r="A3584" s="11">
        <f>IFERROR(__xludf.DUMMYFUNCTION("""COMPUTED_VALUE"""),2021.0)</f>
        <v>2021</v>
      </c>
      <c r="B3584" s="11">
        <f>IFERROR(__xludf.DUMMYFUNCTION("""COMPUTED_VALUE"""),9.0)</f>
        <v>9</v>
      </c>
      <c r="C3584" s="11">
        <f>IFERROR(__xludf.DUMMYFUNCTION("""COMPUTED_VALUE"""),78834.0)</f>
        <v>78834</v>
      </c>
      <c r="D3584" s="11">
        <f>IFERROR(__xludf.DUMMYFUNCTION("""COMPUTED_VALUE"""),1084.0)</f>
        <v>1084</v>
      </c>
      <c r="E3584" s="9"/>
    </row>
    <row r="3585">
      <c r="A3585" s="11">
        <f>IFERROR(__xludf.DUMMYFUNCTION("""COMPUTED_VALUE"""),2021.0)</f>
        <v>2021</v>
      </c>
      <c r="B3585" s="11">
        <f>IFERROR(__xludf.DUMMYFUNCTION("""COMPUTED_VALUE"""),11.0)</f>
        <v>11</v>
      </c>
      <c r="C3585" s="11">
        <f>IFERROR(__xludf.DUMMYFUNCTION("""COMPUTED_VALUE"""),15109.0)</f>
        <v>15109</v>
      </c>
      <c r="D3585" s="11">
        <f>IFERROR(__xludf.DUMMYFUNCTION("""COMPUTED_VALUE"""),533.0)</f>
        <v>533</v>
      </c>
      <c r="E3585" s="9"/>
    </row>
    <row r="3586">
      <c r="A3586" s="11">
        <f>IFERROR(__xludf.DUMMYFUNCTION("""COMPUTED_VALUE"""),2021.0)</f>
        <v>2021</v>
      </c>
      <c r="B3586" s="11">
        <f>IFERROR(__xludf.DUMMYFUNCTION("""COMPUTED_VALUE"""),9.0)</f>
        <v>9</v>
      </c>
      <c r="C3586" s="11">
        <f>IFERROR(__xludf.DUMMYFUNCTION("""COMPUTED_VALUE"""),26126.0)</f>
        <v>26126</v>
      </c>
      <c r="D3586" s="11">
        <f>IFERROR(__xludf.DUMMYFUNCTION("""COMPUTED_VALUE"""),1817.0)</f>
        <v>1817</v>
      </c>
      <c r="E3586" s="9"/>
    </row>
    <row r="3587">
      <c r="A3587" s="11">
        <f>IFERROR(__xludf.DUMMYFUNCTION("""COMPUTED_VALUE"""),2021.0)</f>
        <v>2021</v>
      </c>
      <c r="B3587" s="11">
        <f>IFERROR(__xludf.DUMMYFUNCTION("""COMPUTED_VALUE"""),10.0)</f>
        <v>10</v>
      </c>
      <c r="C3587" s="11">
        <f>IFERROR(__xludf.DUMMYFUNCTION("""COMPUTED_VALUE"""),48724.0)</f>
        <v>48724</v>
      </c>
      <c r="D3587" s="11">
        <f>IFERROR(__xludf.DUMMYFUNCTION("""COMPUTED_VALUE"""),1140.0)</f>
        <v>1140</v>
      </c>
      <c r="E3587" s="9"/>
    </row>
    <row r="3588">
      <c r="A3588" s="11">
        <f>IFERROR(__xludf.DUMMYFUNCTION("""COMPUTED_VALUE"""),2021.0)</f>
        <v>2021</v>
      </c>
      <c r="B3588" s="11">
        <f>IFERROR(__xludf.DUMMYFUNCTION("""COMPUTED_VALUE"""),10.0)</f>
        <v>10</v>
      </c>
      <c r="C3588" s="11">
        <f>IFERROR(__xludf.DUMMYFUNCTION("""COMPUTED_VALUE"""),98888.0)</f>
        <v>98888</v>
      </c>
      <c r="D3588" s="11">
        <f>IFERROR(__xludf.DUMMYFUNCTION("""COMPUTED_VALUE"""),583.0)</f>
        <v>583</v>
      </c>
      <c r="E3588" s="9"/>
    </row>
    <row r="3589">
      <c r="A3589" s="11">
        <f>IFERROR(__xludf.DUMMYFUNCTION("""COMPUTED_VALUE"""),2021.0)</f>
        <v>2021</v>
      </c>
      <c r="B3589" s="11">
        <f>IFERROR(__xludf.DUMMYFUNCTION("""COMPUTED_VALUE"""),8.0)</f>
        <v>8</v>
      </c>
      <c r="C3589" s="11">
        <f>IFERROR(__xludf.DUMMYFUNCTION("""COMPUTED_VALUE"""),48605.0)</f>
        <v>48605</v>
      </c>
      <c r="D3589" s="11">
        <f>IFERROR(__xludf.DUMMYFUNCTION("""COMPUTED_VALUE"""),762.0)</f>
        <v>762</v>
      </c>
      <c r="E3589" s="9"/>
    </row>
    <row r="3590">
      <c r="A3590" s="11">
        <f>IFERROR(__xludf.DUMMYFUNCTION("""COMPUTED_VALUE"""),2021.0)</f>
        <v>2021</v>
      </c>
      <c r="B3590" s="11">
        <f>IFERROR(__xludf.DUMMYFUNCTION("""COMPUTED_VALUE"""),8.0)</f>
        <v>8</v>
      </c>
      <c r="C3590" s="11">
        <f>IFERROR(__xludf.DUMMYFUNCTION("""COMPUTED_VALUE"""),119243.0)</f>
        <v>119243</v>
      </c>
      <c r="D3590" s="11">
        <f>IFERROR(__xludf.DUMMYFUNCTION("""COMPUTED_VALUE"""),1790.0)</f>
        <v>1790</v>
      </c>
      <c r="E3590" s="9"/>
    </row>
    <row r="3591">
      <c r="A3591" s="11">
        <f>IFERROR(__xludf.DUMMYFUNCTION("""COMPUTED_VALUE"""),2021.0)</f>
        <v>2021</v>
      </c>
      <c r="B3591" s="11">
        <f>IFERROR(__xludf.DUMMYFUNCTION("""COMPUTED_VALUE"""),10.0)</f>
        <v>10</v>
      </c>
      <c r="C3591" s="11">
        <f>IFERROR(__xludf.DUMMYFUNCTION("""COMPUTED_VALUE"""),22045.0)</f>
        <v>22045</v>
      </c>
      <c r="D3591" s="11">
        <f>IFERROR(__xludf.DUMMYFUNCTION("""COMPUTED_VALUE"""),1792.0)</f>
        <v>1792</v>
      </c>
      <c r="E3591" s="9"/>
    </row>
    <row r="3592">
      <c r="A3592" s="11">
        <f>IFERROR(__xludf.DUMMYFUNCTION("""COMPUTED_VALUE"""),2021.0)</f>
        <v>2021</v>
      </c>
      <c r="B3592" s="11">
        <f>IFERROR(__xludf.DUMMYFUNCTION("""COMPUTED_VALUE"""),8.0)</f>
        <v>8</v>
      </c>
      <c r="C3592" s="11">
        <f>IFERROR(__xludf.DUMMYFUNCTION("""COMPUTED_VALUE"""),73221.0)</f>
        <v>73221</v>
      </c>
      <c r="D3592" s="11">
        <f>IFERROR(__xludf.DUMMYFUNCTION("""COMPUTED_VALUE"""),428.0)</f>
        <v>428</v>
      </c>
      <c r="E3592" s="9"/>
    </row>
    <row r="3593">
      <c r="A3593" s="11">
        <f>IFERROR(__xludf.DUMMYFUNCTION("""COMPUTED_VALUE"""),2021.0)</f>
        <v>2021</v>
      </c>
      <c r="B3593" s="11">
        <f>IFERROR(__xludf.DUMMYFUNCTION("""COMPUTED_VALUE"""),9.0)</f>
        <v>9</v>
      </c>
      <c r="C3593" s="11">
        <f>IFERROR(__xludf.DUMMYFUNCTION("""COMPUTED_VALUE"""),72168.0)</f>
        <v>72168</v>
      </c>
      <c r="D3593" s="11">
        <f>IFERROR(__xludf.DUMMYFUNCTION("""COMPUTED_VALUE"""),1275.0)</f>
        <v>1275</v>
      </c>
      <c r="E3593" s="9"/>
    </row>
    <row r="3594">
      <c r="A3594" s="11">
        <f>IFERROR(__xludf.DUMMYFUNCTION("""COMPUTED_VALUE"""),2021.0)</f>
        <v>2021</v>
      </c>
      <c r="B3594" s="11">
        <f>IFERROR(__xludf.DUMMYFUNCTION("""COMPUTED_VALUE"""),11.0)</f>
        <v>11</v>
      </c>
      <c r="C3594" s="11">
        <f>IFERROR(__xludf.DUMMYFUNCTION("""COMPUTED_VALUE"""),127039.0)</f>
        <v>127039</v>
      </c>
      <c r="D3594" s="11">
        <f>IFERROR(__xludf.DUMMYFUNCTION("""COMPUTED_VALUE"""),1239.0)</f>
        <v>1239</v>
      </c>
      <c r="E3594" s="9"/>
    </row>
    <row r="3595">
      <c r="A3595" s="11">
        <f>IFERROR(__xludf.DUMMYFUNCTION("""COMPUTED_VALUE"""),2021.0)</f>
        <v>2021</v>
      </c>
      <c r="B3595" s="11">
        <f>IFERROR(__xludf.DUMMYFUNCTION("""COMPUTED_VALUE"""),11.0)</f>
        <v>11</v>
      </c>
      <c r="C3595" s="11">
        <f>IFERROR(__xludf.DUMMYFUNCTION("""COMPUTED_VALUE"""),155861.0)</f>
        <v>155861</v>
      </c>
      <c r="D3595" s="11">
        <f>IFERROR(__xludf.DUMMYFUNCTION("""COMPUTED_VALUE"""),1132.0)</f>
        <v>1132</v>
      </c>
      <c r="E3595" s="9"/>
    </row>
    <row r="3596">
      <c r="A3596" s="11">
        <f>IFERROR(__xludf.DUMMYFUNCTION("""COMPUTED_VALUE"""),2021.0)</f>
        <v>2021</v>
      </c>
      <c r="B3596" s="11">
        <f>IFERROR(__xludf.DUMMYFUNCTION("""COMPUTED_VALUE"""),8.0)</f>
        <v>8</v>
      </c>
      <c r="C3596" s="11">
        <f>IFERROR(__xludf.DUMMYFUNCTION("""COMPUTED_VALUE"""),6213.0)</f>
        <v>6213</v>
      </c>
      <c r="D3596" s="11">
        <f>IFERROR(__xludf.DUMMYFUNCTION("""COMPUTED_VALUE"""),1505.0)</f>
        <v>1505</v>
      </c>
      <c r="E3596" s="9"/>
    </row>
    <row r="3597">
      <c r="A3597" s="11">
        <f>IFERROR(__xludf.DUMMYFUNCTION("""COMPUTED_VALUE"""),2021.0)</f>
        <v>2021</v>
      </c>
      <c r="B3597" s="11">
        <f>IFERROR(__xludf.DUMMYFUNCTION("""COMPUTED_VALUE"""),11.0)</f>
        <v>11</v>
      </c>
      <c r="C3597" s="11">
        <f>IFERROR(__xludf.DUMMYFUNCTION("""COMPUTED_VALUE"""),6476.0)</f>
        <v>6476</v>
      </c>
      <c r="D3597" s="11">
        <f>IFERROR(__xludf.DUMMYFUNCTION("""COMPUTED_VALUE"""),685.0)</f>
        <v>685</v>
      </c>
      <c r="E3597" s="9"/>
    </row>
    <row r="3598">
      <c r="A3598" s="11">
        <f>IFERROR(__xludf.DUMMYFUNCTION("""COMPUTED_VALUE"""),2021.0)</f>
        <v>2021</v>
      </c>
      <c r="B3598" s="11">
        <f>IFERROR(__xludf.DUMMYFUNCTION("""COMPUTED_VALUE"""),11.0)</f>
        <v>11</v>
      </c>
      <c r="C3598" s="11">
        <f>IFERROR(__xludf.DUMMYFUNCTION("""COMPUTED_VALUE"""),114933.0)</f>
        <v>114933</v>
      </c>
      <c r="D3598" s="11">
        <f>IFERROR(__xludf.DUMMYFUNCTION("""COMPUTED_VALUE"""),1208.0)</f>
        <v>1208</v>
      </c>
      <c r="E3598" s="9"/>
    </row>
    <row r="3599">
      <c r="A3599" s="11">
        <f>IFERROR(__xludf.DUMMYFUNCTION("""COMPUTED_VALUE"""),2021.0)</f>
        <v>2021</v>
      </c>
      <c r="B3599" s="11">
        <f>IFERROR(__xludf.DUMMYFUNCTION("""COMPUTED_VALUE"""),11.0)</f>
        <v>11</v>
      </c>
      <c r="C3599" s="11">
        <f>IFERROR(__xludf.DUMMYFUNCTION("""COMPUTED_VALUE"""),6473.0)</f>
        <v>6473</v>
      </c>
      <c r="D3599" s="11">
        <f>IFERROR(__xludf.DUMMYFUNCTION("""COMPUTED_VALUE"""),1454.0)</f>
        <v>1454</v>
      </c>
      <c r="E3599" s="9"/>
    </row>
    <row r="3600">
      <c r="A3600" s="11">
        <f>IFERROR(__xludf.DUMMYFUNCTION("""COMPUTED_VALUE"""),2021.0)</f>
        <v>2021</v>
      </c>
      <c r="B3600" s="11">
        <f>IFERROR(__xludf.DUMMYFUNCTION("""COMPUTED_VALUE"""),10.0)</f>
        <v>10</v>
      </c>
      <c r="C3600" s="11">
        <f>IFERROR(__xludf.DUMMYFUNCTION("""COMPUTED_VALUE"""),99248.0)</f>
        <v>99248</v>
      </c>
      <c r="D3600" s="11">
        <f>IFERROR(__xludf.DUMMYFUNCTION("""COMPUTED_VALUE"""),330.0)</f>
        <v>330</v>
      </c>
      <c r="E3600" s="9"/>
    </row>
    <row r="3601">
      <c r="A3601" s="11">
        <f>IFERROR(__xludf.DUMMYFUNCTION("""COMPUTED_VALUE"""),2021.0)</f>
        <v>2021</v>
      </c>
      <c r="B3601" s="11">
        <f>IFERROR(__xludf.DUMMYFUNCTION("""COMPUTED_VALUE"""),11.0)</f>
        <v>11</v>
      </c>
      <c r="C3601" s="11">
        <f>IFERROR(__xludf.DUMMYFUNCTION("""COMPUTED_VALUE"""),6477.0)</f>
        <v>6477</v>
      </c>
      <c r="D3601" s="11">
        <f>IFERROR(__xludf.DUMMYFUNCTION("""COMPUTED_VALUE"""),1822.0)</f>
        <v>1822</v>
      </c>
      <c r="E3601" s="9"/>
    </row>
    <row r="3602">
      <c r="A3602" s="11">
        <f>IFERROR(__xludf.DUMMYFUNCTION("""COMPUTED_VALUE"""),2021.0)</f>
        <v>2021</v>
      </c>
      <c r="B3602" s="11">
        <f>IFERROR(__xludf.DUMMYFUNCTION("""COMPUTED_VALUE"""),9.0)</f>
        <v>9</v>
      </c>
      <c r="C3602" s="11">
        <f>IFERROR(__xludf.DUMMYFUNCTION("""COMPUTED_VALUE"""),6478.0)</f>
        <v>6478</v>
      </c>
      <c r="D3602" s="11">
        <f>IFERROR(__xludf.DUMMYFUNCTION("""COMPUTED_VALUE"""),1748.0)</f>
        <v>1748</v>
      </c>
      <c r="E3602" s="9"/>
    </row>
    <row r="3603">
      <c r="A3603" s="11">
        <f>IFERROR(__xludf.DUMMYFUNCTION("""COMPUTED_VALUE"""),2021.0)</f>
        <v>2021</v>
      </c>
      <c r="B3603" s="11">
        <f>IFERROR(__xludf.DUMMYFUNCTION("""COMPUTED_VALUE"""),9.0)</f>
        <v>9</v>
      </c>
      <c r="C3603" s="11">
        <f>IFERROR(__xludf.DUMMYFUNCTION("""COMPUTED_VALUE"""),6474.0)</f>
        <v>6474</v>
      </c>
      <c r="D3603" s="11">
        <f>IFERROR(__xludf.DUMMYFUNCTION("""COMPUTED_VALUE"""),1560.0)</f>
        <v>1560</v>
      </c>
      <c r="E3603" s="9"/>
    </row>
    <row r="3604">
      <c r="A3604" s="11">
        <f>IFERROR(__xludf.DUMMYFUNCTION("""COMPUTED_VALUE"""),2021.0)</f>
        <v>2021</v>
      </c>
      <c r="B3604" s="11">
        <f>IFERROR(__xludf.DUMMYFUNCTION("""COMPUTED_VALUE"""),10.0)</f>
        <v>10</v>
      </c>
      <c r="C3604" s="11">
        <f>IFERROR(__xludf.DUMMYFUNCTION("""COMPUTED_VALUE"""),70574.0)</f>
        <v>70574</v>
      </c>
      <c r="D3604" s="11">
        <f>IFERROR(__xludf.DUMMYFUNCTION("""COMPUTED_VALUE"""),1280.0)</f>
        <v>1280</v>
      </c>
      <c r="E3604" s="9"/>
    </row>
    <row r="3605">
      <c r="A3605" s="11">
        <f>IFERROR(__xludf.DUMMYFUNCTION("""COMPUTED_VALUE"""),2021.0)</f>
        <v>2021</v>
      </c>
      <c r="B3605" s="11">
        <f>IFERROR(__xludf.DUMMYFUNCTION("""COMPUTED_VALUE"""),11.0)</f>
        <v>11</v>
      </c>
      <c r="C3605" s="11">
        <f>IFERROR(__xludf.DUMMYFUNCTION("""COMPUTED_VALUE"""),101302.0)</f>
        <v>101302</v>
      </c>
      <c r="D3605" s="11">
        <f>IFERROR(__xludf.DUMMYFUNCTION("""COMPUTED_VALUE"""),206.0)</f>
        <v>206</v>
      </c>
      <c r="E3605" s="9"/>
    </row>
    <row r="3606">
      <c r="A3606" s="11">
        <f>IFERROR(__xludf.DUMMYFUNCTION("""COMPUTED_VALUE"""),2021.0)</f>
        <v>2021</v>
      </c>
      <c r="B3606" s="11">
        <f>IFERROR(__xludf.DUMMYFUNCTION("""COMPUTED_VALUE"""),8.0)</f>
        <v>8</v>
      </c>
      <c r="C3606" s="11">
        <f>IFERROR(__xludf.DUMMYFUNCTION("""COMPUTED_VALUE"""),104475.0)</f>
        <v>104475</v>
      </c>
      <c r="D3606" s="11">
        <f>IFERROR(__xludf.DUMMYFUNCTION("""COMPUTED_VALUE"""),633.0)</f>
        <v>633</v>
      </c>
      <c r="E3606" s="9"/>
    </row>
    <row r="3607">
      <c r="A3607" s="11">
        <f>IFERROR(__xludf.DUMMYFUNCTION("""COMPUTED_VALUE"""),2021.0)</f>
        <v>2021</v>
      </c>
      <c r="B3607" s="11">
        <f>IFERROR(__xludf.DUMMYFUNCTION("""COMPUTED_VALUE"""),11.0)</f>
        <v>11</v>
      </c>
      <c r="C3607" s="11">
        <f>IFERROR(__xludf.DUMMYFUNCTION("""COMPUTED_VALUE"""),101296.0)</f>
        <v>101296</v>
      </c>
      <c r="D3607" s="11">
        <f>IFERROR(__xludf.DUMMYFUNCTION("""COMPUTED_VALUE"""),1698.0)</f>
        <v>1698</v>
      </c>
      <c r="E3607" s="9"/>
    </row>
    <row r="3608">
      <c r="A3608" s="11">
        <f>IFERROR(__xludf.DUMMYFUNCTION("""COMPUTED_VALUE"""),2021.0)</f>
        <v>2021</v>
      </c>
      <c r="B3608" s="11">
        <f>IFERROR(__xludf.DUMMYFUNCTION("""COMPUTED_VALUE"""),10.0)</f>
        <v>10</v>
      </c>
      <c r="C3608" s="11">
        <f>IFERROR(__xludf.DUMMYFUNCTION("""COMPUTED_VALUE"""),122029.0)</f>
        <v>122029</v>
      </c>
      <c r="D3608" s="11">
        <f>IFERROR(__xludf.DUMMYFUNCTION("""COMPUTED_VALUE"""),670.0)</f>
        <v>670</v>
      </c>
      <c r="E3608" s="9"/>
    </row>
    <row r="3609">
      <c r="A3609" s="11">
        <f>IFERROR(__xludf.DUMMYFUNCTION("""COMPUTED_VALUE"""),2021.0)</f>
        <v>2021</v>
      </c>
      <c r="B3609" s="11">
        <f>IFERROR(__xludf.DUMMYFUNCTION("""COMPUTED_VALUE"""),10.0)</f>
        <v>10</v>
      </c>
      <c r="C3609" s="11">
        <f>IFERROR(__xludf.DUMMYFUNCTION("""COMPUTED_VALUE"""),102549.0)</f>
        <v>102549</v>
      </c>
      <c r="D3609" s="11">
        <f>IFERROR(__xludf.DUMMYFUNCTION("""COMPUTED_VALUE"""),273.0)</f>
        <v>273</v>
      </c>
      <c r="E3609" s="9"/>
    </row>
    <row r="3610">
      <c r="A3610" s="11">
        <f>IFERROR(__xludf.DUMMYFUNCTION("""COMPUTED_VALUE"""),2021.0)</f>
        <v>2021</v>
      </c>
      <c r="B3610" s="11">
        <f>IFERROR(__xludf.DUMMYFUNCTION("""COMPUTED_VALUE"""),9.0)</f>
        <v>9</v>
      </c>
      <c r="C3610" s="11">
        <f>IFERROR(__xludf.DUMMYFUNCTION("""COMPUTED_VALUE"""),122026.0)</f>
        <v>122026</v>
      </c>
      <c r="D3610" s="11">
        <f>IFERROR(__xludf.DUMMYFUNCTION("""COMPUTED_VALUE"""),721.0)</f>
        <v>721</v>
      </c>
      <c r="E3610" s="9"/>
    </row>
    <row r="3611">
      <c r="A3611" s="11">
        <f>IFERROR(__xludf.DUMMYFUNCTION("""COMPUTED_VALUE"""),2021.0)</f>
        <v>2021</v>
      </c>
      <c r="B3611" s="11">
        <f>IFERROR(__xludf.DUMMYFUNCTION("""COMPUTED_VALUE"""),11.0)</f>
        <v>11</v>
      </c>
      <c r="C3611" s="11">
        <f>IFERROR(__xludf.DUMMYFUNCTION("""COMPUTED_VALUE"""),101303.0)</f>
        <v>101303</v>
      </c>
      <c r="D3611" s="11">
        <f>IFERROR(__xludf.DUMMYFUNCTION("""COMPUTED_VALUE"""),346.0)</f>
        <v>346</v>
      </c>
      <c r="E3611" s="9"/>
    </row>
    <row r="3612">
      <c r="A3612" s="11">
        <f>IFERROR(__xludf.DUMMYFUNCTION("""COMPUTED_VALUE"""),2021.0)</f>
        <v>2021</v>
      </c>
      <c r="B3612" s="11">
        <f>IFERROR(__xludf.DUMMYFUNCTION("""COMPUTED_VALUE"""),9.0)</f>
        <v>9</v>
      </c>
      <c r="C3612" s="11">
        <f>IFERROR(__xludf.DUMMYFUNCTION("""COMPUTED_VALUE"""),102548.0)</f>
        <v>102548</v>
      </c>
      <c r="D3612" s="11">
        <f>IFERROR(__xludf.DUMMYFUNCTION("""COMPUTED_VALUE"""),676.0)</f>
        <v>676</v>
      </c>
      <c r="E3612" s="9"/>
    </row>
    <row r="3613">
      <c r="A3613" s="11">
        <f>IFERROR(__xludf.DUMMYFUNCTION("""COMPUTED_VALUE"""),2021.0)</f>
        <v>2021</v>
      </c>
      <c r="B3613" s="11">
        <f>IFERROR(__xludf.DUMMYFUNCTION("""COMPUTED_VALUE"""),8.0)</f>
        <v>8</v>
      </c>
      <c r="C3613" s="11">
        <f>IFERROR(__xludf.DUMMYFUNCTION("""COMPUTED_VALUE"""),122027.0)</f>
        <v>122027</v>
      </c>
      <c r="D3613" s="11">
        <f>IFERROR(__xludf.DUMMYFUNCTION("""COMPUTED_VALUE"""),1124.0)</f>
        <v>1124</v>
      </c>
      <c r="E3613" s="9"/>
    </row>
    <row r="3614">
      <c r="A3614" s="11">
        <f>IFERROR(__xludf.DUMMYFUNCTION("""COMPUTED_VALUE"""),2021.0)</f>
        <v>2021</v>
      </c>
      <c r="B3614" s="11">
        <f>IFERROR(__xludf.DUMMYFUNCTION("""COMPUTED_VALUE"""),9.0)</f>
        <v>9</v>
      </c>
      <c r="C3614" s="11">
        <f>IFERROR(__xludf.DUMMYFUNCTION("""COMPUTED_VALUE"""),46963.0)</f>
        <v>46963</v>
      </c>
      <c r="D3614" s="11">
        <f>IFERROR(__xludf.DUMMYFUNCTION("""COMPUTED_VALUE"""),970.0)</f>
        <v>970</v>
      </c>
      <c r="E3614" s="9"/>
    </row>
    <row r="3615">
      <c r="A3615" s="11">
        <f>IFERROR(__xludf.DUMMYFUNCTION("""COMPUTED_VALUE"""),2021.0)</f>
        <v>2021</v>
      </c>
      <c r="B3615" s="11">
        <f>IFERROR(__xludf.DUMMYFUNCTION("""COMPUTED_VALUE"""),9.0)</f>
        <v>9</v>
      </c>
      <c r="C3615" s="11">
        <f>IFERROR(__xludf.DUMMYFUNCTION("""COMPUTED_VALUE"""),102268.0)</f>
        <v>102268</v>
      </c>
      <c r="D3615" s="11">
        <f>IFERROR(__xludf.DUMMYFUNCTION("""COMPUTED_VALUE"""),1554.0)</f>
        <v>1554</v>
      </c>
      <c r="E3615" s="9"/>
    </row>
    <row r="3616">
      <c r="A3616" s="11">
        <f>IFERROR(__xludf.DUMMYFUNCTION("""COMPUTED_VALUE"""),2021.0)</f>
        <v>2021</v>
      </c>
      <c r="B3616" s="11">
        <f>IFERROR(__xludf.DUMMYFUNCTION("""COMPUTED_VALUE"""),8.0)</f>
        <v>8</v>
      </c>
      <c r="C3616" s="11">
        <f>IFERROR(__xludf.DUMMYFUNCTION("""COMPUTED_VALUE"""),26649.0)</f>
        <v>26649</v>
      </c>
      <c r="D3616" s="11">
        <f>IFERROR(__xludf.DUMMYFUNCTION("""COMPUTED_VALUE"""),45.0)</f>
        <v>45</v>
      </c>
      <c r="E3616" s="9"/>
    </row>
    <row r="3617">
      <c r="A3617" s="11">
        <f>IFERROR(__xludf.DUMMYFUNCTION("""COMPUTED_VALUE"""),2021.0)</f>
        <v>2021</v>
      </c>
      <c r="B3617" s="11">
        <f>IFERROR(__xludf.DUMMYFUNCTION("""COMPUTED_VALUE"""),10.0)</f>
        <v>10</v>
      </c>
      <c r="C3617" s="11">
        <f>IFERROR(__xludf.DUMMYFUNCTION("""COMPUTED_VALUE"""),102275.0)</f>
        <v>102275</v>
      </c>
      <c r="D3617" s="11">
        <f>IFERROR(__xludf.DUMMYFUNCTION("""COMPUTED_VALUE"""),562.0)</f>
        <v>562</v>
      </c>
      <c r="E3617" s="9"/>
    </row>
    <row r="3618">
      <c r="A3618" s="11">
        <f>IFERROR(__xludf.DUMMYFUNCTION("""COMPUTED_VALUE"""),2021.0)</f>
        <v>2021</v>
      </c>
      <c r="B3618" s="11">
        <f>IFERROR(__xludf.DUMMYFUNCTION("""COMPUTED_VALUE"""),9.0)</f>
        <v>9</v>
      </c>
      <c r="C3618" s="11">
        <f>IFERROR(__xludf.DUMMYFUNCTION("""COMPUTED_VALUE"""),43943.0)</f>
        <v>43943</v>
      </c>
      <c r="D3618" s="11">
        <f>IFERROR(__xludf.DUMMYFUNCTION("""COMPUTED_VALUE"""),1127.0)</f>
        <v>1127</v>
      </c>
      <c r="E3618" s="9"/>
    </row>
    <row r="3619">
      <c r="A3619" s="11">
        <f>IFERROR(__xludf.DUMMYFUNCTION("""COMPUTED_VALUE"""),2021.0)</f>
        <v>2021</v>
      </c>
      <c r="B3619" s="11">
        <f>IFERROR(__xludf.DUMMYFUNCTION("""COMPUTED_VALUE"""),10.0)</f>
        <v>10</v>
      </c>
      <c r="C3619" s="11">
        <f>IFERROR(__xludf.DUMMYFUNCTION("""COMPUTED_VALUE"""),102550.0)</f>
        <v>102550</v>
      </c>
      <c r="D3619" s="11">
        <f>IFERROR(__xludf.DUMMYFUNCTION("""COMPUTED_VALUE"""),1324.0)</f>
        <v>1324</v>
      </c>
      <c r="E3619" s="9"/>
    </row>
    <row r="3620">
      <c r="A3620" s="11">
        <f>IFERROR(__xludf.DUMMYFUNCTION("""COMPUTED_VALUE"""),2021.0)</f>
        <v>2021</v>
      </c>
      <c r="B3620" s="11">
        <f>IFERROR(__xludf.DUMMYFUNCTION("""COMPUTED_VALUE"""),10.0)</f>
        <v>10</v>
      </c>
      <c r="C3620" s="11">
        <f>IFERROR(__xludf.DUMMYFUNCTION("""COMPUTED_VALUE"""),26650.0)</f>
        <v>26650</v>
      </c>
      <c r="D3620" s="11">
        <f>IFERROR(__xludf.DUMMYFUNCTION("""COMPUTED_VALUE"""),773.0)</f>
        <v>773</v>
      </c>
      <c r="E3620" s="9"/>
    </row>
    <row r="3621">
      <c r="A3621" s="11">
        <f>IFERROR(__xludf.DUMMYFUNCTION("""COMPUTED_VALUE"""),2021.0)</f>
        <v>2021</v>
      </c>
      <c r="B3621" s="11">
        <f>IFERROR(__xludf.DUMMYFUNCTION("""COMPUTED_VALUE"""),8.0)</f>
        <v>8</v>
      </c>
      <c r="C3621" s="11">
        <f>IFERROR(__xludf.DUMMYFUNCTION("""COMPUTED_VALUE"""),117728.0)</f>
        <v>117728</v>
      </c>
      <c r="D3621" s="11">
        <f>IFERROR(__xludf.DUMMYFUNCTION("""COMPUTED_VALUE"""),437.0)</f>
        <v>437</v>
      </c>
      <c r="E3621" s="9"/>
    </row>
    <row r="3622">
      <c r="A3622" s="11">
        <f>IFERROR(__xludf.DUMMYFUNCTION("""COMPUTED_VALUE"""),2021.0)</f>
        <v>2021</v>
      </c>
      <c r="B3622" s="11">
        <f>IFERROR(__xludf.DUMMYFUNCTION("""COMPUTED_VALUE"""),9.0)</f>
        <v>9</v>
      </c>
      <c r="C3622" s="11">
        <f>IFERROR(__xludf.DUMMYFUNCTION("""COMPUTED_VALUE"""),103588.0)</f>
        <v>103588</v>
      </c>
      <c r="D3622" s="11">
        <f>IFERROR(__xludf.DUMMYFUNCTION("""COMPUTED_VALUE"""),1568.0)</f>
        <v>1568</v>
      </c>
      <c r="E3622" s="9"/>
    </row>
    <row r="3623">
      <c r="A3623" s="11">
        <f>IFERROR(__xludf.DUMMYFUNCTION("""COMPUTED_VALUE"""),2021.0)</f>
        <v>2021</v>
      </c>
      <c r="B3623" s="11">
        <f>IFERROR(__xludf.DUMMYFUNCTION("""COMPUTED_VALUE"""),9.0)</f>
        <v>9</v>
      </c>
      <c r="C3623" s="11">
        <f>IFERROR(__xludf.DUMMYFUNCTION("""COMPUTED_VALUE"""),101297.0)</f>
        <v>101297</v>
      </c>
      <c r="D3623" s="11">
        <f>IFERROR(__xludf.DUMMYFUNCTION("""COMPUTED_VALUE"""),1529.0)</f>
        <v>1529</v>
      </c>
      <c r="E3623" s="9"/>
    </row>
    <row r="3624">
      <c r="A3624" s="11">
        <f>IFERROR(__xludf.DUMMYFUNCTION("""COMPUTED_VALUE"""),2021.0)</f>
        <v>2021</v>
      </c>
      <c r="B3624" s="11">
        <f>IFERROR(__xludf.DUMMYFUNCTION("""COMPUTED_VALUE"""),10.0)</f>
        <v>10</v>
      </c>
      <c r="C3624" s="11">
        <f>IFERROR(__xludf.DUMMYFUNCTION("""COMPUTED_VALUE"""),101298.0)</f>
        <v>101298</v>
      </c>
      <c r="D3624" s="11">
        <f>IFERROR(__xludf.DUMMYFUNCTION("""COMPUTED_VALUE"""),671.0)</f>
        <v>671</v>
      </c>
      <c r="E3624" s="9"/>
    </row>
    <row r="3625">
      <c r="A3625" s="11">
        <f>IFERROR(__xludf.DUMMYFUNCTION("""COMPUTED_VALUE"""),2021.0)</f>
        <v>2021</v>
      </c>
      <c r="B3625" s="11">
        <f>IFERROR(__xludf.DUMMYFUNCTION("""COMPUTED_VALUE"""),10.0)</f>
        <v>10</v>
      </c>
      <c r="C3625" s="11">
        <f>IFERROR(__xludf.DUMMYFUNCTION("""COMPUTED_VALUE"""),113129.0)</f>
        <v>113129</v>
      </c>
      <c r="D3625" s="11">
        <f>IFERROR(__xludf.DUMMYFUNCTION("""COMPUTED_VALUE"""),1004.0)</f>
        <v>1004</v>
      </c>
      <c r="E3625" s="9"/>
    </row>
    <row r="3626">
      <c r="A3626" s="11">
        <f>IFERROR(__xludf.DUMMYFUNCTION("""COMPUTED_VALUE"""),2021.0)</f>
        <v>2021</v>
      </c>
      <c r="B3626" s="11">
        <f>IFERROR(__xludf.DUMMYFUNCTION("""COMPUTED_VALUE"""),10.0)</f>
        <v>10</v>
      </c>
      <c r="C3626" s="11">
        <f>IFERROR(__xludf.DUMMYFUNCTION("""COMPUTED_VALUE"""),102551.0)</f>
        <v>102551</v>
      </c>
      <c r="D3626" s="11">
        <f>IFERROR(__xludf.DUMMYFUNCTION("""COMPUTED_VALUE"""),116.0)</f>
        <v>116</v>
      </c>
      <c r="E3626" s="9"/>
    </row>
    <row r="3627">
      <c r="A3627" s="11">
        <f>IFERROR(__xludf.DUMMYFUNCTION("""COMPUTED_VALUE"""),2021.0)</f>
        <v>2021</v>
      </c>
      <c r="B3627" s="11">
        <f>IFERROR(__xludf.DUMMYFUNCTION("""COMPUTED_VALUE"""),8.0)</f>
        <v>8</v>
      </c>
      <c r="C3627" s="11">
        <f>IFERROR(__xludf.DUMMYFUNCTION("""COMPUTED_VALUE"""),117735.0)</f>
        <v>117735</v>
      </c>
      <c r="D3627" s="11">
        <f>IFERROR(__xludf.DUMMYFUNCTION("""COMPUTED_VALUE"""),268.0)</f>
        <v>268</v>
      </c>
      <c r="E3627" s="9"/>
    </row>
    <row r="3628">
      <c r="A3628" s="11">
        <f>IFERROR(__xludf.DUMMYFUNCTION("""COMPUTED_VALUE"""),2021.0)</f>
        <v>2021</v>
      </c>
      <c r="B3628" s="11">
        <f>IFERROR(__xludf.DUMMYFUNCTION("""COMPUTED_VALUE"""),11.0)</f>
        <v>11</v>
      </c>
      <c r="C3628" s="11">
        <f>IFERROR(__xludf.DUMMYFUNCTION("""COMPUTED_VALUE"""),101299.0)</f>
        <v>101299</v>
      </c>
      <c r="D3628" s="11">
        <f>IFERROR(__xludf.DUMMYFUNCTION("""COMPUTED_VALUE"""),1226.0)</f>
        <v>1226</v>
      </c>
      <c r="E3628" s="9"/>
    </row>
    <row r="3629">
      <c r="A3629" s="11">
        <f>IFERROR(__xludf.DUMMYFUNCTION("""COMPUTED_VALUE"""),2021.0)</f>
        <v>2021</v>
      </c>
      <c r="B3629" s="11">
        <f>IFERROR(__xludf.DUMMYFUNCTION("""COMPUTED_VALUE"""),10.0)</f>
        <v>10</v>
      </c>
      <c r="C3629" s="11">
        <f>IFERROR(__xludf.DUMMYFUNCTION("""COMPUTED_VALUE"""),103590.0)</f>
        <v>103590</v>
      </c>
      <c r="D3629" s="11">
        <f>IFERROR(__xludf.DUMMYFUNCTION("""COMPUTED_VALUE"""),1936.0)</f>
        <v>1936</v>
      </c>
      <c r="E3629" s="9"/>
    </row>
    <row r="3630">
      <c r="A3630" s="11">
        <f>IFERROR(__xludf.DUMMYFUNCTION("""COMPUTED_VALUE"""),2021.0)</f>
        <v>2021</v>
      </c>
      <c r="B3630" s="11">
        <f>IFERROR(__xludf.DUMMYFUNCTION("""COMPUTED_VALUE"""),11.0)</f>
        <v>11</v>
      </c>
      <c r="C3630" s="11">
        <f>IFERROR(__xludf.DUMMYFUNCTION("""COMPUTED_VALUE"""),43944.0)</f>
        <v>43944</v>
      </c>
      <c r="D3630" s="11">
        <f>IFERROR(__xludf.DUMMYFUNCTION("""COMPUTED_VALUE"""),508.0)</f>
        <v>508</v>
      </c>
      <c r="E3630" s="9"/>
    </row>
    <row r="3631">
      <c r="A3631" s="11">
        <f>IFERROR(__xludf.DUMMYFUNCTION("""COMPUTED_VALUE"""),2021.0)</f>
        <v>2021</v>
      </c>
      <c r="B3631" s="11">
        <f>IFERROR(__xludf.DUMMYFUNCTION("""COMPUTED_VALUE"""),8.0)</f>
        <v>8</v>
      </c>
      <c r="C3631" s="11">
        <f>IFERROR(__xludf.DUMMYFUNCTION("""COMPUTED_VALUE"""),113128.0)</f>
        <v>113128</v>
      </c>
      <c r="D3631" s="11">
        <f>IFERROR(__xludf.DUMMYFUNCTION("""COMPUTED_VALUE"""),932.0)</f>
        <v>932</v>
      </c>
      <c r="E3631" s="9"/>
    </row>
    <row r="3632">
      <c r="A3632" s="11">
        <f>IFERROR(__xludf.DUMMYFUNCTION("""COMPUTED_VALUE"""),2021.0)</f>
        <v>2021</v>
      </c>
      <c r="B3632" s="11">
        <f>IFERROR(__xludf.DUMMYFUNCTION("""COMPUTED_VALUE"""),10.0)</f>
        <v>10</v>
      </c>
      <c r="C3632" s="11">
        <f>IFERROR(__xludf.DUMMYFUNCTION("""COMPUTED_VALUE"""),102553.0)</f>
        <v>102553</v>
      </c>
      <c r="D3632" s="11">
        <f>IFERROR(__xludf.DUMMYFUNCTION("""COMPUTED_VALUE"""),1346.0)</f>
        <v>1346</v>
      </c>
      <c r="E3632" s="9"/>
    </row>
    <row r="3633">
      <c r="A3633" s="11">
        <f>IFERROR(__xludf.DUMMYFUNCTION("""COMPUTED_VALUE"""),2021.0)</f>
        <v>2021</v>
      </c>
      <c r="B3633" s="11">
        <f>IFERROR(__xludf.DUMMYFUNCTION("""COMPUTED_VALUE"""),11.0)</f>
        <v>11</v>
      </c>
      <c r="C3633" s="11">
        <f>IFERROR(__xludf.DUMMYFUNCTION("""COMPUTED_VALUE"""),114230.0)</f>
        <v>114230</v>
      </c>
      <c r="D3633" s="11">
        <f>IFERROR(__xludf.DUMMYFUNCTION("""COMPUTED_VALUE"""),614.0)</f>
        <v>614</v>
      </c>
      <c r="E3633" s="9"/>
    </row>
    <row r="3634">
      <c r="A3634" s="11">
        <f>IFERROR(__xludf.DUMMYFUNCTION("""COMPUTED_VALUE"""),2021.0)</f>
        <v>2021</v>
      </c>
      <c r="B3634" s="11">
        <f>IFERROR(__xludf.DUMMYFUNCTION("""COMPUTED_VALUE"""),10.0)</f>
        <v>10</v>
      </c>
      <c r="C3634" s="11">
        <f>IFERROR(__xludf.DUMMYFUNCTION("""COMPUTED_VALUE"""),122028.0)</f>
        <v>122028</v>
      </c>
      <c r="D3634" s="11">
        <f>IFERROR(__xludf.DUMMYFUNCTION("""COMPUTED_VALUE"""),1497.0)</f>
        <v>1497</v>
      </c>
      <c r="E3634" s="9"/>
    </row>
    <row r="3635">
      <c r="A3635" s="11">
        <f>IFERROR(__xludf.DUMMYFUNCTION("""COMPUTED_VALUE"""),2021.0)</f>
        <v>2021</v>
      </c>
      <c r="B3635" s="11">
        <f>IFERROR(__xludf.DUMMYFUNCTION("""COMPUTED_VALUE"""),10.0)</f>
        <v>10</v>
      </c>
      <c r="C3635" s="11">
        <f>IFERROR(__xludf.DUMMYFUNCTION("""COMPUTED_VALUE"""),102269.0)</f>
        <v>102269</v>
      </c>
      <c r="D3635" s="11">
        <f>IFERROR(__xludf.DUMMYFUNCTION("""COMPUTED_VALUE"""),1874.0)</f>
        <v>1874</v>
      </c>
      <c r="E3635" s="9"/>
    </row>
    <row r="3636">
      <c r="A3636" s="11">
        <f>IFERROR(__xludf.DUMMYFUNCTION("""COMPUTED_VALUE"""),2021.0)</f>
        <v>2021</v>
      </c>
      <c r="B3636" s="11">
        <f>IFERROR(__xludf.DUMMYFUNCTION("""COMPUTED_VALUE"""),9.0)</f>
        <v>9</v>
      </c>
      <c r="C3636" s="11">
        <f>IFERROR(__xludf.DUMMYFUNCTION("""COMPUTED_VALUE"""),26651.0)</f>
        <v>26651</v>
      </c>
      <c r="D3636" s="11">
        <f>IFERROR(__xludf.DUMMYFUNCTION("""COMPUTED_VALUE"""),1803.0)</f>
        <v>1803</v>
      </c>
      <c r="E3636" s="9"/>
    </row>
    <row r="3637">
      <c r="A3637" s="11">
        <f>IFERROR(__xludf.DUMMYFUNCTION("""COMPUTED_VALUE"""),2021.0)</f>
        <v>2021</v>
      </c>
      <c r="B3637" s="11">
        <f>IFERROR(__xludf.DUMMYFUNCTION("""COMPUTED_VALUE"""),10.0)</f>
        <v>10</v>
      </c>
      <c r="C3637" s="11">
        <f>IFERROR(__xludf.DUMMYFUNCTION("""COMPUTED_VALUE"""),101316.0)</f>
        <v>101316</v>
      </c>
      <c r="D3637" s="11">
        <f>IFERROR(__xludf.DUMMYFUNCTION("""COMPUTED_VALUE"""),24.0)</f>
        <v>24</v>
      </c>
      <c r="E3637" s="9"/>
    </row>
    <row r="3638">
      <c r="A3638" s="11">
        <f>IFERROR(__xludf.DUMMYFUNCTION("""COMPUTED_VALUE"""),2021.0)</f>
        <v>2021</v>
      </c>
      <c r="B3638" s="11">
        <f>IFERROR(__xludf.DUMMYFUNCTION("""COMPUTED_VALUE"""),10.0)</f>
        <v>10</v>
      </c>
      <c r="C3638" s="11">
        <f>IFERROR(__xludf.DUMMYFUNCTION("""COMPUTED_VALUE"""),117742.0)</f>
        <v>117742</v>
      </c>
      <c r="D3638" s="11">
        <f>IFERROR(__xludf.DUMMYFUNCTION("""COMPUTED_VALUE"""),1941.0)</f>
        <v>1941</v>
      </c>
      <c r="E3638" s="9"/>
    </row>
    <row r="3639">
      <c r="A3639" s="11">
        <f>IFERROR(__xludf.DUMMYFUNCTION("""COMPUTED_VALUE"""),2021.0)</f>
        <v>2021</v>
      </c>
      <c r="B3639" s="11">
        <f>IFERROR(__xludf.DUMMYFUNCTION("""COMPUTED_VALUE"""),10.0)</f>
        <v>10</v>
      </c>
      <c r="C3639" s="11">
        <f>IFERROR(__xludf.DUMMYFUNCTION("""COMPUTED_VALUE"""),101315.0)</f>
        <v>101315</v>
      </c>
      <c r="D3639" s="11">
        <f>IFERROR(__xludf.DUMMYFUNCTION("""COMPUTED_VALUE"""),43.0)</f>
        <v>43</v>
      </c>
      <c r="E3639" s="9"/>
    </row>
    <row r="3640">
      <c r="A3640" s="11">
        <f>IFERROR(__xludf.DUMMYFUNCTION("""COMPUTED_VALUE"""),2021.0)</f>
        <v>2021</v>
      </c>
      <c r="B3640" s="11">
        <f>IFERROR(__xludf.DUMMYFUNCTION("""COMPUTED_VALUE"""),10.0)</f>
        <v>10</v>
      </c>
      <c r="C3640" s="11">
        <f>IFERROR(__xludf.DUMMYFUNCTION("""COMPUTED_VALUE"""),43945.0)</f>
        <v>43945</v>
      </c>
      <c r="D3640" s="11">
        <f>IFERROR(__xludf.DUMMYFUNCTION("""COMPUTED_VALUE"""),672.0)</f>
        <v>672</v>
      </c>
      <c r="E3640" s="9"/>
    </row>
    <row r="3641">
      <c r="A3641" s="11">
        <f>IFERROR(__xludf.DUMMYFUNCTION("""COMPUTED_VALUE"""),2021.0)</f>
        <v>2021</v>
      </c>
      <c r="B3641" s="11">
        <f>IFERROR(__xludf.DUMMYFUNCTION("""COMPUTED_VALUE"""),8.0)</f>
        <v>8</v>
      </c>
      <c r="C3641" s="11">
        <f>IFERROR(__xludf.DUMMYFUNCTION("""COMPUTED_VALUE"""),103589.0)</f>
        <v>103589</v>
      </c>
      <c r="D3641" s="11">
        <f>IFERROR(__xludf.DUMMYFUNCTION("""COMPUTED_VALUE"""),1371.0)</f>
        <v>1371</v>
      </c>
      <c r="E3641" s="9"/>
    </row>
    <row r="3642">
      <c r="A3642" s="11">
        <f>IFERROR(__xludf.DUMMYFUNCTION("""COMPUTED_VALUE"""),2021.0)</f>
        <v>2021</v>
      </c>
      <c r="B3642" s="11">
        <f>IFERROR(__xludf.DUMMYFUNCTION("""COMPUTED_VALUE"""),11.0)</f>
        <v>11</v>
      </c>
      <c r="C3642" s="11">
        <f>IFERROR(__xludf.DUMMYFUNCTION("""COMPUTED_VALUE"""),88896.0)</f>
        <v>88896</v>
      </c>
      <c r="D3642" s="11">
        <f>IFERROR(__xludf.DUMMYFUNCTION("""COMPUTED_VALUE"""),427.0)</f>
        <v>427</v>
      </c>
      <c r="E3642" s="9"/>
    </row>
    <row r="3643">
      <c r="A3643" s="11">
        <f>IFERROR(__xludf.DUMMYFUNCTION("""COMPUTED_VALUE"""),2021.0)</f>
        <v>2021</v>
      </c>
      <c r="B3643" s="11">
        <f>IFERROR(__xludf.DUMMYFUNCTION("""COMPUTED_VALUE"""),9.0)</f>
        <v>9</v>
      </c>
      <c r="C3643" s="11">
        <f>IFERROR(__xludf.DUMMYFUNCTION("""COMPUTED_VALUE"""),103595.0)</f>
        <v>103595</v>
      </c>
      <c r="D3643" s="11">
        <f>IFERROR(__xludf.DUMMYFUNCTION("""COMPUTED_VALUE"""),398.0)</f>
        <v>398</v>
      </c>
      <c r="E3643" s="9"/>
    </row>
    <row r="3644">
      <c r="A3644" s="11">
        <f>IFERROR(__xludf.DUMMYFUNCTION("""COMPUTED_VALUE"""),2021.0)</f>
        <v>2021</v>
      </c>
      <c r="B3644" s="11">
        <f>IFERROR(__xludf.DUMMYFUNCTION("""COMPUTED_VALUE"""),9.0)</f>
        <v>9</v>
      </c>
      <c r="C3644" s="11">
        <f>IFERROR(__xludf.DUMMYFUNCTION("""COMPUTED_VALUE"""),101300.0)</f>
        <v>101300</v>
      </c>
      <c r="D3644" s="11">
        <f>IFERROR(__xludf.DUMMYFUNCTION("""COMPUTED_VALUE"""),1213.0)</f>
        <v>1213</v>
      </c>
      <c r="E3644" s="9"/>
    </row>
    <row r="3645">
      <c r="A3645" s="11">
        <f>IFERROR(__xludf.DUMMYFUNCTION("""COMPUTED_VALUE"""),2021.0)</f>
        <v>2021</v>
      </c>
      <c r="B3645" s="11">
        <f>IFERROR(__xludf.DUMMYFUNCTION("""COMPUTED_VALUE"""),9.0)</f>
        <v>9</v>
      </c>
      <c r="C3645" s="11">
        <f>IFERROR(__xludf.DUMMYFUNCTION("""COMPUTED_VALUE"""),113130.0)</f>
        <v>113130</v>
      </c>
      <c r="D3645" s="11">
        <f>IFERROR(__xludf.DUMMYFUNCTION("""COMPUTED_VALUE"""),1455.0)</f>
        <v>1455</v>
      </c>
      <c r="E3645" s="9"/>
    </row>
    <row r="3646">
      <c r="A3646" s="11">
        <f>IFERROR(__xludf.DUMMYFUNCTION("""COMPUTED_VALUE"""),2021.0)</f>
        <v>2021</v>
      </c>
      <c r="B3646" s="11">
        <f>IFERROR(__xludf.DUMMYFUNCTION("""COMPUTED_VALUE"""),8.0)</f>
        <v>8</v>
      </c>
      <c r="C3646" s="11">
        <f>IFERROR(__xludf.DUMMYFUNCTION("""COMPUTED_VALUE"""),102272.0)</f>
        <v>102272</v>
      </c>
      <c r="D3646" s="11">
        <f>IFERROR(__xludf.DUMMYFUNCTION("""COMPUTED_VALUE"""),1604.0)</f>
        <v>1604</v>
      </c>
      <c r="E3646" s="9"/>
    </row>
    <row r="3647">
      <c r="A3647" s="11">
        <f>IFERROR(__xludf.DUMMYFUNCTION("""COMPUTED_VALUE"""),2021.0)</f>
        <v>2021</v>
      </c>
      <c r="B3647" s="11">
        <f>IFERROR(__xludf.DUMMYFUNCTION("""COMPUTED_VALUE"""),8.0)</f>
        <v>8</v>
      </c>
      <c r="C3647" s="11">
        <f>IFERROR(__xludf.DUMMYFUNCTION("""COMPUTED_VALUE"""),43947.0)</f>
        <v>43947</v>
      </c>
      <c r="D3647" s="11">
        <f>IFERROR(__xludf.DUMMYFUNCTION("""COMPUTED_VALUE"""),1838.0)</f>
        <v>1838</v>
      </c>
      <c r="E3647" s="9"/>
    </row>
    <row r="3648">
      <c r="A3648" s="11">
        <f>IFERROR(__xludf.DUMMYFUNCTION("""COMPUTED_VALUE"""),2021.0)</f>
        <v>2021</v>
      </c>
      <c r="B3648" s="11">
        <f>IFERROR(__xludf.DUMMYFUNCTION("""COMPUTED_VALUE"""),11.0)</f>
        <v>11</v>
      </c>
      <c r="C3648" s="11">
        <f>IFERROR(__xludf.DUMMYFUNCTION("""COMPUTED_VALUE"""),102271.0)</f>
        <v>102271</v>
      </c>
      <c r="D3648" s="11">
        <f>IFERROR(__xludf.DUMMYFUNCTION("""COMPUTED_VALUE"""),1886.0)</f>
        <v>1886</v>
      </c>
      <c r="E3648" s="9"/>
    </row>
    <row r="3649">
      <c r="A3649" s="11">
        <f>IFERROR(__xludf.DUMMYFUNCTION("""COMPUTED_VALUE"""),2021.0)</f>
        <v>2021</v>
      </c>
      <c r="B3649" s="11">
        <f>IFERROR(__xludf.DUMMYFUNCTION("""COMPUTED_VALUE"""),8.0)</f>
        <v>8</v>
      </c>
      <c r="C3649" s="11">
        <f>IFERROR(__xludf.DUMMYFUNCTION("""COMPUTED_VALUE"""),103592.0)</f>
        <v>103592</v>
      </c>
      <c r="D3649" s="11">
        <f>IFERROR(__xludf.DUMMYFUNCTION("""COMPUTED_VALUE"""),749.0)</f>
        <v>749</v>
      </c>
      <c r="E3649" s="9"/>
    </row>
    <row r="3650">
      <c r="A3650" s="11">
        <f>IFERROR(__xludf.DUMMYFUNCTION("""COMPUTED_VALUE"""),2021.0)</f>
        <v>2021</v>
      </c>
      <c r="B3650" s="11">
        <f>IFERROR(__xludf.DUMMYFUNCTION("""COMPUTED_VALUE"""),9.0)</f>
        <v>9</v>
      </c>
      <c r="C3650" s="11">
        <f>IFERROR(__xludf.DUMMYFUNCTION("""COMPUTED_VALUE"""),26652.0)</f>
        <v>26652</v>
      </c>
      <c r="D3650" s="11">
        <f>IFERROR(__xludf.DUMMYFUNCTION("""COMPUTED_VALUE"""),891.0)</f>
        <v>891</v>
      </c>
      <c r="E3650" s="9"/>
    </row>
    <row r="3651">
      <c r="A3651" s="11">
        <f>IFERROR(__xludf.DUMMYFUNCTION("""COMPUTED_VALUE"""),2021.0)</f>
        <v>2021</v>
      </c>
      <c r="B3651" s="11">
        <f>IFERROR(__xludf.DUMMYFUNCTION("""COMPUTED_VALUE"""),11.0)</f>
        <v>11</v>
      </c>
      <c r="C3651" s="11">
        <f>IFERROR(__xludf.DUMMYFUNCTION("""COMPUTED_VALUE"""),43946.0)</f>
        <v>43946</v>
      </c>
      <c r="D3651" s="11">
        <f>IFERROR(__xludf.DUMMYFUNCTION("""COMPUTED_VALUE"""),285.0)</f>
        <v>285</v>
      </c>
      <c r="E3651" s="9"/>
    </row>
    <row r="3652">
      <c r="A3652" s="11">
        <f>IFERROR(__xludf.DUMMYFUNCTION("""COMPUTED_VALUE"""),2021.0)</f>
        <v>2021</v>
      </c>
      <c r="B3652" s="11">
        <f>IFERROR(__xludf.DUMMYFUNCTION("""COMPUTED_VALUE"""),9.0)</f>
        <v>9</v>
      </c>
      <c r="C3652" s="11">
        <f>IFERROR(__xludf.DUMMYFUNCTION("""COMPUTED_VALUE"""),101301.0)</f>
        <v>101301</v>
      </c>
      <c r="D3652" s="11">
        <f>IFERROR(__xludf.DUMMYFUNCTION("""COMPUTED_VALUE"""),1489.0)</f>
        <v>1489</v>
      </c>
      <c r="E3652" s="9"/>
    </row>
    <row r="3653">
      <c r="A3653" s="11">
        <f>IFERROR(__xludf.DUMMYFUNCTION("""COMPUTED_VALUE"""),2021.0)</f>
        <v>2021</v>
      </c>
      <c r="B3653" s="11">
        <f>IFERROR(__xludf.DUMMYFUNCTION("""COMPUTED_VALUE"""),8.0)</f>
        <v>8</v>
      </c>
      <c r="C3653" s="11">
        <f>IFERROR(__xludf.DUMMYFUNCTION("""COMPUTED_VALUE"""),108458.0)</f>
        <v>108458</v>
      </c>
      <c r="D3653" s="11">
        <f>IFERROR(__xludf.DUMMYFUNCTION("""COMPUTED_VALUE"""),127.0)</f>
        <v>127</v>
      </c>
      <c r="E3653" s="9"/>
    </row>
    <row r="3654">
      <c r="A3654" s="11">
        <f>IFERROR(__xludf.DUMMYFUNCTION("""COMPUTED_VALUE"""),2021.0)</f>
        <v>2021</v>
      </c>
      <c r="B3654" s="11">
        <f>IFERROR(__xludf.DUMMYFUNCTION("""COMPUTED_VALUE"""),9.0)</f>
        <v>9</v>
      </c>
      <c r="C3654" s="11">
        <f>IFERROR(__xludf.DUMMYFUNCTION("""COMPUTED_VALUE"""),117736.0)</f>
        <v>117736</v>
      </c>
      <c r="D3654" s="11">
        <f>IFERROR(__xludf.DUMMYFUNCTION("""COMPUTED_VALUE"""),549.0)</f>
        <v>549</v>
      </c>
      <c r="E3654" s="9"/>
    </row>
    <row r="3655">
      <c r="A3655" s="11">
        <f>IFERROR(__xludf.DUMMYFUNCTION("""COMPUTED_VALUE"""),2021.0)</f>
        <v>2021</v>
      </c>
      <c r="B3655" s="11">
        <f>IFERROR(__xludf.DUMMYFUNCTION("""COMPUTED_VALUE"""),11.0)</f>
        <v>11</v>
      </c>
      <c r="C3655" s="11">
        <f>IFERROR(__xludf.DUMMYFUNCTION("""COMPUTED_VALUE"""),49606.0)</f>
        <v>49606</v>
      </c>
      <c r="D3655" s="11">
        <f>IFERROR(__xludf.DUMMYFUNCTION("""COMPUTED_VALUE"""),617.0)</f>
        <v>617</v>
      </c>
      <c r="E3655" s="9"/>
    </row>
    <row r="3656">
      <c r="A3656" s="11">
        <f>IFERROR(__xludf.DUMMYFUNCTION("""COMPUTED_VALUE"""),2021.0)</f>
        <v>2021</v>
      </c>
      <c r="B3656" s="11">
        <f>IFERROR(__xludf.DUMMYFUNCTION("""COMPUTED_VALUE"""),8.0)</f>
        <v>8</v>
      </c>
      <c r="C3656" s="11">
        <f>IFERROR(__xludf.DUMMYFUNCTION("""COMPUTED_VALUE"""),106297.0)</f>
        <v>106297</v>
      </c>
      <c r="D3656" s="11">
        <f>IFERROR(__xludf.DUMMYFUNCTION("""COMPUTED_VALUE"""),1326.0)</f>
        <v>1326</v>
      </c>
      <c r="E3656" s="9"/>
    </row>
    <row r="3657">
      <c r="A3657" s="11">
        <f>IFERROR(__xludf.DUMMYFUNCTION("""COMPUTED_VALUE"""),2021.0)</f>
        <v>2021</v>
      </c>
      <c r="B3657" s="11">
        <f>IFERROR(__xludf.DUMMYFUNCTION("""COMPUTED_VALUE"""),8.0)</f>
        <v>8</v>
      </c>
      <c r="C3657" s="11">
        <f>IFERROR(__xludf.DUMMYFUNCTION("""COMPUTED_VALUE"""),15556.0)</f>
        <v>15556</v>
      </c>
      <c r="D3657" s="11">
        <f>IFERROR(__xludf.DUMMYFUNCTION("""COMPUTED_VALUE"""),745.0)</f>
        <v>745</v>
      </c>
      <c r="E3657" s="9"/>
    </row>
    <row r="3658">
      <c r="A3658" s="11">
        <f>IFERROR(__xludf.DUMMYFUNCTION("""COMPUTED_VALUE"""),2021.0)</f>
        <v>2021</v>
      </c>
      <c r="B3658" s="11">
        <f>IFERROR(__xludf.DUMMYFUNCTION("""COMPUTED_VALUE"""),8.0)</f>
        <v>8</v>
      </c>
      <c r="C3658" s="11">
        <f>IFERROR(__xludf.DUMMYFUNCTION("""COMPUTED_VALUE"""),49605.0)</f>
        <v>49605</v>
      </c>
      <c r="D3658" s="11">
        <f>IFERROR(__xludf.DUMMYFUNCTION("""COMPUTED_VALUE"""),1547.0)</f>
        <v>1547</v>
      </c>
      <c r="E3658" s="9"/>
    </row>
    <row r="3659">
      <c r="A3659" s="11">
        <f>IFERROR(__xludf.DUMMYFUNCTION("""COMPUTED_VALUE"""),2021.0)</f>
        <v>2021</v>
      </c>
      <c r="B3659" s="11">
        <f>IFERROR(__xludf.DUMMYFUNCTION("""COMPUTED_VALUE"""),8.0)</f>
        <v>8</v>
      </c>
      <c r="C3659" s="11">
        <f>IFERROR(__xludf.DUMMYFUNCTION("""COMPUTED_VALUE"""),102312.0)</f>
        <v>102312</v>
      </c>
      <c r="D3659" s="11">
        <f>IFERROR(__xludf.DUMMYFUNCTION("""COMPUTED_VALUE"""),647.0)</f>
        <v>647</v>
      </c>
      <c r="E3659" s="9"/>
    </row>
    <row r="3660">
      <c r="A3660" s="11">
        <f>IFERROR(__xludf.DUMMYFUNCTION("""COMPUTED_VALUE"""),2021.0)</f>
        <v>2021</v>
      </c>
      <c r="B3660" s="11">
        <f>IFERROR(__xludf.DUMMYFUNCTION("""COMPUTED_VALUE"""),11.0)</f>
        <v>11</v>
      </c>
      <c r="C3660" s="11">
        <f>IFERROR(__xludf.DUMMYFUNCTION("""COMPUTED_VALUE"""),121125.0)</f>
        <v>121125</v>
      </c>
      <c r="D3660" s="11">
        <f>IFERROR(__xludf.DUMMYFUNCTION("""COMPUTED_VALUE"""),1154.0)</f>
        <v>1154</v>
      </c>
      <c r="E3660" s="9"/>
    </row>
    <row r="3661">
      <c r="A3661" s="11">
        <f>IFERROR(__xludf.DUMMYFUNCTION("""COMPUTED_VALUE"""),2021.0)</f>
        <v>2021</v>
      </c>
      <c r="B3661" s="11">
        <f>IFERROR(__xludf.DUMMYFUNCTION("""COMPUTED_VALUE"""),10.0)</f>
        <v>10</v>
      </c>
      <c r="C3661" s="11">
        <f>IFERROR(__xludf.DUMMYFUNCTION("""COMPUTED_VALUE"""),106401.0)</f>
        <v>106401</v>
      </c>
      <c r="D3661" s="11">
        <f>IFERROR(__xludf.DUMMYFUNCTION("""COMPUTED_VALUE"""),1018.0)</f>
        <v>1018</v>
      </c>
      <c r="E3661" s="9"/>
    </row>
    <row r="3662">
      <c r="A3662" s="11">
        <f>IFERROR(__xludf.DUMMYFUNCTION("""COMPUTED_VALUE"""),2021.0)</f>
        <v>2021</v>
      </c>
      <c r="B3662" s="11">
        <f>IFERROR(__xludf.DUMMYFUNCTION("""COMPUTED_VALUE"""),8.0)</f>
        <v>8</v>
      </c>
      <c r="C3662" s="11">
        <f>IFERROR(__xludf.DUMMYFUNCTION("""COMPUTED_VALUE"""),116834.0)</f>
        <v>116834</v>
      </c>
      <c r="D3662" s="11">
        <f>IFERROR(__xludf.DUMMYFUNCTION("""COMPUTED_VALUE"""),1537.0)</f>
        <v>1537</v>
      </c>
      <c r="E3662" s="9"/>
    </row>
    <row r="3663">
      <c r="A3663" s="11">
        <f>IFERROR(__xludf.DUMMYFUNCTION("""COMPUTED_VALUE"""),2021.0)</f>
        <v>2021</v>
      </c>
      <c r="B3663" s="11">
        <f>IFERROR(__xludf.DUMMYFUNCTION("""COMPUTED_VALUE"""),9.0)</f>
        <v>9</v>
      </c>
      <c r="C3663" s="11">
        <f>IFERROR(__xludf.DUMMYFUNCTION("""COMPUTED_VALUE"""),1953.0)</f>
        <v>1953</v>
      </c>
      <c r="D3663" s="11">
        <f>IFERROR(__xludf.DUMMYFUNCTION("""COMPUTED_VALUE"""),286.0)</f>
        <v>286</v>
      </c>
      <c r="E3663" s="9"/>
    </row>
    <row r="3664">
      <c r="A3664" s="11">
        <f>IFERROR(__xludf.DUMMYFUNCTION("""COMPUTED_VALUE"""),2021.0)</f>
        <v>2021</v>
      </c>
      <c r="B3664" s="11">
        <f>IFERROR(__xludf.DUMMYFUNCTION("""COMPUTED_VALUE"""),8.0)</f>
        <v>8</v>
      </c>
      <c r="C3664" s="11">
        <f>IFERROR(__xludf.DUMMYFUNCTION("""COMPUTED_VALUE"""),106305.0)</f>
        <v>106305</v>
      </c>
      <c r="D3664" s="11">
        <f>IFERROR(__xludf.DUMMYFUNCTION("""COMPUTED_VALUE"""),1856.0)</f>
        <v>1856</v>
      </c>
      <c r="E3664" s="9"/>
    </row>
    <row r="3665">
      <c r="A3665" s="11">
        <f>IFERROR(__xludf.DUMMYFUNCTION("""COMPUTED_VALUE"""),2021.0)</f>
        <v>2021</v>
      </c>
      <c r="B3665" s="11">
        <f>IFERROR(__xludf.DUMMYFUNCTION("""COMPUTED_VALUE"""),11.0)</f>
        <v>11</v>
      </c>
      <c r="C3665" s="11">
        <f>IFERROR(__xludf.DUMMYFUNCTION("""COMPUTED_VALUE"""),108278.0)</f>
        <v>108278</v>
      </c>
      <c r="D3665" s="11">
        <f>IFERROR(__xludf.DUMMYFUNCTION("""COMPUTED_VALUE"""),1244.0)</f>
        <v>1244</v>
      </c>
      <c r="E3665" s="9"/>
    </row>
    <row r="3666">
      <c r="A3666" s="11">
        <f>IFERROR(__xludf.DUMMYFUNCTION("""COMPUTED_VALUE"""),2021.0)</f>
        <v>2021</v>
      </c>
      <c r="B3666" s="11">
        <f>IFERROR(__xludf.DUMMYFUNCTION("""COMPUTED_VALUE"""),11.0)</f>
        <v>11</v>
      </c>
      <c r="C3666" s="11">
        <f>IFERROR(__xludf.DUMMYFUNCTION("""COMPUTED_VALUE"""),47660.0)</f>
        <v>47660</v>
      </c>
      <c r="D3666" s="11">
        <f>IFERROR(__xludf.DUMMYFUNCTION("""COMPUTED_VALUE"""),1693.0)</f>
        <v>1693</v>
      </c>
      <c r="E3666" s="9"/>
    </row>
    <row r="3667">
      <c r="A3667" s="11">
        <f>IFERROR(__xludf.DUMMYFUNCTION("""COMPUTED_VALUE"""),2021.0)</f>
        <v>2021</v>
      </c>
      <c r="B3667" s="11">
        <f>IFERROR(__xludf.DUMMYFUNCTION("""COMPUTED_VALUE"""),8.0)</f>
        <v>8</v>
      </c>
      <c r="C3667" s="11">
        <f>IFERROR(__xludf.DUMMYFUNCTION("""COMPUTED_VALUE"""),47657.0)</f>
        <v>47657</v>
      </c>
      <c r="D3667" s="11">
        <f>IFERROR(__xludf.DUMMYFUNCTION("""COMPUTED_VALUE"""),1291.0)</f>
        <v>1291</v>
      </c>
      <c r="E3667" s="9"/>
    </row>
    <row r="3668">
      <c r="A3668" s="11">
        <f>IFERROR(__xludf.DUMMYFUNCTION("""COMPUTED_VALUE"""),2021.0)</f>
        <v>2021</v>
      </c>
      <c r="B3668" s="11">
        <f>IFERROR(__xludf.DUMMYFUNCTION("""COMPUTED_VALUE"""),11.0)</f>
        <v>11</v>
      </c>
      <c r="C3668" s="11">
        <f>IFERROR(__xludf.DUMMYFUNCTION("""COMPUTED_VALUE"""),64185.0)</f>
        <v>64185</v>
      </c>
      <c r="D3668" s="11">
        <f>IFERROR(__xludf.DUMMYFUNCTION("""COMPUTED_VALUE"""),151.0)</f>
        <v>151</v>
      </c>
      <c r="E3668" s="9"/>
    </row>
    <row r="3669">
      <c r="A3669" s="11">
        <f>IFERROR(__xludf.DUMMYFUNCTION("""COMPUTED_VALUE"""),2021.0)</f>
        <v>2021</v>
      </c>
      <c r="B3669" s="11">
        <f>IFERROR(__xludf.DUMMYFUNCTION("""COMPUTED_VALUE"""),8.0)</f>
        <v>8</v>
      </c>
      <c r="C3669" s="11">
        <f>IFERROR(__xludf.DUMMYFUNCTION("""COMPUTED_VALUE"""),108256.0)</f>
        <v>108256</v>
      </c>
      <c r="D3669" s="11">
        <f>IFERROR(__xludf.DUMMYFUNCTION("""COMPUTED_VALUE"""),1555.0)</f>
        <v>1555</v>
      </c>
      <c r="E3669" s="9"/>
    </row>
    <row r="3670">
      <c r="A3670" s="11">
        <f>IFERROR(__xludf.DUMMYFUNCTION("""COMPUTED_VALUE"""),2021.0)</f>
        <v>2021</v>
      </c>
      <c r="B3670" s="11">
        <f>IFERROR(__xludf.DUMMYFUNCTION("""COMPUTED_VALUE"""),10.0)</f>
        <v>10</v>
      </c>
      <c r="C3670" s="11">
        <f>IFERROR(__xludf.DUMMYFUNCTION("""COMPUTED_VALUE"""),62597.0)</f>
        <v>62597</v>
      </c>
      <c r="D3670" s="11">
        <f>IFERROR(__xludf.DUMMYFUNCTION("""COMPUTED_VALUE"""),1852.0)</f>
        <v>1852</v>
      </c>
      <c r="E3670" s="9"/>
    </row>
    <row r="3671">
      <c r="A3671" s="11">
        <f>IFERROR(__xludf.DUMMYFUNCTION("""COMPUTED_VALUE"""),2021.0)</f>
        <v>2021</v>
      </c>
      <c r="B3671" s="11">
        <f>IFERROR(__xludf.DUMMYFUNCTION("""COMPUTED_VALUE"""),10.0)</f>
        <v>10</v>
      </c>
      <c r="C3671" s="11">
        <f>IFERROR(__xludf.DUMMYFUNCTION("""COMPUTED_VALUE"""),102304.0)</f>
        <v>102304</v>
      </c>
      <c r="D3671" s="11">
        <f>IFERROR(__xludf.DUMMYFUNCTION("""COMPUTED_VALUE"""),1613.0)</f>
        <v>1613</v>
      </c>
      <c r="E3671" s="9"/>
    </row>
    <row r="3672">
      <c r="A3672" s="11">
        <f>IFERROR(__xludf.DUMMYFUNCTION("""COMPUTED_VALUE"""),2021.0)</f>
        <v>2021</v>
      </c>
      <c r="B3672" s="11">
        <f>IFERROR(__xludf.DUMMYFUNCTION("""COMPUTED_VALUE"""),10.0)</f>
        <v>10</v>
      </c>
      <c r="C3672" s="11">
        <f>IFERROR(__xludf.DUMMYFUNCTION("""COMPUTED_VALUE"""),118242.0)</f>
        <v>118242</v>
      </c>
      <c r="D3672" s="11">
        <f>IFERROR(__xludf.DUMMYFUNCTION("""COMPUTED_VALUE"""),933.0)</f>
        <v>933</v>
      </c>
      <c r="E3672" s="9"/>
    </row>
    <row r="3673">
      <c r="A3673" s="11">
        <f>IFERROR(__xludf.DUMMYFUNCTION("""COMPUTED_VALUE"""),2021.0)</f>
        <v>2021</v>
      </c>
      <c r="B3673" s="11">
        <f>IFERROR(__xludf.DUMMYFUNCTION("""COMPUTED_VALUE"""),8.0)</f>
        <v>8</v>
      </c>
      <c r="C3673" s="11">
        <f>IFERROR(__xludf.DUMMYFUNCTION("""COMPUTED_VALUE"""),121743.0)</f>
        <v>121743</v>
      </c>
      <c r="D3673" s="11">
        <f>IFERROR(__xludf.DUMMYFUNCTION("""COMPUTED_VALUE"""),1008.0)</f>
        <v>1008</v>
      </c>
      <c r="E3673" s="9"/>
    </row>
    <row r="3674">
      <c r="A3674" s="11">
        <f>IFERROR(__xludf.DUMMYFUNCTION("""COMPUTED_VALUE"""),2021.0)</f>
        <v>2021</v>
      </c>
      <c r="B3674" s="11">
        <f>IFERROR(__xludf.DUMMYFUNCTION("""COMPUTED_VALUE"""),9.0)</f>
        <v>9</v>
      </c>
      <c r="C3674" s="11">
        <f>IFERROR(__xludf.DUMMYFUNCTION("""COMPUTED_VALUE"""),108257.0)</f>
        <v>108257</v>
      </c>
      <c r="D3674" s="11">
        <f>IFERROR(__xludf.DUMMYFUNCTION("""COMPUTED_VALUE"""),1166.0)</f>
        <v>1166</v>
      </c>
      <c r="E3674" s="9"/>
    </row>
    <row r="3675">
      <c r="A3675" s="11">
        <f>IFERROR(__xludf.DUMMYFUNCTION("""COMPUTED_VALUE"""),2021.0)</f>
        <v>2021</v>
      </c>
      <c r="B3675" s="11">
        <f>IFERROR(__xludf.DUMMYFUNCTION("""COMPUTED_VALUE"""),8.0)</f>
        <v>8</v>
      </c>
      <c r="C3675" s="11">
        <f>IFERROR(__xludf.DUMMYFUNCTION("""COMPUTED_VALUE"""),117756.0)</f>
        <v>117756</v>
      </c>
      <c r="D3675" s="11">
        <f>IFERROR(__xludf.DUMMYFUNCTION("""COMPUTED_VALUE"""),268.0)</f>
        <v>268</v>
      </c>
      <c r="E3675" s="9"/>
    </row>
    <row r="3676">
      <c r="A3676" s="11">
        <f>IFERROR(__xludf.DUMMYFUNCTION("""COMPUTED_VALUE"""),2021.0)</f>
        <v>2021</v>
      </c>
      <c r="B3676" s="11">
        <f>IFERROR(__xludf.DUMMYFUNCTION("""COMPUTED_VALUE"""),8.0)</f>
        <v>8</v>
      </c>
      <c r="C3676" s="11">
        <f>IFERROR(__xludf.DUMMYFUNCTION("""COMPUTED_VALUE"""),110334.0)</f>
        <v>110334</v>
      </c>
      <c r="D3676" s="11">
        <f>IFERROR(__xludf.DUMMYFUNCTION("""COMPUTED_VALUE"""),748.0)</f>
        <v>748</v>
      </c>
      <c r="E3676" s="9"/>
    </row>
    <row r="3677">
      <c r="A3677" s="11">
        <f>IFERROR(__xludf.DUMMYFUNCTION("""COMPUTED_VALUE"""),2021.0)</f>
        <v>2021</v>
      </c>
      <c r="B3677" s="11">
        <f>IFERROR(__xludf.DUMMYFUNCTION("""COMPUTED_VALUE"""),11.0)</f>
        <v>11</v>
      </c>
      <c r="C3677" s="11">
        <f>IFERROR(__xludf.DUMMYFUNCTION("""COMPUTED_VALUE"""),102307.0)</f>
        <v>102307</v>
      </c>
      <c r="D3677" s="11">
        <f>IFERROR(__xludf.DUMMYFUNCTION("""COMPUTED_VALUE"""),10.0)</f>
        <v>10</v>
      </c>
      <c r="E3677" s="9"/>
    </row>
    <row r="3678">
      <c r="A3678" s="11">
        <f>IFERROR(__xludf.DUMMYFUNCTION("""COMPUTED_VALUE"""),2021.0)</f>
        <v>2021</v>
      </c>
      <c r="B3678" s="11">
        <f>IFERROR(__xludf.DUMMYFUNCTION("""COMPUTED_VALUE"""),8.0)</f>
        <v>8</v>
      </c>
      <c r="C3678" s="11">
        <f>IFERROR(__xludf.DUMMYFUNCTION("""COMPUTED_VALUE"""),117750.0)</f>
        <v>117750</v>
      </c>
      <c r="D3678" s="11">
        <f>IFERROR(__xludf.DUMMYFUNCTION("""COMPUTED_VALUE"""),723.0)</f>
        <v>723</v>
      </c>
      <c r="E3678" s="9"/>
    </row>
    <row r="3679">
      <c r="A3679" s="11">
        <f>IFERROR(__xludf.DUMMYFUNCTION("""COMPUTED_VALUE"""),2021.0)</f>
        <v>2021</v>
      </c>
      <c r="B3679" s="11">
        <f>IFERROR(__xludf.DUMMYFUNCTION("""COMPUTED_VALUE"""),10.0)</f>
        <v>10</v>
      </c>
      <c r="C3679" s="11">
        <f>IFERROR(__xludf.DUMMYFUNCTION("""COMPUTED_VALUE"""),181976.0)</f>
        <v>181976</v>
      </c>
      <c r="D3679" s="11">
        <f>IFERROR(__xludf.DUMMYFUNCTION("""COMPUTED_VALUE"""),213.0)</f>
        <v>213</v>
      </c>
      <c r="E3679" s="9"/>
    </row>
    <row r="3680">
      <c r="A3680" s="11">
        <f>IFERROR(__xludf.DUMMYFUNCTION("""COMPUTED_VALUE"""),2021.0)</f>
        <v>2021</v>
      </c>
      <c r="B3680" s="11">
        <f>IFERROR(__xludf.DUMMYFUNCTION("""COMPUTED_VALUE"""),8.0)</f>
        <v>8</v>
      </c>
      <c r="C3680" s="11">
        <f>IFERROR(__xludf.DUMMYFUNCTION("""COMPUTED_VALUE"""),108258.0)</f>
        <v>108258</v>
      </c>
      <c r="D3680" s="11">
        <f>IFERROR(__xludf.DUMMYFUNCTION("""COMPUTED_VALUE"""),1512.0)</f>
        <v>1512</v>
      </c>
      <c r="E3680" s="9"/>
    </row>
    <row r="3681">
      <c r="A3681" s="11">
        <f>IFERROR(__xludf.DUMMYFUNCTION("""COMPUTED_VALUE"""),2021.0)</f>
        <v>2021</v>
      </c>
      <c r="B3681" s="11">
        <f>IFERROR(__xludf.DUMMYFUNCTION("""COMPUTED_VALUE"""),9.0)</f>
        <v>9</v>
      </c>
      <c r="C3681" s="11">
        <f>IFERROR(__xludf.DUMMYFUNCTION("""COMPUTED_VALUE"""),110241.0)</f>
        <v>110241</v>
      </c>
      <c r="D3681" s="11">
        <f>IFERROR(__xludf.DUMMYFUNCTION("""COMPUTED_VALUE"""),603.0)</f>
        <v>603</v>
      </c>
      <c r="E3681" s="9"/>
    </row>
    <row r="3682">
      <c r="A3682" s="11">
        <f>IFERROR(__xludf.DUMMYFUNCTION("""COMPUTED_VALUE"""),2021.0)</f>
        <v>2021</v>
      </c>
      <c r="B3682" s="11">
        <f>IFERROR(__xludf.DUMMYFUNCTION("""COMPUTED_VALUE"""),8.0)</f>
        <v>8</v>
      </c>
      <c r="C3682" s="11">
        <f>IFERROR(__xludf.DUMMYFUNCTION("""COMPUTED_VALUE"""),110337.0)</f>
        <v>110337</v>
      </c>
      <c r="D3682" s="11">
        <f>IFERROR(__xludf.DUMMYFUNCTION("""COMPUTED_VALUE"""),1811.0)</f>
        <v>1811</v>
      </c>
      <c r="E3682" s="9"/>
    </row>
    <row r="3683">
      <c r="A3683" s="11">
        <f>IFERROR(__xludf.DUMMYFUNCTION("""COMPUTED_VALUE"""),2021.0)</f>
        <v>2021</v>
      </c>
      <c r="B3683" s="11">
        <f>IFERROR(__xludf.DUMMYFUNCTION("""COMPUTED_VALUE"""),9.0)</f>
        <v>9</v>
      </c>
      <c r="C3683" s="11">
        <f>IFERROR(__xludf.DUMMYFUNCTION("""COMPUTED_VALUE"""),118243.0)</f>
        <v>118243</v>
      </c>
      <c r="D3683" s="11">
        <f>IFERROR(__xludf.DUMMYFUNCTION("""COMPUTED_VALUE"""),415.0)</f>
        <v>415</v>
      </c>
      <c r="E3683" s="9"/>
    </row>
    <row r="3684">
      <c r="A3684" s="11">
        <f>IFERROR(__xludf.DUMMYFUNCTION("""COMPUTED_VALUE"""),2021.0)</f>
        <v>2021</v>
      </c>
      <c r="B3684" s="11">
        <f>IFERROR(__xludf.DUMMYFUNCTION("""COMPUTED_VALUE"""),10.0)</f>
        <v>10</v>
      </c>
      <c r="C3684" s="11">
        <f>IFERROR(__xludf.DUMMYFUNCTION("""COMPUTED_VALUE"""),102305.0)</f>
        <v>102305</v>
      </c>
      <c r="D3684" s="11">
        <f>IFERROR(__xludf.DUMMYFUNCTION("""COMPUTED_VALUE"""),907.0)</f>
        <v>907</v>
      </c>
      <c r="E3684" s="9"/>
    </row>
    <row r="3685">
      <c r="A3685" s="11">
        <f>IFERROR(__xludf.DUMMYFUNCTION("""COMPUTED_VALUE"""),2021.0)</f>
        <v>2021</v>
      </c>
      <c r="B3685" s="11">
        <f>IFERROR(__xludf.DUMMYFUNCTION("""COMPUTED_VALUE"""),10.0)</f>
        <v>10</v>
      </c>
      <c r="C3685" s="11">
        <f>IFERROR(__xludf.DUMMYFUNCTION("""COMPUTED_VALUE"""),110342.0)</f>
        <v>110342</v>
      </c>
      <c r="D3685" s="11">
        <f>IFERROR(__xludf.DUMMYFUNCTION("""COMPUTED_VALUE"""),995.0)</f>
        <v>995</v>
      </c>
      <c r="E3685" s="9"/>
    </row>
    <row r="3686">
      <c r="A3686" s="11">
        <f>IFERROR(__xludf.DUMMYFUNCTION("""COMPUTED_VALUE"""),2021.0)</f>
        <v>2021</v>
      </c>
      <c r="B3686" s="11">
        <f>IFERROR(__xludf.DUMMYFUNCTION("""COMPUTED_VALUE"""),10.0)</f>
        <v>10</v>
      </c>
      <c r="C3686" s="11">
        <f>IFERROR(__xludf.DUMMYFUNCTION("""COMPUTED_VALUE"""),102306.0)</f>
        <v>102306</v>
      </c>
      <c r="D3686" s="11">
        <f>IFERROR(__xludf.DUMMYFUNCTION("""COMPUTED_VALUE"""),795.0)</f>
        <v>795</v>
      </c>
      <c r="E3686" s="9"/>
    </row>
    <row r="3687">
      <c r="A3687" s="11">
        <f>IFERROR(__xludf.DUMMYFUNCTION("""COMPUTED_VALUE"""),2021.0)</f>
        <v>2021</v>
      </c>
      <c r="B3687" s="11">
        <f>IFERROR(__xludf.DUMMYFUNCTION("""COMPUTED_VALUE"""),10.0)</f>
        <v>10</v>
      </c>
      <c r="C3687" s="11">
        <f>IFERROR(__xludf.DUMMYFUNCTION("""COMPUTED_VALUE"""),194045.0)</f>
        <v>194045</v>
      </c>
      <c r="D3687" s="11">
        <f>IFERROR(__xludf.DUMMYFUNCTION("""COMPUTED_VALUE"""),273.0)</f>
        <v>273</v>
      </c>
      <c r="E3687" s="9"/>
    </row>
    <row r="3688">
      <c r="A3688" s="11">
        <f>IFERROR(__xludf.DUMMYFUNCTION("""COMPUTED_VALUE"""),2021.0)</f>
        <v>2021</v>
      </c>
      <c r="B3688" s="11">
        <f>IFERROR(__xludf.DUMMYFUNCTION("""COMPUTED_VALUE"""),8.0)</f>
        <v>8</v>
      </c>
      <c r="C3688" s="11">
        <f>IFERROR(__xludf.DUMMYFUNCTION("""COMPUTED_VALUE"""),96009.0)</f>
        <v>96009</v>
      </c>
      <c r="D3688" s="11">
        <f>IFERROR(__xludf.DUMMYFUNCTION("""COMPUTED_VALUE"""),360.0)</f>
        <v>360</v>
      </c>
      <c r="E3688" s="9"/>
    </row>
    <row r="3689">
      <c r="A3689" s="11">
        <f>IFERROR(__xludf.DUMMYFUNCTION("""COMPUTED_VALUE"""),2021.0)</f>
        <v>2021</v>
      </c>
      <c r="B3689" s="11">
        <f>IFERROR(__xludf.DUMMYFUNCTION("""COMPUTED_VALUE"""),9.0)</f>
        <v>9</v>
      </c>
      <c r="C3689" s="11">
        <f>IFERROR(__xludf.DUMMYFUNCTION("""COMPUTED_VALUE"""),104087.0)</f>
        <v>104087</v>
      </c>
      <c r="D3689" s="11">
        <f>IFERROR(__xludf.DUMMYFUNCTION("""COMPUTED_VALUE"""),161.0)</f>
        <v>161</v>
      </c>
      <c r="E3689" s="9"/>
    </row>
    <row r="3690">
      <c r="A3690" s="11">
        <f>IFERROR(__xludf.DUMMYFUNCTION("""COMPUTED_VALUE"""),2021.0)</f>
        <v>2021</v>
      </c>
      <c r="B3690" s="11">
        <f>IFERROR(__xludf.DUMMYFUNCTION("""COMPUTED_VALUE"""),11.0)</f>
        <v>11</v>
      </c>
      <c r="C3690" s="11">
        <f>IFERROR(__xludf.DUMMYFUNCTION("""COMPUTED_VALUE"""),77448.0)</f>
        <v>77448</v>
      </c>
      <c r="D3690" s="11">
        <f>IFERROR(__xludf.DUMMYFUNCTION("""COMPUTED_VALUE"""),1000.0)</f>
        <v>1000</v>
      </c>
      <c r="E3690" s="9"/>
    </row>
    <row r="3691">
      <c r="A3691" s="11">
        <f>IFERROR(__xludf.DUMMYFUNCTION("""COMPUTED_VALUE"""),2021.0)</f>
        <v>2021</v>
      </c>
      <c r="B3691" s="11">
        <f>IFERROR(__xludf.DUMMYFUNCTION("""COMPUTED_VALUE"""),10.0)</f>
        <v>10</v>
      </c>
      <c r="C3691" s="11">
        <f>IFERROR(__xludf.DUMMYFUNCTION("""COMPUTED_VALUE"""),5801.0)</f>
        <v>5801</v>
      </c>
      <c r="D3691" s="11">
        <f>IFERROR(__xludf.DUMMYFUNCTION("""COMPUTED_VALUE"""),1726.0)</f>
        <v>1726</v>
      </c>
      <c r="E3691" s="9"/>
    </row>
    <row r="3692">
      <c r="A3692" s="11">
        <f>IFERROR(__xludf.DUMMYFUNCTION("""COMPUTED_VALUE"""),2021.0)</f>
        <v>2021</v>
      </c>
      <c r="B3692" s="11">
        <f>IFERROR(__xludf.DUMMYFUNCTION("""COMPUTED_VALUE"""),8.0)</f>
        <v>8</v>
      </c>
      <c r="C3692" s="11">
        <f>IFERROR(__xludf.DUMMYFUNCTION("""COMPUTED_VALUE"""),90650.0)</f>
        <v>90650</v>
      </c>
      <c r="D3692" s="11">
        <f>IFERROR(__xludf.DUMMYFUNCTION("""COMPUTED_VALUE"""),621.0)</f>
        <v>621</v>
      </c>
      <c r="E3692" s="9"/>
    </row>
    <row r="3693">
      <c r="A3693" s="11">
        <f>IFERROR(__xludf.DUMMYFUNCTION("""COMPUTED_VALUE"""),2021.0)</f>
        <v>2021</v>
      </c>
      <c r="B3693" s="11">
        <f>IFERROR(__xludf.DUMMYFUNCTION("""COMPUTED_VALUE"""),9.0)</f>
        <v>9</v>
      </c>
      <c r="C3693" s="11">
        <f>IFERROR(__xludf.DUMMYFUNCTION("""COMPUTED_VALUE"""),6395.0)</f>
        <v>6395</v>
      </c>
      <c r="D3693" s="11">
        <f>IFERROR(__xludf.DUMMYFUNCTION("""COMPUTED_VALUE"""),388.0)</f>
        <v>388</v>
      </c>
      <c r="E3693" s="9"/>
    </row>
    <row r="3694">
      <c r="A3694" s="11">
        <f>IFERROR(__xludf.DUMMYFUNCTION("""COMPUTED_VALUE"""),2021.0)</f>
        <v>2021</v>
      </c>
      <c r="B3694" s="11">
        <f>IFERROR(__xludf.DUMMYFUNCTION("""COMPUTED_VALUE"""),11.0)</f>
        <v>11</v>
      </c>
      <c r="C3694" s="11">
        <f>IFERROR(__xludf.DUMMYFUNCTION("""COMPUTED_VALUE"""),77444.0)</f>
        <v>77444</v>
      </c>
      <c r="D3694" s="11">
        <f>IFERROR(__xludf.DUMMYFUNCTION("""COMPUTED_VALUE"""),1244.0)</f>
        <v>1244</v>
      </c>
      <c r="E3694" s="9"/>
    </row>
    <row r="3695">
      <c r="A3695" s="11">
        <f>IFERROR(__xludf.DUMMYFUNCTION("""COMPUTED_VALUE"""),2021.0)</f>
        <v>2021</v>
      </c>
      <c r="B3695" s="11">
        <f>IFERROR(__xludf.DUMMYFUNCTION("""COMPUTED_VALUE"""),9.0)</f>
        <v>9</v>
      </c>
      <c r="C3695" s="11">
        <f>IFERROR(__xludf.DUMMYFUNCTION("""COMPUTED_VALUE"""),20389.0)</f>
        <v>20389</v>
      </c>
      <c r="D3695" s="11">
        <f>IFERROR(__xludf.DUMMYFUNCTION("""COMPUTED_VALUE"""),482.0)</f>
        <v>482</v>
      </c>
      <c r="E3695" s="9"/>
    </row>
    <row r="3696">
      <c r="A3696" s="11">
        <f>IFERROR(__xludf.DUMMYFUNCTION("""COMPUTED_VALUE"""),2021.0)</f>
        <v>2021</v>
      </c>
      <c r="B3696" s="11">
        <f>IFERROR(__xludf.DUMMYFUNCTION("""COMPUTED_VALUE"""),8.0)</f>
        <v>8</v>
      </c>
      <c r="C3696" s="11">
        <f>IFERROR(__xludf.DUMMYFUNCTION("""COMPUTED_VALUE"""),68293.0)</f>
        <v>68293</v>
      </c>
      <c r="D3696" s="11">
        <f>IFERROR(__xludf.DUMMYFUNCTION("""COMPUTED_VALUE"""),1003.0)</f>
        <v>1003</v>
      </c>
      <c r="E3696" s="9"/>
    </row>
    <row r="3697">
      <c r="A3697" s="11">
        <f>IFERROR(__xludf.DUMMYFUNCTION("""COMPUTED_VALUE"""),2021.0)</f>
        <v>2021</v>
      </c>
      <c r="B3697" s="11">
        <f>IFERROR(__xludf.DUMMYFUNCTION("""COMPUTED_VALUE"""),8.0)</f>
        <v>8</v>
      </c>
      <c r="C3697" s="11">
        <f>IFERROR(__xludf.DUMMYFUNCTION("""COMPUTED_VALUE"""),90982.0)</f>
        <v>90982</v>
      </c>
      <c r="D3697" s="11">
        <f>IFERROR(__xludf.DUMMYFUNCTION("""COMPUTED_VALUE"""),1000.0)</f>
        <v>1000</v>
      </c>
      <c r="E3697" s="9"/>
    </row>
    <row r="3698">
      <c r="A3698" s="11">
        <f>IFERROR(__xludf.DUMMYFUNCTION("""COMPUTED_VALUE"""),2021.0)</f>
        <v>2021</v>
      </c>
      <c r="B3698" s="11">
        <f>IFERROR(__xludf.DUMMYFUNCTION("""COMPUTED_VALUE"""),9.0)</f>
        <v>9</v>
      </c>
      <c r="C3698" s="11">
        <f>IFERROR(__xludf.DUMMYFUNCTION("""COMPUTED_VALUE"""),48279.0)</f>
        <v>48279</v>
      </c>
      <c r="D3698" s="11">
        <f>IFERROR(__xludf.DUMMYFUNCTION("""COMPUTED_VALUE"""),1508.0)</f>
        <v>1508</v>
      </c>
      <c r="E3698" s="9"/>
    </row>
    <row r="3699">
      <c r="A3699" s="11">
        <f>IFERROR(__xludf.DUMMYFUNCTION("""COMPUTED_VALUE"""),2021.0)</f>
        <v>2021</v>
      </c>
      <c r="B3699" s="11">
        <f>IFERROR(__xludf.DUMMYFUNCTION("""COMPUTED_VALUE"""),10.0)</f>
        <v>10</v>
      </c>
      <c r="C3699" s="11">
        <f>IFERROR(__xludf.DUMMYFUNCTION("""COMPUTED_VALUE"""),77447.0)</f>
        <v>77447</v>
      </c>
      <c r="D3699" s="11">
        <f>IFERROR(__xludf.DUMMYFUNCTION("""COMPUTED_VALUE"""),1954.0)</f>
        <v>1954</v>
      </c>
      <c r="E3699" s="9"/>
    </row>
    <row r="3700">
      <c r="A3700" s="11">
        <f>IFERROR(__xludf.DUMMYFUNCTION("""COMPUTED_VALUE"""),2021.0)</f>
        <v>2021</v>
      </c>
      <c r="B3700" s="11">
        <f>IFERROR(__xludf.DUMMYFUNCTION("""COMPUTED_VALUE"""),8.0)</f>
        <v>8</v>
      </c>
      <c r="C3700" s="11">
        <f>IFERROR(__xludf.DUMMYFUNCTION("""COMPUTED_VALUE"""),5710.0)</f>
        <v>5710</v>
      </c>
      <c r="D3700" s="11">
        <f>IFERROR(__xludf.DUMMYFUNCTION("""COMPUTED_VALUE"""),1043.0)</f>
        <v>1043</v>
      </c>
      <c r="E3700" s="9"/>
    </row>
    <row r="3701">
      <c r="A3701" s="11">
        <f>IFERROR(__xludf.DUMMYFUNCTION("""COMPUTED_VALUE"""),2021.0)</f>
        <v>2021</v>
      </c>
      <c r="B3701" s="11">
        <f>IFERROR(__xludf.DUMMYFUNCTION("""COMPUTED_VALUE"""),11.0)</f>
        <v>11</v>
      </c>
      <c r="C3701" s="11">
        <f>IFERROR(__xludf.DUMMYFUNCTION("""COMPUTED_VALUE"""),90906.0)</f>
        <v>90906</v>
      </c>
      <c r="D3701" s="11">
        <f>IFERROR(__xludf.DUMMYFUNCTION("""COMPUTED_VALUE"""),1132.0)</f>
        <v>1132</v>
      </c>
      <c r="E3701" s="9"/>
    </row>
    <row r="3702">
      <c r="A3702" s="11">
        <f>IFERROR(__xludf.DUMMYFUNCTION("""COMPUTED_VALUE"""),2021.0)</f>
        <v>2021</v>
      </c>
      <c r="B3702" s="11">
        <f>IFERROR(__xludf.DUMMYFUNCTION("""COMPUTED_VALUE"""),8.0)</f>
        <v>8</v>
      </c>
      <c r="C3702" s="11">
        <f>IFERROR(__xludf.DUMMYFUNCTION("""COMPUTED_VALUE"""),90883.0)</f>
        <v>90883</v>
      </c>
      <c r="D3702" s="11">
        <f>IFERROR(__xludf.DUMMYFUNCTION("""COMPUTED_VALUE"""),209.0)</f>
        <v>209</v>
      </c>
      <c r="E3702" s="9"/>
    </row>
    <row r="3703">
      <c r="A3703" s="11">
        <f>IFERROR(__xludf.DUMMYFUNCTION("""COMPUTED_VALUE"""),2021.0)</f>
        <v>2021</v>
      </c>
      <c r="B3703" s="11">
        <f>IFERROR(__xludf.DUMMYFUNCTION("""COMPUTED_VALUE"""),8.0)</f>
        <v>8</v>
      </c>
      <c r="C3703" s="11">
        <f>IFERROR(__xludf.DUMMYFUNCTION("""COMPUTED_VALUE"""),113093.0)</f>
        <v>113093</v>
      </c>
      <c r="D3703" s="11">
        <f>IFERROR(__xludf.DUMMYFUNCTION("""COMPUTED_VALUE"""),1296.0)</f>
        <v>1296</v>
      </c>
      <c r="E3703" s="9"/>
    </row>
    <row r="3704">
      <c r="A3704" s="11">
        <f>IFERROR(__xludf.DUMMYFUNCTION("""COMPUTED_VALUE"""),2021.0)</f>
        <v>2021</v>
      </c>
      <c r="B3704" s="11">
        <f>IFERROR(__xludf.DUMMYFUNCTION("""COMPUTED_VALUE"""),8.0)</f>
        <v>8</v>
      </c>
      <c r="C3704" s="11">
        <f>IFERROR(__xludf.DUMMYFUNCTION("""COMPUTED_VALUE"""),73926.0)</f>
        <v>73926</v>
      </c>
      <c r="D3704" s="11">
        <f>IFERROR(__xludf.DUMMYFUNCTION("""COMPUTED_VALUE"""),966.0)</f>
        <v>966</v>
      </c>
      <c r="E3704" s="9"/>
    </row>
    <row r="3705">
      <c r="A3705" s="11">
        <f>IFERROR(__xludf.DUMMYFUNCTION("""COMPUTED_VALUE"""),2021.0)</f>
        <v>2021</v>
      </c>
      <c r="B3705" s="11">
        <f>IFERROR(__xludf.DUMMYFUNCTION("""COMPUTED_VALUE"""),11.0)</f>
        <v>11</v>
      </c>
      <c r="C3705" s="11">
        <f>IFERROR(__xludf.DUMMYFUNCTION("""COMPUTED_VALUE"""),110083.0)</f>
        <v>110083</v>
      </c>
      <c r="D3705" s="11">
        <f>IFERROR(__xludf.DUMMYFUNCTION("""COMPUTED_VALUE"""),1042.0)</f>
        <v>1042</v>
      </c>
      <c r="E3705" s="9"/>
    </row>
    <row r="3706">
      <c r="A3706" s="11">
        <f>IFERROR(__xludf.DUMMYFUNCTION("""COMPUTED_VALUE"""),2021.0)</f>
        <v>2021</v>
      </c>
      <c r="B3706" s="11">
        <f>IFERROR(__xludf.DUMMYFUNCTION("""COMPUTED_VALUE"""),8.0)</f>
        <v>8</v>
      </c>
      <c r="C3706" s="11">
        <f>IFERROR(__xludf.DUMMYFUNCTION("""COMPUTED_VALUE"""),76313.0)</f>
        <v>76313</v>
      </c>
      <c r="D3706" s="11">
        <f>IFERROR(__xludf.DUMMYFUNCTION("""COMPUTED_VALUE"""),1734.0)</f>
        <v>1734</v>
      </c>
      <c r="E3706" s="9"/>
    </row>
    <row r="3707">
      <c r="A3707" s="11">
        <f>IFERROR(__xludf.DUMMYFUNCTION("""COMPUTED_VALUE"""),2021.0)</f>
        <v>2021</v>
      </c>
      <c r="B3707" s="11">
        <f>IFERROR(__xludf.DUMMYFUNCTION("""COMPUTED_VALUE"""),10.0)</f>
        <v>10</v>
      </c>
      <c r="C3707" s="11">
        <f>IFERROR(__xludf.DUMMYFUNCTION("""COMPUTED_VALUE"""),68404.0)</f>
        <v>68404</v>
      </c>
      <c r="D3707" s="11">
        <f>IFERROR(__xludf.DUMMYFUNCTION("""COMPUTED_VALUE"""),873.0)</f>
        <v>873</v>
      </c>
      <c r="E3707" s="9"/>
    </row>
    <row r="3708">
      <c r="A3708" s="11">
        <f>IFERROR(__xludf.DUMMYFUNCTION("""COMPUTED_VALUE"""),2021.0)</f>
        <v>2021</v>
      </c>
      <c r="B3708" s="11">
        <f>IFERROR(__xludf.DUMMYFUNCTION("""COMPUTED_VALUE"""),10.0)</f>
        <v>10</v>
      </c>
      <c r="C3708" s="11">
        <f>IFERROR(__xludf.DUMMYFUNCTION("""COMPUTED_VALUE"""),68322.0)</f>
        <v>68322</v>
      </c>
      <c r="D3708" s="11">
        <f>IFERROR(__xludf.DUMMYFUNCTION("""COMPUTED_VALUE"""),233.0)</f>
        <v>233</v>
      </c>
      <c r="E3708" s="9"/>
    </row>
    <row r="3709">
      <c r="A3709" s="11">
        <f>IFERROR(__xludf.DUMMYFUNCTION("""COMPUTED_VALUE"""),2021.0)</f>
        <v>2021</v>
      </c>
      <c r="B3709" s="11">
        <f>IFERROR(__xludf.DUMMYFUNCTION("""COMPUTED_VALUE"""),11.0)</f>
        <v>11</v>
      </c>
      <c r="C3709" s="11">
        <f>IFERROR(__xludf.DUMMYFUNCTION("""COMPUTED_VALUE"""),73947.0)</f>
        <v>73947</v>
      </c>
      <c r="D3709" s="11">
        <f>IFERROR(__xludf.DUMMYFUNCTION("""COMPUTED_VALUE"""),90.0)</f>
        <v>90</v>
      </c>
      <c r="E3709" s="9"/>
    </row>
    <row r="3710">
      <c r="A3710" s="11">
        <f>IFERROR(__xludf.DUMMYFUNCTION("""COMPUTED_VALUE"""),2021.0)</f>
        <v>2021</v>
      </c>
      <c r="B3710" s="11">
        <f>IFERROR(__xludf.DUMMYFUNCTION("""COMPUTED_VALUE"""),11.0)</f>
        <v>11</v>
      </c>
      <c r="C3710" s="11">
        <f>IFERROR(__xludf.DUMMYFUNCTION("""COMPUTED_VALUE"""),29116.0)</f>
        <v>29116</v>
      </c>
      <c r="D3710" s="11">
        <f>IFERROR(__xludf.DUMMYFUNCTION("""COMPUTED_VALUE"""),1204.0)</f>
        <v>1204</v>
      </c>
      <c r="E3710" s="9"/>
    </row>
    <row r="3711">
      <c r="A3711" s="11">
        <f>IFERROR(__xludf.DUMMYFUNCTION("""COMPUTED_VALUE"""),2021.0)</f>
        <v>2021</v>
      </c>
      <c r="B3711" s="11">
        <f>IFERROR(__xludf.DUMMYFUNCTION("""COMPUTED_VALUE"""),9.0)</f>
        <v>9</v>
      </c>
      <c r="C3711" s="11">
        <f>IFERROR(__xludf.DUMMYFUNCTION("""COMPUTED_VALUE"""),90846.0)</f>
        <v>90846</v>
      </c>
      <c r="D3711" s="11">
        <f>IFERROR(__xludf.DUMMYFUNCTION("""COMPUTED_VALUE"""),780.0)</f>
        <v>780</v>
      </c>
      <c r="E3711" s="9"/>
    </row>
    <row r="3712">
      <c r="A3712" s="11">
        <f>IFERROR(__xludf.DUMMYFUNCTION("""COMPUTED_VALUE"""),2021.0)</f>
        <v>2021</v>
      </c>
      <c r="B3712" s="11">
        <f>IFERROR(__xludf.DUMMYFUNCTION("""COMPUTED_VALUE"""),9.0)</f>
        <v>9</v>
      </c>
      <c r="C3712" s="11">
        <f>IFERROR(__xludf.DUMMYFUNCTION("""COMPUTED_VALUE"""),110084.0)</f>
        <v>110084</v>
      </c>
      <c r="D3712" s="11">
        <f>IFERROR(__xludf.DUMMYFUNCTION("""COMPUTED_VALUE"""),1527.0)</f>
        <v>1527</v>
      </c>
      <c r="E3712" s="9"/>
    </row>
    <row r="3713">
      <c r="A3713" s="11">
        <f>IFERROR(__xludf.DUMMYFUNCTION("""COMPUTED_VALUE"""),2021.0)</f>
        <v>2021</v>
      </c>
      <c r="B3713" s="11">
        <f>IFERROR(__xludf.DUMMYFUNCTION("""COMPUTED_VALUE"""),10.0)</f>
        <v>10</v>
      </c>
      <c r="C3713" s="11">
        <f>IFERROR(__xludf.DUMMYFUNCTION("""COMPUTED_VALUE"""),73925.0)</f>
        <v>73925</v>
      </c>
      <c r="D3713" s="11">
        <f>IFERROR(__xludf.DUMMYFUNCTION("""COMPUTED_VALUE"""),1892.0)</f>
        <v>1892</v>
      </c>
      <c r="E3713" s="9"/>
    </row>
    <row r="3714">
      <c r="A3714" s="11">
        <f>IFERROR(__xludf.DUMMYFUNCTION("""COMPUTED_VALUE"""),2021.0)</f>
        <v>2021</v>
      </c>
      <c r="B3714" s="11">
        <f>IFERROR(__xludf.DUMMYFUNCTION("""COMPUTED_VALUE"""),8.0)</f>
        <v>8</v>
      </c>
      <c r="C3714" s="11">
        <f>IFERROR(__xludf.DUMMYFUNCTION("""COMPUTED_VALUE"""),68296.0)</f>
        <v>68296</v>
      </c>
      <c r="D3714" s="11">
        <f>IFERROR(__xludf.DUMMYFUNCTION("""COMPUTED_VALUE"""),1396.0)</f>
        <v>1396</v>
      </c>
      <c r="E3714" s="9"/>
    </row>
    <row r="3715">
      <c r="A3715" s="11">
        <f>IFERROR(__xludf.DUMMYFUNCTION("""COMPUTED_VALUE"""),2021.0)</f>
        <v>2021</v>
      </c>
      <c r="B3715" s="11">
        <f>IFERROR(__xludf.DUMMYFUNCTION("""COMPUTED_VALUE"""),11.0)</f>
        <v>11</v>
      </c>
      <c r="C3715" s="11">
        <f>IFERROR(__xludf.DUMMYFUNCTION("""COMPUTED_VALUE"""),90873.0)</f>
        <v>90873</v>
      </c>
      <c r="D3715" s="11">
        <f>IFERROR(__xludf.DUMMYFUNCTION("""COMPUTED_VALUE"""),231.0)</f>
        <v>231</v>
      </c>
      <c r="E3715" s="9"/>
    </row>
    <row r="3716">
      <c r="A3716" s="11">
        <f>IFERROR(__xludf.DUMMYFUNCTION("""COMPUTED_VALUE"""),2021.0)</f>
        <v>2021</v>
      </c>
      <c r="B3716" s="11">
        <f>IFERROR(__xludf.DUMMYFUNCTION("""COMPUTED_VALUE"""),11.0)</f>
        <v>11</v>
      </c>
      <c r="C3716" s="11">
        <f>IFERROR(__xludf.DUMMYFUNCTION("""COMPUTED_VALUE"""),90874.0)</f>
        <v>90874</v>
      </c>
      <c r="D3716" s="11">
        <f>IFERROR(__xludf.DUMMYFUNCTION("""COMPUTED_VALUE"""),1620.0)</f>
        <v>1620</v>
      </c>
      <c r="E3716" s="9"/>
    </row>
    <row r="3717">
      <c r="A3717" s="11">
        <f>IFERROR(__xludf.DUMMYFUNCTION("""COMPUTED_VALUE"""),2021.0)</f>
        <v>2021</v>
      </c>
      <c r="B3717" s="11">
        <f>IFERROR(__xludf.DUMMYFUNCTION("""COMPUTED_VALUE"""),11.0)</f>
        <v>11</v>
      </c>
      <c r="C3717" s="11">
        <f>IFERROR(__xludf.DUMMYFUNCTION("""COMPUTED_VALUE"""),90842.0)</f>
        <v>90842</v>
      </c>
      <c r="D3717" s="11">
        <f>IFERROR(__xludf.DUMMYFUNCTION("""COMPUTED_VALUE"""),338.0)</f>
        <v>338</v>
      </c>
      <c r="E3717" s="9"/>
    </row>
    <row r="3718">
      <c r="A3718" s="11">
        <f>IFERROR(__xludf.DUMMYFUNCTION("""COMPUTED_VALUE"""),2021.0)</f>
        <v>2021</v>
      </c>
      <c r="B3718" s="11">
        <f>IFERROR(__xludf.DUMMYFUNCTION("""COMPUTED_VALUE"""),9.0)</f>
        <v>9</v>
      </c>
      <c r="C3718" s="11">
        <f>IFERROR(__xludf.DUMMYFUNCTION("""COMPUTED_VALUE"""),5709.0)</f>
        <v>5709</v>
      </c>
      <c r="D3718" s="11">
        <f>IFERROR(__xludf.DUMMYFUNCTION("""COMPUTED_VALUE"""),981.0)</f>
        <v>981</v>
      </c>
      <c r="E3718" s="9"/>
    </row>
    <row r="3719">
      <c r="A3719" s="11">
        <f>IFERROR(__xludf.DUMMYFUNCTION("""COMPUTED_VALUE"""),2021.0)</f>
        <v>2021</v>
      </c>
      <c r="B3719" s="11">
        <f>IFERROR(__xludf.DUMMYFUNCTION("""COMPUTED_VALUE"""),10.0)</f>
        <v>10</v>
      </c>
      <c r="C3719" s="11">
        <f>IFERROR(__xludf.DUMMYFUNCTION("""COMPUTED_VALUE"""),76341.0)</f>
        <v>76341</v>
      </c>
      <c r="D3719" s="11">
        <f>IFERROR(__xludf.DUMMYFUNCTION("""COMPUTED_VALUE"""),1690.0)</f>
        <v>1690</v>
      </c>
      <c r="E3719" s="9"/>
    </row>
    <row r="3720">
      <c r="A3720" s="11">
        <f>IFERROR(__xludf.DUMMYFUNCTION("""COMPUTED_VALUE"""),2021.0)</f>
        <v>2021</v>
      </c>
      <c r="B3720" s="11">
        <f>IFERROR(__xludf.DUMMYFUNCTION("""COMPUTED_VALUE"""),8.0)</f>
        <v>8</v>
      </c>
      <c r="C3720" s="11">
        <f>IFERROR(__xludf.DUMMYFUNCTION("""COMPUTED_VALUE"""),113094.0)</f>
        <v>113094</v>
      </c>
      <c r="D3720" s="11">
        <f>IFERROR(__xludf.DUMMYFUNCTION("""COMPUTED_VALUE"""),410.0)</f>
        <v>410</v>
      </c>
      <c r="E3720" s="9"/>
    </row>
    <row r="3721">
      <c r="A3721" s="11">
        <f>IFERROR(__xludf.DUMMYFUNCTION("""COMPUTED_VALUE"""),2021.0)</f>
        <v>2021</v>
      </c>
      <c r="B3721" s="11">
        <f>IFERROR(__xludf.DUMMYFUNCTION("""COMPUTED_VALUE"""),10.0)</f>
        <v>10</v>
      </c>
      <c r="C3721" s="11">
        <f>IFERROR(__xludf.DUMMYFUNCTION("""COMPUTED_VALUE"""),76301.0)</f>
        <v>76301</v>
      </c>
      <c r="D3721" s="11">
        <f>IFERROR(__xludf.DUMMYFUNCTION("""COMPUTED_VALUE"""),844.0)</f>
        <v>844</v>
      </c>
      <c r="E3721" s="9"/>
    </row>
    <row r="3722">
      <c r="A3722" s="11">
        <f>IFERROR(__xludf.DUMMYFUNCTION("""COMPUTED_VALUE"""),2021.0)</f>
        <v>2021</v>
      </c>
      <c r="B3722" s="11">
        <f>IFERROR(__xludf.DUMMYFUNCTION("""COMPUTED_VALUE"""),10.0)</f>
        <v>10</v>
      </c>
      <c r="C3722" s="11">
        <f>IFERROR(__xludf.DUMMYFUNCTION("""COMPUTED_VALUE"""),90844.0)</f>
        <v>90844</v>
      </c>
      <c r="D3722" s="11">
        <f>IFERROR(__xludf.DUMMYFUNCTION("""COMPUTED_VALUE"""),1362.0)</f>
        <v>1362</v>
      </c>
      <c r="E3722" s="9"/>
    </row>
    <row r="3723">
      <c r="A3723" s="11">
        <f>IFERROR(__xludf.DUMMYFUNCTION("""COMPUTED_VALUE"""),2021.0)</f>
        <v>2021</v>
      </c>
      <c r="B3723" s="11">
        <f>IFERROR(__xludf.DUMMYFUNCTION("""COMPUTED_VALUE"""),8.0)</f>
        <v>8</v>
      </c>
      <c r="C3723" s="11">
        <f>IFERROR(__xludf.DUMMYFUNCTION("""COMPUTED_VALUE"""),90848.0)</f>
        <v>90848</v>
      </c>
      <c r="D3723" s="11">
        <f>IFERROR(__xludf.DUMMYFUNCTION("""COMPUTED_VALUE"""),1681.0)</f>
        <v>1681</v>
      </c>
      <c r="E3723" s="9"/>
    </row>
    <row r="3724">
      <c r="A3724" s="11">
        <f>IFERROR(__xludf.DUMMYFUNCTION("""COMPUTED_VALUE"""),2021.0)</f>
        <v>2021</v>
      </c>
      <c r="B3724" s="11">
        <f>IFERROR(__xludf.DUMMYFUNCTION("""COMPUTED_VALUE"""),9.0)</f>
        <v>9</v>
      </c>
      <c r="C3724" s="11">
        <f>IFERROR(__xludf.DUMMYFUNCTION("""COMPUTED_VALUE"""),76318.0)</f>
        <v>76318</v>
      </c>
      <c r="D3724" s="11">
        <f>IFERROR(__xludf.DUMMYFUNCTION("""COMPUTED_VALUE"""),793.0)</f>
        <v>793</v>
      </c>
      <c r="E3724" s="9"/>
    </row>
    <row r="3725">
      <c r="A3725" s="11">
        <f>IFERROR(__xludf.DUMMYFUNCTION("""COMPUTED_VALUE"""),2021.0)</f>
        <v>2021</v>
      </c>
      <c r="B3725" s="11">
        <f>IFERROR(__xludf.DUMMYFUNCTION("""COMPUTED_VALUE"""),10.0)</f>
        <v>10</v>
      </c>
      <c r="C3725" s="11">
        <f>IFERROR(__xludf.DUMMYFUNCTION("""COMPUTED_VALUE"""),118885.0)</f>
        <v>118885</v>
      </c>
      <c r="D3725" s="11">
        <f>IFERROR(__xludf.DUMMYFUNCTION("""COMPUTED_VALUE"""),1807.0)</f>
        <v>1807</v>
      </c>
      <c r="E3725" s="9"/>
    </row>
    <row r="3726">
      <c r="A3726" s="11">
        <f>IFERROR(__xludf.DUMMYFUNCTION("""COMPUTED_VALUE"""),2021.0)</f>
        <v>2021</v>
      </c>
      <c r="B3726" s="11">
        <f>IFERROR(__xludf.DUMMYFUNCTION("""COMPUTED_VALUE"""),8.0)</f>
        <v>8</v>
      </c>
      <c r="C3726" s="11">
        <f>IFERROR(__xludf.DUMMYFUNCTION("""COMPUTED_VALUE"""),76349.0)</f>
        <v>76349</v>
      </c>
      <c r="D3726" s="11">
        <f>IFERROR(__xludf.DUMMYFUNCTION("""COMPUTED_VALUE"""),1548.0)</f>
        <v>1548</v>
      </c>
      <c r="E3726" s="9"/>
    </row>
    <row r="3727">
      <c r="A3727" s="11">
        <f>IFERROR(__xludf.DUMMYFUNCTION("""COMPUTED_VALUE"""),2021.0)</f>
        <v>2021</v>
      </c>
      <c r="B3727" s="11">
        <f>IFERROR(__xludf.DUMMYFUNCTION("""COMPUTED_VALUE"""),11.0)</f>
        <v>11</v>
      </c>
      <c r="C3727" s="11">
        <f>IFERROR(__xludf.DUMMYFUNCTION("""COMPUTED_VALUE"""),30878.0)</f>
        <v>30878</v>
      </c>
      <c r="D3727" s="11">
        <f>IFERROR(__xludf.DUMMYFUNCTION("""COMPUTED_VALUE"""),1937.0)</f>
        <v>1937</v>
      </c>
      <c r="E3727" s="9"/>
    </row>
    <row r="3728">
      <c r="A3728" s="11">
        <f>IFERROR(__xludf.DUMMYFUNCTION("""COMPUTED_VALUE"""),2021.0)</f>
        <v>2021</v>
      </c>
      <c r="B3728" s="11">
        <f>IFERROR(__xludf.DUMMYFUNCTION("""COMPUTED_VALUE"""),9.0)</f>
        <v>9</v>
      </c>
      <c r="C3728" s="11">
        <f>IFERROR(__xludf.DUMMYFUNCTION("""COMPUTED_VALUE"""),104176.0)</f>
        <v>104176</v>
      </c>
      <c r="D3728" s="11">
        <f>IFERROR(__xludf.DUMMYFUNCTION("""COMPUTED_VALUE"""),947.0)</f>
        <v>947</v>
      </c>
      <c r="E3728" s="9"/>
    </row>
    <row r="3729">
      <c r="A3729" s="11">
        <f>IFERROR(__xludf.DUMMYFUNCTION("""COMPUTED_VALUE"""),2021.0)</f>
        <v>2021</v>
      </c>
      <c r="B3729" s="11">
        <f>IFERROR(__xludf.DUMMYFUNCTION("""COMPUTED_VALUE"""),9.0)</f>
        <v>9</v>
      </c>
      <c r="C3729" s="11">
        <f>IFERROR(__xludf.DUMMYFUNCTION("""COMPUTED_VALUE"""),78516.0)</f>
        <v>78516</v>
      </c>
      <c r="D3729" s="11">
        <f>IFERROR(__xludf.DUMMYFUNCTION("""COMPUTED_VALUE"""),391.0)</f>
        <v>391</v>
      </c>
      <c r="E3729" s="9"/>
    </row>
    <row r="3730">
      <c r="A3730" s="11">
        <f>IFERROR(__xludf.DUMMYFUNCTION("""COMPUTED_VALUE"""),2021.0)</f>
        <v>2021</v>
      </c>
      <c r="B3730" s="11">
        <f>IFERROR(__xludf.DUMMYFUNCTION("""COMPUTED_VALUE"""),8.0)</f>
        <v>8</v>
      </c>
      <c r="C3730" s="11">
        <f>IFERROR(__xludf.DUMMYFUNCTION("""COMPUTED_VALUE"""),118884.0)</f>
        <v>118884</v>
      </c>
      <c r="D3730" s="11">
        <f>IFERROR(__xludf.DUMMYFUNCTION("""COMPUTED_VALUE"""),400.0)</f>
        <v>400</v>
      </c>
      <c r="E3730" s="9"/>
    </row>
    <row r="3731">
      <c r="A3731" s="11">
        <f>IFERROR(__xludf.DUMMYFUNCTION("""COMPUTED_VALUE"""),2021.0)</f>
        <v>2021</v>
      </c>
      <c r="B3731" s="11">
        <f>IFERROR(__xludf.DUMMYFUNCTION("""COMPUTED_VALUE"""),9.0)</f>
        <v>9</v>
      </c>
      <c r="C3731" s="11">
        <f>IFERROR(__xludf.DUMMYFUNCTION("""COMPUTED_VALUE"""),119239.0)</f>
        <v>119239</v>
      </c>
      <c r="D3731" s="11">
        <f>IFERROR(__xludf.DUMMYFUNCTION("""COMPUTED_VALUE"""),1575.0)</f>
        <v>1575</v>
      </c>
      <c r="E3731" s="9"/>
    </row>
    <row r="3732">
      <c r="A3732" s="11">
        <f>IFERROR(__xludf.DUMMYFUNCTION("""COMPUTED_VALUE"""),2021.0)</f>
        <v>2021</v>
      </c>
      <c r="B3732" s="11">
        <f>IFERROR(__xludf.DUMMYFUNCTION("""COMPUTED_VALUE"""),11.0)</f>
        <v>11</v>
      </c>
      <c r="C3732" s="11">
        <f>IFERROR(__xludf.DUMMYFUNCTION("""COMPUTED_VALUE"""),30875.0)</f>
        <v>30875</v>
      </c>
      <c r="D3732" s="11">
        <f>IFERROR(__xludf.DUMMYFUNCTION("""COMPUTED_VALUE"""),999.0)</f>
        <v>999</v>
      </c>
      <c r="E3732" s="9"/>
    </row>
    <row r="3733">
      <c r="A3733" s="11">
        <f>IFERROR(__xludf.DUMMYFUNCTION("""COMPUTED_VALUE"""),2021.0)</f>
        <v>2021</v>
      </c>
      <c r="B3733" s="11">
        <f>IFERROR(__xludf.DUMMYFUNCTION("""COMPUTED_VALUE"""),11.0)</f>
        <v>11</v>
      </c>
      <c r="C3733" s="11">
        <f>IFERROR(__xludf.DUMMYFUNCTION("""COMPUTED_VALUE"""),73946.0)</f>
        <v>73946</v>
      </c>
      <c r="D3733" s="11">
        <f>IFERROR(__xludf.DUMMYFUNCTION("""COMPUTED_VALUE"""),175.0)</f>
        <v>175</v>
      </c>
      <c r="E3733" s="9"/>
    </row>
    <row r="3734">
      <c r="A3734" s="11">
        <f>IFERROR(__xludf.DUMMYFUNCTION("""COMPUTED_VALUE"""),2021.0)</f>
        <v>2021</v>
      </c>
      <c r="B3734" s="11">
        <f>IFERROR(__xludf.DUMMYFUNCTION("""COMPUTED_VALUE"""),11.0)</f>
        <v>11</v>
      </c>
      <c r="C3734" s="11">
        <f>IFERROR(__xludf.DUMMYFUNCTION("""COMPUTED_VALUE"""),90690.0)</f>
        <v>90690</v>
      </c>
      <c r="D3734" s="11">
        <f>IFERROR(__xludf.DUMMYFUNCTION("""COMPUTED_VALUE"""),1268.0)</f>
        <v>1268</v>
      </c>
      <c r="E3734" s="9"/>
    </row>
    <row r="3735">
      <c r="A3735" s="11">
        <f>IFERROR(__xludf.DUMMYFUNCTION("""COMPUTED_VALUE"""),2021.0)</f>
        <v>2021</v>
      </c>
      <c r="B3735" s="11">
        <f>IFERROR(__xludf.DUMMYFUNCTION("""COMPUTED_VALUE"""),10.0)</f>
        <v>10</v>
      </c>
      <c r="C3735" s="11">
        <f>IFERROR(__xludf.DUMMYFUNCTION("""COMPUTED_VALUE"""),101380.0)</f>
        <v>101380</v>
      </c>
      <c r="D3735" s="11">
        <f>IFERROR(__xludf.DUMMYFUNCTION("""COMPUTED_VALUE"""),1884.0)</f>
        <v>1884</v>
      </c>
      <c r="E3735" s="9"/>
    </row>
    <row r="3736">
      <c r="A3736" s="11">
        <f>IFERROR(__xludf.DUMMYFUNCTION("""COMPUTED_VALUE"""),2021.0)</f>
        <v>2021</v>
      </c>
      <c r="B3736" s="11">
        <f>IFERROR(__xludf.DUMMYFUNCTION("""COMPUTED_VALUE"""),11.0)</f>
        <v>11</v>
      </c>
      <c r="C3736" s="11">
        <f>IFERROR(__xludf.DUMMYFUNCTION("""COMPUTED_VALUE"""),5804.0)</f>
        <v>5804</v>
      </c>
      <c r="D3736" s="11">
        <f>IFERROR(__xludf.DUMMYFUNCTION("""COMPUTED_VALUE"""),1066.0)</f>
        <v>1066</v>
      </c>
      <c r="E3736" s="9"/>
    </row>
    <row r="3737">
      <c r="A3737" s="11">
        <f>IFERROR(__xludf.DUMMYFUNCTION("""COMPUTED_VALUE"""),2021.0)</f>
        <v>2021</v>
      </c>
      <c r="B3737" s="11">
        <f>IFERROR(__xludf.DUMMYFUNCTION("""COMPUTED_VALUE"""),8.0)</f>
        <v>8</v>
      </c>
      <c r="C3737" s="11">
        <f>IFERROR(__xludf.DUMMYFUNCTION("""COMPUTED_VALUE"""),82372.0)</f>
        <v>82372</v>
      </c>
      <c r="D3737" s="11">
        <f>IFERROR(__xludf.DUMMYFUNCTION("""COMPUTED_VALUE"""),1626.0)</f>
        <v>1626</v>
      </c>
      <c r="E3737" s="9"/>
    </row>
    <row r="3738">
      <c r="A3738" s="11">
        <f>IFERROR(__xludf.DUMMYFUNCTION("""COMPUTED_VALUE"""),2021.0)</f>
        <v>2021</v>
      </c>
      <c r="B3738" s="11">
        <f>IFERROR(__xludf.DUMMYFUNCTION("""COMPUTED_VALUE"""),11.0)</f>
        <v>11</v>
      </c>
      <c r="C3738" s="11">
        <f>IFERROR(__xludf.DUMMYFUNCTION("""COMPUTED_VALUE"""),90643.0)</f>
        <v>90643</v>
      </c>
      <c r="D3738" s="11">
        <f>IFERROR(__xludf.DUMMYFUNCTION("""COMPUTED_VALUE"""),1842.0)</f>
        <v>1842</v>
      </c>
      <c r="E3738" s="9"/>
    </row>
    <row r="3739">
      <c r="A3739" s="11">
        <f>IFERROR(__xludf.DUMMYFUNCTION("""COMPUTED_VALUE"""),2021.0)</f>
        <v>2021</v>
      </c>
      <c r="B3739" s="11">
        <f>IFERROR(__xludf.DUMMYFUNCTION("""COMPUTED_VALUE"""),8.0)</f>
        <v>8</v>
      </c>
      <c r="C3739" s="11">
        <f>IFERROR(__xludf.DUMMYFUNCTION("""COMPUTED_VALUE"""),68412.0)</f>
        <v>68412</v>
      </c>
      <c r="D3739" s="11">
        <f>IFERROR(__xludf.DUMMYFUNCTION("""COMPUTED_VALUE"""),1594.0)</f>
        <v>1594</v>
      </c>
      <c r="E3739" s="9"/>
    </row>
    <row r="3740">
      <c r="A3740" s="11">
        <f>IFERROR(__xludf.DUMMYFUNCTION("""COMPUTED_VALUE"""),2021.0)</f>
        <v>2021</v>
      </c>
      <c r="B3740" s="11">
        <f>IFERROR(__xludf.DUMMYFUNCTION("""COMPUTED_VALUE"""),8.0)</f>
        <v>8</v>
      </c>
      <c r="C3740" s="11">
        <f>IFERROR(__xludf.DUMMYFUNCTION("""COMPUTED_VALUE"""),82393.0)</f>
        <v>82393</v>
      </c>
      <c r="D3740" s="11">
        <f>IFERROR(__xludf.DUMMYFUNCTION("""COMPUTED_VALUE"""),434.0)</f>
        <v>434</v>
      </c>
      <c r="E3740" s="9"/>
    </row>
    <row r="3741">
      <c r="A3741" s="11">
        <f>IFERROR(__xludf.DUMMYFUNCTION("""COMPUTED_VALUE"""),2021.0)</f>
        <v>2021</v>
      </c>
      <c r="B3741" s="11">
        <f>IFERROR(__xludf.DUMMYFUNCTION("""COMPUTED_VALUE"""),8.0)</f>
        <v>8</v>
      </c>
      <c r="C3741" s="11">
        <f>IFERROR(__xludf.DUMMYFUNCTION("""COMPUTED_VALUE"""),5803.0)</f>
        <v>5803</v>
      </c>
      <c r="D3741" s="11">
        <f>IFERROR(__xludf.DUMMYFUNCTION("""COMPUTED_VALUE"""),825.0)</f>
        <v>825</v>
      </c>
      <c r="E3741" s="9"/>
    </row>
    <row r="3742">
      <c r="A3742" s="11">
        <f>IFERROR(__xludf.DUMMYFUNCTION("""COMPUTED_VALUE"""),2021.0)</f>
        <v>2021</v>
      </c>
      <c r="B3742" s="11">
        <f>IFERROR(__xludf.DUMMYFUNCTION("""COMPUTED_VALUE"""),11.0)</f>
        <v>11</v>
      </c>
      <c r="C3742" s="11">
        <f>IFERROR(__xludf.DUMMYFUNCTION("""COMPUTED_VALUE"""),121706.0)</f>
        <v>121706</v>
      </c>
      <c r="D3742" s="11">
        <f>IFERROR(__xludf.DUMMYFUNCTION("""COMPUTED_VALUE"""),862.0)</f>
        <v>862</v>
      </c>
      <c r="E3742" s="9"/>
    </row>
    <row r="3743">
      <c r="A3743" s="11">
        <f>IFERROR(__xludf.DUMMYFUNCTION("""COMPUTED_VALUE"""),2021.0)</f>
        <v>2021</v>
      </c>
      <c r="B3743" s="11">
        <f>IFERROR(__xludf.DUMMYFUNCTION("""COMPUTED_VALUE"""),11.0)</f>
        <v>11</v>
      </c>
      <c r="C3743" s="11">
        <f>IFERROR(__xludf.DUMMYFUNCTION("""COMPUTED_VALUE"""),68374.0)</f>
        <v>68374</v>
      </c>
      <c r="D3743" s="11">
        <f>IFERROR(__xludf.DUMMYFUNCTION("""COMPUTED_VALUE"""),1605.0)</f>
        <v>1605</v>
      </c>
      <c r="E3743" s="9"/>
    </row>
    <row r="3744">
      <c r="A3744" s="11">
        <f>IFERROR(__xludf.DUMMYFUNCTION("""COMPUTED_VALUE"""),2021.0)</f>
        <v>2021</v>
      </c>
      <c r="B3744" s="11">
        <f>IFERROR(__xludf.DUMMYFUNCTION("""COMPUTED_VALUE"""),9.0)</f>
        <v>9</v>
      </c>
      <c r="C3744" s="11">
        <f>IFERROR(__xludf.DUMMYFUNCTION("""COMPUTED_VALUE"""),90946.0)</f>
        <v>90946</v>
      </c>
      <c r="D3744" s="11">
        <f>IFERROR(__xludf.DUMMYFUNCTION("""COMPUTED_VALUE"""),538.0)</f>
        <v>538</v>
      </c>
      <c r="E3744" s="9"/>
    </row>
    <row r="3745">
      <c r="A3745" s="11">
        <f>IFERROR(__xludf.DUMMYFUNCTION("""COMPUTED_VALUE"""),2021.0)</f>
        <v>2021</v>
      </c>
      <c r="B3745" s="11">
        <f>IFERROR(__xludf.DUMMYFUNCTION("""COMPUTED_VALUE"""),8.0)</f>
        <v>8</v>
      </c>
      <c r="C3745" s="11">
        <f>IFERROR(__xludf.DUMMYFUNCTION("""COMPUTED_VALUE"""),69312.0)</f>
        <v>69312</v>
      </c>
      <c r="D3745" s="11">
        <f>IFERROR(__xludf.DUMMYFUNCTION("""COMPUTED_VALUE"""),1376.0)</f>
        <v>1376</v>
      </c>
      <c r="E3745" s="9"/>
    </row>
    <row r="3746">
      <c r="A3746" s="11">
        <f>IFERROR(__xludf.DUMMYFUNCTION("""COMPUTED_VALUE"""),2021.0)</f>
        <v>2021</v>
      </c>
      <c r="B3746" s="11">
        <f>IFERROR(__xludf.DUMMYFUNCTION("""COMPUTED_VALUE"""),9.0)</f>
        <v>9</v>
      </c>
      <c r="C3746" s="11">
        <f>IFERROR(__xludf.DUMMYFUNCTION("""COMPUTED_VALUE"""),87128.0)</f>
        <v>87128</v>
      </c>
      <c r="D3746" s="11">
        <f>IFERROR(__xludf.DUMMYFUNCTION("""COMPUTED_VALUE"""),561.0)</f>
        <v>561</v>
      </c>
      <c r="E3746" s="9"/>
    </row>
    <row r="3747">
      <c r="A3747" s="11">
        <f>IFERROR(__xludf.DUMMYFUNCTION("""COMPUTED_VALUE"""),2021.0)</f>
        <v>2021</v>
      </c>
      <c r="B3747" s="11">
        <f>IFERROR(__xludf.DUMMYFUNCTION("""COMPUTED_VALUE"""),8.0)</f>
        <v>8</v>
      </c>
      <c r="C3747" s="11">
        <f>IFERROR(__xludf.DUMMYFUNCTION("""COMPUTED_VALUE"""),149506.0)</f>
        <v>149506</v>
      </c>
      <c r="D3747" s="11">
        <f>IFERROR(__xludf.DUMMYFUNCTION("""COMPUTED_VALUE"""),1726.0)</f>
        <v>1726</v>
      </c>
      <c r="E3747" s="9"/>
    </row>
    <row r="3748">
      <c r="A3748" s="11">
        <f>IFERROR(__xludf.DUMMYFUNCTION("""COMPUTED_VALUE"""),2021.0)</f>
        <v>2021</v>
      </c>
      <c r="B3748" s="11">
        <f>IFERROR(__xludf.DUMMYFUNCTION("""COMPUTED_VALUE"""),8.0)</f>
        <v>8</v>
      </c>
      <c r="C3748" s="11">
        <f>IFERROR(__xludf.DUMMYFUNCTION("""COMPUTED_VALUE"""),5722.0)</f>
        <v>5722</v>
      </c>
      <c r="D3748" s="11">
        <f>IFERROR(__xludf.DUMMYFUNCTION("""COMPUTED_VALUE"""),725.0)</f>
        <v>725</v>
      </c>
      <c r="E3748" s="9"/>
    </row>
    <row r="3749">
      <c r="A3749" s="11">
        <f>IFERROR(__xludf.DUMMYFUNCTION("""COMPUTED_VALUE"""),2021.0)</f>
        <v>2021</v>
      </c>
      <c r="B3749" s="11">
        <f>IFERROR(__xludf.DUMMYFUNCTION("""COMPUTED_VALUE"""),8.0)</f>
        <v>8</v>
      </c>
      <c r="C3749" s="11">
        <f>IFERROR(__xludf.DUMMYFUNCTION("""COMPUTED_VALUE"""),5697.0)</f>
        <v>5697</v>
      </c>
      <c r="D3749" s="11">
        <f>IFERROR(__xludf.DUMMYFUNCTION("""COMPUTED_VALUE"""),308.0)</f>
        <v>308</v>
      </c>
      <c r="E3749" s="9"/>
    </row>
    <row r="3750">
      <c r="A3750" s="11">
        <f>IFERROR(__xludf.DUMMYFUNCTION("""COMPUTED_VALUE"""),2021.0)</f>
        <v>2021</v>
      </c>
      <c r="B3750" s="11">
        <f>IFERROR(__xludf.DUMMYFUNCTION("""COMPUTED_VALUE"""),10.0)</f>
        <v>10</v>
      </c>
      <c r="C3750" s="11">
        <f>IFERROR(__xludf.DUMMYFUNCTION("""COMPUTED_VALUE"""),29117.0)</f>
        <v>29117</v>
      </c>
      <c r="D3750" s="11">
        <f>IFERROR(__xludf.DUMMYFUNCTION("""COMPUTED_VALUE"""),1821.0)</f>
        <v>1821</v>
      </c>
      <c r="E3750" s="9"/>
    </row>
    <row r="3751">
      <c r="A3751" s="11">
        <f>IFERROR(__xludf.DUMMYFUNCTION("""COMPUTED_VALUE"""),2021.0)</f>
        <v>2021</v>
      </c>
      <c r="B3751" s="11">
        <f>IFERROR(__xludf.DUMMYFUNCTION("""COMPUTED_VALUE"""),11.0)</f>
        <v>11</v>
      </c>
      <c r="C3751" s="11">
        <f>IFERROR(__xludf.DUMMYFUNCTION("""COMPUTED_VALUE"""),68305.0)</f>
        <v>68305</v>
      </c>
      <c r="D3751" s="11">
        <f>IFERROR(__xludf.DUMMYFUNCTION("""COMPUTED_VALUE"""),945.0)</f>
        <v>945</v>
      </c>
      <c r="E3751" s="9"/>
    </row>
    <row r="3752">
      <c r="A3752" s="11">
        <f>IFERROR(__xludf.DUMMYFUNCTION("""COMPUTED_VALUE"""),2021.0)</f>
        <v>2021</v>
      </c>
      <c r="B3752" s="11">
        <f>IFERROR(__xludf.DUMMYFUNCTION("""COMPUTED_VALUE"""),10.0)</f>
        <v>10</v>
      </c>
      <c r="C3752" s="11">
        <f>IFERROR(__xludf.DUMMYFUNCTION("""COMPUTED_VALUE"""),5714.0)</f>
        <v>5714</v>
      </c>
      <c r="D3752" s="11">
        <f>IFERROR(__xludf.DUMMYFUNCTION("""COMPUTED_VALUE"""),640.0)</f>
        <v>640</v>
      </c>
      <c r="E3752" s="9"/>
    </row>
    <row r="3753">
      <c r="A3753" s="11">
        <f>IFERROR(__xludf.DUMMYFUNCTION("""COMPUTED_VALUE"""),2021.0)</f>
        <v>2021</v>
      </c>
      <c r="B3753" s="11">
        <f>IFERROR(__xludf.DUMMYFUNCTION("""COMPUTED_VALUE"""),9.0)</f>
        <v>9</v>
      </c>
      <c r="C3753" s="11">
        <f>IFERROR(__xludf.DUMMYFUNCTION("""COMPUTED_VALUE"""),73951.0)</f>
        <v>73951</v>
      </c>
      <c r="D3753" s="11">
        <f>IFERROR(__xludf.DUMMYFUNCTION("""COMPUTED_VALUE"""),1623.0)</f>
        <v>1623</v>
      </c>
      <c r="E3753" s="9"/>
    </row>
    <row r="3754">
      <c r="A3754" s="11">
        <f>IFERROR(__xludf.DUMMYFUNCTION("""COMPUTED_VALUE"""),2021.0)</f>
        <v>2021</v>
      </c>
      <c r="B3754" s="11">
        <f>IFERROR(__xludf.DUMMYFUNCTION("""COMPUTED_VALUE"""),8.0)</f>
        <v>8</v>
      </c>
      <c r="C3754" s="11">
        <f>IFERROR(__xludf.DUMMYFUNCTION("""COMPUTED_VALUE"""),68337.0)</f>
        <v>68337</v>
      </c>
      <c r="D3754" s="11">
        <f>IFERROR(__xludf.DUMMYFUNCTION("""COMPUTED_VALUE"""),1518.0)</f>
        <v>1518</v>
      </c>
      <c r="E3754" s="9"/>
    </row>
    <row r="3755">
      <c r="A3755" s="11">
        <f>IFERROR(__xludf.DUMMYFUNCTION("""COMPUTED_VALUE"""),2021.0)</f>
        <v>2021</v>
      </c>
      <c r="B3755" s="11">
        <f>IFERROR(__xludf.DUMMYFUNCTION("""COMPUTED_VALUE"""),9.0)</f>
        <v>9</v>
      </c>
      <c r="C3755" s="11">
        <f>IFERROR(__xludf.DUMMYFUNCTION("""COMPUTED_VALUE"""),76338.0)</f>
        <v>76338</v>
      </c>
      <c r="D3755" s="11">
        <f>IFERROR(__xludf.DUMMYFUNCTION("""COMPUTED_VALUE"""),1436.0)</f>
        <v>1436</v>
      </c>
      <c r="E3755" s="9"/>
    </row>
    <row r="3756">
      <c r="A3756" s="11">
        <f>IFERROR(__xludf.DUMMYFUNCTION("""COMPUTED_VALUE"""),2021.0)</f>
        <v>2021</v>
      </c>
      <c r="B3756" s="11">
        <f>IFERROR(__xludf.DUMMYFUNCTION("""COMPUTED_VALUE"""),10.0)</f>
        <v>10</v>
      </c>
      <c r="C3756" s="11">
        <f>IFERROR(__xludf.DUMMYFUNCTION("""COMPUTED_VALUE"""),202592.0)</f>
        <v>202592</v>
      </c>
      <c r="D3756" s="11">
        <f>IFERROR(__xludf.DUMMYFUNCTION("""COMPUTED_VALUE"""),263.0)</f>
        <v>263</v>
      </c>
      <c r="E3756" s="9"/>
    </row>
    <row r="3757">
      <c r="A3757" s="11">
        <f>IFERROR(__xludf.DUMMYFUNCTION("""COMPUTED_VALUE"""),2021.0)</f>
        <v>2021</v>
      </c>
      <c r="B3757" s="11">
        <f>IFERROR(__xludf.DUMMYFUNCTION("""COMPUTED_VALUE"""),10.0)</f>
        <v>10</v>
      </c>
      <c r="C3757" s="11">
        <f>IFERROR(__xludf.DUMMYFUNCTION("""COMPUTED_VALUE"""),69578.0)</f>
        <v>69578</v>
      </c>
      <c r="D3757" s="11">
        <f>IFERROR(__xludf.DUMMYFUNCTION("""COMPUTED_VALUE"""),0.0)</f>
        <v>0</v>
      </c>
      <c r="E3757" s="9"/>
    </row>
    <row r="3758">
      <c r="A3758" s="11">
        <f>IFERROR(__xludf.DUMMYFUNCTION("""COMPUTED_VALUE"""),2021.0)</f>
        <v>2021</v>
      </c>
      <c r="B3758" s="11">
        <f>IFERROR(__xludf.DUMMYFUNCTION("""COMPUTED_VALUE"""),9.0)</f>
        <v>9</v>
      </c>
      <c r="C3758" s="11">
        <f>IFERROR(__xludf.DUMMYFUNCTION("""COMPUTED_VALUE"""),76383.0)</f>
        <v>76383</v>
      </c>
      <c r="D3758" s="11">
        <f>IFERROR(__xludf.DUMMYFUNCTION("""COMPUTED_VALUE"""),676.0)</f>
        <v>676</v>
      </c>
      <c r="E3758" s="9"/>
    </row>
    <row r="3759">
      <c r="A3759" s="11">
        <f>IFERROR(__xludf.DUMMYFUNCTION("""COMPUTED_VALUE"""),2021.0)</f>
        <v>2021</v>
      </c>
      <c r="B3759" s="11">
        <f>IFERROR(__xludf.DUMMYFUNCTION("""COMPUTED_VALUE"""),9.0)</f>
        <v>9</v>
      </c>
      <c r="C3759" s="11">
        <f>IFERROR(__xludf.DUMMYFUNCTION("""COMPUTED_VALUE"""),5696.0)</f>
        <v>5696</v>
      </c>
      <c r="D3759" s="11">
        <f>IFERROR(__xludf.DUMMYFUNCTION("""COMPUTED_VALUE"""),43.0)</f>
        <v>43</v>
      </c>
      <c r="E3759" s="9"/>
    </row>
    <row r="3760">
      <c r="A3760" s="11">
        <f>IFERROR(__xludf.DUMMYFUNCTION("""COMPUTED_VALUE"""),2021.0)</f>
        <v>2021</v>
      </c>
      <c r="B3760" s="11">
        <f>IFERROR(__xludf.DUMMYFUNCTION("""COMPUTED_VALUE"""),8.0)</f>
        <v>8</v>
      </c>
      <c r="C3760" s="11">
        <f>IFERROR(__xludf.DUMMYFUNCTION("""COMPUTED_VALUE"""),90929.0)</f>
        <v>90929</v>
      </c>
      <c r="D3760" s="11">
        <f>IFERROR(__xludf.DUMMYFUNCTION("""COMPUTED_VALUE"""),316.0)</f>
        <v>316</v>
      </c>
      <c r="E3760" s="9"/>
    </row>
    <row r="3761">
      <c r="A3761" s="11">
        <f>IFERROR(__xludf.DUMMYFUNCTION("""COMPUTED_VALUE"""),2021.0)</f>
        <v>2021</v>
      </c>
      <c r="B3761" s="11">
        <f>IFERROR(__xludf.DUMMYFUNCTION("""COMPUTED_VALUE"""),8.0)</f>
        <v>8</v>
      </c>
      <c r="C3761" s="11">
        <f>IFERROR(__xludf.DUMMYFUNCTION("""COMPUTED_VALUE"""),90926.0)</f>
        <v>90926</v>
      </c>
      <c r="D3761" s="11">
        <f>IFERROR(__xludf.DUMMYFUNCTION("""COMPUTED_VALUE"""),1031.0)</f>
        <v>1031</v>
      </c>
      <c r="E3761" s="9"/>
    </row>
    <row r="3762">
      <c r="A3762" s="11">
        <f>IFERROR(__xludf.DUMMYFUNCTION("""COMPUTED_VALUE"""),2021.0)</f>
        <v>2021</v>
      </c>
      <c r="B3762" s="11">
        <f>IFERROR(__xludf.DUMMYFUNCTION("""COMPUTED_VALUE"""),11.0)</f>
        <v>11</v>
      </c>
      <c r="C3762" s="11">
        <f>IFERROR(__xludf.DUMMYFUNCTION("""COMPUTED_VALUE"""),76364.0)</f>
        <v>76364</v>
      </c>
      <c r="D3762" s="11">
        <f>IFERROR(__xludf.DUMMYFUNCTION("""COMPUTED_VALUE"""),60.0)</f>
        <v>60</v>
      </c>
      <c r="E3762" s="9"/>
    </row>
    <row r="3763">
      <c r="A3763" s="11">
        <f>IFERROR(__xludf.DUMMYFUNCTION("""COMPUTED_VALUE"""),2021.0)</f>
        <v>2021</v>
      </c>
      <c r="B3763" s="11">
        <f>IFERROR(__xludf.DUMMYFUNCTION("""COMPUTED_VALUE"""),10.0)</f>
        <v>10</v>
      </c>
      <c r="C3763" s="11">
        <f>IFERROR(__xludf.DUMMYFUNCTION("""COMPUTED_VALUE"""),79152.0)</f>
        <v>79152</v>
      </c>
      <c r="D3763" s="11">
        <f>IFERROR(__xludf.DUMMYFUNCTION("""COMPUTED_VALUE"""),52.0)</f>
        <v>52</v>
      </c>
      <c r="E3763" s="9"/>
    </row>
    <row r="3764">
      <c r="A3764" s="11">
        <f>IFERROR(__xludf.DUMMYFUNCTION("""COMPUTED_VALUE"""),2021.0)</f>
        <v>2021</v>
      </c>
      <c r="B3764" s="11">
        <f>IFERROR(__xludf.DUMMYFUNCTION("""COMPUTED_VALUE"""),11.0)</f>
        <v>11</v>
      </c>
      <c r="C3764" s="11">
        <f>IFERROR(__xludf.DUMMYFUNCTION("""COMPUTED_VALUE"""),30874.0)</f>
        <v>30874</v>
      </c>
      <c r="D3764" s="11">
        <f>IFERROR(__xludf.DUMMYFUNCTION("""COMPUTED_VALUE"""),1214.0)</f>
        <v>1214</v>
      </c>
      <c r="E3764" s="9"/>
    </row>
    <row r="3765">
      <c r="A3765" s="11">
        <f>IFERROR(__xludf.DUMMYFUNCTION("""COMPUTED_VALUE"""),2021.0)</f>
        <v>2021</v>
      </c>
      <c r="B3765" s="11">
        <f>IFERROR(__xludf.DUMMYFUNCTION("""COMPUTED_VALUE"""),8.0)</f>
        <v>8</v>
      </c>
      <c r="C3765" s="11">
        <f>IFERROR(__xludf.DUMMYFUNCTION("""COMPUTED_VALUE"""),5718.0)</f>
        <v>5718</v>
      </c>
      <c r="D3765" s="11">
        <f>IFERROR(__xludf.DUMMYFUNCTION("""COMPUTED_VALUE"""),1423.0)</f>
        <v>1423</v>
      </c>
      <c r="E3765" s="9"/>
    </row>
    <row r="3766">
      <c r="A3766" s="11">
        <f>IFERROR(__xludf.DUMMYFUNCTION("""COMPUTED_VALUE"""),2021.0)</f>
        <v>2021</v>
      </c>
      <c r="B3766" s="11">
        <f>IFERROR(__xludf.DUMMYFUNCTION("""COMPUTED_VALUE"""),8.0)</f>
        <v>8</v>
      </c>
      <c r="C3766" s="11">
        <f>IFERROR(__xludf.DUMMYFUNCTION("""COMPUTED_VALUE"""),126542.0)</f>
        <v>126542</v>
      </c>
      <c r="D3766" s="11">
        <f>IFERROR(__xludf.DUMMYFUNCTION("""COMPUTED_VALUE"""),744.0)</f>
        <v>744</v>
      </c>
      <c r="E3766" s="9"/>
    </row>
    <row r="3767">
      <c r="A3767" s="11">
        <f>IFERROR(__xludf.DUMMYFUNCTION("""COMPUTED_VALUE"""),2021.0)</f>
        <v>2021</v>
      </c>
      <c r="B3767" s="11">
        <f>IFERROR(__xludf.DUMMYFUNCTION("""COMPUTED_VALUE"""),10.0)</f>
        <v>10</v>
      </c>
      <c r="C3767" s="11">
        <f>IFERROR(__xludf.DUMMYFUNCTION("""COMPUTED_VALUE"""),90852.0)</f>
        <v>90852</v>
      </c>
      <c r="D3767" s="11">
        <f>IFERROR(__xludf.DUMMYFUNCTION("""COMPUTED_VALUE"""),411.0)</f>
        <v>411</v>
      </c>
      <c r="E3767" s="9"/>
    </row>
    <row r="3768">
      <c r="A3768" s="11">
        <f>IFERROR(__xludf.DUMMYFUNCTION("""COMPUTED_VALUE"""),2021.0)</f>
        <v>2021</v>
      </c>
      <c r="B3768" s="11">
        <f>IFERROR(__xludf.DUMMYFUNCTION("""COMPUTED_VALUE"""),10.0)</f>
        <v>10</v>
      </c>
      <c r="C3768" s="11">
        <f>IFERROR(__xludf.DUMMYFUNCTION("""COMPUTED_VALUE"""),122139.0)</f>
        <v>122139</v>
      </c>
      <c r="D3768" s="11">
        <f>IFERROR(__xludf.DUMMYFUNCTION("""COMPUTED_VALUE"""),1274.0)</f>
        <v>1274</v>
      </c>
      <c r="E3768" s="9"/>
    </row>
    <row r="3769">
      <c r="A3769" s="11">
        <f>IFERROR(__xludf.DUMMYFUNCTION("""COMPUTED_VALUE"""),2021.0)</f>
        <v>2021</v>
      </c>
      <c r="B3769" s="11">
        <f>IFERROR(__xludf.DUMMYFUNCTION("""COMPUTED_VALUE"""),8.0)</f>
        <v>8</v>
      </c>
      <c r="C3769" s="11">
        <f>IFERROR(__xludf.DUMMYFUNCTION("""COMPUTED_VALUE"""),126975.0)</f>
        <v>126975</v>
      </c>
      <c r="D3769" s="11">
        <f>IFERROR(__xludf.DUMMYFUNCTION("""COMPUTED_VALUE"""),1663.0)</f>
        <v>1663</v>
      </c>
      <c r="E3769" s="9"/>
    </row>
    <row r="3770">
      <c r="A3770" s="11">
        <f>IFERROR(__xludf.DUMMYFUNCTION("""COMPUTED_VALUE"""),2021.0)</f>
        <v>2021</v>
      </c>
      <c r="B3770" s="11">
        <f>IFERROR(__xludf.DUMMYFUNCTION("""COMPUTED_VALUE"""),11.0)</f>
        <v>11</v>
      </c>
      <c r="C3770" s="11">
        <f>IFERROR(__xludf.DUMMYFUNCTION("""COMPUTED_VALUE"""),202593.0)</f>
        <v>202593</v>
      </c>
      <c r="D3770" s="11">
        <f>IFERROR(__xludf.DUMMYFUNCTION("""COMPUTED_VALUE"""),1723.0)</f>
        <v>1723</v>
      </c>
      <c r="E3770" s="9"/>
    </row>
    <row r="3771">
      <c r="A3771" s="11">
        <f>IFERROR(__xludf.DUMMYFUNCTION("""COMPUTED_VALUE"""),2021.0)</f>
        <v>2021</v>
      </c>
      <c r="B3771" s="11">
        <f>IFERROR(__xludf.DUMMYFUNCTION("""COMPUTED_VALUE"""),11.0)</f>
        <v>11</v>
      </c>
      <c r="C3771" s="11">
        <f>IFERROR(__xludf.DUMMYFUNCTION("""COMPUTED_VALUE"""),73940.0)</f>
        <v>73940</v>
      </c>
      <c r="D3771" s="11">
        <f>IFERROR(__xludf.DUMMYFUNCTION("""COMPUTED_VALUE"""),1622.0)</f>
        <v>1622</v>
      </c>
      <c r="E3771" s="9"/>
    </row>
    <row r="3772">
      <c r="A3772" s="11">
        <f>IFERROR(__xludf.DUMMYFUNCTION("""COMPUTED_VALUE"""),2021.0)</f>
        <v>2021</v>
      </c>
      <c r="B3772" s="11">
        <f>IFERROR(__xludf.DUMMYFUNCTION("""COMPUTED_VALUE"""),10.0)</f>
        <v>10</v>
      </c>
      <c r="C3772" s="11">
        <f>IFERROR(__xludf.DUMMYFUNCTION("""COMPUTED_VALUE"""),76360.0)</f>
        <v>76360</v>
      </c>
      <c r="D3772" s="11">
        <f>IFERROR(__xludf.DUMMYFUNCTION("""COMPUTED_VALUE"""),715.0)</f>
        <v>715</v>
      </c>
      <c r="E3772" s="9"/>
    </row>
    <row r="3773">
      <c r="A3773" s="11">
        <f>IFERROR(__xludf.DUMMYFUNCTION("""COMPUTED_VALUE"""),2021.0)</f>
        <v>2021</v>
      </c>
      <c r="B3773" s="11">
        <f>IFERROR(__xludf.DUMMYFUNCTION("""COMPUTED_VALUE"""),10.0)</f>
        <v>10</v>
      </c>
      <c r="C3773" s="11">
        <f>IFERROR(__xludf.DUMMYFUNCTION("""COMPUTED_VALUE"""),118876.0)</f>
        <v>118876</v>
      </c>
      <c r="D3773" s="11">
        <f>IFERROR(__xludf.DUMMYFUNCTION("""COMPUTED_VALUE"""),1852.0)</f>
        <v>1852</v>
      </c>
      <c r="E3773" s="9"/>
    </row>
    <row r="3774">
      <c r="A3774" s="11">
        <f>IFERROR(__xludf.DUMMYFUNCTION("""COMPUTED_VALUE"""),2021.0)</f>
        <v>2021</v>
      </c>
      <c r="B3774" s="11">
        <f>IFERROR(__xludf.DUMMYFUNCTION("""COMPUTED_VALUE"""),8.0)</f>
        <v>8</v>
      </c>
      <c r="C3774" s="11">
        <f>IFERROR(__xludf.DUMMYFUNCTION("""COMPUTED_VALUE"""),76366.0)</f>
        <v>76366</v>
      </c>
      <c r="D3774" s="11">
        <f>IFERROR(__xludf.DUMMYFUNCTION("""COMPUTED_VALUE"""),704.0)</f>
        <v>704</v>
      </c>
      <c r="E3774" s="9"/>
    </row>
    <row r="3775">
      <c r="A3775" s="11">
        <f>IFERROR(__xludf.DUMMYFUNCTION("""COMPUTED_VALUE"""),2021.0)</f>
        <v>2021</v>
      </c>
      <c r="B3775" s="11">
        <f>IFERROR(__xludf.DUMMYFUNCTION("""COMPUTED_VALUE"""),8.0)</f>
        <v>8</v>
      </c>
      <c r="C3775" s="11">
        <f>IFERROR(__xludf.DUMMYFUNCTION("""COMPUTED_VALUE"""),122645.0)</f>
        <v>122645</v>
      </c>
      <c r="D3775" s="11">
        <f>IFERROR(__xludf.DUMMYFUNCTION("""COMPUTED_VALUE"""),1271.0)</f>
        <v>1271</v>
      </c>
      <c r="E3775" s="9"/>
    </row>
    <row r="3776">
      <c r="A3776" s="11">
        <f>IFERROR(__xludf.DUMMYFUNCTION("""COMPUTED_VALUE"""),2021.0)</f>
        <v>2021</v>
      </c>
      <c r="B3776" s="11">
        <f>IFERROR(__xludf.DUMMYFUNCTION("""COMPUTED_VALUE"""),11.0)</f>
        <v>11</v>
      </c>
      <c r="C3776" s="11">
        <f>IFERROR(__xludf.DUMMYFUNCTION("""COMPUTED_VALUE"""),76372.0)</f>
        <v>76372</v>
      </c>
      <c r="D3776" s="11">
        <f>IFERROR(__xludf.DUMMYFUNCTION("""COMPUTED_VALUE"""),1564.0)</f>
        <v>1564</v>
      </c>
      <c r="E3776" s="9"/>
    </row>
    <row r="3777">
      <c r="A3777" s="11">
        <f>IFERROR(__xludf.DUMMYFUNCTION("""COMPUTED_VALUE"""),2021.0)</f>
        <v>2021</v>
      </c>
      <c r="B3777" s="11">
        <f>IFERROR(__xludf.DUMMYFUNCTION("""COMPUTED_VALUE"""),11.0)</f>
        <v>11</v>
      </c>
      <c r="C3777" s="11">
        <f>IFERROR(__xludf.DUMMYFUNCTION("""COMPUTED_VALUE"""),5720.0)</f>
        <v>5720</v>
      </c>
      <c r="D3777" s="11">
        <f>IFERROR(__xludf.DUMMYFUNCTION("""COMPUTED_VALUE"""),1682.0)</f>
        <v>1682</v>
      </c>
      <c r="E3777" s="9"/>
    </row>
    <row r="3778">
      <c r="A3778" s="11">
        <f>IFERROR(__xludf.DUMMYFUNCTION("""COMPUTED_VALUE"""),2021.0)</f>
        <v>2021</v>
      </c>
      <c r="B3778" s="11">
        <f>IFERROR(__xludf.DUMMYFUNCTION("""COMPUTED_VALUE"""),10.0)</f>
        <v>10</v>
      </c>
      <c r="C3778" s="11">
        <f>IFERROR(__xludf.DUMMYFUNCTION("""COMPUTED_VALUE"""),5695.0)</f>
        <v>5695</v>
      </c>
      <c r="D3778" s="11">
        <f>IFERROR(__xludf.DUMMYFUNCTION("""COMPUTED_VALUE"""),911.0)</f>
        <v>911</v>
      </c>
      <c r="E3778" s="9"/>
    </row>
    <row r="3779">
      <c r="A3779" s="11">
        <f>IFERROR(__xludf.DUMMYFUNCTION("""COMPUTED_VALUE"""),2021.0)</f>
        <v>2021</v>
      </c>
      <c r="B3779" s="11">
        <f>IFERROR(__xludf.DUMMYFUNCTION("""COMPUTED_VALUE"""),10.0)</f>
        <v>10</v>
      </c>
      <c r="C3779" s="11">
        <f>IFERROR(__xludf.DUMMYFUNCTION("""COMPUTED_VALUE"""),90931.0)</f>
        <v>90931</v>
      </c>
      <c r="D3779" s="11">
        <f>IFERROR(__xludf.DUMMYFUNCTION("""COMPUTED_VALUE"""),558.0)</f>
        <v>558</v>
      </c>
      <c r="E3779" s="9"/>
    </row>
    <row r="3780">
      <c r="A3780" s="11">
        <f>IFERROR(__xludf.DUMMYFUNCTION("""COMPUTED_VALUE"""),2021.0)</f>
        <v>2021</v>
      </c>
      <c r="B3780" s="11">
        <f>IFERROR(__xludf.DUMMYFUNCTION("""COMPUTED_VALUE"""),11.0)</f>
        <v>11</v>
      </c>
      <c r="C3780" s="11">
        <f>IFERROR(__xludf.DUMMYFUNCTION("""COMPUTED_VALUE"""),110085.0)</f>
        <v>110085</v>
      </c>
      <c r="D3780" s="11">
        <f>IFERROR(__xludf.DUMMYFUNCTION("""COMPUTED_VALUE"""),1957.0)</f>
        <v>1957</v>
      </c>
      <c r="E3780" s="9"/>
    </row>
    <row r="3781">
      <c r="A3781" s="11">
        <f>IFERROR(__xludf.DUMMYFUNCTION("""COMPUTED_VALUE"""),2021.0)</f>
        <v>2021</v>
      </c>
      <c r="B3781" s="11">
        <f>IFERROR(__xludf.DUMMYFUNCTION("""COMPUTED_VALUE"""),9.0)</f>
        <v>9</v>
      </c>
      <c r="C3781" s="11">
        <f>IFERROR(__xludf.DUMMYFUNCTION("""COMPUTED_VALUE"""),113096.0)</f>
        <v>113096</v>
      </c>
      <c r="D3781" s="11">
        <f>IFERROR(__xludf.DUMMYFUNCTION("""COMPUTED_VALUE"""),1446.0)</f>
        <v>1446</v>
      </c>
      <c r="E3781" s="9"/>
    </row>
    <row r="3782">
      <c r="A3782" s="11">
        <f>IFERROR(__xludf.DUMMYFUNCTION("""COMPUTED_VALUE"""),2021.0)</f>
        <v>2021</v>
      </c>
      <c r="B3782" s="11">
        <f>IFERROR(__xludf.DUMMYFUNCTION("""COMPUTED_VALUE"""),8.0)</f>
        <v>8</v>
      </c>
      <c r="C3782" s="11">
        <f>IFERROR(__xludf.DUMMYFUNCTION("""COMPUTED_VALUE"""),90878.0)</f>
        <v>90878</v>
      </c>
      <c r="D3782" s="11">
        <f>IFERROR(__xludf.DUMMYFUNCTION("""COMPUTED_VALUE"""),234.0)</f>
        <v>234</v>
      </c>
      <c r="E3782" s="9"/>
    </row>
    <row r="3783">
      <c r="A3783" s="11">
        <f>IFERROR(__xludf.DUMMYFUNCTION("""COMPUTED_VALUE"""),2021.0)</f>
        <v>2021</v>
      </c>
      <c r="B3783" s="11">
        <f>IFERROR(__xludf.DUMMYFUNCTION("""COMPUTED_VALUE"""),9.0)</f>
        <v>9</v>
      </c>
      <c r="C3783" s="11">
        <f>IFERROR(__xludf.DUMMYFUNCTION("""COMPUTED_VALUE"""),73938.0)</f>
        <v>73938</v>
      </c>
      <c r="D3783" s="11">
        <f>IFERROR(__xludf.DUMMYFUNCTION("""COMPUTED_VALUE"""),82.0)</f>
        <v>82</v>
      </c>
      <c r="E3783" s="9"/>
    </row>
    <row r="3784">
      <c r="A3784" s="11">
        <f>IFERROR(__xludf.DUMMYFUNCTION("""COMPUTED_VALUE"""),2021.0)</f>
        <v>2021</v>
      </c>
      <c r="B3784" s="11">
        <f>IFERROR(__xludf.DUMMYFUNCTION("""COMPUTED_VALUE"""),10.0)</f>
        <v>10</v>
      </c>
      <c r="C3784" s="11">
        <f>IFERROR(__xludf.DUMMYFUNCTION("""COMPUTED_VALUE"""),5698.0)</f>
        <v>5698</v>
      </c>
      <c r="D3784" s="11">
        <f>IFERROR(__xludf.DUMMYFUNCTION("""COMPUTED_VALUE"""),855.0)</f>
        <v>855</v>
      </c>
      <c r="E3784" s="9"/>
    </row>
    <row r="3785">
      <c r="A3785" s="11">
        <f>IFERROR(__xludf.DUMMYFUNCTION("""COMPUTED_VALUE"""),2021.0)</f>
        <v>2021</v>
      </c>
      <c r="B3785" s="11">
        <f>IFERROR(__xludf.DUMMYFUNCTION("""COMPUTED_VALUE"""),11.0)</f>
        <v>11</v>
      </c>
      <c r="C3785" s="11">
        <f>IFERROR(__xludf.DUMMYFUNCTION("""COMPUTED_VALUE"""),76373.0)</f>
        <v>76373</v>
      </c>
      <c r="D3785" s="11">
        <f>IFERROR(__xludf.DUMMYFUNCTION("""COMPUTED_VALUE"""),238.0)</f>
        <v>238</v>
      </c>
      <c r="E3785" s="9"/>
    </row>
    <row r="3786">
      <c r="A3786" s="11">
        <f>IFERROR(__xludf.DUMMYFUNCTION("""COMPUTED_VALUE"""),2021.0)</f>
        <v>2021</v>
      </c>
      <c r="B3786" s="11">
        <f>IFERROR(__xludf.DUMMYFUNCTION("""COMPUTED_VALUE"""),8.0)</f>
        <v>8</v>
      </c>
      <c r="C3786" s="11">
        <f>IFERROR(__xludf.DUMMYFUNCTION("""COMPUTED_VALUE"""),73945.0)</f>
        <v>73945</v>
      </c>
      <c r="D3786" s="11">
        <f>IFERROR(__xludf.DUMMYFUNCTION("""COMPUTED_VALUE"""),1114.0)</f>
        <v>1114</v>
      </c>
      <c r="E3786" s="9"/>
    </row>
    <row r="3787">
      <c r="A3787" s="11">
        <f>IFERROR(__xludf.DUMMYFUNCTION("""COMPUTED_VALUE"""),2021.0)</f>
        <v>2021</v>
      </c>
      <c r="B3787" s="11">
        <f>IFERROR(__xludf.DUMMYFUNCTION("""COMPUTED_VALUE"""),10.0)</f>
        <v>10</v>
      </c>
      <c r="C3787" s="11">
        <f>IFERROR(__xludf.DUMMYFUNCTION("""COMPUTED_VALUE"""),159200.0)</f>
        <v>159200</v>
      </c>
      <c r="D3787" s="11">
        <f>IFERROR(__xludf.DUMMYFUNCTION("""COMPUTED_VALUE"""),1357.0)</f>
        <v>1357</v>
      </c>
      <c r="E3787" s="9"/>
    </row>
    <row r="3788">
      <c r="A3788" s="11">
        <f>IFERROR(__xludf.DUMMYFUNCTION("""COMPUTED_VALUE"""),2021.0)</f>
        <v>2021</v>
      </c>
      <c r="B3788" s="11">
        <f>IFERROR(__xludf.DUMMYFUNCTION("""COMPUTED_VALUE"""),11.0)</f>
        <v>11</v>
      </c>
      <c r="C3788" s="11">
        <f>IFERROR(__xludf.DUMMYFUNCTION("""COMPUTED_VALUE"""),68354.0)</f>
        <v>68354</v>
      </c>
      <c r="D3788" s="11">
        <f>IFERROR(__xludf.DUMMYFUNCTION("""COMPUTED_VALUE"""),945.0)</f>
        <v>945</v>
      </c>
      <c r="E3788" s="9"/>
    </row>
    <row r="3789">
      <c r="A3789" s="11">
        <f>IFERROR(__xludf.DUMMYFUNCTION("""COMPUTED_VALUE"""),2021.0)</f>
        <v>2021</v>
      </c>
      <c r="B3789" s="11">
        <f>IFERROR(__xludf.DUMMYFUNCTION("""COMPUTED_VALUE"""),11.0)</f>
        <v>11</v>
      </c>
      <c r="C3789" s="11">
        <f>IFERROR(__xludf.DUMMYFUNCTION("""COMPUTED_VALUE"""),5712.0)</f>
        <v>5712</v>
      </c>
      <c r="D3789" s="11">
        <f>IFERROR(__xludf.DUMMYFUNCTION("""COMPUTED_VALUE"""),324.0)</f>
        <v>324</v>
      </c>
      <c r="E3789" s="9"/>
    </row>
    <row r="3790">
      <c r="A3790" s="11">
        <f>IFERROR(__xludf.DUMMYFUNCTION("""COMPUTED_VALUE"""),2021.0)</f>
        <v>2021</v>
      </c>
      <c r="B3790" s="11">
        <f>IFERROR(__xludf.DUMMYFUNCTION("""COMPUTED_VALUE"""),9.0)</f>
        <v>9</v>
      </c>
      <c r="C3790" s="11">
        <f>IFERROR(__xludf.DUMMYFUNCTION("""COMPUTED_VALUE"""),114471.0)</f>
        <v>114471</v>
      </c>
      <c r="D3790" s="11">
        <f>IFERROR(__xludf.DUMMYFUNCTION("""COMPUTED_VALUE"""),678.0)</f>
        <v>678</v>
      </c>
      <c r="E3790" s="9"/>
    </row>
    <row r="3791">
      <c r="A3791" s="11">
        <f>IFERROR(__xludf.DUMMYFUNCTION("""COMPUTED_VALUE"""),2021.0)</f>
        <v>2021</v>
      </c>
      <c r="B3791" s="11">
        <f>IFERROR(__xludf.DUMMYFUNCTION("""COMPUTED_VALUE"""),10.0)</f>
        <v>10</v>
      </c>
      <c r="C3791" s="11">
        <f>IFERROR(__xludf.DUMMYFUNCTION("""COMPUTED_VALUE"""),90934.0)</f>
        <v>90934</v>
      </c>
      <c r="D3791" s="11">
        <f>IFERROR(__xludf.DUMMYFUNCTION("""COMPUTED_VALUE"""),787.0)</f>
        <v>787</v>
      </c>
      <c r="E3791" s="9"/>
    </row>
    <row r="3792">
      <c r="A3792" s="11">
        <f>IFERROR(__xludf.DUMMYFUNCTION("""COMPUTED_VALUE"""),2021.0)</f>
        <v>2021</v>
      </c>
      <c r="B3792" s="11">
        <f>IFERROR(__xludf.DUMMYFUNCTION("""COMPUTED_VALUE"""),8.0)</f>
        <v>8</v>
      </c>
      <c r="C3792" s="11">
        <f>IFERROR(__xludf.DUMMYFUNCTION("""COMPUTED_VALUE"""),87851.0)</f>
        <v>87851</v>
      </c>
      <c r="D3792" s="11">
        <f>IFERROR(__xludf.DUMMYFUNCTION("""COMPUTED_VALUE"""),1877.0)</f>
        <v>1877</v>
      </c>
      <c r="E3792" s="9"/>
    </row>
    <row r="3793">
      <c r="A3793" s="11">
        <f>IFERROR(__xludf.DUMMYFUNCTION("""COMPUTED_VALUE"""),2021.0)</f>
        <v>2021</v>
      </c>
      <c r="B3793" s="11">
        <f>IFERROR(__xludf.DUMMYFUNCTION("""COMPUTED_VALUE"""),10.0)</f>
        <v>10</v>
      </c>
      <c r="C3793" s="11">
        <f>IFERROR(__xludf.DUMMYFUNCTION("""COMPUTED_VALUE"""),90891.0)</f>
        <v>90891</v>
      </c>
      <c r="D3793" s="11">
        <f>IFERROR(__xludf.DUMMYFUNCTION("""COMPUTED_VALUE"""),81.0)</f>
        <v>81</v>
      </c>
      <c r="E3793" s="9"/>
    </row>
    <row r="3794">
      <c r="A3794" s="11">
        <f>IFERROR(__xludf.DUMMYFUNCTION("""COMPUTED_VALUE"""),2021.0)</f>
        <v>2021</v>
      </c>
      <c r="B3794" s="11">
        <f>IFERROR(__xludf.DUMMYFUNCTION("""COMPUTED_VALUE"""),10.0)</f>
        <v>10</v>
      </c>
      <c r="C3794" s="11">
        <f>IFERROR(__xludf.DUMMYFUNCTION("""COMPUTED_VALUE"""),69579.0)</f>
        <v>69579</v>
      </c>
      <c r="D3794" s="11">
        <f>IFERROR(__xludf.DUMMYFUNCTION("""COMPUTED_VALUE"""),957.0)</f>
        <v>957</v>
      </c>
      <c r="E3794" s="9"/>
    </row>
    <row r="3795">
      <c r="A3795" s="11">
        <f>IFERROR(__xludf.DUMMYFUNCTION("""COMPUTED_VALUE"""),2021.0)</f>
        <v>2021</v>
      </c>
      <c r="B3795" s="11">
        <f>IFERROR(__xludf.DUMMYFUNCTION("""COMPUTED_VALUE"""),10.0)</f>
        <v>10</v>
      </c>
      <c r="C3795" s="11">
        <f>IFERROR(__xludf.DUMMYFUNCTION("""COMPUTED_VALUE"""),90924.0)</f>
        <v>90924</v>
      </c>
      <c r="D3795" s="11">
        <f>IFERROR(__xludf.DUMMYFUNCTION("""COMPUTED_VALUE"""),688.0)</f>
        <v>688</v>
      </c>
      <c r="E3795" s="9"/>
    </row>
    <row r="3796">
      <c r="A3796" s="11">
        <f>IFERROR(__xludf.DUMMYFUNCTION("""COMPUTED_VALUE"""),2021.0)</f>
        <v>2021</v>
      </c>
      <c r="B3796" s="11">
        <f>IFERROR(__xludf.DUMMYFUNCTION("""COMPUTED_VALUE"""),10.0)</f>
        <v>10</v>
      </c>
      <c r="C3796" s="11">
        <f>IFERROR(__xludf.DUMMYFUNCTION("""COMPUTED_VALUE"""),69311.0)</f>
        <v>69311</v>
      </c>
      <c r="D3796" s="11">
        <f>IFERROR(__xludf.DUMMYFUNCTION("""COMPUTED_VALUE"""),1321.0)</f>
        <v>1321</v>
      </c>
      <c r="E3796" s="9"/>
    </row>
    <row r="3797">
      <c r="A3797" s="11">
        <f>IFERROR(__xludf.DUMMYFUNCTION("""COMPUTED_VALUE"""),2021.0)</f>
        <v>2021</v>
      </c>
      <c r="B3797" s="11">
        <f>IFERROR(__xludf.DUMMYFUNCTION("""COMPUTED_VALUE"""),8.0)</f>
        <v>8</v>
      </c>
      <c r="C3797" s="11">
        <f>IFERROR(__xludf.DUMMYFUNCTION("""COMPUTED_VALUE"""),90923.0)</f>
        <v>90923</v>
      </c>
      <c r="D3797" s="11">
        <f>IFERROR(__xludf.DUMMYFUNCTION("""COMPUTED_VALUE"""),1724.0)</f>
        <v>1724</v>
      </c>
      <c r="E3797" s="9"/>
    </row>
    <row r="3798">
      <c r="A3798" s="11">
        <f>IFERROR(__xludf.DUMMYFUNCTION("""COMPUTED_VALUE"""),2021.0)</f>
        <v>2021</v>
      </c>
      <c r="B3798" s="11">
        <f>IFERROR(__xludf.DUMMYFUNCTION("""COMPUTED_VALUE"""),11.0)</f>
        <v>11</v>
      </c>
      <c r="C3798" s="11">
        <f>IFERROR(__xludf.DUMMYFUNCTION("""COMPUTED_VALUE"""),159197.0)</f>
        <v>159197</v>
      </c>
      <c r="D3798" s="11">
        <f>IFERROR(__xludf.DUMMYFUNCTION("""COMPUTED_VALUE"""),808.0)</f>
        <v>808</v>
      </c>
      <c r="E3798" s="9"/>
    </row>
    <row r="3799">
      <c r="A3799" s="11">
        <f>IFERROR(__xludf.DUMMYFUNCTION("""COMPUTED_VALUE"""),2021.0)</f>
        <v>2021</v>
      </c>
      <c r="B3799" s="11">
        <f>IFERROR(__xludf.DUMMYFUNCTION("""COMPUTED_VALUE"""),10.0)</f>
        <v>10</v>
      </c>
      <c r="C3799" s="11">
        <f>IFERROR(__xludf.DUMMYFUNCTION("""COMPUTED_VALUE"""),88268.0)</f>
        <v>88268</v>
      </c>
      <c r="D3799" s="11">
        <f>IFERROR(__xludf.DUMMYFUNCTION("""COMPUTED_VALUE"""),456.0)</f>
        <v>456</v>
      </c>
      <c r="E3799" s="9"/>
    </row>
    <row r="3800">
      <c r="A3800" s="11">
        <f>IFERROR(__xludf.DUMMYFUNCTION("""COMPUTED_VALUE"""),2021.0)</f>
        <v>2021</v>
      </c>
      <c r="B3800" s="11">
        <f>IFERROR(__xludf.DUMMYFUNCTION("""COMPUTED_VALUE"""),11.0)</f>
        <v>11</v>
      </c>
      <c r="C3800" s="11">
        <f>IFERROR(__xludf.DUMMYFUNCTION("""COMPUTED_VALUE"""),90913.0)</f>
        <v>90913</v>
      </c>
      <c r="D3800" s="11">
        <f>IFERROR(__xludf.DUMMYFUNCTION("""COMPUTED_VALUE"""),842.0)</f>
        <v>842</v>
      </c>
      <c r="E3800" s="9"/>
    </row>
    <row r="3801">
      <c r="A3801" s="11">
        <f>IFERROR(__xludf.DUMMYFUNCTION("""COMPUTED_VALUE"""),2021.0)</f>
        <v>2021</v>
      </c>
      <c r="B3801" s="11">
        <f>IFERROR(__xludf.DUMMYFUNCTION("""COMPUTED_VALUE"""),10.0)</f>
        <v>10</v>
      </c>
      <c r="C3801" s="11">
        <f>IFERROR(__xludf.DUMMYFUNCTION("""COMPUTED_VALUE"""),76365.0)</f>
        <v>76365</v>
      </c>
      <c r="D3801" s="11">
        <f>IFERROR(__xludf.DUMMYFUNCTION("""COMPUTED_VALUE"""),1710.0)</f>
        <v>1710</v>
      </c>
      <c r="E3801" s="9"/>
    </row>
    <row r="3802">
      <c r="A3802" s="11">
        <f>IFERROR(__xludf.DUMMYFUNCTION("""COMPUTED_VALUE"""),2021.0)</f>
        <v>2021</v>
      </c>
      <c r="B3802" s="11">
        <f>IFERROR(__xludf.DUMMYFUNCTION("""COMPUTED_VALUE"""),10.0)</f>
        <v>10</v>
      </c>
      <c r="C3802" s="11">
        <f>IFERROR(__xludf.DUMMYFUNCTION("""COMPUTED_VALUE"""),9205.0)</f>
        <v>9205</v>
      </c>
      <c r="D3802" s="11">
        <f>IFERROR(__xludf.DUMMYFUNCTION("""COMPUTED_VALUE"""),276.0)</f>
        <v>276</v>
      </c>
      <c r="E3802" s="9"/>
    </row>
    <row r="3803">
      <c r="A3803" s="11">
        <f>IFERROR(__xludf.DUMMYFUNCTION("""COMPUTED_VALUE"""),2021.0)</f>
        <v>2021</v>
      </c>
      <c r="B3803" s="11">
        <f>IFERROR(__xludf.DUMMYFUNCTION("""COMPUTED_VALUE"""),11.0)</f>
        <v>11</v>
      </c>
      <c r="C3803" s="11">
        <f>IFERROR(__xludf.DUMMYFUNCTION("""COMPUTED_VALUE"""),76363.0)</f>
        <v>76363</v>
      </c>
      <c r="D3803" s="11">
        <f>IFERROR(__xludf.DUMMYFUNCTION("""COMPUTED_VALUE"""),1790.0)</f>
        <v>1790</v>
      </c>
      <c r="E3803" s="9"/>
    </row>
    <row r="3804">
      <c r="A3804" s="11">
        <f>IFERROR(__xludf.DUMMYFUNCTION("""COMPUTED_VALUE"""),2021.0)</f>
        <v>2021</v>
      </c>
      <c r="B3804" s="11">
        <f>IFERROR(__xludf.DUMMYFUNCTION("""COMPUTED_VALUE"""),9.0)</f>
        <v>9</v>
      </c>
      <c r="C3804" s="11">
        <f>IFERROR(__xludf.DUMMYFUNCTION("""COMPUTED_VALUE"""),121967.0)</f>
        <v>121967</v>
      </c>
      <c r="D3804" s="11">
        <f>IFERROR(__xludf.DUMMYFUNCTION("""COMPUTED_VALUE"""),275.0)</f>
        <v>275</v>
      </c>
      <c r="E3804" s="9"/>
    </row>
    <row r="3805">
      <c r="A3805" s="11">
        <f>IFERROR(__xludf.DUMMYFUNCTION("""COMPUTED_VALUE"""),2021.0)</f>
        <v>2021</v>
      </c>
      <c r="B3805" s="11">
        <f>IFERROR(__xludf.DUMMYFUNCTION("""COMPUTED_VALUE"""),10.0)</f>
        <v>10</v>
      </c>
      <c r="C3805" s="11">
        <f>IFERROR(__xludf.DUMMYFUNCTION("""COMPUTED_VALUE"""),90935.0)</f>
        <v>90935</v>
      </c>
      <c r="D3805" s="11">
        <f>IFERROR(__xludf.DUMMYFUNCTION("""COMPUTED_VALUE"""),651.0)</f>
        <v>651</v>
      </c>
      <c r="E3805" s="9"/>
    </row>
    <row r="3806">
      <c r="A3806" s="11">
        <f>IFERROR(__xludf.DUMMYFUNCTION("""COMPUTED_VALUE"""),2021.0)</f>
        <v>2021</v>
      </c>
      <c r="B3806" s="11">
        <f>IFERROR(__xludf.DUMMYFUNCTION("""COMPUTED_VALUE"""),9.0)</f>
        <v>9</v>
      </c>
      <c r="C3806" s="11">
        <f>IFERROR(__xludf.DUMMYFUNCTION("""COMPUTED_VALUE"""),87126.0)</f>
        <v>87126</v>
      </c>
      <c r="D3806" s="11">
        <f>IFERROR(__xludf.DUMMYFUNCTION("""COMPUTED_VALUE"""),1906.0)</f>
        <v>1906</v>
      </c>
      <c r="E3806" s="9"/>
    </row>
    <row r="3807">
      <c r="A3807" s="11">
        <f>IFERROR(__xludf.DUMMYFUNCTION("""COMPUTED_VALUE"""),2021.0)</f>
        <v>2021</v>
      </c>
      <c r="B3807" s="11">
        <f>IFERROR(__xludf.DUMMYFUNCTION("""COMPUTED_VALUE"""),9.0)</f>
        <v>9</v>
      </c>
      <c r="C3807" s="11">
        <f>IFERROR(__xludf.DUMMYFUNCTION("""COMPUTED_VALUE"""),90928.0)</f>
        <v>90928</v>
      </c>
      <c r="D3807" s="11">
        <f>IFERROR(__xludf.DUMMYFUNCTION("""COMPUTED_VALUE"""),37.0)</f>
        <v>37</v>
      </c>
      <c r="E3807" s="9"/>
    </row>
    <row r="3808">
      <c r="A3808" s="11">
        <f>IFERROR(__xludf.DUMMYFUNCTION("""COMPUTED_VALUE"""),2021.0)</f>
        <v>2021</v>
      </c>
      <c r="B3808" s="11">
        <f>IFERROR(__xludf.DUMMYFUNCTION("""COMPUTED_VALUE"""),11.0)</f>
        <v>11</v>
      </c>
      <c r="C3808" s="11">
        <f>IFERROR(__xludf.DUMMYFUNCTION("""COMPUTED_VALUE"""),90912.0)</f>
        <v>90912</v>
      </c>
      <c r="D3808" s="11">
        <f>IFERROR(__xludf.DUMMYFUNCTION("""COMPUTED_VALUE"""),1316.0)</f>
        <v>1316</v>
      </c>
      <c r="E3808" s="9"/>
    </row>
    <row r="3809">
      <c r="A3809" s="11">
        <f>IFERROR(__xludf.DUMMYFUNCTION("""COMPUTED_VALUE"""),2021.0)</f>
        <v>2021</v>
      </c>
      <c r="B3809" s="11">
        <f>IFERROR(__xludf.DUMMYFUNCTION("""COMPUTED_VALUE"""),10.0)</f>
        <v>10</v>
      </c>
      <c r="C3809" s="11">
        <f>IFERROR(__xludf.DUMMYFUNCTION("""COMPUTED_VALUE"""),48508.0)</f>
        <v>48508</v>
      </c>
      <c r="D3809" s="11">
        <f>IFERROR(__xludf.DUMMYFUNCTION("""COMPUTED_VALUE"""),1088.0)</f>
        <v>1088</v>
      </c>
      <c r="E3809" s="9"/>
    </row>
    <row r="3810">
      <c r="A3810" s="11">
        <f>IFERROR(__xludf.DUMMYFUNCTION("""COMPUTED_VALUE"""),2021.0)</f>
        <v>2021</v>
      </c>
      <c r="B3810" s="11">
        <f>IFERROR(__xludf.DUMMYFUNCTION("""COMPUTED_VALUE"""),8.0)</f>
        <v>8</v>
      </c>
      <c r="C3810" s="11">
        <f>IFERROR(__xludf.DUMMYFUNCTION("""COMPUTED_VALUE"""),90853.0)</f>
        <v>90853</v>
      </c>
      <c r="D3810" s="11">
        <f>IFERROR(__xludf.DUMMYFUNCTION("""COMPUTED_VALUE"""),546.0)</f>
        <v>546</v>
      </c>
      <c r="E3810" s="9"/>
    </row>
    <row r="3811">
      <c r="A3811" s="11">
        <f>IFERROR(__xludf.DUMMYFUNCTION("""COMPUTED_VALUE"""),2021.0)</f>
        <v>2021</v>
      </c>
      <c r="B3811" s="11">
        <f>IFERROR(__xludf.DUMMYFUNCTION("""COMPUTED_VALUE"""),8.0)</f>
        <v>8</v>
      </c>
      <c r="C3811" s="11">
        <f>IFERROR(__xludf.DUMMYFUNCTION("""COMPUTED_VALUE"""),117628.0)</f>
        <v>117628</v>
      </c>
      <c r="D3811" s="11">
        <f>IFERROR(__xludf.DUMMYFUNCTION("""COMPUTED_VALUE"""),258.0)</f>
        <v>258</v>
      </c>
      <c r="E3811" s="9"/>
    </row>
    <row r="3812">
      <c r="A3812" s="11">
        <f>IFERROR(__xludf.DUMMYFUNCTION("""COMPUTED_VALUE"""),2021.0)</f>
        <v>2021</v>
      </c>
      <c r="B3812" s="11">
        <f>IFERROR(__xludf.DUMMYFUNCTION("""COMPUTED_VALUE"""),9.0)</f>
        <v>9</v>
      </c>
      <c r="C3812" s="11">
        <f>IFERROR(__xludf.DUMMYFUNCTION("""COMPUTED_VALUE"""),5699.0)</f>
        <v>5699</v>
      </c>
      <c r="D3812" s="11">
        <f>IFERROR(__xludf.DUMMYFUNCTION("""COMPUTED_VALUE"""),877.0)</f>
        <v>877</v>
      </c>
      <c r="E3812" s="9"/>
    </row>
    <row r="3813">
      <c r="A3813" s="11">
        <f>IFERROR(__xludf.DUMMYFUNCTION("""COMPUTED_VALUE"""),2021.0)</f>
        <v>2021</v>
      </c>
      <c r="B3813" s="11">
        <f>IFERROR(__xludf.DUMMYFUNCTION("""COMPUTED_VALUE"""),11.0)</f>
        <v>11</v>
      </c>
      <c r="C3813" s="11">
        <f>IFERROR(__xludf.DUMMYFUNCTION("""COMPUTED_VALUE"""),5735.0)</f>
        <v>5735</v>
      </c>
      <c r="D3813" s="11">
        <f>IFERROR(__xludf.DUMMYFUNCTION("""COMPUTED_VALUE"""),622.0)</f>
        <v>622</v>
      </c>
      <c r="E3813" s="9"/>
    </row>
    <row r="3814">
      <c r="A3814" s="11">
        <f>IFERROR(__xludf.DUMMYFUNCTION("""COMPUTED_VALUE"""),2021.0)</f>
        <v>2021</v>
      </c>
      <c r="B3814" s="11">
        <f>IFERROR(__xludf.DUMMYFUNCTION("""COMPUTED_VALUE"""),10.0)</f>
        <v>10</v>
      </c>
      <c r="C3814" s="11">
        <f>IFERROR(__xludf.DUMMYFUNCTION("""COMPUTED_VALUE"""),109832.0)</f>
        <v>109832</v>
      </c>
      <c r="D3814" s="11">
        <f>IFERROR(__xludf.DUMMYFUNCTION("""COMPUTED_VALUE"""),1631.0)</f>
        <v>1631</v>
      </c>
      <c r="E3814" s="9"/>
    </row>
    <row r="3815">
      <c r="A3815" s="11">
        <f>IFERROR(__xludf.DUMMYFUNCTION("""COMPUTED_VALUE"""),2021.0)</f>
        <v>2021</v>
      </c>
      <c r="B3815" s="11">
        <f>IFERROR(__xludf.DUMMYFUNCTION("""COMPUTED_VALUE"""),11.0)</f>
        <v>11</v>
      </c>
      <c r="C3815" s="11">
        <f>IFERROR(__xludf.DUMMYFUNCTION("""COMPUTED_VALUE"""),122675.0)</f>
        <v>122675</v>
      </c>
      <c r="D3815" s="11">
        <f>IFERROR(__xludf.DUMMYFUNCTION("""COMPUTED_VALUE"""),1045.0)</f>
        <v>1045</v>
      </c>
      <c r="E3815" s="9"/>
    </row>
    <row r="3816">
      <c r="A3816" s="11">
        <f>IFERROR(__xludf.DUMMYFUNCTION("""COMPUTED_VALUE"""),2021.0)</f>
        <v>2021</v>
      </c>
      <c r="B3816" s="11">
        <f>IFERROR(__xludf.DUMMYFUNCTION("""COMPUTED_VALUE"""),9.0)</f>
        <v>9</v>
      </c>
      <c r="C3816" s="11">
        <f>IFERROR(__xludf.DUMMYFUNCTION("""COMPUTED_VALUE"""),87225.0)</f>
        <v>87225</v>
      </c>
      <c r="D3816" s="11">
        <f>IFERROR(__xludf.DUMMYFUNCTION("""COMPUTED_VALUE"""),228.0)</f>
        <v>228</v>
      </c>
      <c r="E3816" s="9"/>
    </row>
    <row r="3817">
      <c r="A3817" s="11">
        <f>IFERROR(__xludf.DUMMYFUNCTION("""COMPUTED_VALUE"""),2021.0)</f>
        <v>2021</v>
      </c>
      <c r="B3817" s="11">
        <f>IFERROR(__xludf.DUMMYFUNCTION("""COMPUTED_VALUE"""),10.0)</f>
        <v>10</v>
      </c>
      <c r="C3817" s="11">
        <f>IFERROR(__xludf.DUMMYFUNCTION("""COMPUTED_VALUE"""),82373.0)</f>
        <v>82373</v>
      </c>
      <c r="D3817" s="11">
        <f>IFERROR(__xludf.DUMMYFUNCTION("""COMPUTED_VALUE"""),1402.0)</f>
        <v>1402</v>
      </c>
      <c r="E3817" s="9"/>
    </row>
    <row r="3818">
      <c r="A3818" s="11">
        <f>IFERROR(__xludf.DUMMYFUNCTION("""COMPUTED_VALUE"""),2021.0)</f>
        <v>2021</v>
      </c>
      <c r="B3818" s="11">
        <f>IFERROR(__xludf.DUMMYFUNCTION("""COMPUTED_VALUE"""),10.0)</f>
        <v>10</v>
      </c>
      <c r="C3818" s="11">
        <f>IFERROR(__xludf.DUMMYFUNCTION("""COMPUTED_VALUE"""),77254.0)</f>
        <v>77254</v>
      </c>
      <c r="D3818" s="11">
        <f>IFERROR(__xludf.DUMMYFUNCTION("""COMPUTED_VALUE"""),1884.0)</f>
        <v>1884</v>
      </c>
      <c r="E3818" s="9"/>
    </row>
    <row r="3819">
      <c r="A3819" s="11">
        <f>IFERROR(__xludf.DUMMYFUNCTION("""COMPUTED_VALUE"""),2021.0)</f>
        <v>2021</v>
      </c>
      <c r="B3819" s="11">
        <f>IFERROR(__xludf.DUMMYFUNCTION("""COMPUTED_VALUE"""),10.0)</f>
        <v>10</v>
      </c>
      <c r="C3819" s="11">
        <f>IFERROR(__xludf.DUMMYFUNCTION("""COMPUTED_VALUE"""),5742.0)</f>
        <v>5742</v>
      </c>
      <c r="D3819" s="11">
        <f>IFERROR(__xludf.DUMMYFUNCTION("""COMPUTED_VALUE"""),383.0)</f>
        <v>383</v>
      </c>
      <c r="E3819" s="9"/>
    </row>
    <row r="3820">
      <c r="A3820" s="11">
        <f>IFERROR(__xludf.DUMMYFUNCTION("""COMPUTED_VALUE"""),2021.0)</f>
        <v>2021</v>
      </c>
      <c r="B3820" s="11">
        <f>IFERROR(__xludf.DUMMYFUNCTION("""COMPUTED_VALUE"""),9.0)</f>
        <v>9</v>
      </c>
      <c r="C3820" s="11">
        <f>IFERROR(__xludf.DUMMYFUNCTION("""COMPUTED_VALUE"""),117622.0)</f>
        <v>117622</v>
      </c>
      <c r="D3820" s="11">
        <f>IFERROR(__xludf.DUMMYFUNCTION("""COMPUTED_VALUE"""),731.0)</f>
        <v>731</v>
      </c>
      <c r="E3820" s="9"/>
    </row>
    <row r="3821">
      <c r="A3821" s="11">
        <f>IFERROR(__xludf.DUMMYFUNCTION("""COMPUTED_VALUE"""),2021.0)</f>
        <v>2021</v>
      </c>
      <c r="B3821" s="11">
        <f>IFERROR(__xludf.DUMMYFUNCTION("""COMPUTED_VALUE"""),10.0)</f>
        <v>10</v>
      </c>
      <c r="C3821" s="11">
        <f>IFERROR(__xludf.DUMMYFUNCTION("""COMPUTED_VALUE"""),77255.0)</f>
        <v>77255</v>
      </c>
      <c r="D3821" s="11">
        <f>IFERROR(__xludf.DUMMYFUNCTION("""COMPUTED_VALUE"""),1638.0)</f>
        <v>1638</v>
      </c>
      <c r="E3821" s="9"/>
    </row>
    <row r="3822">
      <c r="A3822" s="11">
        <f>IFERROR(__xludf.DUMMYFUNCTION("""COMPUTED_VALUE"""),2021.0)</f>
        <v>2021</v>
      </c>
      <c r="B3822" s="11">
        <f>IFERROR(__xludf.DUMMYFUNCTION("""COMPUTED_VALUE"""),11.0)</f>
        <v>11</v>
      </c>
      <c r="C3822" s="11">
        <f>IFERROR(__xludf.DUMMYFUNCTION("""COMPUTED_VALUE"""),101964.0)</f>
        <v>101964</v>
      </c>
      <c r="D3822" s="11">
        <f>IFERROR(__xludf.DUMMYFUNCTION("""COMPUTED_VALUE"""),1710.0)</f>
        <v>1710</v>
      </c>
      <c r="E3822" s="9"/>
    </row>
    <row r="3823">
      <c r="A3823" s="11">
        <f>IFERROR(__xludf.DUMMYFUNCTION("""COMPUTED_VALUE"""),2021.0)</f>
        <v>2021</v>
      </c>
      <c r="B3823" s="11">
        <f>IFERROR(__xludf.DUMMYFUNCTION("""COMPUTED_VALUE"""),9.0)</f>
        <v>9</v>
      </c>
      <c r="C3823" s="11">
        <f>IFERROR(__xludf.DUMMYFUNCTION("""COMPUTED_VALUE"""),48491.0)</f>
        <v>48491</v>
      </c>
      <c r="D3823" s="11">
        <f>IFERROR(__xludf.DUMMYFUNCTION("""COMPUTED_VALUE"""),1562.0)</f>
        <v>1562</v>
      </c>
      <c r="E3823" s="9"/>
    </row>
    <row r="3824">
      <c r="A3824" s="11">
        <f>IFERROR(__xludf.DUMMYFUNCTION("""COMPUTED_VALUE"""),2021.0)</f>
        <v>2021</v>
      </c>
      <c r="B3824" s="11">
        <f>IFERROR(__xludf.DUMMYFUNCTION("""COMPUTED_VALUE"""),9.0)</f>
        <v>9</v>
      </c>
      <c r="C3824" s="11">
        <f>IFERROR(__xludf.DUMMYFUNCTION("""COMPUTED_VALUE"""),82368.0)</f>
        <v>82368</v>
      </c>
      <c r="D3824" s="11">
        <f>IFERROR(__xludf.DUMMYFUNCTION("""COMPUTED_VALUE"""),1083.0)</f>
        <v>1083</v>
      </c>
      <c r="E3824" s="9"/>
    </row>
    <row r="3825">
      <c r="A3825" s="11">
        <f>IFERROR(__xludf.DUMMYFUNCTION("""COMPUTED_VALUE"""),2021.0)</f>
        <v>2021</v>
      </c>
      <c r="B3825" s="11">
        <f>IFERROR(__xludf.DUMMYFUNCTION("""COMPUTED_VALUE"""),11.0)</f>
        <v>11</v>
      </c>
      <c r="C3825" s="11">
        <f>IFERROR(__xludf.DUMMYFUNCTION("""COMPUTED_VALUE"""),82367.0)</f>
        <v>82367</v>
      </c>
      <c r="D3825" s="11">
        <f>IFERROR(__xludf.DUMMYFUNCTION("""COMPUTED_VALUE"""),882.0)</f>
        <v>882</v>
      </c>
      <c r="E3825" s="9"/>
    </row>
    <row r="3826">
      <c r="A3826" s="11">
        <f>IFERROR(__xludf.DUMMYFUNCTION("""COMPUTED_VALUE"""),2021.0)</f>
        <v>2021</v>
      </c>
      <c r="B3826" s="11">
        <f>IFERROR(__xludf.DUMMYFUNCTION("""COMPUTED_VALUE"""),9.0)</f>
        <v>9</v>
      </c>
      <c r="C3826" s="11">
        <f>IFERROR(__xludf.DUMMYFUNCTION("""COMPUTED_VALUE"""),118426.0)</f>
        <v>118426</v>
      </c>
      <c r="D3826" s="11">
        <f>IFERROR(__xludf.DUMMYFUNCTION("""COMPUTED_VALUE"""),1335.0)</f>
        <v>1335</v>
      </c>
      <c r="E3826" s="9"/>
    </row>
    <row r="3827">
      <c r="A3827" s="11">
        <f>IFERROR(__xludf.DUMMYFUNCTION("""COMPUTED_VALUE"""),2021.0)</f>
        <v>2021</v>
      </c>
      <c r="B3827" s="11">
        <f>IFERROR(__xludf.DUMMYFUNCTION("""COMPUTED_VALUE"""),9.0)</f>
        <v>9</v>
      </c>
      <c r="C3827" s="11">
        <f>IFERROR(__xludf.DUMMYFUNCTION("""COMPUTED_VALUE"""),5068.0)</f>
        <v>5068</v>
      </c>
      <c r="D3827" s="11">
        <f>IFERROR(__xludf.DUMMYFUNCTION("""COMPUTED_VALUE"""),134.0)</f>
        <v>134</v>
      </c>
      <c r="E3827" s="9"/>
    </row>
    <row r="3828">
      <c r="A3828" s="11">
        <f>IFERROR(__xludf.DUMMYFUNCTION("""COMPUTED_VALUE"""),2021.0)</f>
        <v>2021</v>
      </c>
      <c r="B3828" s="11">
        <f>IFERROR(__xludf.DUMMYFUNCTION("""COMPUTED_VALUE"""),10.0)</f>
        <v>10</v>
      </c>
      <c r="C3828" s="11">
        <f>IFERROR(__xludf.DUMMYFUNCTION("""COMPUTED_VALUE"""),84660.0)</f>
        <v>84660</v>
      </c>
      <c r="D3828" s="11">
        <f>IFERROR(__xludf.DUMMYFUNCTION("""COMPUTED_VALUE"""),1481.0)</f>
        <v>1481</v>
      </c>
      <c r="E3828" s="9"/>
    </row>
    <row r="3829">
      <c r="A3829" s="11">
        <f>IFERROR(__xludf.DUMMYFUNCTION("""COMPUTED_VALUE"""),2021.0)</f>
        <v>2021</v>
      </c>
      <c r="B3829" s="11">
        <f>IFERROR(__xludf.DUMMYFUNCTION("""COMPUTED_VALUE"""),10.0)</f>
        <v>10</v>
      </c>
      <c r="C3829" s="11">
        <f>IFERROR(__xludf.DUMMYFUNCTION("""COMPUTED_VALUE"""),5070.0)</f>
        <v>5070</v>
      </c>
      <c r="D3829" s="11">
        <f>IFERROR(__xludf.DUMMYFUNCTION("""COMPUTED_VALUE"""),1008.0)</f>
        <v>1008</v>
      </c>
      <c r="E3829" s="9"/>
    </row>
    <row r="3830">
      <c r="A3830" s="11">
        <f>IFERROR(__xludf.DUMMYFUNCTION("""COMPUTED_VALUE"""),2021.0)</f>
        <v>2021</v>
      </c>
      <c r="B3830" s="11">
        <f>IFERROR(__xludf.DUMMYFUNCTION("""COMPUTED_VALUE"""),8.0)</f>
        <v>8</v>
      </c>
      <c r="C3830" s="11">
        <f>IFERROR(__xludf.DUMMYFUNCTION("""COMPUTED_VALUE"""),84681.0)</f>
        <v>84681</v>
      </c>
      <c r="D3830" s="11">
        <f>IFERROR(__xludf.DUMMYFUNCTION("""COMPUTED_VALUE"""),77.0)</f>
        <v>77</v>
      </c>
      <c r="E3830" s="9"/>
    </row>
    <row r="3831">
      <c r="A3831" s="11">
        <f>IFERROR(__xludf.DUMMYFUNCTION("""COMPUTED_VALUE"""),2021.0)</f>
        <v>2021</v>
      </c>
      <c r="B3831" s="11">
        <f>IFERROR(__xludf.DUMMYFUNCTION("""COMPUTED_VALUE"""),10.0)</f>
        <v>10</v>
      </c>
      <c r="C3831" s="11">
        <f>IFERROR(__xludf.DUMMYFUNCTION("""COMPUTED_VALUE"""),102596.0)</f>
        <v>102596</v>
      </c>
      <c r="D3831" s="11">
        <f>IFERROR(__xludf.DUMMYFUNCTION("""COMPUTED_VALUE"""),1419.0)</f>
        <v>1419</v>
      </c>
      <c r="E3831" s="9"/>
    </row>
    <row r="3832">
      <c r="A3832" s="11">
        <f>IFERROR(__xludf.DUMMYFUNCTION("""COMPUTED_VALUE"""),2021.0)</f>
        <v>2021</v>
      </c>
      <c r="B3832" s="11">
        <f>IFERROR(__xludf.DUMMYFUNCTION("""COMPUTED_VALUE"""),8.0)</f>
        <v>8</v>
      </c>
      <c r="C3832" s="11">
        <f>IFERROR(__xludf.DUMMYFUNCTION("""COMPUTED_VALUE"""),5037.0)</f>
        <v>5037</v>
      </c>
      <c r="D3832" s="11">
        <f>IFERROR(__xludf.DUMMYFUNCTION("""COMPUTED_VALUE"""),136.0)</f>
        <v>136</v>
      </c>
      <c r="E3832" s="9"/>
    </row>
    <row r="3833">
      <c r="A3833" s="11">
        <f>IFERROR(__xludf.DUMMYFUNCTION("""COMPUTED_VALUE"""),2021.0)</f>
        <v>2021</v>
      </c>
      <c r="B3833" s="11">
        <f>IFERROR(__xludf.DUMMYFUNCTION("""COMPUTED_VALUE"""),10.0)</f>
        <v>10</v>
      </c>
      <c r="C3833" s="11">
        <f>IFERROR(__xludf.DUMMYFUNCTION("""COMPUTED_VALUE"""),5052.0)</f>
        <v>5052</v>
      </c>
      <c r="D3833" s="11">
        <f>IFERROR(__xludf.DUMMYFUNCTION("""COMPUTED_VALUE"""),1490.0)</f>
        <v>1490</v>
      </c>
      <c r="E3833" s="9"/>
    </row>
    <row r="3834">
      <c r="A3834" s="11">
        <f>IFERROR(__xludf.DUMMYFUNCTION("""COMPUTED_VALUE"""),2021.0)</f>
        <v>2021</v>
      </c>
      <c r="B3834" s="11">
        <f>IFERROR(__xludf.DUMMYFUNCTION("""COMPUTED_VALUE"""),8.0)</f>
        <v>8</v>
      </c>
      <c r="C3834" s="11">
        <f>IFERROR(__xludf.DUMMYFUNCTION("""COMPUTED_VALUE"""),5051.0)</f>
        <v>5051</v>
      </c>
      <c r="D3834" s="11">
        <f>IFERROR(__xludf.DUMMYFUNCTION("""COMPUTED_VALUE"""),1540.0)</f>
        <v>1540</v>
      </c>
      <c r="E3834" s="9"/>
    </row>
    <row r="3835">
      <c r="A3835" s="11">
        <f>IFERROR(__xludf.DUMMYFUNCTION("""COMPUTED_VALUE"""),2021.0)</f>
        <v>2021</v>
      </c>
      <c r="B3835" s="11">
        <f>IFERROR(__xludf.DUMMYFUNCTION("""COMPUTED_VALUE"""),8.0)</f>
        <v>8</v>
      </c>
      <c r="C3835" s="11">
        <f>IFERROR(__xludf.DUMMYFUNCTION("""COMPUTED_VALUE"""),102647.0)</f>
        <v>102647</v>
      </c>
      <c r="D3835" s="11">
        <f>IFERROR(__xludf.DUMMYFUNCTION("""COMPUTED_VALUE"""),1011.0)</f>
        <v>1011</v>
      </c>
      <c r="E3835" s="9"/>
    </row>
    <row r="3836">
      <c r="A3836" s="11">
        <f>IFERROR(__xludf.DUMMYFUNCTION("""COMPUTED_VALUE"""),2021.0)</f>
        <v>2021</v>
      </c>
      <c r="B3836" s="11">
        <f>IFERROR(__xludf.DUMMYFUNCTION("""COMPUTED_VALUE"""),11.0)</f>
        <v>11</v>
      </c>
      <c r="C3836" s="11">
        <f>IFERROR(__xludf.DUMMYFUNCTION("""COMPUTED_VALUE"""),5061.0)</f>
        <v>5061</v>
      </c>
      <c r="D3836" s="11">
        <f>IFERROR(__xludf.DUMMYFUNCTION("""COMPUTED_VALUE"""),1828.0)</f>
        <v>1828</v>
      </c>
      <c r="E3836" s="9"/>
    </row>
    <row r="3837">
      <c r="A3837" s="11">
        <f>IFERROR(__xludf.DUMMYFUNCTION("""COMPUTED_VALUE"""),2021.0)</f>
        <v>2021</v>
      </c>
      <c r="B3837" s="11">
        <f>IFERROR(__xludf.DUMMYFUNCTION("""COMPUTED_VALUE"""),11.0)</f>
        <v>11</v>
      </c>
      <c r="C3837" s="11">
        <f>IFERROR(__xludf.DUMMYFUNCTION("""COMPUTED_VALUE"""),102649.0)</f>
        <v>102649</v>
      </c>
      <c r="D3837" s="11">
        <f>IFERROR(__xludf.DUMMYFUNCTION("""COMPUTED_VALUE"""),162.0)</f>
        <v>162</v>
      </c>
      <c r="E3837" s="9"/>
    </row>
    <row r="3838">
      <c r="A3838" s="11">
        <f>IFERROR(__xludf.DUMMYFUNCTION("""COMPUTED_VALUE"""),2021.0)</f>
        <v>2021</v>
      </c>
      <c r="B3838" s="11">
        <f>IFERROR(__xludf.DUMMYFUNCTION("""COMPUTED_VALUE"""),10.0)</f>
        <v>10</v>
      </c>
      <c r="C3838" s="11">
        <f>IFERROR(__xludf.DUMMYFUNCTION("""COMPUTED_VALUE"""),102662.0)</f>
        <v>102662</v>
      </c>
      <c r="D3838" s="11">
        <f>IFERROR(__xludf.DUMMYFUNCTION("""COMPUTED_VALUE"""),1315.0)</f>
        <v>1315</v>
      </c>
      <c r="E3838" s="9"/>
    </row>
    <row r="3839">
      <c r="A3839" s="11">
        <f>IFERROR(__xludf.DUMMYFUNCTION("""COMPUTED_VALUE"""),2021.0)</f>
        <v>2021</v>
      </c>
      <c r="B3839" s="11">
        <f>IFERROR(__xludf.DUMMYFUNCTION("""COMPUTED_VALUE"""),9.0)</f>
        <v>9</v>
      </c>
      <c r="C3839" s="11">
        <f>IFERROR(__xludf.DUMMYFUNCTION("""COMPUTED_VALUE"""),108337.0)</f>
        <v>108337</v>
      </c>
      <c r="D3839" s="11">
        <f>IFERROR(__xludf.DUMMYFUNCTION("""COMPUTED_VALUE"""),1484.0)</f>
        <v>1484</v>
      </c>
      <c r="E3839" s="9"/>
    </row>
    <row r="3840">
      <c r="A3840" s="11">
        <f>IFERROR(__xludf.DUMMYFUNCTION("""COMPUTED_VALUE"""),2021.0)</f>
        <v>2021</v>
      </c>
      <c r="B3840" s="11">
        <f>IFERROR(__xludf.DUMMYFUNCTION("""COMPUTED_VALUE"""),9.0)</f>
        <v>9</v>
      </c>
      <c r="C3840" s="11">
        <f>IFERROR(__xludf.DUMMYFUNCTION("""COMPUTED_VALUE"""),188352.0)</f>
        <v>188352</v>
      </c>
      <c r="D3840" s="11">
        <f>IFERROR(__xludf.DUMMYFUNCTION("""COMPUTED_VALUE"""),1546.0)</f>
        <v>1546</v>
      </c>
      <c r="E3840" s="9"/>
    </row>
    <row r="3841">
      <c r="A3841" s="11">
        <f>IFERROR(__xludf.DUMMYFUNCTION("""COMPUTED_VALUE"""),2021.0)</f>
        <v>2021</v>
      </c>
      <c r="B3841" s="11">
        <f>IFERROR(__xludf.DUMMYFUNCTION("""COMPUTED_VALUE"""),9.0)</f>
        <v>9</v>
      </c>
      <c r="C3841" s="11">
        <f>IFERROR(__xludf.DUMMYFUNCTION("""COMPUTED_VALUE"""),11459.0)</f>
        <v>11459</v>
      </c>
      <c r="D3841" s="11">
        <f>IFERROR(__xludf.DUMMYFUNCTION("""COMPUTED_VALUE"""),1459.0)</f>
        <v>1459</v>
      </c>
      <c r="E3841" s="9"/>
    </row>
    <row r="3842">
      <c r="A3842" s="11">
        <f>IFERROR(__xludf.DUMMYFUNCTION("""COMPUTED_VALUE"""),2021.0)</f>
        <v>2021</v>
      </c>
      <c r="B3842" s="11">
        <f>IFERROR(__xludf.DUMMYFUNCTION("""COMPUTED_VALUE"""),9.0)</f>
        <v>9</v>
      </c>
      <c r="C3842" s="11">
        <f>IFERROR(__xludf.DUMMYFUNCTION("""COMPUTED_VALUE"""),11443.0)</f>
        <v>11443</v>
      </c>
      <c r="D3842" s="11">
        <f>IFERROR(__xludf.DUMMYFUNCTION("""COMPUTED_VALUE"""),176.0)</f>
        <v>176</v>
      </c>
      <c r="E3842" s="9"/>
    </row>
    <row r="3843">
      <c r="A3843" s="11">
        <f>IFERROR(__xludf.DUMMYFUNCTION("""COMPUTED_VALUE"""),2021.0)</f>
        <v>2021</v>
      </c>
      <c r="B3843" s="11">
        <f>IFERROR(__xludf.DUMMYFUNCTION("""COMPUTED_VALUE"""),10.0)</f>
        <v>10</v>
      </c>
      <c r="C3843" s="11">
        <f>IFERROR(__xludf.DUMMYFUNCTION("""COMPUTED_VALUE"""),70560.0)</f>
        <v>70560</v>
      </c>
      <c r="D3843" s="11">
        <f>IFERROR(__xludf.DUMMYFUNCTION("""COMPUTED_VALUE"""),1443.0)</f>
        <v>1443</v>
      </c>
      <c r="E3843" s="9"/>
    </row>
    <row r="3844">
      <c r="A3844" s="11">
        <f>IFERROR(__xludf.DUMMYFUNCTION("""COMPUTED_VALUE"""),2021.0)</f>
        <v>2021</v>
      </c>
      <c r="B3844" s="11">
        <f>IFERROR(__xludf.DUMMYFUNCTION("""COMPUTED_VALUE"""),8.0)</f>
        <v>8</v>
      </c>
      <c r="C3844" s="11">
        <f>IFERROR(__xludf.DUMMYFUNCTION("""COMPUTED_VALUE"""),110363.0)</f>
        <v>110363</v>
      </c>
      <c r="D3844" s="11">
        <f>IFERROR(__xludf.DUMMYFUNCTION("""COMPUTED_VALUE"""),1914.0)</f>
        <v>1914</v>
      </c>
      <c r="E3844" s="9"/>
    </row>
    <row r="3845">
      <c r="A3845" s="11">
        <f>IFERROR(__xludf.DUMMYFUNCTION("""COMPUTED_VALUE"""),2021.0)</f>
        <v>2021</v>
      </c>
      <c r="B3845" s="11">
        <f>IFERROR(__xludf.DUMMYFUNCTION("""COMPUTED_VALUE"""),9.0)</f>
        <v>9</v>
      </c>
      <c r="C3845" s="11">
        <f>IFERROR(__xludf.DUMMYFUNCTION("""COMPUTED_VALUE"""),11449.0)</f>
        <v>11449</v>
      </c>
      <c r="D3845" s="11">
        <f>IFERROR(__xludf.DUMMYFUNCTION("""COMPUTED_VALUE"""),1230.0)</f>
        <v>1230</v>
      </c>
      <c r="E3845" s="9"/>
    </row>
    <row r="3846">
      <c r="A3846" s="11">
        <f>IFERROR(__xludf.DUMMYFUNCTION("""COMPUTED_VALUE"""),2021.0)</f>
        <v>2021</v>
      </c>
      <c r="B3846" s="11">
        <f>IFERROR(__xludf.DUMMYFUNCTION("""COMPUTED_VALUE"""),10.0)</f>
        <v>10</v>
      </c>
      <c r="C3846" s="11">
        <f>IFERROR(__xludf.DUMMYFUNCTION("""COMPUTED_VALUE"""),119793.0)</f>
        <v>119793</v>
      </c>
      <c r="D3846" s="11">
        <f>IFERROR(__xludf.DUMMYFUNCTION("""COMPUTED_VALUE"""),1334.0)</f>
        <v>1334</v>
      </c>
      <c r="E3846" s="9"/>
    </row>
    <row r="3847">
      <c r="A3847" s="11">
        <f>IFERROR(__xludf.DUMMYFUNCTION("""COMPUTED_VALUE"""),2021.0)</f>
        <v>2021</v>
      </c>
      <c r="B3847" s="11">
        <f>IFERROR(__xludf.DUMMYFUNCTION("""COMPUTED_VALUE"""),8.0)</f>
        <v>8</v>
      </c>
      <c r="C3847" s="11">
        <f>IFERROR(__xludf.DUMMYFUNCTION("""COMPUTED_VALUE"""),41107.0)</f>
        <v>41107</v>
      </c>
      <c r="D3847" s="11">
        <f>IFERROR(__xludf.DUMMYFUNCTION("""COMPUTED_VALUE"""),89.0)</f>
        <v>89</v>
      </c>
      <c r="E3847" s="9"/>
    </row>
    <row r="3848">
      <c r="A3848" s="11">
        <f>IFERROR(__xludf.DUMMYFUNCTION("""COMPUTED_VALUE"""),2021.0)</f>
        <v>2021</v>
      </c>
      <c r="B3848" s="11">
        <f>IFERROR(__xludf.DUMMYFUNCTION("""COMPUTED_VALUE"""),9.0)</f>
        <v>9</v>
      </c>
      <c r="C3848" s="11">
        <f>IFERROR(__xludf.DUMMYFUNCTION("""COMPUTED_VALUE"""),78358.0)</f>
        <v>78358</v>
      </c>
      <c r="D3848" s="11">
        <f>IFERROR(__xludf.DUMMYFUNCTION("""COMPUTED_VALUE"""),430.0)</f>
        <v>430</v>
      </c>
      <c r="E3848" s="9"/>
    </row>
    <row r="3849">
      <c r="A3849" s="11">
        <f>IFERROR(__xludf.DUMMYFUNCTION("""COMPUTED_VALUE"""),2021.0)</f>
        <v>2021</v>
      </c>
      <c r="B3849" s="11">
        <f>IFERROR(__xludf.DUMMYFUNCTION("""COMPUTED_VALUE"""),8.0)</f>
        <v>8</v>
      </c>
      <c r="C3849" s="11">
        <f>IFERROR(__xludf.DUMMYFUNCTION("""COMPUTED_VALUE"""),77048.0)</f>
        <v>77048</v>
      </c>
      <c r="D3849" s="11">
        <f>IFERROR(__xludf.DUMMYFUNCTION("""COMPUTED_VALUE"""),1802.0)</f>
        <v>1802</v>
      </c>
      <c r="E3849" s="9"/>
    </row>
    <row r="3850">
      <c r="A3850" s="11">
        <f>IFERROR(__xludf.DUMMYFUNCTION("""COMPUTED_VALUE"""),2021.0)</f>
        <v>2021</v>
      </c>
      <c r="B3850" s="11">
        <f>IFERROR(__xludf.DUMMYFUNCTION("""COMPUTED_VALUE"""),8.0)</f>
        <v>8</v>
      </c>
      <c r="C3850" s="11">
        <f>IFERROR(__xludf.DUMMYFUNCTION("""COMPUTED_VALUE"""),27428.0)</f>
        <v>27428</v>
      </c>
      <c r="D3850" s="11">
        <f>IFERROR(__xludf.DUMMYFUNCTION("""COMPUTED_VALUE"""),1618.0)</f>
        <v>1618</v>
      </c>
      <c r="E3850" s="9"/>
    </row>
    <row r="3851">
      <c r="A3851" s="11">
        <f>IFERROR(__xludf.DUMMYFUNCTION("""COMPUTED_VALUE"""),2021.0)</f>
        <v>2021</v>
      </c>
      <c r="B3851" s="11">
        <f>IFERROR(__xludf.DUMMYFUNCTION("""COMPUTED_VALUE"""),10.0)</f>
        <v>10</v>
      </c>
      <c r="C3851" s="11">
        <f>IFERROR(__xludf.DUMMYFUNCTION("""COMPUTED_VALUE"""),8530.0)</f>
        <v>8530</v>
      </c>
      <c r="D3851" s="11">
        <f>IFERROR(__xludf.DUMMYFUNCTION("""COMPUTED_VALUE"""),1538.0)</f>
        <v>1538</v>
      </c>
      <c r="E3851" s="9"/>
    </row>
    <row r="3852">
      <c r="A3852" s="11">
        <f>IFERROR(__xludf.DUMMYFUNCTION("""COMPUTED_VALUE"""),2021.0)</f>
        <v>2021</v>
      </c>
      <c r="B3852" s="11">
        <f>IFERROR(__xludf.DUMMYFUNCTION("""COMPUTED_VALUE"""),10.0)</f>
        <v>10</v>
      </c>
      <c r="C3852" s="11">
        <f>IFERROR(__xludf.DUMMYFUNCTION("""COMPUTED_VALUE"""),14281.0)</f>
        <v>14281</v>
      </c>
      <c r="D3852" s="11">
        <f>IFERROR(__xludf.DUMMYFUNCTION("""COMPUTED_VALUE"""),362.0)</f>
        <v>362</v>
      </c>
      <c r="E3852" s="9"/>
    </row>
    <row r="3853">
      <c r="A3853" s="11">
        <f>IFERROR(__xludf.DUMMYFUNCTION("""COMPUTED_VALUE"""),2021.0)</f>
        <v>2021</v>
      </c>
      <c r="B3853" s="11">
        <f>IFERROR(__xludf.DUMMYFUNCTION("""COMPUTED_VALUE"""),11.0)</f>
        <v>11</v>
      </c>
      <c r="C3853" s="11">
        <f>IFERROR(__xludf.DUMMYFUNCTION("""COMPUTED_VALUE"""),140582.0)</f>
        <v>140582</v>
      </c>
      <c r="D3853" s="11">
        <f>IFERROR(__xludf.DUMMYFUNCTION("""COMPUTED_VALUE"""),1227.0)</f>
        <v>1227</v>
      </c>
      <c r="E3853" s="9"/>
    </row>
    <row r="3854">
      <c r="A3854" s="11">
        <f>IFERROR(__xludf.DUMMYFUNCTION("""COMPUTED_VALUE"""),2021.0)</f>
        <v>2021</v>
      </c>
      <c r="B3854" s="11">
        <f>IFERROR(__xludf.DUMMYFUNCTION("""COMPUTED_VALUE"""),10.0)</f>
        <v>10</v>
      </c>
      <c r="C3854" s="11">
        <f>IFERROR(__xludf.DUMMYFUNCTION("""COMPUTED_VALUE"""),98895.0)</f>
        <v>98895</v>
      </c>
      <c r="D3854" s="11">
        <f>IFERROR(__xludf.DUMMYFUNCTION("""COMPUTED_VALUE"""),725.0)</f>
        <v>725</v>
      </c>
      <c r="E3854" s="9"/>
    </row>
    <row r="3855">
      <c r="A3855" s="11">
        <f>IFERROR(__xludf.DUMMYFUNCTION("""COMPUTED_VALUE"""),2021.0)</f>
        <v>2021</v>
      </c>
      <c r="B3855" s="11">
        <f>IFERROR(__xludf.DUMMYFUNCTION("""COMPUTED_VALUE"""),11.0)</f>
        <v>11</v>
      </c>
      <c r="C3855" s="11">
        <f>IFERROR(__xludf.DUMMYFUNCTION("""COMPUTED_VALUE"""),77491.0)</f>
        <v>77491</v>
      </c>
      <c r="D3855" s="11">
        <f>IFERROR(__xludf.DUMMYFUNCTION("""COMPUTED_VALUE"""),1888.0)</f>
        <v>1888</v>
      </c>
      <c r="E3855" s="9"/>
    </row>
    <row r="3856">
      <c r="A3856" s="11">
        <f>IFERROR(__xludf.DUMMYFUNCTION("""COMPUTED_VALUE"""),2021.0)</f>
        <v>2021</v>
      </c>
      <c r="B3856" s="11">
        <f>IFERROR(__xludf.DUMMYFUNCTION("""COMPUTED_VALUE"""),10.0)</f>
        <v>10</v>
      </c>
      <c r="C3856" s="11">
        <f>IFERROR(__xludf.DUMMYFUNCTION("""COMPUTED_VALUE"""),81704.0)</f>
        <v>81704</v>
      </c>
      <c r="D3856" s="11">
        <f>IFERROR(__xludf.DUMMYFUNCTION("""COMPUTED_VALUE"""),613.0)</f>
        <v>613</v>
      </c>
      <c r="E3856" s="9"/>
    </row>
    <row r="3857">
      <c r="A3857" s="11">
        <f>IFERROR(__xludf.DUMMYFUNCTION("""COMPUTED_VALUE"""),2021.0)</f>
        <v>2021</v>
      </c>
      <c r="B3857" s="11">
        <f>IFERROR(__xludf.DUMMYFUNCTION("""COMPUTED_VALUE"""),8.0)</f>
        <v>8</v>
      </c>
      <c r="C3857" s="11">
        <f>IFERROR(__xludf.DUMMYFUNCTION("""COMPUTED_VALUE"""),111565.0)</f>
        <v>111565</v>
      </c>
      <c r="D3857" s="11">
        <f>IFERROR(__xludf.DUMMYFUNCTION("""COMPUTED_VALUE"""),536.0)</f>
        <v>536</v>
      </c>
      <c r="E3857" s="9"/>
    </row>
    <row r="3858">
      <c r="A3858" s="11">
        <f>IFERROR(__xludf.DUMMYFUNCTION("""COMPUTED_VALUE"""),2021.0)</f>
        <v>2021</v>
      </c>
      <c r="B3858" s="11">
        <f>IFERROR(__xludf.DUMMYFUNCTION("""COMPUTED_VALUE"""),8.0)</f>
        <v>8</v>
      </c>
      <c r="C3858" s="11">
        <f>IFERROR(__xludf.DUMMYFUNCTION("""COMPUTED_VALUE"""),5774.0)</f>
        <v>5774</v>
      </c>
      <c r="D3858" s="11">
        <f>IFERROR(__xludf.DUMMYFUNCTION("""COMPUTED_VALUE"""),624.0)</f>
        <v>624</v>
      </c>
      <c r="E3858" s="9"/>
    </row>
    <row r="3859">
      <c r="A3859" s="11">
        <f>IFERROR(__xludf.DUMMYFUNCTION("""COMPUTED_VALUE"""),2021.0)</f>
        <v>2021</v>
      </c>
      <c r="B3859" s="11">
        <f>IFERROR(__xludf.DUMMYFUNCTION("""COMPUTED_VALUE"""),11.0)</f>
        <v>11</v>
      </c>
      <c r="C3859" s="11">
        <f>IFERROR(__xludf.DUMMYFUNCTION("""COMPUTED_VALUE"""),112075.0)</f>
        <v>112075</v>
      </c>
      <c r="D3859" s="11">
        <f>IFERROR(__xludf.DUMMYFUNCTION("""COMPUTED_VALUE"""),398.0)</f>
        <v>398</v>
      </c>
      <c r="E3859" s="9"/>
    </row>
    <row r="3860">
      <c r="A3860" s="11">
        <f>IFERROR(__xludf.DUMMYFUNCTION("""COMPUTED_VALUE"""),2021.0)</f>
        <v>2021</v>
      </c>
      <c r="B3860" s="11">
        <f>IFERROR(__xludf.DUMMYFUNCTION("""COMPUTED_VALUE"""),11.0)</f>
        <v>11</v>
      </c>
      <c r="C3860" s="11">
        <f>IFERROR(__xludf.DUMMYFUNCTION("""COMPUTED_VALUE"""),88469.0)</f>
        <v>88469</v>
      </c>
      <c r="D3860" s="11">
        <f>IFERROR(__xludf.DUMMYFUNCTION("""COMPUTED_VALUE"""),1048.0)</f>
        <v>1048</v>
      </c>
      <c r="E3860" s="9"/>
    </row>
    <row r="3861">
      <c r="A3861" s="11">
        <f>IFERROR(__xludf.DUMMYFUNCTION("""COMPUTED_VALUE"""),2021.0)</f>
        <v>2021</v>
      </c>
      <c r="B3861" s="11">
        <f>IFERROR(__xludf.DUMMYFUNCTION("""COMPUTED_VALUE"""),8.0)</f>
        <v>8</v>
      </c>
      <c r="C3861" s="11">
        <f>IFERROR(__xludf.DUMMYFUNCTION("""COMPUTED_VALUE"""),112249.0)</f>
        <v>112249</v>
      </c>
      <c r="D3861" s="11">
        <f>IFERROR(__xludf.DUMMYFUNCTION("""COMPUTED_VALUE"""),1943.0)</f>
        <v>1943</v>
      </c>
      <c r="E3861" s="9"/>
    </row>
    <row r="3862">
      <c r="A3862" s="11">
        <f>IFERROR(__xludf.DUMMYFUNCTION("""COMPUTED_VALUE"""),2021.0)</f>
        <v>2021</v>
      </c>
      <c r="B3862" s="11">
        <f>IFERROR(__xludf.DUMMYFUNCTION("""COMPUTED_VALUE"""),11.0)</f>
        <v>11</v>
      </c>
      <c r="C3862" s="11">
        <f>IFERROR(__xludf.DUMMYFUNCTION("""COMPUTED_VALUE"""),5775.0)</f>
        <v>5775</v>
      </c>
      <c r="D3862" s="11">
        <f>IFERROR(__xludf.DUMMYFUNCTION("""COMPUTED_VALUE"""),1739.0)</f>
        <v>1739</v>
      </c>
      <c r="E3862" s="9"/>
    </row>
    <row r="3863">
      <c r="A3863" s="11">
        <f>IFERROR(__xludf.DUMMYFUNCTION("""COMPUTED_VALUE"""),2021.0)</f>
        <v>2021</v>
      </c>
      <c r="B3863" s="11">
        <f>IFERROR(__xludf.DUMMYFUNCTION("""COMPUTED_VALUE"""),8.0)</f>
        <v>8</v>
      </c>
      <c r="C3863" s="11">
        <f>IFERROR(__xludf.DUMMYFUNCTION("""COMPUTED_VALUE"""),77506.0)</f>
        <v>77506</v>
      </c>
      <c r="D3863" s="11">
        <f>IFERROR(__xludf.DUMMYFUNCTION("""COMPUTED_VALUE"""),41.0)</f>
        <v>41</v>
      </c>
      <c r="E3863" s="9"/>
    </row>
    <row r="3864">
      <c r="A3864" s="11">
        <f>IFERROR(__xludf.DUMMYFUNCTION("""COMPUTED_VALUE"""),2021.0)</f>
        <v>2021</v>
      </c>
      <c r="B3864" s="11">
        <f>IFERROR(__xludf.DUMMYFUNCTION("""COMPUTED_VALUE"""),8.0)</f>
        <v>8</v>
      </c>
      <c r="C3864" s="11">
        <f>IFERROR(__xludf.DUMMYFUNCTION("""COMPUTED_VALUE"""),83646.0)</f>
        <v>83646</v>
      </c>
      <c r="D3864" s="11">
        <f>IFERROR(__xludf.DUMMYFUNCTION("""COMPUTED_VALUE"""),1079.0)</f>
        <v>1079</v>
      </c>
      <c r="E3864" s="9"/>
    </row>
    <row r="3865">
      <c r="A3865" s="11">
        <f>IFERROR(__xludf.DUMMYFUNCTION("""COMPUTED_VALUE"""),2021.0)</f>
        <v>2021</v>
      </c>
      <c r="B3865" s="11">
        <f>IFERROR(__xludf.DUMMYFUNCTION("""COMPUTED_VALUE"""),8.0)</f>
        <v>8</v>
      </c>
      <c r="C3865" s="11">
        <f>IFERROR(__xludf.DUMMYFUNCTION("""COMPUTED_VALUE"""),77484.0)</f>
        <v>77484</v>
      </c>
      <c r="D3865" s="11">
        <f>IFERROR(__xludf.DUMMYFUNCTION("""COMPUTED_VALUE"""),1817.0)</f>
        <v>1817</v>
      </c>
      <c r="E3865" s="9"/>
    </row>
    <row r="3866">
      <c r="A3866" s="11">
        <f>IFERROR(__xludf.DUMMYFUNCTION("""COMPUTED_VALUE"""),2021.0)</f>
        <v>2021</v>
      </c>
      <c r="B3866" s="11">
        <f>IFERROR(__xludf.DUMMYFUNCTION("""COMPUTED_VALUE"""),9.0)</f>
        <v>9</v>
      </c>
      <c r="C3866" s="11">
        <f>IFERROR(__xludf.DUMMYFUNCTION("""COMPUTED_VALUE"""),77481.0)</f>
        <v>77481</v>
      </c>
      <c r="D3866" s="11">
        <f>IFERROR(__xludf.DUMMYFUNCTION("""COMPUTED_VALUE"""),88.0)</f>
        <v>88</v>
      </c>
      <c r="E3866" s="9"/>
    </row>
    <row r="3867">
      <c r="A3867" s="11">
        <f>IFERROR(__xludf.DUMMYFUNCTION("""COMPUTED_VALUE"""),2021.0)</f>
        <v>2021</v>
      </c>
      <c r="B3867" s="11">
        <f>IFERROR(__xludf.DUMMYFUNCTION("""COMPUTED_VALUE"""),11.0)</f>
        <v>11</v>
      </c>
      <c r="C3867" s="11">
        <f>IFERROR(__xludf.DUMMYFUNCTION("""COMPUTED_VALUE"""),17075.0)</f>
        <v>17075</v>
      </c>
      <c r="D3867" s="11">
        <f>IFERROR(__xludf.DUMMYFUNCTION("""COMPUTED_VALUE"""),1055.0)</f>
        <v>1055</v>
      </c>
      <c r="E3867" s="9"/>
    </row>
    <row r="3868">
      <c r="A3868" s="11">
        <f>IFERROR(__xludf.DUMMYFUNCTION("""COMPUTED_VALUE"""),2021.0)</f>
        <v>2021</v>
      </c>
      <c r="B3868" s="11">
        <f>IFERROR(__xludf.DUMMYFUNCTION("""COMPUTED_VALUE"""),11.0)</f>
        <v>11</v>
      </c>
      <c r="C3868" s="11">
        <f>IFERROR(__xludf.DUMMYFUNCTION("""COMPUTED_VALUE"""),77492.0)</f>
        <v>77492</v>
      </c>
      <c r="D3868" s="11">
        <f>IFERROR(__xludf.DUMMYFUNCTION("""COMPUTED_VALUE"""),100.0)</f>
        <v>100</v>
      </c>
      <c r="E3868" s="9"/>
    </row>
    <row r="3869">
      <c r="A3869" s="11">
        <f>IFERROR(__xludf.DUMMYFUNCTION("""COMPUTED_VALUE"""),2021.0)</f>
        <v>2021</v>
      </c>
      <c r="B3869" s="11">
        <f>IFERROR(__xludf.DUMMYFUNCTION("""COMPUTED_VALUE"""),9.0)</f>
        <v>9</v>
      </c>
      <c r="C3869" s="11">
        <f>IFERROR(__xludf.DUMMYFUNCTION("""COMPUTED_VALUE"""),112084.0)</f>
        <v>112084</v>
      </c>
      <c r="D3869" s="11">
        <f>IFERROR(__xludf.DUMMYFUNCTION("""COMPUTED_VALUE"""),1215.0)</f>
        <v>1215</v>
      </c>
      <c r="E3869" s="9"/>
    </row>
    <row r="3870">
      <c r="A3870" s="11">
        <f>IFERROR(__xludf.DUMMYFUNCTION("""COMPUTED_VALUE"""),2021.0)</f>
        <v>2021</v>
      </c>
      <c r="B3870" s="11">
        <f>IFERROR(__xludf.DUMMYFUNCTION("""COMPUTED_VALUE"""),10.0)</f>
        <v>10</v>
      </c>
      <c r="C3870" s="11">
        <f>IFERROR(__xludf.DUMMYFUNCTION("""COMPUTED_VALUE"""),12041.0)</f>
        <v>12041</v>
      </c>
      <c r="D3870" s="11">
        <f>IFERROR(__xludf.DUMMYFUNCTION("""COMPUTED_VALUE"""),1175.0)</f>
        <v>1175</v>
      </c>
      <c r="E3870" s="9"/>
    </row>
    <row r="3871">
      <c r="A3871" s="11">
        <f>IFERROR(__xludf.DUMMYFUNCTION("""COMPUTED_VALUE"""),2021.0)</f>
        <v>2021</v>
      </c>
      <c r="B3871" s="11">
        <f>IFERROR(__xludf.DUMMYFUNCTION("""COMPUTED_VALUE"""),11.0)</f>
        <v>11</v>
      </c>
      <c r="C3871" s="11">
        <f>IFERROR(__xludf.DUMMYFUNCTION("""COMPUTED_VALUE"""),83042.0)</f>
        <v>83042</v>
      </c>
      <c r="D3871" s="11">
        <f>IFERROR(__xludf.DUMMYFUNCTION("""COMPUTED_VALUE"""),932.0)</f>
        <v>932</v>
      </c>
      <c r="E3871" s="9"/>
    </row>
    <row r="3872">
      <c r="A3872" s="11">
        <f>IFERROR(__xludf.DUMMYFUNCTION("""COMPUTED_VALUE"""),2021.0)</f>
        <v>2021</v>
      </c>
      <c r="B3872" s="11">
        <f>IFERROR(__xludf.DUMMYFUNCTION("""COMPUTED_VALUE"""),10.0)</f>
        <v>10</v>
      </c>
      <c r="C3872" s="11">
        <f>IFERROR(__xludf.DUMMYFUNCTION("""COMPUTED_VALUE"""),77490.0)</f>
        <v>77490</v>
      </c>
      <c r="D3872" s="11">
        <f>IFERROR(__xludf.DUMMYFUNCTION("""COMPUTED_VALUE"""),1276.0)</f>
        <v>1276</v>
      </c>
      <c r="E3872" s="9"/>
    </row>
    <row r="3873">
      <c r="A3873" s="11">
        <f>IFERROR(__xludf.DUMMYFUNCTION("""COMPUTED_VALUE"""),2021.0)</f>
        <v>2021</v>
      </c>
      <c r="B3873" s="11">
        <f>IFERROR(__xludf.DUMMYFUNCTION("""COMPUTED_VALUE"""),9.0)</f>
        <v>9</v>
      </c>
      <c r="C3873" s="11">
        <f>IFERROR(__xludf.DUMMYFUNCTION("""COMPUTED_VALUE"""),43336.0)</f>
        <v>43336</v>
      </c>
      <c r="D3873" s="11">
        <f>IFERROR(__xludf.DUMMYFUNCTION("""COMPUTED_VALUE"""),979.0)</f>
        <v>979</v>
      </c>
      <c r="E3873" s="9"/>
    </row>
    <row r="3874">
      <c r="A3874" s="11">
        <f>IFERROR(__xludf.DUMMYFUNCTION("""COMPUTED_VALUE"""),2021.0)</f>
        <v>2021</v>
      </c>
      <c r="B3874" s="11">
        <f>IFERROR(__xludf.DUMMYFUNCTION("""COMPUTED_VALUE"""),11.0)</f>
        <v>11</v>
      </c>
      <c r="C3874" s="11">
        <f>IFERROR(__xludf.DUMMYFUNCTION("""COMPUTED_VALUE"""),48609.0)</f>
        <v>48609</v>
      </c>
      <c r="D3874" s="11">
        <f>IFERROR(__xludf.DUMMYFUNCTION("""COMPUTED_VALUE"""),1870.0)</f>
        <v>1870</v>
      </c>
      <c r="E3874" s="9"/>
    </row>
    <row r="3875">
      <c r="A3875" s="11">
        <f>IFERROR(__xludf.DUMMYFUNCTION("""COMPUTED_VALUE"""),2021.0)</f>
        <v>2021</v>
      </c>
      <c r="B3875" s="11">
        <f>IFERROR(__xludf.DUMMYFUNCTION("""COMPUTED_VALUE"""),9.0)</f>
        <v>9</v>
      </c>
      <c r="C3875" s="11">
        <f>IFERROR(__xludf.DUMMYFUNCTION("""COMPUTED_VALUE"""),117074.0)</f>
        <v>117074</v>
      </c>
      <c r="D3875" s="11">
        <f>IFERROR(__xludf.DUMMYFUNCTION("""COMPUTED_VALUE"""),1318.0)</f>
        <v>1318</v>
      </c>
      <c r="E3875" s="9"/>
    </row>
    <row r="3876">
      <c r="A3876" s="11">
        <f>IFERROR(__xludf.DUMMYFUNCTION("""COMPUTED_VALUE"""),2021.0)</f>
        <v>2021</v>
      </c>
      <c r="B3876" s="11">
        <f>IFERROR(__xludf.DUMMYFUNCTION("""COMPUTED_VALUE"""),11.0)</f>
        <v>11</v>
      </c>
      <c r="C3876" s="11">
        <f>IFERROR(__xludf.DUMMYFUNCTION("""COMPUTED_VALUE"""),112085.0)</f>
        <v>112085</v>
      </c>
      <c r="D3876" s="11">
        <f>IFERROR(__xludf.DUMMYFUNCTION("""COMPUTED_VALUE"""),604.0)</f>
        <v>604</v>
      </c>
      <c r="E3876" s="9"/>
    </row>
    <row r="3877">
      <c r="A3877" s="11">
        <f>IFERROR(__xludf.DUMMYFUNCTION("""COMPUTED_VALUE"""),2021.0)</f>
        <v>2021</v>
      </c>
      <c r="B3877" s="11">
        <f>IFERROR(__xludf.DUMMYFUNCTION("""COMPUTED_VALUE"""),10.0)</f>
        <v>10</v>
      </c>
      <c r="C3877" s="11">
        <f>IFERROR(__xludf.DUMMYFUNCTION("""COMPUTED_VALUE"""),106656.0)</f>
        <v>106656</v>
      </c>
      <c r="D3877" s="11">
        <f>IFERROR(__xludf.DUMMYFUNCTION("""COMPUTED_VALUE"""),347.0)</f>
        <v>347</v>
      </c>
      <c r="E3877" s="9"/>
    </row>
    <row r="3878">
      <c r="A3878" s="11">
        <f>IFERROR(__xludf.DUMMYFUNCTION("""COMPUTED_VALUE"""),2021.0)</f>
        <v>2021</v>
      </c>
      <c r="B3878" s="11">
        <f>IFERROR(__xludf.DUMMYFUNCTION("""COMPUTED_VALUE"""),9.0)</f>
        <v>9</v>
      </c>
      <c r="C3878" s="11">
        <f>IFERROR(__xludf.DUMMYFUNCTION("""COMPUTED_VALUE"""),119244.0)</f>
        <v>119244</v>
      </c>
      <c r="D3878" s="11">
        <f>IFERROR(__xludf.DUMMYFUNCTION("""COMPUTED_VALUE"""),1769.0)</f>
        <v>1769</v>
      </c>
      <c r="E3878" s="9"/>
    </row>
    <row r="3879">
      <c r="A3879" s="11">
        <f>IFERROR(__xludf.DUMMYFUNCTION("""COMPUTED_VALUE"""),2021.0)</f>
        <v>2021</v>
      </c>
      <c r="B3879" s="11">
        <f>IFERROR(__xludf.DUMMYFUNCTION("""COMPUTED_VALUE"""),10.0)</f>
        <v>10</v>
      </c>
      <c r="C3879" s="11">
        <f>IFERROR(__xludf.DUMMYFUNCTION("""COMPUTED_VALUE"""),73236.0)</f>
        <v>73236</v>
      </c>
      <c r="D3879" s="11">
        <f>IFERROR(__xludf.DUMMYFUNCTION("""COMPUTED_VALUE"""),342.0)</f>
        <v>342</v>
      </c>
      <c r="E3879" s="9"/>
    </row>
    <row r="3880">
      <c r="A3880" s="11">
        <f>IFERROR(__xludf.DUMMYFUNCTION("""COMPUTED_VALUE"""),2021.0)</f>
        <v>2021</v>
      </c>
      <c r="B3880" s="11">
        <f>IFERROR(__xludf.DUMMYFUNCTION("""COMPUTED_VALUE"""),11.0)</f>
        <v>11</v>
      </c>
      <c r="C3880" s="11">
        <f>IFERROR(__xludf.DUMMYFUNCTION("""COMPUTED_VALUE"""),127582.0)</f>
        <v>127582</v>
      </c>
      <c r="D3880" s="11">
        <f>IFERROR(__xludf.DUMMYFUNCTION("""COMPUTED_VALUE"""),1415.0)</f>
        <v>1415</v>
      </c>
      <c r="E3880" s="9"/>
    </row>
    <row r="3881">
      <c r="A3881" s="11">
        <f>IFERROR(__xludf.DUMMYFUNCTION("""COMPUTED_VALUE"""),2021.0)</f>
        <v>2021</v>
      </c>
      <c r="B3881" s="11">
        <f>IFERROR(__xludf.DUMMYFUNCTION("""COMPUTED_VALUE"""),11.0)</f>
        <v>11</v>
      </c>
      <c r="C3881" s="11">
        <f>IFERROR(__xludf.DUMMYFUNCTION("""COMPUTED_VALUE"""),128210.0)</f>
        <v>128210</v>
      </c>
      <c r="D3881" s="11">
        <f>IFERROR(__xludf.DUMMYFUNCTION("""COMPUTED_VALUE"""),1100.0)</f>
        <v>1100</v>
      </c>
      <c r="E3881" s="9"/>
    </row>
    <row r="3882">
      <c r="A3882" s="11">
        <f>IFERROR(__xludf.DUMMYFUNCTION("""COMPUTED_VALUE"""),2021.0)</f>
        <v>2021</v>
      </c>
      <c r="B3882" s="11">
        <f>IFERROR(__xludf.DUMMYFUNCTION("""COMPUTED_VALUE"""),10.0)</f>
        <v>10</v>
      </c>
      <c r="C3882" s="11">
        <f>IFERROR(__xludf.DUMMYFUNCTION("""COMPUTED_VALUE"""),73187.0)</f>
        <v>73187</v>
      </c>
      <c r="D3882" s="11">
        <f>IFERROR(__xludf.DUMMYFUNCTION("""COMPUTED_VALUE"""),398.0)</f>
        <v>398</v>
      </c>
      <c r="E3882" s="9"/>
    </row>
    <row r="3883">
      <c r="A3883" s="11">
        <f>IFERROR(__xludf.DUMMYFUNCTION("""COMPUTED_VALUE"""),2021.0)</f>
        <v>2021</v>
      </c>
      <c r="B3883" s="11">
        <f>IFERROR(__xludf.DUMMYFUNCTION("""COMPUTED_VALUE"""),9.0)</f>
        <v>9</v>
      </c>
      <c r="C3883" s="11">
        <f>IFERROR(__xludf.DUMMYFUNCTION("""COMPUTED_VALUE"""),41681.0)</f>
        <v>41681</v>
      </c>
      <c r="D3883" s="11">
        <f>IFERROR(__xludf.DUMMYFUNCTION("""COMPUTED_VALUE"""),281.0)</f>
        <v>281</v>
      </c>
      <c r="E3883" s="9"/>
    </row>
    <row r="3884">
      <c r="A3884" s="11">
        <f>IFERROR(__xludf.DUMMYFUNCTION("""COMPUTED_VALUE"""),2021.0)</f>
        <v>2021</v>
      </c>
      <c r="B3884" s="11">
        <f>IFERROR(__xludf.DUMMYFUNCTION("""COMPUTED_VALUE"""),10.0)</f>
        <v>10</v>
      </c>
      <c r="C3884" s="11">
        <f>IFERROR(__xludf.DUMMYFUNCTION("""COMPUTED_VALUE"""),30624.0)</f>
        <v>30624</v>
      </c>
      <c r="D3884" s="11">
        <f>IFERROR(__xludf.DUMMYFUNCTION("""COMPUTED_VALUE"""),988.0)</f>
        <v>988</v>
      </c>
      <c r="E3884" s="9"/>
    </row>
    <row r="3885">
      <c r="A3885" s="11">
        <f>IFERROR(__xludf.DUMMYFUNCTION("""COMPUTED_VALUE"""),2021.0)</f>
        <v>2021</v>
      </c>
      <c r="B3885" s="11">
        <f>IFERROR(__xludf.DUMMYFUNCTION("""COMPUTED_VALUE"""),9.0)</f>
        <v>9</v>
      </c>
      <c r="C3885" s="11">
        <f>IFERROR(__xludf.DUMMYFUNCTION("""COMPUTED_VALUE"""),114267.0)</f>
        <v>114267</v>
      </c>
      <c r="D3885" s="11">
        <f>IFERROR(__xludf.DUMMYFUNCTION("""COMPUTED_VALUE"""),223.0)</f>
        <v>223</v>
      </c>
      <c r="E3885" s="9"/>
    </row>
    <row r="3886">
      <c r="A3886" s="11">
        <f>IFERROR(__xludf.DUMMYFUNCTION("""COMPUTED_VALUE"""),2021.0)</f>
        <v>2021</v>
      </c>
      <c r="B3886" s="11">
        <f>IFERROR(__xludf.DUMMYFUNCTION("""COMPUTED_VALUE"""),11.0)</f>
        <v>11</v>
      </c>
      <c r="C3886" s="11">
        <f>IFERROR(__xludf.DUMMYFUNCTION("""COMPUTED_VALUE"""),77441.0)</f>
        <v>77441</v>
      </c>
      <c r="D3886" s="11">
        <f>IFERROR(__xludf.DUMMYFUNCTION("""COMPUTED_VALUE"""),456.0)</f>
        <v>456</v>
      </c>
      <c r="E3886" s="9"/>
    </row>
    <row r="3887">
      <c r="A3887" s="11">
        <f>IFERROR(__xludf.DUMMYFUNCTION("""COMPUTED_VALUE"""),2021.0)</f>
        <v>2021</v>
      </c>
      <c r="B3887" s="11">
        <f>IFERROR(__xludf.DUMMYFUNCTION("""COMPUTED_VALUE"""),11.0)</f>
        <v>11</v>
      </c>
      <c r="C3887" s="11">
        <f>IFERROR(__xludf.DUMMYFUNCTION("""COMPUTED_VALUE"""),116636.0)</f>
        <v>116636</v>
      </c>
      <c r="D3887" s="11">
        <f>IFERROR(__xludf.DUMMYFUNCTION("""COMPUTED_VALUE"""),894.0)</f>
        <v>894</v>
      </c>
      <c r="E3887" s="9"/>
    </row>
    <row r="3888">
      <c r="A3888" s="11">
        <f>IFERROR(__xludf.DUMMYFUNCTION("""COMPUTED_VALUE"""),2021.0)</f>
        <v>2021</v>
      </c>
      <c r="B3888" s="11">
        <f>IFERROR(__xludf.DUMMYFUNCTION("""COMPUTED_VALUE"""),10.0)</f>
        <v>10</v>
      </c>
      <c r="C3888" s="11">
        <f>IFERROR(__xludf.DUMMYFUNCTION("""COMPUTED_VALUE"""),115198.0)</f>
        <v>115198</v>
      </c>
      <c r="D3888" s="11">
        <f>IFERROR(__xludf.DUMMYFUNCTION("""COMPUTED_VALUE"""),1853.0)</f>
        <v>1853</v>
      </c>
      <c r="E3888" s="9"/>
    </row>
    <row r="3889">
      <c r="A3889" s="11">
        <f>IFERROR(__xludf.DUMMYFUNCTION("""COMPUTED_VALUE"""),2021.0)</f>
        <v>2021</v>
      </c>
      <c r="B3889" s="11">
        <f>IFERROR(__xludf.DUMMYFUNCTION("""COMPUTED_VALUE"""),8.0)</f>
        <v>8</v>
      </c>
      <c r="C3889" s="11">
        <f>IFERROR(__xludf.DUMMYFUNCTION("""COMPUTED_VALUE"""),89845.0)</f>
        <v>89845</v>
      </c>
      <c r="D3889" s="11">
        <f>IFERROR(__xludf.DUMMYFUNCTION("""COMPUTED_VALUE"""),1515.0)</f>
        <v>1515</v>
      </c>
      <c r="E3889" s="9"/>
    </row>
    <row r="3890">
      <c r="A3890" s="11">
        <f>IFERROR(__xludf.DUMMYFUNCTION("""COMPUTED_VALUE"""),2021.0)</f>
        <v>2021</v>
      </c>
      <c r="B3890" s="11">
        <f>IFERROR(__xludf.DUMMYFUNCTION("""COMPUTED_VALUE"""),10.0)</f>
        <v>10</v>
      </c>
      <c r="C3890" s="11">
        <f>IFERROR(__xludf.DUMMYFUNCTION("""COMPUTED_VALUE"""),112248.0)</f>
        <v>112248</v>
      </c>
      <c r="D3890" s="11">
        <f>IFERROR(__xludf.DUMMYFUNCTION("""COMPUTED_VALUE"""),1382.0)</f>
        <v>1382</v>
      </c>
      <c r="E3890" s="9"/>
    </row>
    <row r="3891">
      <c r="A3891" s="11">
        <f>IFERROR(__xludf.DUMMYFUNCTION("""COMPUTED_VALUE"""),2021.0)</f>
        <v>2021</v>
      </c>
      <c r="B3891" s="11">
        <f>IFERROR(__xludf.DUMMYFUNCTION("""COMPUTED_VALUE"""),9.0)</f>
        <v>9</v>
      </c>
      <c r="C3891" s="11">
        <f>IFERROR(__xludf.DUMMYFUNCTION("""COMPUTED_VALUE"""),89849.0)</f>
        <v>89849</v>
      </c>
      <c r="D3891" s="11">
        <f>IFERROR(__xludf.DUMMYFUNCTION("""COMPUTED_VALUE"""),1725.0)</f>
        <v>1725</v>
      </c>
      <c r="E3891" s="9"/>
    </row>
    <row r="3892">
      <c r="A3892" s="11">
        <f>IFERROR(__xludf.DUMMYFUNCTION("""COMPUTED_VALUE"""),2021.0)</f>
        <v>2021</v>
      </c>
      <c r="B3892" s="11">
        <f>IFERROR(__xludf.DUMMYFUNCTION("""COMPUTED_VALUE"""),8.0)</f>
        <v>8</v>
      </c>
      <c r="C3892" s="11">
        <f>IFERROR(__xludf.DUMMYFUNCTION("""COMPUTED_VALUE"""),121709.0)</f>
        <v>121709</v>
      </c>
      <c r="D3892" s="11">
        <f>IFERROR(__xludf.DUMMYFUNCTION("""COMPUTED_VALUE"""),1638.0)</f>
        <v>1638</v>
      </c>
      <c r="E3892" s="9"/>
    </row>
    <row r="3893">
      <c r="A3893" s="11">
        <f>IFERROR(__xludf.DUMMYFUNCTION("""COMPUTED_VALUE"""),2021.0)</f>
        <v>2021</v>
      </c>
      <c r="B3893" s="11">
        <f>IFERROR(__xludf.DUMMYFUNCTION("""COMPUTED_VALUE"""),8.0)</f>
        <v>8</v>
      </c>
      <c r="C3893" s="11">
        <f>IFERROR(__xludf.DUMMYFUNCTION("""COMPUTED_VALUE"""),122653.0)</f>
        <v>122653</v>
      </c>
      <c r="D3893" s="11">
        <f>IFERROR(__xludf.DUMMYFUNCTION("""COMPUTED_VALUE"""),280.0)</f>
        <v>280</v>
      </c>
      <c r="E3893" s="9"/>
    </row>
    <row r="3894">
      <c r="A3894" s="11">
        <f>IFERROR(__xludf.DUMMYFUNCTION("""COMPUTED_VALUE"""),2021.0)</f>
        <v>2021</v>
      </c>
      <c r="B3894" s="11">
        <f>IFERROR(__xludf.DUMMYFUNCTION("""COMPUTED_VALUE"""),10.0)</f>
        <v>10</v>
      </c>
      <c r="C3894" s="11">
        <f>IFERROR(__xludf.DUMMYFUNCTION("""COMPUTED_VALUE"""),9759.0)</f>
        <v>9759</v>
      </c>
      <c r="D3894" s="11">
        <f>IFERROR(__xludf.DUMMYFUNCTION("""COMPUTED_VALUE"""),606.0)</f>
        <v>606</v>
      </c>
      <c r="E3894" s="9"/>
    </row>
    <row r="3895">
      <c r="A3895" s="11">
        <f>IFERROR(__xludf.DUMMYFUNCTION("""COMPUTED_VALUE"""),2021.0)</f>
        <v>2021</v>
      </c>
      <c r="B3895" s="11">
        <f>IFERROR(__xludf.DUMMYFUNCTION("""COMPUTED_VALUE"""),10.0)</f>
        <v>10</v>
      </c>
      <c r="C3895" s="11">
        <f>IFERROR(__xludf.DUMMYFUNCTION("""COMPUTED_VALUE"""),86782.0)</f>
        <v>86782</v>
      </c>
      <c r="D3895" s="11">
        <f>IFERROR(__xludf.DUMMYFUNCTION("""COMPUTED_VALUE"""),274.0)</f>
        <v>274</v>
      </c>
      <c r="E3895" s="9"/>
    </row>
    <row r="3896">
      <c r="A3896" s="11">
        <f>IFERROR(__xludf.DUMMYFUNCTION("""COMPUTED_VALUE"""),2021.0)</f>
        <v>2021</v>
      </c>
      <c r="B3896" s="11">
        <f>IFERROR(__xludf.DUMMYFUNCTION("""COMPUTED_VALUE"""),10.0)</f>
        <v>10</v>
      </c>
      <c r="C3896" s="11">
        <f>IFERROR(__xludf.DUMMYFUNCTION("""COMPUTED_VALUE"""),119246.0)</f>
        <v>119246</v>
      </c>
      <c r="D3896" s="11">
        <f>IFERROR(__xludf.DUMMYFUNCTION("""COMPUTED_VALUE"""),233.0)</f>
        <v>233</v>
      </c>
      <c r="E3896" s="9"/>
    </row>
    <row r="3897">
      <c r="A3897" s="11">
        <f>IFERROR(__xludf.DUMMYFUNCTION("""COMPUTED_VALUE"""),2021.0)</f>
        <v>2021</v>
      </c>
      <c r="B3897" s="11">
        <f>IFERROR(__xludf.DUMMYFUNCTION("""COMPUTED_VALUE"""),9.0)</f>
        <v>9</v>
      </c>
      <c r="C3897" s="11">
        <f>IFERROR(__xludf.DUMMYFUNCTION("""COMPUTED_VALUE"""),6047.0)</f>
        <v>6047</v>
      </c>
      <c r="D3897" s="11">
        <f>IFERROR(__xludf.DUMMYFUNCTION("""COMPUTED_VALUE"""),1131.0)</f>
        <v>1131</v>
      </c>
      <c r="E3897" s="9"/>
    </row>
    <row r="3898">
      <c r="A3898" s="11">
        <f>IFERROR(__xludf.DUMMYFUNCTION("""COMPUTED_VALUE"""),2021.0)</f>
        <v>2021</v>
      </c>
      <c r="B3898" s="11">
        <f>IFERROR(__xludf.DUMMYFUNCTION("""COMPUTED_VALUE"""),8.0)</f>
        <v>8</v>
      </c>
      <c r="C3898" s="11">
        <f>IFERROR(__xludf.DUMMYFUNCTION("""COMPUTED_VALUE"""),117526.0)</f>
        <v>117526</v>
      </c>
      <c r="D3898" s="11">
        <f>IFERROR(__xludf.DUMMYFUNCTION("""COMPUTED_VALUE"""),248.0)</f>
        <v>248</v>
      </c>
      <c r="E3898" s="9"/>
    </row>
    <row r="3899">
      <c r="A3899" s="11">
        <f>IFERROR(__xludf.DUMMYFUNCTION("""COMPUTED_VALUE"""),2021.0)</f>
        <v>2021</v>
      </c>
      <c r="B3899" s="11">
        <f>IFERROR(__xludf.DUMMYFUNCTION("""COMPUTED_VALUE"""),11.0)</f>
        <v>11</v>
      </c>
      <c r="C3899" s="11">
        <f>IFERROR(__xludf.DUMMYFUNCTION("""COMPUTED_VALUE"""),106671.0)</f>
        <v>106671</v>
      </c>
      <c r="D3899" s="11">
        <f>IFERROR(__xludf.DUMMYFUNCTION("""COMPUTED_VALUE"""),47.0)</f>
        <v>47</v>
      </c>
      <c r="E3899" s="9"/>
    </row>
    <row r="3900">
      <c r="A3900" s="11">
        <f>IFERROR(__xludf.DUMMYFUNCTION("""COMPUTED_VALUE"""),2021.0)</f>
        <v>2021</v>
      </c>
      <c r="B3900" s="11">
        <f>IFERROR(__xludf.DUMMYFUNCTION("""COMPUTED_VALUE"""),9.0)</f>
        <v>9</v>
      </c>
      <c r="C3900" s="11">
        <f>IFERROR(__xludf.DUMMYFUNCTION("""COMPUTED_VALUE"""),30889.0)</f>
        <v>30889</v>
      </c>
      <c r="D3900" s="11">
        <f>IFERROR(__xludf.DUMMYFUNCTION("""COMPUTED_VALUE"""),217.0)</f>
        <v>217</v>
      </c>
      <c r="E3900" s="9"/>
    </row>
    <row r="3901">
      <c r="A3901" s="11">
        <f>IFERROR(__xludf.DUMMYFUNCTION("""COMPUTED_VALUE"""),2021.0)</f>
        <v>2021</v>
      </c>
      <c r="B3901" s="11">
        <f>IFERROR(__xludf.DUMMYFUNCTION("""COMPUTED_VALUE"""),11.0)</f>
        <v>11</v>
      </c>
      <c r="C3901" s="11">
        <f>IFERROR(__xludf.DUMMYFUNCTION("""COMPUTED_VALUE"""),80634.0)</f>
        <v>80634</v>
      </c>
      <c r="D3901" s="11">
        <f>IFERROR(__xludf.DUMMYFUNCTION("""COMPUTED_VALUE"""),1327.0)</f>
        <v>1327</v>
      </c>
      <c r="E3901" s="9"/>
    </row>
    <row r="3902">
      <c r="A3902" s="11">
        <f>IFERROR(__xludf.DUMMYFUNCTION("""COMPUTED_VALUE"""),2021.0)</f>
        <v>2021</v>
      </c>
      <c r="B3902" s="11">
        <f>IFERROR(__xludf.DUMMYFUNCTION("""COMPUTED_VALUE"""),9.0)</f>
        <v>9</v>
      </c>
      <c r="C3902" s="11">
        <f>IFERROR(__xludf.DUMMYFUNCTION("""COMPUTED_VALUE"""),114269.0)</f>
        <v>114269</v>
      </c>
      <c r="D3902" s="11">
        <f>IFERROR(__xludf.DUMMYFUNCTION("""COMPUTED_VALUE"""),1689.0)</f>
        <v>1689</v>
      </c>
      <c r="E3902" s="9"/>
    </row>
    <row r="3903">
      <c r="A3903" s="11">
        <f>IFERROR(__xludf.DUMMYFUNCTION("""COMPUTED_VALUE"""),2021.0)</f>
        <v>2021</v>
      </c>
      <c r="B3903" s="11">
        <f>IFERROR(__xludf.DUMMYFUNCTION("""COMPUTED_VALUE"""),9.0)</f>
        <v>9</v>
      </c>
      <c r="C3903" s="11">
        <f>IFERROR(__xludf.DUMMYFUNCTION("""COMPUTED_VALUE"""),84034.0)</f>
        <v>84034</v>
      </c>
      <c r="D3903" s="11">
        <f>IFERROR(__xludf.DUMMYFUNCTION("""COMPUTED_VALUE"""),1792.0)</f>
        <v>1792</v>
      </c>
      <c r="E3903" s="9"/>
    </row>
    <row r="3904">
      <c r="A3904" s="11">
        <f>IFERROR(__xludf.DUMMYFUNCTION("""COMPUTED_VALUE"""),2021.0)</f>
        <v>2021</v>
      </c>
      <c r="B3904" s="11">
        <f>IFERROR(__xludf.DUMMYFUNCTION("""COMPUTED_VALUE"""),11.0)</f>
        <v>11</v>
      </c>
      <c r="C3904" s="11">
        <f>IFERROR(__xludf.DUMMYFUNCTION("""COMPUTED_VALUE"""),103271.0)</f>
        <v>103271</v>
      </c>
      <c r="D3904" s="11">
        <f>IFERROR(__xludf.DUMMYFUNCTION("""COMPUTED_VALUE"""),1276.0)</f>
        <v>1276</v>
      </c>
      <c r="E3904" s="9"/>
    </row>
    <row r="3905">
      <c r="A3905" s="11">
        <f>IFERROR(__xludf.DUMMYFUNCTION("""COMPUTED_VALUE"""),2021.0)</f>
        <v>2021</v>
      </c>
      <c r="B3905" s="11">
        <f>IFERROR(__xludf.DUMMYFUNCTION("""COMPUTED_VALUE"""),10.0)</f>
        <v>10</v>
      </c>
      <c r="C3905" s="11">
        <f>IFERROR(__xludf.DUMMYFUNCTION("""COMPUTED_VALUE"""),72248.0)</f>
        <v>72248</v>
      </c>
      <c r="D3905" s="11">
        <f>IFERROR(__xludf.DUMMYFUNCTION("""COMPUTED_VALUE"""),1096.0)</f>
        <v>1096</v>
      </c>
      <c r="E3905" s="9"/>
    </row>
    <row r="3906">
      <c r="A3906" s="11">
        <f>IFERROR(__xludf.DUMMYFUNCTION("""COMPUTED_VALUE"""),2021.0)</f>
        <v>2021</v>
      </c>
      <c r="B3906" s="11">
        <f>IFERROR(__xludf.DUMMYFUNCTION("""COMPUTED_VALUE"""),11.0)</f>
        <v>11</v>
      </c>
      <c r="C3906" s="11">
        <f>IFERROR(__xludf.DUMMYFUNCTION("""COMPUTED_VALUE"""),7672.0)</f>
        <v>7672</v>
      </c>
      <c r="D3906" s="11">
        <f>IFERROR(__xludf.DUMMYFUNCTION("""COMPUTED_VALUE"""),458.0)</f>
        <v>458</v>
      </c>
      <c r="E3906" s="9"/>
    </row>
    <row r="3907">
      <c r="A3907" s="11">
        <f>IFERROR(__xludf.DUMMYFUNCTION("""COMPUTED_VALUE"""),2021.0)</f>
        <v>2021</v>
      </c>
      <c r="B3907" s="11">
        <f>IFERROR(__xludf.DUMMYFUNCTION("""COMPUTED_VALUE"""),8.0)</f>
        <v>8</v>
      </c>
      <c r="C3907" s="11">
        <f>IFERROR(__xludf.DUMMYFUNCTION("""COMPUTED_VALUE"""),82844.0)</f>
        <v>82844</v>
      </c>
      <c r="D3907" s="11">
        <f>IFERROR(__xludf.DUMMYFUNCTION("""COMPUTED_VALUE"""),1515.0)</f>
        <v>1515</v>
      </c>
      <c r="E3907" s="9"/>
    </row>
    <row r="3908">
      <c r="A3908" s="11">
        <f>IFERROR(__xludf.DUMMYFUNCTION("""COMPUTED_VALUE"""),2021.0)</f>
        <v>2021</v>
      </c>
      <c r="B3908" s="11">
        <f>IFERROR(__xludf.DUMMYFUNCTION("""COMPUTED_VALUE"""),9.0)</f>
        <v>9</v>
      </c>
      <c r="C3908" s="11">
        <f>IFERROR(__xludf.DUMMYFUNCTION("""COMPUTED_VALUE"""),7685.0)</f>
        <v>7685</v>
      </c>
      <c r="D3908" s="11">
        <f>IFERROR(__xludf.DUMMYFUNCTION("""COMPUTED_VALUE"""),1614.0)</f>
        <v>1614</v>
      </c>
      <c r="E3908" s="9"/>
    </row>
    <row r="3909">
      <c r="A3909" s="11">
        <f>IFERROR(__xludf.DUMMYFUNCTION("""COMPUTED_VALUE"""),2021.0)</f>
        <v>2021</v>
      </c>
      <c r="B3909" s="11">
        <f>IFERROR(__xludf.DUMMYFUNCTION("""COMPUTED_VALUE"""),9.0)</f>
        <v>9</v>
      </c>
      <c r="C3909" s="11">
        <f>IFERROR(__xludf.DUMMYFUNCTION("""COMPUTED_VALUE"""),7673.0)</f>
        <v>7673</v>
      </c>
      <c r="D3909" s="11">
        <f>IFERROR(__xludf.DUMMYFUNCTION("""COMPUTED_VALUE"""),1872.0)</f>
        <v>1872</v>
      </c>
      <c r="E3909" s="9"/>
    </row>
    <row r="3910">
      <c r="A3910" s="11">
        <f>IFERROR(__xludf.DUMMYFUNCTION("""COMPUTED_VALUE"""),2021.0)</f>
        <v>2021</v>
      </c>
      <c r="B3910" s="11">
        <f>IFERROR(__xludf.DUMMYFUNCTION("""COMPUTED_VALUE"""),8.0)</f>
        <v>8</v>
      </c>
      <c r="C3910" s="11">
        <f>IFERROR(__xludf.DUMMYFUNCTION("""COMPUTED_VALUE"""),72328.0)</f>
        <v>72328</v>
      </c>
      <c r="D3910" s="11">
        <f>IFERROR(__xludf.DUMMYFUNCTION("""COMPUTED_VALUE"""),744.0)</f>
        <v>744</v>
      </c>
      <c r="E3910" s="9"/>
    </row>
    <row r="3911">
      <c r="A3911" s="11">
        <f>IFERROR(__xludf.DUMMYFUNCTION("""COMPUTED_VALUE"""),2021.0)</f>
        <v>2021</v>
      </c>
      <c r="B3911" s="11">
        <f>IFERROR(__xludf.DUMMYFUNCTION("""COMPUTED_VALUE"""),11.0)</f>
        <v>11</v>
      </c>
      <c r="C3911" s="11">
        <f>IFERROR(__xludf.DUMMYFUNCTION("""COMPUTED_VALUE"""),87967.0)</f>
        <v>87967</v>
      </c>
      <c r="D3911" s="11">
        <f>IFERROR(__xludf.DUMMYFUNCTION("""COMPUTED_VALUE"""),1318.0)</f>
        <v>1318</v>
      </c>
      <c r="E3911" s="9"/>
    </row>
    <row r="3912">
      <c r="A3912" s="11">
        <f>IFERROR(__xludf.DUMMYFUNCTION("""COMPUTED_VALUE"""),2021.0)</f>
        <v>2021</v>
      </c>
      <c r="B3912" s="11">
        <f>IFERROR(__xludf.DUMMYFUNCTION("""COMPUTED_VALUE"""),11.0)</f>
        <v>11</v>
      </c>
      <c r="C3912" s="11">
        <f>IFERROR(__xludf.DUMMYFUNCTION("""COMPUTED_VALUE"""),113193.0)</f>
        <v>113193</v>
      </c>
      <c r="D3912" s="11">
        <f>IFERROR(__xludf.DUMMYFUNCTION("""COMPUTED_VALUE"""),1613.0)</f>
        <v>1613</v>
      </c>
      <c r="E3912" s="9"/>
    </row>
    <row r="3913">
      <c r="A3913" s="11">
        <f>IFERROR(__xludf.DUMMYFUNCTION("""COMPUTED_VALUE"""),2021.0)</f>
        <v>2021</v>
      </c>
      <c r="B3913" s="11">
        <f>IFERROR(__xludf.DUMMYFUNCTION("""COMPUTED_VALUE"""),10.0)</f>
        <v>10</v>
      </c>
      <c r="C3913" s="11">
        <f>IFERROR(__xludf.DUMMYFUNCTION("""COMPUTED_VALUE"""),82821.0)</f>
        <v>82821</v>
      </c>
      <c r="D3913" s="11">
        <f>IFERROR(__xludf.DUMMYFUNCTION("""COMPUTED_VALUE"""),1650.0)</f>
        <v>1650</v>
      </c>
      <c r="E3913" s="9"/>
    </row>
    <row r="3914">
      <c r="A3914" s="11">
        <f>IFERROR(__xludf.DUMMYFUNCTION("""COMPUTED_VALUE"""),2021.0)</f>
        <v>2021</v>
      </c>
      <c r="B3914" s="11">
        <f>IFERROR(__xludf.DUMMYFUNCTION("""COMPUTED_VALUE"""),9.0)</f>
        <v>9</v>
      </c>
      <c r="C3914" s="11">
        <f>IFERROR(__xludf.DUMMYFUNCTION("""COMPUTED_VALUE"""),87964.0)</f>
        <v>87964</v>
      </c>
      <c r="D3914" s="11">
        <f>IFERROR(__xludf.DUMMYFUNCTION("""COMPUTED_VALUE"""),1430.0)</f>
        <v>1430</v>
      </c>
      <c r="E3914" s="9"/>
    </row>
    <row r="3915">
      <c r="A3915" s="11">
        <f>IFERROR(__xludf.DUMMYFUNCTION("""COMPUTED_VALUE"""),2021.0)</f>
        <v>2021</v>
      </c>
      <c r="B3915" s="11">
        <f>IFERROR(__xludf.DUMMYFUNCTION("""COMPUTED_VALUE"""),10.0)</f>
        <v>10</v>
      </c>
      <c r="C3915" s="11">
        <f>IFERROR(__xludf.DUMMYFUNCTION("""COMPUTED_VALUE"""),201751.0)</f>
        <v>201751</v>
      </c>
      <c r="D3915" s="11">
        <f>IFERROR(__xludf.DUMMYFUNCTION("""COMPUTED_VALUE"""),800.0)</f>
        <v>800</v>
      </c>
      <c r="E3915" s="9"/>
    </row>
    <row r="3916">
      <c r="A3916" s="11">
        <f>IFERROR(__xludf.DUMMYFUNCTION("""COMPUTED_VALUE"""),2021.0)</f>
        <v>2021</v>
      </c>
      <c r="B3916" s="11">
        <f>IFERROR(__xludf.DUMMYFUNCTION("""COMPUTED_VALUE"""),10.0)</f>
        <v>10</v>
      </c>
      <c r="C3916" s="11">
        <f>IFERROR(__xludf.DUMMYFUNCTION("""COMPUTED_VALUE"""),79057.0)</f>
        <v>79057</v>
      </c>
      <c r="D3916" s="11">
        <f>IFERROR(__xludf.DUMMYFUNCTION("""COMPUTED_VALUE"""),255.0)</f>
        <v>255</v>
      </c>
      <c r="E3916" s="9"/>
    </row>
    <row r="3917">
      <c r="A3917" s="11">
        <f>IFERROR(__xludf.DUMMYFUNCTION("""COMPUTED_VALUE"""),2021.0)</f>
        <v>2021</v>
      </c>
      <c r="B3917" s="11">
        <f>IFERROR(__xludf.DUMMYFUNCTION("""COMPUTED_VALUE"""),11.0)</f>
        <v>11</v>
      </c>
      <c r="C3917" s="11">
        <f>IFERROR(__xludf.DUMMYFUNCTION("""COMPUTED_VALUE"""),41225.0)</f>
        <v>41225</v>
      </c>
      <c r="D3917" s="11">
        <f>IFERROR(__xludf.DUMMYFUNCTION("""COMPUTED_VALUE"""),1667.0)</f>
        <v>1667</v>
      </c>
      <c r="E3917" s="9"/>
    </row>
    <row r="3918">
      <c r="A3918" s="11">
        <f>IFERROR(__xludf.DUMMYFUNCTION("""COMPUTED_VALUE"""),2021.0)</f>
        <v>2021</v>
      </c>
      <c r="B3918" s="11">
        <f>IFERROR(__xludf.DUMMYFUNCTION("""COMPUTED_VALUE"""),8.0)</f>
        <v>8</v>
      </c>
      <c r="C3918" s="11">
        <f>IFERROR(__xludf.DUMMYFUNCTION("""COMPUTED_VALUE"""),113300.0)</f>
        <v>113300</v>
      </c>
      <c r="D3918" s="11">
        <f>IFERROR(__xludf.DUMMYFUNCTION("""COMPUTED_VALUE"""),1252.0)</f>
        <v>1252</v>
      </c>
      <c r="E3918" s="9"/>
    </row>
    <row r="3919">
      <c r="A3919" s="11">
        <f>IFERROR(__xludf.DUMMYFUNCTION("""COMPUTED_VALUE"""),2021.0)</f>
        <v>2021</v>
      </c>
      <c r="B3919" s="11">
        <f>IFERROR(__xludf.DUMMYFUNCTION("""COMPUTED_VALUE"""),9.0)</f>
        <v>9</v>
      </c>
      <c r="C3919" s="11">
        <f>IFERROR(__xludf.DUMMYFUNCTION("""COMPUTED_VALUE"""),113299.0)</f>
        <v>113299</v>
      </c>
      <c r="D3919" s="11">
        <f>IFERROR(__xludf.DUMMYFUNCTION("""COMPUTED_VALUE"""),1172.0)</f>
        <v>1172</v>
      </c>
      <c r="E3919" s="9"/>
    </row>
    <row r="3920">
      <c r="A3920" s="11">
        <f>IFERROR(__xludf.DUMMYFUNCTION("""COMPUTED_VALUE"""),2021.0)</f>
        <v>2021</v>
      </c>
      <c r="B3920" s="11">
        <f>IFERROR(__xludf.DUMMYFUNCTION("""COMPUTED_VALUE"""),8.0)</f>
        <v>8</v>
      </c>
      <c r="C3920" s="11">
        <f>IFERROR(__xludf.DUMMYFUNCTION("""COMPUTED_VALUE"""),105475.0)</f>
        <v>105475</v>
      </c>
      <c r="D3920" s="11">
        <f>IFERROR(__xludf.DUMMYFUNCTION("""COMPUTED_VALUE"""),809.0)</f>
        <v>809</v>
      </c>
      <c r="E3920" s="9"/>
    </row>
    <row r="3921">
      <c r="A3921" s="11">
        <f>IFERROR(__xludf.DUMMYFUNCTION("""COMPUTED_VALUE"""),2021.0)</f>
        <v>2021</v>
      </c>
      <c r="B3921" s="11">
        <f>IFERROR(__xludf.DUMMYFUNCTION("""COMPUTED_VALUE"""),9.0)</f>
        <v>9</v>
      </c>
      <c r="C3921" s="11">
        <f>IFERROR(__xludf.DUMMYFUNCTION("""COMPUTED_VALUE"""),114724.0)</f>
        <v>114724</v>
      </c>
      <c r="D3921" s="11">
        <f>IFERROR(__xludf.DUMMYFUNCTION("""COMPUTED_VALUE"""),225.0)</f>
        <v>225</v>
      </c>
      <c r="E3921" s="9"/>
    </row>
    <row r="3922">
      <c r="A3922" s="11">
        <f>IFERROR(__xludf.DUMMYFUNCTION("""COMPUTED_VALUE"""),2021.0)</f>
        <v>2021</v>
      </c>
      <c r="B3922" s="11">
        <f>IFERROR(__xludf.DUMMYFUNCTION("""COMPUTED_VALUE"""),8.0)</f>
        <v>8</v>
      </c>
      <c r="C3922" s="11">
        <f>IFERROR(__xludf.DUMMYFUNCTION("""COMPUTED_VALUE"""),113298.0)</f>
        <v>113298</v>
      </c>
      <c r="D3922" s="11">
        <f>IFERROR(__xludf.DUMMYFUNCTION("""COMPUTED_VALUE"""),1919.0)</f>
        <v>1919</v>
      </c>
      <c r="E3922" s="9"/>
    </row>
    <row r="3923">
      <c r="A3923" s="11">
        <f>IFERROR(__xludf.DUMMYFUNCTION("""COMPUTED_VALUE"""),2021.0)</f>
        <v>2021</v>
      </c>
      <c r="B3923" s="11">
        <f>IFERROR(__xludf.DUMMYFUNCTION("""COMPUTED_VALUE"""),10.0)</f>
        <v>10</v>
      </c>
      <c r="C3923" s="11">
        <f>IFERROR(__xludf.DUMMYFUNCTION("""COMPUTED_VALUE"""),82838.0)</f>
        <v>82838</v>
      </c>
      <c r="D3923" s="11">
        <f>IFERROR(__xludf.DUMMYFUNCTION("""COMPUTED_VALUE"""),1861.0)</f>
        <v>1861</v>
      </c>
      <c r="E3923" s="9"/>
    </row>
    <row r="3924">
      <c r="A3924" s="11">
        <f>IFERROR(__xludf.DUMMYFUNCTION("""COMPUTED_VALUE"""),2021.0)</f>
        <v>2021</v>
      </c>
      <c r="B3924" s="11">
        <f>IFERROR(__xludf.DUMMYFUNCTION("""COMPUTED_VALUE"""),9.0)</f>
        <v>9</v>
      </c>
      <c r="C3924" s="11">
        <f>IFERROR(__xludf.DUMMYFUNCTION("""COMPUTED_VALUE"""),111960.0)</f>
        <v>111960</v>
      </c>
      <c r="D3924" s="11">
        <f>IFERROR(__xludf.DUMMYFUNCTION("""COMPUTED_VALUE"""),892.0)</f>
        <v>892</v>
      </c>
      <c r="E3924" s="9"/>
    </row>
    <row r="3925">
      <c r="A3925" s="11">
        <f>IFERROR(__xludf.DUMMYFUNCTION("""COMPUTED_VALUE"""),2021.0)</f>
        <v>2021</v>
      </c>
      <c r="B3925" s="11">
        <f>IFERROR(__xludf.DUMMYFUNCTION("""COMPUTED_VALUE"""),10.0)</f>
        <v>10</v>
      </c>
      <c r="C3925" s="11">
        <f>IFERROR(__xludf.DUMMYFUNCTION("""COMPUTED_VALUE"""),108840.0)</f>
        <v>108840</v>
      </c>
      <c r="D3925" s="11">
        <f>IFERROR(__xludf.DUMMYFUNCTION("""COMPUTED_VALUE"""),1176.0)</f>
        <v>1176</v>
      </c>
      <c r="E3925" s="9"/>
    </row>
    <row r="3926">
      <c r="A3926" s="11">
        <f>IFERROR(__xludf.DUMMYFUNCTION("""COMPUTED_VALUE"""),2021.0)</f>
        <v>2021</v>
      </c>
      <c r="B3926" s="11">
        <f>IFERROR(__xludf.DUMMYFUNCTION("""COMPUTED_VALUE"""),11.0)</f>
        <v>11</v>
      </c>
      <c r="C3926" s="11">
        <f>IFERROR(__xludf.DUMMYFUNCTION("""COMPUTED_VALUE"""),201044.0)</f>
        <v>201044</v>
      </c>
      <c r="D3926" s="11">
        <f>IFERROR(__xludf.DUMMYFUNCTION("""COMPUTED_VALUE"""),64.0)</f>
        <v>64</v>
      </c>
      <c r="E3926" s="9"/>
    </row>
    <row r="3927">
      <c r="A3927" s="11">
        <f>IFERROR(__xludf.DUMMYFUNCTION("""COMPUTED_VALUE"""),2021.0)</f>
        <v>2021</v>
      </c>
      <c r="B3927" s="11">
        <f>IFERROR(__xludf.DUMMYFUNCTION("""COMPUTED_VALUE"""),10.0)</f>
        <v>10</v>
      </c>
      <c r="C3927" s="11">
        <f>IFERROR(__xludf.DUMMYFUNCTION("""COMPUTED_VALUE"""),81880.0)</f>
        <v>81880</v>
      </c>
      <c r="D3927" s="11">
        <f>IFERROR(__xludf.DUMMYFUNCTION("""COMPUTED_VALUE"""),90.0)</f>
        <v>90</v>
      </c>
      <c r="E3927" s="9"/>
    </row>
    <row r="3928">
      <c r="A3928" s="11">
        <f>IFERROR(__xludf.DUMMYFUNCTION("""COMPUTED_VALUE"""),2021.0)</f>
        <v>2021</v>
      </c>
      <c r="B3928" s="11">
        <f>IFERROR(__xludf.DUMMYFUNCTION("""COMPUTED_VALUE"""),11.0)</f>
        <v>11</v>
      </c>
      <c r="C3928" s="11">
        <f>IFERROR(__xludf.DUMMYFUNCTION("""COMPUTED_VALUE"""),81873.0)</f>
        <v>81873</v>
      </c>
      <c r="D3928" s="11">
        <f>IFERROR(__xludf.DUMMYFUNCTION("""COMPUTED_VALUE"""),24.0)</f>
        <v>24</v>
      </c>
      <c r="E3928" s="9"/>
    </row>
    <row r="3929">
      <c r="A3929" s="11">
        <f>IFERROR(__xludf.DUMMYFUNCTION("""COMPUTED_VALUE"""),2021.0)</f>
        <v>2021</v>
      </c>
      <c r="B3929" s="11">
        <f>IFERROR(__xludf.DUMMYFUNCTION("""COMPUTED_VALUE"""),11.0)</f>
        <v>11</v>
      </c>
      <c r="C3929" s="11">
        <f>IFERROR(__xludf.DUMMYFUNCTION("""COMPUTED_VALUE"""),117613.0)</f>
        <v>117613</v>
      </c>
      <c r="D3929" s="11">
        <f>IFERROR(__xludf.DUMMYFUNCTION("""COMPUTED_VALUE"""),358.0)</f>
        <v>358</v>
      </c>
      <c r="E3929" s="9"/>
    </row>
    <row r="3930">
      <c r="A3930" s="11">
        <f>IFERROR(__xludf.DUMMYFUNCTION("""COMPUTED_VALUE"""),2021.0)</f>
        <v>2021</v>
      </c>
      <c r="B3930" s="11">
        <f>IFERROR(__xludf.DUMMYFUNCTION("""COMPUTED_VALUE"""),10.0)</f>
        <v>10</v>
      </c>
      <c r="C3930" s="11">
        <f>IFERROR(__xludf.DUMMYFUNCTION("""COMPUTED_VALUE"""),81876.0)</f>
        <v>81876</v>
      </c>
      <c r="D3930" s="11">
        <f>IFERROR(__xludf.DUMMYFUNCTION("""COMPUTED_VALUE"""),517.0)</f>
        <v>517</v>
      </c>
      <c r="E3930" s="9"/>
    </row>
    <row r="3931">
      <c r="A3931" s="11">
        <f>IFERROR(__xludf.DUMMYFUNCTION("""COMPUTED_VALUE"""),2021.0)</f>
        <v>2021</v>
      </c>
      <c r="B3931" s="11">
        <f>IFERROR(__xludf.DUMMYFUNCTION("""COMPUTED_VALUE"""),10.0)</f>
        <v>10</v>
      </c>
      <c r="C3931" s="11">
        <f>IFERROR(__xludf.DUMMYFUNCTION("""COMPUTED_VALUE"""),104050.0)</f>
        <v>104050</v>
      </c>
      <c r="D3931" s="11">
        <f>IFERROR(__xludf.DUMMYFUNCTION("""COMPUTED_VALUE"""),180.0)</f>
        <v>180</v>
      </c>
      <c r="E3931" s="9"/>
    </row>
    <row r="3932">
      <c r="A3932" s="11">
        <f>IFERROR(__xludf.DUMMYFUNCTION("""COMPUTED_VALUE"""),2021.0)</f>
        <v>2021</v>
      </c>
      <c r="B3932" s="11">
        <f>IFERROR(__xludf.DUMMYFUNCTION("""COMPUTED_VALUE"""),10.0)</f>
        <v>10</v>
      </c>
      <c r="C3932" s="11">
        <f>IFERROR(__xludf.DUMMYFUNCTION("""COMPUTED_VALUE"""),111934.0)</f>
        <v>111934</v>
      </c>
      <c r="D3932" s="11">
        <f>IFERROR(__xludf.DUMMYFUNCTION("""COMPUTED_VALUE"""),1293.0)</f>
        <v>1293</v>
      </c>
      <c r="E3932" s="9"/>
    </row>
    <row r="3933">
      <c r="A3933" s="11">
        <f>IFERROR(__xludf.DUMMYFUNCTION("""COMPUTED_VALUE"""),2021.0)</f>
        <v>2021</v>
      </c>
      <c r="B3933" s="11">
        <f>IFERROR(__xludf.DUMMYFUNCTION("""COMPUTED_VALUE"""),8.0)</f>
        <v>8</v>
      </c>
      <c r="C3933" s="11">
        <f>IFERROR(__xludf.DUMMYFUNCTION("""COMPUTED_VALUE"""),29819.0)</f>
        <v>29819</v>
      </c>
      <c r="D3933" s="11">
        <f>IFERROR(__xludf.DUMMYFUNCTION("""COMPUTED_VALUE"""),1838.0)</f>
        <v>1838</v>
      </c>
      <c r="E3933" s="9"/>
    </row>
    <row r="3934">
      <c r="A3934" s="11">
        <f>IFERROR(__xludf.DUMMYFUNCTION("""COMPUTED_VALUE"""),2021.0)</f>
        <v>2021</v>
      </c>
      <c r="B3934" s="11">
        <f>IFERROR(__xludf.DUMMYFUNCTION("""COMPUTED_VALUE"""),9.0)</f>
        <v>9</v>
      </c>
      <c r="C3934" s="11">
        <f>IFERROR(__xludf.DUMMYFUNCTION("""COMPUTED_VALUE"""),120392.0)</f>
        <v>120392</v>
      </c>
      <c r="D3934" s="11">
        <f>IFERROR(__xludf.DUMMYFUNCTION("""COMPUTED_VALUE"""),1919.0)</f>
        <v>1919</v>
      </c>
      <c r="E3934" s="9"/>
    </row>
    <row r="3935">
      <c r="A3935" s="11">
        <f>IFERROR(__xludf.DUMMYFUNCTION("""COMPUTED_VALUE"""),2021.0)</f>
        <v>2021</v>
      </c>
      <c r="B3935" s="11">
        <f>IFERROR(__xludf.DUMMYFUNCTION("""COMPUTED_VALUE"""),9.0)</f>
        <v>9</v>
      </c>
      <c r="C3935" s="11">
        <f>IFERROR(__xludf.DUMMYFUNCTION("""COMPUTED_VALUE"""),29820.0)</f>
        <v>29820</v>
      </c>
      <c r="D3935" s="11">
        <f>IFERROR(__xludf.DUMMYFUNCTION("""COMPUTED_VALUE"""),1040.0)</f>
        <v>1040</v>
      </c>
      <c r="E3935" s="9"/>
    </row>
    <row r="3936">
      <c r="A3936" s="11">
        <f>IFERROR(__xludf.DUMMYFUNCTION("""COMPUTED_VALUE"""),2021.0)</f>
        <v>2021</v>
      </c>
      <c r="B3936" s="11">
        <f>IFERROR(__xludf.DUMMYFUNCTION("""COMPUTED_VALUE"""),11.0)</f>
        <v>11</v>
      </c>
      <c r="C3936" s="11">
        <f>IFERROR(__xludf.DUMMYFUNCTION("""COMPUTED_VALUE"""),83755.0)</f>
        <v>83755</v>
      </c>
      <c r="D3936" s="11">
        <f>IFERROR(__xludf.DUMMYFUNCTION("""COMPUTED_VALUE"""),1199.0)</f>
        <v>1199</v>
      </c>
      <c r="E3936" s="9"/>
    </row>
    <row r="3937">
      <c r="A3937" s="11">
        <f>IFERROR(__xludf.DUMMYFUNCTION("""COMPUTED_VALUE"""),2021.0)</f>
        <v>2021</v>
      </c>
      <c r="B3937" s="11">
        <f>IFERROR(__xludf.DUMMYFUNCTION("""COMPUTED_VALUE"""),8.0)</f>
        <v>8</v>
      </c>
      <c r="C3937" s="11">
        <f>IFERROR(__xludf.DUMMYFUNCTION("""COMPUTED_VALUE"""),111941.0)</f>
        <v>111941</v>
      </c>
      <c r="D3937" s="11">
        <f>IFERROR(__xludf.DUMMYFUNCTION("""COMPUTED_VALUE"""),243.0)</f>
        <v>243</v>
      </c>
      <c r="E3937" s="9"/>
    </row>
    <row r="3938">
      <c r="A3938" s="11">
        <f>IFERROR(__xludf.DUMMYFUNCTION("""COMPUTED_VALUE"""),2021.0)</f>
        <v>2021</v>
      </c>
      <c r="B3938" s="11">
        <f>IFERROR(__xludf.DUMMYFUNCTION("""COMPUTED_VALUE"""),11.0)</f>
        <v>11</v>
      </c>
      <c r="C3938" s="11">
        <f>IFERROR(__xludf.DUMMYFUNCTION("""COMPUTED_VALUE"""),80858.0)</f>
        <v>80858</v>
      </c>
      <c r="D3938" s="11">
        <f>IFERROR(__xludf.DUMMYFUNCTION("""COMPUTED_VALUE"""),911.0)</f>
        <v>911</v>
      </c>
      <c r="E3938" s="9"/>
    </row>
    <row r="3939">
      <c r="A3939" s="11">
        <f>IFERROR(__xludf.DUMMYFUNCTION("""COMPUTED_VALUE"""),2021.0)</f>
        <v>2021</v>
      </c>
      <c r="B3939" s="11">
        <f>IFERROR(__xludf.DUMMYFUNCTION("""COMPUTED_VALUE"""),9.0)</f>
        <v>9</v>
      </c>
      <c r="C3939" s="11">
        <f>IFERROR(__xludf.DUMMYFUNCTION("""COMPUTED_VALUE"""),81902.0)</f>
        <v>81902</v>
      </c>
      <c r="D3939" s="11">
        <f>IFERROR(__xludf.DUMMYFUNCTION("""COMPUTED_VALUE"""),732.0)</f>
        <v>732</v>
      </c>
      <c r="E3939" s="9"/>
    </row>
    <row r="3940">
      <c r="A3940" s="11">
        <f>IFERROR(__xludf.DUMMYFUNCTION("""COMPUTED_VALUE"""),2021.0)</f>
        <v>2021</v>
      </c>
      <c r="B3940" s="11">
        <f>IFERROR(__xludf.DUMMYFUNCTION("""COMPUTED_VALUE"""),9.0)</f>
        <v>9</v>
      </c>
      <c r="C3940" s="11">
        <f>IFERROR(__xludf.DUMMYFUNCTION("""COMPUTED_VALUE"""),83754.0)</f>
        <v>83754</v>
      </c>
      <c r="D3940" s="11">
        <f>IFERROR(__xludf.DUMMYFUNCTION("""COMPUTED_VALUE"""),3.0)</f>
        <v>3</v>
      </c>
      <c r="E3940" s="9"/>
    </row>
    <row r="3941">
      <c r="A3941" s="11">
        <f>IFERROR(__xludf.DUMMYFUNCTION("""COMPUTED_VALUE"""),2021.0)</f>
        <v>2021</v>
      </c>
      <c r="B3941" s="11">
        <f>IFERROR(__xludf.DUMMYFUNCTION("""COMPUTED_VALUE"""),11.0)</f>
        <v>11</v>
      </c>
      <c r="C3941" s="11">
        <f>IFERROR(__xludf.DUMMYFUNCTION("""COMPUTED_VALUE"""),116233.0)</f>
        <v>116233</v>
      </c>
      <c r="D3941" s="11">
        <f>IFERROR(__xludf.DUMMYFUNCTION("""COMPUTED_VALUE"""),737.0)</f>
        <v>737</v>
      </c>
      <c r="E3941" s="9"/>
    </row>
    <row r="3942">
      <c r="A3942" s="11">
        <f>IFERROR(__xludf.DUMMYFUNCTION("""COMPUTED_VALUE"""),2021.0)</f>
        <v>2021</v>
      </c>
      <c r="B3942" s="11">
        <f>IFERROR(__xludf.DUMMYFUNCTION("""COMPUTED_VALUE"""),10.0)</f>
        <v>10</v>
      </c>
      <c r="C3942" s="11">
        <f>IFERROR(__xludf.DUMMYFUNCTION("""COMPUTED_VALUE"""),112192.0)</f>
        <v>112192</v>
      </c>
      <c r="D3942" s="11">
        <f>IFERROR(__xludf.DUMMYFUNCTION("""COMPUTED_VALUE"""),1782.0)</f>
        <v>1782</v>
      </c>
      <c r="E3942" s="9"/>
    </row>
    <row r="3943">
      <c r="A3943" s="11">
        <f>IFERROR(__xludf.DUMMYFUNCTION("""COMPUTED_VALUE"""),2021.0)</f>
        <v>2021</v>
      </c>
      <c r="B3943" s="11">
        <f>IFERROR(__xludf.DUMMYFUNCTION("""COMPUTED_VALUE"""),10.0)</f>
        <v>10</v>
      </c>
      <c r="C3943" s="11">
        <f>IFERROR(__xludf.DUMMYFUNCTION("""COMPUTED_VALUE"""),119728.0)</f>
        <v>119728</v>
      </c>
      <c r="D3943" s="11">
        <f>IFERROR(__xludf.DUMMYFUNCTION("""COMPUTED_VALUE"""),691.0)</f>
        <v>691</v>
      </c>
      <c r="E3943" s="9"/>
    </row>
    <row r="3944">
      <c r="A3944" s="11">
        <f>IFERROR(__xludf.DUMMYFUNCTION("""COMPUTED_VALUE"""),2021.0)</f>
        <v>2021</v>
      </c>
      <c r="B3944" s="11">
        <f>IFERROR(__xludf.DUMMYFUNCTION("""COMPUTED_VALUE"""),10.0)</f>
        <v>10</v>
      </c>
      <c r="C3944" s="11">
        <f>IFERROR(__xludf.DUMMYFUNCTION("""COMPUTED_VALUE"""),81901.0)</f>
        <v>81901</v>
      </c>
      <c r="D3944" s="11">
        <f>IFERROR(__xludf.DUMMYFUNCTION("""COMPUTED_VALUE"""),569.0)</f>
        <v>569</v>
      </c>
      <c r="E3944" s="9"/>
    </row>
    <row r="3945">
      <c r="A3945" s="11">
        <f>IFERROR(__xludf.DUMMYFUNCTION("""COMPUTED_VALUE"""),2021.0)</f>
        <v>2021</v>
      </c>
      <c r="B3945" s="11">
        <f>IFERROR(__xludf.DUMMYFUNCTION("""COMPUTED_VALUE"""),11.0)</f>
        <v>11</v>
      </c>
      <c r="C3945" s="11">
        <f>IFERROR(__xludf.DUMMYFUNCTION("""COMPUTED_VALUE"""),141878.0)</f>
        <v>141878</v>
      </c>
      <c r="D3945" s="11">
        <f>IFERROR(__xludf.DUMMYFUNCTION("""COMPUTED_VALUE"""),860.0)</f>
        <v>860</v>
      </c>
      <c r="E3945" s="9"/>
    </row>
    <row r="3946">
      <c r="A3946" s="11">
        <f>IFERROR(__xludf.DUMMYFUNCTION("""COMPUTED_VALUE"""),2021.0)</f>
        <v>2021</v>
      </c>
      <c r="B3946" s="11">
        <f>IFERROR(__xludf.DUMMYFUNCTION("""COMPUTED_VALUE"""),9.0)</f>
        <v>9</v>
      </c>
      <c r="C3946" s="11">
        <f>IFERROR(__xludf.DUMMYFUNCTION("""COMPUTED_VALUE"""),116236.0)</f>
        <v>116236</v>
      </c>
      <c r="D3946" s="11">
        <f>IFERROR(__xludf.DUMMYFUNCTION("""COMPUTED_VALUE"""),611.0)</f>
        <v>611</v>
      </c>
      <c r="E3946" s="9"/>
    </row>
    <row r="3947">
      <c r="A3947" s="11">
        <f>IFERROR(__xludf.DUMMYFUNCTION("""COMPUTED_VALUE"""),2021.0)</f>
        <v>2021</v>
      </c>
      <c r="B3947" s="11">
        <f>IFERROR(__xludf.DUMMYFUNCTION("""COMPUTED_VALUE"""),9.0)</f>
        <v>9</v>
      </c>
      <c r="C3947" s="11">
        <f>IFERROR(__xludf.DUMMYFUNCTION("""COMPUTED_VALUE"""),120751.0)</f>
        <v>120751</v>
      </c>
      <c r="D3947" s="11">
        <f>IFERROR(__xludf.DUMMYFUNCTION("""COMPUTED_VALUE"""),1424.0)</f>
        <v>1424</v>
      </c>
      <c r="E3947" s="9"/>
    </row>
    <row r="3948">
      <c r="A3948" s="11">
        <f>IFERROR(__xludf.DUMMYFUNCTION("""COMPUTED_VALUE"""),2021.0)</f>
        <v>2021</v>
      </c>
      <c r="B3948" s="11">
        <f>IFERROR(__xludf.DUMMYFUNCTION("""COMPUTED_VALUE"""),8.0)</f>
        <v>8</v>
      </c>
      <c r="C3948" s="11">
        <f>IFERROR(__xludf.DUMMYFUNCTION("""COMPUTED_VALUE"""),80756.0)</f>
        <v>80756</v>
      </c>
      <c r="D3948" s="11">
        <f>IFERROR(__xludf.DUMMYFUNCTION("""COMPUTED_VALUE"""),649.0)</f>
        <v>649</v>
      </c>
      <c r="E3948" s="9"/>
    </row>
    <row r="3949">
      <c r="A3949" s="11">
        <f>IFERROR(__xludf.DUMMYFUNCTION("""COMPUTED_VALUE"""),2021.0)</f>
        <v>2021</v>
      </c>
      <c r="B3949" s="11">
        <f>IFERROR(__xludf.DUMMYFUNCTION("""COMPUTED_VALUE"""),11.0)</f>
        <v>11</v>
      </c>
      <c r="C3949" s="11">
        <f>IFERROR(__xludf.DUMMYFUNCTION("""COMPUTED_VALUE"""),119729.0)</f>
        <v>119729</v>
      </c>
      <c r="D3949" s="11">
        <f>IFERROR(__xludf.DUMMYFUNCTION("""COMPUTED_VALUE"""),1219.0)</f>
        <v>1219</v>
      </c>
      <c r="E3949" s="9"/>
    </row>
    <row r="3950">
      <c r="A3950" s="11">
        <f>IFERROR(__xludf.DUMMYFUNCTION("""COMPUTED_VALUE"""),2021.0)</f>
        <v>2021</v>
      </c>
      <c r="B3950" s="11">
        <f>IFERROR(__xludf.DUMMYFUNCTION("""COMPUTED_VALUE"""),11.0)</f>
        <v>11</v>
      </c>
      <c r="C3950" s="11">
        <f>IFERROR(__xludf.DUMMYFUNCTION("""COMPUTED_VALUE"""),119028.0)</f>
        <v>119028</v>
      </c>
      <c r="D3950" s="11">
        <f>IFERROR(__xludf.DUMMYFUNCTION("""COMPUTED_VALUE"""),1233.0)</f>
        <v>1233</v>
      </c>
      <c r="E3950" s="9"/>
    </row>
    <row r="3951">
      <c r="A3951" s="11">
        <f>IFERROR(__xludf.DUMMYFUNCTION("""COMPUTED_VALUE"""),2021.0)</f>
        <v>2021</v>
      </c>
      <c r="B3951" s="11">
        <f>IFERROR(__xludf.DUMMYFUNCTION("""COMPUTED_VALUE"""),11.0)</f>
        <v>11</v>
      </c>
      <c r="C3951" s="11">
        <f>IFERROR(__xludf.DUMMYFUNCTION("""COMPUTED_VALUE"""),116957.0)</f>
        <v>116957</v>
      </c>
      <c r="D3951" s="11">
        <f>IFERROR(__xludf.DUMMYFUNCTION("""COMPUTED_VALUE"""),1355.0)</f>
        <v>1355</v>
      </c>
      <c r="E3951" s="9"/>
    </row>
    <row r="3952">
      <c r="A3952" s="11">
        <f>IFERROR(__xludf.DUMMYFUNCTION("""COMPUTED_VALUE"""),2021.0)</f>
        <v>2021</v>
      </c>
      <c r="B3952" s="11">
        <f>IFERROR(__xludf.DUMMYFUNCTION("""COMPUTED_VALUE"""),11.0)</f>
        <v>11</v>
      </c>
      <c r="C3952" s="11">
        <f>IFERROR(__xludf.DUMMYFUNCTION("""COMPUTED_VALUE"""),78235.0)</f>
        <v>78235</v>
      </c>
      <c r="D3952" s="11">
        <f>IFERROR(__xludf.DUMMYFUNCTION("""COMPUTED_VALUE"""),185.0)</f>
        <v>185</v>
      </c>
      <c r="E3952" s="9"/>
    </row>
    <row r="3953">
      <c r="A3953" s="11">
        <f>IFERROR(__xludf.DUMMYFUNCTION("""COMPUTED_VALUE"""),2021.0)</f>
        <v>2021</v>
      </c>
      <c r="B3953" s="11">
        <f>IFERROR(__xludf.DUMMYFUNCTION("""COMPUTED_VALUE"""),11.0)</f>
        <v>11</v>
      </c>
      <c r="C3953" s="11">
        <f>IFERROR(__xludf.DUMMYFUNCTION("""COMPUTED_VALUE"""),119803.0)</f>
        <v>119803</v>
      </c>
      <c r="D3953" s="11">
        <f>IFERROR(__xludf.DUMMYFUNCTION("""COMPUTED_VALUE"""),1554.0)</f>
        <v>1554</v>
      </c>
      <c r="E3953" s="9"/>
    </row>
    <row r="3954">
      <c r="A3954" s="11">
        <f>IFERROR(__xludf.DUMMYFUNCTION("""COMPUTED_VALUE"""),2021.0)</f>
        <v>2021</v>
      </c>
      <c r="B3954" s="11">
        <f>IFERROR(__xludf.DUMMYFUNCTION("""COMPUTED_VALUE"""),9.0)</f>
        <v>9</v>
      </c>
      <c r="C3954" s="11">
        <f>IFERROR(__xludf.DUMMYFUNCTION("""COMPUTED_VALUE"""),7669.0)</f>
        <v>7669</v>
      </c>
      <c r="D3954" s="11">
        <f>IFERROR(__xludf.DUMMYFUNCTION("""COMPUTED_VALUE"""),1177.0)</f>
        <v>1177</v>
      </c>
      <c r="E3954" s="9"/>
    </row>
    <row r="3955">
      <c r="A3955" s="11">
        <f>IFERROR(__xludf.DUMMYFUNCTION("""COMPUTED_VALUE"""),2021.0)</f>
        <v>2021</v>
      </c>
      <c r="B3955" s="11">
        <f>IFERROR(__xludf.DUMMYFUNCTION("""COMPUTED_VALUE"""),11.0)</f>
        <v>11</v>
      </c>
      <c r="C3955" s="11">
        <f>IFERROR(__xludf.DUMMYFUNCTION("""COMPUTED_VALUE"""),139312.0)</f>
        <v>139312</v>
      </c>
      <c r="D3955" s="11">
        <f>IFERROR(__xludf.DUMMYFUNCTION("""COMPUTED_VALUE"""),1681.0)</f>
        <v>1681</v>
      </c>
      <c r="E3955" s="9"/>
    </row>
    <row r="3956">
      <c r="A3956" s="11">
        <f>IFERROR(__xludf.DUMMYFUNCTION("""COMPUTED_VALUE"""),2021.0)</f>
        <v>2021</v>
      </c>
      <c r="B3956" s="11">
        <f>IFERROR(__xludf.DUMMYFUNCTION("""COMPUTED_VALUE"""),10.0)</f>
        <v>10</v>
      </c>
      <c r="C3956" s="11">
        <f>IFERROR(__xludf.DUMMYFUNCTION("""COMPUTED_VALUE"""),77773.0)</f>
        <v>77773</v>
      </c>
      <c r="D3956" s="11">
        <f>IFERROR(__xludf.DUMMYFUNCTION("""COMPUTED_VALUE"""),451.0)</f>
        <v>451</v>
      </c>
      <c r="E3956" s="9"/>
    </row>
    <row r="3957">
      <c r="A3957" s="11">
        <f>IFERROR(__xludf.DUMMYFUNCTION("""COMPUTED_VALUE"""),2021.0)</f>
        <v>2021</v>
      </c>
      <c r="B3957" s="11">
        <f>IFERROR(__xludf.DUMMYFUNCTION("""COMPUTED_VALUE"""),8.0)</f>
        <v>8</v>
      </c>
      <c r="C3957" s="11">
        <f>IFERROR(__xludf.DUMMYFUNCTION("""COMPUTED_VALUE"""),73442.0)</f>
        <v>73442</v>
      </c>
      <c r="D3957" s="11">
        <f>IFERROR(__xludf.DUMMYFUNCTION("""COMPUTED_VALUE"""),714.0)</f>
        <v>714</v>
      </c>
      <c r="E3957" s="9"/>
    </row>
    <row r="3958">
      <c r="A3958" s="11">
        <f>IFERROR(__xludf.DUMMYFUNCTION("""COMPUTED_VALUE"""),2021.0)</f>
        <v>2021</v>
      </c>
      <c r="B3958" s="11">
        <f>IFERROR(__xludf.DUMMYFUNCTION("""COMPUTED_VALUE"""),10.0)</f>
        <v>10</v>
      </c>
      <c r="C3958" s="11">
        <f>IFERROR(__xludf.DUMMYFUNCTION("""COMPUTED_VALUE"""),3974.0)</f>
        <v>3974</v>
      </c>
      <c r="D3958" s="11">
        <f>IFERROR(__xludf.DUMMYFUNCTION("""COMPUTED_VALUE"""),107.0)</f>
        <v>107</v>
      </c>
      <c r="E3958" s="9"/>
    </row>
    <row r="3959">
      <c r="A3959" s="11">
        <f>IFERROR(__xludf.DUMMYFUNCTION("""COMPUTED_VALUE"""),2021.0)</f>
        <v>2021</v>
      </c>
      <c r="B3959" s="11">
        <f>IFERROR(__xludf.DUMMYFUNCTION("""COMPUTED_VALUE"""),10.0)</f>
        <v>10</v>
      </c>
      <c r="C3959" s="11">
        <f>IFERROR(__xludf.DUMMYFUNCTION("""COMPUTED_VALUE"""),104032.0)</f>
        <v>104032</v>
      </c>
      <c r="D3959" s="11">
        <f>IFERROR(__xludf.DUMMYFUNCTION("""COMPUTED_VALUE"""),368.0)</f>
        <v>368</v>
      </c>
      <c r="E3959" s="9"/>
    </row>
    <row r="3960">
      <c r="A3960" s="11">
        <f>IFERROR(__xludf.DUMMYFUNCTION("""COMPUTED_VALUE"""),2021.0)</f>
        <v>2021</v>
      </c>
      <c r="B3960" s="11">
        <f>IFERROR(__xludf.DUMMYFUNCTION("""COMPUTED_VALUE"""),8.0)</f>
        <v>8</v>
      </c>
      <c r="C3960" s="11">
        <f>IFERROR(__xludf.DUMMYFUNCTION("""COMPUTED_VALUE"""),24162.0)</f>
        <v>24162</v>
      </c>
      <c r="D3960" s="11">
        <f>IFERROR(__xludf.DUMMYFUNCTION("""COMPUTED_VALUE"""),848.0)</f>
        <v>848</v>
      </c>
      <c r="E3960" s="9"/>
    </row>
    <row r="3961">
      <c r="A3961" s="11">
        <f>IFERROR(__xludf.DUMMYFUNCTION("""COMPUTED_VALUE"""),2021.0)</f>
        <v>2021</v>
      </c>
      <c r="B3961" s="11">
        <f>IFERROR(__xludf.DUMMYFUNCTION("""COMPUTED_VALUE"""),8.0)</f>
        <v>8</v>
      </c>
      <c r="C3961" s="11">
        <f>IFERROR(__xludf.DUMMYFUNCTION("""COMPUTED_VALUE"""),24167.0)</f>
        <v>24167</v>
      </c>
      <c r="D3961" s="11">
        <f>IFERROR(__xludf.DUMMYFUNCTION("""COMPUTED_VALUE"""),429.0)</f>
        <v>429</v>
      </c>
      <c r="E3961" s="9"/>
    </row>
    <row r="3962">
      <c r="A3962" s="11">
        <f>IFERROR(__xludf.DUMMYFUNCTION("""COMPUTED_VALUE"""),2021.0)</f>
        <v>2021</v>
      </c>
      <c r="B3962" s="11">
        <f>IFERROR(__xludf.DUMMYFUNCTION("""COMPUTED_VALUE"""),10.0)</f>
        <v>10</v>
      </c>
      <c r="C3962" s="11">
        <f>IFERROR(__xludf.DUMMYFUNCTION("""COMPUTED_VALUE"""),24174.0)</f>
        <v>24174</v>
      </c>
      <c r="D3962" s="11">
        <f>IFERROR(__xludf.DUMMYFUNCTION("""COMPUTED_VALUE"""),33.0)</f>
        <v>33</v>
      </c>
      <c r="E3962" s="9"/>
    </row>
    <row r="3963">
      <c r="A3963" s="11">
        <f>IFERROR(__xludf.DUMMYFUNCTION("""COMPUTED_VALUE"""),2021.0)</f>
        <v>2021</v>
      </c>
      <c r="B3963" s="11">
        <f>IFERROR(__xludf.DUMMYFUNCTION("""COMPUTED_VALUE"""),8.0)</f>
        <v>8</v>
      </c>
      <c r="C3963" s="11">
        <f>IFERROR(__xludf.DUMMYFUNCTION("""COMPUTED_VALUE"""),24161.0)</f>
        <v>24161</v>
      </c>
      <c r="D3963" s="11">
        <f>IFERROR(__xludf.DUMMYFUNCTION("""COMPUTED_VALUE"""),235.0)</f>
        <v>235</v>
      </c>
      <c r="E3963" s="9"/>
    </row>
    <row r="3964">
      <c r="A3964" s="11">
        <f>IFERROR(__xludf.DUMMYFUNCTION("""COMPUTED_VALUE"""),2021.0)</f>
        <v>2021</v>
      </c>
      <c r="B3964" s="11">
        <f>IFERROR(__xludf.DUMMYFUNCTION("""COMPUTED_VALUE"""),9.0)</f>
        <v>9</v>
      </c>
      <c r="C3964" s="11">
        <f>IFERROR(__xludf.DUMMYFUNCTION("""COMPUTED_VALUE"""),88594.0)</f>
        <v>88594</v>
      </c>
      <c r="D3964" s="11">
        <f>IFERROR(__xludf.DUMMYFUNCTION("""COMPUTED_VALUE"""),118.0)</f>
        <v>118</v>
      </c>
      <c r="E3964" s="9"/>
    </row>
    <row r="3965">
      <c r="A3965" s="11">
        <f>IFERROR(__xludf.DUMMYFUNCTION("""COMPUTED_VALUE"""),2021.0)</f>
        <v>2021</v>
      </c>
      <c r="B3965" s="11">
        <f>IFERROR(__xludf.DUMMYFUNCTION("""COMPUTED_VALUE"""),9.0)</f>
        <v>9</v>
      </c>
      <c r="C3965" s="11">
        <f>IFERROR(__xludf.DUMMYFUNCTION("""COMPUTED_VALUE"""),118818.0)</f>
        <v>118818</v>
      </c>
      <c r="D3965" s="11">
        <f>IFERROR(__xludf.DUMMYFUNCTION("""COMPUTED_VALUE"""),1805.0)</f>
        <v>1805</v>
      </c>
      <c r="E3965" s="9"/>
    </row>
    <row r="3966">
      <c r="A3966" s="11">
        <f>IFERROR(__xludf.DUMMYFUNCTION("""COMPUTED_VALUE"""),2021.0)</f>
        <v>2021</v>
      </c>
      <c r="B3966" s="11">
        <f>IFERROR(__xludf.DUMMYFUNCTION("""COMPUTED_VALUE"""),9.0)</f>
        <v>9</v>
      </c>
      <c r="C3966" s="11">
        <f>IFERROR(__xludf.DUMMYFUNCTION("""COMPUTED_VALUE"""),24166.0)</f>
        <v>24166</v>
      </c>
      <c r="D3966" s="11">
        <f>IFERROR(__xludf.DUMMYFUNCTION("""COMPUTED_VALUE"""),1171.0)</f>
        <v>1171</v>
      </c>
      <c r="E3966" s="9"/>
    </row>
    <row r="3967">
      <c r="A3967" s="11">
        <f>IFERROR(__xludf.DUMMYFUNCTION("""COMPUTED_VALUE"""),2021.0)</f>
        <v>2021</v>
      </c>
      <c r="B3967" s="11">
        <f>IFERROR(__xludf.DUMMYFUNCTION("""COMPUTED_VALUE"""),11.0)</f>
        <v>11</v>
      </c>
      <c r="C3967" s="11">
        <f>IFERROR(__xludf.DUMMYFUNCTION("""COMPUTED_VALUE"""),118828.0)</f>
        <v>118828</v>
      </c>
      <c r="D3967" s="11">
        <f>IFERROR(__xludf.DUMMYFUNCTION("""COMPUTED_VALUE"""),666.0)</f>
        <v>666</v>
      </c>
      <c r="E3967" s="9"/>
    </row>
    <row r="3968">
      <c r="A3968" s="11">
        <f>IFERROR(__xludf.DUMMYFUNCTION("""COMPUTED_VALUE"""),2021.0)</f>
        <v>2021</v>
      </c>
      <c r="B3968" s="11">
        <f>IFERROR(__xludf.DUMMYFUNCTION("""COMPUTED_VALUE"""),11.0)</f>
        <v>11</v>
      </c>
      <c r="C3968" s="11">
        <f>IFERROR(__xludf.DUMMYFUNCTION("""COMPUTED_VALUE"""),86169.0)</f>
        <v>86169</v>
      </c>
      <c r="D3968" s="11">
        <f>IFERROR(__xludf.DUMMYFUNCTION("""COMPUTED_VALUE"""),1120.0)</f>
        <v>1120</v>
      </c>
      <c r="E3968" s="9"/>
    </row>
    <row r="3969">
      <c r="A3969" s="11">
        <f>IFERROR(__xludf.DUMMYFUNCTION("""COMPUTED_VALUE"""),2021.0)</f>
        <v>2021</v>
      </c>
      <c r="B3969" s="11">
        <f>IFERROR(__xludf.DUMMYFUNCTION("""COMPUTED_VALUE"""),9.0)</f>
        <v>9</v>
      </c>
      <c r="C3969" s="11">
        <f>IFERROR(__xludf.DUMMYFUNCTION("""COMPUTED_VALUE"""),118851.0)</f>
        <v>118851</v>
      </c>
      <c r="D3969" s="11">
        <f>IFERROR(__xludf.DUMMYFUNCTION("""COMPUTED_VALUE"""),1759.0)</f>
        <v>1759</v>
      </c>
      <c r="E3969" s="9"/>
    </row>
    <row r="3970">
      <c r="A3970" s="11">
        <f>IFERROR(__xludf.DUMMYFUNCTION("""COMPUTED_VALUE"""),2021.0)</f>
        <v>2021</v>
      </c>
      <c r="B3970" s="11">
        <f>IFERROR(__xludf.DUMMYFUNCTION("""COMPUTED_VALUE"""),10.0)</f>
        <v>10</v>
      </c>
      <c r="C3970" s="11">
        <f>IFERROR(__xludf.DUMMYFUNCTION("""COMPUTED_VALUE"""),118824.0)</f>
        <v>118824</v>
      </c>
      <c r="D3970" s="11">
        <f>IFERROR(__xludf.DUMMYFUNCTION("""COMPUTED_VALUE"""),916.0)</f>
        <v>916</v>
      </c>
      <c r="E3970" s="9"/>
    </row>
    <row r="3971">
      <c r="A3971" s="11">
        <f>IFERROR(__xludf.DUMMYFUNCTION("""COMPUTED_VALUE"""),2021.0)</f>
        <v>2021</v>
      </c>
      <c r="B3971" s="11">
        <f>IFERROR(__xludf.DUMMYFUNCTION("""COMPUTED_VALUE"""),11.0)</f>
        <v>11</v>
      </c>
      <c r="C3971" s="11">
        <f>IFERROR(__xludf.DUMMYFUNCTION("""COMPUTED_VALUE"""),122728.0)</f>
        <v>122728</v>
      </c>
      <c r="D3971" s="11">
        <f>IFERROR(__xludf.DUMMYFUNCTION("""COMPUTED_VALUE"""),1592.0)</f>
        <v>1592</v>
      </c>
      <c r="E3971" s="9"/>
    </row>
    <row r="3972">
      <c r="A3972" s="11">
        <f>IFERROR(__xludf.DUMMYFUNCTION("""COMPUTED_VALUE"""),2021.0)</f>
        <v>2021</v>
      </c>
      <c r="B3972" s="11">
        <f>IFERROR(__xludf.DUMMYFUNCTION("""COMPUTED_VALUE"""),11.0)</f>
        <v>11</v>
      </c>
      <c r="C3972" s="11">
        <f>IFERROR(__xludf.DUMMYFUNCTION("""COMPUTED_VALUE"""),103474.0)</f>
        <v>103474</v>
      </c>
      <c r="D3972" s="11">
        <f>IFERROR(__xludf.DUMMYFUNCTION("""COMPUTED_VALUE"""),227.0)</f>
        <v>227</v>
      </c>
      <c r="E3972" s="9"/>
    </row>
    <row r="3973">
      <c r="A3973" s="11">
        <f>IFERROR(__xludf.DUMMYFUNCTION("""COMPUTED_VALUE"""),2021.0)</f>
        <v>2021</v>
      </c>
      <c r="B3973" s="11">
        <f>IFERROR(__xludf.DUMMYFUNCTION("""COMPUTED_VALUE"""),9.0)</f>
        <v>9</v>
      </c>
      <c r="C3973" s="11">
        <f>IFERROR(__xludf.DUMMYFUNCTION("""COMPUTED_VALUE"""),120635.0)</f>
        <v>120635</v>
      </c>
      <c r="D3973" s="11">
        <f>IFERROR(__xludf.DUMMYFUNCTION("""COMPUTED_VALUE"""),952.0)</f>
        <v>952</v>
      </c>
      <c r="E3973" s="9"/>
    </row>
    <row r="3974">
      <c r="A3974" s="11">
        <f>IFERROR(__xludf.DUMMYFUNCTION("""COMPUTED_VALUE"""),2021.0)</f>
        <v>2021</v>
      </c>
      <c r="B3974" s="11">
        <f>IFERROR(__xludf.DUMMYFUNCTION("""COMPUTED_VALUE"""),9.0)</f>
        <v>9</v>
      </c>
      <c r="C3974" s="11">
        <f>IFERROR(__xludf.DUMMYFUNCTION("""COMPUTED_VALUE"""),120633.0)</f>
        <v>120633</v>
      </c>
      <c r="D3974" s="11">
        <f>IFERROR(__xludf.DUMMYFUNCTION("""COMPUTED_VALUE"""),1417.0)</f>
        <v>1417</v>
      </c>
      <c r="E3974" s="9"/>
    </row>
    <row r="3975">
      <c r="A3975" s="11">
        <f>IFERROR(__xludf.DUMMYFUNCTION("""COMPUTED_VALUE"""),2021.0)</f>
        <v>2021</v>
      </c>
      <c r="B3975" s="11">
        <f>IFERROR(__xludf.DUMMYFUNCTION("""COMPUTED_VALUE"""),11.0)</f>
        <v>11</v>
      </c>
      <c r="C3975" s="11">
        <f>IFERROR(__xludf.DUMMYFUNCTION("""COMPUTED_VALUE"""),121477.0)</f>
        <v>121477</v>
      </c>
      <c r="D3975" s="11">
        <f>IFERROR(__xludf.DUMMYFUNCTION("""COMPUTED_VALUE"""),473.0)</f>
        <v>473</v>
      </c>
      <c r="E3975" s="9"/>
    </row>
    <row r="3976">
      <c r="A3976" s="11">
        <f>IFERROR(__xludf.DUMMYFUNCTION("""COMPUTED_VALUE"""),2021.0)</f>
        <v>2021</v>
      </c>
      <c r="B3976" s="11">
        <f>IFERROR(__xludf.DUMMYFUNCTION("""COMPUTED_VALUE"""),11.0)</f>
        <v>11</v>
      </c>
      <c r="C3976" s="11">
        <f>IFERROR(__xludf.DUMMYFUNCTION("""COMPUTED_VALUE"""),156024.0)</f>
        <v>156024</v>
      </c>
      <c r="D3976" s="11">
        <f>IFERROR(__xludf.DUMMYFUNCTION("""COMPUTED_VALUE"""),127.0)</f>
        <v>127</v>
      </c>
      <c r="E3976" s="9"/>
    </row>
    <row r="3977">
      <c r="A3977" s="11">
        <f>IFERROR(__xludf.DUMMYFUNCTION("""COMPUTED_VALUE"""),2021.0)</f>
        <v>2021</v>
      </c>
      <c r="B3977" s="11">
        <f>IFERROR(__xludf.DUMMYFUNCTION("""COMPUTED_VALUE"""),9.0)</f>
        <v>9</v>
      </c>
      <c r="C3977" s="11">
        <f>IFERROR(__xludf.DUMMYFUNCTION("""COMPUTED_VALUE"""),70191.0)</f>
        <v>70191</v>
      </c>
      <c r="D3977" s="11">
        <f>IFERROR(__xludf.DUMMYFUNCTION("""COMPUTED_VALUE"""),1701.0)</f>
        <v>1701</v>
      </c>
      <c r="E3977" s="9"/>
    </row>
    <row r="3978">
      <c r="A3978" s="11">
        <f>IFERROR(__xludf.DUMMYFUNCTION("""COMPUTED_VALUE"""),2021.0)</f>
        <v>2021</v>
      </c>
      <c r="B3978" s="11">
        <f>IFERROR(__xludf.DUMMYFUNCTION("""COMPUTED_VALUE"""),11.0)</f>
        <v>11</v>
      </c>
      <c r="C3978" s="11">
        <f>IFERROR(__xludf.DUMMYFUNCTION("""COMPUTED_VALUE"""),19822.0)</f>
        <v>19822</v>
      </c>
      <c r="D3978" s="11">
        <f>IFERROR(__xludf.DUMMYFUNCTION("""COMPUTED_VALUE"""),104.0)</f>
        <v>104</v>
      </c>
      <c r="E3978" s="9"/>
    </row>
    <row r="3979">
      <c r="A3979" s="11">
        <f>IFERROR(__xludf.DUMMYFUNCTION("""COMPUTED_VALUE"""),2021.0)</f>
        <v>2021</v>
      </c>
      <c r="B3979" s="11">
        <f>IFERROR(__xludf.DUMMYFUNCTION("""COMPUTED_VALUE"""),9.0)</f>
        <v>9</v>
      </c>
      <c r="C3979" s="11">
        <f>IFERROR(__xludf.DUMMYFUNCTION("""COMPUTED_VALUE"""),156023.0)</f>
        <v>156023</v>
      </c>
      <c r="D3979" s="11">
        <f>IFERROR(__xludf.DUMMYFUNCTION("""COMPUTED_VALUE"""),129.0)</f>
        <v>129</v>
      </c>
      <c r="E3979" s="9"/>
    </row>
    <row r="3980">
      <c r="A3980" s="11">
        <f>IFERROR(__xludf.DUMMYFUNCTION("""COMPUTED_VALUE"""),2021.0)</f>
        <v>2021</v>
      </c>
      <c r="B3980" s="11">
        <f>IFERROR(__xludf.DUMMYFUNCTION("""COMPUTED_VALUE"""),10.0)</f>
        <v>10</v>
      </c>
      <c r="C3980" s="11">
        <f>IFERROR(__xludf.DUMMYFUNCTION("""COMPUTED_VALUE"""),120628.0)</f>
        <v>120628</v>
      </c>
      <c r="D3980" s="11">
        <f>IFERROR(__xludf.DUMMYFUNCTION("""COMPUTED_VALUE"""),679.0)</f>
        <v>679</v>
      </c>
      <c r="E3980" s="9"/>
    </row>
    <row r="3981">
      <c r="A3981" s="11">
        <f>IFERROR(__xludf.DUMMYFUNCTION("""COMPUTED_VALUE"""),2021.0)</f>
        <v>2021</v>
      </c>
      <c r="B3981" s="11">
        <f>IFERROR(__xludf.DUMMYFUNCTION("""COMPUTED_VALUE"""),9.0)</f>
        <v>9</v>
      </c>
      <c r="C3981" s="11">
        <f>IFERROR(__xludf.DUMMYFUNCTION("""COMPUTED_VALUE"""),45830.0)</f>
        <v>45830</v>
      </c>
      <c r="D3981" s="11">
        <f>IFERROR(__xludf.DUMMYFUNCTION("""COMPUTED_VALUE"""),1892.0)</f>
        <v>1892</v>
      </c>
      <c r="E3981" s="9"/>
    </row>
    <row r="3982">
      <c r="A3982" s="11">
        <f>IFERROR(__xludf.DUMMYFUNCTION("""COMPUTED_VALUE"""),2021.0)</f>
        <v>2021</v>
      </c>
      <c r="B3982" s="11">
        <f>IFERROR(__xludf.DUMMYFUNCTION("""COMPUTED_VALUE"""),11.0)</f>
        <v>11</v>
      </c>
      <c r="C3982" s="11">
        <f>IFERROR(__xludf.DUMMYFUNCTION("""COMPUTED_VALUE"""),86192.0)</f>
        <v>86192</v>
      </c>
      <c r="D3982" s="11">
        <f>IFERROR(__xludf.DUMMYFUNCTION("""COMPUTED_VALUE"""),873.0)</f>
        <v>873</v>
      </c>
      <c r="E3982" s="9"/>
    </row>
    <row r="3983">
      <c r="A3983" s="11">
        <f>IFERROR(__xludf.DUMMYFUNCTION("""COMPUTED_VALUE"""),2021.0)</f>
        <v>2021</v>
      </c>
      <c r="B3983" s="11">
        <f>IFERROR(__xludf.DUMMYFUNCTION("""COMPUTED_VALUE"""),10.0)</f>
        <v>10</v>
      </c>
      <c r="C3983" s="11">
        <f>IFERROR(__xludf.DUMMYFUNCTION("""COMPUTED_VALUE"""),127372.0)</f>
        <v>127372</v>
      </c>
      <c r="D3983" s="11">
        <f>IFERROR(__xludf.DUMMYFUNCTION("""COMPUTED_VALUE"""),954.0)</f>
        <v>954</v>
      </c>
      <c r="E3983" s="9"/>
    </row>
    <row r="3984">
      <c r="A3984" s="11">
        <f>IFERROR(__xludf.DUMMYFUNCTION("""COMPUTED_VALUE"""),2021.0)</f>
        <v>2021</v>
      </c>
      <c r="B3984" s="11">
        <f>IFERROR(__xludf.DUMMYFUNCTION("""COMPUTED_VALUE"""),11.0)</f>
        <v>11</v>
      </c>
      <c r="C3984" s="11">
        <f>IFERROR(__xludf.DUMMYFUNCTION("""COMPUTED_VALUE"""),113902.0)</f>
        <v>113902</v>
      </c>
      <c r="D3984" s="11">
        <f>IFERROR(__xludf.DUMMYFUNCTION("""COMPUTED_VALUE"""),385.0)</f>
        <v>385</v>
      </c>
      <c r="E3984" s="9"/>
    </row>
    <row r="3985">
      <c r="A3985" s="11">
        <f>IFERROR(__xludf.DUMMYFUNCTION("""COMPUTED_VALUE"""),2021.0)</f>
        <v>2021</v>
      </c>
      <c r="B3985" s="11">
        <f>IFERROR(__xludf.DUMMYFUNCTION("""COMPUTED_VALUE"""),10.0)</f>
        <v>10</v>
      </c>
      <c r="C3985" s="11">
        <f>IFERROR(__xludf.DUMMYFUNCTION("""COMPUTED_VALUE"""),119133.0)</f>
        <v>119133</v>
      </c>
      <c r="D3985" s="11">
        <f>IFERROR(__xludf.DUMMYFUNCTION("""COMPUTED_VALUE"""),575.0)</f>
        <v>575</v>
      </c>
      <c r="E3985" s="9"/>
    </row>
    <row r="3986">
      <c r="A3986" s="11">
        <f>IFERROR(__xludf.DUMMYFUNCTION("""COMPUTED_VALUE"""),2021.0)</f>
        <v>2021</v>
      </c>
      <c r="B3986" s="11">
        <f>IFERROR(__xludf.DUMMYFUNCTION("""COMPUTED_VALUE"""),8.0)</f>
        <v>8</v>
      </c>
      <c r="C3986" s="11">
        <f>IFERROR(__xludf.DUMMYFUNCTION("""COMPUTED_VALUE"""),114946.0)</f>
        <v>114946</v>
      </c>
      <c r="D3986" s="11">
        <f>IFERROR(__xludf.DUMMYFUNCTION("""COMPUTED_VALUE"""),181.0)</f>
        <v>181</v>
      </c>
      <c r="E3986" s="9"/>
    </row>
    <row r="3987">
      <c r="A3987" s="11">
        <f>IFERROR(__xludf.DUMMYFUNCTION("""COMPUTED_VALUE"""),2021.0)</f>
        <v>2021</v>
      </c>
      <c r="B3987" s="11">
        <f>IFERROR(__xludf.DUMMYFUNCTION("""COMPUTED_VALUE"""),11.0)</f>
        <v>11</v>
      </c>
      <c r="C3987" s="11">
        <f>IFERROR(__xludf.DUMMYFUNCTION("""COMPUTED_VALUE"""),118832.0)</f>
        <v>118832</v>
      </c>
      <c r="D3987" s="11">
        <f>IFERROR(__xludf.DUMMYFUNCTION("""COMPUTED_VALUE"""),1510.0)</f>
        <v>1510</v>
      </c>
      <c r="E3987" s="9"/>
    </row>
    <row r="3988">
      <c r="A3988" s="11">
        <f>IFERROR(__xludf.DUMMYFUNCTION("""COMPUTED_VALUE"""),2021.0)</f>
        <v>2021</v>
      </c>
      <c r="B3988" s="11">
        <f>IFERROR(__xludf.DUMMYFUNCTION("""COMPUTED_VALUE"""),9.0)</f>
        <v>9</v>
      </c>
      <c r="C3988" s="11">
        <f>IFERROR(__xludf.DUMMYFUNCTION("""COMPUTED_VALUE"""),86499.0)</f>
        <v>86499</v>
      </c>
      <c r="D3988" s="11">
        <f>IFERROR(__xludf.DUMMYFUNCTION("""COMPUTED_VALUE"""),693.0)</f>
        <v>693</v>
      </c>
      <c r="E3988" s="9"/>
    </row>
    <row r="3989">
      <c r="A3989" s="11">
        <f>IFERROR(__xludf.DUMMYFUNCTION("""COMPUTED_VALUE"""),2021.0)</f>
        <v>2021</v>
      </c>
      <c r="B3989" s="11">
        <f>IFERROR(__xludf.DUMMYFUNCTION("""COMPUTED_VALUE"""),11.0)</f>
        <v>11</v>
      </c>
      <c r="C3989" s="11">
        <f>IFERROR(__xludf.DUMMYFUNCTION("""COMPUTED_VALUE"""),81790.0)</f>
        <v>81790</v>
      </c>
      <c r="D3989" s="11">
        <f>IFERROR(__xludf.DUMMYFUNCTION("""COMPUTED_VALUE"""),1247.0)</f>
        <v>1247</v>
      </c>
      <c r="E3989" s="9"/>
    </row>
    <row r="3990">
      <c r="A3990" s="11">
        <f>IFERROR(__xludf.DUMMYFUNCTION("""COMPUTED_VALUE"""),2021.0)</f>
        <v>2021</v>
      </c>
      <c r="B3990" s="11">
        <f>IFERROR(__xludf.DUMMYFUNCTION("""COMPUTED_VALUE"""),9.0)</f>
        <v>9</v>
      </c>
      <c r="C3990" s="11">
        <f>IFERROR(__xludf.DUMMYFUNCTION("""COMPUTED_VALUE"""),45898.0)</f>
        <v>45898</v>
      </c>
      <c r="D3990" s="11">
        <f>IFERROR(__xludf.DUMMYFUNCTION("""COMPUTED_VALUE"""),1539.0)</f>
        <v>1539</v>
      </c>
      <c r="E3990" s="9"/>
    </row>
    <row r="3991">
      <c r="A3991" s="11">
        <f>IFERROR(__xludf.DUMMYFUNCTION("""COMPUTED_VALUE"""),2021.0)</f>
        <v>2021</v>
      </c>
      <c r="B3991" s="11">
        <f>IFERROR(__xludf.DUMMYFUNCTION("""COMPUTED_VALUE"""),8.0)</f>
        <v>8</v>
      </c>
      <c r="C3991" s="11">
        <f>IFERROR(__xludf.DUMMYFUNCTION("""COMPUTED_VALUE"""),24144.0)</f>
        <v>24144</v>
      </c>
      <c r="D3991" s="11">
        <f>IFERROR(__xludf.DUMMYFUNCTION("""COMPUTED_VALUE"""),533.0)</f>
        <v>533</v>
      </c>
      <c r="E3991" s="9"/>
    </row>
    <row r="3992">
      <c r="A3992" s="11">
        <f>IFERROR(__xludf.DUMMYFUNCTION("""COMPUTED_VALUE"""),2021.0)</f>
        <v>2021</v>
      </c>
      <c r="B3992" s="11">
        <f>IFERROR(__xludf.DUMMYFUNCTION("""COMPUTED_VALUE"""),11.0)</f>
        <v>11</v>
      </c>
      <c r="C3992" s="11">
        <f>IFERROR(__xludf.DUMMYFUNCTION("""COMPUTED_VALUE"""),98351.0)</f>
        <v>98351</v>
      </c>
      <c r="D3992" s="11">
        <f>IFERROR(__xludf.DUMMYFUNCTION("""COMPUTED_VALUE"""),1505.0)</f>
        <v>1505</v>
      </c>
      <c r="E3992" s="9"/>
    </row>
    <row r="3993">
      <c r="A3993" s="11">
        <f>IFERROR(__xludf.DUMMYFUNCTION("""COMPUTED_VALUE"""),2021.0)</f>
        <v>2021</v>
      </c>
      <c r="B3993" s="11">
        <f>IFERROR(__xludf.DUMMYFUNCTION("""COMPUTED_VALUE"""),8.0)</f>
        <v>8</v>
      </c>
      <c r="C3993" s="11">
        <f>IFERROR(__xludf.DUMMYFUNCTION("""COMPUTED_VALUE"""),86481.0)</f>
        <v>86481</v>
      </c>
      <c r="D3993" s="11">
        <f>IFERROR(__xludf.DUMMYFUNCTION("""COMPUTED_VALUE"""),275.0)</f>
        <v>275</v>
      </c>
      <c r="E3993" s="9"/>
    </row>
    <row r="3994">
      <c r="A3994" s="11">
        <f>IFERROR(__xludf.DUMMYFUNCTION("""COMPUTED_VALUE"""),2021.0)</f>
        <v>2021</v>
      </c>
      <c r="B3994" s="11">
        <f>IFERROR(__xludf.DUMMYFUNCTION("""COMPUTED_VALUE"""),9.0)</f>
        <v>9</v>
      </c>
      <c r="C3994" s="11">
        <f>IFERROR(__xludf.DUMMYFUNCTION("""COMPUTED_VALUE"""),115747.0)</f>
        <v>115747</v>
      </c>
      <c r="D3994" s="11">
        <f>IFERROR(__xludf.DUMMYFUNCTION("""COMPUTED_VALUE"""),1624.0)</f>
        <v>1624</v>
      </c>
      <c r="E3994" s="9"/>
    </row>
    <row r="3995">
      <c r="A3995" s="11">
        <f>IFERROR(__xludf.DUMMYFUNCTION("""COMPUTED_VALUE"""),2021.0)</f>
        <v>2021</v>
      </c>
      <c r="B3995" s="11">
        <f>IFERROR(__xludf.DUMMYFUNCTION("""COMPUTED_VALUE"""),10.0)</f>
        <v>10</v>
      </c>
      <c r="C3995" s="11">
        <f>IFERROR(__xludf.DUMMYFUNCTION("""COMPUTED_VALUE"""),116187.0)</f>
        <v>116187</v>
      </c>
      <c r="D3995" s="11">
        <f>IFERROR(__xludf.DUMMYFUNCTION("""COMPUTED_VALUE"""),357.0)</f>
        <v>357</v>
      </c>
      <c r="E3995" s="9"/>
    </row>
    <row r="3996">
      <c r="A3996" s="11">
        <f>IFERROR(__xludf.DUMMYFUNCTION("""COMPUTED_VALUE"""),2021.0)</f>
        <v>2021</v>
      </c>
      <c r="B3996" s="11">
        <f>IFERROR(__xludf.DUMMYFUNCTION("""COMPUTED_VALUE"""),8.0)</f>
        <v>8</v>
      </c>
      <c r="C3996" s="11">
        <f>IFERROR(__xludf.DUMMYFUNCTION("""COMPUTED_VALUE"""),86162.0)</f>
        <v>86162</v>
      </c>
      <c r="D3996" s="11">
        <f>IFERROR(__xludf.DUMMYFUNCTION("""COMPUTED_VALUE"""),1215.0)</f>
        <v>1215</v>
      </c>
      <c r="E3996" s="9"/>
    </row>
    <row r="3997">
      <c r="A3997" s="11">
        <f>IFERROR(__xludf.DUMMYFUNCTION("""COMPUTED_VALUE"""),2021.0)</f>
        <v>2021</v>
      </c>
      <c r="B3997" s="11">
        <f>IFERROR(__xludf.DUMMYFUNCTION("""COMPUTED_VALUE"""),11.0)</f>
        <v>11</v>
      </c>
      <c r="C3997" s="11">
        <f>IFERROR(__xludf.DUMMYFUNCTION("""COMPUTED_VALUE"""),90654.0)</f>
        <v>90654</v>
      </c>
      <c r="D3997" s="11">
        <f>IFERROR(__xludf.DUMMYFUNCTION("""COMPUTED_VALUE"""),234.0)</f>
        <v>234</v>
      </c>
      <c r="E3997" s="9"/>
    </row>
    <row r="3998">
      <c r="A3998" s="11">
        <f>IFERROR(__xludf.DUMMYFUNCTION("""COMPUTED_VALUE"""),2021.0)</f>
        <v>2021</v>
      </c>
      <c r="B3998" s="11">
        <f>IFERROR(__xludf.DUMMYFUNCTION("""COMPUTED_VALUE"""),8.0)</f>
        <v>8</v>
      </c>
      <c r="C3998" s="11">
        <f>IFERROR(__xludf.DUMMYFUNCTION("""COMPUTED_VALUE"""),71743.0)</f>
        <v>71743</v>
      </c>
      <c r="D3998" s="11">
        <f>IFERROR(__xludf.DUMMYFUNCTION("""COMPUTED_VALUE"""),878.0)</f>
        <v>878</v>
      </c>
      <c r="E3998" s="9"/>
    </row>
    <row r="3999">
      <c r="A3999" s="11">
        <f>IFERROR(__xludf.DUMMYFUNCTION("""COMPUTED_VALUE"""),2021.0)</f>
        <v>2021</v>
      </c>
      <c r="B3999" s="11">
        <f>IFERROR(__xludf.DUMMYFUNCTION("""COMPUTED_VALUE"""),11.0)</f>
        <v>11</v>
      </c>
      <c r="C3999" s="11">
        <f>IFERROR(__xludf.DUMMYFUNCTION("""COMPUTED_VALUE"""),71744.0)</f>
        <v>71744</v>
      </c>
      <c r="D3999" s="11">
        <f>IFERROR(__xludf.DUMMYFUNCTION("""COMPUTED_VALUE"""),13.0)</f>
        <v>13</v>
      </c>
      <c r="E3999" s="9"/>
    </row>
    <row r="4000">
      <c r="A4000" s="11">
        <f>IFERROR(__xludf.DUMMYFUNCTION("""COMPUTED_VALUE"""),2021.0)</f>
        <v>2021</v>
      </c>
      <c r="B4000" s="11">
        <f>IFERROR(__xludf.DUMMYFUNCTION("""COMPUTED_VALUE"""),9.0)</f>
        <v>9</v>
      </c>
      <c r="C4000" s="11">
        <f>IFERROR(__xludf.DUMMYFUNCTION("""COMPUTED_VALUE"""),88590.0)</f>
        <v>88590</v>
      </c>
      <c r="D4000" s="11">
        <f>IFERROR(__xludf.DUMMYFUNCTION("""COMPUTED_VALUE"""),1605.0)</f>
        <v>1605</v>
      </c>
      <c r="E4000" s="9"/>
    </row>
    <row r="4001">
      <c r="A4001" s="11">
        <f>IFERROR(__xludf.DUMMYFUNCTION("""COMPUTED_VALUE"""),2021.0)</f>
        <v>2021</v>
      </c>
      <c r="B4001" s="11">
        <f>IFERROR(__xludf.DUMMYFUNCTION("""COMPUTED_VALUE"""),8.0)</f>
        <v>8</v>
      </c>
      <c r="C4001" s="11">
        <f>IFERROR(__xludf.DUMMYFUNCTION("""COMPUTED_VALUE"""),78940.0)</f>
        <v>78940</v>
      </c>
      <c r="D4001" s="11">
        <f>IFERROR(__xludf.DUMMYFUNCTION("""COMPUTED_VALUE"""),745.0)</f>
        <v>745</v>
      </c>
      <c r="E4001" s="9"/>
    </row>
    <row r="4002">
      <c r="A4002" s="11">
        <f>IFERROR(__xludf.DUMMYFUNCTION("""COMPUTED_VALUE"""),2021.0)</f>
        <v>2021</v>
      </c>
      <c r="B4002" s="11">
        <f>IFERROR(__xludf.DUMMYFUNCTION("""COMPUTED_VALUE"""),9.0)</f>
        <v>9</v>
      </c>
      <c r="C4002" s="11">
        <f>IFERROR(__xludf.DUMMYFUNCTION("""COMPUTED_VALUE"""),194752.0)</f>
        <v>194752</v>
      </c>
      <c r="D4002" s="11">
        <f>IFERROR(__xludf.DUMMYFUNCTION("""COMPUTED_VALUE"""),1400.0)</f>
        <v>1400</v>
      </c>
      <c r="E4002" s="9"/>
    </row>
    <row r="4003">
      <c r="A4003" s="11">
        <f>IFERROR(__xludf.DUMMYFUNCTION("""COMPUTED_VALUE"""),2021.0)</f>
        <v>2021</v>
      </c>
      <c r="B4003" s="11">
        <f>IFERROR(__xludf.DUMMYFUNCTION("""COMPUTED_VALUE"""),8.0)</f>
        <v>8</v>
      </c>
      <c r="C4003" s="11">
        <f>IFERROR(__xludf.DUMMYFUNCTION("""COMPUTED_VALUE"""),194748.0)</f>
        <v>194748</v>
      </c>
      <c r="D4003" s="11">
        <f>IFERROR(__xludf.DUMMYFUNCTION("""COMPUTED_VALUE"""),343.0)</f>
        <v>343</v>
      </c>
      <c r="E4003" s="9"/>
    </row>
    <row r="4004">
      <c r="A4004" s="11">
        <f>IFERROR(__xludf.DUMMYFUNCTION("""COMPUTED_VALUE"""),2021.0)</f>
        <v>2021</v>
      </c>
      <c r="B4004" s="11">
        <f>IFERROR(__xludf.DUMMYFUNCTION("""COMPUTED_VALUE"""),8.0)</f>
        <v>8</v>
      </c>
      <c r="C4004" s="11">
        <f>IFERROR(__xludf.DUMMYFUNCTION("""COMPUTED_VALUE"""),111580.0)</f>
        <v>111580</v>
      </c>
      <c r="D4004" s="11">
        <f>IFERROR(__xludf.DUMMYFUNCTION("""COMPUTED_VALUE"""),336.0)</f>
        <v>336</v>
      </c>
      <c r="E4004" s="9"/>
    </row>
    <row r="4005">
      <c r="A4005" s="11">
        <f>IFERROR(__xludf.DUMMYFUNCTION("""COMPUTED_VALUE"""),2021.0)</f>
        <v>2021</v>
      </c>
      <c r="B4005" s="11">
        <f>IFERROR(__xludf.DUMMYFUNCTION("""COMPUTED_VALUE"""),8.0)</f>
        <v>8</v>
      </c>
      <c r="C4005" s="11">
        <f>IFERROR(__xludf.DUMMYFUNCTION("""COMPUTED_VALUE"""),194741.0)</f>
        <v>194741</v>
      </c>
      <c r="D4005" s="11">
        <f>IFERROR(__xludf.DUMMYFUNCTION("""COMPUTED_VALUE"""),798.0)</f>
        <v>798</v>
      </c>
      <c r="E4005" s="9"/>
    </row>
    <row r="4006">
      <c r="A4006" s="11">
        <f>IFERROR(__xludf.DUMMYFUNCTION("""COMPUTED_VALUE"""),2021.0)</f>
        <v>2021</v>
      </c>
      <c r="B4006" s="11">
        <f>IFERROR(__xludf.DUMMYFUNCTION("""COMPUTED_VALUE"""),9.0)</f>
        <v>9</v>
      </c>
      <c r="C4006" s="11">
        <f>IFERROR(__xludf.DUMMYFUNCTION("""COMPUTED_VALUE"""),107082.0)</f>
        <v>107082</v>
      </c>
      <c r="D4006" s="11">
        <f>IFERROR(__xludf.DUMMYFUNCTION("""COMPUTED_VALUE"""),507.0)</f>
        <v>507</v>
      </c>
      <c r="E4006" s="9"/>
    </row>
    <row r="4007">
      <c r="A4007" s="11">
        <f>IFERROR(__xludf.DUMMYFUNCTION("""COMPUTED_VALUE"""),2021.0)</f>
        <v>2021</v>
      </c>
      <c r="B4007" s="11">
        <f>IFERROR(__xludf.DUMMYFUNCTION("""COMPUTED_VALUE"""),9.0)</f>
        <v>9</v>
      </c>
      <c r="C4007" s="11">
        <f>IFERROR(__xludf.DUMMYFUNCTION("""COMPUTED_VALUE"""),83092.0)</f>
        <v>83092</v>
      </c>
      <c r="D4007" s="11">
        <f>IFERROR(__xludf.DUMMYFUNCTION("""COMPUTED_VALUE"""),1928.0)</f>
        <v>1928</v>
      </c>
      <c r="E4007" s="9"/>
    </row>
    <row r="4008">
      <c r="A4008" s="11">
        <f>IFERROR(__xludf.DUMMYFUNCTION("""COMPUTED_VALUE"""),2021.0)</f>
        <v>2021</v>
      </c>
      <c r="B4008" s="11">
        <f>IFERROR(__xludf.DUMMYFUNCTION("""COMPUTED_VALUE"""),10.0)</f>
        <v>10</v>
      </c>
      <c r="C4008" s="11">
        <f>IFERROR(__xludf.DUMMYFUNCTION("""COMPUTED_VALUE"""),111581.0)</f>
        <v>111581</v>
      </c>
      <c r="D4008" s="11">
        <f>IFERROR(__xludf.DUMMYFUNCTION("""COMPUTED_VALUE"""),202.0)</f>
        <v>202</v>
      </c>
      <c r="E4008" s="9"/>
    </row>
    <row r="4009">
      <c r="A4009" s="11">
        <f>IFERROR(__xludf.DUMMYFUNCTION("""COMPUTED_VALUE"""),2021.0)</f>
        <v>2021</v>
      </c>
      <c r="B4009" s="11">
        <f>IFERROR(__xludf.DUMMYFUNCTION("""COMPUTED_VALUE"""),10.0)</f>
        <v>10</v>
      </c>
      <c r="C4009" s="11">
        <f>IFERROR(__xludf.DUMMYFUNCTION("""COMPUTED_VALUE"""),88402.0)</f>
        <v>88402</v>
      </c>
      <c r="D4009" s="11">
        <f>IFERROR(__xludf.DUMMYFUNCTION("""COMPUTED_VALUE"""),163.0)</f>
        <v>163</v>
      </c>
      <c r="E4009" s="9"/>
    </row>
    <row r="4010">
      <c r="A4010" s="11">
        <f>IFERROR(__xludf.DUMMYFUNCTION("""COMPUTED_VALUE"""),2021.0)</f>
        <v>2021</v>
      </c>
      <c r="B4010" s="11">
        <f>IFERROR(__xludf.DUMMYFUNCTION("""COMPUTED_VALUE"""),10.0)</f>
        <v>10</v>
      </c>
      <c r="C4010" s="11">
        <f>IFERROR(__xludf.DUMMYFUNCTION("""COMPUTED_VALUE"""),88413.0)</f>
        <v>88413</v>
      </c>
      <c r="D4010" s="11">
        <f>IFERROR(__xludf.DUMMYFUNCTION("""COMPUTED_VALUE"""),848.0)</f>
        <v>848</v>
      </c>
      <c r="E4010" s="9"/>
    </row>
    <row r="4011">
      <c r="A4011" s="11">
        <f>IFERROR(__xludf.DUMMYFUNCTION("""COMPUTED_VALUE"""),2021.0)</f>
        <v>2021</v>
      </c>
      <c r="B4011" s="11">
        <f>IFERROR(__xludf.DUMMYFUNCTION("""COMPUTED_VALUE"""),11.0)</f>
        <v>11</v>
      </c>
      <c r="C4011" s="11">
        <f>IFERROR(__xludf.DUMMYFUNCTION("""COMPUTED_VALUE"""),86560.0)</f>
        <v>86560</v>
      </c>
      <c r="D4011" s="11">
        <f>IFERROR(__xludf.DUMMYFUNCTION("""COMPUTED_VALUE"""),543.0)</f>
        <v>543</v>
      </c>
      <c r="E4011" s="9"/>
    </row>
    <row r="4012">
      <c r="A4012" s="11">
        <f>IFERROR(__xludf.DUMMYFUNCTION("""COMPUTED_VALUE"""),2021.0)</f>
        <v>2021</v>
      </c>
      <c r="B4012" s="11">
        <f>IFERROR(__xludf.DUMMYFUNCTION("""COMPUTED_VALUE"""),11.0)</f>
        <v>11</v>
      </c>
      <c r="C4012" s="11">
        <f>IFERROR(__xludf.DUMMYFUNCTION("""COMPUTED_VALUE"""),127584.0)</f>
        <v>127584</v>
      </c>
      <c r="D4012" s="11">
        <f>IFERROR(__xludf.DUMMYFUNCTION("""COMPUTED_VALUE"""),283.0)</f>
        <v>283</v>
      </c>
      <c r="E4012" s="9"/>
    </row>
    <row r="4013">
      <c r="A4013" s="11">
        <f>IFERROR(__xludf.DUMMYFUNCTION("""COMPUTED_VALUE"""),2021.0)</f>
        <v>2021</v>
      </c>
      <c r="B4013" s="11">
        <f>IFERROR(__xludf.DUMMYFUNCTION("""COMPUTED_VALUE"""),10.0)</f>
        <v>10</v>
      </c>
      <c r="C4013" s="11">
        <f>IFERROR(__xludf.DUMMYFUNCTION("""COMPUTED_VALUE"""),122254.0)</f>
        <v>122254</v>
      </c>
      <c r="D4013" s="11">
        <f>IFERROR(__xludf.DUMMYFUNCTION("""COMPUTED_VALUE"""),1818.0)</f>
        <v>1818</v>
      </c>
      <c r="E4013" s="9"/>
    </row>
    <row r="4014">
      <c r="A4014" s="11">
        <f>IFERROR(__xludf.DUMMYFUNCTION("""COMPUTED_VALUE"""),2021.0)</f>
        <v>2021</v>
      </c>
      <c r="B4014" s="11">
        <f>IFERROR(__xludf.DUMMYFUNCTION("""COMPUTED_VALUE"""),10.0)</f>
        <v>10</v>
      </c>
      <c r="C4014" s="11">
        <f>IFERROR(__xludf.DUMMYFUNCTION("""COMPUTED_VALUE"""),118849.0)</f>
        <v>118849</v>
      </c>
      <c r="D4014" s="11">
        <f>IFERROR(__xludf.DUMMYFUNCTION("""COMPUTED_VALUE"""),214.0)</f>
        <v>214</v>
      </c>
      <c r="E4014" s="9"/>
    </row>
    <row r="4015">
      <c r="A4015" s="11">
        <f>IFERROR(__xludf.DUMMYFUNCTION("""COMPUTED_VALUE"""),2021.0)</f>
        <v>2021</v>
      </c>
      <c r="B4015" s="11">
        <f>IFERROR(__xludf.DUMMYFUNCTION("""COMPUTED_VALUE"""),11.0)</f>
        <v>11</v>
      </c>
      <c r="C4015" s="11">
        <f>IFERROR(__xludf.DUMMYFUNCTION("""COMPUTED_VALUE"""),107187.0)</f>
        <v>107187</v>
      </c>
      <c r="D4015" s="11">
        <f>IFERROR(__xludf.DUMMYFUNCTION("""COMPUTED_VALUE"""),1762.0)</f>
        <v>1762</v>
      </c>
      <c r="E4015" s="9"/>
    </row>
    <row r="4016">
      <c r="A4016" s="11">
        <f>IFERROR(__xludf.DUMMYFUNCTION("""COMPUTED_VALUE"""),2021.0)</f>
        <v>2021</v>
      </c>
      <c r="B4016" s="11">
        <f>IFERROR(__xludf.DUMMYFUNCTION("""COMPUTED_VALUE"""),8.0)</f>
        <v>8</v>
      </c>
      <c r="C4016" s="11">
        <f>IFERROR(__xludf.DUMMYFUNCTION("""COMPUTED_VALUE"""),119932.0)</f>
        <v>119932</v>
      </c>
      <c r="D4016" s="11">
        <f>IFERROR(__xludf.DUMMYFUNCTION("""COMPUTED_VALUE"""),808.0)</f>
        <v>808</v>
      </c>
      <c r="E4016" s="9"/>
    </row>
    <row r="4017">
      <c r="A4017" s="11">
        <f>IFERROR(__xludf.DUMMYFUNCTION("""COMPUTED_VALUE"""),2021.0)</f>
        <v>2021</v>
      </c>
      <c r="B4017" s="11">
        <f>IFERROR(__xludf.DUMMYFUNCTION("""COMPUTED_VALUE"""),9.0)</f>
        <v>9</v>
      </c>
      <c r="C4017" s="11">
        <f>IFERROR(__xludf.DUMMYFUNCTION("""COMPUTED_VALUE"""),92045.0)</f>
        <v>92045</v>
      </c>
      <c r="D4017" s="11">
        <f>IFERROR(__xludf.DUMMYFUNCTION("""COMPUTED_VALUE"""),38.0)</f>
        <v>38</v>
      </c>
      <c r="E4017" s="9"/>
    </row>
    <row r="4018">
      <c r="A4018" s="11">
        <f>IFERROR(__xludf.DUMMYFUNCTION("""COMPUTED_VALUE"""),2021.0)</f>
        <v>2021</v>
      </c>
      <c r="B4018" s="11">
        <f>IFERROR(__xludf.DUMMYFUNCTION("""COMPUTED_VALUE"""),8.0)</f>
        <v>8</v>
      </c>
      <c r="C4018" s="11">
        <f>IFERROR(__xludf.DUMMYFUNCTION("""COMPUTED_VALUE"""),82168.0)</f>
        <v>82168</v>
      </c>
      <c r="D4018" s="11">
        <f>IFERROR(__xludf.DUMMYFUNCTION("""COMPUTED_VALUE"""),59.0)</f>
        <v>59</v>
      </c>
      <c r="E4018" s="9"/>
    </row>
    <row r="4019">
      <c r="A4019" s="11">
        <f>IFERROR(__xludf.DUMMYFUNCTION("""COMPUTED_VALUE"""),2021.0)</f>
        <v>2021</v>
      </c>
      <c r="B4019" s="11">
        <f>IFERROR(__xludf.DUMMYFUNCTION("""COMPUTED_VALUE"""),8.0)</f>
        <v>8</v>
      </c>
      <c r="C4019" s="11">
        <f>IFERROR(__xludf.DUMMYFUNCTION("""COMPUTED_VALUE"""),79263.0)</f>
        <v>79263</v>
      </c>
      <c r="D4019" s="11">
        <f>IFERROR(__xludf.DUMMYFUNCTION("""COMPUTED_VALUE"""),1850.0)</f>
        <v>1850</v>
      </c>
      <c r="E4019" s="9"/>
    </row>
    <row r="4020">
      <c r="A4020" s="11">
        <f>IFERROR(__xludf.DUMMYFUNCTION("""COMPUTED_VALUE"""),2021.0)</f>
        <v>2021</v>
      </c>
      <c r="B4020" s="11">
        <f>IFERROR(__xludf.DUMMYFUNCTION("""COMPUTED_VALUE"""),11.0)</f>
        <v>11</v>
      </c>
      <c r="C4020" s="11">
        <f>IFERROR(__xludf.DUMMYFUNCTION("""COMPUTED_VALUE"""),92044.0)</f>
        <v>92044</v>
      </c>
      <c r="D4020" s="11">
        <f>IFERROR(__xludf.DUMMYFUNCTION("""COMPUTED_VALUE"""),1850.0)</f>
        <v>1850</v>
      </c>
      <c r="E4020" s="9"/>
    </row>
    <row r="4021">
      <c r="A4021" s="11">
        <f>IFERROR(__xludf.DUMMYFUNCTION("""COMPUTED_VALUE"""),2021.0)</f>
        <v>2021</v>
      </c>
      <c r="B4021" s="11">
        <f>IFERROR(__xludf.DUMMYFUNCTION("""COMPUTED_VALUE"""),9.0)</f>
        <v>9</v>
      </c>
      <c r="C4021" s="11">
        <f>IFERROR(__xludf.DUMMYFUNCTION("""COMPUTED_VALUE"""),114725.0)</f>
        <v>114725</v>
      </c>
      <c r="D4021" s="11">
        <f>IFERROR(__xludf.DUMMYFUNCTION("""COMPUTED_VALUE"""),1740.0)</f>
        <v>1740</v>
      </c>
      <c r="E4021" s="9"/>
    </row>
    <row r="4022">
      <c r="A4022" s="11">
        <f>IFERROR(__xludf.DUMMYFUNCTION("""COMPUTED_VALUE"""),2021.0)</f>
        <v>2021</v>
      </c>
      <c r="B4022" s="11">
        <f>IFERROR(__xludf.DUMMYFUNCTION("""COMPUTED_VALUE"""),11.0)</f>
        <v>11</v>
      </c>
      <c r="C4022" s="11">
        <f>IFERROR(__xludf.DUMMYFUNCTION("""COMPUTED_VALUE"""),50684.0)</f>
        <v>50684</v>
      </c>
      <c r="D4022" s="11">
        <f>IFERROR(__xludf.DUMMYFUNCTION("""COMPUTED_VALUE"""),871.0)</f>
        <v>871</v>
      </c>
      <c r="E4022" s="9"/>
    </row>
    <row r="4023">
      <c r="A4023" s="11">
        <f>IFERROR(__xludf.DUMMYFUNCTION("""COMPUTED_VALUE"""),2021.0)</f>
        <v>2021</v>
      </c>
      <c r="B4023" s="11">
        <f>IFERROR(__xludf.DUMMYFUNCTION("""COMPUTED_VALUE"""),11.0)</f>
        <v>11</v>
      </c>
      <c r="C4023" s="11">
        <f>IFERROR(__xludf.DUMMYFUNCTION("""COMPUTED_VALUE"""),82167.0)</f>
        <v>82167</v>
      </c>
      <c r="D4023" s="11">
        <f>IFERROR(__xludf.DUMMYFUNCTION("""COMPUTED_VALUE"""),573.0)</f>
        <v>573</v>
      </c>
      <c r="E4023" s="9"/>
    </row>
    <row r="4024">
      <c r="A4024" s="11">
        <f>IFERROR(__xludf.DUMMYFUNCTION("""COMPUTED_VALUE"""),2021.0)</f>
        <v>2021</v>
      </c>
      <c r="B4024" s="11">
        <f>IFERROR(__xludf.DUMMYFUNCTION("""COMPUTED_VALUE"""),8.0)</f>
        <v>8</v>
      </c>
      <c r="C4024" s="11">
        <f>IFERROR(__xludf.DUMMYFUNCTION("""COMPUTED_VALUE"""),68513.0)</f>
        <v>68513</v>
      </c>
      <c r="D4024" s="11">
        <f>IFERROR(__xludf.DUMMYFUNCTION("""COMPUTED_VALUE"""),134.0)</f>
        <v>134</v>
      </c>
      <c r="E4024" s="9"/>
    </row>
    <row r="4025">
      <c r="A4025" s="11">
        <f>IFERROR(__xludf.DUMMYFUNCTION("""COMPUTED_VALUE"""),2021.0)</f>
        <v>2021</v>
      </c>
      <c r="B4025" s="11">
        <f>IFERROR(__xludf.DUMMYFUNCTION("""COMPUTED_VALUE"""),9.0)</f>
        <v>9</v>
      </c>
      <c r="C4025" s="11">
        <f>IFERROR(__xludf.DUMMYFUNCTION("""COMPUTED_VALUE"""),76566.0)</f>
        <v>76566</v>
      </c>
      <c r="D4025" s="11">
        <f>IFERROR(__xludf.DUMMYFUNCTION("""COMPUTED_VALUE"""),1213.0)</f>
        <v>1213</v>
      </c>
      <c r="E4025" s="9"/>
    </row>
    <row r="4026">
      <c r="A4026" s="11">
        <f>IFERROR(__xludf.DUMMYFUNCTION("""COMPUTED_VALUE"""),2021.0)</f>
        <v>2021</v>
      </c>
      <c r="B4026" s="11">
        <f>IFERROR(__xludf.DUMMYFUNCTION("""COMPUTED_VALUE"""),9.0)</f>
        <v>9</v>
      </c>
      <c r="C4026" s="11">
        <f>IFERROR(__xludf.DUMMYFUNCTION("""COMPUTED_VALUE"""),119088.0)</f>
        <v>119088</v>
      </c>
      <c r="D4026" s="11">
        <f>IFERROR(__xludf.DUMMYFUNCTION("""COMPUTED_VALUE"""),1607.0)</f>
        <v>1607</v>
      </c>
      <c r="E4026" s="9"/>
    </row>
    <row r="4027">
      <c r="A4027" s="11">
        <f>IFERROR(__xludf.DUMMYFUNCTION("""COMPUTED_VALUE"""),2021.0)</f>
        <v>2021</v>
      </c>
      <c r="B4027" s="11">
        <f>IFERROR(__xludf.DUMMYFUNCTION("""COMPUTED_VALUE"""),10.0)</f>
        <v>10</v>
      </c>
      <c r="C4027" s="11">
        <f>IFERROR(__xludf.DUMMYFUNCTION("""COMPUTED_VALUE"""),119431.0)</f>
        <v>119431</v>
      </c>
      <c r="D4027" s="11">
        <f>IFERROR(__xludf.DUMMYFUNCTION("""COMPUTED_VALUE"""),1432.0)</f>
        <v>1432</v>
      </c>
      <c r="E4027" s="9"/>
    </row>
    <row r="4028">
      <c r="A4028" s="11">
        <f>IFERROR(__xludf.DUMMYFUNCTION("""COMPUTED_VALUE"""),2021.0)</f>
        <v>2021</v>
      </c>
      <c r="B4028" s="11">
        <f>IFERROR(__xludf.DUMMYFUNCTION("""COMPUTED_VALUE"""),11.0)</f>
        <v>11</v>
      </c>
      <c r="C4028" s="11">
        <f>IFERROR(__xludf.DUMMYFUNCTION("""COMPUTED_VALUE"""),101279.0)</f>
        <v>101279</v>
      </c>
      <c r="D4028" s="11">
        <f>IFERROR(__xludf.DUMMYFUNCTION("""COMPUTED_VALUE"""),1899.0)</f>
        <v>1899</v>
      </c>
      <c r="E4028" s="9"/>
    </row>
    <row r="4029">
      <c r="A4029" s="11">
        <f>IFERROR(__xludf.DUMMYFUNCTION("""COMPUTED_VALUE"""),2021.0)</f>
        <v>2021</v>
      </c>
      <c r="B4029" s="11">
        <f>IFERROR(__xludf.DUMMYFUNCTION("""COMPUTED_VALUE"""),9.0)</f>
        <v>9</v>
      </c>
      <c r="C4029" s="11">
        <f>IFERROR(__xludf.DUMMYFUNCTION("""COMPUTED_VALUE"""),101270.0)</f>
        <v>101270</v>
      </c>
      <c r="D4029" s="11">
        <f>IFERROR(__xludf.DUMMYFUNCTION("""COMPUTED_VALUE"""),764.0)</f>
        <v>764</v>
      </c>
      <c r="E4029" s="9"/>
    </row>
    <row r="4030">
      <c r="A4030" s="11">
        <f>IFERROR(__xludf.DUMMYFUNCTION("""COMPUTED_VALUE"""),2021.0)</f>
        <v>2021</v>
      </c>
      <c r="B4030" s="11">
        <f>IFERROR(__xludf.DUMMYFUNCTION("""COMPUTED_VALUE"""),9.0)</f>
        <v>9</v>
      </c>
      <c r="C4030" s="11">
        <f>IFERROR(__xludf.DUMMYFUNCTION("""COMPUTED_VALUE"""),101282.0)</f>
        <v>101282</v>
      </c>
      <c r="D4030" s="11">
        <f>IFERROR(__xludf.DUMMYFUNCTION("""COMPUTED_VALUE"""),1082.0)</f>
        <v>1082</v>
      </c>
      <c r="E4030" s="9"/>
    </row>
    <row r="4031">
      <c r="A4031" s="11">
        <f>IFERROR(__xludf.DUMMYFUNCTION("""COMPUTED_VALUE"""),2021.0)</f>
        <v>2021</v>
      </c>
      <c r="B4031" s="11">
        <f>IFERROR(__xludf.DUMMYFUNCTION("""COMPUTED_VALUE"""),9.0)</f>
        <v>9</v>
      </c>
      <c r="C4031" s="11">
        <f>IFERROR(__xludf.DUMMYFUNCTION("""COMPUTED_VALUE"""),70291.0)</f>
        <v>70291</v>
      </c>
      <c r="D4031" s="11">
        <f>IFERROR(__xludf.DUMMYFUNCTION("""COMPUTED_VALUE"""),367.0)</f>
        <v>367</v>
      </c>
      <c r="E4031" s="9"/>
    </row>
    <row r="4032">
      <c r="A4032" s="11">
        <f>IFERROR(__xludf.DUMMYFUNCTION("""COMPUTED_VALUE"""),2021.0)</f>
        <v>2021</v>
      </c>
      <c r="B4032" s="11">
        <f>IFERROR(__xludf.DUMMYFUNCTION("""COMPUTED_VALUE"""),11.0)</f>
        <v>11</v>
      </c>
      <c r="C4032" s="11">
        <f>IFERROR(__xludf.DUMMYFUNCTION("""COMPUTED_VALUE"""),70290.0)</f>
        <v>70290</v>
      </c>
      <c r="D4032" s="11">
        <f>IFERROR(__xludf.DUMMYFUNCTION("""COMPUTED_VALUE"""),353.0)</f>
        <v>353</v>
      </c>
      <c r="E4032" s="9"/>
    </row>
    <row r="4033">
      <c r="A4033" s="11">
        <f>IFERROR(__xludf.DUMMYFUNCTION("""COMPUTED_VALUE"""),2021.0)</f>
        <v>2021</v>
      </c>
      <c r="B4033" s="11">
        <f>IFERROR(__xludf.DUMMYFUNCTION("""COMPUTED_VALUE"""),10.0)</f>
        <v>10</v>
      </c>
      <c r="C4033" s="11">
        <f>IFERROR(__xludf.DUMMYFUNCTION("""COMPUTED_VALUE"""),19188.0)</f>
        <v>19188</v>
      </c>
      <c r="D4033" s="11">
        <f>IFERROR(__xludf.DUMMYFUNCTION("""COMPUTED_VALUE"""),816.0)</f>
        <v>816</v>
      </c>
      <c r="E4033" s="9"/>
    </row>
    <row r="4034">
      <c r="A4034" s="11">
        <f>IFERROR(__xludf.DUMMYFUNCTION("""COMPUTED_VALUE"""),2021.0)</f>
        <v>2021</v>
      </c>
      <c r="B4034" s="11">
        <f>IFERROR(__xludf.DUMMYFUNCTION("""COMPUTED_VALUE"""),11.0)</f>
        <v>11</v>
      </c>
      <c r="C4034" s="11">
        <f>IFERROR(__xludf.DUMMYFUNCTION("""COMPUTED_VALUE"""),41117.0)</f>
        <v>41117</v>
      </c>
      <c r="D4034" s="11">
        <f>IFERROR(__xludf.DUMMYFUNCTION("""COMPUTED_VALUE"""),1846.0)</f>
        <v>1846</v>
      </c>
      <c r="E4034" s="9"/>
    </row>
    <row r="4035">
      <c r="A4035" s="11">
        <f>IFERROR(__xludf.DUMMYFUNCTION("""COMPUTED_VALUE"""),2021.0)</f>
        <v>2021</v>
      </c>
      <c r="B4035" s="11">
        <f>IFERROR(__xludf.DUMMYFUNCTION("""COMPUTED_VALUE"""),9.0)</f>
        <v>9</v>
      </c>
      <c r="C4035" s="11">
        <f>IFERROR(__xludf.DUMMYFUNCTION("""COMPUTED_VALUE"""),30625.0)</f>
        <v>30625</v>
      </c>
      <c r="D4035" s="11">
        <f>IFERROR(__xludf.DUMMYFUNCTION("""COMPUTED_VALUE"""),576.0)</f>
        <v>576</v>
      </c>
      <c r="E4035" s="9"/>
    </row>
    <row r="4036">
      <c r="A4036" s="11">
        <f>IFERROR(__xludf.DUMMYFUNCTION("""COMPUTED_VALUE"""),2021.0)</f>
        <v>2021</v>
      </c>
      <c r="B4036" s="11">
        <f>IFERROR(__xludf.DUMMYFUNCTION("""COMPUTED_VALUE"""),8.0)</f>
        <v>8</v>
      </c>
      <c r="C4036" s="11">
        <f>IFERROR(__xludf.DUMMYFUNCTION("""COMPUTED_VALUE"""),11462.0)</f>
        <v>11462</v>
      </c>
      <c r="D4036" s="11">
        <f>IFERROR(__xludf.DUMMYFUNCTION("""COMPUTED_VALUE"""),201.0)</f>
        <v>201</v>
      </c>
      <c r="E4036" s="9"/>
    </row>
    <row r="4037">
      <c r="A4037" s="11">
        <f>IFERROR(__xludf.DUMMYFUNCTION("""COMPUTED_VALUE"""),2021.0)</f>
        <v>2021</v>
      </c>
      <c r="B4037" s="11">
        <f>IFERROR(__xludf.DUMMYFUNCTION("""COMPUTED_VALUE"""),8.0)</f>
        <v>8</v>
      </c>
      <c r="C4037" s="11">
        <f>IFERROR(__xludf.DUMMYFUNCTION("""COMPUTED_VALUE"""),120733.0)</f>
        <v>120733</v>
      </c>
      <c r="D4037" s="11">
        <f>IFERROR(__xludf.DUMMYFUNCTION("""COMPUTED_VALUE"""),86.0)</f>
        <v>86</v>
      </c>
      <c r="E4037" s="9"/>
    </row>
    <row r="4038">
      <c r="A4038" s="11">
        <f>IFERROR(__xludf.DUMMYFUNCTION("""COMPUTED_VALUE"""),2021.0)</f>
        <v>2021</v>
      </c>
      <c r="B4038" s="11">
        <f>IFERROR(__xludf.DUMMYFUNCTION("""COMPUTED_VALUE"""),11.0)</f>
        <v>11</v>
      </c>
      <c r="C4038" s="11">
        <f>IFERROR(__xludf.DUMMYFUNCTION("""COMPUTED_VALUE"""),83487.0)</f>
        <v>83487</v>
      </c>
      <c r="D4038" s="11">
        <f>IFERROR(__xludf.DUMMYFUNCTION("""COMPUTED_VALUE"""),355.0)</f>
        <v>355</v>
      </c>
      <c r="E4038" s="9"/>
    </row>
    <row r="4039">
      <c r="A4039" s="11">
        <f>IFERROR(__xludf.DUMMYFUNCTION("""COMPUTED_VALUE"""),2021.0)</f>
        <v>2021</v>
      </c>
      <c r="B4039" s="11">
        <f>IFERROR(__xludf.DUMMYFUNCTION("""COMPUTED_VALUE"""),11.0)</f>
        <v>11</v>
      </c>
      <c r="C4039" s="11">
        <f>IFERROR(__xludf.DUMMYFUNCTION("""COMPUTED_VALUE"""),117610.0)</f>
        <v>117610</v>
      </c>
      <c r="D4039" s="11">
        <f>IFERROR(__xludf.DUMMYFUNCTION("""COMPUTED_VALUE"""),966.0)</f>
        <v>966</v>
      </c>
      <c r="E4039" s="9"/>
    </row>
    <row r="4040">
      <c r="A4040" s="11">
        <f>IFERROR(__xludf.DUMMYFUNCTION("""COMPUTED_VALUE"""),2021.0)</f>
        <v>2021</v>
      </c>
      <c r="B4040" s="11">
        <f>IFERROR(__xludf.DUMMYFUNCTION("""COMPUTED_VALUE"""),10.0)</f>
        <v>10</v>
      </c>
      <c r="C4040" s="11">
        <f>IFERROR(__xludf.DUMMYFUNCTION("""COMPUTED_VALUE"""),112177.0)</f>
        <v>112177</v>
      </c>
      <c r="D4040" s="11">
        <f>IFERROR(__xludf.DUMMYFUNCTION("""COMPUTED_VALUE"""),939.0)</f>
        <v>939</v>
      </c>
      <c r="E4040" s="9"/>
    </row>
    <row r="4041">
      <c r="A4041" s="11">
        <f>IFERROR(__xludf.DUMMYFUNCTION("""COMPUTED_VALUE"""),2021.0)</f>
        <v>2021</v>
      </c>
      <c r="B4041" s="11">
        <f>IFERROR(__xludf.DUMMYFUNCTION("""COMPUTED_VALUE"""),8.0)</f>
        <v>8</v>
      </c>
      <c r="C4041" s="11">
        <f>IFERROR(__xludf.DUMMYFUNCTION("""COMPUTED_VALUE"""),11412.0)</f>
        <v>11412</v>
      </c>
      <c r="D4041" s="11">
        <f>IFERROR(__xludf.DUMMYFUNCTION("""COMPUTED_VALUE"""),668.0)</f>
        <v>668</v>
      </c>
      <c r="E4041" s="9"/>
    </row>
    <row r="4042">
      <c r="A4042" s="11">
        <f>IFERROR(__xludf.DUMMYFUNCTION("""COMPUTED_VALUE"""),2021.0)</f>
        <v>2021</v>
      </c>
      <c r="B4042" s="11">
        <f>IFERROR(__xludf.DUMMYFUNCTION("""COMPUTED_VALUE"""),11.0)</f>
        <v>11</v>
      </c>
      <c r="C4042" s="11">
        <f>IFERROR(__xludf.DUMMYFUNCTION("""COMPUTED_VALUE"""),76842.0)</f>
        <v>76842</v>
      </c>
      <c r="D4042" s="11">
        <f>IFERROR(__xludf.DUMMYFUNCTION("""COMPUTED_VALUE"""),1431.0)</f>
        <v>1431</v>
      </c>
      <c r="E4042" s="9"/>
    </row>
    <row r="4043">
      <c r="A4043" s="11">
        <f>IFERROR(__xludf.DUMMYFUNCTION("""COMPUTED_VALUE"""),2021.0)</f>
        <v>2021</v>
      </c>
      <c r="B4043" s="11">
        <f>IFERROR(__xludf.DUMMYFUNCTION("""COMPUTED_VALUE"""),8.0)</f>
        <v>8</v>
      </c>
      <c r="C4043" s="11">
        <f>IFERROR(__xludf.DUMMYFUNCTION("""COMPUTED_VALUE"""),78366.0)</f>
        <v>78366</v>
      </c>
      <c r="D4043" s="11">
        <f>IFERROR(__xludf.DUMMYFUNCTION("""COMPUTED_VALUE"""),780.0)</f>
        <v>780</v>
      </c>
      <c r="E4043" s="9"/>
    </row>
    <row r="4044">
      <c r="A4044" s="11">
        <f>IFERROR(__xludf.DUMMYFUNCTION("""COMPUTED_VALUE"""),2021.0)</f>
        <v>2021</v>
      </c>
      <c r="B4044" s="11">
        <f>IFERROR(__xludf.DUMMYFUNCTION("""COMPUTED_VALUE"""),10.0)</f>
        <v>10</v>
      </c>
      <c r="C4044" s="11">
        <f>IFERROR(__xludf.DUMMYFUNCTION("""COMPUTED_VALUE"""),98984.0)</f>
        <v>98984</v>
      </c>
      <c r="D4044" s="11">
        <f>IFERROR(__xludf.DUMMYFUNCTION("""COMPUTED_VALUE"""),835.0)</f>
        <v>835</v>
      </c>
      <c r="E4044" s="9"/>
    </row>
    <row r="4045">
      <c r="A4045" s="11">
        <f>IFERROR(__xludf.DUMMYFUNCTION("""COMPUTED_VALUE"""),2021.0)</f>
        <v>2021</v>
      </c>
      <c r="B4045" s="11">
        <f>IFERROR(__xludf.DUMMYFUNCTION("""COMPUTED_VALUE"""),9.0)</f>
        <v>9</v>
      </c>
      <c r="C4045" s="11">
        <f>IFERROR(__xludf.DUMMYFUNCTION("""COMPUTED_VALUE"""),120310.0)</f>
        <v>120310</v>
      </c>
      <c r="D4045" s="11">
        <f>IFERROR(__xludf.DUMMYFUNCTION("""COMPUTED_VALUE"""),157.0)</f>
        <v>157</v>
      </c>
      <c r="E4045" s="9"/>
    </row>
    <row r="4046">
      <c r="A4046" s="11">
        <f>IFERROR(__xludf.DUMMYFUNCTION("""COMPUTED_VALUE"""),2021.0)</f>
        <v>2021</v>
      </c>
      <c r="B4046" s="11">
        <f>IFERROR(__xludf.DUMMYFUNCTION("""COMPUTED_VALUE"""),10.0)</f>
        <v>10</v>
      </c>
      <c r="C4046" s="11">
        <f>IFERROR(__xludf.DUMMYFUNCTION("""COMPUTED_VALUE"""),116277.0)</f>
        <v>116277</v>
      </c>
      <c r="D4046" s="11">
        <f>IFERROR(__xludf.DUMMYFUNCTION("""COMPUTED_VALUE"""),504.0)</f>
        <v>504</v>
      </c>
      <c r="E4046" s="9"/>
    </row>
    <row r="4047">
      <c r="A4047" s="11">
        <f>IFERROR(__xludf.DUMMYFUNCTION("""COMPUTED_VALUE"""),2021.0)</f>
        <v>2021</v>
      </c>
      <c r="B4047" s="11">
        <f>IFERROR(__xludf.DUMMYFUNCTION("""COMPUTED_VALUE"""),11.0)</f>
        <v>11</v>
      </c>
      <c r="C4047" s="11">
        <f>IFERROR(__xludf.DUMMYFUNCTION("""COMPUTED_VALUE"""),77670.0)</f>
        <v>77670</v>
      </c>
      <c r="D4047" s="11">
        <f>IFERROR(__xludf.DUMMYFUNCTION("""COMPUTED_VALUE"""),1904.0)</f>
        <v>1904</v>
      </c>
      <c r="E4047" s="9"/>
    </row>
    <row r="4048">
      <c r="A4048" s="11">
        <f>IFERROR(__xludf.DUMMYFUNCTION("""COMPUTED_VALUE"""),2021.0)</f>
        <v>2021</v>
      </c>
      <c r="B4048" s="11">
        <f>IFERROR(__xludf.DUMMYFUNCTION("""COMPUTED_VALUE"""),8.0)</f>
        <v>8</v>
      </c>
      <c r="C4048" s="11">
        <f>IFERROR(__xludf.DUMMYFUNCTION("""COMPUTED_VALUE"""),78363.0)</f>
        <v>78363</v>
      </c>
      <c r="D4048" s="11">
        <f>IFERROR(__xludf.DUMMYFUNCTION("""COMPUTED_VALUE"""),1638.0)</f>
        <v>1638</v>
      </c>
      <c r="E4048" s="9"/>
    </row>
    <row r="4049">
      <c r="A4049" s="11">
        <f>IFERROR(__xludf.DUMMYFUNCTION("""COMPUTED_VALUE"""),2021.0)</f>
        <v>2021</v>
      </c>
      <c r="B4049" s="11">
        <f>IFERROR(__xludf.DUMMYFUNCTION("""COMPUTED_VALUE"""),10.0)</f>
        <v>10</v>
      </c>
      <c r="C4049" s="11">
        <f>IFERROR(__xludf.DUMMYFUNCTION("""COMPUTED_VALUE"""),11458.0)</f>
        <v>11458</v>
      </c>
      <c r="D4049" s="11">
        <f>IFERROR(__xludf.DUMMYFUNCTION("""COMPUTED_VALUE"""),890.0)</f>
        <v>890</v>
      </c>
      <c r="E4049" s="9"/>
    </row>
    <row r="4050">
      <c r="A4050" s="11">
        <f>IFERROR(__xludf.DUMMYFUNCTION("""COMPUTED_VALUE"""),2021.0)</f>
        <v>2021</v>
      </c>
      <c r="B4050" s="11">
        <f>IFERROR(__xludf.DUMMYFUNCTION("""COMPUTED_VALUE"""),9.0)</f>
        <v>9</v>
      </c>
      <c r="C4050" s="11">
        <f>IFERROR(__xludf.DUMMYFUNCTION("""COMPUTED_VALUE"""),11456.0)</f>
        <v>11456</v>
      </c>
      <c r="D4050" s="11">
        <f>IFERROR(__xludf.DUMMYFUNCTION("""COMPUTED_VALUE"""),545.0)</f>
        <v>545</v>
      </c>
      <c r="E4050" s="9"/>
    </row>
    <row r="4051">
      <c r="A4051" s="11">
        <f>IFERROR(__xludf.DUMMYFUNCTION("""COMPUTED_VALUE"""),2021.0)</f>
        <v>2021</v>
      </c>
      <c r="B4051" s="11">
        <f>IFERROR(__xludf.DUMMYFUNCTION("""COMPUTED_VALUE"""),8.0)</f>
        <v>8</v>
      </c>
      <c r="C4051" s="11">
        <f>IFERROR(__xludf.DUMMYFUNCTION("""COMPUTED_VALUE"""),120726.0)</f>
        <v>120726</v>
      </c>
      <c r="D4051" s="11">
        <f>IFERROR(__xludf.DUMMYFUNCTION("""COMPUTED_VALUE"""),680.0)</f>
        <v>680</v>
      </c>
      <c r="E4051" s="9"/>
    </row>
    <row r="4052">
      <c r="A4052" s="11">
        <f>IFERROR(__xludf.DUMMYFUNCTION("""COMPUTED_VALUE"""),2021.0)</f>
        <v>2021</v>
      </c>
      <c r="B4052" s="11">
        <f>IFERROR(__xludf.DUMMYFUNCTION("""COMPUTED_VALUE"""),8.0)</f>
        <v>8</v>
      </c>
      <c r="C4052" s="11">
        <f>IFERROR(__xludf.DUMMYFUNCTION("""COMPUTED_VALUE"""),11404.0)</f>
        <v>11404</v>
      </c>
      <c r="D4052" s="11">
        <f>IFERROR(__xludf.DUMMYFUNCTION("""COMPUTED_VALUE"""),1684.0)</f>
        <v>1684</v>
      </c>
      <c r="E4052" s="9"/>
    </row>
    <row r="4053">
      <c r="A4053" s="11">
        <f>IFERROR(__xludf.DUMMYFUNCTION("""COMPUTED_VALUE"""),2021.0)</f>
        <v>2021</v>
      </c>
      <c r="B4053" s="11">
        <f>IFERROR(__xludf.DUMMYFUNCTION("""COMPUTED_VALUE"""),9.0)</f>
        <v>9</v>
      </c>
      <c r="C4053" s="11">
        <f>IFERROR(__xludf.DUMMYFUNCTION("""COMPUTED_VALUE"""),11408.0)</f>
        <v>11408</v>
      </c>
      <c r="D4053" s="11">
        <f>IFERROR(__xludf.DUMMYFUNCTION("""COMPUTED_VALUE"""),371.0)</f>
        <v>371</v>
      </c>
      <c r="E4053" s="9"/>
    </row>
    <row r="4054">
      <c r="A4054" s="11">
        <f>IFERROR(__xludf.DUMMYFUNCTION("""COMPUTED_VALUE"""),2021.0)</f>
        <v>2021</v>
      </c>
      <c r="B4054" s="11">
        <f>IFERROR(__xludf.DUMMYFUNCTION("""COMPUTED_VALUE"""),9.0)</f>
        <v>9</v>
      </c>
      <c r="C4054" s="11">
        <f>IFERROR(__xludf.DUMMYFUNCTION("""COMPUTED_VALUE"""),120708.0)</f>
        <v>120708</v>
      </c>
      <c r="D4054" s="11">
        <f>IFERROR(__xludf.DUMMYFUNCTION("""COMPUTED_VALUE"""),1390.0)</f>
        <v>1390</v>
      </c>
      <c r="E4054" s="9"/>
    </row>
    <row r="4055">
      <c r="A4055" s="11">
        <f>IFERROR(__xludf.DUMMYFUNCTION("""COMPUTED_VALUE"""),2021.0)</f>
        <v>2021</v>
      </c>
      <c r="B4055" s="11">
        <f>IFERROR(__xludf.DUMMYFUNCTION("""COMPUTED_VALUE"""),11.0)</f>
        <v>11</v>
      </c>
      <c r="C4055" s="11">
        <f>IFERROR(__xludf.DUMMYFUNCTION("""COMPUTED_VALUE"""),74419.0)</f>
        <v>74419</v>
      </c>
      <c r="D4055" s="11">
        <f>IFERROR(__xludf.DUMMYFUNCTION("""COMPUTED_VALUE"""),1590.0)</f>
        <v>1590</v>
      </c>
      <c r="E4055" s="9"/>
    </row>
    <row r="4056">
      <c r="A4056" s="11">
        <f>IFERROR(__xludf.DUMMYFUNCTION("""COMPUTED_VALUE"""),2021.0)</f>
        <v>2021</v>
      </c>
      <c r="B4056" s="11">
        <f>IFERROR(__xludf.DUMMYFUNCTION("""COMPUTED_VALUE"""),8.0)</f>
        <v>8</v>
      </c>
      <c r="C4056" s="11">
        <f>IFERROR(__xludf.DUMMYFUNCTION("""COMPUTED_VALUE"""),113278.0)</f>
        <v>113278</v>
      </c>
      <c r="D4056" s="11">
        <f>IFERROR(__xludf.DUMMYFUNCTION("""COMPUTED_VALUE"""),1510.0)</f>
        <v>1510</v>
      </c>
      <c r="E4056" s="9"/>
    </row>
    <row r="4057">
      <c r="A4057" s="11">
        <f>IFERROR(__xludf.DUMMYFUNCTION("""COMPUTED_VALUE"""),2021.0)</f>
        <v>2021</v>
      </c>
      <c r="B4057" s="11">
        <f>IFERROR(__xludf.DUMMYFUNCTION("""COMPUTED_VALUE"""),10.0)</f>
        <v>10</v>
      </c>
      <c r="C4057" s="11">
        <f>IFERROR(__xludf.DUMMYFUNCTION("""COMPUTED_VALUE"""),83486.0)</f>
        <v>83486</v>
      </c>
      <c r="D4057" s="11">
        <f>IFERROR(__xludf.DUMMYFUNCTION("""COMPUTED_VALUE"""),34.0)</f>
        <v>34</v>
      </c>
      <c r="E4057" s="9"/>
    </row>
    <row r="4058">
      <c r="A4058" s="11">
        <f>IFERROR(__xludf.DUMMYFUNCTION("""COMPUTED_VALUE"""),2021.0)</f>
        <v>2021</v>
      </c>
      <c r="B4058" s="11">
        <f>IFERROR(__xludf.DUMMYFUNCTION("""COMPUTED_VALUE"""),8.0)</f>
        <v>8</v>
      </c>
      <c r="C4058" s="11">
        <f>IFERROR(__xludf.DUMMYFUNCTION("""COMPUTED_VALUE"""),11452.0)</f>
        <v>11452</v>
      </c>
      <c r="D4058" s="11">
        <f>IFERROR(__xludf.DUMMYFUNCTION("""COMPUTED_VALUE"""),1662.0)</f>
        <v>1662</v>
      </c>
      <c r="E4058" s="9"/>
    </row>
    <row r="4059">
      <c r="A4059" s="11">
        <f>IFERROR(__xludf.DUMMYFUNCTION("""COMPUTED_VALUE"""),2021.0)</f>
        <v>2021</v>
      </c>
      <c r="B4059" s="11">
        <f>IFERROR(__xludf.DUMMYFUNCTION("""COMPUTED_VALUE"""),9.0)</f>
        <v>9</v>
      </c>
      <c r="C4059" s="11">
        <f>IFERROR(__xludf.DUMMYFUNCTION("""COMPUTED_VALUE"""),116803.0)</f>
        <v>116803</v>
      </c>
      <c r="D4059" s="11">
        <f>IFERROR(__xludf.DUMMYFUNCTION("""COMPUTED_VALUE"""),1040.0)</f>
        <v>1040</v>
      </c>
      <c r="E4059" s="9"/>
    </row>
    <row r="4060">
      <c r="A4060" s="11">
        <f>IFERROR(__xludf.DUMMYFUNCTION("""COMPUTED_VALUE"""),2021.0)</f>
        <v>2021</v>
      </c>
      <c r="B4060" s="11">
        <f>IFERROR(__xludf.DUMMYFUNCTION("""COMPUTED_VALUE"""),11.0)</f>
        <v>11</v>
      </c>
      <c r="C4060" s="11">
        <f>IFERROR(__xludf.DUMMYFUNCTION("""COMPUTED_VALUE"""),77657.0)</f>
        <v>77657</v>
      </c>
      <c r="D4060" s="11">
        <f>IFERROR(__xludf.DUMMYFUNCTION("""COMPUTED_VALUE"""),1355.0)</f>
        <v>1355</v>
      </c>
      <c r="E4060" s="9"/>
    </row>
    <row r="4061">
      <c r="A4061" s="11">
        <f>IFERROR(__xludf.DUMMYFUNCTION("""COMPUTED_VALUE"""),2021.0)</f>
        <v>2021</v>
      </c>
      <c r="B4061" s="11">
        <f>IFERROR(__xludf.DUMMYFUNCTION("""COMPUTED_VALUE"""),11.0)</f>
        <v>11</v>
      </c>
      <c r="C4061" s="11">
        <f>IFERROR(__xludf.DUMMYFUNCTION("""COMPUTED_VALUE"""),120309.0)</f>
        <v>120309</v>
      </c>
      <c r="D4061" s="11">
        <f>IFERROR(__xludf.DUMMYFUNCTION("""COMPUTED_VALUE"""),1149.0)</f>
        <v>1149</v>
      </c>
      <c r="E4061" s="9"/>
    </row>
    <row r="4062">
      <c r="A4062" s="11">
        <f>IFERROR(__xludf.DUMMYFUNCTION("""COMPUTED_VALUE"""),2021.0)</f>
        <v>2021</v>
      </c>
      <c r="B4062" s="11">
        <f>IFERROR(__xludf.DUMMYFUNCTION("""COMPUTED_VALUE"""),8.0)</f>
        <v>8</v>
      </c>
      <c r="C4062" s="11">
        <f>IFERROR(__xludf.DUMMYFUNCTION("""COMPUTED_VALUE"""),116276.0)</f>
        <v>116276</v>
      </c>
      <c r="D4062" s="11">
        <f>IFERROR(__xludf.DUMMYFUNCTION("""COMPUTED_VALUE"""),1335.0)</f>
        <v>1335</v>
      </c>
      <c r="E4062" s="9"/>
    </row>
    <row r="4063">
      <c r="A4063" s="11">
        <f>IFERROR(__xludf.DUMMYFUNCTION("""COMPUTED_VALUE"""),2021.0)</f>
        <v>2021</v>
      </c>
      <c r="B4063" s="11">
        <f>IFERROR(__xludf.DUMMYFUNCTION("""COMPUTED_VALUE"""),11.0)</f>
        <v>11</v>
      </c>
      <c r="C4063" s="11">
        <f>IFERROR(__xludf.DUMMYFUNCTION("""COMPUTED_VALUE"""),104623.0)</f>
        <v>104623</v>
      </c>
      <c r="D4063" s="11">
        <f>IFERROR(__xludf.DUMMYFUNCTION("""COMPUTED_VALUE"""),228.0)</f>
        <v>228</v>
      </c>
      <c r="E4063" s="9"/>
    </row>
    <row r="4064">
      <c r="A4064" s="11">
        <f>IFERROR(__xludf.DUMMYFUNCTION("""COMPUTED_VALUE"""),2021.0)</f>
        <v>2021</v>
      </c>
      <c r="B4064" s="11">
        <f>IFERROR(__xludf.DUMMYFUNCTION("""COMPUTED_VALUE"""),10.0)</f>
        <v>10</v>
      </c>
      <c r="C4064" s="11">
        <f>IFERROR(__xludf.DUMMYFUNCTION("""COMPUTED_VALUE"""),78364.0)</f>
        <v>78364</v>
      </c>
      <c r="D4064" s="11">
        <f>IFERROR(__xludf.DUMMYFUNCTION("""COMPUTED_VALUE"""),1090.0)</f>
        <v>1090</v>
      </c>
      <c r="E4064" s="9"/>
    </row>
    <row r="4065">
      <c r="A4065" s="11">
        <f>IFERROR(__xludf.DUMMYFUNCTION("""COMPUTED_VALUE"""),2021.0)</f>
        <v>2021</v>
      </c>
      <c r="B4065" s="11">
        <f>IFERROR(__xludf.DUMMYFUNCTION("""COMPUTED_VALUE"""),11.0)</f>
        <v>11</v>
      </c>
      <c r="C4065" s="11">
        <f>IFERROR(__xludf.DUMMYFUNCTION("""COMPUTED_VALUE"""),76837.0)</f>
        <v>76837</v>
      </c>
      <c r="D4065" s="11">
        <f>IFERROR(__xludf.DUMMYFUNCTION("""COMPUTED_VALUE"""),1932.0)</f>
        <v>1932</v>
      </c>
      <c r="E4065" s="9"/>
    </row>
    <row r="4066">
      <c r="A4066" s="11">
        <f>IFERROR(__xludf.DUMMYFUNCTION("""COMPUTED_VALUE"""),2021.0)</f>
        <v>2021</v>
      </c>
      <c r="B4066" s="11">
        <f>IFERROR(__xludf.DUMMYFUNCTION("""COMPUTED_VALUE"""),8.0)</f>
        <v>8</v>
      </c>
      <c r="C4066" s="11">
        <f>IFERROR(__xludf.DUMMYFUNCTION("""COMPUTED_VALUE"""),82873.0)</f>
        <v>82873</v>
      </c>
      <c r="D4066" s="11">
        <f>IFERROR(__xludf.DUMMYFUNCTION("""COMPUTED_VALUE"""),30.0)</f>
        <v>30</v>
      </c>
      <c r="E4066" s="9"/>
    </row>
    <row r="4067">
      <c r="A4067" s="11">
        <f>IFERROR(__xludf.DUMMYFUNCTION("""COMPUTED_VALUE"""),2021.0)</f>
        <v>2021</v>
      </c>
      <c r="B4067" s="11">
        <f>IFERROR(__xludf.DUMMYFUNCTION("""COMPUTED_VALUE"""),11.0)</f>
        <v>11</v>
      </c>
      <c r="C4067" s="11">
        <f>IFERROR(__xludf.DUMMYFUNCTION("""COMPUTED_VALUE"""),110341.0)</f>
        <v>110341</v>
      </c>
      <c r="D4067" s="11">
        <f>IFERROR(__xludf.DUMMYFUNCTION("""COMPUTED_VALUE"""),1948.0)</f>
        <v>1948</v>
      </c>
      <c r="E4067" s="9"/>
    </row>
    <row r="4068">
      <c r="A4068" s="11">
        <f>IFERROR(__xludf.DUMMYFUNCTION("""COMPUTED_VALUE"""),2021.0)</f>
        <v>2021</v>
      </c>
      <c r="B4068" s="11">
        <f>IFERROR(__xludf.DUMMYFUNCTION("""COMPUTED_VALUE"""),10.0)</f>
        <v>10</v>
      </c>
      <c r="C4068" s="11">
        <f>IFERROR(__xludf.DUMMYFUNCTION("""COMPUTED_VALUE"""),76874.0)</f>
        <v>76874</v>
      </c>
      <c r="D4068" s="11">
        <f>IFERROR(__xludf.DUMMYFUNCTION("""COMPUTED_VALUE"""),414.0)</f>
        <v>414</v>
      </c>
      <c r="E4068" s="9"/>
    </row>
    <row r="4069">
      <c r="A4069" s="11">
        <f>IFERROR(__xludf.DUMMYFUNCTION("""COMPUTED_VALUE"""),2021.0)</f>
        <v>2021</v>
      </c>
      <c r="B4069" s="11">
        <f>IFERROR(__xludf.DUMMYFUNCTION("""COMPUTED_VALUE"""),9.0)</f>
        <v>9</v>
      </c>
      <c r="C4069" s="11">
        <f>IFERROR(__xludf.DUMMYFUNCTION("""COMPUTED_VALUE"""),110340.0)</f>
        <v>110340</v>
      </c>
      <c r="D4069" s="11">
        <f>IFERROR(__xludf.DUMMYFUNCTION("""COMPUTED_VALUE"""),55.0)</f>
        <v>55</v>
      </c>
      <c r="E4069" s="9"/>
    </row>
    <row r="4070">
      <c r="A4070" s="11">
        <f>IFERROR(__xludf.DUMMYFUNCTION("""COMPUTED_VALUE"""),2021.0)</f>
        <v>2021</v>
      </c>
      <c r="B4070" s="11">
        <f>IFERROR(__xludf.DUMMYFUNCTION("""COMPUTED_VALUE"""),11.0)</f>
        <v>11</v>
      </c>
      <c r="C4070" s="11">
        <f>IFERROR(__xludf.DUMMYFUNCTION("""COMPUTED_VALUE"""),44409.0)</f>
        <v>44409</v>
      </c>
      <c r="D4070" s="11">
        <f>IFERROR(__xludf.DUMMYFUNCTION("""COMPUTED_VALUE"""),1277.0)</f>
        <v>1277</v>
      </c>
      <c r="E4070" s="9"/>
    </row>
    <row r="4071">
      <c r="A4071" s="11">
        <f>IFERROR(__xludf.DUMMYFUNCTION("""COMPUTED_VALUE"""),2021.0)</f>
        <v>2021</v>
      </c>
      <c r="B4071" s="11">
        <f>IFERROR(__xludf.DUMMYFUNCTION("""COMPUTED_VALUE"""),9.0)</f>
        <v>9</v>
      </c>
      <c r="C4071" s="11">
        <f>IFERROR(__xludf.DUMMYFUNCTION("""COMPUTED_VALUE"""),73831.0)</f>
        <v>73831</v>
      </c>
      <c r="D4071" s="11">
        <f>IFERROR(__xludf.DUMMYFUNCTION("""COMPUTED_VALUE"""),1684.0)</f>
        <v>1684</v>
      </c>
      <c r="E4071" s="9"/>
    </row>
    <row r="4072">
      <c r="A4072" s="11">
        <f>IFERROR(__xludf.DUMMYFUNCTION("""COMPUTED_VALUE"""),2021.0)</f>
        <v>2021</v>
      </c>
      <c r="B4072" s="11">
        <f>IFERROR(__xludf.DUMMYFUNCTION("""COMPUTED_VALUE"""),10.0)</f>
        <v>10</v>
      </c>
      <c r="C4072" s="11">
        <f>IFERROR(__xludf.DUMMYFUNCTION("""COMPUTED_VALUE"""),79035.0)</f>
        <v>79035</v>
      </c>
      <c r="D4072" s="11">
        <f>IFERROR(__xludf.DUMMYFUNCTION("""COMPUTED_VALUE"""),1435.0)</f>
        <v>1435</v>
      </c>
      <c r="E4072" s="9"/>
    </row>
    <row r="4073">
      <c r="A4073" s="11">
        <f>IFERROR(__xludf.DUMMYFUNCTION("""COMPUTED_VALUE"""),2021.0)</f>
        <v>2021</v>
      </c>
      <c r="B4073" s="11">
        <f>IFERROR(__xludf.DUMMYFUNCTION("""COMPUTED_VALUE"""),8.0)</f>
        <v>8</v>
      </c>
      <c r="C4073" s="11">
        <f>IFERROR(__xludf.DUMMYFUNCTION("""COMPUTED_VALUE"""),94951.0)</f>
        <v>94951</v>
      </c>
      <c r="D4073" s="11">
        <f>IFERROR(__xludf.DUMMYFUNCTION("""COMPUTED_VALUE"""),585.0)</f>
        <v>585</v>
      </c>
      <c r="E4073" s="9"/>
    </row>
    <row r="4074">
      <c r="A4074" s="11">
        <f>IFERROR(__xludf.DUMMYFUNCTION("""COMPUTED_VALUE"""),2021.0)</f>
        <v>2021</v>
      </c>
      <c r="B4074" s="11">
        <f>IFERROR(__xludf.DUMMYFUNCTION("""COMPUTED_VALUE"""),10.0)</f>
        <v>10</v>
      </c>
      <c r="C4074" s="11">
        <f>IFERROR(__xludf.DUMMYFUNCTION("""COMPUTED_VALUE"""),22248.0)</f>
        <v>22248</v>
      </c>
      <c r="D4074" s="11">
        <f>IFERROR(__xludf.DUMMYFUNCTION("""COMPUTED_VALUE"""),1377.0)</f>
        <v>1377</v>
      </c>
      <c r="E4074" s="9"/>
    </row>
    <row r="4075">
      <c r="A4075" s="11">
        <f>IFERROR(__xludf.DUMMYFUNCTION("""COMPUTED_VALUE"""),2021.0)</f>
        <v>2021</v>
      </c>
      <c r="B4075" s="11">
        <f>IFERROR(__xludf.DUMMYFUNCTION("""COMPUTED_VALUE"""),10.0)</f>
        <v>10</v>
      </c>
      <c r="C4075" s="11">
        <f>IFERROR(__xludf.DUMMYFUNCTION("""COMPUTED_VALUE"""),16088.0)</f>
        <v>16088</v>
      </c>
      <c r="D4075" s="11">
        <f>IFERROR(__xludf.DUMMYFUNCTION("""COMPUTED_VALUE"""),427.0)</f>
        <v>427</v>
      </c>
      <c r="E4075" s="9"/>
    </row>
    <row r="4076">
      <c r="A4076" s="11">
        <f>IFERROR(__xludf.DUMMYFUNCTION("""COMPUTED_VALUE"""),2021.0)</f>
        <v>2021</v>
      </c>
      <c r="B4076" s="11">
        <f>IFERROR(__xludf.DUMMYFUNCTION("""COMPUTED_VALUE"""),8.0)</f>
        <v>8</v>
      </c>
      <c r="C4076" s="11">
        <f>IFERROR(__xludf.DUMMYFUNCTION("""COMPUTED_VALUE"""),10571.0)</f>
        <v>10571</v>
      </c>
      <c r="D4076" s="11">
        <f>IFERROR(__xludf.DUMMYFUNCTION("""COMPUTED_VALUE"""),1725.0)</f>
        <v>1725</v>
      </c>
      <c r="E4076" s="9"/>
    </row>
    <row r="4077">
      <c r="A4077" s="11">
        <f>IFERROR(__xludf.DUMMYFUNCTION("""COMPUTED_VALUE"""),2021.0)</f>
        <v>2021</v>
      </c>
      <c r="B4077" s="11">
        <f>IFERROR(__xludf.DUMMYFUNCTION("""COMPUTED_VALUE"""),11.0)</f>
        <v>11</v>
      </c>
      <c r="C4077" s="11">
        <f>IFERROR(__xludf.DUMMYFUNCTION("""COMPUTED_VALUE"""),182012.0)</f>
        <v>182012</v>
      </c>
      <c r="D4077" s="11">
        <f>IFERROR(__xludf.DUMMYFUNCTION("""COMPUTED_VALUE"""),1538.0)</f>
        <v>1538</v>
      </c>
      <c r="E4077" s="9"/>
    </row>
    <row r="4078">
      <c r="A4078" s="11">
        <f>IFERROR(__xludf.DUMMYFUNCTION("""COMPUTED_VALUE"""),2021.0)</f>
        <v>2021</v>
      </c>
      <c r="B4078" s="11">
        <f>IFERROR(__xludf.DUMMYFUNCTION("""COMPUTED_VALUE"""),11.0)</f>
        <v>11</v>
      </c>
      <c r="C4078" s="11">
        <f>IFERROR(__xludf.DUMMYFUNCTION("""COMPUTED_VALUE"""),182013.0)</f>
        <v>182013</v>
      </c>
      <c r="D4078" s="11">
        <f>IFERROR(__xludf.DUMMYFUNCTION("""COMPUTED_VALUE"""),436.0)</f>
        <v>436</v>
      </c>
      <c r="E4078" s="9"/>
    </row>
    <row r="4079">
      <c r="A4079" s="11">
        <f>IFERROR(__xludf.DUMMYFUNCTION("""COMPUTED_VALUE"""),2021.0)</f>
        <v>2021</v>
      </c>
      <c r="B4079" s="11">
        <f>IFERROR(__xludf.DUMMYFUNCTION("""COMPUTED_VALUE"""),11.0)</f>
        <v>11</v>
      </c>
      <c r="C4079" s="11">
        <f>IFERROR(__xludf.DUMMYFUNCTION("""COMPUTED_VALUE"""),107400.0)</f>
        <v>107400</v>
      </c>
      <c r="D4079" s="11">
        <f>IFERROR(__xludf.DUMMYFUNCTION("""COMPUTED_VALUE"""),181.0)</f>
        <v>181</v>
      </c>
      <c r="E4079" s="9"/>
    </row>
    <row r="4080">
      <c r="A4080" s="11">
        <f>IFERROR(__xludf.DUMMYFUNCTION("""COMPUTED_VALUE"""),2021.0)</f>
        <v>2021</v>
      </c>
      <c r="B4080" s="11">
        <f>IFERROR(__xludf.DUMMYFUNCTION("""COMPUTED_VALUE"""),8.0)</f>
        <v>8</v>
      </c>
      <c r="C4080" s="11">
        <f>IFERROR(__xludf.DUMMYFUNCTION("""COMPUTED_VALUE"""),48623.0)</f>
        <v>48623</v>
      </c>
      <c r="D4080" s="11">
        <f>IFERROR(__xludf.DUMMYFUNCTION("""COMPUTED_VALUE"""),233.0)</f>
        <v>233</v>
      </c>
      <c r="E4080" s="9"/>
    </row>
    <row r="4081">
      <c r="A4081" s="11">
        <f>IFERROR(__xludf.DUMMYFUNCTION("""COMPUTED_VALUE"""),2021.0)</f>
        <v>2021</v>
      </c>
      <c r="B4081" s="11">
        <f>IFERROR(__xludf.DUMMYFUNCTION("""COMPUTED_VALUE"""),11.0)</f>
        <v>11</v>
      </c>
      <c r="C4081" s="11">
        <f>IFERROR(__xludf.DUMMYFUNCTION("""COMPUTED_VALUE"""),48616.0)</f>
        <v>48616</v>
      </c>
      <c r="D4081" s="11">
        <f>IFERROR(__xludf.DUMMYFUNCTION("""COMPUTED_VALUE"""),1144.0)</f>
        <v>1144</v>
      </c>
      <c r="E4081" s="9"/>
    </row>
    <row r="4082">
      <c r="A4082" s="11">
        <f>IFERROR(__xludf.DUMMYFUNCTION("""COMPUTED_VALUE"""),2021.0)</f>
        <v>2021</v>
      </c>
      <c r="B4082" s="11">
        <f>IFERROR(__xludf.DUMMYFUNCTION("""COMPUTED_VALUE"""),8.0)</f>
        <v>8</v>
      </c>
      <c r="C4082" s="11">
        <f>IFERROR(__xludf.DUMMYFUNCTION("""COMPUTED_VALUE"""),47515.0)</f>
        <v>47515</v>
      </c>
      <c r="D4082" s="11">
        <f>IFERROR(__xludf.DUMMYFUNCTION("""COMPUTED_VALUE"""),943.0)</f>
        <v>943</v>
      </c>
      <c r="E4082" s="9"/>
    </row>
    <row r="4083">
      <c r="A4083" s="11">
        <f>IFERROR(__xludf.DUMMYFUNCTION("""COMPUTED_VALUE"""),2021.0)</f>
        <v>2021</v>
      </c>
      <c r="B4083" s="11">
        <f>IFERROR(__xludf.DUMMYFUNCTION("""COMPUTED_VALUE"""),8.0)</f>
        <v>8</v>
      </c>
      <c r="C4083" s="11">
        <f>IFERROR(__xludf.DUMMYFUNCTION("""COMPUTED_VALUE"""),81915.0)</f>
        <v>81915</v>
      </c>
      <c r="D4083" s="11">
        <f>IFERROR(__xludf.DUMMYFUNCTION("""COMPUTED_VALUE"""),1048.0)</f>
        <v>1048</v>
      </c>
      <c r="E4083" s="9"/>
    </row>
    <row r="4084">
      <c r="A4084" s="11">
        <f>IFERROR(__xludf.DUMMYFUNCTION("""COMPUTED_VALUE"""),2021.0)</f>
        <v>2021</v>
      </c>
      <c r="B4084" s="11">
        <f>IFERROR(__xludf.DUMMYFUNCTION("""COMPUTED_VALUE"""),11.0)</f>
        <v>11</v>
      </c>
      <c r="C4084" s="11">
        <f>IFERROR(__xludf.DUMMYFUNCTION("""COMPUTED_VALUE"""),108920.0)</f>
        <v>108920</v>
      </c>
      <c r="D4084" s="11">
        <f>IFERROR(__xludf.DUMMYFUNCTION("""COMPUTED_VALUE"""),1506.0)</f>
        <v>1506</v>
      </c>
      <c r="E4084" s="9"/>
    </row>
    <row r="4085">
      <c r="A4085" s="11">
        <f>IFERROR(__xludf.DUMMYFUNCTION("""COMPUTED_VALUE"""),2021.0)</f>
        <v>2021</v>
      </c>
      <c r="B4085" s="11">
        <f>IFERROR(__xludf.DUMMYFUNCTION("""COMPUTED_VALUE"""),11.0)</f>
        <v>11</v>
      </c>
      <c r="C4085" s="11">
        <f>IFERROR(__xludf.DUMMYFUNCTION("""COMPUTED_VALUE"""),107406.0)</f>
        <v>107406</v>
      </c>
      <c r="D4085" s="11">
        <f>IFERROR(__xludf.DUMMYFUNCTION("""COMPUTED_VALUE"""),1540.0)</f>
        <v>1540</v>
      </c>
      <c r="E4085" s="9"/>
    </row>
    <row r="4086">
      <c r="A4086" s="11">
        <f>IFERROR(__xludf.DUMMYFUNCTION("""COMPUTED_VALUE"""),2021.0)</f>
        <v>2021</v>
      </c>
      <c r="B4086" s="11">
        <f>IFERROR(__xludf.DUMMYFUNCTION("""COMPUTED_VALUE"""),8.0)</f>
        <v>8</v>
      </c>
      <c r="C4086" s="11">
        <f>IFERROR(__xludf.DUMMYFUNCTION("""COMPUTED_VALUE"""),24074.0)</f>
        <v>24074</v>
      </c>
      <c r="D4086" s="11">
        <f>IFERROR(__xludf.DUMMYFUNCTION("""COMPUTED_VALUE"""),1186.0)</f>
        <v>1186</v>
      </c>
      <c r="E4086" s="9"/>
    </row>
    <row r="4087">
      <c r="A4087" s="11">
        <f>IFERROR(__xludf.DUMMYFUNCTION("""COMPUTED_VALUE"""),2021.0)</f>
        <v>2021</v>
      </c>
      <c r="B4087" s="11">
        <f>IFERROR(__xludf.DUMMYFUNCTION("""COMPUTED_VALUE"""),11.0)</f>
        <v>11</v>
      </c>
      <c r="C4087" s="11">
        <f>IFERROR(__xludf.DUMMYFUNCTION("""COMPUTED_VALUE"""),107388.0)</f>
        <v>107388</v>
      </c>
      <c r="D4087" s="11">
        <f>IFERROR(__xludf.DUMMYFUNCTION("""COMPUTED_VALUE"""),945.0)</f>
        <v>945</v>
      </c>
      <c r="E4087" s="9"/>
    </row>
    <row r="4088">
      <c r="A4088" s="11">
        <f>IFERROR(__xludf.DUMMYFUNCTION("""COMPUTED_VALUE"""),2021.0)</f>
        <v>2021</v>
      </c>
      <c r="B4088" s="11">
        <f>IFERROR(__xludf.DUMMYFUNCTION("""COMPUTED_VALUE"""),9.0)</f>
        <v>9</v>
      </c>
      <c r="C4088" s="11">
        <f>IFERROR(__xludf.DUMMYFUNCTION("""COMPUTED_VALUE"""),24075.0)</f>
        <v>24075</v>
      </c>
      <c r="D4088" s="11">
        <f>IFERROR(__xludf.DUMMYFUNCTION("""COMPUTED_VALUE"""),1305.0)</f>
        <v>1305</v>
      </c>
      <c r="E4088" s="9"/>
    </row>
    <row r="4089">
      <c r="A4089" s="11">
        <f>IFERROR(__xludf.DUMMYFUNCTION("""COMPUTED_VALUE"""),2021.0)</f>
        <v>2021</v>
      </c>
      <c r="B4089" s="11">
        <f>IFERROR(__xludf.DUMMYFUNCTION("""COMPUTED_VALUE"""),11.0)</f>
        <v>11</v>
      </c>
      <c r="C4089" s="11">
        <f>IFERROR(__xludf.DUMMYFUNCTION("""COMPUTED_VALUE"""),27639.0)</f>
        <v>27639</v>
      </c>
      <c r="D4089" s="11">
        <f>IFERROR(__xludf.DUMMYFUNCTION("""COMPUTED_VALUE"""),254.0)</f>
        <v>254</v>
      </c>
      <c r="E4089" s="9"/>
    </row>
    <row r="4090">
      <c r="A4090" s="11">
        <f>IFERROR(__xludf.DUMMYFUNCTION("""COMPUTED_VALUE"""),2021.0)</f>
        <v>2021</v>
      </c>
      <c r="B4090" s="11">
        <f>IFERROR(__xludf.DUMMYFUNCTION("""COMPUTED_VALUE"""),10.0)</f>
        <v>10</v>
      </c>
      <c r="C4090" s="11">
        <f>IFERROR(__xludf.DUMMYFUNCTION("""COMPUTED_VALUE"""),103632.0)</f>
        <v>103632</v>
      </c>
      <c r="D4090" s="11">
        <f>IFERROR(__xludf.DUMMYFUNCTION("""COMPUTED_VALUE"""),1575.0)</f>
        <v>1575</v>
      </c>
      <c r="E4090" s="9"/>
    </row>
    <row r="4091">
      <c r="A4091" s="11">
        <f>IFERROR(__xludf.DUMMYFUNCTION("""COMPUTED_VALUE"""),2021.0)</f>
        <v>2021</v>
      </c>
      <c r="B4091" s="11">
        <f>IFERROR(__xludf.DUMMYFUNCTION("""COMPUTED_VALUE"""),11.0)</f>
        <v>11</v>
      </c>
      <c r="C4091" s="11">
        <f>IFERROR(__xludf.DUMMYFUNCTION("""COMPUTED_VALUE"""),10569.0)</f>
        <v>10569</v>
      </c>
      <c r="D4091" s="11">
        <f>IFERROR(__xludf.DUMMYFUNCTION("""COMPUTED_VALUE"""),1661.0)</f>
        <v>1661</v>
      </c>
      <c r="E4091" s="9"/>
    </row>
    <row r="4092">
      <c r="A4092" s="11">
        <f>IFERROR(__xludf.DUMMYFUNCTION("""COMPUTED_VALUE"""),2021.0)</f>
        <v>2021</v>
      </c>
      <c r="B4092" s="11">
        <f>IFERROR(__xludf.DUMMYFUNCTION("""COMPUTED_VALUE"""),11.0)</f>
        <v>11</v>
      </c>
      <c r="C4092" s="11">
        <f>IFERROR(__xludf.DUMMYFUNCTION("""COMPUTED_VALUE"""),182007.0)</f>
        <v>182007</v>
      </c>
      <c r="D4092" s="11">
        <f>IFERROR(__xludf.DUMMYFUNCTION("""COMPUTED_VALUE"""),404.0)</f>
        <v>404</v>
      </c>
      <c r="E4092" s="9"/>
    </row>
    <row r="4093">
      <c r="A4093" s="11">
        <f>IFERROR(__xludf.DUMMYFUNCTION("""COMPUTED_VALUE"""),2021.0)</f>
        <v>2021</v>
      </c>
      <c r="B4093" s="11">
        <f>IFERROR(__xludf.DUMMYFUNCTION("""COMPUTED_VALUE"""),8.0)</f>
        <v>8</v>
      </c>
      <c r="C4093" s="11">
        <f>IFERROR(__xludf.DUMMYFUNCTION("""COMPUTED_VALUE"""),182009.0)</f>
        <v>182009</v>
      </c>
      <c r="D4093" s="11">
        <f>IFERROR(__xludf.DUMMYFUNCTION("""COMPUTED_VALUE"""),883.0)</f>
        <v>883</v>
      </c>
      <c r="E4093" s="9"/>
    </row>
    <row r="4094">
      <c r="A4094" s="11">
        <f>IFERROR(__xludf.DUMMYFUNCTION("""COMPUTED_VALUE"""),2021.0)</f>
        <v>2021</v>
      </c>
      <c r="B4094" s="11">
        <f>IFERROR(__xludf.DUMMYFUNCTION("""COMPUTED_VALUE"""),11.0)</f>
        <v>11</v>
      </c>
      <c r="C4094" s="11">
        <f>IFERROR(__xludf.DUMMYFUNCTION("""COMPUTED_VALUE"""),103630.0)</f>
        <v>103630</v>
      </c>
      <c r="D4094" s="11">
        <f>IFERROR(__xludf.DUMMYFUNCTION("""COMPUTED_VALUE"""),125.0)</f>
        <v>125</v>
      </c>
      <c r="E4094" s="9"/>
    </row>
    <row r="4095">
      <c r="A4095" s="11">
        <f>IFERROR(__xludf.DUMMYFUNCTION("""COMPUTED_VALUE"""),2021.0)</f>
        <v>2021</v>
      </c>
      <c r="B4095" s="11">
        <f>IFERROR(__xludf.DUMMYFUNCTION("""COMPUTED_VALUE"""),11.0)</f>
        <v>11</v>
      </c>
      <c r="C4095" s="11">
        <f>IFERROR(__xludf.DUMMYFUNCTION("""COMPUTED_VALUE"""),47514.0)</f>
        <v>47514</v>
      </c>
      <c r="D4095" s="11">
        <f>IFERROR(__xludf.DUMMYFUNCTION("""COMPUTED_VALUE"""),887.0)</f>
        <v>887</v>
      </c>
      <c r="E4095" s="9"/>
    </row>
    <row r="4096">
      <c r="A4096" s="11">
        <f>IFERROR(__xludf.DUMMYFUNCTION("""COMPUTED_VALUE"""),2021.0)</f>
        <v>2021</v>
      </c>
      <c r="B4096" s="11">
        <f>IFERROR(__xludf.DUMMYFUNCTION("""COMPUTED_VALUE"""),10.0)</f>
        <v>10</v>
      </c>
      <c r="C4096" s="11">
        <f>IFERROR(__xludf.DUMMYFUNCTION("""COMPUTED_VALUE"""),86370.0)</f>
        <v>86370</v>
      </c>
      <c r="D4096" s="11">
        <f>IFERROR(__xludf.DUMMYFUNCTION("""COMPUTED_VALUE"""),1385.0)</f>
        <v>1385</v>
      </c>
      <c r="E4096" s="9"/>
    </row>
    <row r="4097">
      <c r="A4097" s="11">
        <f>IFERROR(__xludf.DUMMYFUNCTION("""COMPUTED_VALUE"""),2021.0)</f>
        <v>2021</v>
      </c>
      <c r="B4097" s="11">
        <f>IFERROR(__xludf.DUMMYFUNCTION("""COMPUTED_VALUE"""),10.0)</f>
        <v>10</v>
      </c>
      <c r="C4097" s="11">
        <f>IFERROR(__xludf.DUMMYFUNCTION("""COMPUTED_VALUE"""),86368.0)</f>
        <v>86368</v>
      </c>
      <c r="D4097" s="11">
        <f>IFERROR(__xludf.DUMMYFUNCTION("""COMPUTED_VALUE"""),484.0)</f>
        <v>484</v>
      </c>
      <c r="E4097" s="9"/>
    </row>
    <row r="4098">
      <c r="A4098" s="11">
        <f>IFERROR(__xludf.DUMMYFUNCTION("""COMPUTED_VALUE"""),2021.0)</f>
        <v>2021</v>
      </c>
      <c r="B4098" s="11">
        <f>IFERROR(__xludf.DUMMYFUNCTION("""COMPUTED_VALUE"""),11.0)</f>
        <v>11</v>
      </c>
      <c r="C4098" s="11">
        <f>IFERROR(__xludf.DUMMYFUNCTION("""COMPUTED_VALUE"""),103174.0)</f>
        <v>103174</v>
      </c>
      <c r="D4098" s="11">
        <f>IFERROR(__xludf.DUMMYFUNCTION("""COMPUTED_VALUE"""),88.0)</f>
        <v>88</v>
      </c>
      <c r="E4098" s="9"/>
    </row>
    <row r="4099">
      <c r="A4099" s="11">
        <f>IFERROR(__xludf.DUMMYFUNCTION("""COMPUTED_VALUE"""),2021.0)</f>
        <v>2021</v>
      </c>
      <c r="B4099" s="11">
        <f>IFERROR(__xludf.DUMMYFUNCTION("""COMPUTED_VALUE"""),9.0)</f>
        <v>9</v>
      </c>
      <c r="C4099" s="11">
        <f>IFERROR(__xludf.DUMMYFUNCTION("""COMPUTED_VALUE"""),48632.0)</f>
        <v>48632</v>
      </c>
      <c r="D4099" s="11">
        <f>IFERROR(__xludf.DUMMYFUNCTION("""COMPUTED_VALUE"""),1152.0)</f>
        <v>1152</v>
      </c>
      <c r="E4099" s="9"/>
    </row>
    <row r="4100">
      <c r="A4100" s="11">
        <f>IFERROR(__xludf.DUMMYFUNCTION("""COMPUTED_VALUE"""),2021.0)</f>
        <v>2021</v>
      </c>
      <c r="B4100" s="11">
        <f>IFERROR(__xludf.DUMMYFUNCTION("""COMPUTED_VALUE"""),11.0)</f>
        <v>11</v>
      </c>
      <c r="C4100" s="11">
        <f>IFERROR(__xludf.DUMMYFUNCTION("""COMPUTED_VALUE"""),48630.0)</f>
        <v>48630</v>
      </c>
      <c r="D4100" s="11">
        <f>IFERROR(__xludf.DUMMYFUNCTION("""COMPUTED_VALUE"""),1688.0)</f>
        <v>1688</v>
      </c>
      <c r="E4100" s="9"/>
    </row>
    <row r="4101">
      <c r="A4101" s="11">
        <f>IFERROR(__xludf.DUMMYFUNCTION("""COMPUTED_VALUE"""),2021.0)</f>
        <v>2021</v>
      </c>
      <c r="B4101" s="11">
        <f>IFERROR(__xludf.DUMMYFUNCTION("""COMPUTED_VALUE"""),10.0)</f>
        <v>10</v>
      </c>
      <c r="C4101" s="11">
        <f>IFERROR(__xludf.DUMMYFUNCTION("""COMPUTED_VALUE"""),48624.0)</f>
        <v>48624</v>
      </c>
      <c r="D4101" s="11">
        <f>IFERROR(__xludf.DUMMYFUNCTION("""COMPUTED_VALUE"""),1805.0)</f>
        <v>1805</v>
      </c>
      <c r="E4101" s="9"/>
    </row>
    <row r="4102">
      <c r="A4102" s="11">
        <f>IFERROR(__xludf.DUMMYFUNCTION("""COMPUTED_VALUE"""),2021.0)</f>
        <v>2021</v>
      </c>
      <c r="B4102" s="11">
        <f>IFERROR(__xludf.DUMMYFUNCTION("""COMPUTED_VALUE"""),10.0)</f>
        <v>10</v>
      </c>
      <c r="C4102" s="11">
        <f>IFERROR(__xludf.DUMMYFUNCTION("""COMPUTED_VALUE"""),10573.0)</f>
        <v>10573</v>
      </c>
      <c r="D4102" s="11">
        <f>IFERROR(__xludf.DUMMYFUNCTION("""COMPUTED_VALUE"""),1662.0)</f>
        <v>1662</v>
      </c>
      <c r="E4102" s="9"/>
    </row>
    <row r="4103">
      <c r="A4103" s="11">
        <f>IFERROR(__xludf.DUMMYFUNCTION("""COMPUTED_VALUE"""),2021.0)</f>
        <v>2021</v>
      </c>
      <c r="B4103" s="11">
        <f>IFERROR(__xludf.DUMMYFUNCTION("""COMPUTED_VALUE"""),9.0)</f>
        <v>9</v>
      </c>
      <c r="C4103" s="11">
        <f>IFERROR(__xludf.DUMMYFUNCTION("""COMPUTED_VALUE"""),18115.0)</f>
        <v>18115</v>
      </c>
      <c r="D4103" s="11">
        <f>IFERROR(__xludf.DUMMYFUNCTION("""COMPUTED_VALUE"""),976.0)</f>
        <v>976</v>
      </c>
      <c r="E4103" s="9"/>
    </row>
    <row r="4104">
      <c r="A4104" s="11">
        <f>IFERROR(__xludf.DUMMYFUNCTION("""COMPUTED_VALUE"""),2021.0)</f>
        <v>2021</v>
      </c>
      <c r="B4104" s="11">
        <f>IFERROR(__xludf.DUMMYFUNCTION("""COMPUTED_VALUE"""),9.0)</f>
        <v>9</v>
      </c>
      <c r="C4104" s="11">
        <f>IFERROR(__xludf.DUMMYFUNCTION("""COMPUTED_VALUE"""),83057.0)</f>
        <v>83057</v>
      </c>
      <c r="D4104" s="11">
        <f>IFERROR(__xludf.DUMMYFUNCTION("""COMPUTED_VALUE"""),914.0)</f>
        <v>914</v>
      </c>
      <c r="E4104" s="9"/>
    </row>
    <row r="4105">
      <c r="A4105" s="11">
        <f>IFERROR(__xludf.DUMMYFUNCTION("""COMPUTED_VALUE"""),2021.0)</f>
        <v>2021</v>
      </c>
      <c r="B4105" s="11">
        <f>IFERROR(__xludf.DUMMYFUNCTION("""COMPUTED_VALUE"""),9.0)</f>
        <v>9</v>
      </c>
      <c r="C4105" s="11">
        <f>IFERROR(__xludf.DUMMYFUNCTION("""COMPUTED_VALUE"""),26727.0)</f>
        <v>26727</v>
      </c>
      <c r="D4105" s="11">
        <f>IFERROR(__xludf.DUMMYFUNCTION("""COMPUTED_VALUE"""),738.0)</f>
        <v>738</v>
      </c>
      <c r="E4105" s="9"/>
    </row>
    <row r="4106">
      <c r="A4106" s="11">
        <f>IFERROR(__xludf.DUMMYFUNCTION("""COMPUTED_VALUE"""),2021.0)</f>
        <v>2021</v>
      </c>
      <c r="B4106" s="11">
        <f>IFERROR(__xludf.DUMMYFUNCTION("""COMPUTED_VALUE"""),9.0)</f>
        <v>9</v>
      </c>
      <c r="C4106" s="11">
        <f>IFERROR(__xludf.DUMMYFUNCTION("""COMPUTED_VALUE"""),85779.0)</f>
        <v>85779</v>
      </c>
      <c r="D4106" s="11">
        <f>IFERROR(__xludf.DUMMYFUNCTION("""COMPUTED_VALUE"""),1006.0)</f>
        <v>1006</v>
      </c>
      <c r="E4106" s="9"/>
    </row>
    <row r="4107">
      <c r="A4107" s="11">
        <f>IFERROR(__xludf.DUMMYFUNCTION("""COMPUTED_VALUE"""),2021.0)</f>
        <v>2021</v>
      </c>
      <c r="B4107" s="11">
        <f>IFERROR(__xludf.DUMMYFUNCTION("""COMPUTED_VALUE"""),10.0)</f>
        <v>10</v>
      </c>
      <c r="C4107" s="11">
        <f>IFERROR(__xludf.DUMMYFUNCTION("""COMPUTED_VALUE"""),84396.0)</f>
        <v>84396</v>
      </c>
      <c r="D4107" s="11">
        <f>IFERROR(__xludf.DUMMYFUNCTION("""COMPUTED_VALUE"""),166.0)</f>
        <v>166</v>
      </c>
      <c r="E4107" s="9"/>
    </row>
    <row r="4108">
      <c r="A4108" s="11">
        <f>IFERROR(__xludf.DUMMYFUNCTION("""COMPUTED_VALUE"""),2021.0)</f>
        <v>2021</v>
      </c>
      <c r="B4108" s="11">
        <f>IFERROR(__xludf.DUMMYFUNCTION("""COMPUTED_VALUE"""),11.0)</f>
        <v>11</v>
      </c>
      <c r="C4108" s="11">
        <f>IFERROR(__xludf.DUMMYFUNCTION("""COMPUTED_VALUE"""),42676.0)</f>
        <v>42676</v>
      </c>
      <c r="D4108" s="11">
        <f>IFERROR(__xludf.DUMMYFUNCTION("""COMPUTED_VALUE"""),1346.0)</f>
        <v>1346</v>
      </c>
      <c r="E4108" s="9"/>
    </row>
    <row r="4109">
      <c r="A4109" s="11">
        <f>IFERROR(__xludf.DUMMYFUNCTION("""COMPUTED_VALUE"""),2021.0)</f>
        <v>2021</v>
      </c>
      <c r="B4109" s="11">
        <f>IFERROR(__xludf.DUMMYFUNCTION("""COMPUTED_VALUE"""),11.0)</f>
        <v>11</v>
      </c>
      <c r="C4109" s="11">
        <f>IFERROR(__xludf.DUMMYFUNCTION("""COMPUTED_VALUE"""),108380.0)</f>
        <v>108380</v>
      </c>
      <c r="D4109" s="11">
        <f>IFERROR(__xludf.DUMMYFUNCTION("""COMPUTED_VALUE"""),1368.0)</f>
        <v>1368</v>
      </c>
      <c r="E4109" s="9"/>
    </row>
    <row r="4110">
      <c r="A4110" s="11">
        <f>IFERROR(__xludf.DUMMYFUNCTION("""COMPUTED_VALUE"""),2021.0)</f>
        <v>2021</v>
      </c>
      <c r="B4110" s="11">
        <f>IFERROR(__xludf.DUMMYFUNCTION("""COMPUTED_VALUE"""),8.0)</f>
        <v>8</v>
      </c>
      <c r="C4110" s="11">
        <f>IFERROR(__xludf.DUMMYFUNCTION("""COMPUTED_VALUE"""),10565.0)</f>
        <v>10565</v>
      </c>
      <c r="D4110" s="11">
        <f>IFERROR(__xludf.DUMMYFUNCTION("""COMPUTED_VALUE"""),723.0)</f>
        <v>723</v>
      </c>
      <c r="E4110" s="9"/>
    </row>
    <row r="4111">
      <c r="A4111" s="11">
        <f>IFERROR(__xludf.DUMMYFUNCTION("""COMPUTED_VALUE"""),2021.0)</f>
        <v>2021</v>
      </c>
      <c r="B4111" s="11">
        <f>IFERROR(__xludf.DUMMYFUNCTION("""COMPUTED_VALUE"""),9.0)</f>
        <v>9</v>
      </c>
      <c r="C4111" s="11">
        <f>IFERROR(__xludf.DUMMYFUNCTION("""COMPUTED_VALUE"""),107631.0)</f>
        <v>107631</v>
      </c>
      <c r="D4111" s="11">
        <f>IFERROR(__xludf.DUMMYFUNCTION("""COMPUTED_VALUE"""),905.0)</f>
        <v>905</v>
      </c>
      <c r="E4111" s="9"/>
    </row>
    <row r="4112">
      <c r="A4112" s="11">
        <f>IFERROR(__xludf.DUMMYFUNCTION("""COMPUTED_VALUE"""),2021.0)</f>
        <v>2021</v>
      </c>
      <c r="B4112" s="11">
        <f>IFERROR(__xludf.DUMMYFUNCTION("""COMPUTED_VALUE"""),11.0)</f>
        <v>11</v>
      </c>
      <c r="C4112" s="11">
        <f>IFERROR(__xludf.DUMMYFUNCTION("""COMPUTED_VALUE"""),24061.0)</f>
        <v>24061</v>
      </c>
      <c r="D4112" s="11">
        <f>IFERROR(__xludf.DUMMYFUNCTION("""COMPUTED_VALUE"""),1744.0)</f>
        <v>1744</v>
      </c>
      <c r="E4112" s="9"/>
    </row>
    <row r="4113">
      <c r="A4113" s="11">
        <f>IFERROR(__xludf.DUMMYFUNCTION("""COMPUTED_VALUE"""),2021.0)</f>
        <v>2021</v>
      </c>
      <c r="B4113" s="11">
        <f>IFERROR(__xludf.DUMMYFUNCTION("""COMPUTED_VALUE"""),9.0)</f>
        <v>9</v>
      </c>
      <c r="C4113" s="11">
        <f>IFERROR(__xludf.DUMMYFUNCTION("""COMPUTED_VALUE"""),182051.0)</f>
        <v>182051</v>
      </c>
      <c r="D4113" s="11">
        <f>IFERROR(__xludf.DUMMYFUNCTION("""COMPUTED_VALUE"""),1105.0)</f>
        <v>1105</v>
      </c>
      <c r="E4113" s="9"/>
    </row>
    <row r="4114">
      <c r="A4114" s="11">
        <f>IFERROR(__xludf.DUMMYFUNCTION("""COMPUTED_VALUE"""),2021.0)</f>
        <v>2021</v>
      </c>
      <c r="B4114" s="11">
        <f>IFERROR(__xludf.DUMMYFUNCTION("""COMPUTED_VALUE"""),9.0)</f>
        <v>9</v>
      </c>
      <c r="C4114" s="11">
        <f>IFERROR(__xludf.DUMMYFUNCTION("""COMPUTED_VALUE"""),86360.0)</f>
        <v>86360</v>
      </c>
      <c r="D4114" s="11">
        <f>IFERROR(__xludf.DUMMYFUNCTION("""COMPUTED_VALUE"""),1576.0)</f>
        <v>1576</v>
      </c>
      <c r="E4114" s="9"/>
    </row>
    <row r="4115">
      <c r="A4115" s="11">
        <f>IFERROR(__xludf.DUMMYFUNCTION("""COMPUTED_VALUE"""),2021.0)</f>
        <v>2021</v>
      </c>
      <c r="B4115" s="11">
        <f>IFERROR(__xludf.DUMMYFUNCTION("""COMPUTED_VALUE"""),10.0)</f>
        <v>10</v>
      </c>
      <c r="C4115" s="11">
        <f>IFERROR(__xludf.DUMMYFUNCTION("""COMPUTED_VALUE"""),10566.0)</f>
        <v>10566</v>
      </c>
      <c r="D4115" s="11">
        <f>IFERROR(__xludf.DUMMYFUNCTION("""COMPUTED_VALUE"""),1503.0)</f>
        <v>1503</v>
      </c>
      <c r="E4115" s="9"/>
    </row>
    <row r="4116">
      <c r="A4116" s="11">
        <f>IFERROR(__xludf.DUMMYFUNCTION("""COMPUTED_VALUE"""),2021.0)</f>
        <v>2021</v>
      </c>
      <c r="B4116" s="11">
        <f>IFERROR(__xludf.DUMMYFUNCTION("""COMPUTED_VALUE"""),8.0)</f>
        <v>8</v>
      </c>
      <c r="C4116" s="11">
        <f>IFERROR(__xludf.DUMMYFUNCTION("""COMPUTED_VALUE"""),182014.0)</f>
        <v>182014</v>
      </c>
      <c r="D4116" s="11">
        <f>IFERROR(__xludf.DUMMYFUNCTION("""COMPUTED_VALUE"""),913.0)</f>
        <v>913</v>
      </c>
      <c r="E4116" s="9"/>
    </row>
    <row r="4117">
      <c r="A4117" s="11">
        <f>IFERROR(__xludf.DUMMYFUNCTION("""COMPUTED_VALUE"""),2021.0)</f>
        <v>2021</v>
      </c>
      <c r="B4117" s="11">
        <f>IFERROR(__xludf.DUMMYFUNCTION("""COMPUTED_VALUE"""),10.0)</f>
        <v>10</v>
      </c>
      <c r="C4117" s="11">
        <f>IFERROR(__xludf.DUMMYFUNCTION("""COMPUTED_VALUE"""),182010.0)</f>
        <v>182010</v>
      </c>
      <c r="D4117" s="11">
        <f>IFERROR(__xludf.DUMMYFUNCTION("""COMPUTED_VALUE"""),1799.0)</f>
        <v>1799</v>
      </c>
      <c r="E4117" s="9"/>
    </row>
    <row r="4118">
      <c r="A4118" s="11">
        <f>IFERROR(__xludf.DUMMYFUNCTION("""COMPUTED_VALUE"""),2021.0)</f>
        <v>2021</v>
      </c>
      <c r="B4118" s="11">
        <f>IFERROR(__xludf.DUMMYFUNCTION("""COMPUTED_VALUE"""),9.0)</f>
        <v>9</v>
      </c>
      <c r="C4118" s="11">
        <f>IFERROR(__xludf.DUMMYFUNCTION("""COMPUTED_VALUE"""),24076.0)</f>
        <v>24076</v>
      </c>
      <c r="D4118" s="11">
        <f>IFERROR(__xludf.DUMMYFUNCTION("""COMPUTED_VALUE"""),1286.0)</f>
        <v>1286</v>
      </c>
      <c r="E4118" s="9"/>
    </row>
    <row r="4119">
      <c r="A4119" s="11">
        <f>IFERROR(__xludf.DUMMYFUNCTION("""COMPUTED_VALUE"""),2021.0)</f>
        <v>2021</v>
      </c>
      <c r="B4119" s="11">
        <f>IFERROR(__xludf.DUMMYFUNCTION("""COMPUTED_VALUE"""),9.0)</f>
        <v>9</v>
      </c>
      <c r="C4119" s="11">
        <f>IFERROR(__xludf.DUMMYFUNCTION("""COMPUTED_VALUE"""),10572.0)</f>
        <v>10572</v>
      </c>
      <c r="D4119" s="11">
        <f>IFERROR(__xludf.DUMMYFUNCTION("""COMPUTED_VALUE"""),1634.0)</f>
        <v>1634</v>
      </c>
      <c r="E4119" s="9"/>
    </row>
    <row r="4120">
      <c r="A4120" s="11">
        <f>IFERROR(__xludf.DUMMYFUNCTION("""COMPUTED_VALUE"""),2021.0)</f>
        <v>2021</v>
      </c>
      <c r="B4120" s="11">
        <f>IFERROR(__xludf.DUMMYFUNCTION("""COMPUTED_VALUE"""),8.0)</f>
        <v>8</v>
      </c>
      <c r="C4120" s="11">
        <f>IFERROR(__xludf.DUMMYFUNCTION("""COMPUTED_VALUE"""),47527.0)</f>
        <v>47527</v>
      </c>
      <c r="D4120" s="11">
        <f>IFERROR(__xludf.DUMMYFUNCTION("""COMPUTED_VALUE"""),257.0)</f>
        <v>257</v>
      </c>
      <c r="E4120" s="9"/>
    </row>
    <row r="4121">
      <c r="A4121" s="11">
        <f>IFERROR(__xludf.DUMMYFUNCTION("""COMPUTED_VALUE"""),2021.0)</f>
        <v>2021</v>
      </c>
      <c r="B4121" s="11">
        <f>IFERROR(__xludf.DUMMYFUNCTION("""COMPUTED_VALUE"""),11.0)</f>
        <v>11</v>
      </c>
      <c r="C4121" s="11">
        <f>IFERROR(__xludf.DUMMYFUNCTION("""COMPUTED_VALUE"""),10577.0)</f>
        <v>10577</v>
      </c>
      <c r="D4121" s="11">
        <f>IFERROR(__xludf.DUMMYFUNCTION("""COMPUTED_VALUE"""),302.0)</f>
        <v>302</v>
      </c>
      <c r="E4121" s="9"/>
    </row>
    <row r="4122">
      <c r="A4122" s="11">
        <f>IFERROR(__xludf.DUMMYFUNCTION("""COMPUTED_VALUE"""),2021.0)</f>
        <v>2021</v>
      </c>
      <c r="B4122" s="11">
        <f>IFERROR(__xludf.DUMMYFUNCTION("""COMPUTED_VALUE"""),11.0)</f>
        <v>11</v>
      </c>
      <c r="C4122" s="11">
        <f>IFERROR(__xludf.DUMMYFUNCTION("""COMPUTED_VALUE"""),81914.0)</f>
        <v>81914</v>
      </c>
      <c r="D4122" s="11">
        <f>IFERROR(__xludf.DUMMYFUNCTION("""COMPUTED_VALUE"""),321.0)</f>
        <v>321</v>
      </c>
      <c r="E4122" s="9"/>
    </row>
    <row r="4123">
      <c r="A4123" s="11">
        <f>IFERROR(__xludf.DUMMYFUNCTION("""COMPUTED_VALUE"""),2021.0)</f>
        <v>2021</v>
      </c>
      <c r="B4123" s="11">
        <f>IFERROR(__xludf.DUMMYFUNCTION("""COMPUTED_VALUE"""),8.0)</f>
        <v>8</v>
      </c>
      <c r="C4123" s="11">
        <f>IFERROR(__xludf.DUMMYFUNCTION("""COMPUTED_VALUE"""),120186.0)</f>
        <v>120186</v>
      </c>
      <c r="D4123" s="11">
        <f>IFERROR(__xludf.DUMMYFUNCTION("""COMPUTED_VALUE"""),1719.0)</f>
        <v>1719</v>
      </c>
      <c r="E4123" s="9"/>
    </row>
    <row r="4124">
      <c r="A4124" s="11">
        <f>IFERROR(__xludf.DUMMYFUNCTION("""COMPUTED_VALUE"""),2021.0)</f>
        <v>2021</v>
      </c>
      <c r="B4124" s="11">
        <f>IFERROR(__xludf.DUMMYFUNCTION("""COMPUTED_VALUE"""),8.0)</f>
        <v>8</v>
      </c>
      <c r="C4124" s="11">
        <f>IFERROR(__xludf.DUMMYFUNCTION("""COMPUTED_VALUE"""),182015.0)</f>
        <v>182015</v>
      </c>
      <c r="D4124" s="11">
        <f>IFERROR(__xludf.DUMMYFUNCTION("""COMPUTED_VALUE"""),1756.0)</f>
        <v>1756</v>
      </c>
      <c r="E4124" s="9"/>
    </row>
    <row r="4125">
      <c r="A4125" s="11">
        <f>IFERROR(__xludf.DUMMYFUNCTION("""COMPUTED_VALUE"""),2021.0)</f>
        <v>2021</v>
      </c>
      <c r="B4125" s="11">
        <f>IFERROR(__xludf.DUMMYFUNCTION("""COMPUTED_VALUE"""),8.0)</f>
        <v>8</v>
      </c>
      <c r="C4125" s="11">
        <f>IFERROR(__xludf.DUMMYFUNCTION("""COMPUTED_VALUE"""),117919.0)</f>
        <v>117919</v>
      </c>
      <c r="D4125" s="11">
        <f>IFERROR(__xludf.DUMMYFUNCTION("""COMPUTED_VALUE"""),1470.0)</f>
        <v>1470</v>
      </c>
      <c r="E4125" s="9"/>
    </row>
    <row r="4126">
      <c r="A4126" s="11">
        <f>IFERROR(__xludf.DUMMYFUNCTION("""COMPUTED_VALUE"""),2021.0)</f>
        <v>2021</v>
      </c>
      <c r="B4126" s="11">
        <f>IFERROR(__xludf.DUMMYFUNCTION("""COMPUTED_VALUE"""),10.0)</f>
        <v>10</v>
      </c>
      <c r="C4126" s="11">
        <f>IFERROR(__xludf.DUMMYFUNCTION("""COMPUTED_VALUE"""),71228.0)</f>
        <v>71228</v>
      </c>
      <c r="D4126" s="11">
        <f>IFERROR(__xludf.DUMMYFUNCTION("""COMPUTED_VALUE"""),678.0)</f>
        <v>678</v>
      </c>
      <c r="E4126" s="9"/>
    </row>
    <row r="4127">
      <c r="A4127" s="11">
        <f>IFERROR(__xludf.DUMMYFUNCTION("""COMPUTED_VALUE"""),2021.0)</f>
        <v>2021</v>
      </c>
      <c r="B4127" s="11">
        <f>IFERROR(__xludf.DUMMYFUNCTION("""COMPUTED_VALUE"""),10.0)</f>
        <v>10</v>
      </c>
      <c r="C4127" s="11">
        <f>IFERROR(__xludf.DUMMYFUNCTION("""COMPUTED_VALUE"""),67264.0)</f>
        <v>67264</v>
      </c>
      <c r="D4127" s="11">
        <f>IFERROR(__xludf.DUMMYFUNCTION("""COMPUTED_VALUE"""),715.0)</f>
        <v>715</v>
      </c>
      <c r="E4127" s="9"/>
    </row>
    <row r="4128">
      <c r="A4128" s="11">
        <f>IFERROR(__xludf.DUMMYFUNCTION("""COMPUTED_VALUE"""),2021.0)</f>
        <v>2021</v>
      </c>
      <c r="B4128" s="11">
        <f>IFERROR(__xludf.DUMMYFUNCTION("""COMPUTED_VALUE"""),11.0)</f>
        <v>11</v>
      </c>
      <c r="C4128" s="11">
        <f>IFERROR(__xludf.DUMMYFUNCTION("""COMPUTED_VALUE"""),82984.0)</f>
        <v>82984</v>
      </c>
      <c r="D4128" s="11">
        <f>IFERROR(__xludf.DUMMYFUNCTION("""COMPUTED_VALUE"""),563.0)</f>
        <v>563</v>
      </c>
      <c r="E4128" s="9"/>
    </row>
    <row r="4129">
      <c r="A4129" s="11">
        <f>IFERROR(__xludf.DUMMYFUNCTION("""COMPUTED_VALUE"""),2021.0)</f>
        <v>2021</v>
      </c>
      <c r="B4129" s="11">
        <f>IFERROR(__xludf.DUMMYFUNCTION("""COMPUTED_VALUE"""),11.0)</f>
        <v>11</v>
      </c>
      <c r="C4129" s="11">
        <f>IFERROR(__xludf.DUMMYFUNCTION("""COMPUTED_VALUE"""),86420.0)</f>
        <v>86420</v>
      </c>
      <c r="D4129" s="11">
        <f>IFERROR(__xludf.DUMMYFUNCTION("""COMPUTED_VALUE"""),1633.0)</f>
        <v>1633</v>
      </c>
      <c r="E4129" s="9"/>
    </row>
    <row r="4130">
      <c r="A4130" s="11">
        <f>IFERROR(__xludf.DUMMYFUNCTION("""COMPUTED_VALUE"""),2021.0)</f>
        <v>2021</v>
      </c>
      <c r="B4130" s="11">
        <f>IFERROR(__xludf.DUMMYFUNCTION("""COMPUTED_VALUE"""),11.0)</f>
        <v>11</v>
      </c>
      <c r="C4130" s="11">
        <f>IFERROR(__xludf.DUMMYFUNCTION("""COMPUTED_VALUE"""),71227.0)</f>
        <v>71227</v>
      </c>
      <c r="D4130" s="11">
        <f>IFERROR(__xludf.DUMMYFUNCTION("""COMPUTED_VALUE"""),1465.0)</f>
        <v>1465</v>
      </c>
      <c r="E4130" s="9"/>
    </row>
    <row r="4131">
      <c r="A4131" s="11">
        <f>IFERROR(__xludf.DUMMYFUNCTION("""COMPUTED_VALUE"""),2021.0)</f>
        <v>2021</v>
      </c>
      <c r="B4131" s="11">
        <f>IFERROR(__xludf.DUMMYFUNCTION("""COMPUTED_VALUE"""),10.0)</f>
        <v>10</v>
      </c>
      <c r="C4131" s="11">
        <f>IFERROR(__xludf.DUMMYFUNCTION("""COMPUTED_VALUE"""),18055.0)</f>
        <v>18055</v>
      </c>
      <c r="D4131" s="11">
        <f>IFERROR(__xludf.DUMMYFUNCTION("""COMPUTED_VALUE"""),1230.0)</f>
        <v>1230</v>
      </c>
      <c r="E4131" s="9"/>
    </row>
    <row r="4132">
      <c r="A4132" s="11">
        <f>IFERROR(__xludf.DUMMYFUNCTION("""COMPUTED_VALUE"""),2021.0)</f>
        <v>2021</v>
      </c>
      <c r="B4132" s="11">
        <f>IFERROR(__xludf.DUMMYFUNCTION("""COMPUTED_VALUE"""),8.0)</f>
        <v>8</v>
      </c>
      <c r="C4132" s="11">
        <f>IFERROR(__xludf.DUMMYFUNCTION("""COMPUTED_VALUE"""),82989.0)</f>
        <v>82989</v>
      </c>
      <c r="D4132" s="11">
        <f>IFERROR(__xludf.DUMMYFUNCTION("""COMPUTED_VALUE"""),823.0)</f>
        <v>823</v>
      </c>
      <c r="E4132" s="9"/>
    </row>
    <row r="4133">
      <c r="A4133" s="11">
        <f>IFERROR(__xludf.DUMMYFUNCTION("""COMPUTED_VALUE"""),2021.0)</f>
        <v>2021</v>
      </c>
      <c r="B4133" s="11">
        <f>IFERROR(__xludf.DUMMYFUNCTION("""COMPUTED_VALUE"""),11.0)</f>
        <v>11</v>
      </c>
      <c r="C4133" s="11">
        <f>IFERROR(__xludf.DUMMYFUNCTION("""COMPUTED_VALUE"""),86438.0)</f>
        <v>86438</v>
      </c>
      <c r="D4133" s="11">
        <f>IFERROR(__xludf.DUMMYFUNCTION("""COMPUTED_VALUE"""),1300.0)</f>
        <v>1300</v>
      </c>
      <c r="E4133" s="9"/>
    </row>
    <row r="4134">
      <c r="A4134" s="11">
        <f>IFERROR(__xludf.DUMMYFUNCTION("""COMPUTED_VALUE"""),2021.0)</f>
        <v>2021</v>
      </c>
      <c r="B4134" s="11">
        <f>IFERROR(__xludf.DUMMYFUNCTION("""COMPUTED_VALUE"""),10.0)</f>
        <v>10</v>
      </c>
      <c r="C4134" s="11">
        <f>IFERROR(__xludf.DUMMYFUNCTION("""COMPUTED_VALUE"""),18061.0)</f>
        <v>18061</v>
      </c>
      <c r="D4134" s="11">
        <f>IFERROR(__xludf.DUMMYFUNCTION("""COMPUTED_VALUE"""),1445.0)</f>
        <v>1445</v>
      </c>
      <c r="E4134" s="9"/>
    </row>
    <row r="4135">
      <c r="A4135" s="11">
        <f>IFERROR(__xludf.DUMMYFUNCTION("""COMPUTED_VALUE"""),2021.0)</f>
        <v>2021</v>
      </c>
      <c r="B4135" s="11">
        <f>IFERROR(__xludf.DUMMYFUNCTION("""COMPUTED_VALUE"""),9.0)</f>
        <v>9</v>
      </c>
      <c r="C4135" s="11">
        <f>IFERROR(__xludf.DUMMYFUNCTION("""COMPUTED_VALUE"""),67265.0)</f>
        <v>67265</v>
      </c>
      <c r="D4135" s="11">
        <f>IFERROR(__xludf.DUMMYFUNCTION("""COMPUTED_VALUE"""),1088.0)</f>
        <v>1088</v>
      </c>
      <c r="E4135" s="9"/>
    </row>
    <row r="4136">
      <c r="A4136" s="11">
        <f>IFERROR(__xludf.DUMMYFUNCTION("""COMPUTED_VALUE"""),2021.0)</f>
        <v>2021</v>
      </c>
      <c r="B4136" s="11">
        <f>IFERROR(__xludf.DUMMYFUNCTION("""COMPUTED_VALUE"""),10.0)</f>
        <v>10</v>
      </c>
      <c r="C4136" s="11">
        <f>IFERROR(__xludf.DUMMYFUNCTION("""COMPUTED_VALUE"""),69552.0)</f>
        <v>69552</v>
      </c>
      <c r="D4136" s="11">
        <f>IFERROR(__xludf.DUMMYFUNCTION("""COMPUTED_VALUE"""),386.0)</f>
        <v>386</v>
      </c>
      <c r="E4136" s="9"/>
    </row>
    <row r="4137">
      <c r="A4137" s="11">
        <f>IFERROR(__xludf.DUMMYFUNCTION("""COMPUTED_VALUE"""),2021.0)</f>
        <v>2021</v>
      </c>
      <c r="B4137" s="11">
        <f>IFERROR(__xludf.DUMMYFUNCTION("""COMPUTED_VALUE"""),8.0)</f>
        <v>8</v>
      </c>
      <c r="C4137" s="11">
        <f>IFERROR(__xludf.DUMMYFUNCTION("""COMPUTED_VALUE"""),110955.0)</f>
        <v>110955</v>
      </c>
      <c r="D4137" s="11">
        <f>IFERROR(__xludf.DUMMYFUNCTION("""COMPUTED_VALUE"""),711.0)</f>
        <v>711</v>
      </c>
      <c r="E4137" s="9"/>
    </row>
    <row r="4138">
      <c r="A4138" s="11">
        <f>IFERROR(__xludf.DUMMYFUNCTION("""COMPUTED_VALUE"""),2021.0)</f>
        <v>2021</v>
      </c>
      <c r="B4138" s="11">
        <f>IFERROR(__xludf.DUMMYFUNCTION("""COMPUTED_VALUE"""),8.0)</f>
        <v>8</v>
      </c>
      <c r="C4138" s="11">
        <f>IFERROR(__xludf.DUMMYFUNCTION("""COMPUTED_VALUE"""),79505.0)</f>
        <v>79505</v>
      </c>
      <c r="D4138" s="11">
        <f>IFERROR(__xludf.DUMMYFUNCTION("""COMPUTED_VALUE"""),1776.0)</f>
        <v>1776</v>
      </c>
      <c r="E4138" s="9"/>
    </row>
    <row r="4139">
      <c r="A4139" s="11">
        <f>IFERROR(__xludf.DUMMYFUNCTION("""COMPUTED_VALUE"""),2021.0)</f>
        <v>2021</v>
      </c>
      <c r="B4139" s="11">
        <f>IFERROR(__xludf.DUMMYFUNCTION("""COMPUTED_VALUE"""),8.0)</f>
        <v>8</v>
      </c>
      <c r="C4139" s="11">
        <f>IFERROR(__xludf.DUMMYFUNCTION("""COMPUTED_VALUE"""),110943.0)</f>
        <v>110943</v>
      </c>
      <c r="D4139" s="11">
        <f>IFERROR(__xludf.DUMMYFUNCTION("""COMPUTED_VALUE"""),1894.0)</f>
        <v>1894</v>
      </c>
      <c r="E4139" s="9"/>
    </row>
    <row r="4140">
      <c r="A4140" s="11">
        <f>IFERROR(__xludf.DUMMYFUNCTION("""COMPUTED_VALUE"""),2021.0)</f>
        <v>2021</v>
      </c>
      <c r="B4140" s="11">
        <f>IFERROR(__xludf.DUMMYFUNCTION("""COMPUTED_VALUE"""),8.0)</f>
        <v>8</v>
      </c>
      <c r="C4140" s="11">
        <f>IFERROR(__xludf.DUMMYFUNCTION("""COMPUTED_VALUE"""),119048.0)</f>
        <v>119048</v>
      </c>
      <c r="D4140" s="11">
        <f>IFERROR(__xludf.DUMMYFUNCTION("""COMPUTED_VALUE"""),537.0)</f>
        <v>537</v>
      </c>
      <c r="E4140" s="9"/>
    </row>
    <row r="4141">
      <c r="A4141" s="11">
        <f>IFERROR(__xludf.DUMMYFUNCTION("""COMPUTED_VALUE"""),2021.0)</f>
        <v>2021</v>
      </c>
      <c r="B4141" s="11">
        <f>IFERROR(__xludf.DUMMYFUNCTION("""COMPUTED_VALUE"""),10.0)</f>
        <v>10</v>
      </c>
      <c r="C4141" s="11">
        <f>IFERROR(__xludf.DUMMYFUNCTION("""COMPUTED_VALUE"""),42695.0)</f>
        <v>42695</v>
      </c>
      <c r="D4141" s="11">
        <f>IFERROR(__xludf.DUMMYFUNCTION("""COMPUTED_VALUE"""),1064.0)</f>
        <v>1064</v>
      </c>
      <c r="E4141" s="9"/>
    </row>
    <row r="4142">
      <c r="A4142" s="11">
        <f>IFERROR(__xludf.DUMMYFUNCTION("""COMPUTED_VALUE"""),2021.0)</f>
        <v>2021</v>
      </c>
      <c r="B4142" s="11">
        <f>IFERROR(__xludf.DUMMYFUNCTION("""COMPUTED_VALUE"""),11.0)</f>
        <v>11</v>
      </c>
      <c r="C4142" s="11">
        <f>IFERROR(__xludf.DUMMYFUNCTION("""COMPUTED_VALUE"""),88980.0)</f>
        <v>88980</v>
      </c>
      <c r="D4142" s="11">
        <f>IFERROR(__xludf.DUMMYFUNCTION("""COMPUTED_VALUE"""),1321.0)</f>
        <v>1321</v>
      </c>
      <c r="E4142" s="9"/>
    </row>
    <row r="4143">
      <c r="A4143" s="11">
        <f>IFERROR(__xludf.DUMMYFUNCTION("""COMPUTED_VALUE"""),2021.0)</f>
        <v>2021</v>
      </c>
      <c r="B4143" s="11">
        <f>IFERROR(__xludf.DUMMYFUNCTION("""COMPUTED_VALUE"""),11.0)</f>
        <v>11</v>
      </c>
      <c r="C4143" s="11">
        <f>IFERROR(__xludf.DUMMYFUNCTION("""COMPUTED_VALUE"""),149507.0)</f>
        <v>149507</v>
      </c>
      <c r="D4143" s="11">
        <f>IFERROR(__xludf.DUMMYFUNCTION("""COMPUTED_VALUE"""),1578.0)</f>
        <v>1578</v>
      </c>
      <c r="E4143" s="9"/>
    </row>
    <row r="4144">
      <c r="A4144" s="11">
        <f>IFERROR(__xludf.DUMMYFUNCTION("""COMPUTED_VALUE"""),2021.0)</f>
        <v>2021</v>
      </c>
      <c r="B4144" s="11">
        <f>IFERROR(__xludf.DUMMYFUNCTION("""COMPUTED_VALUE"""),9.0)</f>
        <v>9</v>
      </c>
      <c r="C4144" s="11">
        <f>IFERROR(__xludf.DUMMYFUNCTION("""COMPUTED_VALUE"""),86988.0)</f>
        <v>86988</v>
      </c>
      <c r="D4144" s="11">
        <f>IFERROR(__xludf.DUMMYFUNCTION("""COMPUTED_VALUE"""),791.0)</f>
        <v>791</v>
      </c>
      <c r="E4144" s="9"/>
    </row>
    <row r="4145">
      <c r="A4145" s="11">
        <f>IFERROR(__xludf.DUMMYFUNCTION("""COMPUTED_VALUE"""),2021.0)</f>
        <v>2021</v>
      </c>
      <c r="B4145" s="11">
        <f>IFERROR(__xludf.DUMMYFUNCTION("""COMPUTED_VALUE"""),10.0)</f>
        <v>10</v>
      </c>
      <c r="C4145" s="11">
        <f>IFERROR(__xludf.DUMMYFUNCTION("""COMPUTED_VALUE"""),73836.0)</f>
        <v>73836</v>
      </c>
      <c r="D4145" s="11">
        <f>IFERROR(__xludf.DUMMYFUNCTION("""COMPUTED_VALUE"""),1256.0)</f>
        <v>1256</v>
      </c>
      <c r="E4145" s="9"/>
    </row>
    <row r="4146">
      <c r="A4146" s="11">
        <f>IFERROR(__xludf.DUMMYFUNCTION("""COMPUTED_VALUE"""),2021.0)</f>
        <v>2021</v>
      </c>
      <c r="B4146" s="11">
        <f>IFERROR(__xludf.DUMMYFUNCTION("""COMPUTED_VALUE"""),11.0)</f>
        <v>11</v>
      </c>
      <c r="C4146" s="11">
        <f>IFERROR(__xludf.DUMMYFUNCTION("""COMPUTED_VALUE"""),69322.0)</f>
        <v>69322</v>
      </c>
      <c r="D4146" s="11">
        <f>IFERROR(__xludf.DUMMYFUNCTION("""COMPUTED_VALUE"""),1801.0)</f>
        <v>1801</v>
      </c>
      <c r="E4146" s="9"/>
    </row>
    <row r="4147">
      <c r="A4147" s="11">
        <f>IFERROR(__xludf.DUMMYFUNCTION("""COMPUTED_VALUE"""),2021.0)</f>
        <v>2021</v>
      </c>
      <c r="B4147" s="11">
        <f>IFERROR(__xludf.DUMMYFUNCTION("""COMPUTED_VALUE"""),11.0)</f>
        <v>11</v>
      </c>
      <c r="C4147" s="11">
        <f>IFERROR(__xludf.DUMMYFUNCTION("""COMPUTED_VALUE"""),8696.0)</f>
        <v>8696</v>
      </c>
      <c r="D4147" s="11">
        <f>IFERROR(__xludf.DUMMYFUNCTION("""COMPUTED_VALUE"""),753.0)</f>
        <v>753</v>
      </c>
      <c r="E4147" s="9"/>
    </row>
    <row r="4148">
      <c r="A4148" s="11">
        <f>IFERROR(__xludf.DUMMYFUNCTION("""COMPUTED_VALUE"""),2021.0)</f>
        <v>2021</v>
      </c>
      <c r="B4148" s="11">
        <f>IFERROR(__xludf.DUMMYFUNCTION("""COMPUTED_VALUE"""),9.0)</f>
        <v>9</v>
      </c>
      <c r="C4148" s="11">
        <f>IFERROR(__xludf.DUMMYFUNCTION("""COMPUTED_VALUE"""),119062.0)</f>
        <v>119062</v>
      </c>
      <c r="D4148" s="11">
        <f>IFERROR(__xludf.DUMMYFUNCTION("""COMPUTED_VALUE"""),865.0)</f>
        <v>865</v>
      </c>
      <c r="E4148" s="9"/>
    </row>
    <row r="4149">
      <c r="A4149" s="11">
        <f>IFERROR(__xludf.DUMMYFUNCTION("""COMPUTED_VALUE"""),2021.0)</f>
        <v>2021</v>
      </c>
      <c r="B4149" s="11">
        <f>IFERROR(__xludf.DUMMYFUNCTION("""COMPUTED_VALUE"""),10.0)</f>
        <v>10</v>
      </c>
      <c r="C4149" s="11">
        <f>IFERROR(__xludf.DUMMYFUNCTION("""COMPUTED_VALUE"""),188931.0)</f>
        <v>188931</v>
      </c>
      <c r="D4149" s="11">
        <f>IFERROR(__xludf.DUMMYFUNCTION("""COMPUTED_VALUE"""),1767.0)</f>
        <v>1767</v>
      </c>
      <c r="E4149" s="9"/>
    </row>
    <row r="4150">
      <c r="A4150" s="11">
        <f>IFERROR(__xludf.DUMMYFUNCTION("""COMPUTED_VALUE"""),2021.0)</f>
        <v>2021</v>
      </c>
      <c r="B4150" s="11">
        <f>IFERROR(__xludf.DUMMYFUNCTION("""COMPUTED_VALUE"""),11.0)</f>
        <v>11</v>
      </c>
      <c r="C4150" s="11">
        <f>IFERROR(__xludf.DUMMYFUNCTION("""COMPUTED_VALUE"""),100238.0)</f>
        <v>100238</v>
      </c>
      <c r="D4150" s="11">
        <f>IFERROR(__xludf.DUMMYFUNCTION("""COMPUTED_VALUE"""),542.0)</f>
        <v>542</v>
      </c>
      <c r="E4150" s="9"/>
    </row>
    <row r="4151">
      <c r="A4151" s="11">
        <f>IFERROR(__xludf.DUMMYFUNCTION("""COMPUTED_VALUE"""),2021.0)</f>
        <v>2021</v>
      </c>
      <c r="B4151" s="11">
        <f>IFERROR(__xludf.DUMMYFUNCTION("""COMPUTED_VALUE"""),9.0)</f>
        <v>9</v>
      </c>
      <c r="C4151" s="11">
        <f>IFERROR(__xludf.DUMMYFUNCTION("""COMPUTED_VALUE"""),47010.0)</f>
        <v>47010</v>
      </c>
      <c r="D4151" s="11">
        <f>IFERROR(__xludf.DUMMYFUNCTION("""COMPUTED_VALUE"""),575.0)</f>
        <v>575</v>
      </c>
      <c r="E4151" s="9"/>
    </row>
    <row r="4152">
      <c r="A4152" s="11">
        <f>IFERROR(__xludf.DUMMYFUNCTION("""COMPUTED_VALUE"""),2021.0)</f>
        <v>2021</v>
      </c>
      <c r="B4152" s="11">
        <f>IFERROR(__xludf.DUMMYFUNCTION("""COMPUTED_VALUE"""),11.0)</f>
        <v>11</v>
      </c>
      <c r="C4152" s="11">
        <f>IFERROR(__xludf.DUMMYFUNCTION("""COMPUTED_VALUE"""),104605.0)</f>
        <v>104605</v>
      </c>
      <c r="D4152" s="11">
        <f>IFERROR(__xludf.DUMMYFUNCTION("""COMPUTED_VALUE"""),1172.0)</f>
        <v>1172</v>
      </c>
      <c r="E4152" s="9"/>
    </row>
    <row r="4153">
      <c r="A4153" s="11">
        <f>IFERROR(__xludf.DUMMYFUNCTION("""COMPUTED_VALUE"""),2021.0)</f>
        <v>2021</v>
      </c>
      <c r="B4153" s="11">
        <f>IFERROR(__xludf.DUMMYFUNCTION("""COMPUTED_VALUE"""),8.0)</f>
        <v>8</v>
      </c>
      <c r="C4153" s="11">
        <f>IFERROR(__xludf.DUMMYFUNCTION("""COMPUTED_VALUE"""),42694.0)</f>
        <v>42694</v>
      </c>
      <c r="D4153" s="11">
        <f>IFERROR(__xludf.DUMMYFUNCTION("""COMPUTED_VALUE"""),1826.0)</f>
        <v>1826</v>
      </c>
      <c r="E4153" s="9"/>
    </row>
    <row r="4154">
      <c r="A4154" s="11">
        <f>IFERROR(__xludf.DUMMYFUNCTION("""COMPUTED_VALUE"""),2021.0)</f>
        <v>2021</v>
      </c>
      <c r="B4154" s="11">
        <f>IFERROR(__xludf.DUMMYFUNCTION("""COMPUTED_VALUE"""),11.0)</f>
        <v>11</v>
      </c>
      <c r="C4154" s="11">
        <f>IFERROR(__xludf.DUMMYFUNCTION("""COMPUTED_VALUE"""),8697.0)</f>
        <v>8697</v>
      </c>
      <c r="D4154" s="11">
        <f>IFERROR(__xludf.DUMMYFUNCTION("""COMPUTED_VALUE"""),1562.0)</f>
        <v>1562</v>
      </c>
      <c r="E4154" s="9"/>
    </row>
    <row r="4155">
      <c r="A4155" s="11">
        <f>IFERROR(__xludf.DUMMYFUNCTION("""COMPUTED_VALUE"""),2021.0)</f>
        <v>2021</v>
      </c>
      <c r="B4155" s="11">
        <f>IFERROR(__xludf.DUMMYFUNCTION("""COMPUTED_VALUE"""),11.0)</f>
        <v>11</v>
      </c>
      <c r="C4155" s="11">
        <f>IFERROR(__xludf.DUMMYFUNCTION("""COMPUTED_VALUE"""),110957.0)</f>
        <v>110957</v>
      </c>
      <c r="D4155" s="11">
        <f>IFERROR(__xludf.DUMMYFUNCTION("""COMPUTED_VALUE"""),851.0)</f>
        <v>851</v>
      </c>
      <c r="E4155" s="9"/>
    </row>
    <row r="4156">
      <c r="A4156" s="11">
        <f>IFERROR(__xludf.DUMMYFUNCTION("""COMPUTED_VALUE"""),2021.0)</f>
        <v>2021</v>
      </c>
      <c r="B4156" s="11">
        <f>IFERROR(__xludf.DUMMYFUNCTION("""COMPUTED_VALUE"""),9.0)</f>
        <v>9</v>
      </c>
      <c r="C4156" s="11">
        <f>IFERROR(__xludf.DUMMYFUNCTION("""COMPUTED_VALUE"""),86989.0)</f>
        <v>86989</v>
      </c>
      <c r="D4156" s="11">
        <f>IFERROR(__xludf.DUMMYFUNCTION("""COMPUTED_VALUE"""),950.0)</f>
        <v>950</v>
      </c>
      <c r="E4156" s="9"/>
    </row>
    <row r="4157">
      <c r="A4157" s="11">
        <f>IFERROR(__xludf.DUMMYFUNCTION("""COMPUTED_VALUE"""),2021.0)</f>
        <v>2021</v>
      </c>
      <c r="B4157" s="11">
        <f>IFERROR(__xludf.DUMMYFUNCTION("""COMPUTED_VALUE"""),9.0)</f>
        <v>9</v>
      </c>
      <c r="C4157" s="11">
        <f>IFERROR(__xludf.DUMMYFUNCTION("""COMPUTED_VALUE"""),8695.0)</f>
        <v>8695</v>
      </c>
      <c r="D4157" s="11">
        <f>IFERROR(__xludf.DUMMYFUNCTION("""COMPUTED_VALUE"""),1301.0)</f>
        <v>1301</v>
      </c>
      <c r="E4157" s="9"/>
    </row>
    <row r="4158">
      <c r="A4158" s="11">
        <f>IFERROR(__xludf.DUMMYFUNCTION("""COMPUTED_VALUE"""),2021.0)</f>
        <v>2021</v>
      </c>
      <c r="B4158" s="11">
        <f>IFERROR(__xludf.DUMMYFUNCTION("""COMPUTED_VALUE"""),9.0)</f>
        <v>9</v>
      </c>
      <c r="C4158" s="11">
        <f>IFERROR(__xludf.DUMMYFUNCTION("""COMPUTED_VALUE"""),122792.0)</f>
        <v>122792</v>
      </c>
      <c r="D4158" s="11">
        <f>IFERROR(__xludf.DUMMYFUNCTION("""COMPUTED_VALUE"""),1557.0)</f>
        <v>1557</v>
      </c>
      <c r="E4158" s="9"/>
    </row>
    <row r="4159">
      <c r="A4159" s="11">
        <f>IFERROR(__xludf.DUMMYFUNCTION("""COMPUTED_VALUE"""),2021.0)</f>
        <v>2021</v>
      </c>
      <c r="B4159" s="11">
        <f>IFERROR(__xludf.DUMMYFUNCTION("""COMPUTED_VALUE"""),8.0)</f>
        <v>8</v>
      </c>
      <c r="C4159" s="11">
        <f>IFERROR(__xludf.DUMMYFUNCTION("""COMPUTED_VALUE"""),8698.0)</f>
        <v>8698</v>
      </c>
      <c r="D4159" s="11">
        <f>IFERROR(__xludf.DUMMYFUNCTION("""COMPUTED_VALUE"""),1721.0)</f>
        <v>1721</v>
      </c>
      <c r="E4159" s="9"/>
    </row>
    <row r="4160">
      <c r="A4160" s="11">
        <f>IFERROR(__xludf.DUMMYFUNCTION("""COMPUTED_VALUE"""),2021.0)</f>
        <v>2021</v>
      </c>
      <c r="B4160" s="11">
        <f>IFERROR(__xludf.DUMMYFUNCTION("""COMPUTED_VALUE"""),11.0)</f>
        <v>11</v>
      </c>
      <c r="C4160" s="11">
        <f>IFERROR(__xludf.DUMMYFUNCTION("""COMPUTED_VALUE"""),103866.0)</f>
        <v>103866</v>
      </c>
      <c r="D4160" s="11">
        <f>IFERROR(__xludf.DUMMYFUNCTION("""COMPUTED_VALUE"""),266.0)</f>
        <v>266</v>
      </c>
      <c r="E4160" s="9"/>
    </row>
    <row r="4161">
      <c r="A4161" s="11">
        <f>IFERROR(__xludf.DUMMYFUNCTION("""COMPUTED_VALUE"""),2021.0)</f>
        <v>2021</v>
      </c>
      <c r="B4161" s="11">
        <f>IFERROR(__xludf.DUMMYFUNCTION("""COMPUTED_VALUE"""),11.0)</f>
        <v>11</v>
      </c>
      <c r="C4161" s="11">
        <f>IFERROR(__xludf.DUMMYFUNCTION("""COMPUTED_VALUE"""),103865.0)</f>
        <v>103865</v>
      </c>
      <c r="D4161" s="11">
        <f>IFERROR(__xludf.DUMMYFUNCTION("""COMPUTED_VALUE"""),774.0)</f>
        <v>774</v>
      </c>
      <c r="E4161" s="9"/>
    </row>
    <row r="4162">
      <c r="A4162" s="11">
        <f>IFERROR(__xludf.DUMMYFUNCTION("""COMPUTED_VALUE"""),2021.0)</f>
        <v>2021</v>
      </c>
      <c r="B4162" s="11">
        <f>IFERROR(__xludf.DUMMYFUNCTION("""COMPUTED_VALUE"""),8.0)</f>
        <v>8</v>
      </c>
      <c r="C4162" s="11">
        <f>IFERROR(__xludf.DUMMYFUNCTION("""COMPUTED_VALUE"""),110945.0)</f>
        <v>110945</v>
      </c>
      <c r="D4162" s="11">
        <f>IFERROR(__xludf.DUMMYFUNCTION("""COMPUTED_VALUE"""),118.0)</f>
        <v>118</v>
      </c>
      <c r="E4162" s="9"/>
    </row>
    <row r="4163">
      <c r="A4163" s="11">
        <f>IFERROR(__xludf.DUMMYFUNCTION("""COMPUTED_VALUE"""),2021.0)</f>
        <v>2021</v>
      </c>
      <c r="B4163" s="11">
        <f>IFERROR(__xludf.DUMMYFUNCTION("""COMPUTED_VALUE"""),9.0)</f>
        <v>9</v>
      </c>
      <c r="C4163" s="11">
        <f>IFERROR(__xludf.DUMMYFUNCTION("""COMPUTED_VALUE"""),158671.0)</f>
        <v>158671</v>
      </c>
      <c r="D4163" s="11">
        <f>IFERROR(__xludf.DUMMYFUNCTION("""COMPUTED_VALUE"""),1759.0)</f>
        <v>1759</v>
      </c>
      <c r="E4163" s="9"/>
    </row>
    <row r="4164">
      <c r="A4164" s="11">
        <f>IFERROR(__xludf.DUMMYFUNCTION("""COMPUTED_VALUE"""),2021.0)</f>
        <v>2021</v>
      </c>
      <c r="B4164" s="11">
        <f>IFERROR(__xludf.DUMMYFUNCTION("""COMPUTED_VALUE"""),9.0)</f>
        <v>9</v>
      </c>
      <c r="C4164" s="11">
        <f>IFERROR(__xludf.DUMMYFUNCTION("""COMPUTED_VALUE"""),118915.0)</f>
        <v>118915</v>
      </c>
      <c r="D4164" s="11">
        <f>IFERROR(__xludf.DUMMYFUNCTION("""COMPUTED_VALUE"""),885.0)</f>
        <v>885</v>
      </c>
      <c r="E4164" s="9"/>
    </row>
    <row r="4165">
      <c r="A4165" s="11">
        <f>IFERROR(__xludf.DUMMYFUNCTION("""COMPUTED_VALUE"""),2021.0)</f>
        <v>2021</v>
      </c>
      <c r="B4165" s="11">
        <f>IFERROR(__xludf.DUMMYFUNCTION("""COMPUTED_VALUE"""),10.0)</f>
        <v>10</v>
      </c>
      <c r="C4165" s="11">
        <f>IFERROR(__xludf.DUMMYFUNCTION("""COMPUTED_VALUE"""),88990.0)</f>
        <v>88990</v>
      </c>
      <c r="D4165" s="11">
        <f>IFERROR(__xludf.DUMMYFUNCTION("""COMPUTED_VALUE"""),541.0)</f>
        <v>541</v>
      </c>
      <c r="E4165" s="9"/>
    </row>
    <row r="4166">
      <c r="A4166" s="11">
        <f>IFERROR(__xludf.DUMMYFUNCTION("""COMPUTED_VALUE"""),2021.0)</f>
        <v>2021</v>
      </c>
      <c r="B4166" s="11">
        <f>IFERROR(__xludf.DUMMYFUNCTION("""COMPUTED_VALUE"""),11.0)</f>
        <v>11</v>
      </c>
      <c r="C4166" s="11">
        <f>IFERROR(__xludf.DUMMYFUNCTION("""COMPUTED_VALUE"""),73835.0)</f>
        <v>73835</v>
      </c>
      <c r="D4166" s="11">
        <f>IFERROR(__xludf.DUMMYFUNCTION("""COMPUTED_VALUE"""),185.0)</f>
        <v>185</v>
      </c>
      <c r="E4166" s="9"/>
    </row>
    <row r="4167">
      <c r="A4167" s="11">
        <f>IFERROR(__xludf.DUMMYFUNCTION("""COMPUTED_VALUE"""),2021.0)</f>
        <v>2021</v>
      </c>
      <c r="B4167" s="11">
        <f>IFERROR(__xludf.DUMMYFUNCTION("""COMPUTED_VALUE"""),10.0)</f>
        <v>10</v>
      </c>
      <c r="C4167" s="11">
        <f>IFERROR(__xludf.DUMMYFUNCTION("""COMPUTED_VALUE"""),8699.0)</f>
        <v>8699</v>
      </c>
      <c r="D4167" s="11">
        <f>IFERROR(__xludf.DUMMYFUNCTION("""COMPUTED_VALUE"""),1101.0)</f>
        <v>1101</v>
      </c>
      <c r="E4167" s="9"/>
    </row>
    <row r="4168">
      <c r="A4168" s="11">
        <f>IFERROR(__xludf.DUMMYFUNCTION("""COMPUTED_VALUE"""),2021.0)</f>
        <v>2021</v>
      </c>
      <c r="B4168" s="11">
        <f>IFERROR(__xludf.DUMMYFUNCTION("""COMPUTED_VALUE"""),11.0)</f>
        <v>11</v>
      </c>
      <c r="C4168" s="11">
        <f>IFERROR(__xludf.DUMMYFUNCTION("""COMPUTED_VALUE"""),81494.0)</f>
        <v>81494</v>
      </c>
      <c r="D4168" s="11">
        <f>IFERROR(__xludf.DUMMYFUNCTION("""COMPUTED_VALUE"""),887.0)</f>
        <v>887</v>
      </c>
      <c r="E4168" s="9"/>
    </row>
    <row r="4169">
      <c r="A4169" s="11">
        <f>IFERROR(__xludf.DUMMYFUNCTION("""COMPUTED_VALUE"""),2021.0)</f>
        <v>2021</v>
      </c>
      <c r="B4169" s="11">
        <f>IFERROR(__xludf.DUMMYFUNCTION("""COMPUTED_VALUE"""),11.0)</f>
        <v>11</v>
      </c>
      <c r="C4169" s="11">
        <f>IFERROR(__xludf.DUMMYFUNCTION("""COMPUTED_VALUE"""),89821.0)</f>
        <v>89821</v>
      </c>
      <c r="D4169" s="11">
        <f>IFERROR(__xludf.DUMMYFUNCTION("""COMPUTED_VALUE"""),527.0)</f>
        <v>527</v>
      </c>
      <c r="E4169" s="9"/>
    </row>
    <row r="4170">
      <c r="A4170" s="11">
        <f>IFERROR(__xludf.DUMMYFUNCTION("""COMPUTED_VALUE"""),2021.0)</f>
        <v>2021</v>
      </c>
      <c r="B4170" s="11">
        <f>IFERROR(__xludf.DUMMYFUNCTION("""COMPUTED_VALUE"""),11.0)</f>
        <v>11</v>
      </c>
      <c r="C4170" s="11">
        <f>IFERROR(__xludf.DUMMYFUNCTION("""COMPUTED_VALUE"""),83567.0)</f>
        <v>83567</v>
      </c>
      <c r="D4170" s="11">
        <f>IFERROR(__xludf.DUMMYFUNCTION("""COMPUTED_VALUE"""),1240.0)</f>
        <v>1240</v>
      </c>
      <c r="E4170" s="9"/>
    </row>
    <row r="4171">
      <c r="A4171" s="11">
        <f>IFERROR(__xludf.DUMMYFUNCTION("""COMPUTED_VALUE"""),2021.0)</f>
        <v>2021</v>
      </c>
      <c r="B4171" s="11">
        <f>IFERROR(__xludf.DUMMYFUNCTION("""COMPUTED_VALUE"""),11.0)</f>
        <v>11</v>
      </c>
      <c r="C4171" s="11">
        <f>IFERROR(__xludf.DUMMYFUNCTION("""COMPUTED_VALUE"""),69323.0)</f>
        <v>69323</v>
      </c>
      <c r="D4171" s="11">
        <f>IFERROR(__xludf.DUMMYFUNCTION("""COMPUTED_VALUE"""),1485.0)</f>
        <v>1485</v>
      </c>
      <c r="E4171" s="9"/>
    </row>
    <row r="4172">
      <c r="A4172" s="11">
        <f>IFERROR(__xludf.DUMMYFUNCTION("""COMPUTED_VALUE"""),2021.0)</f>
        <v>2021</v>
      </c>
      <c r="B4172" s="11">
        <f>IFERROR(__xludf.DUMMYFUNCTION("""COMPUTED_VALUE"""),10.0)</f>
        <v>10</v>
      </c>
      <c r="C4172" s="11">
        <f>IFERROR(__xludf.DUMMYFUNCTION("""COMPUTED_VALUE"""),88976.0)</f>
        <v>88976</v>
      </c>
      <c r="D4172" s="11">
        <f>IFERROR(__xludf.DUMMYFUNCTION("""COMPUTED_VALUE"""),631.0)</f>
        <v>631</v>
      </c>
      <c r="E4172" s="9"/>
    </row>
    <row r="4173">
      <c r="A4173" s="11">
        <f>IFERROR(__xludf.DUMMYFUNCTION("""COMPUTED_VALUE"""),2021.0)</f>
        <v>2021</v>
      </c>
      <c r="B4173" s="11">
        <f>IFERROR(__xludf.DUMMYFUNCTION("""COMPUTED_VALUE"""),8.0)</f>
        <v>8</v>
      </c>
      <c r="C4173" s="11">
        <f>IFERROR(__xludf.DUMMYFUNCTION("""COMPUTED_VALUE"""),199415.0)</f>
        <v>199415</v>
      </c>
      <c r="D4173" s="11">
        <f>IFERROR(__xludf.DUMMYFUNCTION("""COMPUTED_VALUE"""),228.0)</f>
        <v>228</v>
      </c>
      <c r="E4173" s="9"/>
    </row>
    <row r="4174">
      <c r="A4174" s="11">
        <f>IFERROR(__xludf.DUMMYFUNCTION("""COMPUTED_VALUE"""),2021.0)</f>
        <v>2021</v>
      </c>
      <c r="B4174" s="11">
        <f>IFERROR(__xludf.DUMMYFUNCTION("""COMPUTED_VALUE"""),8.0)</f>
        <v>8</v>
      </c>
      <c r="C4174" s="11">
        <f>IFERROR(__xludf.DUMMYFUNCTION("""COMPUTED_VALUE"""),112792.0)</f>
        <v>112792</v>
      </c>
      <c r="D4174" s="11">
        <f>IFERROR(__xludf.DUMMYFUNCTION("""COMPUTED_VALUE"""),1099.0)</f>
        <v>1099</v>
      </c>
      <c r="E4174" s="9"/>
    </row>
    <row r="4175">
      <c r="A4175" s="11">
        <f>IFERROR(__xludf.DUMMYFUNCTION("""COMPUTED_VALUE"""),2021.0)</f>
        <v>2021</v>
      </c>
      <c r="B4175" s="11">
        <f>IFERROR(__xludf.DUMMYFUNCTION("""COMPUTED_VALUE"""),9.0)</f>
        <v>9</v>
      </c>
      <c r="C4175" s="11">
        <f>IFERROR(__xludf.DUMMYFUNCTION("""COMPUTED_VALUE"""),104322.0)</f>
        <v>104322</v>
      </c>
      <c r="D4175" s="11">
        <f>IFERROR(__xludf.DUMMYFUNCTION("""COMPUTED_VALUE"""),668.0)</f>
        <v>668</v>
      </c>
      <c r="E4175" s="9"/>
    </row>
    <row r="4176">
      <c r="A4176" s="11">
        <f>IFERROR(__xludf.DUMMYFUNCTION("""COMPUTED_VALUE"""),2021.0)</f>
        <v>2021</v>
      </c>
      <c r="B4176" s="11">
        <f>IFERROR(__xludf.DUMMYFUNCTION("""COMPUTED_VALUE"""),11.0)</f>
        <v>11</v>
      </c>
      <c r="C4176" s="11">
        <f>IFERROR(__xludf.DUMMYFUNCTION("""COMPUTED_VALUE"""),69321.0)</f>
        <v>69321</v>
      </c>
      <c r="D4176" s="11">
        <f>IFERROR(__xludf.DUMMYFUNCTION("""COMPUTED_VALUE"""),908.0)</f>
        <v>908</v>
      </c>
      <c r="E4176" s="9"/>
    </row>
    <row r="4177">
      <c r="A4177" s="11">
        <f>IFERROR(__xludf.DUMMYFUNCTION("""COMPUTED_VALUE"""),2021.0)</f>
        <v>2021</v>
      </c>
      <c r="B4177" s="11">
        <f>IFERROR(__xludf.DUMMYFUNCTION("""COMPUTED_VALUE"""),10.0)</f>
        <v>10</v>
      </c>
      <c r="C4177" s="11">
        <f>IFERROR(__xludf.DUMMYFUNCTION("""COMPUTED_VALUE"""),110948.0)</f>
        <v>110948</v>
      </c>
      <c r="D4177" s="11">
        <f>IFERROR(__xludf.DUMMYFUNCTION("""COMPUTED_VALUE"""),624.0)</f>
        <v>624</v>
      </c>
      <c r="E4177" s="9"/>
    </row>
    <row r="4178">
      <c r="A4178" s="11">
        <f>IFERROR(__xludf.DUMMYFUNCTION("""COMPUTED_VALUE"""),2021.0)</f>
        <v>2021</v>
      </c>
      <c r="B4178" s="11">
        <f>IFERROR(__xludf.DUMMYFUNCTION("""COMPUTED_VALUE"""),9.0)</f>
        <v>9</v>
      </c>
      <c r="C4178" s="11">
        <f>IFERROR(__xludf.DUMMYFUNCTION("""COMPUTED_VALUE"""),82008.0)</f>
        <v>82008</v>
      </c>
      <c r="D4178" s="11">
        <f>IFERROR(__xludf.DUMMYFUNCTION("""COMPUTED_VALUE"""),483.0)</f>
        <v>483</v>
      </c>
      <c r="E4178" s="9"/>
    </row>
    <row r="4179">
      <c r="A4179" s="11">
        <f>IFERROR(__xludf.DUMMYFUNCTION("""COMPUTED_VALUE"""),2021.0)</f>
        <v>2021</v>
      </c>
      <c r="B4179" s="11">
        <f>IFERROR(__xludf.DUMMYFUNCTION("""COMPUTED_VALUE"""),10.0)</f>
        <v>10</v>
      </c>
      <c r="C4179" s="11">
        <f>IFERROR(__xludf.DUMMYFUNCTION("""COMPUTED_VALUE"""),86987.0)</f>
        <v>86987</v>
      </c>
      <c r="D4179" s="11">
        <f>IFERROR(__xludf.DUMMYFUNCTION("""COMPUTED_VALUE"""),838.0)</f>
        <v>838</v>
      </c>
      <c r="E4179" s="9"/>
    </row>
    <row r="4180">
      <c r="A4180" s="11">
        <f>IFERROR(__xludf.DUMMYFUNCTION("""COMPUTED_VALUE"""),2021.0)</f>
        <v>2021</v>
      </c>
      <c r="B4180" s="11">
        <f>IFERROR(__xludf.DUMMYFUNCTION("""COMPUTED_VALUE"""),10.0)</f>
        <v>10</v>
      </c>
      <c r="C4180" s="11">
        <f>IFERROR(__xludf.DUMMYFUNCTION("""COMPUTED_VALUE"""),118912.0)</f>
        <v>118912</v>
      </c>
      <c r="D4180" s="11">
        <f>IFERROR(__xludf.DUMMYFUNCTION("""COMPUTED_VALUE"""),1361.0)</f>
        <v>1361</v>
      </c>
      <c r="E4180" s="9"/>
    </row>
    <row r="4181">
      <c r="A4181" s="11">
        <f>IFERROR(__xludf.DUMMYFUNCTION("""COMPUTED_VALUE"""),2021.0)</f>
        <v>2021</v>
      </c>
      <c r="B4181" s="11">
        <f>IFERROR(__xludf.DUMMYFUNCTION("""COMPUTED_VALUE"""),11.0)</f>
        <v>11</v>
      </c>
      <c r="C4181" s="11">
        <f>IFERROR(__xludf.DUMMYFUNCTION("""COMPUTED_VALUE"""),47048.0)</f>
        <v>47048</v>
      </c>
      <c r="D4181" s="11">
        <f>IFERROR(__xludf.DUMMYFUNCTION("""COMPUTED_VALUE"""),883.0)</f>
        <v>883</v>
      </c>
      <c r="E4181" s="9"/>
    </row>
    <row r="4182">
      <c r="A4182" s="11">
        <f>IFERROR(__xludf.DUMMYFUNCTION("""COMPUTED_VALUE"""),2021.0)</f>
        <v>2021</v>
      </c>
      <c r="B4182" s="11">
        <f>IFERROR(__xludf.DUMMYFUNCTION("""COMPUTED_VALUE"""),10.0)</f>
        <v>10</v>
      </c>
      <c r="C4182" s="11">
        <f>IFERROR(__xludf.DUMMYFUNCTION("""COMPUTED_VALUE"""),103870.0)</f>
        <v>103870</v>
      </c>
      <c r="D4182" s="11">
        <f>IFERROR(__xludf.DUMMYFUNCTION("""COMPUTED_VALUE"""),822.0)</f>
        <v>822</v>
      </c>
      <c r="E4182" s="9"/>
    </row>
    <row r="4183">
      <c r="A4183" s="11">
        <f>IFERROR(__xludf.DUMMYFUNCTION("""COMPUTED_VALUE"""),2021.0)</f>
        <v>2021</v>
      </c>
      <c r="B4183" s="11">
        <f>IFERROR(__xludf.DUMMYFUNCTION("""COMPUTED_VALUE"""),10.0)</f>
        <v>10</v>
      </c>
      <c r="C4183" s="11">
        <f>IFERROR(__xludf.DUMMYFUNCTION("""COMPUTED_VALUE"""),86985.0)</f>
        <v>86985</v>
      </c>
      <c r="D4183" s="11">
        <f>IFERROR(__xludf.DUMMYFUNCTION("""COMPUTED_VALUE"""),922.0)</f>
        <v>922</v>
      </c>
      <c r="E4183" s="9"/>
    </row>
    <row r="4184">
      <c r="A4184" s="11">
        <f>IFERROR(__xludf.DUMMYFUNCTION("""COMPUTED_VALUE"""),2021.0)</f>
        <v>2021</v>
      </c>
      <c r="B4184" s="11">
        <f>IFERROR(__xludf.DUMMYFUNCTION("""COMPUTED_VALUE"""),8.0)</f>
        <v>8</v>
      </c>
      <c r="C4184" s="11">
        <f>IFERROR(__xludf.DUMMYFUNCTION("""COMPUTED_VALUE"""),82005.0)</f>
        <v>82005</v>
      </c>
      <c r="D4184" s="11">
        <f>IFERROR(__xludf.DUMMYFUNCTION("""COMPUTED_VALUE"""),542.0)</f>
        <v>542</v>
      </c>
      <c r="E4184" s="9"/>
    </row>
    <row r="4185">
      <c r="A4185" s="11">
        <f>IFERROR(__xludf.DUMMYFUNCTION("""COMPUTED_VALUE"""),2021.0)</f>
        <v>2021</v>
      </c>
      <c r="B4185" s="11">
        <f>IFERROR(__xludf.DUMMYFUNCTION("""COMPUTED_VALUE"""),9.0)</f>
        <v>9</v>
      </c>
      <c r="C4185" s="11">
        <f>IFERROR(__xludf.DUMMYFUNCTION("""COMPUTED_VALUE"""),119053.0)</f>
        <v>119053</v>
      </c>
      <c r="D4185" s="11">
        <f>IFERROR(__xludf.DUMMYFUNCTION("""COMPUTED_VALUE"""),826.0)</f>
        <v>826</v>
      </c>
      <c r="E4185" s="9"/>
    </row>
    <row r="4186">
      <c r="A4186" s="11">
        <f>IFERROR(__xludf.DUMMYFUNCTION("""COMPUTED_VALUE"""),2021.0)</f>
        <v>2021</v>
      </c>
      <c r="B4186" s="11">
        <f>IFERROR(__xludf.DUMMYFUNCTION("""COMPUTED_VALUE"""),11.0)</f>
        <v>11</v>
      </c>
      <c r="C4186" s="11">
        <f>IFERROR(__xludf.DUMMYFUNCTION("""COMPUTED_VALUE"""),102015.0)</f>
        <v>102015</v>
      </c>
      <c r="D4186" s="11">
        <f>IFERROR(__xludf.DUMMYFUNCTION("""COMPUTED_VALUE"""),17.0)</f>
        <v>17</v>
      </c>
      <c r="E4186" s="9"/>
    </row>
    <row r="4187">
      <c r="A4187" s="11">
        <f>IFERROR(__xludf.DUMMYFUNCTION("""COMPUTED_VALUE"""),2021.0)</f>
        <v>2021</v>
      </c>
      <c r="B4187" s="11">
        <f>IFERROR(__xludf.DUMMYFUNCTION("""COMPUTED_VALUE"""),11.0)</f>
        <v>11</v>
      </c>
      <c r="C4187" s="11">
        <f>IFERROR(__xludf.DUMMYFUNCTION("""COMPUTED_VALUE"""),92823.0)</f>
        <v>92823</v>
      </c>
      <c r="D4187" s="11">
        <f>IFERROR(__xludf.DUMMYFUNCTION("""COMPUTED_VALUE"""),1737.0)</f>
        <v>1737</v>
      </c>
      <c r="E4187" s="9"/>
    </row>
    <row r="4188">
      <c r="A4188" s="11">
        <f>IFERROR(__xludf.DUMMYFUNCTION("""COMPUTED_VALUE"""),2021.0)</f>
        <v>2021</v>
      </c>
      <c r="B4188" s="11">
        <f>IFERROR(__xludf.DUMMYFUNCTION("""COMPUTED_VALUE"""),9.0)</f>
        <v>9</v>
      </c>
      <c r="C4188" s="11">
        <f>IFERROR(__xludf.DUMMYFUNCTION("""COMPUTED_VALUE"""),108060.0)</f>
        <v>108060</v>
      </c>
      <c r="D4188" s="11">
        <f>IFERROR(__xludf.DUMMYFUNCTION("""COMPUTED_VALUE"""),1317.0)</f>
        <v>1317</v>
      </c>
      <c r="E4188" s="9"/>
    </row>
    <row r="4189">
      <c r="A4189" s="11">
        <f>IFERROR(__xludf.DUMMYFUNCTION("""COMPUTED_VALUE"""),2021.0)</f>
        <v>2021</v>
      </c>
      <c r="B4189" s="11">
        <f>IFERROR(__xludf.DUMMYFUNCTION("""COMPUTED_VALUE"""),8.0)</f>
        <v>8</v>
      </c>
      <c r="C4189" s="11">
        <f>IFERROR(__xludf.DUMMYFUNCTION("""COMPUTED_VALUE"""),4214.0)</f>
        <v>4214</v>
      </c>
      <c r="D4189" s="11">
        <f>IFERROR(__xludf.DUMMYFUNCTION("""COMPUTED_VALUE"""),828.0)</f>
        <v>828</v>
      </c>
      <c r="E4189" s="9"/>
    </row>
    <row r="4190">
      <c r="A4190" s="11">
        <f>IFERROR(__xludf.DUMMYFUNCTION("""COMPUTED_VALUE"""),2021.0)</f>
        <v>2021</v>
      </c>
      <c r="B4190" s="11">
        <f>IFERROR(__xludf.DUMMYFUNCTION("""COMPUTED_VALUE"""),11.0)</f>
        <v>11</v>
      </c>
      <c r="C4190" s="11">
        <f>IFERROR(__xludf.DUMMYFUNCTION("""COMPUTED_VALUE"""),14715.0)</f>
        <v>14715</v>
      </c>
      <c r="D4190" s="11">
        <f>IFERROR(__xludf.DUMMYFUNCTION("""COMPUTED_VALUE"""),1488.0)</f>
        <v>1488</v>
      </c>
      <c r="E4190" s="9"/>
    </row>
    <row r="4191">
      <c r="A4191" s="11">
        <f>IFERROR(__xludf.DUMMYFUNCTION("""COMPUTED_VALUE"""),2021.0)</f>
        <v>2021</v>
      </c>
      <c r="B4191" s="11">
        <f>IFERROR(__xludf.DUMMYFUNCTION("""COMPUTED_VALUE"""),9.0)</f>
        <v>9</v>
      </c>
      <c r="C4191" s="11">
        <f>IFERROR(__xludf.DUMMYFUNCTION("""COMPUTED_VALUE"""),16771.0)</f>
        <v>16771</v>
      </c>
      <c r="D4191" s="11">
        <f>IFERROR(__xludf.DUMMYFUNCTION("""COMPUTED_VALUE"""),899.0)</f>
        <v>899</v>
      </c>
      <c r="E4191" s="9"/>
    </row>
    <row r="4192">
      <c r="A4192" s="11">
        <f>IFERROR(__xludf.DUMMYFUNCTION("""COMPUTED_VALUE"""),2021.0)</f>
        <v>2021</v>
      </c>
      <c r="B4192" s="11">
        <f>IFERROR(__xludf.DUMMYFUNCTION("""COMPUTED_VALUE"""),10.0)</f>
        <v>10</v>
      </c>
      <c r="C4192" s="11">
        <f>IFERROR(__xludf.DUMMYFUNCTION("""COMPUTED_VALUE"""),97945.0)</f>
        <v>97945</v>
      </c>
      <c r="D4192" s="11">
        <f>IFERROR(__xludf.DUMMYFUNCTION("""COMPUTED_VALUE"""),1584.0)</f>
        <v>1584</v>
      </c>
      <c r="E4192" s="9"/>
    </row>
    <row r="4193">
      <c r="A4193" s="11">
        <f>IFERROR(__xludf.DUMMYFUNCTION("""COMPUTED_VALUE"""),2021.0)</f>
        <v>2021</v>
      </c>
      <c r="B4193" s="11">
        <f>IFERROR(__xludf.DUMMYFUNCTION("""COMPUTED_VALUE"""),10.0)</f>
        <v>10</v>
      </c>
      <c r="C4193" s="11">
        <f>IFERROR(__xludf.DUMMYFUNCTION("""COMPUTED_VALUE"""),144740.0)</f>
        <v>144740</v>
      </c>
      <c r="D4193" s="11">
        <f>IFERROR(__xludf.DUMMYFUNCTION("""COMPUTED_VALUE"""),775.0)</f>
        <v>775</v>
      </c>
      <c r="E4193" s="9"/>
    </row>
    <row r="4194">
      <c r="A4194" s="11">
        <f>IFERROR(__xludf.DUMMYFUNCTION("""COMPUTED_VALUE"""),2021.0)</f>
        <v>2021</v>
      </c>
      <c r="B4194" s="11">
        <f>IFERROR(__xludf.DUMMYFUNCTION("""COMPUTED_VALUE"""),9.0)</f>
        <v>9</v>
      </c>
      <c r="C4194" s="11">
        <f>IFERROR(__xludf.DUMMYFUNCTION("""COMPUTED_VALUE"""),75342.0)</f>
        <v>75342</v>
      </c>
      <c r="D4194" s="11">
        <f>IFERROR(__xludf.DUMMYFUNCTION("""COMPUTED_VALUE"""),17.0)</f>
        <v>17</v>
      </c>
      <c r="E4194" s="9"/>
    </row>
    <row r="4195">
      <c r="A4195" s="11">
        <f>IFERROR(__xludf.DUMMYFUNCTION("""COMPUTED_VALUE"""),2021.0)</f>
        <v>2021</v>
      </c>
      <c r="B4195" s="11">
        <f>IFERROR(__xludf.DUMMYFUNCTION("""COMPUTED_VALUE"""),8.0)</f>
        <v>8</v>
      </c>
      <c r="C4195" s="11">
        <f>IFERROR(__xludf.DUMMYFUNCTION("""COMPUTED_VALUE"""),88189.0)</f>
        <v>88189</v>
      </c>
      <c r="D4195" s="11">
        <f>IFERROR(__xludf.DUMMYFUNCTION("""COMPUTED_VALUE"""),1299.0)</f>
        <v>1299</v>
      </c>
      <c r="E4195" s="9"/>
    </row>
    <row r="4196">
      <c r="A4196" s="11">
        <f>IFERROR(__xludf.DUMMYFUNCTION("""COMPUTED_VALUE"""),2021.0)</f>
        <v>2021</v>
      </c>
      <c r="B4196" s="11">
        <f>IFERROR(__xludf.DUMMYFUNCTION("""COMPUTED_VALUE"""),10.0)</f>
        <v>10</v>
      </c>
      <c r="C4196" s="11">
        <f>IFERROR(__xludf.DUMMYFUNCTION("""COMPUTED_VALUE"""),70677.0)</f>
        <v>70677</v>
      </c>
      <c r="D4196" s="11">
        <f>IFERROR(__xludf.DUMMYFUNCTION("""COMPUTED_VALUE"""),311.0)</f>
        <v>311</v>
      </c>
      <c r="E4196" s="9"/>
    </row>
    <row r="4197">
      <c r="A4197" s="11">
        <f>IFERROR(__xludf.DUMMYFUNCTION("""COMPUTED_VALUE"""),2021.0)</f>
        <v>2021</v>
      </c>
      <c r="B4197" s="11">
        <f>IFERROR(__xludf.DUMMYFUNCTION("""COMPUTED_VALUE"""),9.0)</f>
        <v>9</v>
      </c>
      <c r="C4197" s="11">
        <f>IFERROR(__xludf.DUMMYFUNCTION("""COMPUTED_VALUE"""),86506.0)</f>
        <v>86506</v>
      </c>
      <c r="D4197" s="11">
        <f>IFERROR(__xludf.DUMMYFUNCTION("""COMPUTED_VALUE"""),1591.0)</f>
        <v>1591</v>
      </c>
      <c r="E4197" s="9"/>
    </row>
    <row r="4198">
      <c r="A4198" s="11">
        <f>IFERROR(__xludf.DUMMYFUNCTION("""COMPUTED_VALUE"""),2021.0)</f>
        <v>2021</v>
      </c>
      <c r="B4198" s="11">
        <f>IFERROR(__xludf.DUMMYFUNCTION("""COMPUTED_VALUE"""),8.0)</f>
        <v>8</v>
      </c>
      <c r="C4198" s="11">
        <f>IFERROR(__xludf.DUMMYFUNCTION("""COMPUTED_VALUE"""),17360.0)</f>
        <v>17360</v>
      </c>
      <c r="D4198" s="11">
        <f>IFERROR(__xludf.DUMMYFUNCTION("""COMPUTED_VALUE"""),1515.0)</f>
        <v>1515</v>
      </c>
      <c r="E4198" s="9"/>
    </row>
    <row r="4199">
      <c r="A4199" s="11">
        <f>IFERROR(__xludf.DUMMYFUNCTION("""COMPUTED_VALUE"""),2021.0)</f>
        <v>2021</v>
      </c>
      <c r="B4199" s="11">
        <f>IFERROR(__xludf.DUMMYFUNCTION("""COMPUTED_VALUE"""),9.0)</f>
        <v>9</v>
      </c>
      <c r="C4199" s="11">
        <f>IFERROR(__xludf.DUMMYFUNCTION("""COMPUTED_VALUE"""),9819.0)</f>
        <v>9819</v>
      </c>
      <c r="D4199" s="11">
        <f>IFERROR(__xludf.DUMMYFUNCTION("""COMPUTED_VALUE"""),657.0)</f>
        <v>657</v>
      </c>
      <c r="E4199" s="9"/>
    </row>
    <row r="4200">
      <c r="A4200" s="11">
        <f>IFERROR(__xludf.DUMMYFUNCTION("""COMPUTED_VALUE"""),2021.0)</f>
        <v>2021</v>
      </c>
      <c r="B4200" s="11">
        <f>IFERROR(__xludf.DUMMYFUNCTION("""COMPUTED_VALUE"""),11.0)</f>
        <v>11</v>
      </c>
      <c r="C4200" s="11">
        <f>IFERROR(__xludf.DUMMYFUNCTION("""COMPUTED_VALUE"""),28574.0)</f>
        <v>28574</v>
      </c>
      <c r="D4200" s="11">
        <f>IFERROR(__xludf.DUMMYFUNCTION("""COMPUTED_VALUE"""),235.0)</f>
        <v>235</v>
      </c>
      <c r="E4200" s="9"/>
    </row>
    <row r="4201">
      <c r="A4201" s="11">
        <f>IFERROR(__xludf.DUMMYFUNCTION("""COMPUTED_VALUE"""),2021.0)</f>
        <v>2021</v>
      </c>
      <c r="B4201" s="11">
        <f>IFERROR(__xludf.DUMMYFUNCTION("""COMPUTED_VALUE"""),8.0)</f>
        <v>8</v>
      </c>
      <c r="C4201" s="11">
        <f>IFERROR(__xludf.DUMMYFUNCTION("""COMPUTED_VALUE"""),102395.0)</f>
        <v>102395</v>
      </c>
      <c r="D4201" s="11">
        <f>IFERROR(__xludf.DUMMYFUNCTION("""COMPUTED_VALUE"""),856.0)</f>
        <v>856</v>
      </c>
      <c r="E4201" s="9"/>
    </row>
    <row r="4202">
      <c r="A4202" s="11">
        <f>IFERROR(__xludf.DUMMYFUNCTION("""COMPUTED_VALUE"""),2021.0)</f>
        <v>2021</v>
      </c>
      <c r="B4202" s="11">
        <f>IFERROR(__xludf.DUMMYFUNCTION("""COMPUTED_VALUE"""),8.0)</f>
        <v>8</v>
      </c>
      <c r="C4202" s="11">
        <f>IFERROR(__xludf.DUMMYFUNCTION("""COMPUTED_VALUE"""),147302.0)</f>
        <v>147302</v>
      </c>
      <c r="D4202" s="11">
        <f>IFERROR(__xludf.DUMMYFUNCTION("""COMPUTED_VALUE"""),254.0)</f>
        <v>254</v>
      </c>
      <c r="E4202" s="9"/>
    </row>
    <row r="4203">
      <c r="A4203" s="11">
        <f>IFERROR(__xludf.DUMMYFUNCTION("""COMPUTED_VALUE"""),2021.0)</f>
        <v>2021</v>
      </c>
      <c r="B4203" s="11">
        <f>IFERROR(__xludf.DUMMYFUNCTION("""COMPUTED_VALUE"""),11.0)</f>
        <v>11</v>
      </c>
      <c r="C4203" s="11">
        <f>IFERROR(__xludf.DUMMYFUNCTION("""COMPUTED_VALUE"""),85049.0)</f>
        <v>85049</v>
      </c>
      <c r="D4203" s="11">
        <f>IFERROR(__xludf.DUMMYFUNCTION("""COMPUTED_VALUE"""),1650.0)</f>
        <v>1650</v>
      </c>
      <c r="E4203" s="9"/>
    </row>
    <row r="4204">
      <c r="A4204" s="11">
        <f>IFERROR(__xludf.DUMMYFUNCTION("""COMPUTED_VALUE"""),2021.0)</f>
        <v>2021</v>
      </c>
      <c r="B4204" s="11">
        <f>IFERROR(__xludf.DUMMYFUNCTION("""COMPUTED_VALUE"""),8.0)</f>
        <v>8</v>
      </c>
      <c r="C4204" s="11">
        <f>IFERROR(__xludf.DUMMYFUNCTION("""COMPUTED_VALUE"""),1683.0)</f>
        <v>1683</v>
      </c>
      <c r="D4204" s="11">
        <f>IFERROR(__xludf.DUMMYFUNCTION("""COMPUTED_VALUE"""),36.0)</f>
        <v>36</v>
      </c>
      <c r="E4204" s="9"/>
    </row>
    <row r="4205">
      <c r="A4205" s="11">
        <f>IFERROR(__xludf.DUMMYFUNCTION("""COMPUTED_VALUE"""),2021.0)</f>
        <v>2021</v>
      </c>
      <c r="B4205" s="11">
        <f>IFERROR(__xludf.DUMMYFUNCTION("""COMPUTED_VALUE"""),11.0)</f>
        <v>11</v>
      </c>
      <c r="C4205" s="11">
        <f>IFERROR(__xludf.DUMMYFUNCTION("""COMPUTED_VALUE"""),1685.0)</f>
        <v>1685</v>
      </c>
      <c r="D4205" s="11">
        <f>IFERROR(__xludf.DUMMYFUNCTION("""COMPUTED_VALUE"""),1084.0)</f>
        <v>1084</v>
      </c>
      <c r="E4205" s="9"/>
    </row>
    <row r="4206">
      <c r="A4206" s="11">
        <f>IFERROR(__xludf.DUMMYFUNCTION("""COMPUTED_VALUE"""),2021.0)</f>
        <v>2021</v>
      </c>
      <c r="B4206" s="11">
        <f>IFERROR(__xludf.DUMMYFUNCTION("""COMPUTED_VALUE"""),10.0)</f>
        <v>10</v>
      </c>
      <c r="C4206" s="11">
        <f>IFERROR(__xludf.DUMMYFUNCTION("""COMPUTED_VALUE"""),22193.0)</f>
        <v>22193</v>
      </c>
      <c r="D4206" s="11">
        <f>IFERROR(__xludf.DUMMYFUNCTION("""COMPUTED_VALUE"""),1927.0)</f>
        <v>1927</v>
      </c>
      <c r="E4206" s="9"/>
    </row>
    <row r="4207">
      <c r="A4207" s="11">
        <f>IFERROR(__xludf.DUMMYFUNCTION("""COMPUTED_VALUE"""),2021.0)</f>
        <v>2021</v>
      </c>
      <c r="B4207" s="11">
        <f>IFERROR(__xludf.DUMMYFUNCTION("""COMPUTED_VALUE"""),11.0)</f>
        <v>11</v>
      </c>
      <c r="C4207" s="11">
        <f>IFERROR(__xludf.DUMMYFUNCTION("""COMPUTED_VALUE"""),9786.0)</f>
        <v>9786</v>
      </c>
      <c r="D4207" s="11">
        <f>IFERROR(__xludf.DUMMYFUNCTION("""COMPUTED_VALUE"""),1954.0)</f>
        <v>1954</v>
      </c>
      <c r="E4207" s="9"/>
    </row>
    <row r="4208">
      <c r="A4208" s="11">
        <f>IFERROR(__xludf.DUMMYFUNCTION("""COMPUTED_VALUE"""),2021.0)</f>
        <v>2021</v>
      </c>
      <c r="B4208" s="11">
        <f>IFERROR(__xludf.DUMMYFUNCTION("""COMPUTED_VALUE"""),8.0)</f>
        <v>8</v>
      </c>
      <c r="C4208" s="11">
        <f>IFERROR(__xludf.DUMMYFUNCTION("""COMPUTED_VALUE"""),108770.0)</f>
        <v>108770</v>
      </c>
      <c r="D4208" s="11">
        <f>IFERROR(__xludf.DUMMYFUNCTION("""COMPUTED_VALUE"""),1128.0)</f>
        <v>1128</v>
      </c>
      <c r="E4208" s="9"/>
    </row>
    <row r="4209">
      <c r="A4209" s="11">
        <f>IFERROR(__xludf.DUMMYFUNCTION("""COMPUTED_VALUE"""),2021.0)</f>
        <v>2021</v>
      </c>
      <c r="B4209" s="11">
        <f>IFERROR(__xludf.DUMMYFUNCTION("""COMPUTED_VALUE"""),8.0)</f>
        <v>8</v>
      </c>
      <c r="C4209" s="11">
        <f>IFERROR(__xludf.DUMMYFUNCTION("""COMPUTED_VALUE"""),109536.0)</f>
        <v>109536</v>
      </c>
      <c r="D4209" s="11">
        <f>IFERROR(__xludf.DUMMYFUNCTION("""COMPUTED_VALUE"""),1527.0)</f>
        <v>1527</v>
      </c>
      <c r="E4209" s="9"/>
    </row>
    <row r="4210">
      <c r="A4210" s="11">
        <f>IFERROR(__xludf.DUMMYFUNCTION("""COMPUTED_VALUE"""),2021.0)</f>
        <v>2021</v>
      </c>
      <c r="B4210" s="11">
        <f>IFERROR(__xludf.DUMMYFUNCTION("""COMPUTED_VALUE"""),11.0)</f>
        <v>11</v>
      </c>
      <c r="C4210" s="11">
        <f>IFERROR(__xludf.DUMMYFUNCTION("""COMPUTED_VALUE"""),111743.0)</f>
        <v>111743</v>
      </c>
      <c r="D4210" s="11">
        <f>IFERROR(__xludf.DUMMYFUNCTION("""COMPUTED_VALUE"""),872.0)</f>
        <v>872</v>
      </c>
      <c r="E4210" s="9"/>
    </row>
    <row r="4211">
      <c r="A4211" s="11">
        <f>IFERROR(__xludf.DUMMYFUNCTION("""COMPUTED_VALUE"""),2021.0)</f>
        <v>2021</v>
      </c>
      <c r="B4211" s="11">
        <f>IFERROR(__xludf.DUMMYFUNCTION("""COMPUTED_VALUE"""),10.0)</f>
        <v>10</v>
      </c>
      <c r="C4211" s="11">
        <f>IFERROR(__xludf.DUMMYFUNCTION("""COMPUTED_VALUE"""),108769.0)</f>
        <v>108769</v>
      </c>
      <c r="D4211" s="11">
        <f>IFERROR(__xludf.DUMMYFUNCTION("""COMPUTED_VALUE"""),1003.0)</f>
        <v>1003</v>
      </c>
      <c r="E4211" s="9"/>
    </row>
    <row r="4212">
      <c r="A4212" s="11">
        <f>IFERROR(__xludf.DUMMYFUNCTION("""COMPUTED_VALUE"""),2021.0)</f>
        <v>2021</v>
      </c>
      <c r="B4212" s="11">
        <f>IFERROR(__xludf.DUMMYFUNCTION("""COMPUTED_VALUE"""),11.0)</f>
        <v>11</v>
      </c>
      <c r="C4212" s="11">
        <f>IFERROR(__xludf.DUMMYFUNCTION("""COMPUTED_VALUE"""),111742.0)</f>
        <v>111742</v>
      </c>
      <c r="D4212" s="11">
        <f>IFERROR(__xludf.DUMMYFUNCTION("""COMPUTED_VALUE"""),1574.0)</f>
        <v>1574</v>
      </c>
      <c r="E4212" s="9"/>
    </row>
    <row r="4213">
      <c r="A4213" s="11">
        <f>IFERROR(__xludf.DUMMYFUNCTION("""COMPUTED_VALUE"""),2021.0)</f>
        <v>2021</v>
      </c>
      <c r="B4213" s="11">
        <f>IFERROR(__xludf.DUMMYFUNCTION("""COMPUTED_VALUE"""),9.0)</f>
        <v>9</v>
      </c>
      <c r="C4213" s="11">
        <f>IFERROR(__xludf.DUMMYFUNCTION("""COMPUTED_VALUE"""),88989.0)</f>
        <v>88989</v>
      </c>
      <c r="D4213" s="11">
        <f>IFERROR(__xludf.DUMMYFUNCTION("""COMPUTED_VALUE"""),497.0)</f>
        <v>497</v>
      </c>
      <c r="E4213" s="9"/>
    </row>
    <row r="4214">
      <c r="A4214" s="11">
        <f>IFERROR(__xludf.DUMMYFUNCTION("""COMPUTED_VALUE"""),2021.0)</f>
        <v>2021</v>
      </c>
      <c r="B4214" s="11">
        <f>IFERROR(__xludf.DUMMYFUNCTION("""COMPUTED_VALUE"""),8.0)</f>
        <v>8</v>
      </c>
      <c r="C4214" s="11">
        <f>IFERROR(__xludf.DUMMYFUNCTION("""COMPUTED_VALUE"""),88987.0)</f>
        <v>88987</v>
      </c>
      <c r="D4214" s="11">
        <f>IFERROR(__xludf.DUMMYFUNCTION("""COMPUTED_VALUE"""),920.0)</f>
        <v>920</v>
      </c>
      <c r="E4214" s="9"/>
    </row>
    <row r="4215">
      <c r="A4215" s="11">
        <f>IFERROR(__xludf.DUMMYFUNCTION("""COMPUTED_VALUE"""),2021.0)</f>
        <v>2021</v>
      </c>
      <c r="B4215" s="11">
        <f>IFERROR(__xludf.DUMMYFUNCTION("""COMPUTED_VALUE"""),8.0)</f>
        <v>8</v>
      </c>
      <c r="C4215" s="11">
        <f>IFERROR(__xludf.DUMMYFUNCTION("""COMPUTED_VALUE"""),88988.0)</f>
        <v>88988</v>
      </c>
      <c r="D4215" s="11">
        <f>IFERROR(__xludf.DUMMYFUNCTION("""COMPUTED_VALUE"""),1332.0)</f>
        <v>1332</v>
      </c>
      <c r="E4215" s="9"/>
    </row>
    <row r="4216">
      <c r="A4216" s="11">
        <f>IFERROR(__xludf.DUMMYFUNCTION("""COMPUTED_VALUE"""),2021.0)</f>
        <v>2021</v>
      </c>
      <c r="B4216" s="11">
        <f>IFERROR(__xludf.DUMMYFUNCTION("""COMPUTED_VALUE"""),10.0)</f>
        <v>10</v>
      </c>
      <c r="C4216" s="11">
        <f>IFERROR(__xludf.DUMMYFUNCTION("""COMPUTED_VALUE"""),102816.0)</f>
        <v>102816</v>
      </c>
      <c r="D4216" s="11">
        <f>IFERROR(__xludf.DUMMYFUNCTION("""COMPUTED_VALUE"""),258.0)</f>
        <v>258</v>
      </c>
      <c r="E4216" s="9"/>
    </row>
    <row r="4217">
      <c r="A4217" s="11">
        <f>IFERROR(__xludf.DUMMYFUNCTION("""COMPUTED_VALUE"""),2021.0)</f>
        <v>2021</v>
      </c>
      <c r="B4217" s="11">
        <f>IFERROR(__xludf.DUMMYFUNCTION("""COMPUTED_VALUE"""),10.0)</f>
        <v>10</v>
      </c>
      <c r="C4217" s="11">
        <f>IFERROR(__xludf.DUMMYFUNCTION("""COMPUTED_VALUE"""),49803.0)</f>
        <v>49803</v>
      </c>
      <c r="D4217" s="11">
        <f>IFERROR(__xludf.DUMMYFUNCTION("""COMPUTED_VALUE"""),856.0)</f>
        <v>856</v>
      </c>
      <c r="E4217" s="9"/>
    </row>
    <row r="4218">
      <c r="A4218" s="11">
        <f>IFERROR(__xludf.DUMMYFUNCTION("""COMPUTED_VALUE"""),2021.0)</f>
        <v>2021</v>
      </c>
      <c r="B4218" s="11">
        <f>IFERROR(__xludf.DUMMYFUNCTION("""COMPUTED_VALUE"""),11.0)</f>
        <v>11</v>
      </c>
      <c r="C4218" s="11">
        <f>IFERROR(__xludf.DUMMYFUNCTION("""COMPUTED_VALUE"""),77302.0)</f>
        <v>77302</v>
      </c>
      <c r="D4218" s="11">
        <f>IFERROR(__xludf.DUMMYFUNCTION("""COMPUTED_VALUE"""),1664.0)</f>
        <v>1664</v>
      </c>
      <c r="E4218" s="9"/>
    </row>
    <row r="4219">
      <c r="A4219" s="11">
        <f>IFERROR(__xludf.DUMMYFUNCTION("""COMPUTED_VALUE"""),2021.0)</f>
        <v>2021</v>
      </c>
      <c r="B4219" s="11">
        <f>IFERROR(__xludf.DUMMYFUNCTION("""COMPUTED_VALUE"""),11.0)</f>
        <v>11</v>
      </c>
      <c r="C4219" s="11">
        <f>IFERROR(__xludf.DUMMYFUNCTION("""COMPUTED_VALUE"""),94000.0)</f>
        <v>94000</v>
      </c>
      <c r="D4219" s="11">
        <f>IFERROR(__xludf.DUMMYFUNCTION("""COMPUTED_VALUE"""),656.0)</f>
        <v>656</v>
      </c>
      <c r="E4219" s="9"/>
    </row>
    <row r="4220">
      <c r="A4220" s="11">
        <f>IFERROR(__xludf.DUMMYFUNCTION("""COMPUTED_VALUE"""),2021.0)</f>
        <v>2021</v>
      </c>
      <c r="B4220" s="11">
        <f>IFERROR(__xludf.DUMMYFUNCTION("""COMPUTED_VALUE"""),10.0)</f>
        <v>10</v>
      </c>
      <c r="C4220" s="11">
        <f>IFERROR(__xludf.DUMMYFUNCTION("""COMPUTED_VALUE"""),9616.0)</f>
        <v>9616</v>
      </c>
      <c r="D4220" s="11">
        <f>IFERROR(__xludf.DUMMYFUNCTION("""COMPUTED_VALUE"""),18.0)</f>
        <v>18</v>
      </c>
      <c r="E4220" s="9"/>
    </row>
    <row r="4221">
      <c r="A4221" s="11">
        <f>IFERROR(__xludf.DUMMYFUNCTION("""COMPUTED_VALUE"""),2021.0)</f>
        <v>2021</v>
      </c>
      <c r="B4221" s="11">
        <f>IFERROR(__xludf.DUMMYFUNCTION("""COMPUTED_VALUE"""),8.0)</f>
        <v>8</v>
      </c>
      <c r="C4221" s="11">
        <f>IFERROR(__xludf.DUMMYFUNCTION("""COMPUTED_VALUE"""),115135.0)</f>
        <v>115135</v>
      </c>
      <c r="D4221" s="11">
        <f>IFERROR(__xludf.DUMMYFUNCTION("""COMPUTED_VALUE"""),378.0)</f>
        <v>378</v>
      </c>
      <c r="E4221" s="9"/>
    </row>
    <row r="4222">
      <c r="A4222" s="11">
        <f>IFERROR(__xludf.DUMMYFUNCTION("""COMPUTED_VALUE"""),2021.0)</f>
        <v>2021</v>
      </c>
      <c r="B4222" s="11">
        <f>IFERROR(__xludf.DUMMYFUNCTION("""COMPUTED_VALUE"""),11.0)</f>
        <v>11</v>
      </c>
      <c r="C4222" s="11">
        <f>IFERROR(__xludf.DUMMYFUNCTION("""COMPUTED_VALUE"""),90727.0)</f>
        <v>90727</v>
      </c>
      <c r="D4222" s="11">
        <f>IFERROR(__xludf.DUMMYFUNCTION("""COMPUTED_VALUE"""),744.0)</f>
        <v>744</v>
      </c>
      <c r="E4222" s="9"/>
    </row>
    <row r="4223">
      <c r="A4223" s="11">
        <f>IFERROR(__xludf.DUMMYFUNCTION("""COMPUTED_VALUE"""),2021.0)</f>
        <v>2021</v>
      </c>
      <c r="B4223" s="11">
        <f>IFERROR(__xludf.DUMMYFUNCTION("""COMPUTED_VALUE"""),11.0)</f>
        <v>11</v>
      </c>
      <c r="C4223" s="11">
        <f>IFERROR(__xludf.DUMMYFUNCTION("""COMPUTED_VALUE"""),24060.0)</f>
        <v>24060</v>
      </c>
      <c r="D4223" s="11">
        <f>IFERROR(__xludf.DUMMYFUNCTION("""COMPUTED_VALUE"""),1686.0)</f>
        <v>1686</v>
      </c>
      <c r="E4223" s="9"/>
    </row>
    <row r="4224">
      <c r="A4224" s="11">
        <f>IFERROR(__xludf.DUMMYFUNCTION("""COMPUTED_VALUE"""),2021.0)</f>
        <v>2021</v>
      </c>
      <c r="B4224" s="11">
        <f>IFERROR(__xludf.DUMMYFUNCTION("""COMPUTED_VALUE"""),11.0)</f>
        <v>11</v>
      </c>
      <c r="C4224" s="11">
        <f>IFERROR(__xludf.DUMMYFUNCTION("""COMPUTED_VALUE"""),112086.0)</f>
        <v>112086</v>
      </c>
      <c r="D4224" s="11">
        <f>IFERROR(__xludf.DUMMYFUNCTION("""COMPUTED_VALUE"""),715.0)</f>
        <v>715</v>
      </c>
      <c r="E4224" s="9"/>
    </row>
    <row r="4225">
      <c r="A4225" s="11">
        <f>IFERROR(__xludf.DUMMYFUNCTION("""COMPUTED_VALUE"""),2021.0)</f>
        <v>2021</v>
      </c>
      <c r="B4225" s="11">
        <f>IFERROR(__xludf.DUMMYFUNCTION("""COMPUTED_VALUE"""),11.0)</f>
        <v>11</v>
      </c>
      <c r="C4225" s="11">
        <f>IFERROR(__xludf.DUMMYFUNCTION("""COMPUTED_VALUE"""),90723.0)</f>
        <v>90723</v>
      </c>
      <c r="D4225" s="11">
        <f>IFERROR(__xludf.DUMMYFUNCTION("""COMPUTED_VALUE"""),298.0)</f>
        <v>298</v>
      </c>
      <c r="E4225" s="9"/>
    </row>
    <row r="4226">
      <c r="A4226" s="11">
        <f>IFERROR(__xludf.DUMMYFUNCTION("""COMPUTED_VALUE"""),2021.0)</f>
        <v>2021</v>
      </c>
      <c r="B4226" s="11">
        <f>IFERROR(__xludf.DUMMYFUNCTION("""COMPUTED_VALUE"""),9.0)</f>
        <v>9</v>
      </c>
      <c r="C4226" s="11">
        <f>IFERROR(__xludf.DUMMYFUNCTION("""COMPUTED_VALUE"""),77601.0)</f>
        <v>77601</v>
      </c>
      <c r="D4226" s="11">
        <f>IFERROR(__xludf.DUMMYFUNCTION("""COMPUTED_VALUE"""),1604.0)</f>
        <v>1604</v>
      </c>
      <c r="E4226" s="9"/>
    </row>
    <row r="4227">
      <c r="A4227" s="11">
        <f>IFERROR(__xludf.DUMMYFUNCTION("""COMPUTED_VALUE"""),2021.0)</f>
        <v>2021</v>
      </c>
      <c r="B4227" s="11">
        <f>IFERROR(__xludf.DUMMYFUNCTION("""COMPUTED_VALUE"""),9.0)</f>
        <v>9</v>
      </c>
      <c r="C4227" s="11">
        <f>IFERROR(__xludf.DUMMYFUNCTION("""COMPUTED_VALUE"""),12005.0)</f>
        <v>12005</v>
      </c>
      <c r="D4227" s="11">
        <f>IFERROR(__xludf.DUMMYFUNCTION("""COMPUTED_VALUE"""),329.0)</f>
        <v>329</v>
      </c>
      <c r="E4227" s="9"/>
    </row>
    <row r="4228">
      <c r="A4228" s="11">
        <f>IFERROR(__xludf.DUMMYFUNCTION("""COMPUTED_VALUE"""),2021.0)</f>
        <v>2021</v>
      </c>
      <c r="B4228" s="11">
        <f>IFERROR(__xludf.DUMMYFUNCTION("""COMPUTED_VALUE"""),10.0)</f>
        <v>10</v>
      </c>
      <c r="C4228" s="11">
        <f>IFERROR(__xludf.DUMMYFUNCTION("""COMPUTED_VALUE"""),41680.0)</f>
        <v>41680</v>
      </c>
      <c r="D4228" s="11">
        <f>IFERROR(__xludf.DUMMYFUNCTION("""COMPUTED_VALUE"""),148.0)</f>
        <v>148</v>
      </c>
      <c r="E4228" s="9"/>
    </row>
    <row r="4229">
      <c r="A4229" s="11">
        <f>IFERROR(__xludf.DUMMYFUNCTION("""COMPUTED_VALUE"""),2021.0)</f>
        <v>2021</v>
      </c>
      <c r="B4229" s="11">
        <f>IFERROR(__xludf.DUMMYFUNCTION("""COMPUTED_VALUE"""),11.0)</f>
        <v>11</v>
      </c>
      <c r="C4229" s="11">
        <f>IFERROR(__xludf.DUMMYFUNCTION("""COMPUTED_VALUE"""),12000.0)</f>
        <v>12000</v>
      </c>
      <c r="D4229" s="11">
        <f>IFERROR(__xludf.DUMMYFUNCTION("""COMPUTED_VALUE"""),1078.0)</f>
        <v>1078</v>
      </c>
      <c r="E4229" s="9"/>
    </row>
    <row r="4230">
      <c r="A4230" s="11">
        <f>IFERROR(__xludf.DUMMYFUNCTION("""COMPUTED_VALUE"""),2021.0)</f>
        <v>2021</v>
      </c>
      <c r="B4230" s="11">
        <f>IFERROR(__xludf.DUMMYFUNCTION("""COMPUTED_VALUE"""),11.0)</f>
        <v>11</v>
      </c>
      <c r="C4230" s="11">
        <f>IFERROR(__xludf.DUMMYFUNCTION("""COMPUTED_VALUE"""),12022.0)</f>
        <v>12022</v>
      </c>
      <c r="D4230" s="11">
        <f>IFERROR(__xludf.DUMMYFUNCTION("""COMPUTED_VALUE"""),443.0)</f>
        <v>443</v>
      </c>
      <c r="E4230" s="9"/>
    </row>
    <row r="4231">
      <c r="A4231" s="11">
        <f>IFERROR(__xludf.DUMMYFUNCTION("""COMPUTED_VALUE"""),2021.0)</f>
        <v>2021</v>
      </c>
      <c r="B4231" s="11">
        <f>IFERROR(__xludf.DUMMYFUNCTION("""COMPUTED_VALUE"""),11.0)</f>
        <v>11</v>
      </c>
      <c r="C4231" s="11">
        <f>IFERROR(__xludf.DUMMYFUNCTION("""COMPUTED_VALUE"""),113596.0)</f>
        <v>113596</v>
      </c>
      <c r="D4231" s="11">
        <f>IFERROR(__xludf.DUMMYFUNCTION("""COMPUTED_VALUE"""),261.0)</f>
        <v>261</v>
      </c>
      <c r="E4231" s="9"/>
    </row>
    <row r="4232">
      <c r="A4232" s="11">
        <f>IFERROR(__xludf.DUMMYFUNCTION("""COMPUTED_VALUE"""),2021.0)</f>
        <v>2021</v>
      </c>
      <c r="B4232" s="11">
        <f>IFERROR(__xludf.DUMMYFUNCTION("""COMPUTED_VALUE"""),9.0)</f>
        <v>9</v>
      </c>
      <c r="C4232" s="11">
        <f>IFERROR(__xludf.DUMMYFUNCTION("""COMPUTED_VALUE"""),11998.0)</f>
        <v>11998</v>
      </c>
      <c r="D4232" s="11">
        <f>IFERROR(__xludf.DUMMYFUNCTION("""COMPUTED_VALUE"""),90.0)</f>
        <v>90</v>
      </c>
      <c r="E4232" s="9"/>
    </row>
    <row r="4233">
      <c r="A4233" s="11">
        <f>IFERROR(__xludf.DUMMYFUNCTION("""COMPUTED_VALUE"""),2021.0)</f>
        <v>2021</v>
      </c>
      <c r="B4233" s="11">
        <f>IFERROR(__xludf.DUMMYFUNCTION("""COMPUTED_VALUE"""),9.0)</f>
        <v>9</v>
      </c>
      <c r="C4233" s="11">
        <f>IFERROR(__xludf.DUMMYFUNCTION("""COMPUTED_VALUE"""),12063.0)</f>
        <v>12063</v>
      </c>
      <c r="D4233" s="11">
        <f>IFERROR(__xludf.DUMMYFUNCTION("""COMPUTED_VALUE"""),1756.0)</f>
        <v>1756</v>
      </c>
      <c r="E4233" s="9"/>
    </row>
    <row r="4234">
      <c r="A4234" s="11">
        <f>IFERROR(__xludf.DUMMYFUNCTION("""COMPUTED_VALUE"""),2021.0)</f>
        <v>2021</v>
      </c>
      <c r="B4234" s="11">
        <f>IFERROR(__xludf.DUMMYFUNCTION("""COMPUTED_VALUE"""),10.0)</f>
        <v>10</v>
      </c>
      <c r="C4234" s="11">
        <f>IFERROR(__xludf.DUMMYFUNCTION("""COMPUTED_VALUE"""),96069.0)</f>
        <v>96069</v>
      </c>
      <c r="D4234" s="11">
        <f>IFERROR(__xludf.DUMMYFUNCTION("""COMPUTED_VALUE"""),877.0)</f>
        <v>877</v>
      </c>
      <c r="E4234" s="9"/>
    </row>
    <row r="4235">
      <c r="A4235" s="11">
        <f>IFERROR(__xludf.DUMMYFUNCTION("""COMPUTED_VALUE"""),2021.0)</f>
        <v>2021</v>
      </c>
      <c r="B4235" s="11">
        <f>IFERROR(__xludf.DUMMYFUNCTION("""COMPUTED_VALUE"""),8.0)</f>
        <v>8</v>
      </c>
      <c r="C4235" s="11">
        <f>IFERROR(__xludf.DUMMYFUNCTION("""COMPUTED_VALUE"""),12007.0)</f>
        <v>12007</v>
      </c>
      <c r="D4235" s="11">
        <f>IFERROR(__xludf.DUMMYFUNCTION("""COMPUTED_VALUE"""),1765.0)</f>
        <v>1765</v>
      </c>
      <c r="E4235" s="9"/>
    </row>
    <row r="4236">
      <c r="A4236" s="11">
        <f>IFERROR(__xludf.DUMMYFUNCTION("""COMPUTED_VALUE"""),2021.0)</f>
        <v>2021</v>
      </c>
      <c r="B4236" s="11">
        <f>IFERROR(__xludf.DUMMYFUNCTION("""COMPUTED_VALUE"""),9.0)</f>
        <v>9</v>
      </c>
      <c r="C4236" s="11">
        <f>IFERROR(__xludf.DUMMYFUNCTION("""COMPUTED_VALUE"""),113592.0)</f>
        <v>113592</v>
      </c>
      <c r="D4236" s="11">
        <f>IFERROR(__xludf.DUMMYFUNCTION("""COMPUTED_VALUE"""),1104.0)</f>
        <v>1104</v>
      </c>
      <c r="E4236" s="9"/>
    </row>
    <row r="4237">
      <c r="A4237" s="11">
        <f>IFERROR(__xludf.DUMMYFUNCTION("""COMPUTED_VALUE"""),2021.0)</f>
        <v>2021</v>
      </c>
      <c r="B4237" s="11">
        <f>IFERROR(__xludf.DUMMYFUNCTION("""COMPUTED_VALUE"""),9.0)</f>
        <v>9</v>
      </c>
      <c r="C4237" s="11">
        <f>IFERROR(__xludf.DUMMYFUNCTION("""COMPUTED_VALUE"""),147308.0)</f>
        <v>147308</v>
      </c>
      <c r="D4237" s="11">
        <f>IFERROR(__xludf.DUMMYFUNCTION("""COMPUTED_VALUE"""),1643.0)</f>
        <v>1643</v>
      </c>
      <c r="E4237" s="9"/>
    </row>
    <row r="4238">
      <c r="A4238" s="11">
        <f>IFERROR(__xludf.DUMMYFUNCTION("""COMPUTED_VALUE"""),2021.0)</f>
        <v>2021</v>
      </c>
      <c r="B4238" s="11">
        <f>IFERROR(__xludf.DUMMYFUNCTION("""COMPUTED_VALUE"""),9.0)</f>
        <v>9</v>
      </c>
      <c r="C4238" s="11">
        <f>IFERROR(__xludf.DUMMYFUNCTION("""COMPUTED_VALUE"""),41679.0)</f>
        <v>41679</v>
      </c>
      <c r="D4238" s="11">
        <f>IFERROR(__xludf.DUMMYFUNCTION("""COMPUTED_VALUE"""),1480.0)</f>
        <v>1480</v>
      </c>
      <c r="E4238" s="9"/>
    </row>
    <row r="4239">
      <c r="A4239" s="11">
        <f>IFERROR(__xludf.DUMMYFUNCTION("""COMPUTED_VALUE"""),2021.0)</f>
        <v>2021</v>
      </c>
      <c r="B4239" s="11">
        <f>IFERROR(__xludf.DUMMYFUNCTION("""COMPUTED_VALUE"""),9.0)</f>
        <v>9</v>
      </c>
      <c r="C4239" s="11">
        <f>IFERROR(__xludf.DUMMYFUNCTION("""COMPUTED_VALUE"""),112077.0)</f>
        <v>112077</v>
      </c>
      <c r="D4239" s="11">
        <f>IFERROR(__xludf.DUMMYFUNCTION("""COMPUTED_VALUE"""),1712.0)</f>
        <v>1712</v>
      </c>
      <c r="E4239" s="9"/>
    </row>
    <row r="4240">
      <c r="A4240" s="11">
        <f>IFERROR(__xludf.DUMMYFUNCTION("""COMPUTED_VALUE"""),2021.0)</f>
        <v>2021</v>
      </c>
      <c r="B4240" s="11">
        <f>IFERROR(__xludf.DUMMYFUNCTION("""COMPUTED_VALUE"""),10.0)</f>
        <v>10</v>
      </c>
      <c r="C4240" s="11">
        <f>IFERROR(__xludf.DUMMYFUNCTION("""COMPUTED_VALUE"""),115133.0)</f>
        <v>115133</v>
      </c>
      <c r="D4240" s="11">
        <f>IFERROR(__xludf.DUMMYFUNCTION("""COMPUTED_VALUE"""),710.0)</f>
        <v>710</v>
      </c>
      <c r="E4240" s="9"/>
    </row>
    <row r="4241">
      <c r="A4241" s="11">
        <f>IFERROR(__xludf.DUMMYFUNCTION("""COMPUTED_VALUE"""),2021.0)</f>
        <v>2021</v>
      </c>
      <c r="B4241" s="11">
        <f>IFERROR(__xludf.DUMMYFUNCTION("""COMPUTED_VALUE"""),11.0)</f>
        <v>11</v>
      </c>
      <c r="C4241" s="11">
        <f>IFERROR(__xludf.DUMMYFUNCTION("""COMPUTED_VALUE"""),30465.0)</f>
        <v>30465</v>
      </c>
      <c r="D4241" s="11">
        <f>IFERROR(__xludf.DUMMYFUNCTION("""COMPUTED_VALUE"""),1077.0)</f>
        <v>1077</v>
      </c>
      <c r="E4241" s="9"/>
    </row>
    <row r="4242">
      <c r="A4242" s="11">
        <f>IFERROR(__xludf.DUMMYFUNCTION("""COMPUTED_VALUE"""),2021.0)</f>
        <v>2021</v>
      </c>
      <c r="B4242" s="11">
        <f>IFERROR(__xludf.DUMMYFUNCTION("""COMPUTED_VALUE"""),10.0)</f>
        <v>10</v>
      </c>
      <c r="C4242" s="11">
        <f>IFERROR(__xludf.DUMMYFUNCTION("""COMPUTED_VALUE"""),87405.0)</f>
        <v>87405</v>
      </c>
      <c r="D4242" s="11">
        <f>IFERROR(__xludf.DUMMYFUNCTION("""COMPUTED_VALUE"""),288.0)</f>
        <v>288</v>
      </c>
      <c r="E4242" s="9"/>
    </row>
    <row r="4243">
      <c r="A4243" s="11">
        <f>IFERROR(__xludf.DUMMYFUNCTION("""COMPUTED_VALUE"""),2021.0)</f>
        <v>2021</v>
      </c>
      <c r="B4243" s="11">
        <f>IFERROR(__xludf.DUMMYFUNCTION("""COMPUTED_VALUE"""),8.0)</f>
        <v>8</v>
      </c>
      <c r="C4243" s="11">
        <f>IFERROR(__xludf.DUMMYFUNCTION("""COMPUTED_VALUE"""),77602.0)</f>
        <v>77602</v>
      </c>
      <c r="D4243" s="11">
        <f>IFERROR(__xludf.DUMMYFUNCTION("""COMPUTED_VALUE"""),1854.0)</f>
        <v>1854</v>
      </c>
      <c r="E4243" s="9"/>
    </row>
    <row r="4244">
      <c r="A4244" s="11">
        <f>IFERROR(__xludf.DUMMYFUNCTION("""COMPUTED_VALUE"""),2021.0)</f>
        <v>2021</v>
      </c>
      <c r="B4244" s="11">
        <f>IFERROR(__xludf.DUMMYFUNCTION("""COMPUTED_VALUE"""),9.0)</f>
        <v>9</v>
      </c>
      <c r="C4244" s="11">
        <f>IFERROR(__xludf.DUMMYFUNCTION("""COMPUTED_VALUE"""),107058.0)</f>
        <v>107058</v>
      </c>
      <c r="D4244" s="11">
        <f>IFERROR(__xludf.DUMMYFUNCTION("""COMPUTED_VALUE"""),474.0)</f>
        <v>474</v>
      </c>
      <c r="E4244" s="9"/>
    </row>
    <row r="4245">
      <c r="A4245" s="11">
        <f>IFERROR(__xludf.DUMMYFUNCTION("""COMPUTED_VALUE"""),2021.0)</f>
        <v>2021</v>
      </c>
      <c r="B4245" s="11">
        <f>IFERROR(__xludf.DUMMYFUNCTION("""COMPUTED_VALUE"""),9.0)</f>
        <v>9</v>
      </c>
      <c r="C4245" s="11">
        <f>IFERROR(__xludf.DUMMYFUNCTION("""COMPUTED_VALUE"""),5807.0)</f>
        <v>5807</v>
      </c>
      <c r="D4245" s="11">
        <f>IFERROR(__xludf.DUMMYFUNCTION("""COMPUTED_VALUE"""),1564.0)</f>
        <v>1564</v>
      </c>
      <c r="E4245" s="9"/>
    </row>
    <row r="4246">
      <c r="A4246" s="11">
        <f>IFERROR(__xludf.DUMMYFUNCTION("""COMPUTED_VALUE"""),2021.0)</f>
        <v>2021</v>
      </c>
      <c r="B4246" s="11">
        <f>IFERROR(__xludf.DUMMYFUNCTION("""COMPUTED_VALUE"""),11.0)</f>
        <v>11</v>
      </c>
      <c r="C4246" s="11">
        <f>IFERROR(__xludf.DUMMYFUNCTION("""COMPUTED_VALUE"""),87061.0)</f>
        <v>87061</v>
      </c>
      <c r="D4246" s="11">
        <f>IFERROR(__xludf.DUMMYFUNCTION("""COMPUTED_VALUE"""),766.0)</f>
        <v>766</v>
      </c>
      <c r="E4246" s="9"/>
    </row>
    <row r="4247">
      <c r="A4247" s="11">
        <f>IFERROR(__xludf.DUMMYFUNCTION("""COMPUTED_VALUE"""),2021.0)</f>
        <v>2021</v>
      </c>
      <c r="B4247" s="11">
        <f>IFERROR(__xludf.DUMMYFUNCTION("""COMPUTED_VALUE"""),8.0)</f>
        <v>8</v>
      </c>
      <c r="C4247" s="11">
        <f>IFERROR(__xludf.DUMMYFUNCTION("""COMPUTED_VALUE"""),108039.0)</f>
        <v>108039</v>
      </c>
      <c r="D4247" s="11">
        <f>IFERROR(__xludf.DUMMYFUNCTION("""COMPUTED_VALUE"""),1416.0)</f>
        <v>1416</v>
      </c>
      <c r="E4247" s="9"/>
    </row>
    <row r="4248">
      <c r="A4248" s="11">
        <f>IFERROR(__xludf.DUMMYFUNCTION("""COMPUTED_VALUE"""),2021.0)</f>
        <v>2021</v>
      </c>
      <c r="B4248" s="11">
        <f>IFERROR(__xludf.DUMMYFUNCTION("""COMPUTED_VALUE"""),11.0)</f>
        <v>11</v>
      </c>
      <c r="C4248" s="11">
        <f>IFERROR(__xludf.DUMMYFUNCTION("""COMPUTED_VALUE"""),90837.0)</f>
        <v>90837</v>
      </c>
      <c r="D4248" s="11">
        <f>IFERROR(__xludf.DUMMYFUNCTION("""COMPUTED_VALUE"""),202.0)</f>
        <v>202</v>
      </c>
      <c r="E4248" s="9"/>
    </row>
    <row r="4249">
      <c r="A4249" s="11">
        <f>IFERROR(__xludf.DUMMYFUNCTION("""COMPUTED_VALUE"""),2021.0)</f>
        <v>2021</v>
      </c>
      <c r="B4249" s="11">
        <f>IFERROR(__xludf.DUMMYFUNCTION("""COMPUTED_VALUE"""),11.0)</f>
        <v>11</v>
      </c>
      <c r="C4249" s="11">
        <f>IFERROR(__xludf.DUMMYFUNCTION("""COMPUTED_VALUE"""),88461.0)</f>
        <v>88461</v>
      </c>
      <c r="D4249" s="11">
        <f>IFERROR(__xludf.DUMMYFUNCTION("""COMPUTED_VALUE"""),1225.0)</f>
        <v>1225</v>
      </c>
      <c r="E4249" s="9"/>
    </row>
    <row r="4250">
      <c r="A4250" s="11">
        <f>IFERROR(__xludf.DUMMYFUNCTION("""COMPUTED_VALUE"""),2021.0)</f>
        <v>2021</v>
      </c>
      <c r="B4250" s="11">
        <f>IFERROR(__xludf.DUMMYFUNCTION("""COMPUTED_VALUE"""),9.0)</f>
        <v>9</v>
      </c>
      <c r="C4250" s="11">
        <f>IFERROR(__xludf.DUMMYFUNCTION("""COMPUTED_VALUE"""),81504.0)</f>
        <v>81504</v>
      </c>
      <c r="D4250" s="11">
        <f>IFERROR(__xludf.DUMMYFUNCTION("""COMPUTED_VALUE"""),1292.0)</f>
        <v>1292</v>
      </c>
      <c r="E4250" s="9"/>
    </row>
    <row r="4251">
      <c r="A4251" s="11">
        <f>IFERROR(__xludf.DUMMYFUNCTION("""COMPUTED_VALUE"""),2021.0)</f>
        <v>2021</v>
      </c>
      <c r="B4251" s="11">
        <f>IFERROR(__xludf.DUMMYFUNCTION("""COMPUTED_VALUE"""),9.0)</f>
        <v>9</v>
      </c>
      <c r="C4251" s="11">
        <f>IFERROR(__xludf.DUMMYFUNCTION("""COMPUTED_VALUE"""),12027.0)</f>
        <v>12027</v>
      </c>
      <c r="D4251" s="11">
        <f>IFERROR(__xludf.DUMMYFUNCTION("""COMPUTED_VALUE"""),107.0)</f>
        <v>107</v>
      </c>
      <c r="E4251" s="9"/>
    </row>
    <row r="4252">
      <c r="A4252" s="11">
        <f>IFERROR(__xludf.DUMMYFUNCTION("""COMPUTED_VALUE"""),2021.0)</f>
        <v>2021</v>
      </c>
      <c r="B4252" s="11">
        <f>IFERROR(__xludf.DUMMYFUNCTION("""COMPUTED_VALUE"""),9.0)</f>
        <v>9</v>
      </c>
      <c r="C4252" s="11">
        <f>IFERROR(__xludf.DUMMYFUNCTION("""COMPUTED_VALUE"""),8883.0)</f>
        <v>8883</v>
      </c>
      <c r="D4252" s="11">
        <f>IFERROR(__xludf.DUMMYFUNCTION("""COMPUTED_VALUE"""),64.0)</f>
        <v>64</v>
      </c>
      <c r="E4252" s="9"/>
    </row>
    <row r="4253">
      <c r="A4253" s="11">
        <f>IFERROR(__xludf.DUMMYFUNCTION("""COMPUTED_VALUE"""),2021.0)</f>
        <v>2021</v>
      </c>
      <c r="B4253" s="11">
        <f>IFERROR(__xludf.DUMMYFUNCTION("""COMPUTED_VALUE"""),10.0)</f>
        <v>10</v>
      </c>
      <c r="C4253" s="11">
        <f>IFERROR(__xludf.DUMMYFUNCTION("""COMPUTED_VALUE"""),112082.0)</f>
        <v>112082</v>
      </c>
      <c r="D4253" s="11">
        <f>IFERROR(__xludf.DUMMYFUNCTION("""COMPUTED_VALUE"""),431.0)</f>
        <v>431</v>
      </c>
      <c r="E4253" s="9"/>
    </row>
    <row r="4254">
      <c r="A4254" s="11">
        <f>IFERROR(__xludf.DUMMYFUNCTION("""COMPUTED_VALUE"""),2021.0)</f>
        <v>2021</v>
      </c>
      <c r="B4254" s="11">
        <f>IFERROR(__xludf.DUMMYFUNCTION("""COMPUTED_VALUE"""),8.0)</f>
        <v>8</v>
      </c>
      <c r="C4254" s="11">
        <f>IFERROR(__xludf.DUMMYFUNCTION("""COMPUTED_VALUE"""),114961.0)</f>
        <v>114961</v>
      </c>
      <c r="D4254" s="11">
        <f>IFERROR(__xludf.DUMMYFUNCTION("""COMPUTED_VALUE"""),1064.0)</f>
        <v>1064</v>
      </c>
      <c r="E4254" s="9"/>
    </row>
    <row r="4255">
      <c r="A4255" s="11">
        <f>IFERROR(__xludf.DUMMYFUNCTION("""COMPUTED_VALUE"""),2021.0)</f>
        <v>2021</v>
      </c>
      <c r="B4255" s="11">
        <f>IFERROR(__xludf.DUMMYFUNCTION("""COMPUTED_VALUE"""),9.0)</f>
        <v>9</v>
      </c>
      <c r="C4255" s="11">
        <f>IFERROR(__xludf.DUMMYFUNCTION("""COMPUTED_VALUE"""),112078.0)</f>
        <v>112078</v>
      </c>
      <c r="D4255" s="11">
        <f>IFERROR(__xludf.DUMMYFUNCTION("""COMPUTED_VALUE"""),412.0)</f>
        <v>412</v>
      </c>
      <c r="E4255" s="9"/>
    </row>
    <row r="4256">
      <c r="A4256" s="11">
        <f>IFERROR(__xludf.DUMMYFUNCTION("""COMPUTED_VALUE"""),2021.0)</f>
        <v>2021</v>
      </c>
      <c r="B4256" s="11">
        <f>IFERROR(__xludf.DUMMYFUNCTION("""COMPUTED_VALUE"""),11.0)</f>
        <v>11</v>
      </c>
      <c r="C4256" s="11">
        <f>IFERROR(__xludf.DUMMYFUNCTION("""COMPUTED_VALUE"""),12025.0)</f>
        <v>12025</v>
      </c>
      <c r="D4256" s="11">
        <f>IFERROR(__xludf.DUMMYFUNCTION("""COMPUTED_VALUE"""),795.0)</f>
        <v>795</v>
      </c>
      <c r="E4256" s="9"/>
    </row>
    <row r="4257">
      <c r="A4257" s="11">
        <f>IFERROR(__xludf.DUMMYFUNCTION("""COMPUTED_VALUE"""),2021.0)</f>
        <v>2021</v>
      </c>
      <c r="B4257" s="11">
        <f>IFERROR(__xludf.DUMMYFUNCTION("""COMPUTED_VALUE"""),8.0)</f>
        <v>8</v>
      </c>
      <c r="C4257" s="11">
        <f>IFERROR(__xludf.DUMMYFUNCTION("""COMPUTED_VALUE"""),11992.0)</f>
        <v>11992</v>
      </c>
      <c r="D4257" s="11">
        <f>IFERROR(__xludf.DUMMYFUNCTION("""COMPUTED_VALUE"""),259.0)</f>
        <v>259</v>
      </c>
      <c r="E4257" s="9"/>
    </row>
    <row r="4258">
      <c r="A4258" s="11">
        <f>IFERROR(__xludf.DUMMYFUNCTION("""COMPUTED_VALUE"""),2021.0)</f>
        <v>2021</v>
      </c>
      <c r="B4258" s="11">
        <f>IFERROR(__xludf.DUMMYFUNCTION("""COMPUTED_VALUE"""),9.0)</f>
        <v>9</v>
      </c>
      <c r="C4258" s="11">
        <f>IFERROR(__xludf.DUMMYFUNCTION("""COMPUTED_VALUE"""),188850.0)</f>
        <v>188850</v>
      </c>
      <c r="D4258" s="11">
        <f>IFERROR(__xludf.DUMMYFUNCTION("""COMPUTED_VALUE"""),545.0)</f>
        <v>545</v>
      </c>
      <c r="E4258" s="9"/>
    </row>
    <row r="4259">
      <c r="A4259" s="11">
        <f>IFERROR(__xludf.DUMMYFUNCTION("""COMPUTED_VALUE"""),2021.0)</f>
        <v>2021</v>
      </c>
      <c r="B4259" s="11">
        <f>IFERROR(__xludf.DUMMYFUNCTION("""COMPUTED_VALUE"""),10.0)</f>
        <v>10</v>
      </c>
      <c r="C4259" s="11">
        <f>IFERROR(__xludf.DUMMYFUNCTION("""COMPUTED_VALUE"""),69296.0)</f>
        <v>69296</v>
      </c>
      <c r="D4259" s="11">
        <f>IFERROR(__xludf.DUMMYFUNCTION("""COMPUTED_VALUE"""),748.0)</f>
        <v>748</v>
      </c>
      <c r="E4259" s="9"/>
    </row>
    <row r="4260">
      <c r="A4260" s="11">
        <f>IFERROR(__xludf.DUMMYFUNCTION("""COMPUTED_VALUE"""),2021.0)</f>
        <v>2021</v>
      </c>
      <c r="B4260" s="11">
        <f>IFERROR(__xludf.DUMMYFUNCTION("""COMPUTED_VALUE"""),9.0)</f>
        <v>9</v>
      </c>
      <c r="C4260" s="11">
        <f>IFERROR(__xludf.DUMMYFUNCTION("""COMPUTED_VALUE"""),115141.0)</f>
        <v>115141</v>
      </c>
      <c r="D4260" s="11">
        <f>IFERROR(__xludf.DUMMYFUNCTION("""COMPUTED_VALUE"""),17.0)</f>
        <v>17</v>
      </c>
      <c r="E4260" s="9"/>
    </row>
    <row r="4261">
      <c r="A4261" s="11">
        <f>IFERROR(__xludf.DUMMYFUNCTION("""COMPUTED_VALUE"""),2021.0)</f>
        <v>2021</v>
      </c>
      <c r="B4261" s="11">
        <f>IFERROR(__xludf.DUMMYFUNCTION("""COMPUTED_VALUE"""),9.0)</f>
        <v>9</v>
      </c>
      <c r="C4261" s="11">
        <f>IFERROR(__xludf.DUMMYFUNCTION("""COMPUTED_VALUE"""),112081.0)</f>
        <v>112081</v>
      </c>
      <c r="D4261" s="11">
        <f>IFERROR(__xludf.DUMMYFUNCTION("""COMPUTED_VALUE"""),888.0)</f>
        <v>888</v>
      </c>
      <c r="E4261" s="9"/>
    </row>
    <row r="4262">
      <c r="A4262" s="11">
        <f>IFERROR(__xludf.DUMMYFUNCTION("""COMPUTED_VALUE"""),2021.0)</f>
        <v>2021</v>
      </c>
      <c r="B4262" s="11">
        <f>IFERROR(__xludf.DUMMYFUNCTION("""COMPUTED_VALUE"""),9.0)</f>
        <v>9</v>
      </c>
      <c r="C4262" s="11">
        <f>IFERROR(__xludf.DUMMYFUNCTION("""COMPUTED_VALUE"""),77611.0)</f>
        <v>77611</v>
      </c>
      <c r="D4262" s="11">
        <f>IFERROR(__xludf.DUMMYFUNCTION("""COMPUTED_VALUE"""),543.0)</f>
        <v>543</v>
      </c>
      <c r="E4262" s="9"/>
    </row>
    <row r="4263">
      <c r="A4263" s="11">
        <f>IFERROR(__xludf.DUMMYFUNCTION("""COMPUTED_VALUE"""),2021.0)</f>
        <v>2021</v>
      </c>
      <c r="B4263" s="11">
        <f>IFERROR(__xludf.DUMMYFUNCTION("""COMPUTED_VALUE"""),8.0)</f>
        <v>8</v>
      </c>
      <c r="C4263" s="11">
        <f>IFERROR(__xludf.DUMMYFUNCTION("""COMPUTED_VALUE"""),111722.0)</f>
        <v>111722</v>
      </c>
      <c r="D4263" s="11">
        <f>IFERROR(__xludf.DUMMYFUNCTION("""COMPUTED_VALUE"""),113.0)</f>
        <v>113</v>
      </c>
      <c r="E4263" s="9"/>
    </row>
    <row r="4264">
      <c r="A4264" s="11">
        <f>IFERROR(__xludf.DUMMYFUNCTION("""COMPUTED_VALUE"""),2021.0)</f>
        <v>2021</v>
      </c>
      <c r="B4264" s="11">
        <f>IFERROR(__xludf.DUMMYFUNCTION("""COMPUTED_VALUE"""),10.0)</f>
        <v>10</v>
      </c>
      <c r="C4264" s="11">
        <f>IFERROR(__xludf.DUMMYFUNCTION("""COMPUTED_VALUE"""),81503.0)</f>
        <v>81503</v>
      </c>
      <c r="D4264" s="11">
        <f>IFERROR(__xludf.DUMMYFUNCTION("""COMPUTED_VALUE"""),1733.0)</f>
        <v>1733</v>
      </c>
      <c r="E4264" s="9"/>
    </row>
    <row r="4265">
      <c r="A4265" s="11">
        <f>IFERROR(__xludf.DUMMYFUNCTION("""COMPUTED_VALUE"""),2021.0)</f>
        <v>2021</v>
      </c>
      <c r="B4265" s="11">
        <f>IFERROR(__xludf.DUMMYFUNCTION("""COMPUTED_VALUE"""),9.0)</f>
        <v>9</v>
      </c>
      <c r="C4265" s="11">
        <f>IFERROR(__xludf.DUMMYFUNCTION("""COMPUTED_VALUE"""),117559.0)</f>
        <v>117559</v>
      </c>
      <c r="D4265" s="11">
        <f>IFERROR(__xludf.DUMMYFUNCTION("""COMPUTED_VALUE"""),1897.0)</f>
        <v>1897</v>
      </c>
      <c r="E4265" s="9"/>
    </row>
    <row r="4266">
      <c r="A4266" s="11">
        <f>IFERROR(__xludf.DUMMYFUNCTION("""COMPUTED_VALUE"""),2021.0)</f>
        <v>2021</v>
      </c>
      <c r="B4266" s="11">
        <f>IFERROR(__xludf.DUMMYFUNCTION("""COMPUTED_VALUE"""),8.0)</f>
        <v>8</v>
      </c>
      <c r="C4266" s="11">
        <f>IFERROR(__xludf.DUMMYFUNCTION("""COMPUTED_VALUE"""),110230.0)</f>
        <v>110230</v>
      </c>
      <c r="D4266" s="11">
        <f>IFERROR(__xludf.DUMMYFUNCTION("""COMPUTED_VALUE"""),828.0)</f>
        <v>828</v>
      </c>
      <c r="E4266" s="9"/>
    </row>
    <row r="4267">
      <c r="A4267" s="11">
        <f>IFERROR(__xludf.DUMMYFUNCTION("""COMPUTED_VALUE"""),2021.0)</f>
        <v>2021</v>
      </c>
      <c r="B4267" s="11">
        <f>IFERROR(__xludf.DUMMYFUNCTION("""COMPUTED_VALUE"""),9.0)</f>
        <v>9</v>
      </c>
      <c r="C4267" s="11">
        <f>IFERROR(__xludf.DUMMYFUNCTION("""COMPUTED_VALUE"""),122854.0)</f>
        <v>122854</v>
      </c>
      <c r="D4267" s="11">
        <f>IFERROR(__xludf.DUMMYFUNCTION("""COMPUTED_VALUE"""),1905.0)</f>
        <v>1905</v>
      </c>
      <c r="E4267" s="9"/>
    </row>
    <row r="4268">
      <c r="A4268" s="11">
        <f>IFERROR(__xludf.DUMMYFUNCTION("""COMPUTED_VALUE"""),2021.0)</f>
        <v>2021</v>
      </c>
      <c r="B4268" s="11">
        <f>IFERROR(__xludf.DUMMYFUNCTION("""COMPUTED_VALUE"""),9.0)</f>
        <v>9</v>
      </c>
      <c r="C4268" s="11">
        <f>IFERROR(__xludf.DUMMYFUNCTION("""COMPUTED_VALUE"""),95371.0)</f>
        <v>95371</v>
      </c>
      <c r="D4268" s="11">
        <f>IFERROR(__xludf.DUMMYFUNCTION("""COMPUTED_VALUE"""),1805.0)</f>
        <v>1805</v>
      </c>
      <c r="E4268" s="9"/>
    </row>
    <row r="4269">
      <c r="A4269" s="11">
        <f>IFERROR(__xludf.DUMMYFUNCTION("""COMPUTED_VALUE"""),2021.0)</f>
        <v>2021</v>
      </c>
      <c r="B4269" s="11">
        <f>IFERROR(__xludf.DUMMYFUNCTION("""COMPUTED_VALUE"""),9.0)</f>
        <v>9</v>
      </c>
      <c r="C4269" s="11">
        <f>IFERROR(__xludf.DUMMYFUNCTION("""COMPUTED_VALUE"""),101190.0)</f>
        <v>101190</v>
      </c>
      <c r="D4269" s="11">
        <f>IFERROR(__xludf.DUMMYFUNCTION("""COMPUTED_VALUE"""),1118.0)</f>
        <v>1118</v>
      </c>
      <c r="E4269" s="9"/>
    </row>
    <row r="4270">
      <c r="A4270" s="11">
        <f>IFERROR(__xludf.DUMMYFUNCTION("""COMPUTED_VALUE"""),2021.0)</f>
        <v>2021</v>
      </c>
      <c r="B4270" s="11">
        <f>IFERROR(__xludf.DUMMYFUNCTION("""COMPUTED_VALUE"""),11.0)</f>
        <v>11</v>
      </c>
      <c r="C4270" s="11">
        <f>IFERROR(__xludf.DUMMYFUNCTION("""COMPUTED_VALUE"""),121532.0)</f>
        <v>121532</v>
      </c>
      <c r="D4270" s="11">
        <f>IFERROR(__xludf.DUMMYFUNCTION("""COMPUTED_VALUE"""),269.0)</f>
        <v>269</v>
      </c>
      <c r="E4270" s="9"/>
    </row>
    <row r="4271">
      <c r="A4271" s="11">
        <f>IFERROR(__xludf.DUMMYFUNCTION("""COMPUTED_VALUE"""),2021.0)</f>
        <v>2021</v>
      </c>
      <c r="B4271" s="11">
        <f>IFERROR(__xludf.DUMMYFUNCTION("""COMPUTED_VALUE"""),9.0)</f>
        <v>9</v>
      </c>
      <c r="C4271" s="11">
        <f>IFERROR(__xludf.DUMMYFUNCTION("""COMPUTED_VALUE"""),6614.0)</f>
        <v>6614</v>
      </c>
      <c r="D4271" s="11">
        <f>IFERROR(__xludf.DUMMYFUNCTION("""COMPUTED_VALUE"""),1886.0)</f>
        <v>1886</v>
      </c>
      <c r="E4271" s="9"/>
    </row>
    <row r="4272">
      <c r="A4272" s="11">
        <f>IFERROR(__xludf.DUMMYFUNCTION("""COMPUTED_VALUE"""),2021.0)</f>
        <v>2021</v>
      </c>
      <c r="B4272" s="11">
        <f>IFERROR(__xludf.DUMMYFUNCTION("""COMPUTED_VALUE"""),10.0)</f>
        <v>10</v>
      </c>
      <c r="C4272" s="11">
        <f>IFERROR(__xludf.DUMMYFUNCTION("""COMPUTED_VALUE"""),6618.0)</f>
        <v>6618</v>
      </c>
      <c r="D4272" s="11">
        <f>IFERROR(__xludf.DUMMYFUNCTION("""COMPUTED_VALUE"""),440.0)</f>
        <v>440</v>
      </c>
      <c r="E4272" s="9"/>
    </row>
    <row r="4273">
      <c r="A4273" s="11">
        <f>IFERROR(__xludf.DUMMYFUNCTION("""COMPUTED_VALUE"""),2021.0)</f>
        <v>2021</v>
      </c>
      <c r="B4273" s="11">
        <f>IFERROR(__xludf.DUMMYFUNCTION("""COMPUTED_VALUE"""),10.0)</f>
        <v>10</v>
      </c>
      <c r="C4273" s="11">
        <f>IFERROR(__xludf.DUMMYFUNCTION("""COMPUTED_VALUE"""),96096.0)</f>
        <v>96096</v>
      </c>
      <c r="D4273" s="11">
        <f>IFERROR(__xludf.DUMMYFUNCTION("""COMPUTED_VALUE"""),830.0)</f>
        <v>830</v>
      </c>
      <c r="E4273" s="9"/>
    </row>
    <row r="4274">
      <c r="A4274" s="11">
        <f>IFERROR(__xludf.DUMMYFUNCTION("""COMPUTED_VALUE"""),2021.0)</f>
        <v>2021</v>
      </c>
      <c r="B4274" s="11">
        <f>IFERROR(__xludf.DUMMYFUNCTION("""COMPUTED_VALUE"""),11.0)</f>
        <v>11</v>
      </c>
      <c r="C4274" s="11">
        <f>IFERROR(__xludf.DUMMYFUNCTION("""COMPUTED_VALUE"""),105977.0)</f>
        <v>105977</v>
      </c>
      <c r="D4274" s="11">
        <f>IFERROR(__xludf.DUMMYFUNCTION("""COMPUTED_VALUE"""),1867.0)</f>
        <v>1867</v>
      </c>
      <c r="E4274" s="9"/>
    </row>
    <row r="4275">
      <c r="A4275" s="11">
        <f>IFERROR(__xludf.DUMMYFUNCTION("""COMPUTED_VALUE"""),2021.0)</f>
        <v>2021</v>
      </c>
      <c r="B4275" s="11">
        <f>IFERROR(__xludf.DUMMYFUNCTION("""COMPUTED_VALUE"""),9.0)</f>
        <v>9</v>
      </c>
      <c r="C4275" s="11">
        <f>IFERROR(__xludf.DUMMYFUNCTION("""COMPUTED_VALUE"""),105901.0)</f>
        <v>105901</v>
      </c>
      <c r="D4275" s="11">
        <f>IFERROR(__xludf.DUMMYFUNCTION("""COMPUTED_VALUE"""),210.0)</f>
        <v>210</v>
      </c>
      <c r="E4275" s="9"/>
    </row>
    <row r="4276">
      <c r="A4276" s="11">
        <f>IFERROR(__xludf.DUMMYFUNCTION("""COMPUTED_VALUE"""),2021.0)</f>
        <v>2021</v>
      </c>
      <c r="B4276" s="11">
        <f>IFERROR(__xludf.DUMMYFUNCTION("""COMPUTED_VALUE"""),10.0)</f>
        <v>10</v>
      </c>
      <c r="C4276" s="11">
        <f>IFERROR(__xludf.DUMMYFUNCTION("""COMPUTED_VALUE"""),180823.0)</f>
        <v>180823</v>
      </c>
      <c r="D4276" s="11">
        <f>IFERROR(__xludf.DUMMYFUNCTION("""COMPUTED_VALUE"""),1861.0)</f>
        <v>1861</v>
      </c>
      <c r="E4276" s="9"/>
    </row>
    <row r="4277">
      <c r="A4277" s="11">
        <f>IFERROR(__xludf.DUMMYFUNCTION("""COMPUTED_VALUE"""),2021.0)</f>
        <v>2021</v>
      </c>
      <c r="B4277" s="11">
        <f>IFERROR(__xludf.DUMMYFUNCTION("""COMPUTED_VALUE"""),10.0)</f>
        <v>10</v>
      </c>
      <c r="C4277" s="11">
        <f>IFERROR(__xludf.DUMMYFUNCTION("""COMPUTED_VALUE"""),118979.0)</f>
        <v>118979</v>
      </c>
      <c r="D4277" s="11">
        <f>IFERROR(__xludf.DUMMYFUNCTION("""COMPUTED_VALUE"""),870.0)</f>
        <v>870</v>
      </c>
      <c r="E4277" s="9"/>
    </row>
    <row r="4278">
      <c r="A4278" s="11">
        <f>IFERROR(__xludf.DUMMYFUNCTION("""COMPUTED_VALUE"""),2021.0)</f>
        <v>2021</v>
      </c>
      <c r="B4278" s="11">
        <f>IFERROR(__xludf.DUMMYFUNCTION("""COMPUTED_VALUE"""),8.0)</f>
        <v>8</v>
      </c>
      <c r="C4278" s="11">
        <f>IFERROR(__xludf.DUMMYFUNCTION("""COMPUTED_VALUE"""),111502.0)</f>
        <v>111502</v>
      </c>
      <c r="D4278" s="11">
        <f>IFERROR(__xludf.DUMMYFUNCTION("""COMPUTED_VALUE"""),236.0)</f>
        <v>236</v>
      </c>
      <c r="E4278" s="9"/>
    </row>
    <row r="4279">
      <c r="A4279" s="11">
        <f>IFERROR(__xludf.DUMMYFUNCTION("""COMPUTED_VALUE"""),2021.0)</f>
        <v>2021</v>
      </c>
      <c r="B4279" s="11">
        <f>IFERROR(__xludf.DUMMYFUNCTION("""COMPUTED_VALUE"""),9.0)</f>
        <v>9</v>
      </c>
      <c r="C4279" s="11">
        <f>IFERROR(__xludf.DUMMYFUNCTION("""COMPUTED_VALUE"""),180822.0)</f>
        <v>180822</v>
      </c>
      <c r="D4279" s="11">
        <f>IFERROR(__xludf.DUMMYFUNCTION("""COMPUTED_VALUE"""),1793.0)</f>
        <v>1793</v>
      </c>
      <c r="E4279" s="9"/>
    </row>
    <row r="4280">
      <c r="A4280" s="11">
        <f>IFERROR(__xludf.DUMMYFUNCTION("""COMPUTED_VALUE"""),2021.0)</f>
        <v>2021</v>
      </c>
      <c r="B4280" s="11">
        <f>IFERROR(__xludf.DUMMYFUNCTION("""COMPUTED_VALUE"""),11.0)</f>
        <v>11</v>
      </c>
      <c r="C4280" s="11">
        <f>IFERROR(__xludf.DUMMYFUNCTION("""COMPUTED_VALUE"""),101196.0)</f>
        <v>101196</v>
      </c>
      <c r="D4280" s="11">
        <f>IFERROR(__xludf.DUMMYFUNCTION("""COMPUTED_VALUE"""),1141.0)</f>
        <v>1141</v>
      </c>
      <c r="E4280" s="9"/>
    </row>
    <row r="4281">
      <c r="A4281" s="11">
        <f>IFERROR(__xludf.DUMMYFUNCTION("""COMPUTED_VALUE"""),2021.0)</f>
        <v>2021</v>
      </c>
      <c r="B4281" s="11">
        <f>IFERROR(__xludf.DUMMYFUNCTION("""COMPUTED_VALUE"""),10.0)</f>
        <v>10</v>
      </c>
      <c r="C4281" s="11">
        <f>IFERROR(__xludf.DUMMYFUNCTION("""COMPUTED_VALUE"""),180824.0)</f>
        <v>180824</v>
      </c>
      <c r="D4281" s="11">
        <f>IFERROR(__xludf.DUMMYFUNCTION("""COMPUTED_VALUE"""),1367.0)</f>
        <v>1367</v>
      </c>
      <c r="E4281" s="9"/>
    </row>
    <row r="4282">
      <c r="A4282" s="11">
        <f>IFERROR(__xludf.DUMMYFUNCTION("""COMPUTED_VALUE"""),2021.0)</f>
        <v>2021</v>
      </c>
      <c r="B4282" s="11">
        <f>IFERROR(__xludf.DUMMYFUNCTION("""COMPUTED_VALUE"""),9.0)</f>
        <v>9</v>
      </c>
      <c r="C4282" s="11">
        <f>IFERROR(__xludf.DUMMYFUNCTION("""COMPUTED_VALUE"""),105905.0)</f>
        <v>105905</v>
      </c>
      <c r="D4282" s="11">
        <f>IFERROR(__xludf.DUMMYFUNCTION("""COMPUTED_VALUE"""),1723.0)</f>
        <v>1723</v>
      </c>
      <c r="E4282" s="9"/>
    </row>
    <row r="4283">
      <c r="A4283" s="11">
        <f>IFERROR(__xludf.DUMMYFUNCTION("""COMPUTED_VALUE"""),2021.0)</f>
        <v>2021</v>
      </c>
      <c r="B4283" s="11">
        <f>IFERROR(__xludf.DUMMYFUNCTION("""COMPUTED_VALUE"""),11.0)</f>
        <v>11</v>
      </c>
      <c r="C4283" s="11">
        <f>IFERROR(__xludf.DUMMYFUNCTION("""COMPUTED_VALUE"""),101194.0)</f>
        <v>101194</v>
      </c>
      <c r="D4283" s="11">
        <f>IFERROR(__xludf.DUMMYFUNCTION("""COMPUTED_VALUE"""),345.0)</f>
        <v>345</v>
      </c>
      <c r="E4283" s="9"/>
    </row>
    <row r="4284">
      <c r="A4284" s="11">
        <f>IFERROR(__xludf.DUMMYFUNCTION("""COMPUTED_VALUE"""),2021.0)</f>
        <v>2021</v>
      </c>
      <c r="B4284" s="11">
        <f>IFERROR(__xludf.DUMMYFUNCTION("""COMPUTED_VALUE"""),10.0)</f>
        <v>10</v>
      </c>
      <c r="C4284" s="11">
        <f>IFERROR(__xludf.DUMMYFUNCTION("""COMPUTED_VALUE"""),113719.0)</f>
        <v>113719</v>
      </c>
      <c r="D4284" s="11">
        <f>IFERROR(__xludf.DUMMYFUNCTION("""COMPUTED_VALUE"""),1255.0)</f>
        <v>1255</v>
      </c>
      <c r="E4284" s="9"/>
    </row>
    <row r="4285">
      <c r="A4285" s="11">
        <f>IFERROR(__xludf.DUMMYFUNCTION("""COMPUTED_VALUE"""),2021.0)</f>
        <v>2021</v>
      </c>
      <c r="B4285" s="11">
        <f>IFERROR(__xludf.DUMMYFUNCTION("""COMPUTED_VALUE"""),8.0)</f>
        <v>8</v>
      </c>
      <c r="C4285" s="11">
        <f>IFERROR(__xludf.DUMMYFUNCTION("""COMPUTED_VALUE"""),111330.0)</f>
        <v>111330</v>
      </c>
      <c r="D4285" s="11">
        <f>IFERROR(__xludf.DUMMYFUNCTION("""COMPUTED_VALUE"""),411.0)</f>
        <v>411</v>
      </c>
      <c r="E4285" s="9"/>
    </row>
    <row r="4286">
      <c r="A4286" s="11">
        <f>IFERROR(__xludf.DUMMYFUNCTION("""COMPUTED_VALUE"""),2021.0)</f>
        <v>2021</v>
      </c>
      <c r="B4286" s="11">
        <f>IFERROR(__xludf.DUMMYFUNCTION("""COMPUTED_VALUE"""),11.0)</f>
        <v>11</v>
      </c>
      <c r="C4286" s="11">
        <f>IFERROR(__xludf.DUMMYFUNCTION("""COMPUTED_VALUE"""),102089.0)</f>
        <v>102089</v>
      </c>
      <c r="D4286" s="11">
        <f>IFERROR(__xludf.DUMMYFUNCTION("""COMPUTED_VALUE"""),178.0)</f>
        <v>178</v>
      </c>
      <c r="E4286" s="9"/>
    </row>
    <row r="4287">
      <c r="A4287" s="11">
        <f>IFERROR(__xludf.DUMMYFUNCTION("""COMPUTED_VALUE"""),2021.0)</f>
        <v>2021</v>
      </c>
      <c r="B4287" s="11">
        <f>IFERROR(__xludf.DUMMYFUNCTION("""COMPUTED_VALUE"""),10.0)</f>
        <v>10</v>
      </c>
      <c r="C4287" s="11">
        <f>IFERROR(__xludf.DUMMYFUNCTION("""COMPUTED_VALUE"""),116867.0)</f>
        <v>116867</v>
      </c>
      <c r="D4287" s="11">
        <f>IFERROR(__xludf.DUMMYFUNCTION("""COMPUTED_VALUE"""),695.0)</f>
        <v>695</v>
      </c>
      <c r="E4287" s="9"/>
    </row>
    <row r="4288">
      <c r="A4288" s="11">
        <f>IFERROR(__xludf.DUMMYFUNCTION("""COMPUTED_VALUE"""),2021.0)</f>
        <v>2021</v>
      </c>
      <c r="B4288" s="11">
        <f>IFERROR(__xludf.DUMMYFUNCTION("""COMPUTED_VALUE"""),10.0)</f>
        <v>10</v>
      </c>
      <c r="C4288" s="11">
        <f>IFERROR(__xludf.DUMMYFUNCTION("""COMPUTED_VALUE"""),150297.0)</f>
        <v>150297</v>
      </c>
      <c r="D4288" s="11">
        <f>IFERROR(__xludf.DUMMYFUNCTION("""COMPUTED_VALUE"""),703.0)</f>
        <v>703</v>
      </c>
      <c r="E4288" s="9"/>
    </row>
    <row r="4289">
      <c r="A4289" s="11">
        <f>IFERROR(__xludf.DUMMYFUNCTION("""COMPUTED_VALUE"""),2021.0)</f>
        <v>2021</v>
      </c>
      <c r="B4289" s="11">
        <f>IFERROR(__xludf.DUMMYFUNCTION("""COMPUTED_VALUE"""),9.0)</f>
        <v>9</v>
      </c>
      <c r="C4289" s="11">
        <f>IFERROR(__xludf.DUMMYFUNCTION("""COMPUTED_VALUE"""),23628.0)</f>
        <v>23628</v>
      </c>
      <c r="D4289" s="11">
        <f>IFERROR(__xludf.DUMMYFUNCTION("""COMPUTED_VALUE"""),975.0)</f>
        <v>975</v>
      </c>
      <c r="E4289" s="9"/>
    </row>
    <row r="4290">
      <c r="A4290" s="11">
        <f>IFERROR(__xludf.DUMMYFUNCTION("""COMPUTED_VALUE"""),2021.0)</f>
        <v>2021</v>
      </c>
      <c r="B4290" s="11">
        <f>IFERROR(__xludf.DUMMYFUNCTION("""COMPUTED_VALUE"""),10.0)</f>
        <v>10</v>
      </c>
      <c r="C4290" s="11">
        <f>IFERROR(__xludf.DUMMYFUNCTION("""COMPUTED_VALUE"""),120369.0)</f>
        <v>120369</v>
      </c>
      <c r="D4290" s="11">
        <f>IFERROR(__xludf.DUMMYFUNCTION("""COMPUTED_VALUE"""),699.0)</f>
        <v>699</v>
      </c>
      <c r="E4290" s="9"/>
    </row>
    <row r="4291">
      <c r="A4291" s="11">
        <f>IFERROR(__xludf.DUMMYFUNCTION("""COMPUTED_VALUE"""),2021.0)</f>
        <v>2021</v>
      </c>
      <c r="B4291" s="11">
        <f>IFERROR(__xludf.DUMMYFUNCTION("""COMPUTED_VALUE"""),8.0)</f>
        <v>8</v>
      </c>
      <c r="C4291" s="11">
        <f>IFERROR(__xludf.DUMMYFUNCTION("""COMPUTED_VALUE"""),114175.0)</f>
        <v>114175</v>
      </c>
      <c r="D4291" s="11">
        <f>IFERROR(__xludf.DUMMYFUNCTION("""COMPUTED_VALUE"""),1949.0)</f>
        <v>1949</v>
      </c>
      <c r="E4291" s="9"/>
    </row>
    <row r="4292">
      <c r="A4292" s="11">
        <f>IFERROR(__xludf.DUMMYFUNCTION("""COMPUTED_VALUE"""),2021.0)</f>
        <v>2021</v>
      </c>
      <c r="B4292" s="11">
        <f>IFERROR(__xludf.DUMMYFUNCTION("""COMPUTED_VALUE"""),9.0)</f>
        <v>9</v>
      </c>
      <c r="C4292" s="11">
        <f>IFERROR(__xludf.DUMMYFUNCTION("""COMPUTED_VALUE"""),23649.0)</f>
        <v>23649</v>
      </c>
      <c r="D4292" s="11">
        <f>IFERROR(__xludf.DUMMYFUNCTION("""COMPUTED_VALUE"""),453.0)</f>
        <v>453</v>
      </c>
      <c r="E4292" s="9"/>
    </row>
    <row r="4293">
      <c r="A4293" s="11">
        <f>IFERROR(__xludf.DUMMYFUNCTION("""COMPUTED_VALUE"""),2021.0)</f>
        <v>2021</v>
      </c>
      <c r="B4293" s="11">
        <f>IFERROR(__xludf.DUMMYFUNCTION("""COMPUTED_VALUE"""),11.0)</f>
        <v>11</v>
      </c>
      <c r="C4293" s="11">
        <f>IFERROR(__xludf.DUMMYFUNCTION("""COMPUTED_VALUE"""),80419.0)</f>
        <v>80419</v>
      </c>
      <c r="D4293" s="11">
        <f>IFERROR(__xludf.DUMMYFUNCTION("""COMPUTED_VALUE"""),1694.0)</f>
        <v>1694</v>
      </c>
      <c r="E4293" s="9"/>
    </row>
    <row r="4294">
      <c r="A4294" s="11">
        <f>IFERROR(__xludf.DUMMYFUNCTION("""COMPUTED_VALUE"""),2021.0)</f>
        <v>2021</v>
      </c>
      <c r="B4294" s="11">
        <f>IFERROR(__xludf.DUMMYFUNCTION("""COMPUTED_VALUE"""),8.0)</f>
        <v>8</v>
      </c>
      <c r="C4294" s="11">
        <f>IFERROR(__xludf.DUMMYFUNCTION("""COMPUTED_VALUE"""),114173.0)</f>
        <v>114173</v>
      </c>
      <c r="D4294" s="11">
        <f>IFERROR(__xludf.DUMMYFUNCTION("""COMPUTED_VALUE"""),274.0)</f>
        <v>274</v>
      </c>
      <c r="E4294" s="9"/>
    </row>
    <row r="4295">
      <c r="A4295" s="11">
        <f>IFERROR(__xludf.DUMMYFUNCTION("""COMPUTED_VALUE"""),2021.0)</f>
        <v>2021</v>
      </c>
      <c r="B4295" s="11">
        <f>IFERROR(__xludf.DUMMYFUNCTION("""COMPUTED_VALUE"""),9.0)</f>
        <v>9</v>
      </c>
      <c r="C4295" s="11">
        <f>IFERROR(__xludf.DUMMYFUNCTION("""COMPUTED_VALUE"""),91562.0)</f>
        <v>91562</v>
      </c>
      <c r="D4295" s="11">
        <f>IFERROR(__xludf.DUMMYFUNCTION("""COMPUTED_VALUE"""),1388.0)</f>
        <v>1388</v>
      </c>
      <c r="E4295" s="9"/>
    </row>
    <row r="4296">
      <c r="A4296" s="11">
        <f>IFERROR(__xludf.DUMMYFUNCTION("""COMPUTED_VALUE"""),2021.0)</f>
        <v>2021</v>
      </c>
      <c r="B4296" s="11">
        <f>IFERROR(__xludf.DUMMYFUNCTION("""COMPUTED_VALUE"""),8.0)</f>
        <v>8</v>
      </c>
      <c r="C4296" s="11">
        <f>IFERROR(__xludf.DUMMYFUNCTION("""COMPUTED_VALUE"""),23662.0)</f>
        <v>23662</v>
      </c>
      <c r="D4296" s="11">
        <f>IFERROR(__xludf.DUMMYFUNCTION("""COMPUTED_VALUE"""),378.0)</f>
        <v>378</v>
      </c>
      <c r="E4296" s="9"/>
    </row>
    <row r="4297">
      <c r="A4297" s="11">
        <f>IFERROR(__xludf.DUMMYFUNCTION("""COMPUTED_VALUE"""),2021.0)</f>
        <v>2021</v>
      </c>
      <c r="B4297" s="11">
        <f>IFERROR(__xludf.DUMMYFUNCTION("""COMPUTED_VALUE"""),11.0)</f>
        <v>11</v>
      </c>
      <c r="C4297" s="11">
        <f>IFERROR(__xludf.DUMMYFUNCTION("""COMPUTED_VALUE"""),76466.0)</f>
        <v>76466</v>
      </c>
      <c r="D4297" s="11">
        <f>IFERROR(__xludf.DUMMYFUNCTION("""COMPUTED_VALUE"""),245.0)</f>
        <v>245</v>
      </c>
      <c r="E4297" s="9"/>
    </row>
    <row r="4298">
      <c r="A4298" s="11">
        <f>IFERROR(__xludf.DUMMYFUNCTION("""COMPUTED_VALUE"""),2021.0)</f>
        <v>2021</v>
      </c>
      <c r="B4298" s="11">
        <f>IFERROR(__xludf.DUMMYFUNCTION("""COMPUTED_VALUE"""),8.0)</f>
        <v>8</v>
      </c>
      <c r="C4298" s="11">
        <f>IFERROR(__xludf.DUMMYFUNCTION("""COMPUTED_VALUE"""),76465.0)</f>
        <v>76465</v>
      </c>
      <c r="D4298" s="11">
        <f>IFERROR(__xludf.DUMMYFUNCTION("""COMPUTED_VALUE"""),210.0)</f>
        <v>210</v>
      </c>
      <c r="E4298" s="9"/>
    </row>
    <row r="4299">
      <c r="A4299" s="11">
        <f>IFERROR(__xludf.DUMMYFUNCTION("""COMPUTED_VALUE"""),2021.0)</f>
        <v>2021</v>
      </c>
      <c r="B4299" s="11">
        <f>IFERROR(__xludf.DUMMYFUNCTION("""COMPUTED_VALUE"""),11.0)</f>
        <v>11</v>
      </c>
      <c r="C4299" s="11">
        <f>IFERROR(__xludf.DUMMYFUNCTION("""COMPUTED_VALUE"""),68329.0)</f>
        <v>68329</v>
      </c>
      <c r="D4299" s="11">
        <f>IFERROR(__xludf.DUMMYFUNCTION("""COMPUTED_VALUE"""),1490.0)</f>
        <v>1490</v>
      </c>
      <c r="E4299" s="9"/>
    </row>
    <row r="4300">
      <c r="A4300" s="11">
        <f>IFERROR(__xludf.DUMMYFUNCTION("""COMPUTED_VALUE"""),2021.0)</f>
        <v>2021</v>
      </c>
      <c r="B4300" s="11">
        <f>IFERROR(__xludf.DUMMYFUNCTION("""COMPUTED_VALUE"""),9.0)</f>
        <v>9</v>
      </c>
      <c r="C4300" s="11">
        <f>IFERROR(__xludf.DUMMYFUNCTION("""COMPUTED_VALUE"""),114470.0)</f>
        <v>114470</v>
      </c>
      <c r="D4300" s="11">
        <f>IFERROR(__xludf.DUMMYFUNCTION("""COMPUTED_VALUE"""),1628.0)</f>
        <v>1628</v>
      </c>
      <c r="E4300" s="9"/>
    </row>
    <row r="4301">
      <c r="A4301" s="11">
        <f>IFERROR(__xludf.DUMMYFUNCTION("""COMPUTED_VALUE"""),2021.0)</f>
        <v>2021</v>
      </c>
      <c r="B4301" s="11">
        <f>IFERROR(__xludf.DUMMYFUNCTION("""COMPUTED_VALUE"""),9.0)</f>
        <v>9</v>
      </c>
      <c r="C4301" s="11">
        <f>IFERROR(__xludf.DUMMYFUNCTION("""COMPUTED_VALUE"""),110568.0)</f>
        <v>110568</v>
      </c>
      <c r="D4301" s="11">
        <f>IFERROR(__xludf.DUMMYFUNCTION("""COMPUTED_VALUE"""),1910.0)</f>
        <v>1910</v>
      </c>
      <c r="E4301" s="9"/>
    </row>
    <row r="4302">
      <c r="A4302" s="11">
        <f>IFERROR(__xludf.DUMMYFUNCTION("""COMPUTED_VALUE"""),2021.0)</f>
        <v>2021</v>
      </c>
      <c r="B4302" s="11">
        <f>IFERROR(__xludf.DUMMYFUNCTION("""COMPUTED_VALUE"""),11.0)</f>
        <v>11</v>
      </c>
      <c r="C4302" s="11">
        <f>IFERROR(__xludf.DUMMYFUNCTION("""COMPUTED_VALUE"""),76470.0)</f>
        <v>76470</v>
      </c>
      <c r="D4302" s="11">
        <f>IFERROR(__xludf.DUMMYFUNCTION("""COMPUTED_VALUE"""),1314.0)</f>
        <v>1314</v>
      </c>
      <c r="E4302" s="9"/>
    </row>
    <row r="4303">
      <c r="A4303" s="11">
        <f>IFERROR(__xludf.DUMMYFUNCTION("""COMPUTED_VALUE"""),2021.0)</f>
        <v>2021</v>
      </c>
      <c r="B4303" s="11">
        <f>IFERROR(__xludf.DUMMYFUNCTION("""COMPUTED_VALUE"""),9.0)</f>
        <v>9</v>
      </c>
      <c r="C4303" s="11">
        <f>IFERROR(__xludf.DUMMYFUNCTION("""COMPUTED_VALUE"""),5604.0)</f>
        <v>5604</v>
      </c>
      <c r="D4303" s="11">
        <f>IFERROR(__xludf.DUMMYFUNCTION("""COMPUTED_VALUE"""),214.0)</f>
        <v>214</v>
      </c>
      <c r="E4303" s="9"/>
    </row>
    <row r="4304">
      <c r="A4304" s="11">
        <f>IFERROR(__xludf.DUMMYFUNCTION("""COMPUTED_VALUE"""),2021.0)</f>
        <v>2021</v>
      </c>
      <c r="B4304" s="11">
        <f>IFERROR(__xludf.DUMMYFUNCTION("""COMPUTED_VALUE"""),11.0)</f>
        <v>11</v>
      </c>
      <c r="C4304" s="11">
        <f>IFERROR(__xludf.DUMMYFUNCTION("""COMPUTED_VALUE"""),28613.0)</f>
        <v>28613</v>
      </c>
      <c r="D4304" s="11">
        <f>IFERROR(__xludf.DUMMYFUNCTION("""COMPUTED_VALUE"""),490.0)</f>
        <v>490</v>
      </c>
      <c r="E4304" s="9"/>
    </row>
    <row r="4305">
      <c r="A4305" s="11">
        <f>IFERROR(__xludf.DUMMYFUNCTION("""COMPUTED_VALUE"""),2021.0)</f>
        <v>2021</v>
      </c>
      <c r="B4305" s="11">
        <f>IFERROR(__xludf.DUMMYFUNCTION("""COMPUTED_VALUE"""),10.0)</f>
        <v>10</v>
      </c>
      <c r="C4305" s="11">
        <f>IFERROR(__xludf.DUMMYFUNCTION("""COMPUTED_VALUE"""),159402.0)</f>
        <v>159402</v>
      </c>
      <c r="D4305" s="11">
        <f>IFERROR(__xludf.DUMMYFUNCTION("""COMPUTED_VALUE"""),1233.0)</f>
        <v>1233</v>
      </c>
      <c r="E4305" s="9"/>
    </row>
    <row r="4306">
      <c r="A4306" s="11">
        <f>IFERROR(__xludf.DUMMYFUNCTION("""COMPUTED_VALUE"""),2021.0)</f>
        <v>2021</v>
      </c>
      <c r="B4306" s="11">
        <f>IFERROR(__xludf.DUMMYFUNCTION("""COMPUTED_VALUE"""),11.0)</f>
        <v>11</v>
      </c>
      <c r="C4306" s="11">
        <f>IFERROR(__xludf.DUMMYFUNCTION("""COMPUTED_VALUE"""),68379.0)</f>
        <v>68379</v>
      </c>
      <c r="D4306" s="11">
        <f>IFERROR(__xludf.DUMMYFUNCTION("""COMPUTED_VALUE"""),1303.0)</f>
        <v>1303</v>
      </c>
      <c r="E4306" s="9"/>
    </row>
    <row r="4307">
      <c r="A4307" s="11">
        <f>IFERROR(__xludf.DUMMYFUNCTION("""COMPUTED_VALUE"""),2021.0)</f>
        <v>2021</v>
      </c>
      <c r="B4307" s="11">
        <f>IFERROR(__xludf.DUMMYFUNCTION("""COMPUTED_VALUE"""),10.0)</f>
        <v>10</v>
      </c>
      <c r="C4307" s="11">
        <f>IFERROR(__xludf.DUMMYFUNCTION("""COMPUTED_VALUE"""),91069.0)</f>
        <v>91069</v>
      </c>
      <c r="D4307" s="11">
        <f>IFERROR(__xludf.DUMMYFUNCTION("""COMPUTED_VALUE"""),122.0)</f>
        <v>122</v>
      </c>
      <c r="E4307" s="9"/>
    </row>
    <row r="4308">
      <c r="A4308" s="11">
        <f>IFERROR(__xludf.DUMMYFUNCTION("""COMPUTED_VALUE"""),2021.0)</f>
        <v>2021</v>
      </c>
      <c r="B4308" s="11">
        <f>IFERROR(__xludf.DUMMYFUNCTION("""COMPUTED_VALUE"""),9.0)</f>
        <v>9</v>
      </c>
      <c r="C4308" s="11">
        <f>IFERROR(__xludf.DUMMYFUNCTION("""COMPUTED_VALUE"""),91060.0)</f>
        <v>91060</v>
      </c>
      <c r="D4308" s="11">
        <f>IFERROR(__xludf.DUMMYFUNCTION("""COMPUTED_VALUE"""),281.0)</f>
        <v>281</v>
      </c>
      <c r="E4308" s="9"/>
    </row>
    <row r="4309">
      <c r="A4309" s="11">
        <f>IFERROR(__xludf.DUMMYFUNCTION("""COMPUTED_VALUE"""),2021.0)</f>
        <v>2021</v>
      </c>
      <c r="B4309" s="11">
        <f>IFERROR(__xludf.DUMMYFUNCTION("""COMPUTED_VALUE"""),11.0)</f>
        <v>11</v>
      </c>
      <c r="C4309" s="11">
        <f>IFERROR(__xludf.DUMMYFUNCTION("""COMPUTED_VALUE"""),182274.0)</f>
        <v>182274</v>
      </c>
      <c r="D4309" s="11">
        <f>IFERROR(__xludf.DUMMYFUNCTION("""COMPUTED_VALUE"""),1476.0)</f>
        <v>1476</v>
      </c>
      <c r="E4309" s="9"/>
    </row>
    <row r="4310">
      <c r="A4310" s="11">
        <f>IFERROR(__xludf.DUMMYFUNCTION("""COMPUTED_VALUE"""),2021.0)</f>
        <v>2021</v>
      </c>
      <c r="B4310" s="11">
        <f>IFERROR(__xludf.DUMMYFUNCTION("""COMPUTED_VALUE"""),9.0)</f>
        <v>9</v>
      </c>
      <c r="C4310" s="11">
        <f>IFERROR(__xludf.DUMMYFUNCTION("""COMPUTED_VALUE"""),110566.0)</f>
        <v>110566</v>
      </c>
      <c r="D4310" s="11">
        <f>IFERROR(__xludf.DUMMYFUNCTION("""COMPUTED_VALUE"""),425.0)</f>
        <v>425</v>
      </c>
      <c r="E4310" s="9"/>
    </row>
    <row r="4311">
      <c r="A4311" s="11">
        <f>IFERROR(__xludf.DUMMYFUNCTION("""COMPUTED_VALUE"""),2021.0)</f>
        <v>2021</v>
      </c>
      <c r="B4311" s="11">
        <f>IFERROR(__xludf.DUMMYFUNCTION("""COMPUTED_VALUE"""),10.0)</f>
        <v>10</v>
      </c>
      <c r="C4311" s="11">
        <f>IFERROR(__xludf.DUMMYFUNCTION("""COMPUTED_VALUE"""),78877.0)</f>
        <v>78877</v>
      </c>
      <c r="D4311" s="11">
        <f>IFERROR(__xludf.DUMMYFUNCTION("""COMPUTED_VALUE"""),713.0)</f>
        <v>713</v>
      </c>
      <c r="E4311" s="9"/>
    </row>
    <row r="4312">
      <c r="A4312" s="11">
        <f>IFERROR(__xludf.DUMMYFUNCTION("""COMPUTED_VALUE"""),2021.0)</f>
        <v>2021</v>
      </c>
      <c r="B4312" s="11">
        <f>IFERROR(__xludf.DUMMYFUNCTION("""COMPUTED_VALUE"""),10.0)</f>
        <v>10</v>
      </c>
      <c r="C4312" s="11">
        <f>IFERROR(__xludf.DUMMYFUNCTION("""COMPUTED_VALUE"""),5490.0)</f>
        <v>5490</v>
      </c>
      <c r="D4312" s="11">
        <f>IFERROR(__xludf.DUMMYFUNCTION("""COMPUTED_VALUE"""),262.0)</f>
        <v>262</v>
      </c>
      <c r="E4312" s="9"/>
    </row>
    <row r="4313">
      <c r="A4313" s="11">
        <f>IFERROR(__xludf.DUMMYFUNCTION("""COMPUTED_VALUE"""),2021.0)</f>
        <v>2021</v>
      </c>
      <c r="B4313" s="11">
        <f>IFERROR(__xludf.DUMMYFUNCTION("""COMPUTED_VALUE"""),10.0)</f>
        <v>10</v>
      </c>
      <c r="C4313" s="11">
        <f>IFERROR(__xludf.DUMMYFUNCTION("""COMPUTED_VALUE"""),68382.0)</f>
        <v>68382</v>
      </c>
      <c r="D4313" s="11">
        <f>IFERROR(__xludf.DUMMYFUNCTION("""COMPUTED_VALUE"""),1790.0)</f>
        <v>1790</v>
      </c>
      <c r="E4313" s="9"/>
    </row>
    <row r="4314">
      <c r="A4314" s="11">
        <f>IFERROR(__xludf.DUMMYFUNCTION("""COMPUTED_VALUE"""),2021.0)</f>
        <v>2021</v>
      </c>
      <c r="B4314" s="11">
        <f>IFERROR(__xludf.DUMMYFUNCTION("""COMPUTED_VALUE"""),9.0)</f>
        <v>9</v>
      </c>
      <c r="C4314" s="11">
        <f>IFERROR(__xludf.DUMMYFUNCTION("""COMPUTED_VALUE"""),114663.0)</f>
        <v>114663</v>
      </c>
      <c r="D4314" s="11">
        <f>IFERROR(__xludf.DUMMYFUNCTION("""COMPUTED_VALUE"""),184.0)</f>
        <v>184</v>
      </c>
      <c r="E4314" s="9"/>
    </row>
    <row r="4315">
      <c r="A4315" s="11">
        <f>IFERROR(__xludf.DUMMYFUNCTION("""COMPUTED_VALUE"""),2021.0)</f>
        <v>2021</v>
      </c>
      <c r="B4315" s="11">
        <f>IFERROR(__xludf.DUMMYFUNCTION("""COMPUTED_VALUE"""),9.0)</f>
        <v>9</v>
      </c>
      <c r="C4315" s="11">
        <f>IFERROR(__xludf.DUMMYFUNCTION("""COMPUTED_VALUE"""),76474.0)</f>
        <v>76474</v>
      </c>
      <c r="D4315" s="11">
        <f>IFERROR(__xludf.DUMMYFUNCTION("""COMPUTED_VALUE"""),1211.0)</f>
        <v>1211</v>
      </c>
      <c r="E4315" s="9"/>
    </row>
    <row r="4316">
      <c r="A4316" s="11">
        <f>IFERROR(__xludf.DUMMYFUNCTION("""COMPUTED_VALUE"""),2021.0)</f>
        <v>2021</v>
      </c>
      <c r="B4316" s="11">
        <f>IFERROR(__xludf.DUMMYFUNCTION("""COMPUTED_VALUE"""),11.0)</f>
        <v>11</v>
      </c>
      <c r="C4316" s="11">
        <f>IFERROR(__xludf.DUMMYFUNCTION("""COMPUTED_VALUE"""),76455.0)</f>
        <v>76455</v>
      </c>
      <c r="D4316" s="11">
        <f>IFERROR(__xludf.DUMMYFUNCTION("""COMPUTED_VALUE"""),1416.0)</f>
        <v>1416</v>
      </c>
      <c r="E4316" s="9"/>
    </row>
    <row r="4317">
      <c r="A4317" s="11">
        <f>IFERROR(__xludf.DUMMYFUNCTION("""COMPUTED_VALUE"""),2021.0)</f>
        <v>2021</v>
      </c>
      <c r="B4317" s="11">
        <f>IFERROR(__xludf.DUMMYFUNCTION("""COMPUTED_VALUE"""),11.0)</f>
        <v>11</v>
      </c>
      <c r="C4317" s="11">
        <f>IFERROR(__xludf.DUMMYFUNCTION("""COMPUTED_VALUE"""),46337.0)</f>
        <v>46337</v>
      </c>
      <c r="D4317" s="11">
        <f>IFERROR(__xludf.DUMMYFUNCTION("""COMPUTED_VALUE"""),1903.0)</f>
        <v>1903</v>
      </c>
      <c r="E4317" s="9"/>
    </row>
    <row r="4318">
      <c r="A4318" s="11">
        <f>IFERROR(__xludf.DUMMYFUNCTION("""COMPUTED_VALUE"""),2021.0)</f>
        <v>2021</v>
      </c>
      <c r="B4318" s="11">
        <f>IFERROR(__xludf.DUMMYFUNCTION("""COMPUTED_VALUE"""),9.0)</f>
        <v>9</v>
      </c>
      <c r="C4318" s="11">
        <f>IFERROR(__xludf.DUMMYFUNCTION("""COMPUTED_VALUE"""),78430.0)</f>
        <v>78430</v>
      </c>
      <c r="D4318" s="11">
        <f>IFERROR(__xludf.DUMMYFUNCTION("""COMPUTED_VALUE"""),550.0)</f>
        <v>550</v>
      </c>
      <c r="E4318" s="9"/>
    </row>
    <row r="4319">
      <c r="A4319" s="11">
        <f>IFERROR(__xludf.DUMMYFUNCTION("""COMPUTED_VALUE"""),2021.0)</f>
        <v>2021</v>
      </c>
      <c r="B4319" s="11">
        <f>IFERROR(__xludf.DUMMYFUNCTION("""COMPUTED_VALUE"""),8.0)</f>
        <v>8</v>
      </c>
      <c r="C4319" s="11">
        <f>IFERROR(__xludf.DUMMYFUNCTION("""COMPUTED_VALUE"""),5605.0)</f>
        <v>5605</v>
      </c>
      <c r="D4319" s="11">
        <f>IFERROR(__xludf.DUMMYFUNCTION("""COMPUTED_VALUE"""),874.0)</f>
        <v>874</v>
      </c>
      <c r="E4319" s="9"/>
    </row>
    <row r="4320">
      <c r="A4320" s="11">
        <f>IFERROR(__xludf.DUMMYFUNCTION("""COMPUTED_VALUE"""),2021.0)</f>
        <v>2021</v>
      </c>
      <c r="B4320" s="11">
        <f>IFERROR(__xludf.DUMMYFUNCTION("""COMPUTED_VALUE"""),11.0)</f>
        <v>11</v>
      </c>
      <c r="C4320" s="11">
        <f>IFERROR(__xludf.DUMMYFUNCTION("""COMPUTED_VALUE"""),77419.0)</f>
        <v>77419</v>
      </c>
      <c r="D4320" s="11">
        <f>IFERROR(__xludf.DUMMYFUNCTION("""COMPUTED_VALUE"""),25.0)</f>
        <v>25</v>
      </c>
      <c r="E4320" s="9"/>
    </row>
    <row r="4321">
      <c r="A4321" s="11">
        <f>IFERROR(__xludf.DUMMYFUNCTION("""COMPUTED_VALUE"""),2021.0)</f>
        <v>2021</v>
      </c>
      <c r="B4321" s="11">
        <f>IFERROR(__xludf.DUMMYFUNCTION("""COMPUTED_VALUE"""),11.0)</f>
        <v>11</v>
      </c>
      <c r="C4321" s="11">
        <f>IFERROR(__xludf.DUMMYFUNCTION("""COMPUTED_VALUE"""),121701.0)</f>
        <v>121701</v>
      </c>
      <c r="D4321" s="11">
        <f>IFERROR(__xludf.DUMMYFUNCTION("""COMPUTED_VALUE"""),1757.0)</f>
        <v>1757</v>
      </c>
      <c r="E4321" s="9"/>
    </row>
    <row r="4322">
      <c r="A4322" s="11">
        <f>IFERROR(__xludf.DUMMYFUNCTION("""COMPUTED_VALUE"""),2021.0)</f>
        <v>2021</v>
      </c>
      <c r="B4322" s="11">
        <f>IFERROR(__xludf.DUMMYFUNCTION("""COMPUTED_VALUE"""),11.0)</f>
        <v>11</v>
      </c>
      <c r="C4322" s="11">
        <f>IFERROR(__xludf.DUMMYFUNCTION("""COMPUTED_VALUE"""),91072.0)</f>
        <v>91072</v>
      </c>
      <c r="D4322" s="11">
        <f>IFERROR(__xludf.DUMMYFUNCTION("""COMPUTED_VALUE"""),129.0)</f>
        <v>129</v>
      </c>
      <c r="E4322" s="9"/>
    </row>
    <row r="4323">
      <c r="A4323" s="11">
        <f>IFERROR(__xludf.DUMMYFUNCTION("""COMPUTED_VALUE"""),2021.0)</f>
        <v>2021</v>
      </c>
      <c r="B4323" s="11">
        <f>IFERROR(__xludf.DUMMYFUNCTION("""COMPUTED_VALUE"""),9.0)</f>
        <v>9</v>
      </c>
      <c r="C4323" s="11">
        <f>IFERROR(__xludf.DUMMYFUNCTION("""COMPUTED_VALUE"""),68486.0)</f>
        <v>68486</v>
      </c>
      <c r="D4323" s="11">
        <f>IFERROR(__xludf.DUMMYFUNCTION("""COMPUTED_VALUE"""),1305.0)</f>
        <v>1305</v>
      </c>
      <c r="E4323" s="9"/>
    </row>
    <row r="4324">
      <c r="A4324" s="11">
        <f>IFERROR(__xludf.DUMMYFUNCTION("""COMPUTED_VALUE"""),2021.0)</f>
        <v>2021</v>
      </c>
      <c r="B4324" s="11">
        <f>IFERROR(__xludf.DUMMYFUNCTION("""COMPUTED_VALUE"""),10.0)</f>
        <v>10</v>
      </c>
      <c r="C4324" s="11">
        <f>IFERROR(__xludf.DUMMYFUNCTION("""COMPUTED_VALUE"""),110576.0)</f>
        <v>110576</v>
      </c>
      <c r="D4324" s="11">
        <f>IFERROR(__xludf.DUMMYFUNCTION("""COMPUTED_VALUE"""),1812.0)</f>
        <v>1812</v>
      </c>
      <c r="E4324" s="9"/>
    </row>
    <row r="4325">
      <c r="A4325" s="11">
        <f>IFERROR(__xludf.DUMMYFUNCTION("""COMPUTED_VALUE"""),2021.0)</f>
        <v>2021</v>
      </c>
      <c r="B4325" s="11">
        <f>IFERROR(__xludf.DUMMYFUNCTION("""COMPUTED_VALUE"""),8.0)</f>
        <v>8</v>
      </c>
      <c r="C4325" s="11">
        <f>IFERROR(__xludf.DUMMYFUNCTION("""COMPUTED_VALUE"""),78503.0)</f>
        <v>78503</v>
      </c>
      <c r="D4325" s="11">
        <f>IFERROR(__xludf.DUMMYFUNCTION("""COMPUTED_VALUE"""),892.0)</f>
        <v>892</v>
      </c>
      <c r="E4325" s="9"/>
    </row>
    <row r="4326">
      <c r="A4326" s="11">
        <f>IFERROR(__xludf.DUMMYFUNCTION("""COMPUTED_VALUE"""),2021.0)</f>
        <v>2021</v>
      </c>
      <c r="B4326" s="11">
        <f>IFERROR(__xludf.DUMMYFUNCTION("""COMPUTED_VALUE"""),10.0)</f>
        <v>10</v>
      </c>
      <c r="C4326" s="11">
        <f>IFERROR(__xludf.DUMMYFUNCTION("""COMPUTED_VALUE"""),77439.0)</f>
        <v>77439</v>
      </c>
      <c r="D4326" s="11">
        <f>IFERROR(__xludf.DUMMYFUNCTION("""COMPUTED_VALUE"""),1349.0)</f>
        <v>1349</v>
      </c>
      <c r="E4326" s="9"/>
    </row>
    <row r="4327">
      <c r="A4327" s="11">
        <f>IFERROR(__xludf.DUMMYFUNCTION("""COMPUTED_VALUE"""),2021.0)</f>
        <v>2021</v>
      </c>
      <c r="B4327" s="11">
        <f>IFERROR(__xludf.DUMMYFUNCTION("""COMPUTED_VALUE"""),10.0)</f>
        <v>10</v>
      </c>
      <c r="C4327" s="11">
        <f>IFERROR(__xludf.DUMMYFUNCTION("""COMPUTED_VALUE"""),5615.0)</f>
        <v>5615</v>
      </c>
      <c r="D4327" s="11">
        <f>IFERROR(__xludf.DUMMYFUNCTION("""COMPUTED_VALUE"""),162.0)</f>
        <v>162</v>
      </c>
      <c r="E4327" s="9"/>
    </row>
    <row r="4328">
      <c r="A4328" s="11">
        <f>IFERROR(__xludf.DUMMYFUNCTION("""COMPUTED_VALUE"""),2021.0)</f>
        <v>2021</v>
      </c>
      <c r="B4328" s="11">
        <f>IFERROR(__xludf.DUMMYFUNCTION("""COMPUTED_VALUE"""),8.0)</f>
        <v>8</v>
      </c>
      <c r="C4328" s="11">
        <f>IFERROR(__xludf.DUMMYFUNCTION("""COMPUTED_VALUE"""),5602.0)</f>
        <v>5602</v>
      </c>
      <c r="D4328" s="11">
        <f>IFERROR(__xludf.DUMMYFUNCTION("""COMPUTED_VALUE"""),1543.0)</f>
        <v>1543</v>
      </c>
      <c r="E4328" s="9"/>
    </row>
    <row r="4329">
      <c r="A4329" s="11">
        <f>IFERROR(__xludf.DUMMYFUNCTION("""COMPUTED_VALUE"""),2021.0)</f>
        <v>2021</v>
      </c>
      <c r="B4329" s="11">
        <f>IFERROR(__xludf.DUMMYFUNCTION("""COMPUTED_VALUE"""),11.0)</f>
        <v>11</v>
      </c>
      <c r="C4329" s="11">
        <f>IFERROR(__xludf.DUMMYFUNCTION("""COMPUTED_VALUE"""),28612.0)</f>
        <v>28612</v>
      </c>
      <c r="D4329" s="11">
        <f>IFERROR(__xludf.DUMMYFUNCTION("""COMPUTED_VALUE"""),188.0)</f>
        <v>188</v>
      </c>
      <c r="E4329" s="9"/>
    </row>
    <row r="4330">
      <c r="A4330" s="11">
        <f>IFERROR(__xludf.DUMMYFUNCTION("""COMPUTED_VALUE"""),2021.0)</f>
        <v>2021</v>
      </c>
      <c r="B4330" s="11">
        <f>IFERROR(__xludf.DUMMYFUNCTION("""COMPUTED_VALUE"""),8.0)</f>
        <v>8</v>
      </c>
      <c r="C4330" s="11">
        <f>IFERROR(__xludf.DUMMYFUNCTION("""COMPUTED_VALUE"""),72247.0)</f>
        <v>72247</v>
      </c>
      <c r="D4330" s="11">
        <f>IFERROR(__xludf.DUMMYFUNCTION("""COMPUTED_VALUE"""),875.0)</f>
        <v>875</v>
      </c>
      <c r="E4330" s="9"/>
    </row>
    <row r="4331">
      <c r="A4331" s="11">
        <f>IFERROR(__xludf.DUMMYFUNCTION("""COMPUTED_VALUE"""),2021.0)</f>
        <v>2021</v>
      </c>
      <c r="B4331" s="11">
        <f>IFERROR(__xludf.DUMMYFUNCTION("""COMPUTED_VALUE"""),11.0)</f>
        <v>11</v>
      </c>
      <c r="C4331" s="11">
        <f>IFERROR(__xludf.DUMMYFUNCTION("""COMPUTED_VALUE"""),76469.0)</f>
        <v>76469</v>
      </c>
      <c r="D4331" s="11">
        <f>IFERROR(__xludf.DUMMYFUNCTION("""COMPUTED_VALUE"""),386.0)</f>
        <v>386</v>
      </c>
      <c r="E4331" s="9"/>
    </row>
    <row r="4332">
      <c r="A4332" s="11">
        <f>IFERROR(__xludf.DUMMYFUNCTION("""COMPUTED_VALUE"""),2021.0)</f>
        <v>2021</v>
      </c>
      <c r="B4332" s="11">
        <f>IFERROR(__xludf.DUMMYFUNCTION("""COMPUTED_VALUE"""),9.0)</f>
        <v>9</v>
      </c>
      <c r="C4332" s="11">
        <f>IFERROR(__xludf.DUMMYFUNCTION("""COMPUTED_VALUE"""),78876.0)</f>
        <v>78876</v>
      </c>
      <c r="D4332" s="11">
        <f>IFERROR(__xludf.DUMMYFUNCTION("""COMPUTED_VALUE"""),108.0)</f>
        <v>108</v>
      </c>
      <c r="E4332" s="9"/>
    </row>
    <row r="4333">
      <c r="A4333" s="11">
        <f>IFERROR(__xludf.DUMMYFUNCTION("""COMPUTED_VALUE"""),2021.0)</f>
        <v>2021</v>
      </c>
      <c r="B4333" s="11">
        <f>IFERROR(__xludf.DUMMYFUNCTION("""COMPUTED_VALUE"""),8.0)</f>
        <v>8</v>
      </c>
      <c r="C4333" s="11">
        <f>IFERROR(__xludf.DUMMYFUNCTION("""COMPUTED_VALUE"""),91064.0)</f>
        <v>91064</v>
      </c>
      <c r="D4333" s="11">
        <f>IFERROR(__xludf.DUMMYFUNCTION("""COMPUTED_VALUE"""),321.0)</f>
        <v>321</v>
      </c>
      <c r="E4333" s="9"/>
    </row>
    <row r="4334">
      <c r="A4334" s="11">
        <f>IFERROR(__xludf.DUMMYFUNCTION("""COMPUTED_VALUE"""),2021.0)</f>
        <v>2021</v>
      </c>
      <c r="B4334" s="11">
        <f>IFERROR(__xludf.DUMMYFUNCTION("""COMPUTED_VALUE"""),11.0)</f>
        <v>11</v>
      </c>
      <c r="C4334" s="11">
        <f>IFERROR(__xludf.DUMMYFUNCTION("""COMPUTED_VALUE"""),5603.0)</f>
        <v>5603</v>
      </c>
      <c r="D4334" s="11">
        <f>IFERROR(__xludf.DUMMYFUNCTION("""COMPUTED_VALUE"""),495.0)</f>
        <v>495</v>
      </c>
      <c r="E4334" s="9"/>
    </row>
    <row r="4335">
      <c r="A4335" s="11">
        <f>IFERROR(__xludf.DUMMYFUNCTION("""COMPUTED_VALUE"""),2021.0)</f>
        <v>2021</v>
      </c>
      <c r="B4335" s="11">
        <f>IFERROR(__xludf.DUMMYFUNCTION("""COMPUTED_VALUE"""),11.0)</f>
        <v>11</v>
      </c>
      <c r="C4335" s="11">
        <f>IFERROR(__xludf.DUMMYFUNCTION("""COMPUTED_VALUE"""),5612.0)</f>
        <v>5612</v>
      </c>
      <c r="D4335" s="11">
        <f>IFERROR(__xludf.DUMMYFUNCTION("""COMPUTED_VALUE"""),458.0)</f>
        <v>458</v>
      </c>
      <c r="E4335" s="9"/>
    </row>
    <row r="4336">
      <c r="A4336" s="11">
        <f>IFERROR(__xludf.DUMMYFUNCTION("""COMPUTED_VALUE"""),2021.0)</f>
        <v>2021</v>
      </c>
      <c r="B4336" s="11">
        <f>IFERROR(__xludf.DUMMYFUNCTION("""COMPUTED_VALUE"""),9.0)</f>
        <v>9</v>
      </c>
      <c r="C4336" s="11">
        <f>IFERROR(__xludf.DUMMYFUNCTION("""COMPUTED_VALUE"""),43897.0)</f>
        <v>43897</v>
      </c>
      <c r="D4336" s="11">
        <f>IFERROR(__xludf.DUMMYFUNCTION("""COMPUTED_VALUE"""),738.0)</f>
        <v>738</v>
      </c>
      <c r="E4336" s="9"/>
    </row>
    <row r="4337">
      <c r="A4337" s="11">
        <f>IFERROR(__xludf.DUMMYFUNCTION("""COMPUTED_VALUE"""),2021.0)</f>
        <v>2021</v>
      </c>
      <c r="B4337" s="11">
        <f>IFERROR(__xludf.DUMMYFUNCTION("""COMPUTED_VALUE"""),8.0)</f>
        <v>8</v>
      </c>
      <c r="C4337" s="11">
        <f>IFERROR(__xludf.DUMMYFUNCTION("""COMPUTED_VALUE"""),91058.0)</f>
        <v>91058</v>
      </c>
      <c r="D4337" s="11">
        <f>IFERROR(__xludf.DUMMYFUNCTION("""COMPUTED_VALUE"""),481.0)</f>
        <v>481</v>
      </c>
      <c r="E4337" s="9"/>
    </row>
    <row r="4338">
      <c r="A4338" s="11">
        <f>IFERROR(__xludf.DUMMYFUNCTION("""COMPUTED_VALUE"""),2021.0)</f>
        <v>2021</v>
      </c>
      <c r="B4338" s="11">
        <f>IFERROR(__xludf.DUMMYFUNCTION("""COMPUTED_VALUE"""),9.0)</f>
        <v>9</v>
      </c>
      <c r="C4338" s="11">
        <f>IFERROR(__xludf.DUMMYFUNCTION("""COMPUTED_VALUE"""),107998.0)</f>
        <v>107998</v>
      </c>
      <c r="D4338" s="11">
        <f>IFERROR(__xludf.DUMMYFUNCTION("""COMPUTED_VALUE"""),1534.0)</f>
        <v>1534</v>
      </c>
      <c r="E4338" s="9"/>
    </row>
    <row r="4339">
      <c r="A4339" s="11">
        <f>IFERROR(__xludf.DUMMYFUNCTION("""COMPUTED_VALUE"""),2021.0)</f>
        <v>2021</v>
      </c>
      <c r="B4339" s="11">
        <f>IFERROR(__xludf.DUMMYFUNCTION("""COMPUTED_VALUE"""),10.0)</f>
        <v>10</v>
      </c>
      <c r="C4339" s="11">
        <f>IFERROR(__xludf.DUMMYFUNCTION("""COMPUTED_VALUE"""),112194.0)</f>
        <v>112194</v>
      </c>
      <c r="D4339" s="11">
        <f>IFERROR(__xludf.DUMMYFUNCTION("""COMPUTED_VALUE"""),861.0)</f>
        <v>861</v>
      </c>
      <c r="E4339" s="9"/>
    </row>
    <row r="4340">
      <c r="A4340" s="11">
        <f>IFERROR(__xludf.DUMMYFUNCTION("""COMPUTED_VALUE"""),2021.0)</f>
        <v>2021</v>
      </c>
      <c r="B4340" s="11">
        <f>IFERROR(__xludf.DUMMYFUNCTION("""COMPUTED_VALUE"""),8.0)</f>
        <v>8</v>
      </c>
      <c r="C4340" s="11">
        <f>IFERROR(__xludf.DUMMYFUNCTION("""COMPUTED_VALUE"""),68232.0)</f>
        <v>68232</v>
      </c>
      <c r="D4340" s="11">
        <f>IFERROR(__xludf.DUMMYFUNCTION("""COMPUTED_VALUE"""),767.0)</f>
        <v>767</v>
      </c>
      <c r="E4340" s="9"/>
    </row>
    <row r="4341">
      <c r="A4341" s="11">
        <f>IFERROR(__xludf.DUMMYFUNCTION("""COMPUTED_VALUE"""),2021.0)</f>
        <v>2021</v>
      </c>
      <c r="B4341" s="11">
        <f>IFERROR(__xludf.DUMMYFUNCTION("""COMPUTED_VALUE"""),8.0)</f>
        <v>8</v>
      </c>
      <c r="C4341" s="11">
        <f>IFERROR(__xludf.DUMMYFUNCTION("""COMPUTED_VALUE"""),159386.0)</f>
        <v>159386</v>
      </c>
      <c r="D4341" s="11">
        <f>IFERROR(__xludf.DUMMYFUNCTION("""COMPUTED_VALUE"""),119.0)</f>
        <v>119</v>
      </c>
      <c r="E4341" s="9"/>
    </row>
    <row r="4342">
      <c r="A4342" s="11">
        <f>IFERROR(__xludf.DUMMYFUNCTION("""COMPUTED_VALUE"""),2021.0)</f>
        <v>2021</v>
      </c>
      <c r="B4342" s="11">
        <f>IFERROR(__xludf.DUMMYFUNCTION("""COMPUTED_VALUE"""),9.0)</f>
        <v>9</v>
      </c>
      <c r="C4342" s="11">
        <f>IFERROR(__xludf.DUMMYFUNCTION("""COMPUTED_VALUE"""),76471.0)</f>
        <v>76471</v>
      </c>
      <c r="D4342" s="11">
        <f>IFERROR(__xludf.DUMMYFUNCTION("""COMPUTED_VALUE"""),1472.0)</f>
        <v>1472</v>
      </c>
      <c r="E4342" s="9"/>
    </row>
    <row r="4343">
      <c r="A4343" s="11">
        <f>IFERROR(__xludf.DUMMYFUNCTION("""COMPUTED_VALUE"""),2021.0)</f>
        <v>2021</v>
      </c>
      <c r="B4343" s="11">
        <f>IFERROR(__xludf.DUMMYFUNCTION("""COMPUTED_VALUE"""),8.0)</f>
        <v>8</v>
      </c>
      <c r="C4343" s="11">
        <f>IFERROR(__xludf.DUMMYFUNCTION("""COMPUTED_VALUE"""),68357.0)</f>
        <v>68357</v>
      </c>
      <c r="D4343" s="11">
        <f>IFERROR(__xludf.DUMMYFUNCTION("""COMPUTED_VALUE"""),980.0)</f>
        <v>980</v>
      </c>
      <c r="E4343" s="9"/>
    </row>
    <row r="4344">
      <c r="A4344" s="11">
        <f>IFERROR(__xludf.DUMMYFUNCTION("""COMPUTED_VALUE"""),2021.0)</f>
        <v>2021</v>
      </c>
      <c r="B4344" s="11">
        <f>IFERROR(__xludf.DUMMYFUNCTION("""COMPUTED_VALUE"""),8.0)</f>
        <v>8</v>
      </c>
      <c r="C4344" s="11">
        <f>IFERROR(__xludf.DUMMYFUNCTION("""COMPUTED_VALUE"""),68303.0)</f>
        <v>68303</v>
      </c>
      <c r="D4344" s="11">
        <f>IFERROR(__xludf.DUMMYFUNCTION("""COMPUTED_VALUE"""),922.0)</f>
        <v>922</v>
      </c>
      <c r="E4344" s="9"/>
    </row>
    <row r="4345">
      <c r="A4345" s="11">
        <f>IFERROR(__xludf.DUMMYFUNCTION("""COMPUTED_VALUE"""),2021.0)</f>
        <v>2021</v>
      </c>
      <c r="B4345" s="11">
        <f>IFERROR(__xludf.DUMMYFUNCTION("""COMPUTED_VALUE"""),9.0)</f>
        <v>9</v>
      </c>
      <c r="C4345" s="11">
        <f>IFERROR(__xludf.DUMMYFUNCTION("""COMPUTED_VALUE"""),68325.0)</f>
        <v>68325</v>
      </c>
      <c r="D4345" s="11">
        <f>IFERROR(__xludf.DUMMYFUNCTION("""COMPUTED_VALUE"""),1586.0)</f>
        <v>1586</v>
      </c>
      <c r="E4345" s="9"/>
    </row>
    <row r="4346">
      <c r="A4346" s="11">
        <f>IFERROR(__xludf.DUMMYFUNCTION("""COMPUTED_VALUE"""),2021.0)</f>
        <v>2021</v>
      </c>
      <c r="B4346" s="11">
        <f>IFERROR(__xludf.DUMMYFUNCTION("""COMPUTED_VALUE"""),11.0)</f>
        <v>11</v>
      </c>
      <c r="C4346" s="11">
        <f>IFERROR(__xludf.DUMMYFUNCTION("""COMPUTED_VALUE"""),68515.0)</f>
        <v>68515</v>
      </c>
      <c r="D4346" s="11">
        <f>IFERROR(__xludf.DUMMYFUNCTION("""COMPUTED_VALUE"""),665.0)</f>
        <v>665</v>
      </c>
      <c r="E4346" s="9"/>
    </row>
    <row r="4347">
      <c r="A4347" s="11">
        <f>IFERROR(__xludf.DUMMYFUNCTION("""COMPUTED_VALUE"""),2021.0)</f>
        <v>2021</v>
      </c>
      <c r="B4347" s="11">
        <f>IFERROR(__xludf.DUMMYFUNCTION("""COMPUTED_VALUE"""),11.0)</f>
        <v>11</v>
      </c>
      <c r="C4347" s="11">
        <f>IFERROR(__xludf.DUMMYFUNCTION("""COMPUTED_VALUE"""),107989.0)</f>
        <v>107989</v>
      </c>
      <c r="D4347" s="11">
        <f>IFERROR(__xludf.DUMMYFUNCTION("""COMPUTED_VALUE"""),539.0)</f>
        <v>539</v>
      </c>
      <c r="E4347" s="9"/>
    </row>
    <row r="4348">
      <c r="A4348" s="11">
        <f>IFERROR(__xludf.DUMMYFUNCTION("""COMPUTED_VALUE"""),2021.0)</f>
        <v>2021</v>
      </c>
      <c r="B4348" s="11">
        <f>IFERROR(__xludf.DUMMYFUNCTION("""COMPUTED_VALUE"""),9.0)</f>
        <v>9</v>
      </c>
      <c r="C4348" s="11">
        <f>IFERROR(__xludf.DUMMYFUNCTION("""COMPUTED_VALUE"""),76732.0)</f>
        <v>76732</v>
      </c>
      <c r="D4348" s="11">
        <f>IFERROR(__xludf.DUMMYFUNCTION("""COMPUTED_VALUE"""),85.0)</f>
        <v>85</v>
      </c>
      <c r="E4348" s="9"/>
    </row>
    <row r="4349">
      <c r="A4349" s="11">
        <f>IFERROR(__xludf.DUMMYFUNCTION("""COMPUTED_VALUE"""),2021.0)</f>
        <v>2021</v>
      </c>
      <c r="B4349" s="11">
        <f>IFERROR(__xludf.DUMMYFUNCTION("""COMPUTED_VALUE"""),11.0)</f>
        <v>11</v>
      </c>
      <c r="C4349" s="11">
        <f>IFERROR(__xludf.DUMMYFUNCTION("""COMPUTED_VALUE"""),14711.0)</f>
        <v>14711</v>
      </c>
      <c r="D4349" s="11">
        <f>IFERROR(__xludf.DUMMYFUNCTION("""COMPUTED_VALUE"""),586.0)</f>
        <v>586</v>
      </c>
      <c r="E4349" s="9"/>
    </row>
    <row r="4350">
      <c r="A4350" s="11">
        <f>IFERROR(__xludf.DUMMYFUNCTION("""COMPUTED_VALUE"""),2021.0)</f>
        <v>2021</v>
      </c>
      <c r="B4350" s="11">
        <f>IFERROR(__xludf.DUMMYFUNCTION("""COMPUTED_VALUE"""),10.0)</f>
        <v>10</v>
      </c>
      <c r="C4350" s="11">
        <f>IFERROR(__xludf.DUMMYFUNCTION("""COMPUTED_VALUE"""),14706.0)</f>
        <v>14706</v>
      </c>
      <c r="D4350" s="11">
        <f>IFERROR(__xludf.DUMMYFUNCTION("""COMPUTED_VALUE"""),959.0)</f>
        <v>959</v>
      </c>
      <c r="E4350" s="9"/>
    </row>
    <row r="4351">
      <c r="A4351" s="11">
        <f>IFERROR(__xludf.DUMMYFUNCTION("""COMPUTED_VALUE"""),2021.0)</f>
        <v>2021</v>
      </c>
      <c r="B4351" s="11">
        <f>IFERROR(__xludf.DUMMYFUNCTION("""COMPUTED_VALUE"""),10.0)</f>
        <v>10</v>
      </c>
      <c r="C4351" s="11">
        <f>IFERROR(__xludf.DUMMYFUNCTION("""COMPUTED_VALUE"""),23975.0)</f>
        <v>23975</v>
      </c>
      <c r="D4351" s="11">
        <f>IFERROR(__xludf.DUMMYFUNCTION("""COMPUTED_VALUE"""),1538.0)</f>
        <v>1538</v>
      </c>
      <c r="E4351" s="9"/>
    </row>
    <row r="4352">
      <c r="A4352" s="11">
        <f>IFERROR(__xludf.DUMMYFUNCTION("""COMPUTED_VALUE"""),2021.0)</f>
        <v>2021</v>
      </c>
      <c r="B4352" s="11">
        <f>IFERROR(__xludf.DUMMYFUNCTION("""COMPUTED_VALUE"""),8.0)</f>
        <v>8</v>
      </c>
      <c r="C4352" s="11">
        <f>IFERROR(__xludf.DUMMYFUNCTION("""COMPUTED_VALUE"""),90665.0)</f>
        <v>90665</v>
      </c>
      <c r="D4352" s="11">
        <f>IFERROR(__xludf.DUMMYFUNCTION("""COMPUTED_VALUE"""),602.0)</f>
        <v>602</v>
      </c>
      <c r="E4352" s="9"/>
    </row>
    <row r="4353">
      <c r="A4353" s="11">
        <f>IFERROR(__xludf.DUMMYFUNCTION("""COMPUTED_VALUE"""),2021.0)</f>
        <v>2021</v>
      </c>
      <c r="B4353" s="11">
        <f>IFERROR(__xludf.DUMMYFUNCTION("""COMPUTED_VALUE"""),9.0)</f>
        <v>9</v>
      </c>
      <c r="C4353" s="11">
        <f>IFERROR(__xludf.DUMMYFUNCTION("""COMPUTED_VALUE"""),69551.0)</f>
        <v>69551</v>
      </c>
      <c r="D4353" s="11">
        <f>IFERROR(__xludf.DUMMYFUNCTION("""COMPUTED_VALUE"""),996.0)</f>
        <v>996</v>
      </c>
      <c r="E4353" s="9"/>
    </row>
    <row r="4354">
      <c r="A4354" s="11">
        <f>IFERROR(__xludf.DUMMYFUNCTION("""COMPUTED_VALUE"""),2021.0)</f>
        <v>2021</v>
      </c>
      <c r="B4354" s="11">
        <f>IFERROR(__xludf.DUMMYFUNCTION("""COMPUTED_VALUE"""),8.0)</f>
        <v>8</v>
      </c>
      <c r="C4354" s="11">
        <f>IFERROR(__xludf.DUMMYFUNCTION("""COMPUTED_VALUE"""),69503.0)</f>
        <v>69503</v>
      </c>
      <c r="D4354" s="11">
        <f>IFERROR(__xludf.DUMMYFUNCTION("""COMPUTED_VALUE"""),1128.0)</f>
        <v>1128</v>
      </c>
      <c r="E4354" s="9"/>
    </row>
    <row r="4355">
      <c r="A4355" s="11">
        <f>IFERROR(__xludf.DUMMYFUNCTION("""COMPUTED_VALUE"""),2021.0)</f>
        <v>2021</v>
      </c>
      <c r="B4355" s="11">
        <f>IFERROR(__xludf.DUMMYFUNCTION("""COMPUTED_VALUE"""),8.0)</f>
        <v>8</v>
      </c>
      <c r="C4355" s="11">
        <f>IFERROR(__xludf.DUMMYFUNCTION("""COMPUTED_VALUE"""),23473.0)</f>
        <v>23473</v>
      </c>
      <c r="D4355" s="11">
        <f>IFERROR(__xludf.DUMMYFUNCTION("""COMPUTED_VALUE"""),1025.0)</f>
        <v>1025</v>
      </c>
      <c r="E4355" s="9"/>
    </row>
    <row r="4356">
      <c r="A4356" s="11">
        <f>IFERROR(__xludf.DUMMYFUNCTION("""COMPUTED_VALUE"""),2021.0)</f>
        <v>2021</v>
      </c>
      <c r="B4356" s="11">
        <f>IFERROR(__xludf.DUMMYFUNCTION("""COMPUTED_VALUE"""),10.0)</f>
        <v>10</v>
      </c>
      <c r="C4356" s="11">
        <f>IFERROR(__xludf.DUMMYFUNCTION("""COMPUTED_VALUE"""),69500.0)</f>
        <v>69500</v>
      </c>
      <c r="D4356" s="11">
        <f>IFERROR(__xludf.DUMMYFUNCTION("""COMPUTED_VALUE"""),1705.0)</f>
        <v>1705</v>
      </c>
      <c r="E4356" s="9"/>
    </row>
    <row r="4357">
      <c r="A4357" s="11">
        <f>IFERROR(__xludf.DUMMYFUNCTION("""COMPUTED_VALUE"""),2021.0)</f>
        <v>2021</v>
      </c>
      <c r="B4357" s="11">
        <f>IFERROR(__xludf.DUMMYFUNCTION("""COMPUTED_VALUE"""),8.0)</f>
        <v>8</v>
      </c>
      <c r="C4357" s="11">
        <f>IFERROR(__xludf.DUMMYFUNCTION("""COMPUTED_VALUE"""),14689.0)</f>
        <v>14689</v>
      </c>
      <c r="D4357" s="11">
        <f>IFERROR(__xludf.DUMMYFUNCTION("""COMPUTED_VALUE"""),846.0)</f>
        <v>846</v>
      </c>
      <c r="E4357" s="9"/>
    </row>
    <row r="4358">
      <c r="A4358" s="11">
        <f>IFERROR(__xludf.DUMMYFUNCTION("""COMPUTED_VALUE"""),2021.0)</f>
        <v>2021</v>
      </c>
      <c r="B4358" s="11">
        <f>IFERROR(__xludf.DUMMYFUNCTION("""COMPUTED_VALUE"""),9.0)</f>
        <v>9</v>
      </c>
      <c r="C4358" s="11">
        <f>IFERROR(__xludf.DUMMYFUNCTION("""COMPUTED_VALUE"""),19409.0)</f>
        <v>19409</v>
      </c>
      <c r="D4358" s="11">
        <f>IFERROR(__xludf.DUMMYFUNCTION("""COMPUTED_VALUE"""),1918.0)</f>
        <v>1918</v>
      </c>
      <c r="E4358" s="9"/>
    </row>
    <row r="4359">
      <c r="A4359" s="11">
        <f>IFERROR(__xludf.DUMMYFUNCTION("""COMPUTED_VALUE"""),2021.0)</f>
        <v>2021</v>
      </c>
      <c r="B4359" s="11">
        <f>IFERROR(__xludf.DUMMYFUNCTION("""COMPUTED_VALUE"""),10.0)</f>
        <v>10</v>
      </c>
      <c r="C4359" s="11">
        <f>IFERROR(__xludf.DUMMYFUNCTION("""COMPUTED_VALUE"""),69526.0)</f>
        <v>69526</v>
      </c>
      <c r="D4359" s="11">
        <f>IFERROR(__xludf.DUMMYFUNCTION("""COMPUTED_VALUE"""),1444.0)</f>
        <v>1444</v>
      </c>
      <c r="E4359" s="9"/>
    </row>
    <row r="4360">
      <c r="A4360" s="11">
        <f>IFERROR(__xludf.DUMMYFUNCTION("""COMPUTED_VALUE"""),2021.0)</f>
        <v>2021</v>
      </c>
      <c r="B4360" s="11">
        <f>IFERROR(__xludf.DUMMYFUNCTION("""COMPUTED_VALUE"""),10.0)</f>
        <v>10</v>
      </c>
      <c r="C4360" s="11">
        <f>IFERROR(__xludf.DUMMYFUNCTION("""COMPUTED_VALUE"""),19412.0)</f>
        <v>19412</v>
      </c>
      <c r="D4360" s="11">
        <f>IFERROR(__xludf.DUMMYFUNCTION("""COMPUTED_VALUE"""),651.0)</f>
        <v>651</v>
      </c>
      <c r="E4360" s="9"/>
    </row>
    <row r="4361">
      <c r="A4361" s="11">
        <f>IFERROR(__xludf.DUMMYFUNCTION("""COMPUTED_VALUE"""),2021.0)</f>
        <v>2021</v>
      </c>
      <c r="B4361" s="11">
        <f>IFERROR(__xludf.DUMMYFUNCTION("""COMPUTED_VALUE"""),11.0)</f>
        <v>11</v>
      </c>
      <c r="C4361" s="11">
        <f>IFERROR(__xludf.DUMMYFUNCTION("""COMPUTED_VALUE"""),23471.0)</f>
        <v>23471</v>
      </c>
      <c r="D4361" s="11">
        <f>IFERROR(__xludf.DUMMYFUNCTION("""COMPUTED_VALUE"""),435.0)</f>
        <v>435</v>
      </c>
      <c r="E4361" s="9"/>
    </row>
    <row r="4362">
      <c r="A4362" s="11">
        <f>IFERROR(__xludf.DUMMYFUNCTION("""COMPUTED_VALUE"""),2021.0)</f>
        <v>2021</v>
      </c>
      <c r="B4362" s="11">
        <f>IFERROR(__xludf.DUMMYFUNCTION("""COMPUTED_VALUE"""),8.0)</f>
        <v>8</v>
      </c>
      <c r="C4362" s="11">
        <f>IFERROR(__xludf.DUMMYFUNCTION("""COMPUTED_VALUE"""),14670.0)</f>
        <v>14670</v>
      </c>
      <c r="D4362" s="11">
        <f>IFERROR(__xludf.DUMMYFUNCTION("""COMPUTED_VALUE"""),399.0)</f>
        <v>399</v>
      </c>
      <c r="E4362" s="9"/>
    </row>
    <row r="4363">
      <c r="A4363" s="11">
        <f>IFERROR(__xludf.DUMMYFUNCTION("""COMPUTED_VALUE"""),2021.0)</f>
        <v>2021</v>
      </c>
      <c r="B4363" s="11">
        <f>IFERROR(__xludf.DUMMYFUNCTION("""COMPUTED_VALUE"""),8.0)</f>
        <v>8</v>
      </c>
      <c r="C4363" s="11">
        <f>IFERROR(__xludf.DUMMYFUNCTION("""COMPUTED_VALUE"""),69499.0)</f>
        <v>69499</v>
      </c>
      <c r="D4363" s="11">
        <f>IFERROR(__xludf.DUMMYFUNCTION("""COMPUTED_VALUE"""),489.0)</f>
        <v>489</v>
      </c>
      <c r="E4363" s="9"/>
    </row>
    <row r="4364">
      <c r="A4364" s="11">
        <f>IFERROR(__xludf.DUMMYFUNCTION("""COMPUTED_VALUE"""),2021.0)</f>
        <v>2021</v>
      </c>
      <c r="B4364" s="11">
        <f>IFERROR(__xludf.DUMMYFUNCTION("""COMPUTED_VALUE"""),9.0)</f>
        <v>9</v>
      </c>
      <c r="C4364" s="11">
        <f>IFERROR(__xludf.DUMMYFUNCTION("""COMPUTED_VALUE"""),90686.0)</f>
        <v>90686</v>
      </c>
      <c r="D4364" s="11">
        <f>IFERROR(__xludf.DUMMYFUNCTION("""COMPUTED_VALUE"""),1749.0)</f>
        <v>1749</v>
      </c>
      <c r="E4364" s="9"/>
    </row>
    <row r="4365">
      <c r="A4365" s="11">
        <f>IFERROR(__xludf.DUMMYFUNCTION("""COMPUTED_VALUE"""),2021.0)</f>
        <v>2021</v>
      </c>
      <c r="B4365" s="11">
        <f>IFERROR(__xludf.DUMMYFUNCTION("""COMPUTED_VALUE"""),8.0)</f>
        <v>8</v>
      </c>
      <c r="C4365" s="11">
        <f>IFERROR(__xludf.DUMMYFUNCTION("""COMPUTED_VALUE"""),111872.0)</f>
        <v>111872</v>
      </c>
      <c r="D4365" s="11">
        <f>IFERROR(__xludf.DUMMYFUNCTION("""COMPUTED_VALUE"""),1281.0)</f>
        <v>1281</v>
      </c>
      <c r="E4365" s="9"/>
    </row>
    <row r="4366">
      <c r="A4366" s="11">
        <f>IFERROR(__xludf.DUMMYFUNCTION("""COMPUTED_VALUE"""),2021.0)</f>
        <v>2021</v>
      </c>
      <c r="B4366" s="11">
        <f>IFERROR(__xludf.DUMMYFUNCTION("""COMPUTED_VALUE"""),8.0)</f>
        <v>8</v>
      </c>
      <c r="C4366" s="11">
        <f>IFERROR(__xludf.DUMMYFUNCTION("""COMPUTED_VALUE"""),23964.0)</f>
        <v>23964</v>
      </c>
      <c r="D4366" s="11">
        <f>IFERROR(__xludf.DUMMYFUNCTION("""COMPUTED_VALUE"""),941.0)</f>
        <v>941</v>
      </c>
      <c r="E4366" s="9"/>
    </row>
    <row r="4367">
      <c r="A4367" s="11">
        <f>IFERROR(__xludf.DUMMYFUNCTION("""COMPUTED_VALUE"""),2021.0)</f>
        <v>2021</v>
      </c>
      <c r="B4367" s="11">
        <f>IFERROR(__xludf.DUMMYFUNCTION("""COMPUTED_VALUE"""),9.0)</f>
        <v>9</v>
      </c>
      <c r="C4367" s="11">
        <f>IFERROR(__xludf.DUMMYFUNCTION("""COMPUTED_VALUE"""),111837.0)</f>
        <v>111837</v>
      </c>
      <c r="D4367" s="11">
        <f>IFERROR(__xludf.DUMMYFUNCTION("""COMPUTED_VALUE"""),1551.0)</f>
        <v>1551</v>
      </c>
      <c r="E4367" s="9"/>
    </row>
    <row r="4368">
      <c r="A4368" s="11">
        <f>IFERROR(__xludf.DUMMYFUNCTION("""COMPUTED_VALUE"""),2021.0)</f>
        <v>2021</v>
      </c>
      <c r="B4368" s="11">
        <f>IFERROR(__xludf.DUMMYFUNCTION("""COMPUTED_VALUE"""),9.0)</f>
        <v>9</v>
      </c>
      <c r="C4368" s="11">
        <f>IFERROR(__xludf.DUMMYFUNCTION("""COMPUTED_VALUE"""),19377.0)</f>
        <v>19377</v>
      </c>
      <c r="D4368" s="11">
        <f>IFERROR(__xludf.DUMMYFUNCTION("""COMPUTED_VALUE"""),1573.0)</f>
        <v>1573</v>
      </c>
      <c r="E4368" s="9"/>
    </row>
    <row r="4369">
      <c r="A4369" s="11">
        <f>IFERROR(__xludf.DUMMYFUNCTION("""COMPUTED_VALUE"""),2021.0)</f>
        <v>2021</v>
      </c>
      <c r="B4369" s="11">
        <f>IFERROR(__xludf.DUMMYFUNCTION("""COMPUTED_VALUE"""),11.0)</f>
        <v>11</v>
      </c>
      <c r="C4369" s="11">
        <f>IFERROR(__xludf.DUMMYFUNCTION("""COMPUTED_VALUE"""),111836.0)</f>
        <v>111836</v>
      </c>
      <c r="D4369" s="11">
        <f>IFERROR(__xludf.DUMMYFUNCTION("""COMPUTED_VALUE"""),1719.0)</f>
        <v>1719</v>
      </c>
      <c r="E4369" s="9"/>
    </row>
    <row r="4370">
      <c r="A4370" s="11">
        <f>IFERROR(__xludf.DUMMYFUNCTION("""COMPUTED_VALUE"""),2021.0)</f>
        <v>2021</v>
      </c>
      <c r="B4370" s="11">
        <f>IFERROR(__xludf.DUMMYFUNCTION("""COMPUTED_VALUE"""),8.0)</f>
        <v>8</v>
      </c>
      <c r="C4370" s="11">
        <f>IFERROR(__xludf.DUMMYFUNCTION("""COMPUTED_VALUE"""),190103.0)</f>
        <v>190103</v>
      </c>
      <c r="D4370" s="11">
        <f>IFERROR(__xludf.DUMMYFUNCTION("""COMPUTED_VALUE"""),464.0)</f>
        <v>464</v>
      </c>
      <c r="E4370" s="9"/>
    </row>
    <row r="4371">
      <c r="A4371" s="11">
        <f>IFERROR(__xludf.DUMMYFUNCTION("""COMPUTED_VALUE"""),2021.0)</f>
        <v>2021</v>
      </c>
      <c r="B4371" s="11">
        <f>IFERROR(__xludf.DUMMYFUNCTION("""COMPUTED_VALUE"""),9.0)</f>
        <v>9</v>
      </c>
      <c r="C4371" s="11">
        <f>IFERROR(__xludf.DUMMYFUNCTION("""COMPUTED_VALUE"""),19408.0)</f>
        <v>19408</v>
      </c>
      <c r="D4371" s="11">
        <f>IFERROR(__xludf.DUMMYFUNCTION("""COMPUTED_VALUE"""),1076.0)</f>
        <v>1076</v>
      </c>
      <c r="E4371" s="9"/>
    </row>
    <row r="4372">
      <c r="A4372" s="11">
        <f>IFERROR(__xludf.DUMMYFUNCTION("""COMPUTED_VALUE"""),2021.0)</f>
        <v>2021</v>
      </c>
      <c r="B4372" s="11">
        <f>IFERROR(__xludf.DUMMYFUNCTION("""COMPUTED_VALUE"""),11.0)</f>
        <v>11</v>
      </c>
      <c r="C4372" s="11">
        <f>IFERROR(__xludf.DUMMYFUNCTION("""COMPUTED_VALUE"""),14694.0)</f>
        <v>14694</v>
      </c>
      <c r="D4372" s="11">
        <f>IFERROR(__xludf.DUMMYFUNCTION("""COMPUTED_VALUE"""),1813.0)</f>
        <v>1813</v>
      </c>
      <c r="E4372" s="9"/>
    </row>
    <row r="4373">
      <c r="A4373" s="11">
        <f>IFERROR(__xludf.DUMMYFUNCTION("""COMPUTED_VALUE"""),2021.0)</f>
        <v>2021</v>
      </c>
      <c r="B4373" s="11">
        <f>IFERROR(__xludf.DUMMYFUNCTION("""COMPUTED_VALUE"""),8.0)</f>
        <v>8</v>
      </c>
      <c r="C4373" s="11">
        <f>IFERROR(__xludf.DUMMYFUNCTION("""COMPUTED_VALUE"""),5686.0)</f>
        <v>5686</v>
      </c>
      <c r="D4373" s="11">
        <f>IFERROR(__xludf.DUMMYFUNCTION("""COMPUTED_VALUE"""),595.0)</f>
        <v>595</v>
      </c>
      <c r="E4373" s="9"/>
    </row>
    <row r="4374">
      <c r="A4374" s="11">
        <f>IFERROR(__xludf.DUMMYFUNCTION("""COMPUTED_VALUE"""),2021.0)</f>
        <v>2021</v>
      </c>
      <c r="B4374" s="11">
        <f>IFERROR(__xludf.DUMMYFUNCTION("""COMPUTED_VALUE"""),8.0)</f>
        <v>8</v>
      </c>
      <c r="C4374" s="11">
        <f>IFERROR(__xludf.DUMMYFUNCTION("""COMPUTED_VALUE"""),111842.0)</f>
        <v>111842</v>
      </c>
      <c r="D4374" s="11">
        <f>IFERROR(__xludf.DUMMYFUNCTION("""COMPUTED_VALUE"""),892.0)</f>
        <v>892</v>
      </c>
      <c r="E4374" s="9"/>
    </row>
    <row r="4375">
      <c r="A4375" s="11">
        <f>IFERROR(__xludf.DUMMYFUNCTION("""COMPUTED_VALUE"""),2021.0)</f>
        <v>2021</v>
      </c>
      <c r="B4375" s="11">
        <f>IFERROR(__xludf.DUMMYFUNCTION("""COMPUTED_VALUE"""),8.0)</f>
        <v>8</v>
      </c>
      <c r="C4375" s="11">
        <f>IFERROR(__xludf.DUMMYFUNCTION("""COMPUTED_VALUE"""),23978.0)</f>
        <v>23978</v>
      </c>
      <c r="D4375" s="11">
        <f>IFERROR(__xludf.DUMMYFUNCTION("""COMPUTED_VALUE"""),1668.0)</f>
        <v>1668</v>
      </c>
      <c r="E4375" s="9"/>
    </row>
    <row r="4376">
      <c r="A4376" s="11">
        <f>IFERROR(__xludf.DUMMYFUNCTION("""COMPUTED_VALUE"""),2021.0)</f>
        <v>2021</v>
      </c>
      <c r="B4376" s="11">
        <f>IFERROR(__xludf.DUMMYFUNCTION("""COMPUTED_VALUE"""),11.0)</f>
        <v>11</v>
      </c>
      <c r="C4376" s="11">
        <f>IFERROR(__xludf.DUMMYFUNCTION("""COMPUTED_VALUE"""),14682.0)</f>
        <v>14682</v>
      </c>
      <c r="D4376" s="11">
        <f>IFERROR(__xludf.DUMMYFUNCTION("""COMPUTED_VALUE"""),1323.0)</f>
        <v>1323</v>
      </c>
      <c r="E4376" s="9"/>
    </row>
    <row r="4377">
      <c r="A4377" s="11">
        <f>IFERROR(__xludf.DUMMYFUNCTION("""COMPUTED_VALUE"""),2021.0)</f>
        <v>2021</v>
      </c>
      <c r="B4377" s="11">
        <f>IFERROR(__xludf.DUMMYFUNCTION("""COMPUTED_VALUE"""),8.0)</f>
        <v>8</v>
      </c>
      <c r="C4377" s="11">
        <f>IFERROR(__xludf.DUMMYFUNCTION("""COMPUTED_VALUE"""),111873.0)</f>
        <v>111873</v>
      </c>
      <c r="D4377" s="11">
        <f>IFERROR(__xludf.DUMMYFUNCTION("""COMPUTED_VALUE"""),358.0)</f>
        <v>358</v>
      </c>
      <c r="E4377" s="9"/>
    </row>
    <row r="4378">
      <c r="A4378" s="11">
        <f>IFERROR(__xludf.DUMMYFUNCTION("""COMPUTED_VALUE"""),2021.0)</f>
        <v>2021</v>
      </c>
      <c r="B4378" s="11">
        <f>IFERROR(__xludf.DUMMYFUNCTION("""COMPUTED_VALUE"""),11.0)</f>
        <v>11</v>
      </c>
      <c r="C4378" s="11">
        <f>IFERROR(__xludf.DUMMYFUNCTION("""COMPUTED_VALUE"""),23454.0)</f>
        <v>23454</v>
      </c>
      <c r="D4378" s="11">
        <f>IFERROR(__xludf.DUMMYFUNCTION("""COMPUTED_VALUE"""),1277.0)</f>
        <v>1277</v>
      </c>
      <c r="E4378" s="9"/>
    </row>
    <row r="4379">
      <c r="A4379" s="11">
        <f>IFERROR(__xludf.DUMMYFUNCTION("""COMPUTED_VALUE"""),2021.0)</f>
        <v>2021</v>
      </c>
      <c r="B4379" s="11">
        <f>IFERROR(__xludf.DUMMYFUNCTION("""COMPUTED_VALUE"""),8.0)</f>
        <v>8</v>
      </c>
      <c r="C4379" s="11">
        <f>IFERROR(__xludf.DUMMYFUNCTION("""COMPUTED_VALUE"""),16760.0)</f>
        <v>16760</v>
      </c>
      <c r="D4379" s="11">
        <f>IFERROR(__xludf.DUMMYFUNCTION("""COMPUTED_VALUE"""),887.0)</f>
        <v>887</v>
      </c>
      <c r="E4379" s="9"/>
    </row>
    <row r="4380">
      <c r="A4380" s="11">
        <f>IFERROR(__xludf.DUMMYFUNCTION("""COMPUTED_VALUE"""),2021.0)</f>
        <v>2021</v>
      </c>
      <c r="B4380" s="11">
        <f>IFERROR(__xludf.DUMMYFUNCTION("""COMPUTED_VALUE"""),9.0)</f>
        <v>9</v>
      </c>
      <c r="C4380" s="11">
        <f>IFERROR(__xludf.DUMMYFUNCTION("""COMPUTED_VALUE"""),14709.0)</f>
        <v>14709</v>
      </c>
      <c r="D4380" s="11">
        <f>IFERROR(__xludf.DUMMYFUNCTION("""COMPUTED_VALUE"""),725.0)</f>
        <v>725</v>
      </c>
      <c r="E4380" s="9"/>
    </row>
    <row r="4381">
      <c r="A4381" s="11">
        <f>IFERROR(__xludf.DUMMYFUNCTION("""COMPUTED_VALUE"""),2021.0)</f>
        <v>2021</v>
      </c>
      <c r="B4381" s="11">
        <f>IFERROR(__xludf.DUMMYFUNCTION("""COMPUTED_VALUE"""),10.0)</f>
        <v>10</v>
      </c>
      <c r="C4381" s="11">
        <f>IFERROR(__xludf.DUMMYFUNCTION("""COMPUTED_VALUE"""),14665.0)</f>
        <v>14665</v>
      </c>
      <c r="D4381" s="11">
        <f>IFERROR(__xludf.DUMMYFUNCTION("""COMPUTED_VALUE"""),233.0)</f>
        <v>233</v>
      </c>
      <c r="E4381" s="9"/>
    </row>
    <row r="4382">
      <c r="A4382" s="11">
        <f>IFERROR(__xludf.DUMMYFUNCTION("""COMPUTED_VALUE"""),2021.0)</f>
        <v>2021</v>
      </c>
      <c r="B4382" s="11">
        <f>IFERROR(__xludf.DUMMYFUNCTION("""COMPUTED_VALUE"""),11.0)</f>
        <v>11</v>
      </c>
      <c r="C4382" s="11">
        <f>IFERROR(__xludf.DUMMYFUNCTION("""COMPUTED_VALUE"""),8869.0)</f>
        <v>8869</v>
      </c>
      <c r="D4382" s="11">
        <f>IFERROR(__xludf.DUMMYFUNCTION("""COMPUTED_VALUE"""),343.0)</f>
        <v>343</v>
      </c>
      <c r="E4382" s="9"/>
    </row>
    <row r="4383">
      <c r="A4383" s="11">
        <f>IFERROR(__xludf.DUMMYFUNCTION("""COMPUTED_VALUE"""),2021.0)</f>
        <v>2021</v>
      </c>
      <c r="B4383" s="11">
        <f>IFERROR(__xludf.DUMMYFUNCTION("""COMPUTED_VALUE"""),10.0)</f>
        <v>10</v>
      </c>
      <c r="C4383" s="11">
        <f>IFERROR(__xludf.DUMMYFUNCTION("""COMPUTED_VALUE"""),68520.0)</f>
        <v>68520</v>
      </c>
      <c r="D4383" s="11">
        <f>IFERROR(__xludf.DUMMYFUNCTION("""COMPUTED_VALUE"""),1785.0)</f>
        <v>1785</v>
      </c>
      <c r="E4383" s="9"/>
    </row>
    <row r="4384">
      <c r="A4384" s="11">
        <f>IFERROR(__xludf.DUMMYFUNCTION("""COMPUTED_VALUE"""),2021.0)</f>
        <v>2021</v>
      </c>
      <c r="B4384" s="11">
        <f>IFERROR(__xludf.DUMMYFUNCTION("""COMPUTED_VALUE"""),8.0)</f>
        <v>8</v>
      </c>
      <c r="C4384" s="11">
        <f>IFERROR(__xludf.DUMMYFUNCTION("""COMPUTED_VALUE"""),107331.0)</f>
        <v>107331</v>
      </c>
      <c r="D4384" s="11">
        <f>IFERROR(__xludf.DUMMYFUNCTION("""COMPUTED_VALUE"""),715.0)</f>
        <v>715</v>
      </c>
      <c r="E4384" s="9"/>
    </row>
    <row r="4385">
      <c r="A4385" s="11">
        <f>IFERROR(__xludf.DUMMYFUNCTION("""COMPUTED_VALUE"""),2021.0)</f>
        <v>2021</v>
      </c>
      <c r="B4385" s="11">
        <f>IFERROR(__xludf.DUMMYFUNCTION("""COMPUTED_VALUE"""),8.0)</f>
        <v>8</v>
      </c>
      <c r="C4385" s="11">
        <f>IFERROR(__xludf.DUMMYFUNCTION("""COMPUTED_VALUE"""),107325.0)</f>
        <v>107325</v>
      </c>
      <c r="D4385" s="11">
        <f>IFERROR(__xludf.DUMMYFUNCTION("""COMPUTED_VALUE"""),664.0)</f>
        <v>664</v>
      </c>
      <c r="E4385" s="9"/>
    </row>
    <row r="4386">
      <c r="A4386" s="11">
        <f>IFERROR(__xludf.DUMMYFUNCTION("""COMPUTED_VALUE"""),2021.0)</f>
        <v>2021</v>
      </c>
      <c r="B4386" s="11">
        <f>IFERROR(__xludf.DUMMYFUNCTION("""COMPUTED_VALUE"""),8.0)</f>
        <v>8</v>
      </c>
      <c r="C4386" s="11">
        <f>IFERROR(__xludf.DUMMYFUNCTION("""COMPUTED_VALUE"""),8871.0)</f>
        <v>8871</v>
      </c>
      <c r="D4386" s="11">
        <f>IFERROR(__xludf.DUMMYFUNCTION("""COMPUTED_VALUE"""),1127.0)</f>
        <v>1127</v>
      </c>
      <c r="E4386" s="9"/>
    </row>
    <row r="4387">
      <c r="A4387" s="11">
        <f>IFERROR(__xludf.DUMMYFUNCTION("""COMPUTED_VALUE"""),2021.0)</f>
        <v>2021</v>
      </c>
      <c r="B4387" s="11">
        <f>IFERROR(__xludf.DUMMYFUNCTION("""COMPUTED_VALUE"""),10.0)</f>
        <v>10</v>
      </c>
      <c r="C4387" s="11">
        <f>IFERROR(__xludf.DUMMYFUNCTION("""COMPUTED_VALUE"""),107334.0)</f>
        <v>107334</v>
      </c>
      <c r="D4387" s="11">
        <f>IFERROR(__xludf.DUMMYFUNCTION("""COMPUTED_VALUE"""),1774.0)</f>
        <v>1774</v>
      </c>
      <c r="E4387" s="9"/>
    </row>
    <row r="4388">
      <c r="A4388" s="11">
        <f>IFERROR(__xludf.DUMMYFUNCTION("""COMPUTED_VALUE"""),2021.0)</f>
        <v>2021</v>
      </c>
      <c r="B4388" s="11">
        <f>IFERROR(__xludf.DUMMYFUNCTION("""COMPUTED_VALUE"""),9.0)</f>
        <v>9</v>
      </c>
      <c r="C4388" s="11">
        <f>IFERROR(__xludf.DUMMYFUNCTION("""COMPUTED_VALUE"""),120302.0)</f>
        <v>120302</v>
      </c>
      <c r="D4388" s="11">
        <f>IFERROR(__xludf.DUMMYFUNCTION("""COMPUTED_VALUE"""),768.0)</f>
        <v>768</v>
      </c>
      <c r="E4388" s="9"/>
    </row>
    <row r="4389">
      <c r="A4389" s="11">
        <f>IFERROR(__xludf.DUMMYFUNCTION("""COMPUTED_VALUE"""),2021.0)</f>
        <v>2021</v>
      </c>
      <c r="B4389" s="11">
        <f>IFERROR(__xludf.DUMMYFUNCTION("""COMPUTED_VALUE"""),11.0)</f>
        <v>11</v>
      </c>
      <c r="C4389" s="11">
        <f>IFERROR(__xludf.DUMMYFUNCTION("""COMPUTED_VALUE"""),117661.0)</f>
        <v>117661</v>
      </c>
      <c r="D4389" s="11">
        <f>IFERROR(__xludf.DUMMYFUNCTION("""COMPUTED_VALUE"""),1918.0)</f>
        <v>1918</v>
      </c>
      <c r="E4389" s="9"/>
    </row>
    <row r="4390">
      <c r="A4390" s="11">
        <f>IFERROR(__xludf.DUMMYFUNCTION("""COMPUTED_VALUE"""),2021.0)</f>
        <v>2021</v>
      </c>
      <c r="B4390" s="11">
        <f>IFERROR(__xludf.DUMMYFUNCTION("""COMPUTED_VALUE"""),11.0)</f>
        <v>11</v>
      </c>
      <c r="C4390" s="11">
        <f>IFERROR(__xludf.DUMMYFUNCTION("""COMPUTED_VALUE"""),79006.0)</f>
        <v>79006</v>
      </c>
      <c r="D4390" s="11">
        <f>IFERROR(__xludf.DUMMYFUNCTION("""COMPUTED_VALUE"""),36.0)</f>
        <v>36</v>
      </c>
      <c r="E4390" s="9"/>
    </row>
    <row r="4391">
      <c r="A4391" s="11">
        <f>IFERROR(__xludf.DUMMYFUNCTION("""COMPUTED_VALUE"""),2021.0)</f>
        <v>2021</v>
      </c>
      <c r="B4391" s="11">
        <f>IFERROR(__xludf.DUMMYFUNCTION("""COMPUTED_VALUE"""),10.0)</f>
        <v>10</v>
      </c>
      <c r="C4391" s="11">
        <f>IFERROR(__xludf.DUMMYFUNCTION("""COMPUTED_VALUE"""),17133.0)</f>
        <v>17133</v>
      </c>
      <c r="D4391" s="11">
        <f>IFERROR(__xludf.DUMMYFUNCTION("""COMPUTED_VALUE"""),350.0)</f>
        <v>350</v>
      </c>
      <c r="E4391" s="9"/>
    </row>
    <row r="4392">
      <c r="A4392" s="11">
        <f>IFERROR(__xludf.DUMMYFUNCTION("""COMPUTED_VALUE"""),2021.0)</f>
        <v>2021</v>
      </c>
      <c r="B4392" s="11">
        <f>IFERROR(__xludf.DUMMYFUNCTION("""COMPUTED_VALUE"""),8.0)</f>
        <v>8</v>
      </c>
      <c r="C4392" s="11">
        <f>IFERROR(__xludf.DUMMYFUNCTION("""COMPUTED_VALUE"""),76818.0)</f>
        <v>76818</v>
      </c>
      <c r="D4392" s="11">
        <f>IFERROR(__xludf.DUMMYFUNCTION("""COMPUTED_VALUE"""),389.0)</f>
        <v>389</v>
      </c>
      <c r="E4392" s="9"/>
    </row>
    <row r="4393">
      <c r="A4393" s="11">
        <f>IFERROR(__xludf.DUMMYFUNCTION("""COMPUTED_VALUE"""),2021.0)</f>
        <v>2021</v>
      </c>
      <c r="B4393" s="11">
        <f>IFERROR(__xludf.DUMMYFUNCTION("""COMPUTED_VALUE"""),11.0)</f>
        <v>11</v>
      </c>
      <c r="C4393" s="11">
        <f>IFERROR(__xludf.DUMMYFUNCTION("""COMPUTED_VALUE"""),70236.0)</f>
        <v>70236</v>
      </c>
      <c r="D4393" s="11">
        <f>IFERROR(__xludf.DUMMYFUNCTION("""COMPUTED_VALUE"""),124.0)</f>
        <v>124</v>
      </c>
      <c r="E4393" s="9"/>
    </row>
    <row r="4394">
      <c r="A4394" s="11">
        <f>IFERROR(__xludf.DUMMYFUNCTION("""COMPUTED_VALUE"""),2021.0)</f>
        <v>2021</v>
      </c>
      <c r="B4394" s="11">
        <f>IFERROR(__xludf.DUMMYFUNCTION("""COMPUTED_VALUE"""),11.0)</f>
        <v>11</v>
      </c>
      <c r="C4394" s="11">
        <f>IFERROR(__xludf.DUMMYFUNCTION("""COMPUTED_VALUE"""),91342.0)</f>
        <v>91342</v>
      </c>
      <c r="D4394" s="11">
        <f>IFERROR(__xludf.DUMMYFUNCTION("""COMPUTED_VALUE"""),270.0)</f>
        <v>270</v>
      </c>
      <c r="E4394" s="9"/>
    </row>
    <row r="4395">
      <c r="A4395" s="11">
        <f>IFERROR(__xludf.DUMMYFUNCTION("""COMPUTED_VALUE"""),2021.0)</f>
        <v>2021</v>
      </c>
      <c r="B4395" s="11">
        <f>IFERROR(__xludf.DUMMYFUNCTION("""COMPUTED_VALUE"""),8.0)</f>
        <v>8</v>
      </c>
      <c r="C4395" s="11">
        <f>IFERROR(__xludf.DUMMYFUNCTION("""COMPUTED_VALUE"""),121782.0)</f>
        <v>121782</v>
      </c>
      <c r="D4395" s="11">
        <f>IFERROR(__xludf.DUMMYFUNCTION("""COMPUTED_VALUE"""),1922.0)</f>
        <v>1922</v>
      </c>
      <c r="E4395" s="9"/>
    </row>
    <row r="4396">
      <c r="A4396" s="11">
        <f>IFERROR(__xludf.DUMMYFUNCTION("""COMPUTED_VALUE"""),2021.0)</f>
        <v>2021</v>
      </c>
      <c r="B4396" s="11">
        <f>IFERROR(__xludf.DUMMYFUNCTION("""COMPUTED_VALUE"""),8.0)</f>
        <v>8</v>
      </c>
      <c r="C4396" s="11">
        <f>IFERROR(__xludf.DUMMYFUNCTION("""COMPUTED_VALUE"""),76822.0)</f>
        <v>76822</v>
      </c>
      <c r="D4396" s="11">
        <f>IFERROR(__xludf.DUMMYFUNCTION("""COMPUTED_VALUE"""),1810.0)</f>
        <v>1810</v>
      </c>
      <c r="E4396" s="9"/>
    </row>
    <row r="4397">
      <c r="A4397" s="11">
        <f>IFERROR(__xludf.DUMMYFUNCTION("""COMPUTED_VALUE"""),2021.0)</f>
        <v>2021</v>
      </c>
      <c r="B4397" s="11">
        <f>IFERROR(__xludf.DUMMYFUNCTION("""COMPUTED_VALUE"""),8.0)</f>
        <v>8</v>
      </c>
      <c r="C4397" s="11">
        <f>IFERROR(__xludf.DUMMYFUNCTION("""COMPUTED_VALUE"""),100278.0)</f>
        <v>100278</v>
      </c>
      <c r="D4397" s="11">
        <f>IFERROR(__xludf.DUMMYFUNCTION("""COMPUTED_VALUE"""),238.0)</f>
        <v>238</v>
      </c>
      <c r="E4397" s="9"/>
    </row>
    <row r="4398">
      <c r="A4398" s="11">
        <f>IFERROR(__xludf.DUMMYFUNCTION("""COMPUTED_VALUE"""),2021.0)</f>
        <v>2021</v>
      </c>
      <c r="B4398" s="11">
        <f>IFERROR(__xludf.DUMMYFUNCTION("""COMPUTED_VALUE"""),10.0)</f>
        <v>10</v>
      </c>
      <c r="C4398" s="11">
        <f>IFERROR(__xludf.DUMMYFUNCTION("""COMPUTED_VALUE"""),122795.0)</f>
        <v>122795</v>
      </c>
      <c r="D4398" s="11">
        <f>IFERROR(__xludf.DUMMYFUNCTION("""COMPUTED_VALUE"""),440.0)</f>
        <v>440</v>
      </c>
      <c r="E4398" s="9"/>
    </row>
    <row r="4399">
      <c r="A4399" s="11">
        <f>IFERROR(__xludf.DUMMYFUNCTION("""COMPUTED_VALUE"""),2021.0)</f>
        <v>2021</v>
      </c>
      <c r="B4399" s="11">
        <f>IFERROR(__xludf.DUMMYFUNCTION("""COMPUTED_VALUE"""),9.0)</f>
        <v>9</v>
      </c>
      <c r="C4399" s="11">
        <f>IFERROR(__xludf.DUMMYFUNCTION("""COMPUTED_VALUE"""),100282.0)</f>
        <v>100282</v>
      </c>
      <c r="D4399" s="11">
        <f>IFERROR(__xludf.DUMMYFUNCTION("""COMPUTED_VALUE"""),962.0)</f>
        <v>962</v>
      </c>
      <c r="E4399" s="9"/>
    </row>
    <row r="4400">
      <c r="A4400" s="11">
        <f>IFERROR(__xludf.DUMMYFUNCTION("""COMPUTED_VALUE"""),2021.0)</f>
        <v>2021</v>
      </c>
      <c r="B4400" s="11">
        <f>IFERROR(__xludf.DUMMYFUNCTION("""COMPUTED_VALUE"""),8.0)</f>
        <v>8</v>
      </c>
      <c r="C4400" s="11">
        <f>IFERROR(__xludf.DUMMYFUNCTION("""COMPUTED_VALUE"""),68867.0)</f>
        <v>68867</v>
      </c>
      <c r="D4400" s="11">
        <f>IFERROR(__xludf.DUMMYFUNCTION("""COMPUTED_VALUE"""),1270.0)</f>
        <v>1270</v>
      </c>
      <c r="E4400" s="9"/>
    </row>
    <row r="4401">
      <c r="A4401" s="11">
        <f>IFERROR(__xludf.DUMMYFUNCTION("""COMPUTED_VALUE"""),2021.0)</f>
        <v>2021</v>
      </c>
      <c r="B4401" s="11">
        <f>IFERROR(__xludf.DUMMYFUNCTION("""COMPUTED_VALUE"""),11.0)</f>
        <v>11</v>
      </c>
      <c r="C4401" s="11">
        <f>IFERROR(__xludf.DUMMYFUNCTION("""COMPUTED_VALUE"""),8862.0)</f>
        <v>8862</v>
      </c>
      <c r="D4401" s="11">
        <f>IFERROR(__xludf.DUMMYFUNCTION("""COMPUTED_VALUE"""),1109.0)</f>
        <v>1109</v>
      </c>
      <c r="E4401" s="9"/>
    </row>
    <row r="4402">
      <c r="A4402" s="11">
        <f>IFERROR(__xludf.DUMMYFUNCTION("""COMPUTED_VALUE"""),2021.0)</f>
        <v>2021</v>
      </c>
      <c r="B4402" s="11">
        <f>IFERROR(__xludf.DUMMYFUNCTION("""COMPUTED_VALUE"""),10.0)</f>
        <v>10</v>
      </c>
      <c r="C4402" s="11">
        <f>IFERROR(__xludf.DUMMYFUNCTION("""COMPUTED_VALUE"""),72131.0)</f>
        <v>72131</v>
      </c>
      <c r="D4402" s="11">
        <f>IFERROR(__xludf.DUMMYFUNCTION("""COMPUTED_VALUE"""),748.0)</f>
        <v>748</v>
      </c>
      <c r="E4402" s="9"/>
    </row>
    <row r="4403">
      <c r="A4403" s="11">
        <f>IFERROR(__xludf.DUMMYFUNCTION("""COMPUTED_VALUE"""),2021.0)</f>
        <v>2021</v>
      </c>
      <c r="B4403" s="11">
        <f>IFERROR(__xludf.DUMMYFUNCTION("""COMPUTED_VALUE"""),10.0)</f>
        <v>10</v>
      </c>
      <c r="C4403" s="11">
        <f>IFERROR(__xludf.DUMMYFUNCTION("""COMPUTED_VALUE"""),12047.0)</f>
        <v>12047</v>
      </c>
      <c r="D4403" s="11">
        <f>IFERROR(__xludf.DUMMYFUNCTION("""COMPUTED_VALUE"""),1488.0)</f>
        <v>1488</v>
      </c>
      <c r="E4403" s="9"/>
    </row>
    <row r="4404">
      <c r="A4404" s="11">
        <f>IFERROR(__xludf.DUMMYFUNCTION("""COMPUTED_VALUE"""),2021.0)</f>
        <v>2021</v>
      </c>
      <c r="B4404" s="11">
        <f>IFERROR(__xludf.DUMMYFUNCTION("""COMPUTED_VALUE"""),11.0)</f>
        <v>11</v>
      </c>
      <c r="C4404" s="11">
        <f>IFERROR(__xludf.DUMMYFUNCTION("""COMPUTED_VALUE"""),121790.0)</f>
        <v>121790</v>
      </c>
      <c r="D4404" s="11">
        <f>IFERROR(__xludf.DUMMYFUNCTION("""COMPUTED_VALUE"""),410.0)</f>
        <v>410</v>
      </c>
      <c r="E4404" s="9"/>
    </row>
    <row r="4405">
      <c r="A4405" s="11">
        <f>IFERROR(__xludf.DUMMYFUNCTION("""COMPUTED_VALUE"""),2021.0)</f>
        <v>2021</v>
      </c>
      <c r="B4405" s="11">
        <f>IFERROR(__xludf.DUMMYFUNCTION("""COMPUTED_VALUE"""),11.0)</f>
        <v>11</v>
      </c>
      <c r="C4405" s="11">
        <f>IFERROR(__xludf.DUMMYFUNCTION("""COMPUTED_VALUE"""),121787.0)</f>
        <v>121787</v>
      </c>
      <c r="D4405" s="11">
        <f>IFERROR(__xludf.DUMMYFUNCTION("""COMPUTED_VALUE"""),177.0)</f>
        <v>177</v>
      </c>
      <c r="E4405" s="9"/>
    </row>
    <row r="4406">
      <c r="A4406" s="11">
        <f>IFERROR(__xludf.DUMMYFUNCTION("""COMPUTED_VALUE"""),2021.0)</f>
        <v>2021</v>
      </c>
      <c r="B4406" s="11">
        <f>IFERROR(__xludf.DUMMYFUNCTION("""COMPUTED_VALUE"""),8.0)</f>
        <v>8</v>
      </c>
      <c r="C4406" s="11">
        <f>IFERROR(__xludf.DUMMYFUNCTION("""COMPUTED_VALUE"""),70239.0)</f>
        <v>70239</v>
      </c>
      <c r="D4406" s="11">
        <f>IFERROR(__xludf.DUMMYFUNCTION("""COMPUTED_VALUE"""),232.0)</f>
        <v>232</v>
      </c>
      <c r="E4406" s="9"/>
    </row>
    <row r="4407">
      <c r="A4407" s="11">
        <f>IFERROR(__xludf.DUMMYFUNCTION("""COMPUTED_VALUE"""),2021.0)</f>
        <v>2021</v>
      </c>
      <c r="B4407" s="11">
        <f>IFERROR(__xludf.DUMMYFUNCTION("""COMPUTED_VALUE"""),8.0)</f>
        <v>8</v>
      </c>
      <c r="C4407" s="11">
        <f>IFERROR(__xludf.DUMMYFUNCTION("""COMPUTED_VALUE"""),113942.0)</f>
        <v>113942</v>
      </c>
      <c r="D4407" s="11">
        <f>IFERROR(__xludf.DUMMYFUNCTION("""COMPUTED_VALUE"""),141.0)</f>
        <v>141</v>
      </c>
      <c r="E4407" s="9"/>
    </row>
    <row r="4408">
      <c r="A4408" s="11">
        <f>IFERROR(__xludf.DUMMYFUNCTION("""COMPUTED_VALUE"""),2021.0)</f>
        <v>2021</v>
      </c>
      <c r="B4408" s="11">
        <f>IFERROR(__xludf.DUMMYFUNCTION("""COMPUTED_VALUE"""),10.0)</f>
        <v>10</v>
      </c>
      <c r="C4408" s="11">
        <f>IFERROR(__xludf.DUMMYFUNCTION("""COMPUTED_VALUE"""),119134.0)</f>
        <v>119134</v>
      </c>
      <c r="D4408" s="11">
        <f>IFERROR(__xludf.DUMMYFUNCTION("""COMPUTED_VALUE"""),1326.0)</f>
        <v>1326</v>
      </c>
      <c r="E4408" s="9"/>
    </row>
    <row r="4409">
      <c r="A4409" s="11">
        <f>IFERROR(__xludf.DUMMYFUNCTION("""COMPUTED_VALUE"""),2021.0)</f>
        <v>2021</v>
      </c>
      <c r="B4409" s="11">
        <f>IFERROR(__xludf.DUMMYFUNCTION("""COMPUTED_VALUE"""),8.0)</f>
        <v>8</v>
      </c>
      <c r="C4409" s="11">
        <f>IFERROR(__xludf.DUMMYFUNCTION("""COMPUTED_VALUE"""),76813.0)</f>
        <v>76813</v>
      </c>
      <c r="D4409" s="11">
        <f>IFERROR(__xludf.DUMMYFUNCTION("""COMPUTED_VALUE"""),629.0)</f>
        <v>629</v>
      </c>
      <c r="E4409" s="9"/>
    </row>
    <row r="4410">
      <c r="A4410" s="11">
        <f>IFERROR(__xludf.DUMMYFUNCTION("""COMPUTED_VALUE"""),2021.0)</f>
        <v>2021</v>
      </c>
      <c r="B4410" s="11">
        <f>IFERROR(__xludf.DUMMYFUNCTION("""COMPUTED_VALUE"""),10.0)</f>
        <v>10</v>
      </c>
      <c r="C4410" s="11">
        <f>IFERROR(__xludf.DUMMYFUNCTION("""COMPUTED_VALUE"""),121793.0)</f>
        <v>121793</v>
      </c>
      <c r="D4410" s="11">
        <f>IFERROR(__xludf.DUMMYFUNCTION("""COMPUTED_VALUE"""),1701.0)</f>
        <v>1701</v>
      </c>
      <c r="E4410" s="9"/>
    </row>
    <row r="4411">
      <c r="A4411" s="11">
        <f>IFERROR(__xludf.DUMMYFUNCTION("""COMPUTED_VALUE"""),2021.0)</f>
        <v>2021</v>
      </c>
      <c r="B4411" s="11">
        <f>IFERROR(__xludf.DUMMYFUNCTION("""COMPUTED_VALUE"""),8.0)</f>
        <v>8</v>
      </c>
      <c r="C4411" s="11">
        <f>IFERROR(__xludf.DUMMYFUNCTION("""COMPUTED_VALUE"""),100283.0)</f>
        <v>100283</v>
      </c>
      <c r="D4411" s="11">
        <f>IFERROR(__xludf.DUMMYFUNCTION("""COMPUTED_VALUE"""),1073.0)</f>
        <v>1073</v>
      </c>
      <c r="E4411" s="9"/>
    </row>
    <row r="4412">
      <c r="A4412" s="11">
        <f>IFERROR(__xludf.DUMMYFUNCTION("""COMPUTED_VALUE"""),2021.0)</f>
        <v>2021</v>
      </c>
      <c r="B4412" s="11">
        <f>IFERROR(__xludf.DUMMYFUNCTION("""COMPUTED_VALUE"""),8.0)</f>
        <v>8</v>
      </c>
      <c r="C4412" s="11">
        <f>IFERROR(__xludf.DUMMYFUNCTION("""COMPUTED_VALUE"""),75028.0)</f>
        <v>75028</v>
      </c>
      <c r="D4412" s="11">
        <f>IFERROR(__xludf.DUMMYFUNCTION("""COMPUTED_VALUE"""),1668.0)</f>
        <v>1668</v>
      </c>
      <c r="E4412" s="9"/>
    </row>
    <row r="4413">
      <c r="A4413" s="11">
        <f>IFERROR(__xludf.DUMMYFUNCTION("""COMPUTED_VALUE"""),2021.0)</f>
        <v>2021</v>
      </c>
      <c r="B4413" s="11">
        <f>IFERROR(__xludf.DUMMYFUNCTION("""COMPUTED_VALUE"""),9.0)</f>
        <v>9</v>
      </c>
      <c r="C4413" s="11">
        <f>IFERROR(__xludf.DUMMYFUNCTION("""COMPUTED_VALUE"""),113946.0)</f>
        <v>113946</v>
      </c>
      <c r="D4413" s="11">
        <f>IFERROR(__xludf.DUMMYFUNCTION("""COMPUTED_VALUE"""),1701.0)</f>
        <v>1701</v>
      </c>
      <c r="E4413" s="9"/>
    </row>
    <row r="4414">
      <c r="A4414" s="11">
        <f>IFERROR(__xludf.DUMMYFUNCTION("""COMPUTED_VALUE"""),2021.0)</f>
        <v>2021</v>
      </c>
      <c r="B4414" s="11">
        <f>IFERROR(__xludf.DUMMYFUNCTION("""COMPUTED_VALUE"""),11.0)</f>
        <v>11</v>
      </c>
      <c r="C4414" s="11">
        <f>IFERROR(__xludf.DUMMYFUNCTION("""COMPUTED_VALUE"""),12050.0)</f>
        <v>12050</v>
      </c>
      <c r="D4414" s="11">
        <f>IFERROR(__xludf.DUMMYFUNCTION("""COMPUTED_VALUE"""),160.0)</f>
        <v>160</v>
      </c>
      <c r="E4414" s="9"/>
    </row>
    <row r="4415">
      <c r="A4415" s="11">
        <f>IFERROR(__xludf.DUMMYFUNCTION("""COMPUTED_VALUE"""),2021.0)</f>
        <v>2021</v>
      </c>
      <c r="B4415" s="11">
        <f>IFERROR(__xludf.DUMMYFUNCTION("""COMPUTED_VALUE"""),10.0)</f>
        <v>10</v>
      </c>
      <c r="C4415" s="11">
        <f>IFERROR(__xludf.DUMMYFUNCTION("""COMPUTED_VALUE"""),104312.0)</f>
        <v>104312</v>
      </c>
      <c r="D4415" s="11">
        <f>IFERROR(__xludf.DUMMYFUNCTION("""COMPUTED_VALUE"""),1851.0)</f>
        <v>1851</v>
      </c>
      <c r="E4415" s="9"/>
    </row>
    <row r="4416">
      <c r="A4416" s="11">
        <f>IFERROR(__xludf.DUMMYFUNCTION("""COMPUTED_VALUE"""),2021.0)</f>
        <v>2021</v>
      </c>
      <c r="B4416" s="11">
        <f>IFERROR(__xludf.DUMMYFUNCTION("""COMPUTED_VALUE"""),8.0)</f>
        <v>8</v>
      </c>
      <c r="C4416" s="11">
        <f>IFERROR(__xludf.DUMMYFUNCTION("""COMPUTED_VALUE"""),121780.0)</f>
        <v>121780</v>
      </c>
      <c r="D4416" s="11">
        <f>IFERROR(__xludf.DUMMYFUNCTION("""COMPUTED_VALUE"""),1530.0)</f>
        <v>1530</v>
      </c>
      <c r="E4416" s="9"/>
    </row>
    <row r="4417">
      <c r="A4417" s="11">
        <f>IFERROR(__xludf.DUMMYFUNCTION("""COMPUTED_VALUE"""),2021.0)</f>
        <v>2021</v>
      </c>
      <c r="B4417" s="11">
        <f>IFERROR(__xludf.DUMMYFUNCTION("""COMPUTED_VALUE"""),11.0)</f>
        <v>11</v>
      </c>
      <c r="C4417" s="11">
        <f>IFERROR(__xludf.DUMMYFUNCTION("""COMPUTED_VALUE"""),88638.0)</f>
        <v>88638</v>
      </c>
      <c r="D4417" s="11">
        <f>IFERROR(__xludf.DUMMYFUNCTION("""COMPUTED_VALUE"""),1494.0)</f>
        <v>1494</v>
      </c>
      <c r="E4417" s="9"/>
    </row>
    <row r="4418">
      <c r="A4418" s="11">
        <f>IFERROR(__xludf.DUMMYFUNCTION("""COMPUTED_VALUE"""),2021.0)</f>
        <v>2021</v>
      </c>
      <c r="B4418" s="11">
        <f>IFERROR(__xludf.DUMMYFUNCTION("""COMPUTED_VALUE"""),8.0)</f>
        <v>8</v>
      </c>
      <c r="C4418" s="11">
        <f>IFERROR(__xludf.DUMMYFUNCTION("""COMPUTED_VALUE"""),70238.0)</f>
        <v>70238</v>
      </c>
      <c r="D4418" s="11">
        <f>IFERROR(__xludf.DUMMYFUNCTION("""COMPUTED_VALUE"""),1748.0)</f>
        <v>1748</v>
      </c>
      <c r="E4418" s="9"/>
    </row>
    <row r="4419">
      <c r="A4419" s="11">
        <f>IFERROR(__xludf.DUMMYFUNCTION("""COMPUTED_VALUE"""),2021.0)</f>
        <v>2021</v>
      </c>
      <c r="B4419" s="11">
        <f>IFERROR(__xludf.DUMMYFUNCTION("""COMPUTED_VALUE"""),11.0)</f>
        <v>11</v>
      </c>
      <c r="C4419" s="11">
        <f>IFERROR(__xludf.DUMMYFUNCTION("""COMPUTED_VALUE"""),121839.0)</f>
        <v>121839</v>
      </c>
      <c r="D4419" s="11">
        <f>IFERROR(__xludf.DUMMYFUNCTION("""COMPUTED_VALUE"""),709.0)</f>
        <v>709</v>
      </c>
      <c r="E4419" s="9"/>
    </row>
    <row r="4420">
      <c r="A4420" s="11">
        <f>IFERROR(__xludf.DUMMYFUNCTION("""COMPUTED_VALUE"""),2021.0)</f>
        <v>2021</v>
      </c>
      <c r="B4420" s="11">
        <f>IFERROR(__xludf.DUMMYFUNCTION("""COMPUTED_VALUE"""),8.0)</f>
        <v>8</v>
      </c>
      <c r="C4420" s="11">
        <f>IFERROR(__xludf.DUMMYFUNCTION("""COMPUTED_VALUE"""),77621.0)</f>
        <v>77621</v>
      </c>
      <c r="D4420" s="11">
        <f>IFERROR(__xludf.DUMMYFUNCTION("""COMPUTED_VALUE"""),1080.0)</f>
        <v>1080</v>
      </c>
      <c r="E4420" s="9"/>
    </row>
    <row r="4421">
      <c r="A4421" s="11">
        <f>IFERROR(__xludf.DUMMYFUNCTION("""COMPUTED_VALUE"""),2021.0)</f>
        <v>2021</v>
      </c>
      <c r="B4421" s="11">
        <f>IFERROR(__xludf.DUMMYFUNCTION("""COMPUTED_VALUE"""),10.0)</f>
        <v>10</v>
      </c>
      <c r="C4421" s="11">
        <f>IFERROR(__xludf.DUMMYFUNCTION("""COMPUTED_VALUE"""),121783.0)</f>
        <v>121783</v>
      </c>
      <c r="D4421" s="11">
        <f>IFERROR(__xludf.DUMMYFUNCTION("""COMPUTED_VALUE"""),1886.0)</f>
        <v>1886</v>
      </c>
      <c r="E4421" s="9"/>
    </row>
    <row r="4422">
      <c r="A4422" s="11">
        <f>IFERROR(__xludf.DUMMYFUNCTION("""COMPUTED_VALUE"""),2021.0)</f>
        <v>2021</v>
      </c>
      <c r="B4422" s="11">
        <f>IFERROR(__xludf.DUMMYFUNCTION("""COMPUTED_VALUE"""),9.0)</f>
        <v>9</v>
      </c>
      <c r="C4422" s="11">
        <f>IFERROR(__xludf.DUMMYFUNCTION("""COMPUTED_VALUE"""),75033.0)</f>
        <v>75033</v>
      </c>
      <c r="D4422" s="11">
        <f>IFERROR(__xludf.DUMMYFUNCTION("""COMPUTED_VALUE"""),1546.0)</f>
        <v>1546</v>
      </c>
      <c r="E4422" s="9"/>
    </row>
    <row r="4423">
      <c r="A4423" s="11">
        <f>IFERROR(__xludf.DUMMYFUNCTION("""COMPUTED_VALUE"""),2021.0)</f>
        <v>2021</v>
      </c>
      <c r="B4423" s="11">
        <f>IFERROR(__xludf.DUMMYFUNCTION("""COMPUTED_VALUE"""),10.0)</f>
        <v>10</v>
      </c>
      <c r="C4423" s="11">
        <f>IFERROR(__xludf.DUMMYFUNCTION("""COMPUTED_VALUE"""),12053.0)</f>
        <v>12053</v>
      </c>
      <c r="D4423" s="11">
        <f>IFERROR(__xludf.DUMMYFUNCTION("""COMPUTED_VALUE"""),1039.0)</f>
        <v>1039</v>
      </c>
      <c r="E4423" s="9"/>
    </row>
    <row r="4424">
      <c r="A4424" s="11">
        <f>IFERROR(__xludf.DUMMYFUNCTION("""COMPUTED_VALUE"""),2021.0)</f>
        <v>2021</v>
      </c>
      <c r="B4424" s="11">
        <f>IFERROR(__xludf.DUMMYFUNCTION("""COMPUTED_VALUE"""),9.0)</f>
        <v>9</v>
      </c>
      <c r="C4424" s="11">
        <f>IFERROR(__xludf.DUMMYFUNCTION("""COMPUTED_VALUE"""),113954.0)</f>
        <v>113954</v>
      </c>
      <c r="D4424" s="11">
        <f>IFERROR(__xludf.DUMMYFUNCTION("""COMPUTED_VALUE"""),1086.0)</f>
        <v>1086</v>
      </c>
      <c r="E4424" s="9"/>
    </row>
    <row r="4425">
      <c r="A4425" s="11">
        <f>IFERROR(__xludf.DUMMYFUNCTION("""COMPUTED_VALUE"""),2021.0)</f>
        <v>2021</v>
      </c>
      <c r="B4425" s="11">
        <f>IFERROR(__xludf.DUMMYFUNCTION("""COMPUTED_VALUE"""),9.0)</f>
        <v>9</v>
      </c>
      <c r="C4425" s="11">
        <f>IFERROR(__xludf.DUMMYFUNCTION("""COMPUTED_VALUE"""),5782.0)</f>
        <v>5782</v>
      </c>
      <c r="D4425" s="11">
        <f>IFERROR(__xludf.DUMMYFUNCTION("""COMPUTED_VALUE"""),501.0)</f>
        <v>501</v>
      </c>
      <c r="E4425" s="9"/>
    </row>
    <row r="4426">
      <c r="A4426" s="11">
        <f>IFERROR(__xludf.DUMMYFUNCTION("""COMPUTED_VALUE"""),2021.0)</f>
        <v>2021</v>
      </c>
      <c r="B4426" s="11">
        <f>IFERROR(__xludf.DUMMYFUNCTION("""COMPUTED_VALUE"""),9.0)</f>
        <v>9</v>
      </c>
      <c r="C4426" s="11">
        <f>IFERROR(__xludf.DUMMYFUNCTION("""COMPUTED_VALUE"""),107915.0)</f>
        <v>107915</v>
      </c>
      <c r="D4426" s="11">
        <f>IFERROR(__xludf.DUMMYFUNCTION("""COMPUTED_VALUE"""),844.0)</f>
        <v>844</v>
      </c>
      <c r="E4426" s="9"/>
    </row>
    <row r="4427">
      <c r="A4427" s="11">
        <f>IFERROR(__xludf.DUMMYFUNCTION("""COMPUTED_VALUE"""),2021.0)</f>
        <v>2021</v>
      </c>
      <c r="B4427" s="11">
        <f>IFERROR(__xludf.DUMMYFUNCTION("""COMPUTED_VALUE"""),10.0)</f>
        <v>10</v>
      </c>
      <c r="C4427" s="11">
        <f>IFERROR(__xludf.DUMMYFUNCTION("""COMPUTED_VALUE"""),68866.0)</f>
        <v>68866</v>
      </c>
      <c r="D4427" s="11">
        <f>IFERROR(__xludf.DUMMYFUNCTION("""COMPUTED_VALUE"""),1678.0)</f>
        <v>1678</v>
      </c>
      <c r="E4427" s="9"/>
    </row>
    <row r="4428">
      <c r="A4428" s="11">
        <f>IFERROR(__xludf.DUMMYFUNCTION("""COMPUTED_VALUE"""),2021.0)</f>
        <v>2021</v>
      </c>
      <c r="B4428" s="11">
        <f>IFERROR(__xludf.DUMMYFUNCTION("""COMPUTED_VALUE"""),9.0)</f>
        <v>9</v>
      </c>
      <c r="C4428" s="11">
        <f>IFERROR(__xludf.DUMMYFUNCTION("""COMPUTED_VALUE"""),121837.0)</f>
        <v>121837</v>
      </c>
      <c r="D4428" s="11">
        <f>IFERROR(__xludf.DUMMYFUNCTION("""COMPUTED_VALUE"""),42.0)</f>
        <v>42</v>
      </c>
      <c r="E4428" s="9"/>
    </row>
    <row r="4429">
      <c r="A4429" s="11">
        <f>IFERROR(__xludf.DUMMYFUNCTION("""COMPUTED_VALUE"""),2021.0)</f>
        <v>2021</v>
      </c>
      <c r="B4429" s="11">
        <f>IFERROR(__xludf.DUMMYFUNCTION("""COMPUTED_VALUE"""),9.0)</f>
        <v>9</v>
      </c>
      <c r="C4429" s="11">
        <f>IFERROR(__xludf.DUMMYFUNCTION("""COMPUTED_VALUE"""),121840.0)</f>
        <v>121840</v>
      </c>
      <c r="D4429" s="11">
        <f>IFERROR(__xludf.DUMMYFUNCTION("""COMPUTED_VALUE"""),833.0)</f>
        <v>833</v>
      </c>
      <c r="E4429" s="9"/>
    </row>
    <row r="4430">
      <c r="A4430" s="11">
        <f>IFERROR(__xludf.DUMMYFUNCTION("""COMPUTED_VALUE"""),2021.0)</f>
        <v>2021</v>
      </c>
      <c r="B4430" s="11">
        <f>IFERROR(__xludf.DUMMYFUNCTION("""COMPUTED_VALUE"""),8.0)</f>
        <v>8</v>
      </c>
      <c r="C4430" s="11">
        <f>IFERROR(__xludf.DUMMYFUNCTION("""COMPUTED_VALUE"""),90979.0)</f>
        <v>90979</v>
      </c>
      <c r="D4430" s="11">
        <f>IFERROR(__xludf.DUMMYFUNCTION("""COMPUTED_VALUE"""),918.0)</f>
        <v>918</v>
      </c>
      <c r="E4430" s="9"/>
    </row>
    <row r="4431">
      <c r="A4431" s="11">
        <f>IFERROR(__xludf.DUMMYFUNCTION("""COMPUTED_VALUE"""),2021.0)</f>
        <v>2021</v>
      </c>
      <c r="B4431" s="11">
        <f>IFERROR(__xludf.DUMMYFUNCTION("""COMPUTED_VALUE"""),10.0)</f>
        <v>10</v>
      </c>
      <c r="C4431" s="11">
        <f>IFERROR(__xludf.DUMMYFUNCTION("""COMPUTED_VALUE"""),114350.0)</f>
        <v>114350</v>
      </c>
      <c r="D4431" s="11">
        <f>IFERROR(__xludf.DUMMYFUNCTION("""COMPUTED_VALUE"""),512.0)</f>
        <v>512</v>
      </c>
      <c r="E4431" s="9"/>
    </row>
    <row r="4432">
      <c r="A4432" s="11">
        <f>IFERROR(__xludf.DUMMYFUNCTION("""COMPUTED_VALUE"""),2021.0)</f>
        <v>2021</v>
      </c>
      <c r="B4432" s="11">
        <f>IFERROR(__xludf.DUMMYFUNCTION("""COMPUTED_VALUE"""),10.0)</f>
        <v>10</v>
      </c>
      <c r="C4432" s="11">
        <f>IFERROR(__xludf.DUMMYFUNCTION("""COMPUTED_VALUE"""),47539.0)</f>
        <v>47539</v>
      </c>
      <c r="D4432" s="11">
        <f>IFERROR(__xludf.DUMMYFUNCTION("""COMPUTED_VALUE"""),1697.0)</f>
        <v>1697</v>
      </c>
      <c r="E4432" s="9"/>
    </row>
    <row r="4433">
      <c r="A4433" s="11">
        <f>IFERROR(__xludf.DUMMYFUNCTION("""COMPUTED_VALUE"""),2021.0)</f>
        <v>2021</v>
      </c>
      <c r="B4433" s="11">
        <f>IFERROR(__xludf.DUMMYFUNCTION("""COMPUTED_VALUE"""),10.0)</f>
        <v>10</v>
      </c>
      <c r="C4433" s="11">
        <f>IFERROR(__xludf.DUMMYFUNCTION("""COMPUTED_VALUE"""),83948.0)</f>
        <v>83948</v>
      </c>
      <c r="D4433" s="11">
        <f>IFERROR(__xludf.DUMMYFUNCTION("""COMPUTED_VALUE"""),1896.0)</f>
        <v>1896</v>
      </c>
      <c r="E4433" s="9"/>
    </row>
    <row r="4434">
      <c r="A4434" s="11">
        <f>IFERROR(__xludf.DUMMYFUNCTION("""COMPUTED_VALUE"""),2021.0)</f>
        <v>2021</v>
      </c>
      <c r="B4434" s="11">
        <f>IFERROR(__xludf.DUMMYFUNCTION("""COMPUTED_VALUE"""),11.0)</f>
        <v>11</v>
      </c>
      <c r="C4434" s="11">
        <f>IFERROR(__xludf.DUMMYFUNCTION("""COMPUTED_VALUE"""),17139.0)</f>
        <v>17139</v>
      </c>
      <c r="D4434" s="11">
        <f>IFERROR(__xludf.DUMMYFUNCTION("""COMPUTED_VALUE"""),454.0)</f>
        <v>454</v>
      </c>
      <c r="E4434" s="9"/>
    </row>
    <row r="4435">
      <c r="A4435" s="11">
        <f>IFERROR(__xludf.DUMMYFUNCTION("""COMPUTED_VALUE"""),2021.0)</f>
        <v>2021</v>
      </c>
      <c r="B4435" s="11">
        <f>IFERROR(__xludf.DUMMYFUNCTION("""COMPUTED_VALUE"""),8.0)</f>
        <v>8</v>
      </c>
      <c r="C4435" s="11">
        <f>IFERROR(__xludf.DUMMYFUNCTION("""COMPUTED_VALUE"""),12051.0)</f>
        <v>12051</v>
      </c>
      <c r="D4435" s="11">
        <f>IFERROR(__xludf.DUMMYFUNCTION("""COMPUTED_VALUE"""),222.0)</f>
        <v>222</v>
      </c>
      <c r="E4435" s="9"/>
    </row>
    <row r="4436">
      <c r="A4436" s="11">
        <f>IFERROR(__xludf.DUMMYFUNCTION("""COMPUTED_VALUE"""),2021.0)</f>
        <v>2021</v>
      </c>
      <c r="B4436" s="11">
        <f>IFERROR(__xludf.DUMMYFUNCTION("""COMPUTED_VALUE"""),8.0)</f>
        <v>8</v>
      </c>
      <c r="C4436" s="11">
        <f>IFERROR(__xludf.DUMMYFUNCTION("""COMPUTED_VALUE"""),12052.0)</f>
        <v>12052</v>
      </c>
      <c r="D4436" s="11">
        <f>IFERROR(__xludf.DUMMYFUNCTION("""COMPUTED_VALUE"""),1490.0)</f>
        <v>1490</v>
      </c>
      <c r="E4436" s="9"/>
    </row>
    <row r="4437">
      <c r="A4437" s="11">
        <f>IFERROR(__xludf.DUMMYFUNCTION("""COMPUTED_VALUE"""),2021.0)</f>
        <v>2021</v>
      </c>
      <c r="B4437" s="11">
        <f>IFERROR(__xludf.DUMMYFUNCTION("""COMPUTED_VALUE"""),9.0)</f>
        <v>9</v>
      </c>
      <c r="C4437" s="11">
        <f>IFERROR(__xludf.DUMMYFUNCTION("""COMPUTED_VALUE"""),121838.0)</f>
        <v>121838</v>
      </c>
      <c r="D4437" s="11">
        <f>IFERROR(__xludf.DUMMYFUNCTION("""COMPUTED_VALUE"""),65.0)</f>
        <v>65</v>
      </c>
      <c r="E4437" s="9"/>
    </row>
    <row r="4438">
      <c r="A4438" s="11">
        <f>IFERROR(__xludf.DUMMYFUNCTION("""COMPUTED_VALUE"""),2021.0)</f>
        <v>2021</v>
      </c>
      <c r="B4438" s="11">
        <f>IFERROR(__xludf.DUMMYFUNCTION("""COMPUTED_VALUE"""),11.0)</f>
        <v>11</v>
      </c>
      <c r="C4438" s="11">
        <f>IFERROR(__xludf.DUMMYFUNCTION("""COMPUTED_VALUE"""),107917.0)</f>
        <v>107917</v>
      </c>
      <c r="D4438" s="11">
        <f>IFERROR(__xludf.DUMMYFUNCTION("""COMPUTED_VALUE"""),451.0)</f>
        <v>451</v>
      </c>
      <c r="E4438" s="9"/>
    </row>
    <row r="4439">
      <c r="A4439" s="11">
        <f>IFERROR(__xludf.DUMMYFUNCTION("""COMPUTED_VALUE"""),2021.0)</f>
        <v>2021</v>
      </c>
      <c r="B4439" s="11">
        <f>IFERROR(__xludf.DUMMYFUNCTION("""COMPUTED_VALUE"""),8.0)</f>
        <v>8</v>
      </c>
      <c r="C4439" s="11">
        <f>IFERROR(__xludf.DUMMYFUNCTION("""COMPUTED_VALUE"""),5779.0)</f>
        <v>5779</v>
      </c>
      <c r="D4439" s="11">
        <f>IFERROR(__xludf.DUMMYFUNCTION("""COMPUTED_VALUE"""),442.0)</f>
        <v>442</v>
      </c>
      <c r="E4439" s="9"/>
    </row>
    <row r="4440">
      <c r="A4440" s="11">
        <f>IFERROR(__xludf.DUMMYFUNCTION("""COMPUTED_VALUE"""),2021.0)</f>
        <v>2021</v>
      </c>
      <c r="B4440" s="11">
        <f>IFERROR(__xludf.DUMMYFUNCTION("""COMPUTED_VALUE"""),8.0)</f>
        <v>8</v>
      </c>
      <c r="C4440" s="11">
        <f>IFERROR(__xludf.DUMMYFUNCTION("""COMPUTED_VALUE"""),120303.0)</f>
        <v>120303</v>
      </c>
      <c r="D4440" s="11">
        <f>IFERROR(__xludf.DUMMYFUNCTION("""COMPUTED_VALUE"""),1906.0)</f>
        <v>1906</v>
      </c>
      <c r="E4440" s="9"/>
    </row>
    <row r="4441">
      <c r="A4441" s="11">
        <f>IFERROR(__xludf.DUMMYFUNCTION("""COMPUTED_VALUE"""),2021.0)</f>
        <v>2021</v>
      </c>
      <c r="B4441" s="11">
        <f>IFERROR(__xludf.DUMMYFUNCTION("""COMPUTED_VALUE"""),9.0)</f>
        <v>9</v>
      </c>
      <c r="C4441" s="11">
        <f>IFERROR(__xludf.DUMMYFUNCTION("""COMPUTED_VALUE"""),121784.0)</f>
        <v>121784</v>
      </c>
      <c r="D4441" s="11">
        <f>IFERROR(__xludf.DUMMYFUNCTION("""COMPUTED_VALUE"""),950.0)</f>
        <v>950</v>
      </c>
      <c r="E4441" s="9"/>
    </row>
    <row r="4442">
      <c r="A4442" s="11">
        <f>IFERROR(__xludf.DUMMYFUNCTION("""COMPUTED_VALUE"""),2021.0)</f>
        <v>2021</v>
      </c>
      <c r="B4442" s="11">
        <f>IFERROR(__xludf.DUMMYFUNCTION("""COMPUTED_VALUE"""),9.0)</f>
        <v>9</v>
      </c>
      <c r="C4442" s="11">
        <f>IFERROR(__xludf.DUMMYFUNCTION("""COMPUTED_VALUE"""),107913.0)</f>
        <v>107913</v>
      </c>
      <c r="D4442" s="11">
        <f>IFERROR(__xludf.DUMMYFUNCTION("""COMPUTED_VALUE"""),1338.0)</f>
        <v>1338</v>
      </c>
      <c r="E4442" s="9"/>
    </row>
    <row r="4443">
      <c r="A4443" s="11">
        <f>IFERROR(__xludf.DUMMYFUNCTION("""COMPUTED_VALUE"""),2021.0)</f>
        <v>2021</v>
      </c>
      <c r="B4443" s="11">
        <f>IFERROR(__xludf.DUMMYFUNCTION("""COMPUTED_VALUE"""),10.0)</f>
        <v>10</v>
      </c>
      <c r="C4443" s="11">
        <f>IFERROR(__xludf.DUMMYFUNCTION("""COMPUTED_VALUE"""),58759.0)</f>
        <v>58759</v>
      </c>
      <c r="D4443" s="11">
        <f>IFERROR(__xludf.DUMMYFUNCTION("""COMPUTED_VALUE"""),1935.0)</f>
        <v>1935</v>
      </c>
      <c r="E4443" s="9"/>
    </row>
    <row r="4444">
      <c r="A4444" s="11">
        <f>IFERROR(__xludf.DUMMYFUNCTION("""COMPUTED_VALUE"""),2021.0)</f>
        <v>2021</v>
      </c>
      <c r="B4444" s="11">
        <f>IFERROR(__xludf.DUMMYFUNCTION("""COMPUTED_VALUE"""),9.0)</f>
        <v>9</v>
      </c>
      <c r="C4444" s="11">
        <f>IFERROR(__xludf.DUMMYFUNCTION("""COMPUTED_VALUE"""),158697.0)</f>
        <v>158697</v>
      </c>
      <c r="D4444" s="11">
        <f>IFERROR(__xludf.DUMMYFUNCTION("""COMPUTED_VALUE"""),1271.0)</f>
        <v>1271</v>
      </c>
      <c r="E4444" s="9"/>
    </row>
    <row r="4445">
      <c r="A4445" s="11">
        <f>IFERROR(__xludf.DUMMYFUNCTION("""COMPUTED_VALUE"""),2021.0)</f>
        <v>2021</v>
      </c>
      <c r="B4445" s="11">
        <f>IFERROR(__xludf.DUMMYFUNCTION("""COMPUTED_VALUE"""),9.0)</f>
        <v>9</v>
      </c>
      <c r="C4445" s="11">
        <f>IFERROR(__xludf.DUMMYFUNCTION("""COMPUTED_VALUE"""),87160.0)</f>
        <v>87160</v>
      </c>
      <c r="D4445" s="11">
        <f>IFERROR(__xludf.DUMMYFUNCTION("""COMPUTED_VALUE"""),264.0)</f>
        <v>264</v>
      </c>
      <c r="E4445" s="9"/>
    </row>
    <row r="4446">
      <c r="A4446" s="11">
        <f>IFERROR(__xludf.DUMMYFUNCTION("""COMPUTED_VALUE"""),2021.0)</f>
        <v>2021</v>
      </c>
      <c r="B4446" s="11">
        <f>IFERROR(__xludf.DUMMYFUNCTION("""COMPUTED_VALUE"""),8.0)</f>
        <v>8</v>
      </c>
      <c r="C4446" s="11">
        <f>IFERROR(__xludf.DUMMYFUNCTION("""COMPUTED_VALUE"""),88694.0)</f>
        <v>88694</v>
      </c>
      <c r="D4446" s="11">
        <f>IFERROR(__xludf.DUMMYFUNCTION("""COMPUTED_VALUE"""),1375.0)</f>
        <v>1375</v>
      </c>
      <c r="E4446" s="9"/>
    </row>
    <row r="4447">
      <c r="A4447" s="11">
        <f>IFERROR(__xludf.DUMMYFUNCTION("""COMPUTED_VALUE"""),2021.0)</f>
        <v>2021</v>
      </c>
      <c r="B4447" s="11">
        <f>IFERROR(__xludf.DUMMYFUNCTION("""COMPUTED_VALUE"""),10.0)</f>
        <v>10</v>
      </c>
      <c r="C4447" s="11">
        <f>IFERROR(__xludf.DUMMYFUNCTION("""COMPUTED_VALUE"""),120393.0)</f>
        <v>120393</v>
      </c>
      <c r="D4447" s="11">
        <f>IFERROR(__xludf.DUMMYFUNCTION("""COMPUTED_VALUE"""),343.0)</f>
        <v>343</v>
      </c>
      <c r="E4447" s="9"/>
    </row>
    <row r="4448">
      <c r="A4448" s="11">
        <f>IFERROR(__xludf.DUMMYFUNCTION("""COMPUTED_VALUE"""),2021.0)</f>
        <v>2021</v>
      </c>
      <c r="B4448" s="11">
        <f>IFERROR(__xludf.DUMMYFUNCTION("""COMPUTED_VALUE"""),8.0)</f>
        <v>8</v>
      </c>
      <c r="C4448" s="11">
        <f>IFERROR(__xludf.DUMMYFUNCTION("""COMPUTED_VALUE"""),89581.0)</f>
        <v>89581</v>
      </c>
      <c r="D4448" s="11">
        <f>IFERROR(__xludf.DUMMYFUNCTION("""COMPUTED_VALUE"""),305.0)</f>
        <v>305</v>
      </c>
      <c r="E4448" s="9"/>
    </row>
    <row r="4449">
      <c r="A4449" s="11">
        <f>IFERROR(__xludf.DUMMYFUNCTION("""COMPUTED_VALUE"""),2021.0)</f>
        <v>2021</v>
      </c>
      <c r="B4449" s="11">
        <f>IFERROR(__xludf.DUMMYFUNCTION("""COMPUTED_VALUE"""),8.0)</f>
        <v>8</v>
      </c>
      <c r="C4449" s="11">
        <f>IFERROR(__xludf.DUMMYFUNCTION("""COMPUTED_VALUE"""),6514.0)</f>
        <v>6514</v>
      </c>
      <c r="D4449" s="11">
        <f>IFERROR(__xludf.DUMMYFUNCTION("""COMPUTED_VALUE"""),620.0)</f>
        <v>620</v>
      </c>
      <c r="E4449" s="9"/>
    </row>
    <row r="4450">
      <c r="A4450" s="11">
        <f>IFERROR(__xludf.DUMMYFUNCTION("""COMPUTED_VALUE"""),2021.0)</f>
        <v>2021</v>
      </c>
      <c r="B4450" s="11">
        <f>IFERROR(__xludf.DUMMYFUNCTION("""COMPUTED_VALUE"""),10.0)</f>
        <v>10</v>
      </c>
      <c r="C4450" s="11">
        <f>IFERROR(__xludf.DUMMYFUNCTION("""COMPUTED_VALUE"""),105340.0)</f>
        <v>105340</v>
      </c>
      <c r="D4450" s="11">
        <f>IFERROR(__xludf.DUMMYFUNCTION("""COMPUTED_VALUE"""),691.0)</f>
        <v>691</v>
      </c>
      <c r="E4450" s="9"/>
    </row>
    <row r="4451">
      <c r="A4451" s="11">
        <f>IFERROR(__xludf.DUMMYFUNCTION("""COMPUTED_VALUE"""),2021.0)</f>
        <v>2021</v>
      </c>
      <c r="B4451" s="11">
        <f>IFERROR(__xludf.DUMMYFUNCTION("""COMPUTED_VALUE"""),8.0)</f>
        <v>8</v>
      </c>
      <c r="C4451" s="11">
        <f>IFERROR(__xludf.DUMMYFUNCTION("""COMPUTED_VALUE"""),120865.0)</f>
        <v>120865</v>
      </c>
      <c r="D4451" s="11">
        <f>IFERROR(__xludf.DUMMYFUNCTION("""COMPUTED_VALUE"""),1767.0)</f>
        <v>1767</v>
      </c>
      <c r="E4451" s="9"/>
    </row>
    <row r="4452">
      <c r="A4452" s="11">
        <f>IFERROR(__xludf.DUMMYFUNCTION("""COMPUTED_VALUE"""),2021.0)</f>
        <v>2021</v>
      </c>
      <c r="B4452" s="11">
        <f>IFERROR(__xludf.DUMMYFUNCTION("""COMPUTED_VALUE"""),11.0)</f>
        <v>11</v>
      </c>
      <c r="C4452" s="11">
        <f>IFERROR(__xludf.DUMMYFUNCTION("""COMPUTED_VALUE"""),110078.0)</f>
        <v>110078</v>
      </c>
      <c r="D4452" s="11">
        <f>IFERROR(__xludf.DUMMYFUNCTION("""COMPUTED_VALUE"""),1146.0)</f>
        <v>1146</v>
      </c>
      <c r="E4452" s="9"/>
    </row>
    <row r="4453">
      <c r="A4453" s="11">
        <f>IFERROR(__xludf.DUMMYFUNCTION("""COMPUTED_VALUE"""),2021.0)</f>
        <v>2021</v>
      </c>
      <c r="B4453" s="11">
        <f>IFERROR(__xludf.DUMMYFUNCTION("""COMPUTED_VALUE"""),8.0)</f>
        <v>8</v>
      </c>
      <c r="C4453" s="11">
        <f>IFERROR(__xludf.DUMMYFUNCTION("""COMPUTED_VALUE"""),122343.0)</f>
        <v>122343</v>
      </c>
      <c r="D4453" s="11">
        <f>IFERROR(__xludf.DUMMYFUNCTION("""COMPUTED_VALUE"""),1729.0)</f>
        <v>1729</v>
      </c>
      <c r="E4453" s="9"/>
    </row>
    <row r="4454">
      <c r="A4454" s="11">
        <f>IFERROR(__xludf.DUMMYFUNCTION("""COMPUTED_VALUE"""),2021.0)</f>
        <v>2021</v>
      </c>
      <c r="B4454" s="11">
        <f>IFERROR(__xludf.DUMMYFUNCTION("""COMPUTED_VALUE"""),11.0)</f>
        <v>11</v>
      </c>
      <c r="C4454" s="11">
        <f>IFERROR(__xludf.DUMMYFUNCTION("""COMPUTED_VALUE"""),12296.0)</f>
        <v>12296</v>
      </c>
      <c r="D4454" s="11">
        <f>IFERROR(__xludf.DUMMYFUNCTION("""COMPUTED_VALUE"""),1003.0)</f>
        <v>1003</v>
      </c>
      <c r="E4454" s="9"/>
    </row>
    <row r="4455">
      <c r="A4455" s="11">
        <f>IFERROR(__xludf.DUMMYFUNCTION("""COMPUTED_VALUE"""),2021.0)</f>
        <v>2021</v>
      </c>
      <c r="B4455" s="11">
        <f>IFERROR(__xludf.DUMMYFUNCTION("""COMPUTED_VALUE"""),8.0)</f>
        <v>8</v>
      </c>
      <c r="C4455" s="11">
        <f>IFERROR(__xludf.DUMMYFUNCTION("""COMPUTED_VALUE"""),96952.0)</f>
        <v>96952</v>
      </c>
      <c r="D4455" s="11">
        <f>IFERROR(__xludf.DUMMYFUNCTION("""COMPUTED_VALUE"""),835.0)</f>
        <v>835</v>
      </c>
      <c r="E4455" s="9"/>
    </row>
    <row r="4456">
      <c r="A4456" s="11">
        <f>IFERROR(__xludf.DUMMYFUNCTION("""COMPUTED_VALUE"""),2021.0)</f>
        <v>2021</v>
      </c>
      <c r="B4456" s="11">
        <f>IFERROR(__xludf.DUMMYFUNCTION("""COMPUTED_VALUE"""),11.0)</f>
        <v>11</v>
      </c>
      <c r="C4456" s="11">
        <f>IFERROR(__xludf.DUMMYFUNCTION("""COMPUTED_VALUE"""),82193.0)</f>
        <v>82193</v>
      </c>
      <c r="D4456" s="11">
        <f>IFERROR(__xludf.DUMMYFUNCTION("""COMPUTED_VALUE"""),1407.0)</f>
        <v>1407</v>
      </c>
      <c r="E4456" s="9"/>
    </row>
    <row r="4457">
      <c r="A4457" s="11">
        <f>IFERROR(__xludf.DUMMYFUNCTION("""COMPUTED_VALUE"""),2021.0)</f>
        <v>2021</v>
      </c>
      <c r="B4457" s="11">
        <f>IFERROR(__xludf.DUMMYFUNCTION("""COMPUTED_VALUE"""),11.0)</f>
        <v>11</v>
      </c>
      <c r="C4457" s="11">
        <f>IFERROR(__xludf.DUMMYFUNCTION("""COMPUTED_VALUE"""),89802.0)</f>
        <v>89802</v>
      </c>
      <c r="D4457" s="11">
        <f>IFERROR(__xludf.DUMMYFUNCTION("""COMPUTED_VALUE"""),1209.0)</f>
        <v>1209</v>
      </c>
      <c r="E4457" s="9"/>
    </row>
    <row r="4458">
      <c r="A4458" s="11">
        <f>IFERROR(__xludf.DUMMYFUNCTION("""COMPUTED_VALUE"""),2021.0)</f>
        <v>2021</v>
      </c>
      <c r="B4458" s="11">
        <f>IFERROR(__xludf.DUMMYFUNCTION("""COMPUTED_VALUE"""),10.0)</f>
        <v>10</v>
      </c>
      <c r="C4458" s="11">
        <f>IFERROR(__xludf.DUMMYFUNCTION("""COMPUTED_VALUE"""),87044.0)</f>
        <v>87044</v>
      </c>
      <c r="D4458" s="11">
        <f>IFERROR(__xludf.DUMMYFUNCTION("""COMPUTED_VALUE"""),708.0)</f>
        <v>708</v>
      </c>
      <c r="E4458" s="9"/>
    </row>
    <row r="4459">
      <c r="A4459" s="11">
        <f>IFERROR(__xludf.DUMMYFUNCTION("""COMPUTED_VALUE"""),2021.0)</f>
        <v>2021</v>
      </c>
      <c r="B4459" s="11">
        <f>IFERROR(__xludf.DUMMYFUNCTION("""COMPUTED_VALUE"""),9.0)</f>
        <v>9</v>
      </c>
      <c r="C4459" s="11">
        <f>IFERROR(__xludf.DUMMYFUNCTION("""COMPUTED_VALUE"""),87042.0)</f>
        <v>87042</v>
      </c>
      <c r="D4459" s="11">
        <f>IFERROR(__xludf.DUMMYFUNCTION("""COMPUTED_VALUE"""),606.0)</f>
        <v>606</v>
      </c>
      <c r="E4459" s="9"/>
    </row>
    <row r="4460">
      <c r="A4460" s="11">
        <f>IFERROR(__xludf.DUMMYFUNCTION("""COMPUTED_VALUE"""),2021.0)</f>
        <v>2021</v>
      </c>
      <c r="B4460" s="11">
        <f>IFERROR(__xludf.DUMMYFUNCTION("""COMPUTED_VALUE"""),11.0)</f>
        <v>11</v>
      </c>
      <c r="C4460" s="11">
        <f>IFERROR(__xludf.DUMMYFUNCTION("""COMPUTED_VALUE"""),116274.0)</f>
        <v>116274</v>
      </c>
      <c r="D4460" s="11">
        <f>IFERROR(__xludf.DUMMYFUNCTION("""COMPUTED_VALUE"""),1191.0)</f>
        <v>1191</v>
      </c>
      <c r="E4460" s="9"/>
    </row>
    <row r="4461">
      <c r="A4461" s="11">
        <f>IFERROR(__xludf.DUMMYFUNCTION("""COMPUTED_VALUE"""),2021.0)</f>
        <v>2021</v>
      </c>
      <c r="B4461" s="11">
        <f>IFERROR(__xludf.DUMMYFUNCTION("""COMPUTED_VALUE"""),9.0)</f>
        <v>9</v>
      </c>
      <c r="C4461" s="11">
        <f>IFERROR(__xludf.DUMMYFUNCTION("""COMPUTED_VALUE"""),122344.0)</f>
        <v>122344</v>
      </c>
      <c r="D4461" s="11">
        <f>IFERROR(__xludf.DUMMYFUNCTION("""COMPUTED_VALUE"""),1681.0)</f>
        <v>1681</v>
      </c>
      <c r="E4461" s="9"/>
    </row>
    <row r="4462">
      <c r="A4462" s="11">
        <f>IFERROR(__xludf.DUMMYFUNCTION("""COMPUTED_VALUE"""),2021.0)</f>
        <v>2021</v>
      </c>
      <c r="B4462" s="11">
        <f>IFERROR(__xludf.DUMMYFUNCTION("""COMPUTED_VALUE"""),11.0)</f>
        <v>11</v>
      </c>
      <c r="C4462" s="11">
        <f>IFERROR(__xludf.DUMMYFUNCTION("""COMPUTED_VALUE"""),122345.0)</f>
        <v>122345</v>
      </c>
      <c r="D4462" s="11">
        <f>IFERROR(__xludf.DUMMYFUNCTION("""COMPUTED_VALUE"""),760.0)</f>
        <v>760</v>
      </c>
      <c r="E4462" s="9"/>
    </row>
    <row r="4463">
      <c r="A4463" s="11">
        <f>IFERROR(__xludf.DUMMYFUNCTION("""COMPUTED_VALUE"""),2021.0)</f>
        <v>2021</v>
      </c>
      <c r="B4463" s="11">
        <f>IFERROR(__xludf.DUMMYFUNCTION("""COMPUTED_VALUE"""),10.0)</f>
        <v>10</v>
      </c>
      <c r="C4463" s="11">
        <f>IFERROR(__xludf.DUMMYFUNCTION("""COMPUTED_VALUE"""),120867.0)</f>
        <v>120867</v>
      </c>
      <c r="D4463" s="11">
        <f>IFERROR(__xludf.DUMMYFUNCTION("""COMPUTED_VALUE"""),912.0)</f>
        <v>912</v>
      </c>
      <c r="E4463" s="9"/>
    </row>
    <row r="4464">
      <c r="A4464" s="11">
        <f>IFERROR(__xludf.DUMMYFUNCTION("""COMPUTED_VALUE"""),2021.0)</f>
        <v>2021</v>
      </c>
      <c r="B4464" s="11">
        <f>IFERROR(__xludf.DUMMYFUNCTION("""COMPUTED_VALUE"""),11.0)</f>
        <v>11</v>
      </c>
      <c r="C4464" s="11">
        <f>IFERROR(__xludf.DUMMYFUNCTION("""COMPUTED_VALUE"""),28494.0)</f>
        <v>28494</v>
      </c>
      <c r="D4464" s="11">
        <f>IFERROR(__xludf.DUMMYFUNCTION("""COMPUTED_VALUE"""),790.0)</f>
        <v>790</v>
      </c>
      <c r="E4464" s="9"/>
    </row>
    <row r="4465">
      <c r="A4465" s="11">
        <f>IFERROR(__xludf.DUMMYFUNCTION("""COMPUTED_VALUE"""),2021.0)</f>
        <v>2021</v>
      </c>
      <c r="B4465" s="11">
        <f>IFERROR(__xludf.DUMMYFUNCTION("""COMPUTED_VALUE"""),9.0)</f>
        <v>9</v>
      </c>
      <c r="C4465" s="11">
        <f>IFERROR(__xludf.DUMMYFUNCTION("""COMPUTED_VALUE"""),8882.0)</f>
        <v>8882</v>
      </c>
      <c r="D4465" s="11">
        <f>IFERROR(__xludf.DUMMYFUNCTION("""COMPUTED_VALUE"""),1495.0)</f>
        <v>1495</v>
      </c>
      <c r="E4465" s="9"/>
    </row>
    <row r="4466">
      <c r="A4466" s="11">
        <f>IFERROR(__xludf.DUMMYFUNCTION("""COMPUTED_VALUE"""),2021.0)</f>
        <v>2021</v>
      </c>
      <c r="B4466" s="11">
        <f>IFERROR(__xludf.DUMMYFUNCTION("""COMPUTED_VALUE"""),11.0)</f>
        <v>11</v>
      </c>
      <c r="C4466" s="11">
        <f>IFERROR(__xludf.DUMMYFUNCTION("""COMPUTED_VALUE"""),116275.0)</f>
        <v>116275</v>
      </c>
      <c r="D4466" s="11">
        <f>IFERROR(__xludf.DUMMYFUNCTION("""COMPUTED_VALUE"""),1872.0)</f>
        <v>1872</v>
      </c>
      <c r="E4466" s="9"/>
    </row>
    <row r="4467">
      <c r="A4467" s="11">
        <f>IFERROR(__xludf.DUMMYFUNCTION("""COMPUTED_VALUE"""),2021.0)</f>
        <v>2021</v>
      </c>
      <c r="B4467" s="11">
        <f>IFERROR(__xludf.DUMMYFUNCTION("""COMPUTED_VALUE"""),11.0)</f>
        <v>11</v>
      </c>
      <c r="C4467" s="11">
        <f>IFERROR(__xludf.DUMMYFUNCTION("""COMPUTED_VALUE"""),121424.0)</f>
        <v>121424</v>
      </c>
      <c r="D4467" s="11">
        <f>IFERROR(__xludf.DUMMYFUNCTION("""COMPUTED_VALUE"""),407.0)</f>
        <v>407</v>
      </c>
      <c r="E4467" s="9"/>
    </row>
    <row r="4468">
      <c r="A4468" s="11">
        <f>IFERROR(__xludf.DUMMYFUNCTION("""COMPUTED_VALUE"""),2021.0)</f>
        <v>2021</v>
      </c>
      <c r="B4468" s="11">
        <f>IFERROR(__xludf.DUMMYFUNCTION("""COMPUTED_VALUE"""),9.0)</f>
        <v>9</v>
      </c>
      <c r="C4468" s="11">
        <f>IFERROR(__xludf.DUMMYFUNCTION("""COMPUTED_VALUE"""),75058.0)</f>
        <v>75058</v>
      </c>
      <c r="D4468" s="11">
        <f>IFERROR(__xludf.DUMMYFUNCTION("""COMPUTED_VALUE"""),413.0)</f>
        <v>413</v>
      </c>
      <c r="E4468" s="9"/>
    </row>
    <row r="4469">
      <c r="A4469" s="11">
        <f>IFERROR(__xludf.DUMMYFUNCTION("""COMPUTED_VALUE"""),2021.0)</f>
        <v>2021</v>
      </c>
      <c r="B4469" s="11">
        <f>IFERROR(__xludf.DUMMYFUNCTION("""COMPUTED_VALUE"""),9.0)</f>
        <v>9</v>
      </c>
      <c r="C4469" s="11">
        <f>IFERROR(__xludf.DUMMYFUNCTION("""COMPUTED_VALUE"""),75056.0)</f>
        <v>75056</v>
      </c>
      <c r="D4469" s="11">
        <f>IFERROR(__xludf.DUMMYFUNCTION("""COMPUTED_VALUE"""),623.0)</f>
        <v>623</v>
      </c>
      <c r="E4469" s="9"/>
    </row>
    <row r="4470">
      <c r="A4470" s="11">
        <f>IFERROR(__xludf.DUMMYFUNCTION("""COMPUTED_VALUE"""),2021.0)</f>
        <v>2021</v>
      </c>
      <c r="B4470" s="11">
        <f>IFERROR(__xludf.DUMMYFUNCTION("""COMPUTED_VALUE"""),11.0)</f>
        <v>11</v>
      </c>
      <c r="C4470" s="11">
        <f>IFERROR(__xludf.DUMMYFUNCTION("""COMPUTED_VALUE"""),42239.0)</f>
        <v>42239</v>
      </c>
      <c r="D4470" s="11">
        <f>IFERROR(__xludf.DUMMYFUNCTION("""COMPUTED_VALUE"""),1721.0)</f>
        <v>1721</v>
      </c>
      <c r="E4470" s="9"/>
    </row>
    <row r="4471">
      <c r="A4471" s="11">
        <f>IFERROR(__xludf.DUMMYFUNCTION("""COMPUTED_VALUE"""),2021.0)</f>
        <v>2021</v>
      </c>
      <c r="B4471" s="11">
        <f>IFERROR(__xludf.DUMMYFUNCTION("""COMPUTED_VALUE"""),10.0)</f>
        <v>10</v>
      </c>
      <c r="C4471" s="11">
        <f>IFERROR(__xludf.DUMMYFUNCTION("""COMPUTED_VALUE"""),42237.0)</f>
        <v>42237</v>
      </c>
      <c r="D4471" s="11">
        <f>IFERROR(__xludf.DUMMYFUNCTION("""COMPUTED_VALUE"""),603.0)</f>
        <v>603</v>
      </c>
      <c r="E4471" s="9"/>
    </row>
    <row r="4472">
      <c r="A4472" s="11">
        <f>IFERROR(__xludf.DUMMYFUNCTION("""COMPUTED_VALUE"""),2021.0)</f>
        <v>2021</v>
      </c>
      <c r="B4472" s="11">
        <f>IFERROR(__xludf.DUMMYFUNCTION("""COMPUTED_VALUE"""),11.0)</f>
        <v>11</v>
      </c>
      <c r="C4472" s="11">
        <f>IFERROR(__xludf.DUMMYFUNCTION("""COMPUTED_VALUE"""),69457.0)</f>
        <v>69457</v>
      </c>
      <c r="D4472" s="11">
        <f>IFERROR(__xludf.DUMMYFUNCTION("""COMPUTED_VALUE"""),1177.0)</f>
        <v>1177</v>
      </c>
      <c r="E4472" s="9"/>
    </row>
    <row r="4473">
      <c r="A4473" s="11">
        <f>IFERROR(__xludf.DUMMYFUNCTION("""COMPUTED_VALUE"""),2021.0)</f>
        <v>2021</v>
      </c>
      <c r="B4473" s="11">
        <f>IFERROR(__xludf.DUMMYFUNCTION("""COMPUTED_VALUE"""),9.0)</f>
        <v>9</v>
      </c>
      <c r="C4473" s="11">
        <f>IFERROR(__xludf.DUMMYFUNCTION("""COMPUTED_VALUE"""),69328.0)</f>
        <v>69328</v>
      </c>
      <c r="D4473" s="11">
        <f>IFERROR(__xludf.DUMMYFUNCTION("""COMPUTED_VALUE"""),1251.0)</f>
        <v>1251</v>
      </c>
      <c r="E4473" s="9"/>
    </row>
    <row r="4474">
      <c r="A4474" s="11">
        <f>IFERROR(__xludf.DUMMYFUNCTION("""COMPUTED_VALUE"""),2021.0)</f>
        <v>2021</v>
      </c>
      <c r="B4474" s="11">
        <f>IFERROR(__xludf.DUMMYFUNCTION("""COMPUTED_VALUE"""),10.0)</f>
        <v>10</v>
      </c>
      <c r="C4474" s="11">
        <f>IFERROR(__xludf.DUMMYFUNCTION("""COMPUTED_VALUE"""),69454.0)</f>
        <v>69454</v>
      </c>
      <c r="D4474" s="11">
        <f>IFERROR(__xludf.DUMMYFUNCTION("""COMPUTED_VALUE"""),1851.0)</f>
        <v>1851</v>
      </c>
      <c r="E4474" s="9"/>
    </row>
    <row r="4475">
      <c r="A4475" s="11">
        <f>IFERROR(__xludf.DUMMYFUNCTION("""COMPUTED_VALUE"""),2021.0)</f>
        <v>2021</v>
      </c>
      <c r="B4475" s="11">
        <f>IFERROR(__xludf.DUMMYFUNCTION("""COMPUTED_VALUE"""),11.0)</f>
        <v>11</v>
      </c>
      <c r="C4475" s="11">
        <f>IFERROR(__xludf.DUMMYFUNCTION("""COMPUTED_VALUE"""),69469.0)</f>
        <v>69469</v>
      </c>
      <c r="D4475" s="11">
        <f>IFERROR(__xludf.DUMMYFUNCTION("""COMPUTED_VALUE"""),804.0)</f>
        <v>804</v>
      </c>
      <c r="E4475" s="9"/>
    </row>
    <row r="4476">
      <c r="A4476" s="11">
        <f>IFERROR(__xludf.DUMMYFUNCTION("""COMPUTED_VALUE"""),2021.0)</f>
        <v>2021</v>
      </c>
      <c r="B4476" s="11">
        <f>IFERROR(__xludf.DUMMYFUNCTION("""COMPUTED_VALUE"""),10.0)</f>
        <v>10</v>
      </c>
      <c r="C4476" s="11">
        <f>IFERROR(__xludf.DUMMYFUNCTION("""COMPUTED_VALUE"""),193264.0)</f>
        <v>193264</v>
      </c>
      <c r="D4476" s="11">
        <f>IFERROR(__xludf.DUMMYFUNCTION("""COMPUTED_VALUE"""),1599.0)</f>
        <v>1599</v>
      </c>
      <c r="E4476" s="9"/>
    </row>
    <row r="4477">
      <c r="A4477" s="11">
        <f>IFERROR(__xludf.DUMMYFUNCTION("""COMPUTED_VALUE"""),2021.0)</f>
        <v>2021</v>
      </c>
      <c r="B4477" s="11">
        <f>IFERROR(__xludf.DUMMYFUNCTION("""COMPUTED_VALUE"""),10.0)</f>
        <v>10</v>
      </c>
      <c r="C4477" s="11">
        <f>IFERROR(__xludf.DUMMYFUNCTION("""COMPUTED_VALUE"""),115763.0)</f>
        <v>115763</v>
      </c>
      <c r="D4477" s="11">
        <f>IFERROR(__xludf.DUMMYFUNCTION("""COMPUTED_VALUE"""),1075.0)</f>
        <v>1075</v>
      </c>
      <c r="E4477" s="9"/>
    </row>
    <row r="4478">
      <c r="A4478" s="11">
        <f>IFERROR(__xludf.DUMMYFUNCTION("""COMPUTED_VALUE"""),2021.0)</f>
        <v>2021</v>
      </c>
      <c r="B4478" s="11">
        <f>IFERROR(__xludf.DUMMYFUNCTION("""COMPUTED_VALUE"""),11.0)</f>
        <v>11</v>
      </c>
      <c r="C4478" s="11">
        <f>IFERROR(__xludf.DUMMYFUNCTION("""COMPUTED_VALUE"""),69463.0)</f>
        <v>69463</v>
      </c>
      <c r="D4478" s="11">
        <f>IFERROR(__xludf.DUMMYFUNCTION("""COMPUTED_VALUE"""),1917.0)</f>
        <v>1917</v>
      </c>
      <c r="E4478" s="9"/>
    </row>
    <row r="4479">
      <c r="A4479" s="11">
        <f>IFERROR(__xludf.DUMMYFUNCTION("""COMPUTED_VALUE"""),2021.0)</f>
        <v>2021</v>
      </c>
      <c r="B4479" s="11">
        <f>IFERROR(__xludf.DUMMYFUNCTION("""COMPUTED_VALUE"""),11.0)</f>
        <v>11</v>
      </c>
      <c r="C4479" s="11">
        <f>IFERROR(__xludf.DUMMYFUNCTION("""COMPUTED_VALUE"""),84168.0)</f>
        <v>84168</v>
      </c>
      <c r="D4479" s="11">
        <f>IFERROR(__xludf.DUMMYFUNCTION("""COMPUTED_VALUE"""),1777.0)</f>
        <v>1777</v>
      </c>
      <c r="E4479" s="9"/>
    </row>
    <row r="4480">
      <c r="A4480" s="11">
        <f>IFERROR(__xludf.DUMMYFUNCTION("""COMPUTED_VALUE"""),2021.0)</f>
        <v>2021</v>
      </c>
      <c r="B4480" s="11">
        <f>IFERROR(__xludf.DUMMYFUNCTION("""COMPUTED_VALUE"""),8.0)</f>
        <v>8</v>
      </c>
      <c r="C4480" s="11">
        <f>IFERROR(__xludf.DUMMYFUNCTION("""COMPUTED_VALUE"""),75077.0)</f>
        <v>75077</v>
      </c>
      <c r="D4480" s="11">
        <f>IFERROR(__xludf.DUMMYFUNCTION("""COMPUTED_VALUE"""),1737.0)</f>
        <v>1737</v>
      </c>
      <c r="E4480" s="9"/>
    </row>
    <row r="4481">
      <c r="A4481" s="11">
        <f>IFERROR(__xludf.DUMMYFUNCTION("""COMPUTED_VALUE"""),2021.0)</f>
        <v>2021</v>
      </c>
      <c r="B4481" s="11">
        <f>IFERROR(__xludf.DUMMYFUNCTION("""COMPUTED_VALUE"""),11.0)</f>
        <v>11</v>
      </c>
      <c r="C4481" s="11">
        <f>IFERROR(__xludf.DUMMYFUNCTION("""COMPUTED_VALUE"""),42229.0)</f>
        <v>42229</v>
      </c>
      <c r="D4481" s="11">
        <f>IFERROR(__xludf.DUMMYFUNCTION("""COMPUTED_VALUE"""),1464.0)</f>
        <v>1464</v>
      </c>
      <c r="E4481" s="9"/>
    </row>
    <row r="4482">
      <c r="A4482" s="11">
        <f>IFERROR(__xludf.DUMMYFUNCTION("""COMPUTED_VALUE"""),2021.0)</f>
        <v>2021</v>
      </c>
      <c r="B4482" s="11">
        <f>IFERROR(__xludf.DUMMYFUNCTION("""COMPUTED_VALUE"""),9.0)</f>
        <v>9</v>
      </c>
      <c r="C4482" s="11">
        <f>IFERROR(__xludf.DUMMYFUNCTION("""COMPUTED_VALUE"""),89588.0)</f>
        <v>89588</v>
      </c>
      <c r="D4482" s="11">
        <f>IFERROR(__xludf.DUMMYFUNCTION("""COMPUTED_VALUE"""),1762.0)</f>
        <v>1762</v>
      </c>
      <c r="E4482" s="9"/>
    </row>
    <row r="4483">
      <c r="A4483" s="11">
        <f>IFERROR(__xludf.DUMMYFUNCTION("""COMPUTED_VALUE"""),2021.0)</f>
        <v>2021</v>
      </c>
      <c r="B4483" s="11">
        <f>IFERROR(__xludf.DUMMYFUNCTION("""COMPUTED_VALUE"""),8.0)</f>
        <v>8</v>
      </c>
      <c r="C4483" s="11">
        <f>IFERROR(__xludf.DUMMYFUNCTION("""COMPUTED_VALUE"""),99973.0)</f>
        <v>99973</v>
      </c>
      <c r="D4483" s="11">
        <f>IFERROR(__xludf.DUMMYFUNCTION("""COMPUTED_VALUE"""),952.0)</f>
        <v>952</v>
      </c>
      <c r="E4483" s="9"/>
    </row>
    <row r="4484">
      <c r="A4484" s="11">
        <f>IFERROR(__xludf.DUMMYFUNCTION("""COMPUTED_VALUE"""),2021.0)</f>
        <v>2021</v>
      </c>
      <c r="B4484" s="11">
        <f>IFERROR(__xludf.DUMMYFUNCTION("""COMPUTED_VALUE"""),9.0)</f>
        <v>9</v>
      </c>
      <c r="C4484" s="11">
        <f>IFERROR(__xludf.DUMMYFUNCTION("""COMPUTED_VALUE"""),70241.0)</f>
        <v>70241</v>
      </c>
      <c r="D4484" s="11">
        <f>IFERROR(__xludf.DUMMYFUNCTION("""COMPUTED_VALUE"""),1178.0)</f>
        <v>1178</v>
      </c>
      <c r="E4484" s="9"/>
    </row>
    <row r="4485">
      <c r="A4485" s="11">
        <f>IFERROR(__xludf.DUMMYFUNCTION("""COMPUTED_VALUE"""),2021.0)</f>
        <v>2021</v>
      </c>
      <c r="B4485" s="11">
        <f>IFERROR(__xludf.DUMMYFUNCTION("""COMPUTED_VALUE"""),11.0)</f>
        <v>11</v>
      </c>
      <c r="C4485" s="11">
        <f>IFERROR(__xludf.DUMMYFUNCTION("""COMPUTED_VALUE"""),129479.0)</f>
        <v>129479</v>
      </c>
      <c r="D4485" s="11">
        <f>IFERROR(__xludf.DUMMYFUNCTION("""COMPUTED_VALUE"""),132.0)</f>
        <v>132</v>
      </c>
      <c r="E4485" s="9"/>
    </row>
    <row r="4486">
      <c r="A4486" s="11">
        <f>IFERROR(__xludf.DUMMYFUNCTION("""COMPUTED_VALUE"""),2021.0)</f>
        <v>2021</v>
      </c>
      <c r="B4486" s="11">
        <f>IFERROR(__xludf.DUMMYFUNCTION("""COMPUTED_VALUE"""),10.0)</f>
        <v>10</v>
      </c>
      <c r="C4486" s="11">
        <f>IFERROR(__xludf.DUMMYFUNCTION("""COMPUTED_VALUE"""),107926.0)</f>
        <v>107926</v>
      </c>
      <c r="D4486" s="11">
        <f>IFERROR(__xludf.DUMMYFUNCTION("""COMPUTED_VALUE"""),344.0)</f>
        <v>344</v>
      </c>
      <c r="E4486" s="9"/>
    </row>
    <row r="4487">
      <c r="A4487" s="11">
        <f>IFERROR(__xludf.DUMMYFUNCTION("""COMPUTED_VALUE"""),2021.0)</f>
        <v>2021</v>
      </c>
      <c r="B4487" s="11">
        <f>IFERROR(__xludf.DUMMYFUNCTION("""COMPUTED_VALUE"""),11.0)</f>
        <v>11</v>
      </c>
      <c r="C4487" s="11">
        <f>IFERROR(__xludf.DUMMYFUNCTION("""COMPUTED_VALUE"""),42232.0)</f>
        <v>42232</v>
      </c>
      <c r="D4487" s="11">
        <f>IFERROR(__xludf.DUMMYFUNCTION("""COMPUTED_VALUE"""),328.0)</f>
        <v>328</v>
      </c>
      <c r="E4487" s="9"/>
    </row>
    <row r="4488">
      <c r="A4488" s="11">
        <f>IFERROR(__xludf.DUMMYFUNCTION("""COMPUTED_VALUE"""),2021.0)</f>
        <v>2021</v>
      </c>
      <c r="B4488" s="11">
        <f>IFERROR(__xludf.DUMMYFUNCTION("""COMPUTED_VALUE"""),9.0)</f>
        <v>9</v>
      </c>
      <c r="C4488" s="11">
        <f>IFERROR(__xludf.DUMMYFUNCTION("""COMPUTED_VALUE"""),122106.0)</f>
        <v>122106</v>
      </c>
      <c r="D4488" s="11">
        <f>IFERROR(__xludf.DUMMYFUNCTION("""COMPUTED_VALUE"""),1479.0)</f>
        <v>1479</v>
      </c>
      <c r="E4488" s="9"/>
    </row>
    <row r="4489">
      <c r="A4489" s="11">
        <f>IFERROR(__xludf.DUMMYFUNCTION("""COMPUTED_VALUE"""),2021.0)</f>
        <v>2021</v>
      </c>
      <c r="B4489" s="11">
        <f>IFERROR(__xludf.DUMMYFUNCTION("""COMPUTED_VALUE"""),10.0)</f>
        <v>10</v>
      </c>
      <c r="C4489" s="11">
        <f>IFERROR(__xludf.DUMMYFUNCTION("""COMPUTED_VALUE"""),69456.0)</f>
        <v>69456</v>
      </c>
      <c r="D4489" s="11">
        <f>IFERROR(__xludf.DUMMYFUNCTION("""COMPUTED_VALUE"""),986.0)</f>
        <v>986</v>
      </c>
      <c r="E4489" s="9"/>
    </row>
    <row r="4490">
      <c r="A4490" s="11">
        <f>IFERROR(__xludf.DUMMYFUNCTION("""COMPUTED_VALUE"""),2021.0)</f>
        <v>2021</v>
      </c>
      <c r="B4490" s="11">
        <f>IFERROR(__xludf.DUMMYFUNCTION("""COMPUTED_VALUE"""),8.0)</f>
        <v>8</v>
      </c>
      <c r="C4490" s="11">
        <f>IFERROR(__xludf.DUMMYFUNCTION("""COMPUTED_VALUE"""),118888.0)</f>
        <v>118888</v>
      </c>
      <c r="D4490" s="11">
        <f>IFERROR(__xludf.DUMMYFUNCTION("""COMPUTED_VALUE"""),464.0)</f>
        <v>464</v>
      </c>
      <c r="E4490" s="9"/>
    </row>
    <row r="4491">
      <c r="A4491" s="11">
        <f>IFERROR(__xludf.DUMMYFUNCTION("""COMPUTED_VALUE"""),2021.0)</f>
        <v>2021</v>
      </c>
      <c r="B4491" s="11">
        <f>IFERROR(__xludf.DUMMYFUNCTION("""COMPUTED_VALUE"""),10.0)</f>
        <v>10</v>
      </c>
      <c r="C4491" s="11">
        <f>IFERROR(__xludf.DUMMYFUNCTION("""COMPUTED_VALUE"""),69468.0)</f>
        <v>69468</v>
      </c>
      <c r="D4491" s="11">
        <f>IFERROR(__xludf.DUMMYFUNCTION("""COMPUTED_VALUE"""),1070.0)</f>
        <v>1070</v>
      </c>
      <c r="E4491" s="9"/>
    </row>
    <row r="4492">
      <c r="A4492" s="11">
        <f>IFERROR(__xludf.DUMMYFUNCTION("""COMPUTED_VALUE"""),2021.0)</f>
        <v>2021</v>
      </c>
      <c r="B4492" s="11">
        <f>IFERROR(__xludf.DUMMYFUNCTION("""COMPUTED_VALUE"""),10.0)</f>
        <v>10</v>
      </c>
      <c r="C4492" s="11">
        <f>IFERROR(__xludf.DUMMYFUNCTION("""COMPUTED_VALUE"""),117629.0)</f>
        <v>117629</v>
      </c>
      <c r="D4492" s="11">
        <f>IFERROR(__xludf.DUMMYFUNCTION("""COMPUTED_VALUE"""),296.0)</f>
        <v>296</v>
      </c>
      <c r="E4492" s="9"/>
    </row>
    <row r="4493">
      <c r="A4493" s="11">
        <f>IFERROR(__xludf.DUMMYFUNCTION("""COMPUTED_VALUE"""),2021.0)</f>
        <v>2021</v>
      </c>
      <c r="B4493" s="11">
        <f>IFERROR(__xludf.DUMMYFUNCTION("""COMPUTED_VALUE"""),10.0)</f>
        <v>10</v>
      </c>
      <c r="C4493" s="11">
        <f>IFERROR(__xludf.DUMMYFUNCTION("""COMPUTED_VALUE"""),121475.0)</f>
        <v>121475</v>
      </c>
      <c r="D4493" s="11">
        <f>IFERROR(__xludf.DUMMYFUNCTION("""COMPUTED_VALUE"""),1308.0)</f>
        <v>1308</v>
      </c>
      <c r="E4493" s="9"/>
    </row>
    <row r="4494">
      <c r="A4494" s="11">
        <f>IFERROR(__xludf.DUMMYFUNCTION("""COMPUTED_VALUE"""),2021.0)</f>
        <v>2021</v>
      </c>
      <c r="B4494" s="11">
        <f>IFERROR(__xludf.DUMMYFUNCTION("""COMPUTED_VALUE"""),9.0)</f>
        <v>9</v>
      </c>
      <c r="C4494" s="11">
        <f>IFERROR(__xludf.DUMMYFUNCTION("""COMPUTED_VALUE"""),80412.0)</f>
        <v>80412</v>
      </c>
      <c r="D4494" s="11">
        <f>IFERROR(__xludf.DUMMYFUNCTION("""COMPUTED_VALUE"""),1343.0)</f>
        <v>1343</v>
      </c>
      <c r="E4494" s="9"/>
    </row>
    <row r="4495">
      <c r="A4495" s="11">
        <f>IFERROR(__xludf.DUMMYFUNCTION("""COMPUTED_VALUE"""),2021.0)</f>
        <v>2021</v>
      </c>
      <c r="B4495" s="11">
        <f>IFERROR(__xludf.DUMMYFUNCTION("""COMPUTED_VALUE"""),8.0)</f>
        <v>8</v>
      </c>
      <c r="C4495" s="11">
        <f>IFERROR(__xludf.DUMMYFUNCTION("""COMPUTED_VALUE"""),122857.0)</f>
        <v>122857</v>
      </c>
      <c r="D4495" s="11">
        <f>IFERROR(__xludf.DUMMYFUNCTION("""COMPUTED_VALUE"""),718.0)</f>
        <v>718</v>
      </c>
      <c r="E4495" s="9"/>
    </row>
    <row r="4496">
      <c r="A4496" s="11">
        <f>IFERROR(__xludf.DUMMYFUNCTION("""COMPUTED_VALUE"""),2021.0)</f>
        <v>2021</v>
      </c>
      <c r="B4496" s="11">
        <f>IFERROR(__xludf.DUMMYFUNCTION("""COMPUTED_VALUE"""),9.0)</f>
        <v>9</v>
      </c>
      <c r="C4496" s="11">
        <f>IFERROR(__xludf.DUMMYFUNCTION("""COMPUTED_VALUE"""),115769.0)</f>
        <v>115769</v>
      </c>
      <c r="D4496" s="11">
        <f>IFERROR(__xludf.DUMMYFUNCTION("""COMPUTED_VALUE"""),1199.0)</f>
        <v>1199</v>
      </c>
      <c r="E4496" s="9"/>
    </row>
    <row r="4497">
      <c r="A4497" s="11">
        <f>IFERROR(__xludf.DUMMYFUNCTION("""COMPUTED_VALUE"""),2021.0)</f>
        <v>2021</v>
      </c>
      <c r="B4497" s="11">
        <f>IFERROR(__xludf.DUMMYFUNCTION("""COMPUTED_VALUE"""),8.0)</f>
        <v>8</v>
      </c>
      <c r="C4497" s="11">
        <f>IFERROR(__xludf.DUMMYFUNCTION("""COMPUTED_VALUE"""),115774.0)</f>
        <v>115774</v>
      </c>
      <c r="D4497" s="11">
        <f>IFERROR(__xludf.DUMMYFUNCTION("""COMPUTED_VALUE"""),653.0)</f>
        <v>653</v>
      </c>
      <c r="E4497" s="9"/>
    </row>
    <row r="4498">
      <c r="A4498" s="11">
        <f>IFERROR(__xludf.DUMMYFUNCTION("""COMPUTED_VALUE"""),2021.0)</f>
        <v>2021</v>
      </c>
      <c r="B4498" s="11">
        <f>IFERROR(__xludf.DUMMYFUNCTION("""COMPUTED_VALUE"""),9.0)</f>
        <v>9</v>
      </c>
      <c r="C4498" s="11">
        <f>IFERROR(__xludf.DUMMYFUNCTION("""COMPUTED_VALUE"""),118889.0)</f>
        <v>118889</v>
      </c>
      <c r="D4498" s="11">
        <f>IFERROR(__xludf.DUMMYFUNCTION("""COMPUTED_VALUE"""),1190.0)</f>
        <v>1190</v>
      </c>
      <c r="E4498" s="9"/>
    </row>
    <row r="4499">
      <c r="A4499" s="11">
        <f>IFERROR(__xludf.DUMMYFUNCTION("""COMPUTED_VALUE"""),2021.0)</f>
        <v>2021</v>
      </c>
      <c r="B4499" s="11">
        <f>IFERROR(__xludf.DUMMYFUNCTION("""COMPUTED_VALUE"""),8.0)</f>
        <v>8</v>
      </c>
      <c r="C4499" s="11">
        <f>IFERROR(__xludf.DUMMYFUNCTION("""COMPUTED_VALUE"""),115758.0)</f>
        <v>115758</v>
      </c>
      <c r="D4499" s="11">
        <f>IFERROR(__xludf.DUMMYFUNCTION("""COMPUTED_VALUE"""),602.0)</f>
        <v>602</v>
      </c>
      <c r="E4499" s="9"/>
    </row>
    <row r="4500">
      <c r="A4500" s="11">
        <f>IFERROR(__xludf.DUMMYFUNCTION("""COMPUTED_VALUE"""),2021.0)</f>
        <v>2021</v>
      </c>
      <c r="B4500" s="11">
        <f>IFERROR(__xludf.DUMMYFUNCTION("""COMPUTED_VALUE"""),11.0)</f>
        <v>11</v>
      </c>
      <c r="C4500" s="11">
        <f>IFERROR(__xludf.DUMMYFUNCTION("""COMPUTED_VALUE"""),115755.0)</f>
        <v>115755</v>
      </c>
      <c r="D4500" s="11">
        <f>IFERROR(__xludf.DUMMYFUNCTION("""COMPUTED_VALUE"""),1233.0)</f>
        <v>1233</v>
      </c>
      <c r="E4500" s="9"/>
    </row>
    <row r="4501">
      <c r="A4501" s="11">
        <f>IFERROR(__xludf.DUMMYFUNCTION("""COMPUTED_VALUE"""),2021.0)</f>
        <v>2021</v>
      </c>
      <c r="B4501" s="11">
        <f>IFERROR(__xludf.DUMMYFUNCTION("""COMPUTED_VALUE"""),11.0)</f>
        <v>11</v>
      </c>
      <c r="C4501" s="11">
        <f>IFERROR(__xludf.DUMMYFUNCTION("""COMPUTED_VALUE"""),114964.0)</f>
        <v>114964</v>
      </c>
      <c r="D4501" s="11">
        <f>IFERROR(__xludf.DUMMYFUNCTION("""COMPUTED_VALUE"""),1042.0)</f>
        <v>1042</v>
      </c>
      <c r="E4501" s="9"/>
    </row>
    <row r="4502">
      <c r="A4502" s="11">
        <f>IFERROR(__xludf.DUMMYFUNCTION("""COMPUTED_VALUE"""),2021.0)</f>
        <v>2021</v>
      </c>
      <c r="B4502" s="11">
        <f>IFERROR(__xludf.DUMMYFUNCTION("""COMPUTED_VALUE"""),8.0)</f>
        <v>8</v>
      </c>
      <c r="C4502" s="11">
        <f>IFERROR(__xludf.DUMMYFUNCTION("""COMPUTED_VALUE"""),87617.0)</f>
        <v>87617</v>
      </c>
      <c r="D4502" s="11">
        <f>IFERROR(__xludf.DUMMYFUNCTION("""COMPUTED_VALUE"""),1746.0)</f>
        <v>1746</v>
      </c>
      <c r="E4502" s="9"/>
    </row>
    <row r="4503">
      <c r="A4503" s="11">
        <f>IFERROR(__xludf.DUMMYFUNCTION("""COMPUTED_VALUE"""),2021.0)</f>
        <v>2021</v>
      </c>
      <c r="B4503" s="11">
        <f>IFERROR(__xludf.DUMMYFUNCTION("""COMPUTED_VALUE"""),10.0)</f>
        <v>10</v>
      </c>
      <c r="C4503" s="11">
        <f>IFERROR(__xludf.DUMMYFUNCTION("""COMPUTED_VALUE"""),118542.0)</f>
        <v>118542</v>
      </c>
      <c r="D4503" s="11">
        <f>IFERROR(__xludf.DUMMYFUNCTION("""COMPUTED_VALUE"""),50.0)</f>
        <v>50</v>
      </c>
      <c r="E4503" s="9"/>
    </row>
    <row r="4504">
      <c r="A4504" s="11">
        <f>IFERROR(__xludf.DUMMYFUNCTION("""COMPUTED_VALUE"""),2021.0)</f>
        <v>2021</v>
      </c>
      <c r="B4504" s="11">
        <f>IFERROR(__xludf.DUMMYFUNCTION("""COMPUTED_VALUE"""),8.0)</f>
        <v>8</v>
      </c>
      <c r="C4504" s="11">
        <f>IFERROR(__xludf.DUMMYFUNCTION("""COMPUTED_VALUE"""),122845.0)</f>
        <v>122845</v>
      </c>
      <c r="D4504" s="11">
        <f>IFERROR(__xludf.DUMMYFUNCTION("""COMPUTED_VALUE"""),717.0)</f>
        <v>717</v>
      </c>
      <c r="E4504" s="9"/>
    </row>
    <row r="4505">
      <c r="A4505" s="11">
        <f>IFERROR(__xludf.DUMMYFUNCTION("""COMPUTED_VALUE"""),2021.0)</f>
        <v>2021</v>
      </c>
      <c r="B4505" s="11">
        <f>IFERROR(__xludf.DUMMYFUNCTION("""COMPUTED_VALUE"""),9.0)</f>
        <v>9</v>
      </c>
      <c r="C4505" s="11">
        <f>IFERROR(__xludf.DUMMYFUNCTION("""COMPUTED_VALUE"""),114967.0)</f>
        <v>114967</v>
      </c>
      <c r="D4505" s="11">
        <f>IFERROR(__xludf.DUMMYFUNCTION("""COMPUTED_VALUE"""),846.0)</f>
        <v>846</v>
      </c>
      <c r="E4505" s="9"/>
    </row>
    <row r="4506">
      <c r="A4506" s="11">
        <f>IFERROR(__xludf.DUMMYFUNCTION("""COMPUTED_VALUE"""),2021.0)</f>
        <v>2021</v>
      </c>
      <c r="B4506" s="11">
        <f>IFERROR(__xludf.DUMMYFUNCTION("""COMPUTED_VALUE"""),8.0)</f>
        <v>8</v>
      </c>
      <c r="C4506" s="11">
        <f>IFERROR(__xludf.DUMMYFUNCTION("""COMPUTED_VALUE"""),121476.0)</f>
        <v>121476</v>
      </c>
      <c r="D4506" s="11">
        <f>IFERROR(__xludf.DUMMYFUNCTION("""COMPUTED_VALUE"""),411.0)</f>
        <v>411</v>
      </c>
      <c r="E4506" s="9"/>
    </row>
    <row r="4507">
      <c r="A4507" s="11">
        <f>IFERROR(__xludf.DUMMYFUNCTION("""COMPUTED_VALUE"""),2021.0)</f>
        <v>2021</v>
      </c>
      <c r="B4507" s="11">
        <f>IFERROR(__xludf.DUMMYFUNCTION("""COMPUTED_VALUE"""),10.0)</f>
        <v>10</v>
      </c>
      <c r="C4507" s="11">
        <f>IFERROR(__xludf.DUMMYFUNCTION("""COMPUTED_VALUE"""),120529.0)</f>
        <v>120529</v>
      </c>
      <c r="D4507" s="11">
        <f>IFERROR(__xludf.DUMMYFUNCTION("""COMPUTED_VALUE"""),207.0)</f>
        <v>207</v>
      </c>
      <c r="E4507" s="9"/>
    </row>
    <row r="4508">
      <c r="A4508" s="11">
        <f>IFERROR(__xludf.DUMMYFUNCTION("""COMPUTED_VALUE"""),2021.0)</f>
        <v>2021</v>
      </c>
      <c r="B4508" s="11">
        <f>IFERROR(__xludf.DUMMYFUNCTION("""COMPUTED_VALUE"""),10.0)</f>
        <v>10</v>
      </c>
      <c r="C4508" s="11">
        <f>IFERROR(__xludf.DUMMYFUNCTION("""COMPUTED_VALUE"""),120530.0)</f>
        <v>120530</v>
      </c>
      <c r="D4508" s="11">
        <f>IFERROR(__xludf.DUMMYFUNCTION("""COMPUTED_VALUE"""),841.0)</f>
        <v>841</v>
      </c>
      <c r="E4508" s="9"/>
    </row>
    <row r="4509">
      <c r="A4509" s="11">
        <f>IFERROR(__xludf.DUMMYFUNCTION("""COMPUTED_VALUE"""),2021.0)</f>
        <v>2021</v>
      </c>
      <c r="B4509" s="11">
        <f>IFERROR(__xludf.DUMMYFUNCTION("""COMPUTED_VALUE"""),8.0)</f>
        <v>8</v>
      </c>
      <c r="C4509" s="11">
        <f>IFERROR(__xludf.DUMMYFUNCTION("""COMPUTED_VALUE"""),117638.0)</f>
        <v>117638</v>
      </c>
      <c r="D4509" s="11">
        <f>IFERROR(__xludf.DUMMYFUNCTION("""COMPUTED_VALUE"""),1796.0)</f>
        <v>1796</v>
      </c>
      <c r="E4509" s="9"/>
    </row>
    <row r="4510">
      <c r="A4510" s="11">
        <f>IFERROR(__xludf.DUMMYFUNCTION("""COMPUTED_VALUE"""),2021.0)</f>
        <v>2021</v>
      </c>
      <c r="B4510" s="11">
        <f>IFERROR(__xludf.DUMMYFUNCTION("""COMPUTED_VALUE"""),11.0)</f>
        <v>11</v>
      </c>
      <c r="C4510" s="11">
        <f>IFERROR(__xludf.DUMMYFUNCTION("""COMPUTED_VALUE"""),108240.0)</f>
        <v>108240</v>
      </c>
      <c r="D4510" s="11">
        <f>IFERROR(__xludf.DUMMYFUNCTION("""COMPUTED_VALUE"""),524.0)</f>
        <v>524</v>
      </c>
      <c r="E4510" s="9"/>
    </row>
    <row r="4511">
      <c r="A4511" s="11">
        <f>IFERROR(__xludf.DUMMYFUNCTION("""COMPUTED_VALUE"""),2021.0)</f>
        <v>2021</v>
      </c>
      <c r="B4511" s="11">
        <f>IFERROR(__xludf.DUMMYFUNCTION("""COMPUTED_VALUE"""),11.0)</f>
        <v>11</v>
      </c>
      <c r="C4511" s="11">
        <f>IFERROR(__xludf.DUMMYFUNCTION("""COMPUTED_VALUE"""),88635.0)</f>
        <v>88635</v>
      </c>
      <c r="D4511" s="11">
        <f>IFERROR(__xludf.DUMMYFUNCTION("""COMPUTED_VALUE"""),1063.0)</f>
        <v>1063</v>
      </c>
      <c r="E4511" s="9"/>
    </row>
    <row r="4512">
      <c r="A4512" s="11">
        <f>IFERROR(__xludf.DUMMYFUNCTION("""COMPUTED_VALUE"""),2021.0)</f>
        <v>2021</v>
      </c>
      <c r="B4512" s="11">
        <f>IFERROR(__xludf.DUMMYFUNCTION("""COMPUTED_VALUE"""),10.0)</f>
        <v>10</v>
      </c>
      <c r="C4512" s="11">
        <f>IFERROR(__xludf.DUMMYFUNCTION("""COMPUTED_VALUE"""),69340.0)</f>
        <v>69340</v>
      </c>
      <c r="D4512" s="11">
        <f>IFERROR(__xludf.DUMMYFUNCTION("""COMPUTED_VALUE"""),382.0)</f>
        <v>382</v>
      </c>
      <c r="E4512" s="9"/>
    </row>
    <row r="4513">
      <c r="A4513" s="11">
        <f>IFERROR(__xludf.DUMMYFUNCTION("""COMPUTED_VALUE"""),2021.0)</f>
        <v>2021</v>
      </c>
      <c r="B4513" s="11">
        <f>IFERROR(__xludf.DUMMYFUNCTION("""COMPUTED_VALUE"""),9.0)</f>
        <v>9</v>
      </c>
      <c r="C4513" s="11">
        <f>IFERROR(__xludf.DUMMYFUNCTION("""COMPUTED_VALUE"""),199472.0)</f>
        <v>199472</v>
      </c>
      <c r="D4513" s="11">
        <f>IFERROR(__xludf.DUMMYFUNCTION("""COMPUTED_VALUE"""),585.0)</f>
        <v>585</v>
      </c>
      <c r="E4513" s="9"/>
    </row>
    <row r="4514">
      <c r="A4514" s="11">
        <f>IFERROR(__xludf.DUMMYFUNCTION("""COMPUTED_VALUE"""),2021.0)</f>
        <v>2021</v>
      </c>
      <c r="B4514" s="11">
        <f>IFERROR(__xludf.DUMMYFUNCTION("""COMPUTED_VALUE"""),10.0)</f>
        <v>10</v>
      </c>
      <c r="C4514" s="11">
        <f>IFERROR(__xludf.DUMMYFUNCTION("""COMPUTED_VALUE"""),117646.0)</f>
        <v>117646</v>
      </c>
      <c r="D4514" s="11">
        <f>IFERROR(__xludf.DUMMYFUNCTION("""COMPUTED_VALUE"""),1863.0)</f>
        <v>1863</v>
      </c>
      <c r="E4514" s="9"/>
    </row>
    <row r="4515">
      <c r="A4515" s="11">
        <f>IFERROR(__xludf.DUMMYFUNCTION("""COMPUTED_VALUE"""),2021.0)</f>
        <v>2021</v>
      </c>
      <c r="B4515" s="11">
        <f>IFERROR(__xludf.DUMMYFUNCTION("""COMPUTED_VALUE"""),9.0)</f>
        <v>9</v>
      </c>
      <c r="C4515" s="11">
        <f>IFERROR(__xludf.DUMMYFUNCTION("""COMPUTED_VALUE"""),84167.0)</f>
        <v>84167</v>
      </c>
      <c r="D4515" s="11">
        <f>IFERROR(__xludf.DUMMYFUNCTION("""COMPUTED_VALUE"""),1526.0)</f>
        <v>1526</v>
      </c>
      <c r="E4515" s="9"/>
    </row>
    <row r="4516">
      <c r="A4516" s="11">
        <f>IFERROR(__xludf.DUMMYFUNCTION("""COMPUTED_VALUE"""),2021.0)</f>
        <v>2021</v>
      </c>
      <c r="B4516" s="11">
        <f>IFERROR(__xludf.DUMMYFUNCTION("""COMPUTED_VALUE"""),9.0)</f>
        <v>9</v>
      </c>
      <c r="C4516" s="11">
        <f>IFERROR(__xludf.DUMMYFUNCTION("""COMPUTED_VALUE"""),81742.0)</f>
        <v>81742</v>
      </c>
      <c r="D4516" s="11">
        <f>IFERROR(__xludf.DUMMYFUNCTION("""COMPUTED_VALUE"""),1019.0)</f>
        <v>1019</v>
      </c>
      <c r="E4516" s="9"/>
    </row>
    <row r="4517">
      <c r="A4517" s="11">
        <f>IFERROR(__xludf.DUMMYFUNCTION("""COMPUTED_VALUE"""),2021.0)</f>
        <v>2021</v>
      </c>
      <c r="B4517" s="11">
        <f>IFERROR(__xludf.DUMMYFUNCTION("""COMPUTED_VALUE"""),11.0)</f>
        <v>11</v>
      </c>
      <c r="C4517" s="11">
        <f>IFERROR(__xludf.DUMMYFUNCTION("""COMPUTED_VALUE"""),115754.0)</f>
        <v>115754</v>
      </c>
      <c r="D4517" s="11">
        <f>IFERROR(__xludf.DUMMYFUNCTION("""COMPUTED_VALUE"""),258.0)</f>
        <v>258</v>
      </c>
      <c r="E4517" s="9"/>
    </row>
    <row r="4518">
      <c r="A4518" s="11">
        <f>IFERROR(__xludf.DUMMYFUNCTION("""COMPUTED_VALUE"""),2021.0)</f>
        <v>2021</v>
      </c>
      <c r="B4518" s="11">
        <f>IFERROR(__xludf.DUMMYFUNCTION("""COMPUTED_VALUE"""),11.0)</f>
        <v>11</v>
      </c>
      <c r="C4518" s="11">
        <f>IFERROR(__xludf.DUMMYFUNCTION("""COMPUTED_VALUE"""),69334.0)</f>
        <v>69334</v>
      </c>
      <c r="D4518" s="11">
        <f>IFERROR(__xludf.DUMMYFUNCTION("""COMPUTED_VALUE"""),588.0)</f>
        <v>588</v>
      </c>
      <c r="E4518" s="9"/>
    </row>
    <row r="4519">
      <c r="A4519" s="11">
        <f>IFERROR(__xludf.DUMMYFUNCTION("""COMPUTED_VALUE"""),2021.0)</f>
        <v>2021</v>
      </c>
      <c r="B4519" s="11">
        <f>IFERROR(__xludf.DUMMYFUNCTION("""COMPUTED_VALUE"""),8.0)</f>
        <v>8</v>
      </c>
      <c r="C4519" s="11">
        <f>IFERROR(__xludf.DUMMYFUNCTION("""COMPUTED_VALUE"""),117753.0)</f>
        <v>117753</v>
      </c>
      <c r="D4519" s="11">
        <f>IFERROR(__xludf.DUMMYFUNCTION("""COMPUTED_VALUE"""),247.0)</f>
        <v>247</v>
      </c>
      <c r="E4519" s="9"/>
    </row>
    <row r="4520">
      <c r="A4520" s="11">
        <f>IFERROR(__xludf.DUMMYFUNCTION("""COMPUTED_VALUE"""),2021.0)</f>
        <v>2021</v>
      </c>
      <c r="B4520" s="11">
        <f>IFERROR(__xludf.DUMMYFUNCTION("""COMPUTED_VALUE"""),9.0)</f>
        <v>9</v>
      </c>
      <c r="C4520" s="11">
        <f>IFERROR(__xludf.DUMMYFUNCTION("""COMPUTED_VALUE"""),129482.0)</f>
        <v>129482</v>
      </c>
      <c r="D4520" s="11">
        <f>IFERROR(__xludf.DUMMYFUNCTION("""COMPUTED_VALUE"""),641.0)</f>
        <v>641</v>
      </c>
      <c r="E4520" s="9"/>
    </row>
    <row r="4521">
      <c r="A4521" s="11">
        <f>IFERROR(__xludf.DUMMYFUNCTION("""COMPUTED_VALUE"""),2021.0)</f>
        <v>2021</v>
      </c>
      <c r="B4521" s="11">
        <f>IFERROR(__xludf.DUMMYFUNCTION("""COMPUTED_VALUE"""),8.0)</f>
        <v>8</v>
      </c>
      <c r="C4521" s="11">
        <f>IFERROR(__xludf.DUMMYFUNCTION("""COMPUTED_VALUE"""),117634.0)</f>
        <v>117634</v>
      </c>
      <c r="D4521" s="11">
        <f>IFERROR(__xludf.DUMMYFUNCTION("""COMPUTED_VALUE"""),815.0)</f>
        <v>815</v>
      </c>
      <c r="E4521" s="9"/>
    </row>
    <row r="4522">
      <c r="A4522" s="11">
        <f>IFERROR(__xludf.DUMMYFUNCTION("""COMPUTED_VALUE"""),2021.0)</f>
        <v>2021</v>
      </c>
      <c r="B4522" s="11">
        <f>IFERROR(__xludf.DUMMYFUNCTION("""COMPUTED_VALUE"""),11.0)</f>
        <v>11</v>
      </c>
      <c r="C4522" s="11">
        <f>IFERROR(__xludf.DUMMYFUNCTION("""COMPUTED_VALUE"""),111027.0)</f>
        <v>111027</v>
      </c>
      <c r="D4522" s="11">
        <f>IFERROR(__xludf.DUMMYFUNCTION("""COMPUTED_VALUE"""),1109.0)</f>
        <v>1109</v>
      </c>
      <c r="E4522" s="9"/>
    </row>
    <row r="4523">
      <c r="A4523" s="11">
        <f>IFERROR(__xludf.DUMMYFUNCTION("""COMPUTED_VALUE"""),2021.0)</f>
        <v>2021</v>
      </c>
      <c r="B4523" s="11">
        <f>IFERROR(__xludf.DUMMYFUNCTION("""COMPUTED_VALUE"""),8.0)</f>
        <v>8</v>
      </c>
      <c r="C4523" s="11">
        <f>IFERROR(__xludf.DUMMYFUNCTION("""COMPUTED_VALUE"""),115772.0)</f>
        <v>115772</v>
      </c>
      <c r="D4523" s="11">
        <f>IFERROR(__xludf.DUMMYFUNCTION("""COMPUTED_VALUE"""),1187.0)</f>
        <v>1187</v>
      </c>
      <c r="E4523" s="9"/>
    </row>
    <row r="4524">
      <c r="A4524" s="11">
        <f>IFERROR(__xludf.DUMMYFUNCTION("""COMPUTED_VALUE"""),2021.0)</f>
        <v>2021</v>
      </c>
      <c r="B4524" s="11">
        <f>IFERROR(__xludf.DUMMYFUNCTION("""COMPUTED_VALUE"""),9.0)</f>
        <v>9</v>
      </c>
      <c r="C4524" s="11">
        <f>IFERROR(__xludf.DUMMYFUNCTION("""COMPUTED_VALUE"""),115768.0)</f>
        <v>115768</v>
      </c>
      <c r="D4524" s="11">
        <f>IFERROR(__xludf.DUMMYFUNCTION("""COMPUTED_VALUE"""),1821.0)</f>
        <v>1821</v>
      </c>
      <c r="E4524" s="9"/>
    </row>
    <row r="4525">
      <c r="A4525" s="11">
        <f>IFERROR(__xludf.DUMMYFUNCTION("""COMPUTED_VALUE"""),2021.0)</f>
        <v>2021</v>
      </c>
      <c r="B4525" s="11">
        <f>IFERROR(__xludf.DUMMYFUNCTION("""COMPUTED_VALUE"""),8.0)</f>
        <v>8</v>
      </c>
      <c r="C4525" s="11">
        <f>IFERROR(__xludf.DUMMYFUNCTION("""COMPUTED_VALUE"""),69476.0)</f>
        <v>69476</v>
      </c>
      <c r="D4525" s="11">
        <f>IFERROR(__xludf.DUMMYFUNCTION("""COMPUTED_VALUE"""),1599.0)</f>
        <v>1599</v>
      </c>
      <c r="E4525" s="9"/>
    </row>
    <row r="4526">
      <c r="A4526" s="11">
        <f>IFERROR(__xludf.DUMMYFUNCTION("""COMPUTED_VALUE"""),2021.0)</f>
        <v>2021</v>
      </c>
      <c r="B4526" s="11">
        <f>IFERROR(__xludf.DUMMYFUNCTION("""COMPUTED_VALUE"""),10.0)</f>
        <v>10</v>
      </c>
      <c r="C4526" s="11">
        <f>IFERROR(__xludf.DUMMYFUNCTION("""COMPUTED_VALUE"""),122118.0)</f>
        <v>122118</v>
      </c>
      <c r="D4526" s="11">
        <f>IFERROR(__xludf.DUMMYFUNCTION("""COMPUTED_VALUE"""),337.0)</f>
        <v>337</v>
      </c>
      <c r="E4526" s="9"/>
    </row>
    <row r="4527">
      <c r="A4527" s="11">
        <f>IFERROR(__xludf.DUMMYFUNCTION("""COMPUTED_VALUE"""),2021.0)</f>
        <v>2021</v>
      </c>
      <c r="B4527" s="11">
        <f>IFERROR(__xludf.DUMMYFUNCTION("""COMPUTED_VALUE"""),9.0)</f>
        <v>9</v>
      </c>
      <c r="C4527" s="11">
        <f>IFERROR(__xludf.DUMMYFUNCTION("""COMPUTED_VALUE"""),87447.0)</f>
        <v>87447</v>
      </c>
      <c r="D4527" s="11">
        <f>IFERROR(__xludf.DUMMYFUNCTION("""COMPUTED_VALUE"""),1658.0)</f>
        <v>1658</v>
      </c>
      <c r="E4527" s="9"/>
    </row>
    <row r="4528">
      <c r="A4528" s="11">
        <f>IFERROR(__xludf.DUMMYFUNCTION("""COMPUTED_VALUE"""),2021.0)</f>
        <v>2021</v>
      </c>
      <c r="B4528" s="11">
        <f>IFERROR(__xludf.DUMMYFUNCTION("""COMPUTED_VALUE"""),8.0)</f>
        <v>8</v>
      </c>
      <c r="C4528" s="11">
        <f>IFERROR(__xludf.DUMMYFUNCTION("""COMPUTED_VALUE"""),129480.0)</f>
        <v>129480</v>
      </c>
      <c r="D4528" s="11">
        <f>IFERROR(__xludf.DUMMYFUNCTION("""COMPUTED_VALUE"""),1786.0)</f>
        <v>1786</v>
      </c>
      <c r="E4528" s="9"/>
    </row>
    <row r="4529">
      <c r="A4529" s="11">
        <f>IFERROR(__xludf.DUMMYFUNCTION("""COMPUTED_VALUE"""),2021.0)</f>
        <v>2021</v>
      </c>
      <c r="B4529" s="11">
        <f>IFERROR(__xludf.DUMMYFUNCTION("""COMPUTED_VALUE"""),9.0)</f>
        <v>9</v>
      </c>
      <c r="C4529" s="11">
        <f>IFERROR(__xludf.DUMMYFUNCTION("""COMPUTED_VALUE"""),84164.0)</f>
        <v>84164</v>
      </c>
      <c r="D4529" s="11">
        <f>IFERROR(__xludf.DUMMYFUNCTION("""COMPUTED_VALUE"""),1326.0)</f>
        <v>1326</v>
      </c>
      <c r="E4529" s="9"/>
    </row>
    <row r="4530">
      <c r="A4530" s="11">
        <f>IFERROR(__xludf.DUMMYFUNCTION("""COMPUTED_VALUE"""),2021.0)</f>
        <v>2021</v>
      </c>
      <c r="B4530" s="11">
        <f>IFERROR(__xludf.DUMMYFUNCTION("""COMPUTED_VALUE"""),10.0)</f>
        <v>10</v>
      </c>
      <c r="C4530" s="11">
        <f>IFERROR(__xludf.DUMMYFUNCTION("""COMPUTED_VALUE"""),69338.0)</f>
        <v>69338</v>
      </c>
      <c r="D4530" s="11">
        <f>IFERROR(__xludf.DUMMYFUNCTION("""COMPUTED_VALUE"""),246.0)</f>
        <v>246</v>
      </c>
      <c r="E4530" s="9"/>
    </row>
    <row r="4531">
      <c r="A4531" s="11">
        <f>IFERROR(__xludf.DUMMYFUNCTION("""COMPUTED_VALUE"""),2021.0)</f>
        <v>2021</v>
      </c>
      <c r="B4531" s="11">
        <f>IFERROR(__xludf.DUMMYFUNCTION("""COMPUTED_VALUE"""),11.0)</f>
        <v>11</v>
      </c>
      <c r="C4531" s="11">
        <f>IFERROR(__xludf.DUMMYFUNCTION("""COMPUTED_VALUE"""),120531.0)</f>
        <v>120531</v>
      </c>
      <c r="D4531" s="11">
        <f>IFERROR(__xludf.DUMMYFUNCTION("""COMPUTED_VALUE"""),1418.0)</f>
        <v>1418</v>
      </c>
      <c r="E4531" s="9"/>
    </row>
    <row r="4532">
      <c r="A4532" s="11">
        <f>IFERROR(__xludf.DUMMYFUNCTION("""COMPUTED_VALUE"""),2021.0)</f>
        <v>2021</v>
      </c>
      <c r="B4532" s="11">
        <f>IFERROR(__xludf.DUMMYFUNCTION("""COMPUTED_VALUE"""),11.0)</f>
        <v>11</v>
      </c>
      <c r="C4532" s="11">
        <f>IFERROR(__xludf.DUMMYFUNCTION("""COMPUTED_VALUE"""),120524.0)</f>
        <v>120524</v>
      </c>
      <c r="D4532" s="11">
        <f>IFERROR(__xludf.DUMMYFUNCTION("""COMPUTED_VALUE"""),167.0)</f>
        <v>167</v>
      </c>
      <c r="E4532" s="9"/>
    </row>
    <row r="4533">
      <c r="A4533" s="11">
        <f>IFERROR(__xludf.DUMMYFUNCTION("""COMPUTED_VALUE"""),2021.0)</f>
        <v>2021</v>
      </c>
      <c r="B4533" s="11">
        <f>IFERROR(__xludf.DUMMYFUNCTION("""COMPUTED_VALUE"""),11.0)</f>
        <v>11</v>
      </c>
      <c r="C4533" s="11">
        <f>IFERROR(__xludf.DUMMYFUNCTION("""COMPUTED_VALUE"""),117631.0)</f>
        <v>117631</v>
      </c>
      <c r="D4533" s="11">
        <f>IFERROR(__xludf.DUMMYFUNCTION("""COMPUTED_VALUE"""),1443.0)</f>
        <v>1443</v>
      </c>
      <c r="E4533" s="9"/>
    </row>
    <row r="4534">
      <c r="A4534" s="11">
        <f>IFERROR(__xludf.DUMMYFUNCTION("""COMPUTED_VALUE"""),2021.0)</f>
        <v>2021</v>
      </c>
      <c r="B4534" s="11">
        <f>IFERROR(__xludf.DUMMYFUNCTION("""COMPUTED_VALUE"""),9.0)</f>
        <v>9</v>
      </c>
      <c r="C4534" s="11">
        <f>IFERROR(__xludf.DUMMYFUNCTION("""COMPUTED_VALUE"""),115757.0)</f>
        <v>115757</v>
      </c>
      <c r="D4534" s="11">
        <f>IFERROR(__xludf.DUMMYFUNCTION("""COMPUTED_VALUE"""),462.0)</f>
        <v>462</v>
      </c>
      <c r="E4534" s="9"/>
    </row>
    <row r="4535">
      <c r="A4535" s="11">
        <f>IFERROR(__xludf.DUMMYFUNCTION("""COMPUTED_VALUE"""),2021.0)</f>
        <v>2021</v>
      </c>
      <c r="B4535" s="11">
        <f>IFERROR(__xludf.DUMMYFUNCTION("""COMPUTED_VALUE"""),9.0)</f>
        <v>9</v>
      </c>
      <c r="C4535" s="11">
        <f>IFERROR(__xludf.DUMMYFUNCTION("""COMPUTED_VALUE"""),42243.0)</f>
        <v>42243</v>
      </c>
      <c r="D4535" s="11">
        <f>IFERROR(__xludf.DUMMYFUNCTION("""COMPUTED_VALUE"""),1625.0)</f>
        <v>1625</v>
      </c>
      <c r="E4535" s="9"/>
    </row>
    <row r="4536">
      <c r="A4536" s="11">
        <f>IFERROR(__xludf.DUMMYFUNCTION("""COMPUTED_VALUE"""),2021.0)</f>
        <v>2021</v>
      </c>
      <c r="B4536" s="11">
        <f>IFERROR(__xludf.DUMMYFUNCTION("""COMPUTED_VALUE"""),9.0)</f>
        <v>9</v>
      </c>
      <c r="C4536" s="11">
        <f>IFERROR(__xludf.DUMMYFUNCTION("""COMPUTED_VALUE"""),115761.0)</f>
        <v>115761</v>
      </c>
      <c r="D4536" s="11">
        <f>IFERROR(__xludf.DUMMYFUNCTION("""COMPUTED_VALUE"""),615.0)</f>
        <v>615</v>
      </c>
      <c r="E4536" s="9"/>
    </row>
    <row r="4537">
      <c r="A4537" s="11">
        <f>IFERROR(__xludf.DUMMYFUNCTION("""COMPUTED_VALUE"""),2021.0)</f>
        <v>2021</v>
      </c>
      <c r="B4537" s="11">
        <f>IFERROR(__xludf.DUMMYFUNCTION("""COMPUTED_VALUE"""),11.0)</f>
        <v>11</v>
      </c>
      <c r="C4537" s="11">
        <f>IFERROR(__xludf.DUMMYFUNCTION("""COMPUTED_VALUE"""),113960.0)</f>
        <v>113960</v>
      </c>
      <c r="D4537" s="11">
        <f>IFERROR(__xludf.DUMMYFUNCTION("""COMPUTED_VALUE"""),846.0)</f>
        <v>846</v>
      </c>
      <c r="E4537" s="9"/>
    </row>
    <row r="4538">
      <c r="A4538" s="11">
        <f>IFERROR(__xludf.DUMMYFUNCTION("""COMPUTED_VALUE"""),2021.0)</f>
        <v>2021</v>
      </c>
      <c r="B4538" s="11">
        <f>IFERROR(__xludf.DUMMYFUNCTION("""COMPUTED_VALUE"""),9.0)</f>
        <v>9</v>
      </c>
      <c r="C4538" s="11">
        <f>IFERROR(__xludf.DUMMYFUNCTION("""COMPUTED_VALUE"""),42241.0)</f>
        <v>42241</v>
      </c>
      <c r="D4538" s="11">
        <f>IFERROR(__xludf.DUMMYFUNCTION("""COMPUTED_VALUE"""),1073.0)</f>
        <v>1073</v>
      </c>
      <c r="E4538" s="9"/>
    </row>
    <row r="4539">
      <c r="A4539" s="11">
        <f>IFERROR(__xludf.DUMMYFUNCTION("""COMPUTED_VALUE"""),2021.0)</f>
        <v>2021</v>
      </c>
      <c r="B4539" s="11">
        <f>IFERROR(__xludf.DUMMYFUNCTION("""COMPUTED_VALUE"""),8.0)</f>
        <v>8</v>
      </c>
      <c r="C4539" s="11">
        <f>IFERROR(__xludf.DUMMYFUNCTION("""COMPUTED_VALUE"""),115770.0)</f>
        <v>115770</v>
      </c>
      <c r="D4539" s="11">
        <f>IFERROR(__xludf.DUMMYFUNCTION("""COMPUTED_VALUE"""),1357.0)</f>
        <v>1357</v>
      </c>
      <c r="E4539" s="9"/>
    </row>
    <row r="4540">
      <c r="A4540" s="11">
        <f>IFERROR(__xludf.DUMMYFUNCTION("""COMPUTED_VALUE"""),2021.0)</f>
        <v>2021</v>
      </c>
      <c r="B4540" s="11">
        <f>IFERROR(__xludf.DUMMYFUNCTION("""COMPUTED_VALUE"""),10.0)</f>
        <v>10</v>
      </c>
      <c r="C4540" s="11">
        <f>IFERROR(__xludf.DUMMYFUNCTION("""COMPUTED_VALUE"""),118541.0)</f>
        <v>118541</v>
      </c>
      <c r="D4540" s="11">
        <f>IFERROR(__xludf.DUMMYFUNCTION("""COMPUTED_VALUE"""),1896.0)</f>
        <v>1896</v>
      </c>
      <c r="E4540" s="9"/>
    </row>
    <row r="4541">
      <c r="A4541" s="11">
        <f>IFERROR(__xludf.DUMMYFUNCTION("""COMPUTED_VALUE"""),2021.0)</f>
        <v>2021</v>
      </c>
      <c r="B4541" s="11">
        <f>IFERROR(__xludf.DUMMYFUNCTION("""COMPUTED_VALUE"""),9.0)</f>
        <v>9</v>
      </c>
      <c r="C4541" s="11">
        <f>IFERROR(__xludf.DUMMYFUNCTION("""COMPUTED_VALUE"""),115750.0)</f>
        <v>115750</v>
      </c>
      <c r="D4541" s="11">
        <f>IFERROR(__xludf.DUMMYFUNCTION("""COMPUTED_VALUE"""),1192.0)</f>
        <v>1192</v>
      </c>
      <c r="E4541" s="9"/>
    </row>
    <row r="4542">
      <c r="A4542" s="11">
        <f>IFERROR(__xludf.DUMMYFUNCTION("""COMPUTED_VALUE"""),2021.0)</f>
        <v>2021</v>
      </c>
      <c r="B4542" s="11">
        <f>IFERROR(__xludf.DUMMYFUNCTION("""COMPUTED_VALUE"""),8.0)</f>
        <v>8</v>
      </c>
      <c r="C4542" s="11">
        <f>IFERROR(__xludf.DUMMYFUNCTION("""COMPUTED_VALUE"""),99969.0)</f>
        <v>99969</v>
      </c>
      <c r="D4542" s="11">
        <f>IFERROR(__xludf.DUMMYFUNCTION("""COMPUTED_VALUE"""),1069.0)</f>
        <v>1069</v>
      </c>
      <c r="E4542" s="9"/>
    </row>
    <row r="4543">
      <c r="A4543" s="11">
        <f>IFERROR(__xludf.DUMMYFUNCTION("""COMPUTED_VALUE"""),2021.0)</f>
        <v>2021</v>
      </c>
      <c r="B4543" s="11">
        <f>IFERROR(__xludf.DUMMYFUNCTION("""COMPUTED_VALUE"""),8.0)</f>
        <v>8</v>
      </c>
      <c r="C4543" s="11">
        <f>IFERROR(__xludf.DUMMYFUNCTION("""COMPUTED_VALUE"""),129483.0)</f>
        <v>129483</v>
      </c>
      <c r="D4543" s="11">
        <f>IFERROR(__xludf.DUMMYFUNCTION("""COMPUTED_VALUE"""),1824.0)</f>
        <v>1824</v>
      </c>
      <c r="E4543" s="9"/>
    </row>
    <row r="4544">
      <c r="A4544" s="11">
        <f>IFERROR(__xludf.DUMMYFUNCTION("""COMPUTED_VALUE"""),2021.0)</f>
        <v>2021</v>
      </c>
      <c r="B4544" s="11">
        <f>IFERROR(__xludf.DUMMYFUNCTION("""COMPUTED_VALUE"""),8.0)</f>
        <v>8</v>
      </c>
      <c r="C4544" s="11">
        <f>IFERROR(__xludf.DUMMYFUNCTION("""COMPUTED_VALUE"""),42255.0)</f>
        <v>42255</v>
      </c>
      <c r="D4544" s="11">
        <f>IFERROR(__xludf.DUMMYFUNCTION("""COMPUTED_VALUE"""),831.0)</f>
        <v>831</v>
      </c>
      <c r="E4544" s="9"/>
    </row>
    <row r="4545">
      <c r="A4545" s="11">
        <f>IFERROR(__xludf.DUMMYFUNCTION("""COMPUTED_VALUE"""),2021.0)</f>
        <v>2021</v>
      </c>
      <c r="B4545" s="11">
        <f>IFERROR(__xludf.DUMMYFUNCTION("""COMPUTED_VALUE"""),11.0)</f>
        <v>11</v>
      </c>
      <c r="C4545" s="11">
        <f>IFERROR(__xludf.DUMMYFUNCTION("""COMPUTED_VALUE"""),100235.0)</f>
        <v>100235</v>
      </c>
      <c r="D4545" s="11">
        <f>IFERROR(__xludf.DUMMYFUNCTION("""COMPUTED_VALUE"""),516.0)</f>
        <v>516</v>
      </c>
      <c r="E4545" s="9"/>
    </row>
    <row r="4546">
      <c r="A4546" s="11">
        <f>IFERROR(__xludf.DUMMYFUNCTION("""COMPUTED_VALUE"""),2021.0)</f>
        <v>2021</v>
      </c>
      <c r="B4546" s="11">
        <f>IFERROR(__xludf.DUMMYFUNCTION("""COMPUTED_VALUE"""),9.0)</f>
        <v>9</v>
      </c>
      <c r="C4546" s="11">
        <f>IFERROR(__xludf.DUMMYFUNCTION("""COMPUTED_VALUE"""),129481.0)</f>
        <v>129481</v>
      </c>
      <c r="D4546" s="11">
        <f>IFERROR(__xludf.DUMMYFUNCTION("""COMPUTED_VALUE"""),39.0)</f>
        <v>39</v>
      </c>
      <c r="E4546" s="9"/>
    </row>
    <row r="4547">
      <c r="A4547" s="11">
        <f>IFERROR(__xludf.DUMMYFUNCTION("""COMPUTED_VALUE"""),2021.0)</f>
        <v>2021</v>
      </c>
      <c r="B4547" s="11">
        <f>IFERROR(__xludf.DUMMYFUNCTION("""COMPUTED_VALUE"""),11.0)</f>
        <v>11</v>
      </c>
      <c r="C4547" s="11">
        <f>IFERROR(__xludf.DUMMYFUNCTION("""COMPUTED_VALUE"""),87455.0)</f>
        <v>87455</v>
      </c>
      <c r="D4547" s="11">
        <f>IFERROR(__xludf.DUMMYFUNCTION("""COMPUTED_VALUE"""),277.0)</f>
        <v>277</v>
      </c>
      <c r="E4547" s="9"/>
    </row>
    <row r="4548">
      <c r="A4548" s="11">
        <f>IFERROR(__xludf.DUMMYFUNCTION("""COMPUTED_VALUE"""),2021.0)</f>
        <v>2021</v>
      </c>
      <c r="B4548" s="11">
        <f>IFERROR(__xludf.DUMMYFUNCTION("""COMPUTED_VALUE"""),11.0)</f>
        <v>11</v>
      </c>
      <c r="C4548" s="11">
        <f>IFERROR(__xludf.DUMMYFUNCTION("""COMPUTED_VALUE"""),120257.0)</f>
        <v>120257</v>
      </c>
      <c r="D4548" s="11">
        <f>IFERROR(__xludf.DUMMYFUNCTION("""COMPUTED_VALUE"""),522.0)</f>
        <v>522</v>
      </c>
      <c r="E4548" s="9"/>
    </row>
    <row r="4549">
      <c r="A4549" s="11">
        <f>IFERROR(__xludf.DUMMYFUNCTION("""COMPUTED_VALUE"""),2021.0)</f>
        <v>2021</v>
      </c>
      <c r="B4549" s="11">
        <f>IFERROR(__xludf.DUMMYFUNCTION("""COMPUTED_VALUE"""),9.0)</f>
        <v>9</v>
      </c>
      <c r="C4549" s="11">
        <f>IFERROR(__xludf.DUMMYFUNCTION("""COMPUTED_VALUE"""),122221.0)</f>
        <v>122221</v>
      </c>
      <c r="D4549" s="11">
        <f>IFERROR(__xludf.DUMMYFUNCTION("""COMPUTED_VALUE"""),1310.0)</f>
        <v>1310</v>
      </c>
      <c r="E4549" s="9"/>
    </row>
    <row r="4550">
      <c r="A4550" s="11">
        <f>IFERROR(__xludf.DUMMYFUNCTION("""COMPUTED_VALUE"""),2021.0)</f>
        <v>2021</v>
      </c>
      <c r="B4550" s="11">
        <f>IFERROR(__xludf.DUMMYFUNCTION("""COMPUTED_VALUE"""),11.0)</f>
        <v>11</v>
      </c>
      <c r="C4550" s="11">
        <f>IFERROR(__xludf.DUMMYFUNCTION("""COMPUTED_VALUE"""),122216.0)</f>
        <v>122216</v>
      </c>
      <c r="D4550" s="11">
        <f>IFERROR(__xludf.DUMMYFUNCTION("""COMPUTED_VALUE"""),1884.0)</f>
        <v>1884</v>
      </c>
      <c r="E4550" s="9"/>
    </row>
    <row r="4551">
      <c r="A4551" s="11">
        <f>IFERROR(__xludf.DUMMYFUNCTION("""COMPUTED_VALUE"""),2021.0)</f>
        <v>2021</v>
      </c>
      <c r="B4551" s="11">
        <f>IFERROR(__xludf.DUMMYFUNCTION("""COMPUTED_VALUE"""),9.0)</f>
        <v>9</v>
      </c>
      <c r="C4551" s="11">
        <f>IFERROR(__xludf.DUMMYFUNCTION("""COMPUTED_VALUE"""),140598.0)</f>
        <v>140598</v>
      </c>
      <c r="D4551" s="11">
        <f>IFERROR(__xludf.DUMMYFUNCTION("""COMPUTED_VALUE"""),781.0)</f>
        <v>781</v>
      </c>
      <c r="E4551" s="9"/>
    </row>
    <row r="4552">
      <c r="A4552" s="11">
        <f>IFERROR(__xludf.DUMMYFUNCTION("""COMPUTED_VALUE"""),2021.0)</f>
        <v>2021</v>
      </c>
      <c r="B4552" s="11">
        <f>IFERROR(__xludf.DUMMYFUNCTION("""COMPUTED_VALUE"""),8.0)</f>
        <v>8</v>
      </c>
      <c r="C4552" s="11">
        <f>IFERROR(__xludf.DUMMYFUNCTION("""COMPUTED_VALUE"""),112123.0)</f>
        <v>112123</v>
      </c>
      <c r="D4552" s="11">
        <f>IFERROR(__xludf.DUMMYFUNCTION("""COMPUTED_VALUE"""),1553.0)</f>
        <v>1553</v>
      </c>
      <c r="E4552" s="9"/>
    </row>
    <row r="4553">
      <c r="A4553" s="11">
        <f>IFERROR(__xludf.DUMMYFUNCTION("""COMPUTED_VALUE"""),2021.0)</f>
        <v>2021</v>
      </c>
      <c r="B4553" s="11">
        <f>IFERROR(__xludf.DUMMYFUNCTION("""COMPUTED_VALUE"""),8.0)</f>
        <v>8</v>
      </c>
      <c r="C4553" s="11">
        <f>IFERROR(__xludf.DUMMYFUNCTION("""COMPUTED_VALUE"""),70402.0)</f>
        <v>70402</v>
      </c>
      <c r="D4553" s="11">
        <f>IFERROR(__xludf.DUMMYFUNCTION("""COMPUTED_VALUE"""),1681.0)</f>
        <v>1681</v>
      </c>
      <c r="E4553" s="9"/>
    </row>
    <row r="4554">
      <c r="A4554" s="11">
        <f>IFERROR(__xludf.DUMMYFUNCTION("""COMPUTED_VALUE"""),2021.0)</f>
        <v>2021</v>
      </c>
      <c r="B4554" s="11">
        <f>IFERROR(__xludf.DUMMYFUNCTION("""COMPUTED_VALUE"""),10.0)</f>
        <v>10</v>
      </c>
      <c r="C4554" s="11">
        <f>IFERROR(__xludf.DUMMYFUNCTION("""COMPUTED_VALUE"""),119110.0)</f>
        <v>119110</v>
      </c>
      <c r="D4554" s="11">
        <f>IFERROR(__xludf.DUMMYFUNCTION("""COMPUTED_VALUE"""),952.0)</f>
        <v>952</v>
      </c>
      <c r="E4554" s="9"/>
    </row>
    <row r="4555">
      <c r="A4555" s="11">
        <f>IFERROR(__xludf.DUMMYFUNCTION("""COMPUTED_VALUE"""),2021.0)</f>
        <v>2021</v>
      </c>
      <c r="B4555" s="11">
        <f>IFERROR(__xludf.DUMMYFUNCTION("""COMPUTED_VALUE"""),8.0)</f>
        <v>8</v>
      </c>
      <c r="C4555" s="11">
        <f>IFERROR(__xludf.DUMMYFUNCTION("""COMPUTED_VALUE"""),139295.0)</f>
        <v>139295</v>
      </c>
      <c r="D4555" s="11">
        <f>IFERROR(__xludf.DUMMYFUNCTION("""COMPUTED_VALUE"""),1316.0)</f>
        <v>1316</v>
      </c>
      <c r="E4555" s="9"/>
    </row>
    <row r="4556">
      <c r="A4556" s="11">
        <f>IFERROR(__xludf.DUMMYFUNCTION("""COMPUTED_VALUE"""),2021.0)</f>
        <v>2021</v>
      </c>
      <c r="B4556" s="11">
        <f>IFERROR(__xludf.DUMMYFUNCTION("""COMPUTED_VALUE"""),9.0)</f>
        <v>9</v>
      </c>
      <c r="C4556" s="11">
        <f>IFERROR(__xludf.DUMMYFUNCTION("""COMPUTED_VALUE"""),71056.0)</f>
        <v>71056</v>
      </c>
      <c r="D4556" s="11">
        <f>IFERROR(__xludf.DUMMYFUNCTION("""COMPUTED_VALUE"""),55.0)</f>
        <v>55</v>
      </c>
      <c r="E4556" s="9"/>
    </row>
    <row r="4557">
      <c r="A4557" s="11">
        <f>IFERROR(__xludf.DUMMYFUNCTION("""COMPUTED_VALUE"""),2021.0)</f>
        <v>2021</v>
      </c>
      <c r="B4557" s="11">
        <f>IFERROR(__xludf.DUMMYFUNCTION("""COMPUTED_VALUE"""),9.0)</f>
        <v>9</v>
      </c>
      <c r="C4557" s="11">
        <f>IFERROR(__xludf.DUMMYFUNCTION("""COMPUTED_VALUE"""),122218.0)</f>
        <v>122218</v>
      </c>
      <c r="D4557" s="11">
        <f>IFERROR(__xludf.DUMMYFUNCTION("""COMPUTED_VALUE"""),1947.0)</f>
        <v>1947</v>
      </c>
      <c r="E4557" s="9"/>
    </row>
    <row r="4558">
      <c r="A4558" s="11">
        <f>IFERROR(__xludf.DUMMYFUNCTION("""COMPUTED_VALUE"""),2021.0)</f>
        <v>2021</v>
      </c>
      <c r="B4558" s="11">
        <f>IFERROR(__xludf.DUMMYFUNCTION("""COMPUTED_VALUE"""),11.0)</f>
        <v>11</v>
      </c>
      <c r="C4558" s="11">
        <f>IFERROR(__xludf.DUMMYFUNCTION("""COMPUTED_VALUE"""),122217.0)</f>
        <v>122217</v>
      </c>
      <c r="D4558" s="11">
        <f>IFERROR(__xludf.DUMMYFUNCTION("""COMPUTED_VALUE"""),1181.0)</f>
        <v>1181</v>
      </c>
      <c r="E4558" s="9"/>
    </row>
    <row r="4559">
      <c r="A4559" s="11">
        <f>IFERROR(__xludf.DUMMYFUNCTION("""COMPUTED_VALUE"""),2021.0)</f>
        <v>2021</v>
      </c>
      <c r="B4559" s="11">
        <f>IFERROR(__xludf.DUMMYFUNCTION("""COMPUTED_VALUE"""),8.0)</f>
        <v>8</v>
      </c>
      <c r="C4559" s="11">
        <f>IFERROR(__xludf.DUMMYFUNCTION("""COMPUTED_VALUE"""),119119.0)</f>
        <v>119119</v>
      </c>
      <c r="D4559" s="11">
        <f>IFERROR(__xludf.DUMMYFUNCTION("""COMPUTED_VALUE"""),716.0)</f>
        <v>716</v>
      </c>
      <c r="E4559" s="9"/>
    </row>
    <row r="4560">
      <c r="A4560" s="11">
        <f>IFERROR(__xludf.DUMMYFUNCTION("""COMPUTED_VALUE"""),2021.0)</f>
        <v>2021</v>
      </c>
      <c r="B4560" s="11">
        <f>IFERROR(__xludf.DUMMYFUNCTION("""COMPUTED_VALUE"""),9.0)</f>
        <v>9</v>
      </c>
      <c r="C4560" s="11">
        <f>IFERROR(__xludf.DUMMYFUNCTION("""COMPUTED_VALUE"""),46933.0)</f>
        <v>46933</v>
      </c>
      <c r="D4560" s="11">
        <f>IFERROR(__xludf.DUMMYFUNCTION("""COMPUTED_VALUE"""),1363.0)</f>
        <v>1363</v>
      </c>
      <c r="E4560" s="9"/>
    </row>
    <row r="4561">
      <c r="A4561" s="11">
        <f>IFERROR(__xludf.DUMMYFUNCTION("""COMPUTED_VALUE"""),2021.0)</f>
        <v>2021</v>
      </c>
      <c r="B4561" s="11">
        <f>IFERROR(__xludf.DUMMYFUNCTION("""COMPUTED_VALUE"""),11.0)</f>
        <v>11</v>
      </c>
      <c r="C4561" s="11">
        <f>IFERROR(__xludf.DUMMYFUNCTION("""COMPUTED_VALUE"""),119118.0)</f>
        <v>119118</v>
      </c>
      <c r="D4561" s="11">
        <f>IFERROR(__xludf.DUMMYFUNCTION("""COMPUTED_VALUE"""),1129.0)</f>
        <v>1129</v>
      </c>
      <c r="E4561" s="9"/>
    </row>
    <row r="4562">
      <c r="A4562" s="11">
        <f>IFERROR(__xludf.DUMMYFUNCTION("""COMPUTED_VALUE"""),2021.0)</f>
        <v>2021</v>
      </c>
      <c r="B4562" s="11">
        <f>IFERROR(__xludf.DUMMYFUNCTION("""COMPUTED_VALUE"""),9.0)</f>
        <v>9</v>
      </c>
      <c r="C4562" s="11">
        <f>IFERROR(__xludf.DUMMYFUNCTION("""COMPUTED_VALUE"""),41035.0)</f>
        <v>41035</v>
      </c>
      <c r="D4562" s="11">
        <f>IFERROR(__xludf.DUMMYFUNCTION("""COMPUTED_VALUE"""),1108.0)</f>
        <v>1108</v>
      </c>
      <c r="E4562" s="9"/>
    </row>
    <row r="4563">
      <c r="A4563" s="11">
        <f>IFERROR(__xludf.DUMMYFUNCTION("""COMPUTED_VALUE"""),2021.0)</f>
        <v>2021</v>
      </c>
      <c r="B4563" s="11">
        <f>IFERROR(__xludf.DUMMYFUNCTION("""COMPUTED_VALUE"""),9.0)</f>
        <v>9</v>
      </c>
      <c r="C4563" s="11">
        <f>IFERROR(__xludf.DUMMYFUNCTION("""COMPUTED_VALUE"""),139303.0)</f>
        <v>139303</v>
      </c>
      <c r="D4563" s="11">
        <f>IFERROR(__xludf.DUMMYFUNCTION("""COMPUTED_VALUE"""),845.0)</f>
        <v>845</v>
      </c>
      <c r="E4563" s="9"/>
    </row>
    <row r="4564">
      <c r="A4564" s="11">
        <f>IFERROR(__xludf.DUMMYFUNCTION("""COMPUTED_VALUE"""),2021.0)</f>
        <v>2021</v>
      </c>
      <c r="B4564" s="11">
        <f>IFERROR(__xludf.DUMMYFUNCTION("""COMPUTED_VALUE"""),9.0)</f>
        <v>9</v>
      </c>
      <c r="C4564" s="11">
        <f>IFERROR(__xludf.DUMMYFUNCTION("""COMPUTED_VALUE"""),101784.0)</f>
        <v>101784</v>
      </c>
      <c r="D4564" s="11">
        <f>IFERROR(__xludf.DUMMYFUNCTION("""COMPUTED_VALUE"""),922.0)</f>
        <v>922</v>
      </c>
      <c r="E4564" s="9"/>
    </row>
    <row r="4565">
      <c r="A4565" s="11">
        <f>IFERROR(__xludf.DUMMYFUNCTION("""COMPUTED_VALUE"""),2021.0)</f>
        <v>2021</v>
      </c>
      <c r="B4565" s="11">
        <f>IFERROR(__xludf.DUMMYFUNCTION("""COMPUTED_VALUE"""),11.0)</f>
        <v>11</v>
      </c>
      <c r="C4565" s="11">
        <f>IFERROR(__xludf.DUMMYFUNCTION("""COMPUTED_VALUE"""),122219.0)</f>
        <v>122219</v>
      </c>
      <c r="D4565" s="11">
        <f>IFERROR(__xludf.DUMMYFUNCTION("""COMPUTED_VALUE"""),1561.0)</f>
        <v>1561</v>
      </c>
      <c r="E4565" s="9"/>
    </row>
    <row r="4566">
      <c r="A4566" s="11">
        <f>IFERROR(__xludf.DUMMYFUNCTION("""COMPUTED_VALUE"""),2021.0)</f>
        <v>2021</v>
      </c>
      <c r="B4566" s="11">
        <f>IFERROR(__xludf.DUMMYFUNCTION("""COMPUTED_VALUE"""),8.0)</f>
        <v>8</v>
      </c>
      <c r="C4566" s="11">
        <f>IFERROR(__xludf.DUMMYFUNCTION("""COMPUTED_VALUE"""),122215.0)</f>
        <v>122215</v>
      </c>
      <c r="D4566" s="11">
        <f>IFERROR(__xludf.DUMMYFUNCTION("""COMPUTED_VALUE"""),1301.0)</f>
        <v>1301</v>
      </c>
      <c r="E4566" s="9"/>
    </row>
    <row r="4567">
      <c r="A4567" s="11">
        <f>IFERROR(__xludf.DUMMYFUNCTION("""COMPUTED_VALUE"""),2021.0)</f>
        <v>2021</v>
      </c>
      <c r="B4567" s="11">
        <f>IFERROR(__xludf.DUMMYFUNCTION("""COMPUTED_VALUE"""),8.0)</f>
        <v>8</v>
      </c>
      <c r="C4567" s="11">
        <f>IFERROR(__xludf.DUMMYFUNCTION("""COMPUTED_VALUE"""),111154.0)</f>
        <v>111154</v>
      </c>
      <c r="D4567" s="11">
        <f>IFERROR(__xludf.DUMMYFUNCTION("""COMPUTED_VALUE"""),365.0)</f>
        <v>365</v>
      </c>
      <c r="E4567" s="9"/>
    </row>
    <row r="4568">
      <c r="A4568" s="11">
        <f>IFERROR(__xludf.DUMMYFUNCTION("""COMPUTED_VALUE"""),2021.0)</f>
        <v>2021</v>
      </c>
      <c r="B4568" s="11">
        <f>IFERROR(__xludf.DUMMYFUNCTION("""COMPUTED_VALUE"""),8.0)</f>
        <v>8</v>
      </c>
      <c r="C4568" s="11">
        <f>IFERROR(__xludf.DUMMYFUNCTION("""COMPUTED_VALUE"""),119117.0)</f>
        <v>119117</v>
      </c>
      <c r="D4568" s="11">
        <f>IFERROR(__xludf.DUMMYFUNCTION("""COMPUTED_VALUE"""),882.0)</f>
        <v>882</v>
      </c>
      <c r="E4568" s="9"/>
    </row>
    <row r="4569">
      <c r="A4569" s="11">
        <f>IFERROR(__xludf.DUMMYFUNCTION("""COMPUTED_VALUE"""),2021.0)</f>
        <v>2021</v>
      </c>
      <c r="B4569" s="11">
        <f>IFERROR(__xludf.DUMMYFUNCTION("""COMPUTED_VALUE"""),9.0)</f>
        <v>9</v>
      </c>
      <c r="C4569" s="11">
        <f>IFERROR(__xludf.DUMMYFUNCTION("""COMPUTED_VALUE"""),20419.0)</f>
        <v>20419</v>
      </c>
      <c r="D4569" s="11">
        <f>IFERROR(__xludf.DUMMYFUNCTION("""COMPUTED_VALUE"""),1181.0)</f>
        <v>1181</v>
      </c>
      <c r="E4569" s="9"/>
    </row>
    <row r="4570">
      <c r="A4570" s="11">
        <f>IFERROR(__xludf.DUMMYFUNCTION("""COMPUTED_VALUE"""),2021.0)</f>
        <v>2021</v>
      </c>
      <c r="B4570" s="11">
        <f>IFERROR(__xludf.DUMMYFUNCTION("""COMPUTED_VALUE"""),9.0)</f>
        <v>9</v>
      </c>
      <c r="C4570" s="11">
        <f>IFERROR(__xludf.DUMMYFUNCTION("""COMPUTED_VALUE"""),122220.0)</f>
        <v>122220</v>
      </c>
      <c r="D4570" s="11">
        <f>IFERROR(__xludf.DUMMYFUNCTION("""COMPUTED_VALUE"""),1144.0)</f>
        <v>1144</v>
      </c>
      <c r="E4570" s="9"/>
    </row>
    <row r="4571">
      <c r="A4571" s="11">
        <f>IFERROR(__xludf.DUMMYFUNCTION("""COMPUTED_VALUE"""),2021.0)</f>
        <v>2021</v>
      </c>
      <c r="B4571" s="11">
        <f>IFERROR(__xludf.DUMMYFUNCTION("""COMPUTED_VALUE"""),8.0)</f>
        <v>8</v>
      </c>
      <c r="C4571" s="11">
        <f>IFERROR(__xludf.DUMMYFUNCTION("""COMPUTED_VALUE"""),122214.0)</f>
        <v>122214</v>
      </c>
      <c r="D4571" s="11">
        <f>IFERROR(__xludf.DUMMYFUNCTION("""COMPUTED_VALUE"""),109.0)</f>
        <v>109</v>
      </c>
      <c r="E4571" s="9"/>
    </row>
    <row r="4572">
      <c r="A4572" s="11">
        <f>IFERROR(__xludf.DUMMYFUNCTION("""COMPUTED_VALUE"""),2021.0)</f>
        <v>2021</v>
      </c>
      <c r="B4572" s="11">
        <f>IFERROR(__xludf.DUMMYFUNCTION("""COMPUTED_VALUE"""),8.0)</f>
        <v>8</v>
      </c>
      <c r="C4572" s="11">
        <f>IFERROR(__xludf.DUMMYFUNCTION("""COMPUTED_VALUE"""),46936.0)</f>
        <v>46936</v>
      </c>
      <c r="D4572" s="11">
        <f>IFERROR(__xludf.DUMMYFUNCTION("""COMPUTED_VALUE"""),1842.0)</f>
        <v>1842</v>
      </c>
      <c r="E4572" s="9"/>
    </row>
    <row r="4573">
      <c r="A4573" s="11">
        <f>IFERROR(__xludf.DUMMYFUNCTION("""COMPUTED_VALUE"""),2021.0)</f>
        <v>2021</v>
      </c>
      <c r="B4573" s="11">
        <f>IFERROR(__xludf.DUMMYFUNCTION("""COMPUTED_VALUE"""),11.0)</f>
        <v>11</v>
      </c>
      <c r="C4573" s="11">
        <f>IFERROR(__xludf.DUMMYFUNCTION("""COMPUTED_VALUE"""),112122.0)</f>
        <v>112122</v>
      </c>
      <c r="D4573" s="11">
        <f>IFERROR(__xludf.DUMMYFUNCTION("""COMPUTED_VALUE"""),389.0)</f>
        <v>389</v>
      </c>
      <c r="E4573" s="9"/>
    </row>
    <row r="4574">
      <c r="A4574" s="11">
        <f>IFERROR(__xludf.DUMMYFUNCTION("""COMPUTED_VALUE"""),2021.0)</f>
        <v>2021</v>
      </c>
      <c r="B4574" s="11">
        <f>IFERROR(__xludf.DUMMYFUNCTION("""COMPUTED_VALUE"""),8.0)</f>
        <v>8</v>
      </c>
      <c r="C4574" s="11">
        <f>IFERROR(__xludf.DUMMYFUNCTION("""COMPUTED_VALUE"""),71055.0)</f>
        <v>71055</v>
      </c>
      <c r="D4574" s="11">
        <f>IFERROR(__xludf.DUMMYFUNCTION("""COMPUTED_VALUE"""),1696.0)</f>
        <v>1696</v>
      </c>
      <c r="E4574" s="9"/>
    </row>
    <row r="4575">
      <c r="A4575" s="11">
        <f>IFERROR(__xludf.DUMMYFUNCTION("""COMPUTED_VALUE"""),2021.0)</f>
        <v>2021</v>
      </c>
      <c r="B4575" s="11">
        <f>IFERROR(__xludf.DUMMYFUNCTION("""COMPUTED_VALUE"""),9.0)</f>
        <v>9</v>
      </c>
      <c r="C4575" s="11">
        <f>IFERROR(__xludf.DUMMYFUNCTION("""COMPUTED_VALUE"""),41034.0)</f>
        <v>41034</v>
      </c>
      <c r="D4575" s="11">
        <f>IFERROR(__xludf.DUMMYFUNCTION("""COMPUTED_VALUE"""),1867.0)</f>
        <v>1867</v>
      </c>
      <c r="E4575" s="9"/>
    </row>
    <row r="4576">
      <c r="A4576" s="11">
        <f>IFERROR(__xludf.DUMMYFUNCTION("""COMPUTED_VALUE"""),2021.0)</f>
        <v>2021</v>
      </c>
      <c r="B4576" s="11">
        <f>IFERROR(__xludf.DUMMYFUNCTION("""COMPUTED_VALUE"""),10.0)</f>
        <v>10</v>
      </c>
      <c r="C4576" s="11">
        <f>IFERROR(__xludf.DUMMYFUNCTION("""COMPUTED_VALUE"""),111153.0)</f>
        <v>111153</v>
      </c>
      <c r="D4576" s="11">
        <f>IFERROR(__xludf.DUMMYFUNCTION("""COMPUTED_VALUE"""),1105.0)</f>
        <v>1105</v>
      </c>
      <c r="E4576" s="9"/>
    </row>
    <row r="4577">
      <c r="A4577" s="11">
        <f>IFERROR(__xludf.DUMMYFUNCTION("""COMPUTED_VALUE"""),2021.0)</f>
        <v>2021</v>
      </c>
      <c r="B4577" s="11">
        <f>IFERROR(__xludf.DUMMYFUNCTION("""COMPUTED_VALUE"""),11.0)</f>
        <v>11</v>
      </c>
      <c r="C4577" s="11">
        <f>IFERROR(__xludf.DUMMYFUNCTION("""COMPUTED_VALUE"""),119120.0)</f>
        <v>119120</v>
      </c>
      <c r="D4577" s="11">
        <f>IFERROR(__xludf.DUMMYFUNCTION("""COMPUTED_VALUE"""),1512.0)</f>
        <v>1512</v>
      </c>
      <c r="E4577" s="9"/>
    </row>
    <row r="4578">
      <c r="A4578" s="11">
        <f>IFERROR(__xludf.DUMMYFUNCTION("""COMPUTED_VALUE"""),2021.0)</f>
        <v>2021</v>
      </c>
      <c r="B4578" s="11">
        <f>IFERROR(__xludf.DUMMYFUNCTION("""COMPUTED_VALUE"""),9.0)</f>
        <v>9</v>
      </c>
      <c r="C4578" s="11">
        <f>IFERROR(__xludf.DUMMYFUNCTION("""COMPUTED_VALUE"""),139297.0)</f>
        <v>139297</v>
      </c>
      <c r="D4578" s="11">
        <f>IFERROR(__xludf.DUMMYFUNCTION("""COMPUTED_VALUE"""),1133.0)</f>
        <v>1133</v>
      </c>
      <c r="E4578" s="9"/>
    </row>
    <row r="4579">
      <c r="A4579" s="11">
        <f>IFERROR(__xludf.DUMMYFUNCTION("""COMPUTED_VALUE"""),2021.0)</f>
        <v>2021</v>
      </c>
      <c r="B4579" s="11">
        <f>IFERROR(__xludf.DUMMYFUNCTION("""COMPUTED_VALUE"""),9.0)</f>
        <v>9</v>
      </c>
      <c r="C4579" s="11">
        <f>IFERROR(__xludf.DUMMYFUNCTION("""COMPUTED_VALUE"""),48476.0)</f>
        <v>48476</v>
      </c>
      <c r="D4579" s="11">
        <f>IFERROR(__xludf.DUMMYFUNCTION("""COMPUTED_VALUE"""),1732.0)</f>
        <v>1732</v>
      </c>
      <c r="E4579" s="9"/>
    </row>
    <row r="4580">
      <c r="A4580" s="11">
        <f>IFERROR(__xludf.DUMMYFUNCTION("""COMPUTED_VALUE"""),2021.0)</f>
        <v>2021</v>
      </c>
      <c r="B4580" s="11">
        <f>IFERROR(__xludf.DUMMYFUNCTION("""COMPUTED_VALUE"""),11.0)</f>
        <v>11</v>
      </c>
      <c r="C4580" s="11">
        <f>IFERROR(__xludf.DUMMYFUNCTION("""COMPUTED_VALUE"""),103454.0)</f>
        <v>103454</v>
      </c>
      <c r="D4580" s="11">
        <f>IFERROR(__xludf.DUMMYFUNCTION("""COMPUTED_VALUE"""),418.0)</f>
        <v>418</v>
      </c>
      <c r="E4580" s="9"/>
    </row>
    <row r="4581">
      <c r="A4581" s="11">
        <f>IFERROR(__xludf.DUMMYFUNCTION("""COMPUTED_VALUE"""),2021.0)</f>
        <v>2021</v>
      </c>
      <c r="B4581" s="11">
        <f>IFERROR(__xludf.DUMMYFUNCTION("""COMPUTED_VALUE"""),10.0)</f>
        <v>10</v>
      </c>
      <c r="C4581" s="11">
        <f>IFERROR(__xludf.DUMMYFUNCTION("""COMPUTED_VALUE"""),103456.0)</f>
        <v>103456</v>
      </c>
      <c r="D4581" s="11">
        <f>IFERROR(__xludf.DUMMYFUNCTION("""COMPUTED_VALUE"""),402.0)</f>
        <v>402</v>
      </c>
      <c r="E4581" s="9"/>
    </row>
    <row r="4582">
      <c r="A4582" s="11">
        <f>IFERROR(__xludf.DUMMYFUNCTION("""COMPUTED_VALUE"""),2021.0)</f>
        <v>2021</v>
      </c>
      <c r="B4582" s="11">
        <f>IFERROR(__xludf.DUMMYFUNCTION("""COMPUTED_VALUE"""),9.0)</f>
        <v>9</v>
      </c>
      <c r="C4582" s="11">
        <f>IFERROR(__xludf.DUMMYFUNCTION("""COMPUTED_VALUE"""),139304.0)</f>
        <v>139304</v>
      </c>
      <c r="D4582" s="11">
        <f>IFERROR(__xludf.DUMMYFUNCTION("""COMPUTED_VALUE"""),114.0)</f>
        <v>114</v>
      </c>
      <c r="E4582" s="9"/>
    </row>
    <row r="4583">
      <c r="A4583" s="11">
        <f>IFERROR(__xludf.DUMMYFUNCTION("""COMPUTED_VALUE"""),2021.0)</f>
        <v>2021</v>
      </c>
      <c r="B4583" s="11">
        <f>IFERROR(__xludf.DUMMYFUNCTION("""COMPUTED_VALUE"""),9.0)</f>
        <v>9</v>
      </c>
      <c r="C4583" s="11">
        <f>IFERROR(__xludf.DUMMYFUNCTION("""COMPUTED_VALUE"""),158661.0)</f>
        <v>158661</v>
      </c>
      <c r="D4583" s="11">
        <f>IFERROR(__xludf.DUMMYFUNCTION("""COMPUTED_VALUE"""),1387.0)</f>
        <v>1387</v>
      </c>
      <c r="E4583" s="9"/>
    </row>
    <row r="4584">
      <c r="A4584" s="11">
        <f>IFERROR(__xludf.DUMMYFUNCTION("""COMPUTED_VALUE"""),2021.0)</f>
        <v>2021</v>
      </c>
      <c r="B4584" s="11">
        <f>IFERROR(__xludf.DUMMYFUNCTION("""COMPUTED_VALUE"""),11.0)</f>
        <v>11</v>
      </c>
      <c r="C4584" s="11">
        <f>IFERROR(__xludf.DUMMYFUNCTION("""COMPUTED_VALUE"""),162441.0)</f>
        <v>162441</v>
      </c>
      <c r="D4584" s="11">
        <f>IFERROR(__xludf.DUMMYFUNCTION("""COMPUTED_VALUE"""),1080.0)</f>
        <v>1080</v>
      </c>
      <c r="E4584" s="9"/>
    </row>
    <row r="4585">
      <c r="A4585" s="11">
        <f>IFERROR(__xludf.DUMMYFUNCTION("""COMPUTED_VALUE"""),2021.0)</f>
        <v>2021</v>
      </c>
      <c r="B4585" s="11">
        <f>IFERROR(__xludf.DUMMYFUNCTION("""COMPUTED_VALUE"""),11.0)</f>
        <v>11</v>
      </c>
      <c r="C4585" s="11">
        <f>IFERROR(__xludf.DUMMYFUNCTION("""COMPUTED_VALUE"""),102695.0)</f>
        <v>102695</v>
      </c>
      <c r="D4585" s="11">
        <f>IFERROR(__xludf.DUMMYFUNCTION("""COMPUTED_VALUE"""),859.0)</f>
        <v>859</v>
      </c>
      <c r="E4585" s="9"/>
    </row>
    <row r="4586">
      <c r="A4586" s="11">
        <f>IFERROR(__xludf.DUMMYFUNCTION("""COMPUTED_VALUE"""),2021.0)</f>
        <v>2021</v>
      </c>
      <c r="B4586" s="11">
        <f>IFERROR(__xludf.DUMMYFUNCTION("""COMPUTED_VALUE"""),8.0)</f>
        <v>8</v>
      </c>
      <c r="C4586" s="11">
        <f>IFERROR(__xludf.DUMMYFUNCTION("""COMPUTED_VALUE"""),78913.0)</f>
        <v>78913</v>
      </c>
      <c r="D4586" s="11">
        <f>IFERROR(__xludf.DUMMYFUNCTION("""COMPUTED_VALUE"""),863.0)</f>
        <v>863</v>
      </c>
      <c r="E4586" s="9"/>
    </row>
    <row r="4587">
      <c r="A4587" s="11">
        <f>IFERROR(__xludf.DUMMYFUNCTION("""COMPUTED_VALUE"""),2021.0)</f>
        <v>2021</v>
      </c>
      <c r="B4587" s="11">
        <f>IFERROR(__xludf.DUMMYFUNCTION("""COMPUTED_VALUE"""),9.0)</f>
        <v>9</v>
      </c>
      <c r="C4587" s="11">
        <f>IFERROR(__xludf.DUMMYFUNCTION("""COMPUTED_VALUE"""),71397.0)</f>
        <v>71397</v>
      </c>
      <c r="D4587" s="11">
        <f>IFERROR(__xludf.DUMMYFUNCTION("""COMPUTED_VALUE"""),1234.0)</f>
        <v>1234</v>
      </c>
      <c r="E4587" s="9"/>
    </row>
    <row r="4588">
      <c r="A4588" s="11">
        <f>IFERROR(__xludf.DUMMYFUNCTION("""COMPUTED_VALUE"""),2021.0)</f>
        <v>2021</v>
      </c>
      <c r="B4588" s="11">
        <f>IFERROR(__xludf.DUMMYFUNCTION("""COMPUTED_VALUE"""),9.0)</f>
        <v>9</v>
      </c>
      <c r="C4588" s="11">
        <f>IFERROR(__xludf.DUMMYFUNCTION("""COMPUTED_VALUE"""),17596.0)</f>
        <v>17596</v>
      </c>
      <c r="D4588" s="11">
        <f>IFERROR(__xludf.DUMMYFUNCTION("""COMPUTED_VALUE"""),1181.0)</f>
        <v>1181</v>
      </c>
      <c r="E4588" s="9"/>
    </row>
    <row r="4589">
      <c r="A4589" s="11">
        <f>IFERROR(__xludf.DUMMYFUNCTION("""COMPUTED_VALUE"""),2021.0)</f>
        <v>2021</v>
      </c>
      <c r="B4589" s="11">
        <f>IFERROR(__xludf.DUMMYFUNCTION("""COMPUTED_VALUE"""),10.0)</f>
        <v>10</v>
      </c>
      <c r="C4589" s="11">
        <f>IFERROR(__xludf.DUMMYFUNCTION("""COMPUTED_VALUE"""),71398.0)</f>
        <v>71398</v>
      </c>
      <c r="D4589" s="11">
        <f>IFERROR(__xludf.DUMMYFUNCTION("""COMPUTED_VALUE"""),1724.0)</f>
        <v>1724</v>
      </c>
      <c r="E4589" s="9"/>
    </row>
    <row r="4590">
      <c r="A4590" s="11">
        <f>IFERROR(__xludf.DUMMYFUNCTION("""COMPUTED_VALUE"""),2021.0)</f>
        <v>2021</v>
      </c>
      <c r="B4590" s="11">
        <f>IFERROR(__xludf.DUMMYFUNCTION("""COMPUTED_VALUE"""),8.0)</f>
        <v>8</v>
      </c>
      <c r="C4590" s="11">
        <f>IFERROR(__xludf.DUMMYFUNCTION("""COMPUTED_VALUE"""),17627.0)</f>
        <v>17627</v>
      </c>
      <c r="D4590" s="11">
        <f>IFERROR(__xludf.DUMMYFUNCTION("""COMPUTED_VALUE"""),1484.0)</f>
        <v>1484</v>
      </c>
      <c r="E4590" s="9"/>
    </row>
    <row r="4591">
      <c r="A4591" s="11">
        <f>IFERROR(__xludf.DUMMYFUNCTION("""COMPUTED_VALUE"""),2021.0)</f>
        <v>2021</v>
      </c>
      <c r="B4591" s="11">
        <f>IFERROR(__xludf.DUMMYFUNCTION("""COMPUTED_VALUE"""),8.0)</f>
        <v>8</v>
      </c>
      <c r="C4591" s="11">
        <f>IFERROR(__xludf.DUMMYFUNCTION("""COMPUTED_VALUE"""),86166.0)</f>
        <v>86166</v>
      </c>
      <c r="D4591" s="11">
        <f>IFERROR(__xludf.DUMMYFUNCTION("""COMPUTED_VALUE"""),365.0)</f>
        <v>365</v>
      </c>
      <c r="E4591" s="9"/>
    </row>
    <row r="4592">
      <c r="A4592" s="11">
        <f>IFERROR(__xludf.DUMMYFUNCTION("""COMPUTED_VALUE"""),2021.0)</f>
        <v>2021</v>
      </c>
      <c r="B4592" s="11">
        <f>IFERROR(__xludf.DUMMYFUNCTION("""COMPUTED_VALUE"""),8.0)</f>
        <v>8</v>
      </c>
      <c r="C4592" s="11">
        <f>IFERROR(__xludf.DUMMYFUNCTION("""COMPUTED_VALUE"""),71409.0)</f>
        <v>71409</v>
      </c>
      <c r="D4592" s="11">
        <f>IFERROR(__xludf.DUMMYFUNCTION("""COMPUTED_VALUE"""),980.0)</f>
        <v>980</v>
      </c>
      <c r="E4592" s="9"/>
    </row>
    <row r="4593">
      <c r="A4593" s="11">
        <f>IFERROR(__xludf.DUMMYFUNCTION("""COMPUTED_VALUE"""),2021.0)</f>
        <v>2021</v>
      </c>
      <c r="B4593" s="11">
        <f>IFERROR(__xludf.DUMMYFUNCTION("""COMPUTED_VALUE"""),9.0)</f>
        <v>9</v>
      </c>
      <c r="C4593" s="11">
        <f>IFERROR(__xludf.DUMMYFUNCTION("""COMPUTED_VALUE"""),12877.0)</f>
        <v>12877</v>
      </c>
      <c r="D4593" s="11">
        <f>IFERROR(__xludf.DUMMYFUNCTION("""COMPUTED_VALUE"""),37.0)</f>
        <v>37</v>
      </c>
      <c r="E4593" s="9"/>
    </row>
    <row r="4594">
      <c r="A4594" s="11">
        <f>IFERROR(__xludf.DUMMYFUNCTION("""COMPUTED_VALUE"""),2021.0)</f>
        <v>2021</v>
      </c>
      <c r="B4594" s="11">
        <f>IFERROR(__xludf.DUMMYFUNCTION("""COMPUTED_VALUE"""),10.0)</f>
        <v>10</v>
      </c>
      <c r="C4594" s="11">
        <f>IFERROR(__xludf.DUMMYFUNCTION("""COMPUTED_VALUE"""),121868.0)</f>
        <v>121868</v>
      </c>
      <c r="D4594" s="11">
        <f>IFERROR(__xludf.DUMMYFUNCTION("""COMPUTED_VALUE"""),1156.0)</f>
        <v>1156</v>
      </c>
      <c r="E4594" s="9"/>
    </row>
    <row r="4595">
      <c r="A4595" s="11">
        <f>IFERROR(__xludf.DUMMYFUNCTION("""COMPUTED_VALUE"""),2021.0)</f>
        <v>2021</v>
      </c>
      <c r="B4595" s="11">
        <f>IFERROR(__xludf.DUMMYFUNCTION("""COMPUTED_VALUE"""),8.0)</f>
        <v>8</v>
      </c>
      <c r="C4595" s="11">
        <f>IFERROR(__xludf.DUMMYFUNCTION("""COMPUTED_VALUE"""),17626.0)</f>
        <v>17626</v>
      </c>
      <c r="D4595" s="11">
        <f>IFERROR(__xludf.DUMMYFUNCTION("""COMPUTED_VALUE"""),1854.0)</f>
        <v>1854</v>
      </c>
      <c r="E4595" s="9"/>
    </row>
    <row r="4596">
      <c r="A4596" s="11">
        <f>IFERROR(__xludf.DUMMYFUNCTION("""COMPUTED_VALUE"""),2021.0)</f>
        <v>2021</v>
      </c>
      <c r="B4596" s="11">
        <f>IFERROR(__xludf.DUMMYFUNCTION("""COMPUTED_VALUE"""),10.0)</f>
        <v>10</v>
      </c>
      <c r="C4596" s="11">
        <f>IFERROR(__xludf.DUMMYFUNCTION("""COMPUTED_VALUE"""),71394.0)</f>
        <v>71394</v>
      </c>
      <c r="D4596" s="11">
        <f>IFERROR(__xludf.DUMMYFUNCTION("""COMPUTED_VALUE"""),1101.0)</f>
        <v>1101</v>
      </c>
      <c r="E4596" s="9"/>
    </row>
    <row r="4597">
      <c r="A4597" s="11">
        <f>IFERROR(__xludf.DUMMYFUNCTION("""COMPUTED_VALUE"""),2021.0)</f>
        <v>2021</v>
      </c>
      <c r="B4597" s="11">
        <f>IFERROR(__xludf.DUMMYFUNCTION("""COMPUTED_VALUE"""),10.0)</f>
        <v>10</v>
      </c>
      <c r="C4597" s="11">
        <f>IFERROR(__xludf.DUMMYFUNCTION("""COMPUTED_VALUE"""),17620.0)</f>
        <v>17620</v>
      </c>
      <c r="D4597" s="11">
        <f>IFERROR(__xludf.DUMMYFUNCTION("""COMPUTED_VALUE"""),1866.0)</f>
        <v>1866</v>
      </c>
      <c r="E4597" s="9"/>
    </row>
    <row r="4598">
      <c r="A4598" s="11">
        <f>IFERROR(__xludf.DUMMYFUNCTION("""COMPUTED_VALUE"""),2021.0)</f>
        <v>2021</v>
      </c>
      <c r="B4598" s="11">
        <f>IFERROR(__xludf.DUMMYFUNCTION("""COMPUTED_VALUE"""),8.0)</f>
        <v>8</v>
      </c>
      <c r="C4598" s="11">
        <f>IFERROR(__xludf.DUMMYFUNCTION("""COMPUTED_VALUE"""),86186.0)</f>
        <v>86186</v>
      </c>
      <c r="D4598" s="11">
        <f>IFERROR(__xludf.DUMMYFUNCTION("""COMPUTED_VALUE"""),1186.0)</f>
        <v>1186</v>
      </c>
      <c r="E4598" s="9"/>
    </row>
    <row r="4599">
      <c r="A4599" s="11">
        <f>IFERROR(__xludf.DUMMYFUNCTION("""COMPUTED_VALUE"""),2021.0)</f>
        <v>2021</v>
      </c>
      <c r="B4599" s="11">
        <f>IFERROR(__xludf.DUMMYFUNCTION("""COMPUTED_VALUE"""),8.0)</f>
        <v>8</v>
      </c>
      <c r="C4599" s="11">
        <f>IFERROR(__xludf.DUMMYFUNCTION("""COMPUTED_VALUE"""),71410.0)</f>
        <v>71410</v>
      </c>
      <c r="D4599" s="11">
        <f>IFERROR(__xludf.DUMMYFUNCTION("""COMPUTED_VALUE"""),221.0)</f>
        <v>221</v>
      </c>
      <c r="E4599" s="9"/>
    </row>
    <row r="4600">
      <c r="A4600" s="11">
        <f>IFERROR(__xludf.DUMMYFUNCTION("""COMPUTED_VALUE"""),2021.0)</f>
        <v>2021</v>
      </c>
      <c r="B4600" s="11">
        <f>IFERROR(__xludf.DUMMYFUNCTION("""COMPUTED_VALUE"""),8.0)</f>
        <v>8</v>
      </c>
      <c r="C4600" s="11">
        <f>IFERROR(__xludf.DUMMYFUNCTION("""COMPUTED_VALUE"""),121869.0)</f>
        <v>121869</v>
      </c>
      <c r="D4600" s="11">
        <f>IFERROR(__xludf.DUMMYFUNCTION("""COMPUTED_VALUE"""),1409.0)</f>
        <v>1409</v>
      </c>
      <c r="E4600" s="9"/>
    </row>
    <row r="4601">
      <c r="A4601" s="11">
        <f>IFERROR(__xludf.DUMMYFUNCTION("""COMPUTED_VALUE"""),2021.0)</f>
        <v>2021</v>
      </c>
      <c r="B4601" s="11">
        <f>IFERROR(__xludf.DUMMYFUNCTION("""COMPUTED_VALUE"""),8.0)</f>
        <v>8</v>
      </c>
      <c r="C4601" s="11">
        <f>IFERROR(__xludf.DUMMYFUNCTION("""COMPUTED_VALUE"""),17624.0)</f>
        <v>17624</v>
      </c>
      <c r="D4601" s="11">
        <f>IFERROR(__xludf.DUMMYFUNCTION("""COMPUTED_VALUE"""),78.0)</f>
        <v>78</v>
      </c>
      <c r="E4601" s="9"/>
    </row>
    <row r="4602">
      <c r="A4602" s="11">
        <f>IFERROR(__xludf.DUMMYFUNCTION("""COMPUTED_VALUE"""),2021.0)</f>
        <v>2021</v>
      </c>
      <c r="B4602" s="11">
        <f>IFERROR(__xludf.DUMMYFUNCTION("""COMPUTED_VALUE"""),10.0)</f>
        <v>10</v>
      </c>
      <c r="C4602" s="11">
        <f>IFERROR(__xludf.DUMMYFUNCTION("""COMPUTED_VALUE"""),119737.0)</f>
        <v>119737</v>
      </c>
      <c r="D4602" s="11">
        <f>IFERROR(__xludf.DUMMYFUNCTION("""COMPUTED_VALUE"""),1590.0)</f>
        <v>1590</v>
      </c>
      <c r="E4602" s="9"/>
    </row>
    <row r="4603">
      <c r="A4603" s="11">
        <f>IFERROR(__xludf.DUMMYFUNCTION("""COMPUTED_VALUE"""),2021.0)</f>
        <v>2021</v>
      </c>
      <c r="B4603" s="11">
        <f>IFERROR(__xludf.DUMMYFUNCTION("""COMPUTED_VALUE"""),9.0)</f>
        <v>9</v>
      </c>
      <c r="C4603" s="11">
        <f>IFERROR(__xludf.DUMMYFUNCTION("""COMPUTED_VALUE"""),17618.0)</f>
        <v>17618</v>
      </c>
      <c r="D4603" s="11">
        <f>IFERROR(__xludf.DUMMYFUNCTION("""COMPUTED_VALUE"""),1049.0)</f>
        <v>1049</v>
      </c>
      <c r="E4603" s="9"/>
    </row>
    <row r="4604">
      <c r="A4604" s="11">
        <f>IFERROR(__xludf.DUMMYFUNCTION("""COMPUTED_VALUE"""),2021.0)</f>
        <v>2021</v>
      </c>
      <c r="B4604" s="11">
        <f>IFERROR(__xludf.DUMMYFUNCTION("""COMPUTED_VALUE"""),10.0)</f>
        <v>10</v>
      </c>
      <c r="C4604" s="11">
        <f>IFERROR(__xludf.DUMMYFUNCTION("""COMPUTED_VALUE"""),78741.0)</f>
        <v>78741</v>
      </c>
      <c r="D4604" s="11">
        <f>IFERROR(__xludf.DUMMYFUNCTION("""COMPUTED_VALUE"""),1507.0)</f>
        <v>1507</v>
      </c>
      <c r="E4604" s="9"/>
    </row>
    <row r="4605">
      <c r="A4605" s="11">
        <f>IFERROR(__xludf.DUMMYFUNCTION("""COMPUTED_VALUE"""),2021.0)</f>
        <v>2021</v>
      </c>
      <c r="B4605" s="11">
        <f>IFERROR(__xludf.DUMMYFUNCTION("""COMPUTED_VALUE"""),10.0)</f>
        <v>10</v>
      </c>
      <c r="C4605" s="11">
        <f>IFERROR(__xludf.DUMMYFUNCTION("""COMPUTED_VALUE"""),86864.0)</f>
        <v>86864</v>
      </c>
      <c r="D4605" s="11">
        <f>IFERROR(__xludf.DUMMYFUNCTION("""COMPUTED_VALUE"""),690.0)</f>
        <v>690</v>
      </c>
      <c r="E4605" s="9"/>
    </row>
    <row r="4606">
      <c r="A4606" s="11">
        <f>IFERROR(__xludf.DUMMYFUNCTION("""COMPUTED_VALUE"""),2021.0)</f>
        <v>2021</v>
      </c>
      <c r="B4606" s="11">
        <f>IFERROR(__xludf.DUMMYFUNCTION("""COMPUTED_VALUE"""),10.0)</f>
        <v>10</v>
      </c>
      <c r="C4606" s="11">
        <f>IFERROR(__xludf.DUMMYFUNCTION("""COMPUTED_VALUE"""),71421.0)</f>
        <v>71421</v>
      </c>
      <c r="D4606" s="11">
        <f>IFERROR(__xludf.DUMMYFUNCTION("""COMPUTED_VALUE"""),130.0)</f>
        <v>130</v>
      </c>
      <c r="E4606" s="9"/>
    </row>
    <row r="4607">
      <c r="A4607" s="11">
        <f>IFERROR(__xludf.DUMMYFUNCTION("""COMPUTED_VALUE"""),2021.0)</f>
        <v>2021</v>
      </c>
      <c r="B4607" s="11">
        <f>IFERROR(__xludf.DUMMYFUNCTION("""COMPUTED_VALUE"""),11.0)</f>
        <v>11</v>
      </c>
      <c r="C4607" s="11">
        <f>IFERROR(__xludf.DUMMYFUNCTION("""COMPUTED_VALUE"""),115776.0)</f>
        <v>115776</v>
      </c>
      <c r="D4607" s="11">
        <f>IFERROR(__xludf.DUMMYFUNCTION("""COMPUTED_VALUE"""),714.0)</f>
        <v>714</v>
      </c>
      <c r="E4607" s="9"/>
    </row>
    <row r="4608">
      <c r="A4608" s="11">
        <f>IFERROR(__xludf.DUMMYFUNCTION("""COMPUTED_VALUE"""),2021.0)</f>
        <v>2021</v>
      </c>
      <c r="B4608" s="11">
        <f>IFERROR(__xludf.DUMMYFUNCTION("""COMPUTED_VALUE"""),10.0)</f>
        <v>10</v>
      </c>
      <c r="C4608" s="11">
        <f>IFERROR(__xludf.DUMMYFUNCTION("""COMPUTED_VALUE"""),71393.0)</f>
        <v>71393</v>
      </c>
      <c r="D4608" s="11">
        <f>IFERROR(__xludf.DUMMYFUNCTION("""COMPUTED_VALUE"""),86.0)</f>
        <v>86</v>
      </c>
      <c r="E4608" s="9"/>
    </row>
    <row r="4609">
      <c r="A4609" s="11">
        <f>IFERROR(__xludf.DUMMYFUNCTION("""COMPUTED_VALUE"""),2021.0)</f>
        <v>2021</v>
      </c>
      <c r="B4609" s="11">
        <f>IFERROR(__xludf.DUMMYFUNCTION("""COMPUTED_VALUE"""),9.0)</f>
        <v>9</v>
      </c>
      <c r="C4609" s="11">
        <f>IFERROR(__xludf.DUMMYFUNCTION("""COMPUTED_VALUE"""),78739.0)</f>
        <v>78739</v>
      </c>
      <c r="D4609" s="11">
        <f>IFERROR(__xludf.DUMMYFUNCTION("""COMPUTED_VALUE"""),1637.0)</f>
        <v>1637</v>
      </c>
      <c r="E4609" s="9"/>
    </row>
    <row r="4610">
      <c r="A4610" s="11">
        <f>IFERROR(__xludf.DUMMYFUNCTION("""COMPUTED_VALUE"""),2021.0)</f>
        <v>2021</v>
      </c>
      <c r="B4610" s="11">
        <f>IFERROR(__xludf.DUMMYFUNCTION("""COMPUTED_VALUE"""),9.0)</f>
        <v>9</v>
      </c>
      <c r="C4610" s="11">
        <f>IFERROR(__xludf.DUMMYFUNCTION("""COMPUTED_VALUE"""),71408.0)</f>
        <v>71408</v>
      </c>
      <c r="D4610" s="11">
        <f>IFERROR(__xludf.DUMMYFUNCTION("""COMPUTED_VALUE"""),325.0)</f>
        <v>325</v>
      </c>
      <c r="E4610" s="9"/>
    </row>
    <row r="4611">
      <c r="A4611" s="11">
        <f>IFERROR(__xludf.DUMMYFUNCTION("""COMPUTED_VALUE"""),2021.0)</f>
        <v>2021</v>
      </c>
      <c r="B4611" s="11">
        <f>IFERROR(__xludf.DUMMYFUNCTION("""COMPUTED_VALUE"""),11.0)</f>
        <v>11</v>
      </c>
      <c r="C4611" s="11">
        <f>IFERROR(__xludf.DUMMYFUNCTION("""COMPUTED_VALUE"""),109194.0)</f>
        <v>109194</v>
      </c>
      <c r="D4611" s="11">
        <f>IFERROR(__xludf.DUMMYFUNCTION("""COMPUTED_VALUE"""),1481.0)</f>
        <v>1481</v>
      </c>
      <c r="E4611" s="9"/>
    </row>
    <row r="4612">
      <c r="A4612" s="11">
        <f>IFERROR(__xludf.DUMMYFUNCTION("""COMPUTED_VALUE"""),2021.0)</f>
        <v>2021</v>
      </c>
      <c r="B4612" s="11">
        <f>IFERROR(__xludf.DUMMYFUNCTION("""COMPUTED_VALUE"""),8.0)</f>
        <v>8</v>
      </c>
      <c r="C4612" s="11">
        <f>IFERROR(__xludf.DUMMYFUNCTION("""COMPUTED_VALUE"""),84448.0)</f>
        <v>84448</v>
      </c>
      <c r="D4612" s="11">
        <f>IFERROR(__xludf.DUMMYFUNCTION("""COMPUTED_VALUE"""),1712.0)</f>
        <v>1712</v>
      </c>
      <c r="E4612" s="9"/>
    </row>
    <row r="4613">
      <c r="A4613" s="11">
        <f>IFERROR(__xludf.DUMMYFUNCTION("""COMPUTED_VALUE"""),2021.0)</f>
        <v>2021</v>
      </c>
      <c r="B4613" s="11">
        <f>IFERROR(__xludf.DUMMYFUNCTION("""COMPUTED_VALUE"""),11.0)</f>
        <v>11</v>
      </c>
      <c r="C4613" s="11">
        <f>IFERROR(__xludf.DUMMYFUNCTION("""COMPUTED_VALUE"""),140575.0)</f>
        <v>140575</v>
      </c>
      <c r="D4613" s="11">
        <f>IFERROR(__xludf.DUMMYFUNCTION("""COMPUTED_VALUE"""),786.0)</f>
        <v>786</v>
      </c>
      <c r="E4613" s="9"/>
    </row>
    <row r="4614">
      <c r="A4614" s="11">
        <f>IFERROR(__xludf.DUMMYFUNCTION("""COMPUTED_VALUE"""),2021.0)</f>
        <v>2021</v>
      </c>
      <c r="B4614" s="11">
        <f>IFERROR(__xludf.DUMMYFUNCTION("""COMPUTED_VALUE"""),10.0)</f>
        <v>10</v>
      </c>
      <c r="C4614" s="11">
        <f>IFERROR(__xludf.DUMMYFUNCTION("""COMPUTED_VALUE"""),71420.0)</f>
        <v>71420</v>
      </c>
      <c r="D4614" s="11">
        <f>IFERROR(__xludf.DUMMYFUNCTION("""COMPUTED_VALUE"""),1644.0)</f>
        <v>1644</v>
      </c>
      <c r="E4614" s="9"/>
    </row>
    <row r="4615">
      <c r="A4615" s="11">
        <f>IFERROR(__xludf.DUMMYFUNCTION("""COMPUTED_VALUE"""),2021.0)</f>
        <v>2021</v>
      </c>
      <c r="B4615" s="11">
        <f>IFERROR(__xludf.DUMMYFUNCTION("""COMPUTED_VALUE"""),8.0)</f>
        <v>8</v>
      </c>
      <c r="C4615" s="11">
        <f>IFERROR(__xludf.DUMMYFUNCTION("""COMPUTED_VALUE"""),71375.0)</f>
        <v>71375</v>
      </c>
      <c r="D4615" s="11">
        <f>IFERROR(__xludf.DUMMYFUNCTION("""COMPUTED_VALUE"""),1088.0)</f>
        <v>1088</v>
      </c>
      <c r="E4615" s="9"/>
    </row>
    <row r="4616">
      <c r="A4616" s="11">
        <f>IFERROR(__xludf.DUMMYFUNCTION("""COMPUTED_VALUE"""),2021.0)</f>
        <v>2021</v>
      </c>
      <c r="B4616" s="11">
        <f>IFERROR(__xludf.DUMMYFUNCTION("""COMPUTED_VALUE"""),8.0)</f>
        <v>8</v>
      </c>
      <c r="C4616" s="11">
        <f>IFERROR(__xludf.DUMMYFUNCTION("""COMPUTED_VALUE"""),71376.0)</f>
        <v>71376</v>
      </c>
      <c r="D4616" s="11">
        <f>IFERROR(__xludf.DUMMYFUNCTION("""COMPUTED_VALUE"""),1266.0)</f>
        <v>1266</v>
      </c>
      <c r="E4616" s="9"/>
    </row>
    <row r="4617">
      <c r="A4617" s="11">
        <f>IFERROR(__xludf.DUMMYFUNCTION("""COMPUTED_VALUE"""),2021.0)</f>
        <v>2021</v>
      </c>
      <c r="B4617" s="11">
        <f>IFERROR(__xludf.DUMMYFUNCTION("""COMPUTED_VALUE"""),11.0)</f>
        <v>11</v>
      </c>
      <c r="C4617" s="11">
        <f>IFERROR(__xludf.DUMMYFUNCTION("""COMPUTED_VALUE"""),110975.0)</f>
        <v>110975</v>
      </c>
      <c r="D4617" s="11">
        <f>IFERROR(__xludf.DUMMYFUNCTION("""COMPUTED_VALUE"""),457.0)</f>
        <v>457</v>
      </c>
      <c r="E4617" s="9"/>
    </row>
    <row r="4618">
      <c r="A4618" s="11">
        <f>IFERROR(__xludf.DUMMYFUNCTION("""COMPUTED_VALUE"""),2021.0)</f>
        <v>2021</v>
      </c>
      <c r="B4618" s="11">
        <f>IFERROR(__xludf.DUMMYFUNCTION("""COMPUTED_VALUE"""),10.0)</f>
        <v>10</v>
      </c>
      <c r="C4618" s="11">
        <f>IFERROR(__xludf.DUMMYFUNCTION("""COMPUTED_VALUE"""),86170.0)</f>
        <v>86170</v>
      </c>
      <c r="D4618" s="11">
        <f>IFERROR(__xludf.DUMMYFUNCTION("""COMPUTED_VALUE"""),211.0)</f>
        <v>211</v>
      </c>
      <c r="E4618" s="9"/>
    </row>
    <row r="4619">
      <c r="A4619" s="11">
        <f>IFERROR(__xludf.DUMMYFUNCTION("""COMPUTED_VALUE"""),2021.0)</f>
        <v>2021</v>
      </c>
      <c r="B4619" s="11">
        <f>IFERROR(__xludf.DUMMYFUNCTION("""COMPUTED_VALUE"""),9.0)</f>
        <v>9</v>
      </c>
      <c r="C4619" s="11">
        <f>IFERROR(__xludf.DUMMYFUNCTION("""COMPUTED_VALUE"""),142787.0)</f>
        <v>142787</v>
      </c>
      <c r="D4619" s="11">
        <f>IFERROR(__xludf.DUMMYFUNCTION("""COMPUTED_VALUE"""),1722.0)</f>
        <v>1722</v>
      </c>
      <c r="E4619" s="9"/>
    </row>
    <row r="4620">
      <c r="A4620" s="11">
        <f>IFERROR(__xludf.DUMMYFUNCTION("""COMPUTED_VALUE"""),2021.0)</f>
        <v>2021</v>
      </c>
      <c r="B4620" s="11">
        <f>IFERROR(__xludf.DUMMYFUNCTION("""COMPUTED_VALUE"""),9.0)</f>
        <v>9</v>
      </c>
      <c r="C4620" s="11">
        <f>IFERROR(__xludf.DUMMYFUNCTION("""COMPUTED_VALUE"""),109185.0)</f>
        <v>109185</v>
      </c>
      <c r="D4620" s="11">
        <f>IFERROR(__xludf.DUMMYFUNCTION("""COMPUTED_VALUE"""),734.0)</f>
        <v>734</v>
      </c>
      <c r="E4620" s="9"/>
    </row>
    <row r="4621">
      <c r="A4621" s="11">
        <f>IFERROR(__xludf.DUMMYFUNCTION("""COMPUTED_VALUE"""),2021.0)</f>
        <v>2021</v>
      </c>
      <c r="B4621" s="11">
        <f>IFERROR(__xludf.DUMMYFUNCTION("""COMPUTED_VALUE"""),10.0)</f>
        <v>10</v>
      </c>
      <c r="C4621" s="11">
        <f>IFERROR(__xludf.DUMMYFUNCTION("""COMPUTED_VALUE"""),109184.0)</f>
        <v>109184</v>
      </c>
      <c r="D4621" s="11">
        <f>IFERROR(__xludf.DUMMYFUNCTION("""COMPUTED_VALUE"""),1289.0)</f>
        <v>1289</v>
      </c>
      <c r="E4621" s="9"/>
    </row>
    <row r="4622">
      <c r="A4622" s="11">
        <f>IFERROR(__xludf.DUMMYFUNCTION("""COMPUTED_VALUE"""),2021.0)</f>
        <v>2021</v>
      </c>
      <c r="B4622" s="11">
        <f>IFERROR(__xludf.DUMMYFUNCTION("""COMPUTED_VALUE"""),11.0)</f>
        <v>11</v>
      </c>
      <c r="C4622" s="11">
        <f>IFERROR(__xludf.DUMMYFUNCTION("""COMPUTED_VALUE"""),72575.0)</f>
        <v>72575</v>
      </c>
      <c r="D4622" s="11">
        <f>IFERROR(__xludf.DUMMYFUNCTION("""COMPUTED_VALUE"""),1514.0)</f>
        <v>1514</v>
      </c>
      <c r="E4622" s="9"/>
    </row>
    <row r="4623">
      <c r="A4623" s="11">
        <f>IFERROR(__xludf.DUMMYFUNCTION("""COMPUTED_VALUE"""),2021.0)</f>
        <v>2021</v>
      </c>
      <c r="B4623" s="11">
        <f>IFERROR(__xludf.DUMMYFUNCTION("""COMPUTED_VALUE"""),9.0)</f>
        <v>9</v>
      </c>
      <c r="C4623" s="11">
        <f>IFERROR(__xludf.DUMMYFUNCTION("""COMPUTED_VALUE"""),78909.0)</f>
        <v>78909</v>
      </c>
      <c r="D4623" s="11">
        <f>IFERROR(__xludf.DUMMYFUNCTION("""COMPUTED_VALUE"""),1635.0)</f>
        <v>1635</v>
      </c>
      <c r="E4623" s="9"/>
    </row>
    <row r="4624">
      <c r="A4624" s="11">
        <f>IFERROR(__xludf.DUMMYFUNCTION("""COMPUTED_VALUE"""),2021.0)</f>
        <v>2021</v>
      </c>
      <c r="B4624" s="11">
        <f>IFERROR(__xludf.DUMMYFUNCTION("""COMPUTED_VALUE"""),11.0)</f>
        <v>11</v>
      </c>
      <c r="C4624" s="11">
        <f>IFERROR(__xludf.DUMMYFUNCTION("""COMPUTED_VALUE"""),17630.0)</f>
        <v>17630</v>
      </c>
      <c r="D4624" s="11">
        <f>IFERROR(__xludf.DUMMYFUNCTION("""COMPUTED_VALUE"""),802.0)</f>
        <v>802</v>
      </c>
      <c r="E4624" s="9"/>
    </row>
    <row r="4625">
      <c r="A4625" s="11">
        <f>IFERROR(__xludf.DUMMYFUNCTION("""COMPUTED_VALUE"""),2021.0)</f>
        <v>2021</v>
      </c>
      <c r="B4625" s="11">
        <f>IFERROR(__xludf.DUMMYFUNCTION("""COMPUTED_VALUE"""),11.0)</f>
        <v>11</v>
      </c>
      <c r="C4625" s="11">
        <f>IFERROR(__xludf.DUMMYFUNCTION("""COMPUTED_VALUE"""),78924.0)</f>
        <v>78924</v>
      </c>
      <c r="D4625" s="11">
        <f>IFERROR(__xludf.DUMMYFUNCTION("""COMPUTED_VALUE"""),1701.0)</f>
        <v>1701</v>
      </c>
      <c r="E4625" s="9"/>
    </row>
    <row r="4626">
      <c r="A4626" s="11">
        <f>IFERROR(__xludf.DUMMYFUNCTION("""COMPUTED_VALUE"""),2021.0)</f>
        <v>2021</v>
      </c>
      <c r="B4626" s="11">
        <f>IFERROR(__xludf.DUMMYFUNCTION("""COMPUTED_VALUE"""),9.0)</f>
        <v>9</v>
      </c>
      <c r="C4626" s="11">
        <f>IFERROR(__xludf.DUMMYFUNCTION("""COMPUTED_VALUE"""),82196.0)</f>
        <v>82196</v>
      </c>
      <c r="D4626" s="11">
        <f>IFERROR(__xludf.DUMMYFUNCTION("""COMPUTED_VALUE"""),411.0)</f>
        <v>411</v>
      </c>
      <c r="E4626" s="9"/>
    </row>
    <row r="4627">
      <c r="A4627" s="11">
        <f>IFERROR(__xludf.DUMMYFUNCTION("""COMPUTED_VALUE"""),2021.0)</f>
        <v>2021</v>
      </c>
      <c r="B4627" s="11">
        <f>IFERROR(__xludf.DUMMYFUNCTION("""COMPUTED_VALUE"""),10.0)</f>
        <v>10</v>
      </c>
      <c r="C4627" s="11">
        <f>IFERROR(__xludf.DUMMYFUNCTION("""COMPUTED_VALUE"""),86184.0)</f>
        <v>86184</v>
      </c>
      <c r="D4627" s="11">
        <f>IFERROR(__xludf.DUMMYFUNCTION("""COMPUTED_VALUE"""),865.0)</f>
        <v>865</v>
      </c>
      <c r="E4627" s="9"/>
    </row>
    <row r="4628">
      <c r="A4628" s="11">
        <f>IFERROR(__xludf.DUMMYFUNCTION("""COMPUTED_VALUE"""),2021.0)</f>
        <v>2021</v>
      </c>
      <c r="B4628" s="11">
        <f>IFERROR(__xludf.DUMMYFUNCTION("""COMPUTED_VALUE"""),11.0)</f>
        <v>11</v>
      </c>
      <c r="C4628" s="11">
        <f>IFERROR(__xludf.DUMMYFUNCTION("""COMPUTED_VALUE"""),6219.0)</f>
        <v>6219</v>
      </c>
      <c r="D4628" s="11">
        <f>IFERROR(__xludf.DUMMYFUNCTION("""COMPUTED_VALUE"""),669.0)</f>
        <v>669</v>
      </c>
      <c r="E4628" s="9"/>
    </row>
    <row r="4629">
      <c r="A4629" s="11">
        <f>IFERROR(__xludf.DUMMYFUNCTION("""COMPUTED_VALUE"""),2021.0)</f>
        <v>2021</v>
      </c>
      <c r="B4629" s="11">
        <f>IFERROR(__xludf.DUMMYFUNCTION("""COMPUTED_VALUE"""),8.0)</f>
        <v>8</v>
      </c>
      <c r="C4629" s="11">
        <f>IFERROR(__xludf.DUMMYFUNCTION("""COMPUTED_VALUE"""),116185.0)</f>
        <v>116185</v>
      </c>
      <c r="D4629" s="11">
        <f>IFERROR(__xludf.DUMMYFUNCTION("""COMPUTED_VALUE"""),1263.0)</f>
        <v>1263</v>
      </c>
      <c r="E4629" s="9"/>
    </row>
    <row r="4630">
      <c r="A4630" s="11">
        <f>IFERROR(__xludf.DUMMYFUNCTION("""COMPUTED_VALUE"""),2021.0)</f>
        <v>2021</v>
      </c>
      <c r="B4630" s="11">
        <f>IFERROR(__xludf.DUMMYFUNCTION("""COMPUTED_VALUE"""),9.0)</f>
        <v>9</v>
      </c>
      <c r="C4630" s="11">
        <f>IFERROR(__xludf.DUMMYFUNCTION("""COMPUTED_VALUE"""),12873.0)</f>
        <v>12873</v>
      </c>
      <c r="D4630" s="11">
        <f>IFERROR(__xludf.DUMMYFUNCTION("""COMPUTED_VALUE"""),615.0)</f>
        <v>615</v>
      </c>
      <c r="E4630" s="9"/>
    </row>
    <row r="4631">
      <c r="A4631" s="11">
        <f>IFERROR(__xludf.DUMMYFUNCTION("""COMPUTED_VALUE"""),2021.0)</f>
        <v>2021</v>
      </c>
      <c r="B4631" s="11">
        <f>IFERROR(__xludf.DUMMYFUNCTION("""COMPUTED_VALUE"""),8.0)</f>
        <v>8</v>
      </c>
      <c r="C4631" s="11">
        <f>IFERROR(__xludf.DUMMYFUNCTION("""COMPUTED_VALUE"""),71413.0)</f>
        <v>71413</v>
      </c>
      <c r="D4631" s="11">
        <f>IFERROR(__xludf.DUMMYFUNCTION("""COMPUTED_VALUE"""),1862.0)</f>
        <v>1862</v>
      </c>
      <c r="E4631" s="9"/>
    </row>
    <row r="4632">
      <c r="A4632" s="11">
        <f>IFERROR(__xludf.DUMMYFUNCTION("""COMPUTED_VALUE"""),2021.0)</f>
        <v>2021</v>
      </c>
      <c r="B4632" s="11">
        <f>IFERROR(__xludf.DUMMYFUNCTION("""COMPUTED_VALUE"""),11.0)</f>
        <v>11</v>
      </c>
      <c r="C4632" s="11">
        <f>IFERROR(__xludf.DUMMYFUNCTION("""COMPUTED_VALUE"""),128352.0)</f>
        <v>128352</v>
      </c>
      <c r="D4632" s="11">
        <f>IFERROR(__xludf.DUMMYFUNCTION("""COMPUTED_VALUE"""),440.0)</f>
        <v>440</v>
      </c>
      <c r="E4632" s="9"/>
    </row>
    <row r="4633">
      <c r="A4633" s="11">
        <f>IFERROR(__xludf.DUMMYFUNCTION("""COMPUTED_VALUE"""),2021.0)</f>
        <v>2021</v>
      </c>
      <c r="B4633" s="11">
        <f>IFERROR(__xludf.DUMMYFUNCTION("""COMPUTED_VALUE"""),10.0)</f>
        <v>10</v>
      </c>
      <c r="C4633" s="11">
        <f>IFERROR(__xludf.DUMMYFUNCTION("""COMPUTED_VALUE"""),17594.0)</f>
        <v>17594</v>
      </c>
      <c r="D4633" s="11">
        <f>IFERROR(__xludf.DUMMYFUNCTION("""COMPUTED_VALUE"""),1863.0)</f>
        <v>1863</v>
      </c>
      <c r="E4633" s="9"/>
    </row>
    <row r="4634">
      <c r="A4634" s="11">
        <f>IFERROR(__xludf.DUMMYFUNCTION("""COMPUTED_VALUE"""),2021.0)</f>
        <v>2021</v>
      </c>
      <c r="B4634" s="11">
        <f>IFERROR(__xludf.DUMMYFUNCTION("""COMPUTED_VALUE"""),10.0)</f>
        <v>10</v>
      </c>
      <c r="C4634" s="11">
        <f>IFERROR(__xludf.DUMMYFUNCTION("""COMPUTED_VALUE"""),71404.0)</f>
        <v>71404</v>
      </c>
      <c r="D4634" s="11">
        <f>IFERROR(__xludf.DUMMYFUNCTION("""COMPUTED_VALUE"""),267.0)</f>
        <v>267</v>
      </c>
      <c r="E4634" s="9"/>
    </row>
    <row r="4635">
      <c r="A4635" s="11">
        <f>IFERROR(__xludf.DUMMYFUNCTION("""COMPUTED_VALUE"""),2021.0)</f>
        <v>2021</v>
      </c>
      <c r="B4635" s="11">
        <f>IFERROR(__xludf.DUMMYFUNCTION("""COMPUTED_VALUE"""),11.0)</f>
        <v>11</v>
      </c>
      <c r="C4635" s="11">
        <f>IFERROR(__xludf.DUMMYFUNCTION("""COMPUTED_VALUE"""),129473.0)</f>
        <v>129473</v>
      </c>
      <c r="D4635" s="11">
        <f>IFERROR(__xludf.DUMMYFUNCTION("""COMPUTED_VALUE"""),693.0)</f>
        <v>693</v>
      </c>
      <c r="E4635" s="9"/>
    </row>
    <row r="4636">
      <c r="A4636" s="11">
        <f>IFERROR(__xludf.DUMMYFUNCTION("""COMPUTED_VALUE"""),2021.0)</f>
        <v>2021</v>
      </c>
      <c r="B4636" s="11">
        <f>IFERROR(__xludf.DUMMYFUNCTION("""COMPUTED_VALUE"""),11.0)</f>
        <v>11</v>
      </c>
      <c r="C4636" s="11">
        <f>IFERROR(__xludf.DUMMYFUNCTION("""COMPUTED_VALUE"""),78904.0)</f>
        <v>78904</v>
      </c>
      <c r="D4636" s="11">
        <f>IFERROR(__xludf.DUMMYFUNCTION("""COMPUTED_VALUE"""),1801.0)</f>
        <v>1801</v>
      </c>
      <c r="E4636" s="9"/>
    </row>
    <row r="4637">
      <c r="A4637" s="11">
        <f>IFERROR(__xludf.DUMMYFUNCTION("""COMPUTED_VALUE"""),2021.0)</f>
        <v>2021</v>
      </c>
      <c r="B4637" s="11">
        <f>IFERROR(__xludf.DUMMYFUNCTION("""COMPUTED_VALUE"""),11.0)</f>
        <v>11</v>
      </c>
      <c r="C4637" s="11">
        <f>IFERROR(__xludf.DUMMYFUNCTION("""COMPUTED_VALUE"""),122311.0)</f>
        <v>122311</v>
      </c>
      <c r="D4637" s="11">
        <f>IFERROR(__xludf.DUMMYFUNCTION("""COMPUTED_VALUE"""),1882.0)</f>
        <v>1882</v>
      </c>
      <c r="E4637" s="9"/>
    </row>
    <row r="4638">
      <c r="A4638" s="11">
        <f>IFERROR(__xludf.DUMMYFUNCTION("""COMPUTED_VALUE"""),2021.0)</f>
        <v>2021</v>
      </c>
      <c r="B4638" s="11">
        <f>IFERROR(__xludf.DUMMYFUNCTION("""COMPUTED_VALUE"""),8.0)</f>
        <v>8</v>
      </c>
      <c r="C4638" s="11">
        <f>IFERROR(__xludf.DUMMYFUNCTION("""COMPUTED_VALUE"""),86172.0)</f>
        <v>86172</v>
      </c>
      <c r="D4638" s="11">
        <f>IFERROR(__xludf.DUMMYFUNCTION("""COMPUTED_VALUE"""),1434.0)</f>
        <v>1434</v>
      </c>
      <c r="E4638" s="9"/>
    </row>
    <row r="4639">
      <c r="A4639" s="11">
        <f>IFERROR(__xludf.DUMMYFUNCTION("""COMPUTED_VALUE"""),2021.0)</f>
        <v>2021</v>
      </c>
      <c r="B4639" s="11">
        <f>IFERROR(__xludf.DUMMYFUNCTION("""COMPUTED_VALUE"""),11.0)</f>
        <v>11</v>
      </c>
      <c r="C4639" s="11">
        <f>IFERROR(__xludf.DUMMYFUNCTION("""COMPUTED_VALUE"""),17592.0)</f>
        <v>17592</v>
      </c>
      <c r="D4639" s="11">
        <f>IFERROR(__xludf.DUMMYFUNCTION("""COMPUTED_VALUE"""),1744.0)</f>
        <v>1744</v>
      </c>
      <c r="E4639" s="9"/>
    </row>
    <row r="4640">
      <c r="A4640" s="11">
        <f>IFERROR(__xludf.DUMMYFUNCTION("""COMPUTED_VALUE"""),2021.0)</f>
        <v>2021</v>
      </c>
      <c r="B4640" s="11">
        <f>IFERROR(__xludf.DUMMYFUNCTION("""COMPUTED_VALUE"""),9.0)</f>
        <v>9</v>
      </c>
      <c r="C4640" s="11">
        <f>IFERROR(__xludf.DUMMYFUNCTION("""COMPUTED_VALUE"""),89981.0)</f>
        <v>89981</v>
      </c>
      <c r="D4640" s="11">
        <f>IFERROR(__xludf.DUMMYFUNCTION("""COMPUTED_VALUE"""),1507.0)</f>
        <v>1507</v>
      </c>
      <c r="E4640" s="9"/>
    </row>
    <row r="4641">
      <c r="A4641" s="11">
        <f>IFERROR(__xludf.DUMMYFUNCTION("""COMPUTED_VALUE"""),2021.0)</f>
        <v>2021</v>
      </c>
      <c r="B4641" s="11">
        <f>IFERROR(__xludf.DUMMYFUNCTION("""COMPUTED_VALUE"""),10.0)</f>
        <v>10</v>
      </c>
      <c r="C4641" s="11">
        <f>IFERROR(__xludf.DUMMYFUNCTION("""COMPUTED_VALUE"""),71399.0)</f>
        <v>71399</v>
      </c>
      <c r="D4641" s="11">
        <f>IFERROR(__xludf.DUMMYFUNCTION("""COMPUTED_VALUE"""),1264.0)</f>
        <v>1264</v>
      </c>
      <c r="E4641" s="9"/>
    </row>
    <row r="4642">
      <c r="A4642" s="11">
        <f>IFERROR(__xludf.DUMMYFUNCTION("""COMPUTED_VALUE"""),2021.0)</f>
        <v>2021</v>
      </c>
      <c r="B4642" s="11">
        <f>IFERROR(__xludf.DUMMYFUNCTION("""COMPUTED_VALUE"""),8.0)</f>
        <v>8</v>
      </c>
      <c r="C4642" s="11">
        <f>IFERROR(__xludf.DUMMYFUNCTION("""COMPUTED_VALUE"""),17587.0)</f>
        <v>17587</v>
      </c>
      <c r="D4642" s="11">
        <f>IFERROR(__xludf.DUMMYFUNCTION("""COMPUTED_VALUE"""),1491.0)</f>
        <v>1491</v>
      </c>
      <c r="E4642" s="9"/>
    </row>
    <row r="4643">
      <c r="A4643" s="11">
        <f>IFERROR(__xludf.DUMMYFUNCTION("""COMPUTED_VALUE"""),2021.0)</f>
        <v>2021</v>
      </c>
      <c r="B4643" s="11">
        <f>IFERROR(__xludf.DUMMYFUNCTION("""COMPUTED_VALUE"""),10.0)</f>
        <v>10</v>
      </c>
      <c r="C4643" s="11">
        <f>IFERROR(__xludf.DUMMYFUNCTION("""COMPUTED_VALUE"""),17647.0)</f>
        <v>17647</v>
      </c>
      <c r="D4643" s="11">
        <f>IFERROR(__xludf.DUMMYFUNCTION("""COMPUTED_VALUE"""),1368.0)</f>
        <v>1368</v>
      </c>
      <c r="E4643" s="9"/>
    </row>
    <row r="4644">
      <c r="A4644" s="11">
        <f>IFERROR(__xludf.DUMMYFUNCTION("""COMPUTED_VALUE"""),2021.0)</f>
        <v>2021</v>
      </c>
      <c r="B4644" s="11">
        <f>IFERROR(__xludf.DUMMYFUNCTION("""COMPUTED_VALUE"""),8.0)</f>
        <v>8</v>
      </c>
      <c r="C4644" s="11">
        <f>IFERROR(__xludf.DUMMYFUNCTION("""COMPUTED_VALUE"""),107364.0)</f>
        <v>107364</v>
      </c>
      <c r="D4644" s="11">
        <f>IFERROR(__xludf.DUMMYFUNCTION("""COMPUTED_VALUE"""),1646.0)</f>
        <v>1646</v>
      </c>
      <c r="E4644" s="9"/>
    </row>
    <row r="4645">
      <c r="A4645" s="11">
        <f>IFERROR(__xludf.DUMMYFUNCTION("""COMPUTED_VALUE"""),2021.0)</f>
        <v>2021</v>
      </c>
      <c r="B4645" s="11">
        <f>IFERROR(__xludf.DUMMYFUNCTION("""COMPUTED_VALUE"""),8.0)</f>
        <v>8</v>
      </c>
      <c r="C4645" s="11">
        <f>IFERROR(__xludf.DUMMYFUNCTION("""COMPUTED_VALUE"""),24118.0)</f>
        <v>24118</v>
      </c>
      <c r="D4645" s="11">
        <f>IFERROR(__xludf.DUMMYFUNCTION("""COMPUTED_VALUE"""),978.0)</f>
        <v>978</v>
      </c>
      <c r="E4645" s="9"/>
    </row>
    <row r="4646">
      <c r="A4646" s="11">
        <f>IFERROR(__xludf.DUMMYFUNCTION("""COMPUTED_VALUE"""),2021.0)</f>
        <v>2021</v>
      </c>
      <c r="B4646" s="11">
        <f>IFERROR(__xludf.DUMMYFUNCTION("""COMPUTED_VALUE"""),9.0)</f>
        <v>9</v>
      </c>
      <c r="C4646" s="11">
        <f>IFERROR(__xludf.DUMMYFUNCTION("""COMPUTED_VALUE"""),86181.0)</f>
        <v>86181</v>
      </c>
      <c r="D4646" s="11">
        <f>IFERROR(__xludf.DUMMYFUNCTION("""COMPUTED_VALUE"""),1298.0)</f>
        <v>1298</v>
      </c>
      <c r="E4646" s="9"/>
    </row>
    <row r="4647">
      <c r="A4647" s="11">
        <f>IFERROR(__xludf.DUMMYFUNCTION("""COMPUTED_VALUE"""),2021.0)</f>
        <v>2021</v>
      </c>
      <c r="B4647" s="11">
        <f>IFERROR(__xludf.DUMMYFUNCTION("""COMPUTED_VALUE"""),11.0)</f>
        <v>11</v>
      </c>
      <c r="C4647" s="11">
        <f>IFERROR(__xludf.DUMMYFUNCTION("""COMPUTED_VALUE"""),129474.0)</f>
        <v>129474</v>
      </c>
      <c r="D4647" s="11">
        <f>IFERROR(__xludf.DUMMYFUNCTION("""COMPUTED_VALUE"""),1234.0)</f>
        <v>1234</v>
      </c>
      <c r="E4647" s="9"/>
    </row>
    <row r="4648">
      <c r="A4648" s="11">
        <f>IFERROR(__xludf.DUMMYFUNCTION("""COMPUTED_VALUE"""),2021.0)</f>
        <v>2021</v>
      </c>
      <c r="B4648" s="11">
        <f>IFERROR(__xludf.DUMMYFUNCTION("""COMPUTED_VALUE"""),9.0)</f>
        <v>9</v>
      </c>
      <c r="C4648" s="11">
        <f>IFERROR(__xludf.DUMMYFUNCTION("""COMPUTED_VALUE"""),17601.0)</f>
        <v>17601</v>
      </c>
      <c r="D4648" s="11">
        <f>IFERROR(__xludf.DUMMYFUNCTION("""COMPUTED_VALUE"""),1196.0)</f>
        <v>1196</v>
      </c>
      <c r="E4648" s="9"/>
    </row>
    <row r="4649">
      <c r="A4649" s="11">
        <f>IFERROR(__xludf.DUMMYFUNCTION("""COMPUTED_VALUE"""),2021.0)</f>
        <v>2021</v>
      </c>
      <c r="B4649" s="11">
        <f>IFERROR(__xludf.DUMMYFUNCTION("""COMPUTED_VALUE"""),9.0)</f>
        <v>9</v>
      </c>
      <c r="C4649" s="11">
        <f>IFERROR(__xludf.DUMMYFUNCTION("""COMPUTED_VALUE"""),78938.0)</f>
        <v>78938</v>
      </c>
      <c r="D4649" s="11">
        <f>IFERROR(__xludf.DUMMYFUNCTION("""COMPUTED_VALUE"""),760.0)</f>
        <v>760</v>
      </c>
      <c r="E4649" s="9"/>
    </row>
    <row r="4650">
      <c r="A4650" s="11">
        <f>IFERROR(__xludf.DUMMYFUNCTION("""COMPUTED_VALUE"""),2021.0)</f>
        <v>2021</v>
      </c>
      <c r="B4650" s="11">
        <f>IFERROR(__xludf.DUMMYFUNCTION("""COMPUTED_VALUE"""),8.0)</f>
        <v>8</v>
      </c>
      <c r="C4650" s="11">
        <f>IFERROR(__xludf.DUMMYFUNCTION("""COMPUTED_VALUE"""),17609.0)</f>
        <v>17609</v>
      </c>
      <c r="D4650" s="11">
        <f>IFERROR(__xludf.DUMMYFUNCTION("""COMPUTED_VALUE"""),1124.0)</f>
        <v>1124</v>
      </c>
      <c r="E4650" s="9"/>
    </row>
    <row r="4651">
      <c r="A4651" s="11">
        <f>IFERROR(__xludf.DUMMYFUNCTION("""COMPUTED_VALUE"""),2021.0)</f>
        <v>2021</v>
      </c>
      <c r="B4651" s="11">
        <f>IFERROR(__xludf.DUMMYFUNCTION("""COMPUTED_VALUE"""),10.0)</f>
        <v>10</v>
      </c>
      <c r="C4651" s="11">
        <f>IFERROR(__xludf.DUMMYFUNCTION("""COMPUTED_VALUE"""),129452.0)</f>
        <v>129452</v>
      </c>
      <c r="D4651" s="11">
        <f>IFERROR(__xludf.DUMMYFUNCTION("""COMPUTED_VALUE"""),761.0)</f>
        <v>761</v>
      </c>
      <c r="E4651" s="9"/>
    </row>
    <row r="4652">
      <c r="A4652" s="11">
        <f>IFERROR(__xludf.DUMMYFUNCTION("""COMPUTED_VALUE"""),2021.0)</f>
        <v>2021</v>
      </c>
      <c r="B4652" s="11">
        <f>IFERROR(__xludf.DUMMYFUNCTION("""COMPUTED_VALUE"""),9.0)</f>
        <v>9</v>
      </c>
      <c r="C4652" s="11">
        <f>IFERROR(__xludf.DUMMYFUNCTION("""COMPUTED_VALUE"""),88587.0)</f>
        <v>88587</v>
      </c>
      <c r="D4652" s="11">
        <f>IFERROR(__xludf.DUMMYFUNCTION("""COMPUTED_VALUE"""),773.0)</f>
        <v>773</v>
      </c>
      <c r="E4652" s="9"/>
    </row>
    <row r="4653">
      <c r="A4653" s="11">
        <f>IFERROR(__xludf.DUMMYFUNCTION("""COMPUTED_VALUE"""),2021.0)</f>
        <v>2021</v>
      </c>
      <c r="B4653" s="11">
        <f>IFERROR(__xludf.DUMMYFUNCTION("""COMPUTED_VALUE"""),8.0)</f>
        <v>8</v>
      </c>
      <c r="C4653" s="11">
        <f>IFERROR(__xludf.DUMMYFUNCTION("""COMPUTED_VALUE"""),17645.0)</f>
        <v>17645</v>
      </c>
      <c r="D4653" s="11">
        <f>IFERROR(__xludf.DUMMYFUNCTION("""COMPUTED_VALUE"""),1520.0)</f>
        <v>1520</v>
      </c>
      <c r="E4653" s="9"/>
    </row>
    <row r="4654">
      <c r="A4654" s="11">
        <f>IFERROR(__xludf.DUMMYFUNCTION("""COMPUTED_VALUE"""),2021.0)</f>
        <v>2021</v>
      </c>
      <c r="B4654" s="11">
        <f>IFERROR(__xludf.DUMMYFUNCTION("""COMPUTED_VALUE"""),9.0)</f>
        <v>9</v>
      </c>
      <c r="C4654" s="11">
        <f>IFERROR(__xludf.DUMMYFUNCTION("""COMPUTED_VALUE"""),78899.0)</f>
        <v>78899</v>
      </c>
      <c r="D4654" s="11">
        <f>IFERROR(__xludf.DUMMYFUNCTION("""COMPUTED_VALUE"""),1430.0)</f>
        <v>1430</v>
      </c>
      <c r="E4654" s="9"/>
    </row>
    <row r="4655">
      <c r="A4655" s="11">
        <f>IFERROR(__xludf.DUMMYFUNCTION("""COMPUTED_VALUE"""),2021.0)</f>
        <v>2021</v>
      </c>
      <c r="B4655" s="11">
        <f>IFERROR(__xludf.DUMMYFUNCTION("""COMPUTED_VALUE"""),10.0)</f>
        <v>10</v>
      </c>
      <c r="C4655" s="11">
        <f>IFERROR(__xludf.DUMMYFUNCTION("""COMPUTED_VALUE"""),71402.0)</f>
        <v>71402</v>
      </c>
      <c r="D4655" s="11">
        <f>IFERROR(__xludf.DUMMYFUNCTION("""COMPUTED_VALUE"""),1593.0)</f>
        <v>1593</v>
      </c>
      <c r="E4655" s="9"/>
    </row>
    <row r="4656">
      <c r="A4656" s="11">
        <f>IFERROR(__xludf.DUMMYFUNCTION("""COMPUTED_VALUE"""),2021.0)</f>
        <v>2021</v>
      </c>
      <c r="B4656" s="11">
        <f>IFERROR(__xludf.DUMMYFUNCTION("""COMPUTED_VALUE"""),9.0)</f>
        <v>9</v>
      </c>
      <c r="C4656" s="11">
        <f>IFERROR(__xludf.DUMMYFUNCTION("""COMPUTED_VALUE"""),12875.0)</f>
        <v>12875</v>
      </c>
      <c r="D4656" s="11">
        <f>IFERROR(__xludf.DUMMYFUNCTION("""COMPUTED_VALUE"""),1405.0)</f>
        <v>1405</v>
      </c>
      <c r="E4656" s="9"/>
    </row>
    <row r="4657">
      <c r="A4657" s="11">
        <f>IFERROR(__xludf.DUMMYFUNCTION("""COMPUTED_VALUE"""),2021.0)</f>
        <v>2021</v>
      </c>
      <c r="B4657" s="11">
        <f>IFERROR(__xludf.DUMMYFUNCTION("""COMPUTED_VALUE"""),9.0)</f>
        <v>9</v>
      </c>
      <c r="C4657" s="11">
        <f>IFERROR(__xludf.DUMMYFUNCTION("""COMPUTED_VALUE"""),17615.0)</f>
        <v>17615</v>
      </c>
      <c r="D4657" s="11">
        <f>IFERROR(__xludf.DUMMYFUNCTION("""COMPUTED_VALUE"""),1521.0)</f>
        <v>1521</v>
      </c>
      <c r="E4657" s="9"/>
    </row>
    <row r="4658">
      <c r="A4658" s="11">
        <f>IFERROR(__xludf.DUMMYFUNCTION("""COMPUTED_VALUE"""),2021.0)</f>
        <v>2021</v>
      </c>
      <c r="B4658" s="11">
        <f>IFERROR(__xludf.DUMMYFUNCTION("""COMPUTED_VALUE"""),8.0)</f>
        <v>8</v>
      </c>
      <c r="C4658" s="11">
        <f>IFERROR(__xludf.DUMMYFUNCTION("""COMPUTED_VALUE"""),193116.0)</f>
        <v>193116</v>
      </c>
      <c r="D4658" s="11">
        <f>IFERROR(__xludf.DUMMYFUNCTION("""COMPUTED_VALUE"""),1515.0)</f>
        <v>1515</v>
      </c>
      <c r="E4658" s="9"/>
    </row>
    <row r="4659">
      <c r="A4659" s="11">
        <f>IFERROR(__xludf.DUMMYFUNCTION("""COMPUTED_VALUE"""),2021.0)</f>
        <v>2021</v>
      </c>
      <c r="B4659" s="11">
        <f>IFERROR(__xludf.DUMMYFUNCTION("""COMPUTED_VALUE"""),11.0)</f>
        <v>11</v>
      </c>
      <c r="C4659" s="11">
        <f>IFERROR(__xludf.DUMMYFUNCTION("""COMPUTED_VALUE"""),72577.0)</f>
        <v>72577</v>
      </c>
      <c r="D4659" s="11">
        <f>IFERROR(__xludf.DUMMYFUNCTION("""COMPUTED_VALUE"""),243.0)</f>
        <v>243</v>
      </c>
      <c r="E4659" s="9"/>
    </row>
    <row r="4660">
      <c r="A4660" s="11">
        <f>IFERROR(__xludf.DUMMYFUNCTION("""COMPUTED_VALUE"""),2021.0)</f>
        <v>2021</v>
      </c>
      <c r="B4660" s="11">
        <f>IFERROR(__xludf.DUMMYFUNCTION("""COMPUTED_VALUE"""),11.0)</f>
        <v>11</v>
      </c>
      <c r="C4660" s="11">
        <f>IFERROR(__xludf.DUMMYFUNCTION("""COMPUTED_VALUE"""),78916.0)</f>
        <v>78916</v>
      </c>
      <c r="D4660" s="11">
        <f>IFERROR(__xludf.DUMMYFUNCTION("""COMPUTED_VALUE"""),1105.0)</f>
        <v>1105</v>
      </c>
      <c r="E4660" s="9"/>
    </row>
    <row r="4661">
      <c r="A4661" s="11">
        <f>IFERROR(__xludf.DUMMYFUNCTION("""COMPUTED_VALUE"""),2021.0)</f>
        <v>2021</v>
      </c>
      <c r="B4661" s="11">
        <f>IFERROR(__xludf.DUMMYFUNCTION("""COMPUTED_VALUE"""),9.0)</f>
        <v>9</v>
      </c>
      <c r="C4661" s="11">
        <f>IFERROR(__xludf.DUMMYFUNCTION("""COMPUTED_VALUE"""),71419.0)</f>
        <v>71419</v>
      </c>
      <c r="D4661" s="11">
        <f>IFERROR(__xludf.DUMMYFUNCTION("""COMPUTED_VALUE"""),1159.0)</f>
        <v>1159</v>
      </c>
      <c r="E4661" s="9"/>
    </row>
    <row r="4662">
      <c r="A4662" s="11">
        <f>IFERROR(__xludf.DUMMYFUNCTION("""COMPUTED_VALUE"""),2021.0)</f>
        <v>2021</v>
      </c>
      <c r="B4662" s="11">
        <f>IFERROR(__xludf.DUMMYFUNCTION("""COMPUTED_VALUE"""),8.0)</f>
        <v>8</v>
      </c>
      <c r="C4662" s="11">
        <f>IFERROR(__xludf.DUMMYFUNCTION("""COMPUTED_VALUE"""),188223.0)</f>
        <v>188223</v>
      </c>
      <c r="D4662" s="11">
        <f>IFERROR(__xludf.DUMMYFUNCTION("""COMPUTED_VALUE"""),517.0)</f>
        <v>517</v>
      </c>
      <c r="E4662" s="9"/>
    </row>
    <row r="4663">
      <c r="A4663" s="11">
        <f>IFERROR(__xludf.DUMMYFUNCTION("""COMPUTED_VALUE"""),2021.0)</f>
        <v>2021</v>
      </c>
      <c r="B4663" s="11">
        <f>IFERROR(__xludf.DUMMYFUNCTION("""COMPUTED_VALUE"""),9.0)</f>
        <v>9</v>
      </c>
      <c r="C4663" s="11">
        <f>IFERROR(__xludf.DUMMYFUNCTION("""COMPUTED_VALUE"""),71417.0)</f>
        <v>71417</v>
      </c>
      <c r="D4663" s="11">
        <f>IFERROR(__xludf.DUMMYFUNCTION("""COMPUTED_VALUE"""),771.0)</f>
        <v>771</v>
      </c>
      <c r="E4663" s="9"/>
    </row>
    <row r="4664">
      <c r="A4664" s="11">
        <f>IFERROR(__xludf.DUMMYFUNCTION("""COMPUTED_VALUE"""),2021.0)</f>
        <v>2021</v>
      </c>
      <c r="B4664" s="11">
        <f>IFERROR(__xludf.DUMMYFUNCTION("""COMPUTED_VALUE"""),9.0)</f>
        <v>9</v>
      </c>
      <c r="C4664" s="11">
        <f>IFERROR(__xludf.DUMMYFUNCTION("""COMPUTED_VALUE"""),46895.0)</f>
        <v>46895</v>
      </c>
      <c r="D4664" s="11">
        <f>IFERROR(__xludf.DUMMYFUNCTION("""COMPUTED_VALUE"""),1381.0)</f>
        <v>1381</v>
      </c>
      <c r="E4664" s="9"/>
    </row>
    <row r="4665">
      <c r="A4665" s="11">
        <f>IFERROR(__xludf.DUMMYFUNCTION("""COMPUTED_VALUE"""),2021.0)</f>
        <v>2021</v>
      </c>
      <c r="B4665" s="11">
        <f>IFERROR(__xludf.DUMMYFUNCTION("""COMPUTED_VALUE"""),11.0)</f>
        <v>11</v>
      </c>
      <c r="C4665" s="11">
        <f>IFERROR(__xludf.DUMMYFUNCTION("""COMPUTED_VALUE"""),86157.0)</f>
        <v>86157</v>
      </c>
      <c r="D4665" s="11">
        <f>IFERROR(__xludf.DUMMYFUNCTION("""COMPUTED_VALUE"""),1727.0)</f>
        <v>1727</v>
      </c>
      <c r="E4665" s="9"/>
    </row>
    <row r="4666">
      <c r="A4666" s="11">
        <f>IFERROR(__xludf.DUMMYFUNCTION("""COMPUTED_VALUE"""),2021.0)</f>
        <v>2021</v>
      </c>
      <c r="B4666" s="11">
        <f>IFERROR(__xludf.DUMMYFUNCTION("""COMPUTED_VALUE"""),8.0)</f>
        <v>8</v>
      </c>
      <c r="C4666" s="11">
        <f>IFERROR(__xludf.DUMMYFUNCTION("""COMPUTED_VALUE"""),159110.0)</f>
        <v>159110</v>
      </c>
      <c r="D4666" s="11">
        <f>IFERROR(__xludf.DUMMYFUNCTION("""COMPUTED_VALUE"""),1337.0)</f>
        <v>1337</v>
      </c>
      <c r="E4666" s="9"/>
    </row>
    <row r="4667">
      <c r="A4667" s="11">
        <f>IFERROR(__xludf.DUMMYFUNCTION("""COMPUTED_VALUE"""),2021.0)</f>
        <v>2021</v>
      </c>
      <c r="B4667" s="11">
        <f>IFERROR(__xludf.DUMMYFUNCTION("""COMPUTED_VALUE"""),8.0)</f>
        <v>8</v>
      </c>
      <c r="C4667" s="11">
        <f>IFERROR(__xludf.DUMMYFUNCTION("""COMPUTED_VALUE"""),46913.0)</f>
        <v>46913</v>
      </c>
      <c r="D4667" s="11">
        <f>IFERROR(__xludf.DUMMYFUNCTION("""COMPUTED_VALUE"""),599.0)</f>
        <v>599</v>
      </c>
      <c r="E4667" s="9"/>
    </row>
    <row r="4668">
      <c r="A4668" s="11">
        <f>IFERROR(__xludf.DUMMYFUNCTION("""COMPUTED_VALUE"""),2021.0)</f>
        <v>2021</v>
      </c>
      <c r="B4668" s="11">
        <f>IFERROR(__xludf.DUMMYFUNCTION("""COMPUTED_VALUE"""),10.0)</f>
        <v>10</v>
      </c>
      <c r="C4668" s="11">
        <f>IFERROR(__xludf.DUMMYFUNCTION("""COMPUTED_VALUE"""),71400.0)</f>
        <v>71400</v>
      </c>
      <c r="D4668" s="11">
        <f>IFERROR(__xludf.DUMMYFUNCTION("""COMPUTED_VALUE"""),536.0)</f>
        <v>536</v>
      </c>
      <c r="E4668" s="9"/>
    </row>
    <row r="4669">
      <c r="A4669" s="11">
        <f>IFERROR(__xludf.DUMMYFUNCTION("""COMPUTED_VALUE"""),2021.0)</f>
        <v>2021</v>
      </c>
      <c r="B4669" s="11">
        <f>IFERROR(__xludf.DUMMYFUNCTION("""COMPUTED_VALUE"""),11.0)</f>
        <v>11</v>
      </c>
      <c r="C4669" s="11">
        <f>IFERROR(__xludf.DUMMYFUNCTION("""COMPUTED_VALUE"""),46914.0)</f>
        <v>46914</v>
      </c>
      <c r="D4669" s="11">
        <f>IFERROR(__xludf.DUMMYFUNCTION("""COMPUTED_VALUE"""),1041.0)</f>
        <v>1041</v>
      </c>
      <c r="E4669" s="9"/>
    </row>
    <row r="4670">
      <c r="A4670" s="11">
        <f>IFERROR(__xludf.DUMMYFUNCTION("""COMPUTED_VALUE"""),2021.0)</f>
        <v>2021</v>
      </c>
      <c r="B4670" s="11">
        <f>IFERROR(__xludf.DUMMYFUNCTION("""COMPUTED_VALUE"""),10.0)</f>
        <v>10</v>
      </c>
      <c r="C4670" s="11">
        <f>IFERROR(__xludf.DUMMYFUNCTION("""COMPUTED_VALUE"""),120300.0)</f>
        <v>120300</v>
      </c>
      <c r="D4670" s="11">
        <f>IFERROR(__xludf.DUMMYFUNCTION("""COMPUTED_VALUE"""),775.0)</f>
        <v>775</v>
      </c>
      <c r="E4670" s="9"/>
    </row>
    <row r="4671">
      <c r="A4671" s="11">
        <f>IFERROR(__xludf.DUMMYFUNCTION("""COMPUTED_VALUE"""),2021.0)</f>
        <v>2021</v>
      </c>
      <c r="B4671" s="11">
        <f>IFERROR(__xludf.DUMMYFUNCTION("""COMPUTED_VALUE"""),10.0)</f>
        <v>10</v>
      </c>
      <c r="C4671" s="11">
        <f>IFERROR(__xludf.DUMMYFUNCTION("""COMPUTED_VALUE"""),71412.0)</f>
        <v>71412</v>
      </c>
      <c r="D4671" s="11">
        <f>IFERROR(__xludf.DUMMYFUNCTION("""COMPUTED_VALUE"""),1089.0)</f>
        <v>1089</v>
      </c>
      <c r="E4671" s="9"/>
    </row>
    <row r="4672">
      <c r="A4672" s="11">
        <f>IFERROR(__xludf.DUMMYFUNCTION("""COMPUTED_VALUE"""),2021.0)</f>
        <v>2021</v>
      </c>
      <c r="B4672" s="11">
        <f>IFERROR(__xludf.DUMMYFUNCTION("""COMPUTED_VALUE"""),10.0)</f>
        <v>10</v>
      </c>
      <c r="C4672" s="11">
        <f>IFERROR(__xludf.DUMMYFUNCTION("""COMPUTED_VALUE"""),71415.0)</f>
        <v>71415</v>
      </c>
      <c r="D4672" s="11">
        <f>IFERROR(__xludf.DUMMYFUNCTION("""COMPUTED_VALUE"""),788.0)</f>
        <v>788</v>
      </c>
      <c r="E4672" s="9"/>
    </row>
    <row r="4673">
      <c r="A4673" s="11">
        <f>IFERROR(__xludf.DUMMYFUNCTION("""COMPUTED_VALUE"""),2021.0)</f>
        <v>2021</v>
      </c>
      <c r="B4673" s="11">
        <f>IFERROR(__xludf.DUMMYFUNCTION("""COMPUTED_VALUE"""),10.0)</f>
        <v>10</v>
      </c>
      <c r="C4673" s="11">
        <f>IFERROR(__xludf.DUMMYFUNCTION("""COMPUTED_VALUE"""),71414.0)</f>
        <v>71414</v>
      </c>
      <c r="D4673" s="11">
        <f>IFERROR(__xludf.DUMMYFUNCTION("""COMPUTED_VALUE"""),218.0)</f>
        <v>218</v>
      </c>
      <c r="E4673" s="9"/>
    </row>
    <row r="4674">
      <c r="A4674" s="11">
        <f>IFERROR(__xludf.DUMMYFUNCTION("""COMPUTED_VALUE"""),2021.0)</f>
        <v>2021</v>
      </c>
      <c r="B4674" s="11">
        <f>IFERROR(__xludf.DUMMYFUNCTION("""COMPUTED_VALUE"""),8.0)</f>
        <v>8</v>
      </c>
      <c r="C4674" s="11">
        <f>IFERROR(__xludf.DUMMYFUNCTION("""COMPUTED_VALUE"""),10336.0)</f>
        <v>10336</v>
      </c>
      <c r="D4674" s="11">
        <f>IFERROR(__xludf.DUMMYFUNCTION("""COMPUTED_VALUE"""),764.0)</f>
        <v>764</v>
      </c>
      <c r="E4674" s="9"/>
    </row>
    <row r="4675">
      <c r="A4675" s="11">
        <f>IFERROR(__xludf.DUMMYFUNCTION("""COMPUTED_VALUE"""),2021.0)</f>
        <v>2021</v>
      </c>
      <c r="B4675" s="11">
        <f>IFERROR(__xludf.DUMMYFUNCTION("""COMPUTED_VALUE"""),11.0)</f>
        <v>11</v>
      </c>
      <c r="C4675" s="11">
        <f>IFERROR(__xludf.DUMMYFUNCTION("""COMPUTED_VALUE"""),125173.0)</f>
        <v>125173</v>
      </c>
      <c r="D4675" s="11">
        <f>IFERROR(__xludf.DUMMYFUNCTION("""COMPUTED_VALUE"""),1644.0)</f>
        <v>1644</v>
      </c>
      <c r="E4675" s="9"/>
    </row>
    <row r="4676">
      <c r="A4676" s="11">
        <f>IFERROR(__xludf.DUMMYFUNCTION("""COMPUTED_VALUE"""),2021.0)</f>
        <v>2021</v>
      </c>
      <c r="B4676" s="11">
        <f>IFERROR(__xludf.DUMMYFUNCTION("""COMPUTED_VALUE"""),8.0)</f>
        <v>8</v>
      </c>
      <c r="C4676" s="11">
        <f>IFERROR(__xludf.DUMMYFUNCTION("""COMPUTED_VALUE"""),112994.0)</f>
        <v>112994</v>
      </c>
      <c r="D4676" s="11">
        <f>IFERROR(__xludf.DUMMYFUNCTION("""COMPUTED_VALUE"""),1923.0)</f>
        <v>1923</v>
      </c>
      <c r="E4676" s="9"/>
    </row>
    <row r="4677">
      <c r="A4677" s="11">
        <f>IFERROR(__xludf.DUMMYFUNCTION("""COMPUTED_VALUE"""),2021.0)</f>
        <v>2021</v>
      </c>
      <c r="B4677" s="11">
        <f>IFERROR(__xludf.DUMMYFUNCTION("""COMPUTED_VALUE"""),10.0)</f>
        <v>10</v>
      </c>
      <c r="C4677" s="11">
        <f>IFERROR(__xludf.DUMMYFUNCTION("""COMPUTED_VALUE"""),125182.0)</f>
        <v>125182</v>
      </c>
      <c r="D4677" s="11">
        <f>IFERROR(__xludf.DUMMYFUNCTION("""COMPUTED_VALUE"""),45.0)</f>
        <v>45</v>
      </c>
      <c r="E4677" s="9"/>
    </row>
    <row r="4678">
      <c r="A4678" s="11">
        <f>IFERROR(__xludf.DUMMYFUNCTION("""COMPUTED_VALUE"""),2021.0)</f>
        <v>2021</v>
      </c>
      <c r="B4678" s="11">
        <f>IFERROR(__xludf.DUMMYFUNCTION("""COMPUTED_VALUE"""),9.0)</f>
        <v>9</v>
      </c>
      <c r="C4678" s="11">
        <f>IFERROR(__xludf.DUMMYFUNCTION("""COMPUTED_VALUE"""),121112.0)</f>
        <v>121112</v>
      </c>
      <c r="D4678" s="11">
        <f>IFERROR(__xludf.DUMMYFUNCTION("""COMPUTED_VALUE"""),56.0)</f>
        <v>56</v>
      </c>
      <c r="E4678" s="9"/>
    </row>
    <row r="4679">
      <c r="A4679" s="11">
        <f>IFERROR(__xludf.DUMMYFUNCTION("""COMPUTED_VALUE"""),2021.0)</f>
        <v>2021</v>
      </c>
      <c r="B4679" s="11">
        <f>IFERROR(__xludf.DUMMYFUNCTION("""COMPUTED_VALUE"""),9.0)</f>
        <v>9</v>
      </c>
      <c r="C4679" s="11">
        <f>IFERROR(__xludf.DUMMYFUNCTION("""COMPUTED_VALUE"""),125172.0)</f>
        <v>125172</v>
      </c>
      <c r="D4679" s="11">
        <f>IFERROR(__xludf.DUMMYFUNCTION("""COMPUTED_VALUE"""),888.0)</f>
        <v>888</v>
      </c>
      <c r="E4679" s="9"/>
    </row>
    <row r="4680">
      <c r="A4680" s="11">
        <f>IFERROR(__xludf.DUMMYFUNCTION("""COMPUTED_VALUE"""),2021.0)</f>
        <v>2021</v>
      </c>
      <c r="B4680" s="11">
        <f>IFERROR(__xludf.DUMMYFUNCTION("""COMPUTED_VALUE"""),10.0)</f>
        <v>10</v>
      </c>
      <c r="C4680" s="11">
        <f>IFERROR(__xludf.DUMMYFUNCTION("""COMPUTED_VALUE"""),125196.0)</f>
        <v>125196</v>
      </c>
      <c r="D4680" s="11">
        <f>IFERROR(__xludf.DUMMYFUNCTION("""COMPUTED_VALUE"""),1113.0)</f>
        <v>1113</v>
      </c>
      <c r="E4680" s="9"/>
    </row>
    <row r="4681">
      <c r="A4681" s="11">
        <f>IFERROR(__xludf.DUMMYFUNCTION("""COMPUTED_VALUE"""),2021.0)</f>
        <v>2021</v>
      </c>
      <c r="B4681" s="11">
        <f>IFERROR(__xludf.DUMMYFUNCTION("""COMPUTED_VALUE"""),10.0)</f>
        <v>10</v>
      </c>
      <c r="C4681" s="11">
        <f>IFERROR(__xludf.DUMMYFUNCTION("""COMPUTED_VALUE"""),125192.0)</f>
        <v>125192</v>
      </c>
      <c r="D4681" s="11">
        <f>IFERROR(__xludf.DUMMYFUNCTION("""COMPUTED_VALUE"""),1910.0)</f>
        <v>1910</v>
      </c>
      <c r="E4681" s="9"/>
    </row>
    <row r="4682">
      <c r="A4682" s="11">
        <f>IFERROR(__xludf.DUMMYFUNCTION("""COMPUTED_VALUE"""),2021.0)</f>
        <v>2021</v>
      </c>
      <c r="B4682" s="11">
        <f>IFERROR(__xludf.DUMMYFUNCTION("""COMPUTED_VALUE"""),11.0)</f>
        <v>11</v>
      </c>
      <c r="C4682" s="11">
        <f>IFERROR(__xludf.DUMMYFUNCTION("""COMPUTED_VALUE"""),125194.0)</f>
        <v>125194</v>
      </c>
      <c r="D4682" s="11">
        <f>IFERROR(__xludf.DUMMYFUNCTION("""COMPUTED_VALUE"""),1492.0)</f>
        <v>1492</v>
      </c>
      <c r="E4682" s="9"/>
    </row>
    <row r="4683">
      <c r="A4683" s="11">
        <f>IFERROR(__xludf.DUMMYFUNCTION("""COMPUTED_VALUE"""),2021.0)</f>
        <v>2021</v>
      </c>
      <c r="B4683" s="11">
        <f>IFERROR(__xludf.DUMMYFUNCTION("""COMPUTED_VALUE"""),11.0)</f>
        <v>11</v>
      </c>
      <c r="C4683" s="11">
        <f>IFERROR(__xludf.DUMMYFUNCTION("""COMPUTED_VALUE"""),125198.0)</f>
        <v>125198</v>
      </c>
      <c r="D4683" s="11">
        <f>IFERROR(__xludf.DUMMYFUNCTION("""COMPUTED_VALUE"""),20.0)</f>
        <v>20</v>
      </c>
      <c r="E4683" s="9"/>
    </row>
    <row r="4684">
      <c r="A4684" s="11">
        <f>IFERROR(__xludf.DUMMYFUNCTION("""COMPUTED_VALUE"""),2021.0)</f>
        <v>2021</v>
      </c>
      <c r="B4684" s="11">
        <f>IFERROR(__xludf.DUMMYFUNCTION("""COMPUTED_VALUE"""),10.0)</f>
        <v>10</v>
      </c>
      <c r="C4684" s="11">
        <f>IFERROR(__xludf.DUMMYFUNCTION("""COMPUTED_VALUE"""),111220.0)</f>
        <v>111220</v>
      </c>
      <c r="D4684" s="11">
        <f>IFERROR(__xludf.DUMMYFUNCTION("""COMPUTED_VALUE"""),78.0)</f>
        <v>78</v>
      </c>
      <c r="E4684" s="9"/>
    </row>
    <row r="4685">
      <c r="A4685" s="11">
        <f>IFERROR(__xludf.DUMMYFUNCTION("""COMPUTED_VALUE"""),2021.0)</f>
        <v>2021</v>
      </c>
      <c r="B4685" s="11">
        <f>IFERROR(__xludf.DUMMYFUNCTION("""COMPUTED_VALUE"""),9.0)</f>
        <v>9</v>
      </c>
      <c r="C4685" s="11">
        <f>IFERROR(__xludf.DUMMYFUNCTION("""COMPUTED_VALUE"""),105969.0)</f>
        <v>105969</v>
      </c>
      <c r="D4685" s="11">
        <f>IFERROR(__xludf.DUMMYFUNCTION("""COMPUTED_VALUE"""),1883.0)</f>
        <v>1883</v>
      </c>
      <c r="E4685" s="9"/>
    </row>
    <row r="4686">
      <c r="A4686" s="11">
        <f>IFERROR(__xludf.DUMMYFUNCTION("""COMPUTED_VALUE"""),2021.0)</f>
        <v>2021</v>
      </c>
      <c r="B4686" s="11">
        <f>IFERROR(__xludf.DUMMYFUNCTION("""COMPUTED_VALUE"""),9.0)</f>
        <v>9</v>
      </c>
      <c r="C4686" s="11">
        <f>IFERROR(__xludf.DUMMYFUNCTION("""COMPUTED_VALUE"""),105981.0)</f>
        <v>105981</v>
      </c>
      <c r="D4686" s="11">
        <f>IFERROR(__xludf.DUMMYFUNCTION("""COMPUTED_VALUE"""),944.0)</f>
        <v>944</v>
      </c>
      <c r="E4686" s="9"/>
    </row>
    <row r="4687">
      <c r="A4687" s="11">
        <f>IFERROR(__xludf.DUMMYFUNCTION("""COMPUTED_VALUE"""),2021.0)</f>
        <v>2021</v>
      </c>
      <c r="B4687" s="11">
        <f>IFERROR(__xludf.DUMMYFUNCTION("""COMPUTED_VALUE"""),8.0)</f>
        <v>8</v>
      </c>
      <c r="C4687" s="11">
        <f>IFERROR(__xludf.DUMMYFUNCTION("""COMPUTED_VALUE"""),125185.0)</f>
        <v>125185</v>
      </c>
      <c r="D4687" s="11">
        <f>IFERROR(__xludf.DUMMYFUNCTION("""COMPUTED_VALUE"""),1122.0)</f>
        <v>1122</v>
      </c>
      <c r="E4687" s="9"/>
    </row>
    <row r="4688">
      <c r="A4688" s="11">
        <f>IFERROR(__xludf.DUMMYFUNCTION("""COMPUTED_VALUE"""),2021.0)</f>
        <v>2021</v>
      </c>
      <c r="B4688" s="11">
        <f>IFERROR(__xludf.DUMMYFUNCTION("""COMPUTED_VALUE"""),11.0)</f>
        <v>11</v>
      </c>
      <c r="C4688" s="11">
        <f>IFERROR(__xludf.DUMMYFUNCTION("""COMPUTED_VALUE"""),111605.0)</f>
        <v>111605</v>
      </c>
      <c r="D4688" s="11">
        <f>IFERROR(__xludf.DUMMYFUNCTION("""COMPUTED_VALUE"""),1648.0)</f>
        <v>1648</v>
      </c>
      <c r="E4688" s="9"/>
    </row>
    <row r="4689">
      <c r="A4689" s="11">
        <f>IFERROR(__xludf.DUMMYFUNCTION("""COMPUTED_VALUE"""),2021.0)</f>
        <v>2021</v>
      </c>
      <c r="B4689" s="11">
        <f>IFERROR(__xludf.DUMMYFUNCTION("""COMPUTED_VALUE"""),9.0)</f>
        <v>9</v>
      </c>
      <c r="C4689" s="11">
        <f>IFERROR(__xludf.DUMMYFUNCTION("""COMPUTED_VALUE"""),111608.0)</f>
        <v>111608</v>
      </c>
      <c r="D4689" s="11">
        <f>IFERROR(__xludf.DUMMYFUNCTION("""COMPUTED_VALUE"""),705.0)</f>
        <v>705</v>
      </c>
      <c r="E4689" s="9"/>
    </row>
    <row r="4690">
      <c r="A4690" s="11">
        <f>IFERROR(__xludf.DUMMYFUNCTION("""COMPUTED_VALUE"""),2021.0)</f>
        <v>2021</v>
      </c>
      <c r="B4690" s="11">
        <f>IFERROR(__xludf.DUMMYFUNCTION("""COMPUTED_VALUE"""),9.0)</f>
        <v>9</v>
      </c>
      <c r="C4690" s="11">
        <f>IFERROR(__xludf.DUMMYFUNCTION("""COMPUTED_VALUE"""),97023.0)</f>
        <v>97023</v>
      </c>
      <c r="D4690" s="11">
        <f>IFERROR(__xludf.DUMMYFUNCTION("""COMPUTED_VALUE"""),396.0)</f>
        <v>396</v>
      </c>
      <c r="E4690" s="9"/>
    </row>
    <row r="4691">
      <c r="A4691" s="11">
        <f>IFERROR(__xludf.DUMMYFUNCTION("""COMPUTED_VALUE"""),2021.0)</f>
        <v>2021</v>
      </c>
      <c r="B4691" s="11">
        <f>IFERROR(__xludf.DUMMYFUNCTION("""COMPUTED_VALUE"""),10.0)</f>
        <v>10</v>
      </c>
      <c r="C4691" s="11">
        <f>IFERROR(__xludf.DUMMYFUNCTION("""COMPUTED_VALUE"""),111607.0)</f>
        <v>111607</v>
      </c>
      <c r="D4691" s="11">
        <f>IFERROR(__xludf.DUMMYFUNCTION("""COMPUTED_VALUE"""),1677.0)</f>
        <v>1677</v>
      </c>
      <c r="E4691" s="9"/>
    </row>
    <row r="4692">
      <c r="A4692" s="11">
        <f>IFERROR(__xludf.DUMMYFUNCTION("""COMPUTED_VALUE"""),2021.0)</f>
        <v>2021</v>
      </c>
      <c r="B4692" s="11">
        <f>IFERROR(__xludf.DUMMYFUNCTION("""COMPUTED_VALUE"""),8.0)</f>
        <v>8</v>
      </c>
      <c r="C4692" s="11">
        <f>IFERROR(__xludf.DUMMYFUNCTION("""COMPUTED_VALUE"""),71083.0)</f>
        <v>71083</v>
      </c>
      <c r="D4692" s="11">
        <f>IFERROR(__xludf.DUMMYFUNCTION("""COMPUTED_VALUE"""),1121.0)</f>
        <v>1121</v>
      </c>
      <c r="E4692" s="9"/>
    </row>
    <row r="4693">
      <c r="A4693" s="11">
        <f>IFERROR(__xludf.DUMMYFUNCTION("""COMPUTED_VALUE"""),2021.0)</f>
        <v>2021</v>
      </c>
      <c r="B4693" s="11">
        <f>IFERROR(__xludf.DUMMYFUNCTION("""COMPUTED_VALUE"""),8.0)</f>
        <v>8</v>
      </c>
      <c r="C4693" s="11">
        <f>IFERROR(__xludf.DUMMYFUNCTION("""COMPUTED_VALUE"""),118178.0)</f>
        <v>118178</v>
      </c>
      <c r="D4693" s="11">
        <f>IFERROR(__xludf.DUMMYFUNCTION("""COMPUTED_VALUE"""),222.0)</f>
        <v>222</v>
      </c>
      <c r="E4693" s="9"/>
    </row>
    <row r="4694">
      <c r="A4694" s="11">
        <f>IFERROR(__xludf.DUMMYFUNCTION("""COMPUTED_VALUE"""),2021.0)</f>
        <v>2021</v>
      </c>
      <c r="B4694" s="11">
        <f>IFERROR(__xludf.DUMMYFUNCTION("""COMPUTED_VALUE"""),10.0)</f>
        <v>10</v>
      </c>
      <c r="C4694" s="11">
        <f>IFERROR(__xludf.DUMMYFUNCTION("""COMPUTED_VALUE"""),81767.0)</f>
        <v>81767</v>
      </c>
      <c r="D4694" s="11">
        <f>IFERROR(__xludf.DUMMYFUNCTION("""COMPUTED_VALUE"""),1561.0)</f>
        <v>1561</v>
      </c>
      <c r="E4694" s="9"/>
    </row>
    <row r="4695">
      <c r="A4695" s="11">
        <f>IFERROR(__xludf.DUMMYFUNCTION("""COMPUTED_VALUE"""),2021.0)</f>
        <v>2021</v>
      </c>
      <c r="B4695" s="11">
        <f>IFERROR(__xludf.DUMMYFUNCTION("""COMPUTED_VALUE"""),11.0)</f>
        <v>11</v>
      </c>
      <c r="C4695" s="11">
        <f>IFERROR(__xludf.DUMMYFUNCTION("""COMPUTED_VALUE"""),118186.0)</f>
        <v>118186</v>
      </c>
      <c r="D4695" s="11">
        <f>IFERROR(__xludf.DUMMYFUNCTION("""COMPUTED_VALUE"""),1511.0)</f>
        <v>1511</v>
      </c>
      <c r="E4695" s="9"/>
    </row>
    <row r="4696">
      <c r="A4696" s="11">
        <f>IFERROR(__xludf.DUMMYFUNCTION("""COMPUTED_VALUE"""),2021.0)</f>
        <v>2021</v>
      </c>
      <c r="B4696" s="11">
        <f>IFERROR(__xludf.DUMMYFUNCTION("""COMPUTED_VALUE"""),11.0)</f>
        <v>11</v>
      </c>
      <c r="C4696" s="11">
        <f>IFERROR(__xludf.DUMMYFUNCTION("""COMPUTED_VALUE"""),43228.0)</f>
        <v>43228</v>
      </c>
      <c r="D4696" s="11">
        <f>IFERROR(__xludf.DUMMYFUNCTION("""COMPUTED_VALUE"""),499.0)</f>
        <v>499</v>
      </c>
      <c r="E4696" s="9"/>
    </row>
    <row r="4697">
      <c r="A4697" s="11">
        <f>IFERROR(__xludf.DUMMYFUNCTION("""COMPUTED_VALUE"""),2021.0)</f>
        <v>2021</v>
      </c>
      <c r="B4697" s="11">
        <f>IFERROR(__xludf.DUMMYFUNCTION("""COMPUTED_VALUE"""),8.0)</f>
        <v>8</v>
      </c>
      <c r="C4697" s="11">
        <f>IFERROR(__xludf.DUMMYFUNCTION("""COMPUTED_VALUE"""),199268.0)</f>
        <v>199268</v>
      </c>
      <c r="D4697" s="11">
        <f>IFERROR(__xludf.DUMMYFUNCTION("""COMPUTED_VALUE"""),404.0)</f>
        <v>404</v>
      </c>
      <c r="E4697" s="9"/>
    </row>
    <row r="4698">
      <c r="A4698" s="11">
        <f>IFERROR(__xludf.DUMMYFUNCTION("""COMPUTED_VALUE"""),2021.0)</f>
        <v>2021</v>
      </c>
      <c r="B4698" s="11">
        <f>IFERROR(__xludf.DUMMYFUNCTION("""COMPUTED_VALUE"""),10.0)</f>
        <v>10</v>
      </c>
      <c r="C4698" s="11">
        <f>IFERROR(__xludf.DUMMYFUNCTION("""COMPUTED_VALUE"""),118196.0)</f>
        <v>118196</v>
      </c>
      <c r="D4698" s="11">
        <f>IFERROR(__xludf.DUMMYFUNCTION("""COMPUTED_VALUE"""),1646.0)</f>
        <v>1646</v>
      </c>
      <c r="E4698" s="9"/>
    </row>
    <row r="4699">
      <c r="A4699" s="11">
        <f>IFERROR(__xludf.DUMMYFUNCTION("""COMPUTED_VALUE"""),2021.0)</f>
        <v>2021</v>
      </c>
      <c r="B4699" s="11">
        <f>IFERROR(__xludf.DUMMYFUNCTION("""COMPUTED_VALUE"""),11.0)</f>
        <v>11</v>
      </c>
      <c r="C4699" s="11">
        <f>IFERROR(__xludf.DUMMYFUNCTION("""COMPUTED_VALUE"""),71084.0)</f>
        <v>71084</v>
      </c>
      <c r="D4699" s="11">
        <f>IFERROR(__xludf.DUMMYFUNCTION("""COMPUTED_VALUE"""),1353.0)</f>
        <v>1353</v>
      </c>
      <c r="E4699" s="9"/>
    </row>
    <row r="4700">
      <c r="A4700" s="11">
        <f>IFERROR(__xludf.DUMMYFUNCTION("""COMPUTED_VALUE"""),2021.0)</f>
        <v>2021</v>
      </c>
      <c r="B4700" s="11">
        <f>IFERROR(__xludf.DUMMYFUNCTION("""COMPUTED_VALUE"""),9.0)</f>
        <v>9</v>
      </c>
      <c r="C4700" s="11">
        <f>IFERROR(__xludf.DUMMYFUNCTION("""COMPUTED_VALUE"""),120587.0)</f>
        <v>120587</v>
      </c>
      <c r="D4700" s="11">
        <f>IFERROR(__xludf.DUMMYFUNCTION("""COMPUTED_VALUE"""),1513.0)</f>
        <v>1513</v>
      </c>
      <c r="E4700" s="9"/>
    </row>
    <row r="4701">
      <c r="A4701" s="11">
        <f>IFERROR(__xludf.DUMMYFUNCTION("""COMPUTED_VALUE"""),2021.0)</f>
        <v>2021</v>
      </c>
      <c r="B4701" s="11">
        <f>IFERROR(__xludf.DUMMYFUNCTION("""COMPUTED_VALUE"""),9.0)</f>
        <v>9</v>
      </c>
      <c r="C4701" s="11">
        <f>IFERROR(__xludf.DUMMYFUNCTION("""COMPUTED_VALUE"""),80952.0)</f>
        <v>80952</v>
      </c>
      <c r="D4701" s="11">
        <f>IFERROR(__xludf.DUMMYFUNCTION("""COMPUTED_VALUE"""),1620.0)</f>
        <v>1620</v>
      </c>
      <c r="E4701" s="9"/>
    </row>
    <row r="4702">
      <c r="A4702" s="11">
        <f>IFERROR(__xludf.DUMMYFUNCTION("""COMPUTED_VALUE"""),2021.0)</f>
        <v>2021</v>
      </c>
      <c r="B4702" s="11">
        <f>IFERROR(__xludf.DUMMYFUNCTION("""COMPUTED_VALUE"""),11.0)</f>
        <v>11</v>
      </c>
      <c r="C4702" s="11">
        <f>IFERROR(__xludf.DUMMYFUNCTION("""COMPUTED_VALUE"""),120575.0)</f>
        <v>120575</v>
      </c>
      <c r="D4702" s="11">
        <f>IFERROR(__xludf.DUMMYFUNCTION("""COMPUTED_VALUE"""),4.0)</f>
        <v>4</v>
      </c>
      <c r="E4702" s="9"/>
    </row>
    <row r="4703">
      <c r="A4703" s="11">
        <f>IFERROR(__xludf.DUMMYFUNCTION("""COMPUTED_VALUE"""),2021.0)</f>
        <v>2021</v>
      </c>
      <c r="B4703" s="11">
        <f>IFERROR(__xludf.DUMMYFUNCTION("""COMPUTED_VALUE"""),8.0)</f>
        <v>8</v>
      </c>
      <c r="C4703" s="11">
        <f>IFERROR(__xludf.DUMMYFUNCTION("""COMPUTED_VALUE"""),43244.0)</f>
        <v>43244</v>
      </c>
      <c r="D4703" s="11">
        <f>IFERROR(__xludf.DUMMYFUNCTION("""COMPUTED_VALUE"""),567.0)</f>
        <v>567</v>
      </c>
      <c r="E4703" s="9"/>
    </row>
    <row r="4704">
      <c r="A4704" s="11">
        <f>IFERROR(__xludf.DUMMYFUNCTION("""COMPUTED_VALUE"""),2021.0)</f>
        <v>2021</v>
      </c>
      <c r="B4704" s="11">
        <f>IFERROR(__xludf.DUMMYFUNCTION("""COMPUTED_VALUE"""),8.0)</f>
        <v>8</v>
      </c>
      <c r="C4704" s="11">
        <f>IFERROR(__xludf.DUMMYFUNCTION("""COMPUTED_VALUE"""),116477.0)</f>
        <v>116477</v>
      </c>
      <c r="D4704" s="11">
        <f>IFERROR(__xludf.DUMMYFUNCTION("""COMPUTED_VALUE"""),1771.0)</f>
        <v>1771</v>
      </c>
      <c r="E4704" s="9"/>
    </row>
    <row r="4705">
      <c r="A4705" s="11">
        <f>IFERROR(__xludf.DUMMYFUNCTION("""COMPUTED_VALUE"""),2021.0)</f>
        <v>2021</v>
      </c>
      <c r="B4705" s="11">
        <f>IFERROR(__xludf.DUMMYFUNCTION("""COMPUTED_VALUE"""),8.0)</f>
        <v>8</v>
      </c>
      <c r="C4705" s="11">
        <f>IFERROR(__xludf.DUMMYFUNCTION("""COMPUTED_VALUE"""),110480.0)</f>
        <v>110480</v>
      </c>
      <c r="D4705" s="11">
        <f>IFERROR(__xludf.DUMMYFUNCTION("""COMPUTED_VALUE"""),1295.0)</f>
        <v>1295</v>
      </c>
      <c r="E4705" s="9"/>
    </row>
    <row r="4706">
      <c r="A4706" s="11">
        <f>IFERROR(__xludf.DUMMYFUNCTION("""COMPUTED_VALUE"""),2021.0)</f>
        <v>2021</v>
      </c>
      <c r="B4706" s="11">
        <f>IFERROR(__xludf.DUMMYFUNCTION("""COMPUTED_VALUE"""),10.0)</f>
        <v>10</v>
      </c>
      <c r="C4706" s="11">
        <f>IFERROR(__xludf.DUMMYFUNCTION("""COMPUTED_VALUE"""),87548.0)</f>
        <v>87548</v>
      </c>
      <c r="D4706" s="11">
        <f>IFERROR(__xludf.DUMMYFUNCTION("""COMPUTED_VALUE"""),1951.0)</f>
        <v>1951</v>
      </c>
      <c r="E4706" s="9"/>
    </row>
    <row r="4707">
      <c r="A4707" s="11">
        <f>IFERROR(__xludf.DUMMYFUNCTION("""COMPUTED_VALUE"""),2021.0)</f>
        <v>2021</v>
      </c>
      <c r="B4707" s="11">
        <f>IFERROR(__xludf.DUMMYFUNCTION("""COMPUTED_VALUE"""),9.0)</f>
        <v>9</v>
      </c>
      <c r="C4707" s="11">
        <f>IFERROR(__xludf.DUMMYFUNCTION("""COMPUTED_VALUE"""),77223.0)</f>
        <v>77223</v>
      </c>
      <c r="D4707" s="11">
        <f>IFERROR(__xludf.DUMMYFUNCTION("""COMPUTED_VALUE"""),1450.0)</f>
        <v>1450</v>
      </c>
      <c r="E4707" s="9"/>
    </row>
    <row r="4708">
      <c r="A4708" s="11">
        <f>IFERROR(__xludf.DUMMYFUNCTION("""COMPUTED_VALUE"""),2021.0)</f>
        <v>2021</v>
      </c>
      <c r="B4708" s="11">
        <f>IFERROR(__xludf.DUMMYFUNCTION("""COMPUTED_VALUE"""),11.0)</f>
        <v>11</v>
      </c>
      <c r="C4708" s="11">
        <f>IFERROR(__xludf.DUMMYFUNCTION("""COMPUTED_VALUE"""),43241.0)</f>
        <v>43241</v>
      </c>
      <c r="D4708" s="11">
        <f>IFERROR(__xludf.DUMMYFUNCTION("""COMPUTED_VALUE"""),1730.0)</f>
        <v>1730</v>
      </c>
      <c r="E4708" s="9"/>
    </row>
    <row r="4709">
      <c r="A4709" s="11">
        <f>IFERROR(__xludf.DUMMYFUNCTION("""COMPUTED_VALUE"""),2021.0)</f>
        <v>2021</v>
      </c>
      <c r="B4709" s="11">
        <f>IFERROR(__xludf.DUMMYFUNCTION("""COMPUTED_VALUE"""),11.0)</f>
        <v>11</v>
      </c>
      <c r="C4709" s="11">
        <f>IFERROR(__xludf.DUMMYFUNCTION("""COMPUTED_VALUE"""),71161.0)</f>
        <v>71161</v>
      </c>
      <c r="D4709" s="11">
        <f>IFERROR(__xludf.DUMMYFUNCTION("""COMPUTED_VALUE"""),1436.0)</f>
        <v>1436</v>
      </c>
      <c r="E4709" s="9"/>
    </row>
    <row r="4710">
      <c r="A4710" s="11">
        <f>IFERROR(__xludf.DUMMYFUNCTION("""COMPUTED_VALUE"""),2021.0)</f>
        <v>2021</v>
      </c>
      <c r="B4710" s="11">
        <f>IFERROR(__xludf.DUMMYFUNCTION("""COMPUTED_VALUE"""),8.0)</f>
        <v>8</v>
      </c>
      <c r="C4710" s="11">
        <f>IFERROR(__xludf.DUMMYFUNCTION("""COMPUTED_VALUE"""),77224.0)</f>
        <v>77224</v>
      </c>
      <c r="D4710" s="11">
        <f>IFERROR(__xludf.DUMMYFUNCTION("""COMPUTED_VALUE"""),1653.0)</f>
        <v>1653</v>
      </c>
      <c r="E4710" s="9"/>
    </row>
    <row r="4711">
      <c r="A4711" s="11">
        <f>IFERROR(__xludf.DUMMYFUNCTION("""COMPUTED_VALUE"""),2021.0)</f>
        <v>2021</v>
      </c>
      <c r="B4711" s="11">
        <f>IFERROR(__xludf.DUMMYFUNCTION("""COMPUTED_VALUE"""),8.0)</f>
        <v>8</v>
      </c>
      <c r="C4711" s="11">
        <f>IFERROR(__xludf.DUMMYFUNCTION("""COMPUTED_VALUE"""),113992.0)</f>
        <v>113992</v>
      </c>
      <c r="D4711" s="11">
        <f>IFERROR(__xludf.DUMMYFUNCTION("""COMPUTED_VALUE"""),571.0)</f>
        <v>571</v>
      </c>
      <c r="E4711" s="9"/>
    </row>
    <row r="4712">
      <c r="A4712" s="11">
        <f>IFERROR(__xludf.DUMMYFUNCTION("""COMPUTED_VALUE"""),2021.0)</f>
        <v>2021</v>
      </c>
      <c r="B4712" s="11">
        <f>IFERROR(__xludf.DUMMYFUNCTION("""COMPUTED_VALUE"""),11.0)</f>
        <v>11</v>
      </c>
      <c r="C4712" s="11">
        <f>IFERROR(__xludf.DUMMYFUNCTION("""COMPUTED_VALUE"""),112611.0)</f>
        <v>112611</v>
      </c>
      <c r="D4712" s="11">
        <f>IFERROR(__xludf.DUMMYFUNCTION("""COMPUTED_VALUE"""),1136.0)</f>
        <v>1136</v>
      </c>
      <c r="E4712" s="9"/>
    </row>
    <row r="4713">
      <c r="A4713" s="11">
        <f>IFERROR(__xludf.DUMMYFUNCTION("""COMPUTED_VALUE"""),2021.0)</f>
        <v>2021</v>
      </c>
      <c r="B4713" s="11">
        <f>IFERROR(__xludf.DUMMYFUNCTION("""COMPUTED_VALUE"""),8.0)</f>
        <v>8</v>
      </c>
      <c r="C4713" s="11">
        <f>IFERROR(__xludf.DUMMYFUNCTION("""COMPUTED_VALUE"""),116482.0)</f>
        <v>116482</v>
      </c>
      <c r="D4713" s="11">
        <f>IFERROR(__xludf.DUMMYFUNCTION("""COMPUTED_VALUE"""),193.0)</f>
        <v>193</v>
      </c>
      <c r="E4713" s="9"/>
    </row>
    <row r="4714">
      <c r="A4714" s="11">
        <f>IFERROR(__xludf.DUMMYFUNCTION("""COMPUTED_VALUE"""),2021.0)</f>
        <v>2021</v>
      </c>
      <c r="B4714" s="11">
        <f>IFERROR(__xludf.DUMMYFUNCTION("""COMPUTED_VALUE"""),9.0)</f>
        <v>9</v>
      </c>
      <c r="C4714" s="11">
        <f>IFERROR(__xludf.DUMMYFUNCTION("""COMPUTED_VALUE"""),77246.0)</f>
        <v>77246</v>
      </c>
      <c r="D4714" s="11">
        <f>IFERROR(__xludf.DUMMYFUNCTION("""COMPUTED_VALUE"""),207.0)</f>
        <v>207</v>
      </c>
      <c r="E4714" s="9"/>
    </row>
    <row r="4715">
      <c r="A4715" s="11">
        <f>IFERROR(__xludf.DUMMYFUNCTION("""COMPUTED_VALUE"""),2021.0)</f>
        <v>2021</v>
      </c>
      <c r="B4715" s="11">
        <f>IFERROR(__xludf.DUMMYFUNCTION("""COMPUTED_VALUE"""),9.0)</f>
        <v>9</v>
      </c>
      <c r="C4715" s="11">
        <f>IFERROR(__xludf.DUMMYFUNCTION("""COMPUTED_VALUE"""),122798.0)</f>
        <v>122798</v>
      </c>
      <c r="D4715" s="11">
        <f>IFERROR(__xludf.DUMMYFUNCTION("""COMPUTED_VALUE"""),74.0)</f>
        <v>74</v>
      </c>
      <c r="E4715" s="9"/>
    </row>
    <row r="4716">
      <c r="A4716" s="11">
        <f>IFERROR(__xludf.DUMMYFUNCTION("""COMPUTED_VALUE"""),2021.0)</f>
        <v>2021</v>
      </c>
      <c r="B4716" s="11">
        <f>IFERROR(__xludf.DUMMYFUNCTION("""COMPUTED_VALUE"""),11.0)</f>
        <v>11</v>
      </c>
      <c r="C4716" s="11">
        <f>IFERROR(__xludf.DUMMYFUNCTION("""COMPUTED_VALUE"""),120590.0)</f>
        <v>120590</v>
      </c>
      <c r="D4716" s="11">
        <f>IFERROR(__xludf.DUMMYFUNCTION("""COMPUTED_VALUE"""),543.0)</f>
        <v>543</v>
      </c>
      <c r="E4716" s="9"/>
    </row>
    <row r="4717">
      <c r="A4717" s="11">
        <f>IFERROR(__xludf.DUMMYFUNCTION("""COMPUTED_VALUE"""),2021.0)</f>
        <v>2021</v>
      </c>
      <c r="B4717" s="11">
        <f>IFERROR(__xludf.DUMMYFUNCTION("""COMPUTED_VALUE"""),11.0)</f>
        <v>11</v>
      </c>
      <c r="C4717" s="11">
        <f>IFERROR(__xludf.DUMMYFUNCTION("""COMPUTED_VALUE"""),71914.0)</f>
        <v>71914</v>
      </c>
      <c r="D4717" s="11">
        <f>IFERROR(__xludf.DUMMYFUNCTION("""COMPUTED_VALUE"""),941.0)</f>
        <v>941</v>
      </c>
      <c r="E4717" s="9"/>
    </row>
    <row r="4718">
      <c r="A4718" s="11">
        <f>IFERROR(__xludf.DUMMYFUNCTION("""COMPUTED_VALUE"""),2021.0)</f>
        <v>2021</v>
      </c>
      <c r="B4718" s="11">
        <f>IFERROR(__xludf.DUMMYFUNCTION("""COMPUTED_VALUE"""),10.0)</f>
        <v>10</v>
      </c>
      <c r="C4718" s="11">
        <f>IFERROR(__xludf.DUMMYFUNCTION("""COMPUTED_VALUE"""),118206.0)</f>
        <v>118206</v>
      </c>
      <c r="D4718" s="11">
        <f>IFERROR(__xludf.DUMMYFUNCTION("""COMPUTED_VALUE"""),1451.0)</f>
        <v>1451</v>
      </c>
      <c r="E4718" s="9"/>
    </row>
    <row r="4719">
      <c r="A4719" s="11">
        <f>IFERROR(__xludf.DUMMYFUNCTION("""COMPUTED_VALUE"""),2021.0)</f>
        <v>2021</v>
      </c>
      <c r="B4719" s="11">
        <f>IFERROR(__xludf.DUMMYFUNCTION("""COMPUTED_VALUE"""),9.0)</f>
        <v>9</v>
      </c>
      <c r="C4719" s="11">
        <f>IFERROR(__xludf.DUMMYFUNCTION("""COMPUTED_VALUE"""),118179.0)</f>
        <v>118179</v>
      </c>
      <c r="D4719" s="11">
        <f>IFERROR(__xludf.DUMMYFUNCTION("""COMPUTED_VALUE"""),1423.0)</f>
        <v>1423</v>
      </c>
      <c r="E4719" s="9"/>
    </row>
    <row r="4720">
      <c r="A4720" s="11">
        <f>IFERROR(__xludf.DUMMYFUNCTION("""COMPUTED_VALUE"""),2021.0)</f>
        <v>2021</v>
      </c>
      <c r="B4720" s="11">
        <f>IFERROR(__xludf.DUMMYFUNCTION("""COMPUTED_VALUE"""),11.0)</f>
        <v>11</v>
      </c>
      <c r="C4720" s="11">
        <f>IFERROR(__xludf.DUMMYFUNCTION("""COMPUTED_VALUE"""),43247.0)</f>
        <v>43247</v>
      </c>
      <c r="D4720" s="11">
        <f>IFERROR(__xludf.DUMMYFUNCTION("""COMPUTED_VALUE"""),940.0)</f>
        <v>940</v>
      </c>
      <c r="E4720" s="9"/>
    </row>
    <row r="4721">
      <c r="A4721" s="11">
        <f>IFERROR(__xludf.DUMMYFUNCTION("""COMPUTED_VALUE"""),2021.0)</f>
        <v>2021</v>
      </c>
      <c r="B4721" s="11">
        <f>IFERROR(__xludf.DUMMYFUNCTION("""COMPUTED_VALUE"""),10.0)</f>
        <v>10</v>
      </c>
      <c r="C4721" s="11">
        <f>IFERROR(__xludf.DUMMYFUNCTION("""COMPUTED_VALUE"""),71166.0)</f>
        <v>71166</v>
      </c>
      <c r="D4721" s="11">
        <f>IFERROR(__xludf.DUMMYFUNCTION("""COMPUTED_VALUE"""),1207.0)</f>
        <v>1207</v>
      </c>
      <c r="E4721" s="9"/>
    </row>
    <row r="4722">
      <c r="A4722" s="11">
        <f>IFERROR(__xludf.DUMMYFUNCTION("""COMPUTED_VALUE"""),2021.0)</f>
        <v>2021</v>
      </c>
      <c r="B4722" s="11">
        <f>IFERROR(__xludf.DUMMYFUNCTION("""COMPUTED_VALUE"""),9.0)</f>
        <v>9</v>
      </c>
      <c r="C4722" s="11">
        <f>IFERROR(__xludf.DUMMYFUNCTION("""COMPUTED_VALUE"""),43238.0)</f>
        <v>43238</v>
      </c>
      <c r="D4722" s="11">
        <f>IFERROR(__xludf.DUMMYFUNCTION("""COMPUTED_VALUE"""),952.0)</f>
        <v>952</v>
      </c>
      <c r="E4722" s="9"/>
    </row>
    <row r="4723">
      <c r="A4723" s="11">
        <f>IFERROR(__xludf.DUMMYFUNCTION("""COMPUTED_VALUE"""),2021.0)</f>
        <v>2021</v>
      </c>
      <c r="B4723" s="11">
        <f>IFERROR(__xludf.DUMMYFUNCTION("""COMPUTED_VALUE"""),9.0)</f>
        <v>9</v>
      </c>
      <c r="C4723" s="11">
        <f>IFERROR(__xludf.DUMMYFUNCTION("""COMPUTED_VALUE"""),114003.0)</f>
        <v>114003</v>
      </c>
      <c r="D4723" s="11">
        <f>IFERROR(__xludf.DUMMYFUNCTION("""COMPUTED_VALUE"""),43.0)</f>
        <v>43</v>
      </c>
      <c r="E4723" s="9"/>
    </row>
    <row r="4724">
      <c r="A4724" s="11">
        <f>IFERROR(__xludf.DUMMYFUNCTION("""COMPUTED_VALUE"""),2021.0)</f>
        <v>2021</v>
      </c>
      <c r="B4724" s="11">
        <f>IFERROR(__xludf.DUMMYFUNCTION("""COMPUTED_VALUE"""),10.0)</f>
        <v>10</v>
      </c>
      <c r="C4724" s="11">
        <f>IFERROR(__xludf.DUMMYFUNCTION("""COMPUTED_VALUE"""),87540.0)</f>
        <v>87540</v>
      </c>
      <c r="D4724" s="11">
        <f>IFERROR(__xludf.DUMMYFUNCTION("""COMPUTED_VALUE"""),718.0)</f>
        <v>718</v>
      </c>
      <c r="E4724" s="9"/>
    </row>
    <row r="4725">
      <c r="A4725" s="11">
        <f>IFERROR(__xludf.DUMMYFUNCTION("""COMPUTED_VALUE"""),2021.0)</f>
        <v>2021</v>
      </c>
      <c r="B4725" s="11">
        <f>IFERROR(__xludf.DUMMYFUNCTION("""COMPUTED_VALUE"""),8.0)</f>
        <v>8</v>
      </c>
      <c r="C4725" s="11">
        <f>IFERROR(__xludf.DUMMYFUNCTION("""COMPUTED_VALUE"""),77229.0)</f>
        <v>77229</v>
      </c>
      <c r="D4725" s="11">
        <f>IFERROR(__xludf.DUMMYFUNCTION("""COMPUTED_VALUE"""),1387.0)</f>
        <v>1387</v>
      </c>
      <c r="E4725" s="9"/>
    </row>
    <row r="4726">
      <c r="A4726" s="11">
        <f>IFERROR(__xludf.DUMMYFUNCTION("""COMPUTED_VALUE"""),2021.0)</f>
        <v>2021</v>
      </c>
      <c r="B4726" s="11">
        <f>IFERROR(__xludf.DUMMYFUNCTION("""COMPUTED_VALUE"""),11.0)</f>
        <v>11</v>
      </c>
      <c r="C4726" s="11">
        <f>IFERROR(__xludf.DUMMYFUNCTION("""COMPUTED_VALUE"""),113994.0)</f>
        <v>113994</v>
      </c>
      <c r="D4726" s="11">
        <f>IFERROR(__xludf.DUMMYFUNCTION("""COMPUTED_VALUE"""),21.0)</f>
        <v>21</v>
      </c>
      <c r="E4726" s="9"/>
    </row>
    <row r="4727">
      <c r="A4727" s="11">
        <f>IFERROR(__xludf.DUMMYFUNCTION("""COMPUTED_VALUE"""),2021.0)</f>
        <v>2021</v>
      </c>
      <c r="B4727" s="11">
        <f>IFERROR(__xludf.DUMMYFUNCTION("""COMPUTED_VALUE"""),11.0)</f>
        <v>11</v>
      </c>
      <c r="C4727" s="11">
        <f>IFERROR(__xludf.DUMMYFUNCTION("""COMPUTED_VALUE"""),106725.0)</f>
        <v>106725</v>
      </c>
      <c r="D4727" s="11">
        <f>IFERROR(__xludf.DUMMYFUNCTION("""COMPUTED_VALUE"""),1120.0)</f>
        <v>1120</v>
      </c>
      <c r="E4727" s="9"/>
    </row>
    <row r="4728">
      <c r="A4728" s="11">
        <f>IFERROR(__xludf.DUMMYFUNCTION("""COMPUTED_VALUE"""),2021.0)</f>
        <v>2021</v>
      </c>
      <c r="B4728" s="11">
        <f>IFERROR(__xludf.DUMMYFUNCTION("""COMPUTED_VALUE"""),9.0)</f>
        <v>9</v>
      </c>
      <c r="C4728" s="11">
        <f>IFERROR(__xludf.DUMMYFUNCTION("""COMPUTED_VALUE"""),43235.0)</f>
        <v>43235</v>
      </c>
      <c r="D4728" s="11">
        <f>IFERROR(__xludf.DUMMYFUNCTION("""COMPUTED_VALUE"""),591.0)</f>
        <v>591</v>
      </c>
      <c r="E4728" s="9"/>
    </row>
    <row r="4729">
      <c r="A4729" s="11">
        <f>IFERROR(__xludf.DUMMYFUNCTION("""COMPUTED_VALUE"""),2021.0)</f>
        <v>2021</v>
      </c>
      <c r="B4729" s="11">
        <f>IFERROR(__xludf.DUMMYFUNCTION("""COMPUTED_VALUE"""),9.0)</f>
        <v>9</v>
      </c>
      <c r="C4729" s="11">
        <f>IFERROR(__xludf.DUMMYFUNCTION("""COMPUTED_VALUE"""),118176.0)</f>
        <v>118176</v>
      </c>
      <c r="D4729" s="11">
        <f>IFERROR(__xludf.DUMMYFUNCTION("""COMPUTED_VALUE"""),1674.0)</f>
        <v>1674</v>
      </c>
      <c r="E4729" s="9"/>
    </row>
    <row r="4730">
      <c r="A4730" s="11">
        <f>IFERROR(__xludf.DUMMYFUNCTION("""COMPUTED_VALUE"""),2021.0)</f>
        <v>2021</v>
      </c>
      <c r="B4730" s="11">
        <f>IFERROR(__xludf.DUMMYFUNCTION("""COMPUTED_VALUE"""),11.0)</f>
        <v>11</v>
      </c>
      <c r="C4730" s="11">
        <f>IFERROR(__xludf.DUMMYFUNCTION("""COMPUTED_VALUE"""),114018.0)</f>
        <v>114018</v>
      </c>
      <c r="D4730" s="11">
        <f>IFERROR(__xludf.DUMMYFUNCTION("""COMPUTED_VALUE"""),1121.0)</f>
        <v>1121</v>
      </c>
      <c r="E4730" s="9"/>
    </row>
    <row r="4731">
      <c r="A4731" s="11">
        <f>IFERROR(__xludf.DUMMYFUNCTION("""COMPUTED_VALUE"""),2021.0)</f>
        <v>2021</v>
      </c>
      <c r="B4731" s="11">
        <f>IFERROR(__xludf.DUMMYFUNCTION("""COMPUTED_VALUE"""),8.0)</f>
        <v>8</v>
      </c>
      <c r="C4731" s="11">
        <f>IFERROR(__xludf.DUMMYFUNCTION("""COMPUTED_VALUE"""),116480.0)</f>
        <v>116480</v>
      </c>
      <c r="D4731" s="11">
        <f>IFERROR(__xludf.DUMMYFUNCTION("""COMPUTED_VALUE"""),972.0)</f>
        <v>972</v>
      </c>
      <c r="E4731" s="9"/>
    </row>
    <row r="4732">
      <c r="A4732" s="11">
        <f>IFERROR(__xludf.DUMMYFUNCTION("""COMPUTED_VALUE"""),2021.0)</f>
        <v>2021</v>
      </c>
      <c r="B4732" s="11">
        <f>IFERROR(__xludf.DUMMYFUNCTION("""COMPUTED_VALUE"""),10.0)</f>
        <v>10</v>
      </c>
      <c r="C4732" s="11">
        <f>IFERROR(__xludf.DUMMYFUNCTION("""COMPUTED_VALUE"""),120577.0)</f>
        <v>120577</v>
      </c>
      <c r="D4732" s="11">
        <f>IFERROR(__xludf.DUMMYFUNCTION("""COMPUTED_VALUE"""),550.0)</f>
        <v>550</v>
      </c>
      <c r="E4732" s="9"/>
    </row>
    <row r="4733">
      <c r="A4733" s="11">
        <f>IFERROR(__xludf.DUMMYFUNCTION("""COMPUTED_VALUE"""),2021.0)</f>
        <v>2021</v>
      </c>
      <c r="B4733" s="11">
        <f>IFERROR(__xludf.DUMMYFUNCTION("""COMPUTED_VALUE"""),9.0)</f>
        <v>9</v>
      </c>
      <c r="C4733" s="11">
        <f>IFERROR(__xludf.DUMMYFUNCTION("""COMPUTED_VALUE"""),118201.0)</f>
        <v>118201</v>
      </c>
      <c r="D4733" s="11">
        <f>IFERROR(__xludf.DUMMYFUNCTION("""COMPUTED_VALUE"""),1468.0)</f>
        <v>1468</v>
      </c>
      <c r="E4733" s="9"/>
    </row>
    <row r="4734">
      <c r="A4734" s="11">
        <f>IFERROR(__xludf.DUMMYFUNCTION("""COMPUTED_VALUE"""),2021.0)</f>
        <v>2021</v>
      </c>
      <c r="B4734" s="11">
        <f>IFERROR(__xludf.DUMMYFUNCTION("""COMPUTED_VALUE"""),11.0)</f>
        <v>11</v>
      </c>
      <c r="C4734" s="11">
        <f>IFERROR(__xludf.DUMMYFUNCTION("""COMPUTED_VALUE"""),77245.0)</f>
        <v>77245</v>
      </c>
      <c r="D4734" s="11">
        <f>IFERROR(__xludf.DUMMYFUNCTION("""COMPUTED_VALUE"""),1203.0)</f>
        <v>1203</v>
      </c>
      <c r="E4734" s="9"/>
    </row>
    <row r="4735">
      <c r="A4735" s="11">
        <f>IFERROR(__xludf.DUMMYFUNCTION("""COMPUTED_VALUE"""),2021.0)</f>
        <v>2021</v>
      </c>
      <c r="B4735" s="11">
        <f>IFERROR(__xludf.DUMMYFUNCTION("""COMPUTED_VALUE"""),11.0)</f>
        <v>11</v>
      </c>
      <c r="C4735" s="11">
        <f>IFERROR(__xludf.DUMMYFUNCTION("""COMPUTED_VALUE"""),118195.0)</f>
        <v>118195</v>
      </c>
      <c r="D4735" s="11">
        <f>IFERROR(__xludf.DUMMYFUNCTION("""COMPUTED_VALUE"""),1480.0)</f>
        <v>1480</v>
      </c>
      <c r="E4735" s="9"/>
    </row>
    <row r="4736">
      <c r="A4736" s="11">
        <f>IFERROR(__xludf.DUMMYFUNCTION("""COMPUTED_VALUE"""),2021.0)</f>
        <v>2021</v>
      </c>
      <c r="B4736" s="11">
        <f>IFERROR(__xludf.DUMMYFUNCTION("""COMPUTED_VALUE"""),11.0)</f>
        <v>11</v>
      </c>
      <c r="C4736" s="11">
        <f>IFERROR(__xludf.DUMMYFUNCTION("""COMPUTED_VALUE"""),118197.0)</f>
        <v>118197</v>
      </c>
      <c r="D4736" s="11">
        <f>IFERROR(__xludf.DUMMYFUNCTION("""COMPUTED_VALUE"""),618.0)</f>
        <v>618</v>
      </c>
      <c r="E4736" s="9"/>
    </row>
    <row r="4737">
      <c r="A4737" s="11">
        <f>IFERROR(__xludf.DUMMYFUNCTION("""COMPUTED_VALUE"""),2021.0)</f>
        <v>2021</v>
      </c>
      <c r="B4737" s="11">
        <f>IFERROR(__xludf.DUMMYFUNCTION("""COMPUTED_VALUE"""),10.0)</f>
        <v>10</v>
      </c>
      <c r="C4737" s="11">
        <f>IFERROR(__xludf.DUMMYFUNCTION("""COMPUTED_VALUE"""),187317.0)</f>
        <v>187317</v>
      </c>
      <c r="D4737" s="11">
        <f>IFERROR(__xludf.DUMMYFUNCTION("""COMPUTED_VALUE"""),542.0)</f>
        <v>542</v>
      </c>
      <c r="E4737" s="9"/>
    </row>
    <row r="4738">
      <c r="A4738" s="11">
        <f>IFERROR(__xludf.DUMMYFUNCTION("""COMPUTED_VALUE"""),2021.0)</f>
        <v>2021</v>
      </c>
      <c r="B4738" s="11">
        <f>IFERROR(__xludf.DUMMYFUNCTION("""COMPUTED_VALUE"""),11.0)</f>
        <v>11</v>
      </c>
      <c r="C4738" s="11">
        <f>IFERROR(__xludf.DUMMYFUNCTION("""COMPUTED_VALUE"""),199484.0)</f>
        <v>199484</v>
      </c>
      <c r="D4738" s="11">
        <f>IFERROR(__xludf.DUMMYFUNCTION("""COMPUTED_VALUE"""),1071.0)</f>
        <v>1071</v>
      </c>
      <c r="E4738" s="9"/>
    </row>
    <row r="4739">
      <c r="A4739" s="11">
        <f>IFERROR(__xludf.DUMMYFUNCTION("""COMPUTED_VALUE"""),2021.0)</f>
        <v>2021</v>
      </c>
      <c r="B4739" s="11">
        <f>IFERROR(__xludf.DUMMYFUNCTION("""COMPUTED_VALUE"""),8.0)</f>
        <v>8</v>
      </c>
      <c r="C4739" s="11">
        <f>IFERROR(__xludf.DUMMYFUNCTION("""COMPUTED_VALUE"""),113995.0)</f>
        <v>113995</v>
      </c>
      <c r="D4739" s="11">
        <f>IFERROR(__xludf.DUMMYFUNCTION("""COMPUTED_VALUE"""),1752.0)</f>
        <v>1752</v>
      </c>
      <c r="E4739" s="9"/>
    </row>
    <row r="4740">
      <c r="A4740" s="11">
        <f>IFERROR(__xludf.DUMMYFUNCTION("""COMPUTED_VALUE"""),2021.0)</f>
        <v>2021</v>
      </c>
      <c r="B4740" s="11">
        <f>IFERROR(__xludf.DUMMYFUNCTION("""COMPUTED_VALUE"""),9.0)</f>
        <v>9</v>
      </c>
      <c r="C4740" s="11">
        <f>IFERROR(__xludf.DUMMYFUNCTION("""COMPUTED_VALUE"""),113669.0)</f>
        <v>113669</v>
      </c>
      <c r="D4740" s="11">
        <f>IFERROR(__xludf.DUMMYFUNCTION("""COMPUTED_VALUE"""),1056.0)</f>
        <v>1056</v>
      </c>
      <c r="E4740" s="9"/>
    </row>
    <row r="4741">
      <c r="A4741" s="11">
        <f>IFERROR(__xludf.DUMMYFUNCTION("""COMPUTED_VALUE"""),2021.0)</f>
        <v>2021</v>
      </c>
      <c r="B4741" s="11">
        <f>IFERROR(__xludf.DUMMYFUNCTION("""COMPUTED_VALUE"""),10.0)</f>
        <v>10</v>
      </c>
      <c r="C4741" s="11">
        <f>IFERROR(__xludf.DUMMYFUNCTION("""COMPUTED_VALUE"""),111584.0)</f>
        <v>111584</v>
      </c>
      <c r="D4741" s="11">
        <f>IFERROR(__xludf.DUMMYFUNCTION("""COMPUTED_VALUE"""),1605.0)</f>
        <v>1605</v>
      </c>
      <c r="E4741" s="9"/>
    </row>
    <row r="4742">
      <c r="A4742" s="11">
        <f>IFERROR(__xludf.DUMMYFUNCTION("""COMPUTED_VALUE"""),2021.0)</f>
        <v>2021</v>
      </c>
      <c r="B4742" s="11">
        <f>IFERROR(__xludf.DUMMYFUNCTION("""COMPUTED_VALUE"""),11.0)</f>
        <v>11</v>
      </c>
      <c r="C4742" s="11">
        <f>IFERROR(__xludf.DUMMYFUNCTION("""COMPUTED_VALUE"""),26123.0)</f>
        <v>26123</v>
      </c>
      <c r="D4742" s="11">
        <f>IFERROR(__xludf.DUMMYFUNCTION("""COMPUTED_VALUE"""),1840.0)</f>
        <v>1840</v>
      </c>
      <c r="E4742" s="9"/>
    </row>
    <row r="4743">
      <c r="A4743" s="11">
        <f>IFERROR(__xludf.DUMMYFUNCTION("""COMPUTED_VALUE"""),2021.0)</f>
        <v>2021</v>
      </c>
      <c r="B4743" s="11">
        <f>IFERROR(__xludf.DUMMYFUNCTION("""COMPUTED_VALUE"""),11.0)</f>
        <v>11</v>
      </c>
      <c r="C4743" s="11">
        <f>IFERROR(__xludf.DUMMYFUNCTION("""COMPUTED_VALUE"""),113665.0)</f>
        <v>113665</v>
      </c>
      <c r="D4743" s="11">
        <f>IFERROR(__xludf.DUMMYFUNCTION("""COMPUTED_VALUE"""),590.0)</f>
        <v>590</v>
      </c>
      <c r="E4743" s="9"/>
    </row>
    <row r="4744">
      <c r="A4744" s="11">
        <f>IFERROR(__xludf.DUMMYFUNCTION("""COMPUTED_VALUE"""),2021.0)</f>
        <v>2021</v>
      </c>
      <c r="B4744" s="11">
        <f>IFERROR(__xludf.DUMMYFUNCTION("""COMPUTED_VALUE"""),10.0)</f>
        <v>10</v>
      </c>
      <c r="C4744" s="11">
        <f>IFERROR(__xludf.DUMMYFUNCTION("""COMPUTED_VALUE"""),181241.0)</f>
        <v>181241</v>
      </c>
      <c r="D4744" s="11">
        <f>IFERROR(__xludf.DUMMYFUNCTION("""COMPUTED_VALUE"""),476.0)</f>
        <v>476</v>
      </c>
      <c r="E4744" s="9"/>
    </row>
    <row r="4745">
      <c r="A4745" s="11">
        <f>IFERROR(__xludf.DUMMYFUNCTION("""COMPUTED_VALUE"""),2021.0)</f>
        <v>2021</v>
      </c>
      <c r="B4745" s="11">
        <f>IFERROR(__xludf.DUMMYFUNCTION("""COMPUTED_VALUE"""),11.0)</f>
        <v>11</v>
      </c>
      <c r="C4745" s="11">
        <f>IFERROR(__xludf.DUMMYFUNCTION("""COMPUTED_VALUE"""),113664.0)</f>
        <v>113664</v>
      </c>
      <c r="D4745" s="11">
        <f>IFERROR(__xludf.DUMMYFUNCTION("""COMPUTED_VALUE"""),504.0)</f>
        <v>504</v>
      </c>
      <c r="E4745" s="9"/>
    </row>
    <row r="4746">
      <c r="A4746" s="11">
        <f>IFERROR(__xludf.DUMMYFUNCTION("""COMPUTED_VALUE"""),2021.0)</f>
        <v>2021</v>
      </c>
      <c r="B4746" s="11">
        <f>IFERROR(__xludf.DUMMYFUNCTION("""COMPUTED_VALUE"""),8.0)</f>
        <v>8</v>
      </c>
      <c r="C4746" s="11">
        <f>IFERROR(__xludf.DUMMYFUNCTION("""COMPUTED_VALUE"""),113677.0)</f>
        <v>113677</v>
      </c>
      <c r="D4746" s="11">
        <f>IFERROR(__xludf.DUMMYFUNCTION("""COMPUTED_VALUE"""),948.0)</f>
        <v>948</v>
      </c>
      <c r="E4746" s="9"/>
    </row>
    <row r="4747">
      <c r="A4747" s="11">
        <f>IFERROR(__xludf.DUMMYFUNCTION("""COMPUTED_VALUE"""),2021.0)</f>
        <v>2021</v>
      </c>
      <c r="B4747" s="11">
        <f>IFERROR(__xludf.DUMMYFUNCTION("""COMPUTED_VALUE"""),10.0)</f>
        <v>10</v>
      </c>
      <c r="C4747" s="11">
        <f>IFERROR(__xludf.DUMMYFUNCTION("""COMPUTED_VALUE"""),120343.0)</f>
        <v>120343</v>
      </c>
      <c r="D4747" s="11">
        <f>IFERROR(__xludf.DUMMYFUNCTION("""COMPUTED_VALUE"""),29.0)</f>
        <v>29</v>
      </c>
      <c r="E4747" s="9"/>
    </row>
    <row r="4748">
      <c r="A4748" s="11">
        <f>IFERROR(__xludf.DUMMYFUNCTION("""COMPUTED_VALUE"""),2021.0)</f>
        <v>2021</v>
      </c>
      <c r="B4748" s="11">
        <f>IFERROR(__xludf.DUMMYFUNCTION("""COMPUTED_VALUE"""),9.0)</f>
        <v>9</v>
      </c>
      <c r="C4748" s="11">
        <f>IFERROR(__xludf.DUMMYFUNCTION("""COMPUTED_VALUE"""),113666.0)</f>
        <v>113666</v>
      </c>
      <c r="D4748" s="11">
        <f>IFERROR(__xludf.DUMMYFUNCTION("""COMPUTED_VALUE"""),312.0)</f>
        <v>312</v>
      </c>
      <c r="E4748" s="9"/>
    </row>
    <row r="4749">
      <c r="A4749" s="11">
        <f>IFERROR(__xludf.DUMMYFUNCTION("""COMPUTED_VALUE"""),2021.0)</f>
        <v>2021</v>
      </c>
      <c r="B4749" s="11">
        <f>IFERROR(__xludf.DUMMYFUNCTION("""COMPUTED_VALUE"""),9.0)</f>
        <v>9</v>
      </c>
      <c r="C4749" s="11">
        <f>IFERROR(__xludf.DUMMYFUNCTION("""COMPUTED_VALUE"""),113663.0)</f>
        <v>113663</v>
      </c>
      <c r="D4749" s="11">
        <f>IFERROR(__xludf.DUMMYFUNCTION("""COMPUTED_VALUE"""),1288.0)</f>
        <v>1288</v>
      </c>
      <c r="E4749" s="9"/>
    </row>
    <row r="4750">
      <c r="A4750" s="11">
        <f>IFERROR(__xludf.DUMMYFUNCTION("""COMPUTED_VALUE"""),2021.0)</f>
        <v>2021</v>
      </c>
      <c r="B4750" s="11">
        <f>IFERROR(__xludf.DUMMYFUNCTION("""COMPUTED_VALUE"""),10.0)</f>
        <v>10</v>
      </c>
      <c r="C4750" s="11">
        <f>IFERROR(__xludf.DUMMYFUNCTION("""COMPUTED_VALUE"""),116983.0)</f>
        <v>116983</v>
      </c>
      <c r="D4750" s="11">
        <f>IFERROR(__xludf.DUMMYFUNCTION("""COMPUTED_VALUE"""),799.0)</f>
        <v>799</v>
      </c>
      <c r="E4750" s="9"/>
    </row>
    <row r="4751">
      <c r="A4751" s="11">
        <f>IFERROR(__xludf.DUMMYFUNCTION("""COMPUTED_VALUE"""),2021.0)</f>
        <v>2021</v>
      </c>
      <c r="B4751" s="11">
        <f>IFERROR(__xludf.DUMMYFUNCTION("""COMPUTED_VALUE"""),8.0)</f>
        <v>8</v>
      </c>
      <c r="C4751" s="11">
        <f>IFERROR(__xludf.DUMMYFUNCTION("""COMPUTED_VALUE"""),94043.0)</f>
        <v>94043</v>
      </c>
      <c r="D4751" s="11">
        <f>IFERROR(__xludf.DUMMYFUNCTION("""COMPUTED_VALUE"""),1002.0)</f>
        <v>1002</v>
      </c>
      <c r="E4751" s="9"/>
    </row>
    <row r="4752">
      <c r="A4752" s="11">
        <f>IFERROR(__xludf.DUMMYFUNCTION("""COMPUTED_VALUE"""),2021.0)</f>
        <v>2021</v>
      </c>
      <c r="B4752" s="11">
        <f>IFERROR(__xludf.DUMMYFUNCTION("""COMPUTED_VALUE"""),9.0)</f>
        <v>9</v>
      </c>
      <c r="C4752" s="11">
        <f>IFERROR(__xludf.DUMMYFUNCTION("""COMPUTED_VALUE"""),68216.0)</f>
        <v>68216</v>
      </c>
      <c r="D4752" s="11">
        <f>IFERROR(__xludf.DUMMYFUNCTION("""COMPUTED_VALUE"""),55.0)</f>
        <v>55</v>
      </c>
      <c r="E4752" s="9"/>
    </row>
    <row r="4753">
      <c r="A4753" s="11">
        <f>IFERROR(__xludf.DUMMYFUNCTION("""COMPUTED_VALUE"""),2021.0)</f>
        <v>2021</v>
      </c>
      <c r="B4753" s="11">
        <f>IFERROR(__xludf.DUMMYFUNCTION("""COMPUTED_VALUE"""),10.0)</f>
        <v>10</v>
      </c>
      <c r="C4753" s="11">
        <f>IFERROR(__xludf.DUMMYFUNCTION("""COMPUTED_VALUE"""),80131.0)</f>
        <v>80131</v>
      </c>
      <c r="D4753" s="11">
        <f>IFERROR(__xludf.DUMMYFUNCTION("""COMPUTED_VALUE"""),1155.0)</f>
        <v>1155</v>
      </c>
      <c r="E4753" s="9"/>
    </row>
    <row r="4754">
      <c r="A4754" s="11">
        <f>IFERROR(__xludf.DUMMYFUNCTION("""COMPUTED_VALUE"""),2021.0)</f>
        <v>2021</v>
      </c>
      <c r="B4754" s="11">
        <f>IFERROR(__xludf.DUMMYFUNCTION("""COMPUTED_VALUE"""),10.0)</f>
        <v>10</v>
      </c>
      <c r="C4754" s="11">
        <f>IFERROR(__xludf.DUMMYFUNCTION("""COMPUTED_VALUE"""),80998.0)</f>
        <v>80998</v>
      </c>
      <c r="D4754" s="11">
        <f>IFERROR(__xludf.DUMMYFUNCTION("""COMPUTED_VALUE"""),817.0)</f>
        <v>817</v>
      </c>
      <c r="E4754" s="9"/>
    </row>
    <row r="4755">
      <c r="A4755" s="11">
        <f>IFERROR(__xludf.DUMMYFUNCTION("""COMPUTED_VALUE"""),2021.0)</f>
        <v>2021</v>
      </c>
      <c r="B4755" s="11">
        <f>IFERROR(__xludf.DUMMYFUNCTION("""COMPUTED_VALUE"""),8.0)</f>
        <v>8</v>
      </c>
      <c r="C4755" s="11">
        <f>IFERROR(__xludf.DUMMYFUNCTION("""COMPUTED_VALUE"""),87014.0)</f>
        <v>87014</v>
      </c>
      <c r="D4755" s="11">
        <f>IFERROR(__xludf.DUMMYFUNCTION("""COMPUTED_VALUE"""),1294.0)</f>
        <v>1294</v>
      </c>
      <c r="E4755" s="9"/>
    </row>
    <row r="4756">
      <c r="A4756" s="11">
        <f>IFERROR(__xludf.DUMMYFUNCTION("""COMPUTED_VALUE"""),2021.0)</f>
        <v>2021</v>
      </c>
      <c r="B4756" s="11">
        <f>IFERROR(__xludf.DUMMYFUNCTION("""COMPUTED_VALUE"""),9.0)</f>
        <v>9</v>
      </c>
      <c r="C4756" s="11">
        <f>IFERROR(__xludf.DUMMYFUNCTION("""COMPUTED_VALUE"""),102900.0)</f>
        <v>102900</v>
      </c>
      <c r="D4756" s="11">
        <f>IFERROR(__xludf.DUMMYFUNCTION("""COMPUTED_VALUE"""),1806.0)</f>
        <v>1806</v>
      </c>
      <c r="E4756" s="9"/>
    </row>
    <row r="4757">
      <c r="A4757" s="11">
        <f>IFERROR(__xludf.DUMMYFUNCTION("""COMPUTED_VALUE"""),2021.0)</f>
        <v>2021</v>
      </c>
      <c r="B4757" s="11">
        <f>IFERROR(__xludf.DUMMYFUNCTION("""COMPUTED_VALUE"""),10.0)</f>
        <v>10</v>
      </c>
      <c r="C4757" s="11">
        <f>IFERROR(__xludf.DUMMYFUNCTION("""COMPUTED_VALUE"""),80997.0)</f>
        <v>80997</v>
      </c>
      <c r="D4757" s="11">
        <f>IFERROR(__xludf.DUMMYFUNCTION("""COMPUTED_VALUE"""),1711.0)</f>
        <v>1711</v>
      </c>
      <c r="E4757" s="9"/>
    </row>
    <row r="4758">
      <c r="A4758" s="11">
        <f>IFERROR(__xludf.DUMMYFUNCTION("""COMPUTED_VALUE"""),2021.0)</f>
        <v>2021</v>
      </c>
      <c r="B4758" s="11">
        <f>IFERROR(__xludf.DUMMYFUNCTION("""COMPUTED_VALUE"""),9.0)</f>
        <v>9</v>
      </c>
      <c r="C4758" s="11">
        <f>IFERROR(__xludf.DUMMYFUNCTION("""COMPUTED_VALUE"""),116989.0)</f>
        <v>116989</v>
      </c>
      <c r="D4758" s="11">
        <f>IFERROR(__xludf.DUMMYFUNCTION("""COMPUTED_VALUE"""),1795.0)</f>
        <v>1795</v>
      </c>
      <c r="E4758" s="9"/>
    </row>
    <row r="4759">
      <c r="A4759" s="11">
        <f>IFERROR(__xludf.DUMMYFUNCTION("""COMPUTED_VALUE"""),2021.0)</f>
        <v>2021</v>
      </c>
      <c r="B4759" s="11">
        <f>IFERROR(__xludf.DUMMYFUNCTION("""COMPUTED_VALUE"""),11.0)</f>
        <v>11</v>
      </c>
      <c r="C4759" s="11">
        <f>IFERROR(__xludf.DUMMYFUNCTION("""COMPUTED_VALUE"""),43826.0)</f>
        <v>43826</v>
      </c>
      <c r="D4759" s="11">
        <f>IFERROR(__xludf.DUMMYFUNCTION("""COMPUTED_VALUE"""),435.0)</f>
        <v>435</v>
      </c>
      <c r="E4759" s="9"/>
    </row>
    <row r="4760">
      <c r="A4760" s="11">
        <f>IFERROR(__xludf.DUMMYFUNCTION("""COMPUTED_VALUE"""),2021.0)</f>
        <v>2021</v>
      </c>
      <c r="B4760" s="11">
        <f>IFERROR(__xludf.DUMMYFUNCTION("""COMPUTED_VALUE"""),8.0)</f>
        <v>8</v>
      </c>
      <c r="C4760" s="11">
        <f>IFERROR(__xludf.DUMMYFUNCTION("""COMPUTED_VALUE"""),8769.0)</f>
        <v>8769</v>
      </c>
      <c r="D4760" s="11">
        <f>IFERROR(__xludf.DUMMYFUNCTION("""COMPUTED_VALUE"""),1620.0)</f>
        <v>1620</v>
      </c>
      <c r="E4760" s="9"/>
    </row>
    <row r="4761">
      <c r="A4761" s="11">
        <f>IFERROR(__xludf.DUMMYFUNCTION("""COMPUTED_VALUE"""),2021.0)</f>
        <v>2021</v>
      </c>
      <c r="B4761" s="11">
        <f>IFERROR(__xludf.DUMMYFUNCTION("""COMPUTED_VALUE"""),8.0)</f>
        <v>8</v>
      </c>
      <c r="C4761" s="11">
        <f>IFERROR(__xludf.DUMMYFUNCTION("""COMPUTED_VALUE"""),104427.0)</f>
        <v>104427</v>
      </c>
      <c r="D4761" s="11">
        <f>IFERROR(__xludf.DUMMYFUNCTION("""COMPUTED_VALUE"""),566.0)</f>
        <v>566</v>
      </c>
      <c r="E4761" s="9"/>
    </row>
    <row r="4762">
      <c r="A4762" s="11">
        <f>IFERROR(__xludf.DUMMYFUNCTION("""COMPUTED_VALUE"""),2021.0)</f>
        <v>2021</v>
      </c>
      <c r="B4762" s="11">
        <f>IFERROR(__xludf.DUMMYFUNCTION("""COMPUTED_VALUE"""),8.0)</f>
        <v>8</v>
      </c>
      <c r="C4762" s="11">
        <f>IFERROR(__xludf.DUMMYFUNCTION("""COMPUTED_VALUE"""),8770.0)</f>
        <v>8770</v>
      </c>
      <c r="D4762" s="11">
        <f>IFERROR(__xludf.DUMMYFUNCTION("""COMPUTED_VALUE"""),1887.0)</f>
        <v>1887</v>
      </c>
      <c r="E4762" s="9"/>
    </row>
    <row r="4763">
      <c r="A4763" s="11">
        <f>IFERROR(__xludf.DUMMYFUNCTION("""COMPUTED_VALUE"""),2021.0)</f>
        <v>2021</v>
      </c>
      <c r="B4763" s="11">
        <f>IFERROR(__xludf.DUMMYFUNCTION("""COMPUTED_VALUE"""),10.0)</f>
        <v>10</v>
      </c>
      <c r="C4763" s="11">
        <f>IFERROR(__xludf.DUMMYFUNCTION("""COMPUTED_VALUE"""),94930.0)</f>
        <v>94930</v>
      </c>
      <c r="D4763" s="11">
        <f>IFERROR(__xludf.DUMMYFUNCTION("""COMPUTED_VALUE"""),1641.0)</f>
        <v>1641</v>
      </c>
      <c r="E4763" s="9"/>
    </row>
    <row r="4764">
      <c r="A4764" s="11">
        <f>IFERROR(__xludf.DUMMYFUNCTION("""COMPUTED_VALUE"""),2021.0)</f>
        <v>2021</v>
      </c>
      <c r="B4764" s="11">
        <f>IFERROR(__xludf.DUMMYFUNCTION("""COMPUTED_VALUE"""),11.0)</f>
        <v>11</v>
      </c>
      <c r="C4764" s="11">
        <f>IFERROR(__xludf.DUMMYFUNCTION("""COMPUTED_VALUE"""),111576.0)</f>
        <v>111576</v>
      </c>
      <c r="D4764" s="11">
        <f>IFERROR(__xludf.DUMMYFUNCTION("""COMPUTED_VALUE"""),1431.0)</f>
        <v>1431</v>
      </c>
      <c r="E4764" s="9"/>
    </row>
    <row r="4765">
      <c r="A4765" s="11">
        <f>IFERROR(__xludf.DUMMYFUNCTION("""COMPUTED_VALUE"""),2021.0)</f>
        <v>2021</v>
      </c>
      <c r="B4765" s="11">
        <f>IFERROR(__xludf.DUMMYFUNCTION("""COMPUTED_VALUE"""),9.0)</f>
        <v>9</v>
      </c>
      <c r="C4765" s="11">
        <f>IFERROR(__xludf.DUMMYFUNCTION("""COMPUTED_VALUE"""),71715.0)</f>
        <v>71715</v>
      </c>
      <c r="D4765" s="11">
        <f>IFERROR(__xludf.DUMMYFUNCTION("""COMPUTED_VALUE"""),940.0)</f>
        <v>940</v>
      </c>
      <c r="E4765" s="9"/>
    </row>
    <row r="4766">
      <c r="A4766" s="11">
        <f>IFERROR(__xludf.DUMMYFUNCTION("""COMPUTED_VALUE"""),2021.0)</f>
        <v>2021</v>
      </c>
      <c r="B4766" s="11">
        <f>IFERROR(__xludf.DUMMYFUNCTION("""COMPUTED_VALUE"""),8.0)</f>
        <v>8</v>
      </c>
      <c r="C4766" s="11">
        <f>IFERROR(__xludf.DUMMYFUNCTION("""COMPUTED_VALUE"""),71710.0)</f>
        <v>71710</v>
      </c>
      <c r="D4766" s="11">
        <f>IFERROR(__xludf.DUMMYFUNCTION("""COMPUTED_VALUE"""),721.0)</f>
        <v>721</v>
      </c>
      <c r="E4766" s="9"/>
    </row>
    <row r="4767">
      <c r="A4767" s="11">
        <f>IFERROR(__xludf.DUMMYFUNCTION("""COMPUTED_VALUE"""),2021.0)</f>
        <v>2021</v>
      </c>
      <c r="B4767" s="11">
        <f>IFERROR(__xludf.DUMMYFUNCTION("""COMPUTED_VALUE"""),10.0)</f>
        <v>10</v>
      </c>
      <c r="C4767" s="11">
        <f>IFERROR(__xludf.DUMMYFUNCTION("""COMPUTED_VALUE"""),102790.0)</f>
        <v>102790</v>
      </c>
      <c r="D4767" s="11">
        <f>IFERROR(__xludf.DUMMYFUNCTION("""COMPUTED_VALUE"""),871.0)</f>
        <v>871</v>
      </c>
      <c r="E4767" s="9"/>
    </row>
    <row r="4768">
      <c r="A4768" s="11">
        <f>IFERROR(__xludf.DUMMYFUNCTION("""COMPUTED_VALUE"""),2021.0)</f>
        <v>2021</v>
      </c>
      <c r="B4768" s="11">
        <f>IFERROR(__xludf.DUMMYFUNCTION("""COMPUTED_VALUE"""),8.0)</f>
        <v>8</v>
      </c>
      <c r="C4768" s="11">
        <f>IFERROR(__xludf.DUMMYFUNCTION("""COMPUTED_VALUE"""),3518.0)</f>
        <v>3518</v>
      </c>
      <c r="D4768" s="11">
        <f>IFERROR(__xludf.DUMMYFUNCTION("""COMPUTED_VALUE"""),1566.0)</f>
        <v>1566</v>
      </c>
      <c r="E4768" s="9"/>
    </row>
    <row r="4769">
      <c r="A4769" s="11">
        <f>IFERROR(__xludf.DUMMYFUNCTION("""COMPUTED_VALUE"""),2021.0)</f>
        <v>2021</v>
      </c>
      <c r="B4769" s="11">
        <f>IFERROR(__xludf.DUMMYFUNCTION("""COMPUTED_VALUE"""),9.0)</f>
        <v>9</v>
      </c>
      <c r="C4769" s="11">
        <f>IFERROR(__xludf.DUMMYFUNCTION("""COMPUTED_VALUE"""),18318.0)</f>
        <v>18318</v>
      </c>
      <c r="D4769" s="11">
        <f>IFERROR(__xludf.DUMMYFUNCTION("""COMPUTED_VALUE"""),1561.0)</f>
        <v>1561</v>
      </c>
      <c r="E4769" s="9"/>
    </row>
    <row r="4770">
      <c r="A4770" s="11">
        <f>IFERROR(__xludf.DUMMYFUNCTION("""COMPUTED_VALUE"""),2021.0)</f>
        <v>2021</v>
      </c>
      <c r="B4770" s="11">
        <f>IFERROR(__xludf.DUMMYFUNCTION("""COMPUTED_VALUE"""),9.0)</f>
        <v>9</v>
      </c>
      <c r="C4770" s="11">
        <f>IFERROR(__xludf.DUMMYFUNCTION("""COMPUTED_VALUE"""),104220.0)</f>
        <v>104220</v>
      </c>
      <c r="D4770" s="11">
        <f>IFERROR(__xludf.DUMMYFUNCTION("""COMPUTED_VALUE"""),796.0)</f>
        <v>796</v>
      </c>
      <c r="E4770" s="9"/>
    </row>
    <row r="4771">
      <c r="A4771" s="11">
        <f>IFERROR(__xludf.DUMMYFUNCTION("""COMPUTED_VALUE"""),2021.0)</f>
        <v>2021</v>
      </c>
      <c r="B4771" s="11">
        <f>IFERROR(__xludf.DUMMYFUNCTION("""COMPUTED_VALUE"""),9.0)</f>
        <v>9</v>
      </c>
      <c r="C4771" s="11">
        <f>IFERROR(__xludf.DUMMYFUNCTION("""COMPUTED_VALUE"""),106109.0)</f>
        <v>106109</v>
      </c>
      <c r="D4771" s="11">
        <f>IFERROR(__xludf.DUMMYFUNCTION("""COMPUTED_VALUE"""),926.0)</f>
        <v>926</v>
      </c>
      <c r="E4771" s="9"/>
    </row>
    <row r="4772">
      <c r="A4772" s="11">
        <f>IFERROR(__xludf.DUMMYFUNCTION("""COMPUTED_VALUE"""),2021.0)</f>
        <v>2021</v>
      </c>
      <c r="B4772" s="11">
        <f>IFERROR(__xludf.DUMMYFUNCTION("""COMPUTED_VALUE"""),11.0)</f>
        <v>11</v>
      </c>
      <c r="C4772" s="11">
        <f>IFERROR(__xludf.DUMMYFUNCTION("""COMPUTED_VALUE"""),72162.0)</f>
        <v>72162</v>
      </c>
      <c r="D4772" s="11">
        <f>IFERROR(__xludf.DUMMYFUNCTION("""COMPUTED_VALUE"""),580.0)</f>
        <v>580</v>
      </c>
      <c r="E4772" s="9"/>
    </row>
    <row r="4773">
      <c r="A4773" s="11">
        <f>IFERROR(__xludf.DUMMYFUNCTION("""COMPUTED_VALUE"""),2021.0)</f>
        <v>2021</v>
      </c>
      <c r="B4773" s="11">
        <f>IFERROR(__xludf.DUMMYFUNCTION("""COMPUTED_VALUE"""),11.0)</f>
        <v>11</v>
      </c>
      <c r="C4773" s="11">
        <f>IFERROR(__xludf.DUMMYFUNCTION("""COMPUTED_VALUE"""),104410.0)</f>
        <v>104410</v>
      </c>
      <c r="D4773" s="11">
        <f>IFERROR(__xludf.DUMMYFUNCTION("""COMPUTED_VALUE"""),701.0)</f>
        <v>701</v>
      </c>
      <c r="E4773" s="9"/>
    </row>
    <row r="4774">
      <c r="A4774" s="11">
        <f>IFERROR(__xludf.DUMMYFUNCTION("""COMPUTED_VALUE"""),2021.0)</f>
        <v>2021</v>
      </c>
      <c r="B4774" s="11">
        <f>IFERROR(__xludf.DUMMYFUNCTION("""COMPUTED_VALUE"""),10.0)</f>
        <v>10</v>
      </c>
      <c r="C4774" s="11">
        <f>IFERROR(__xludf.DUMMYFUNCTION("""COMPUTED_VALUE"""),88825.0)</f>
        <v>88825</v>
      </c>
      <c r="D4774" s="11">
        <f>IFERROR(__xludf.DUMMYFUNCTION("""COMPUTED_VALUE"""),1657.0)</f>
        <v>1657</v>
      </c>
      <c r="E4774" s="9"/>
    </row>
    <row r="4775">
      <c r="A4775" s="11">
        <f>IFERROR(__xludf.DUMMYFUNCTION("""COMPUTED_VALUE"""),2021.0)</f>
        <v>2021</v>
      </c>
      <c r="B4775" s="11">
        <f>IFERROR(__xludf.DUMMYFUNCTION("""COMPUTED_VALUE"""),11.0)</f>
        <v>11</v>
      </c>
      <c r="C4775" s="11">
        <f>IFERROR(__xludf.DUMMYFUNCTION("""COMPUTED_VALUE"""),13928.0)</f>
        <v>13928</v>
      </c>
      <c r="D4775" s="11">
        <f>IFERROR(__xludf.DUMMYFUNCTION("""COMPUTED_VALUE"""),1838.0)</f>
        <v>1838</v>
      </c>
      <c r="E4775" s="9"/>
    </row>
    <row r="4776">
      <c r="A4776" s="11">
        <f>IFERROR(__xludf.DUMMYFUNCTION("""COMPUTED_VALUE"""),2021.0)</f>
        <v>2021</v>
      </c>
      <c r="B4776" s="11">
        <f>IFERROR(__xludf.DUMMYFUNCTION("""COMPUTED_VALUE"""),11.0)</f>
        <v>11</v>
      </c>
      <c r="C4776" s="11">
        <f>IFERROR(__xludf.DUMMYFUNCTION("""COMPUTED_VALUE"""),45368.0)</f>
        <v>45368</v>
      </c>
      <c r="D4776" s="11">
        <f>IFERROR(__xludf.DUMMYFUNCTION("""COMPUTED_VALUE"""),1062.0)</f>
        <v>1062</v>
      </c>
      <c r="E4776" s="9"/>
    </row>
    <row r="4777">
      <c r="A4777" s="11">
        <f>IFERROR(__xludf.DUMMYFUNCTION("""COMPUTED_VALUE"""),2021.0)</f>
        <v>2021</v>
      </c>
      <c r="B4777" s="11">
        <f>IFERROR(__xludf.DUMMYFUNCTION("""COMPUTED_VALUE"""),8.0)</f>
        <v>8</v>
      </c>
      <c r="C4777" s="11">
        <f>IFERROR(__xludf.DUMMYFUNCTION("""COMPUTED_VALUE"""),119732.0)</f>
        <v>119732</v>
      </c>
      <c r="D4777" s="11">
        <f>IFERROR(__xludf.DUMMYFUNCTION("""COMPUTED_VALUE"""),1847.0)</f>
        <v>1847</v>
      </c>
      <c r="E4777" s="9"/>
    </row>
    <row r="4778">
      <c r="A4778" s="11">
        <f>IFERROR(__xludf.DUMMYFUNCTION("""COMPUTED_VALUE"""),2021.0)</f>
        <v>2021</v>
      </c>
      <c r="B4778" s="11">
        <f>IFERROR(__xludf.DUMMYFUNCTION("""COMPUTED_VALUE"""),9.0)</f>
        <v>9</v>
      </c>
      <c r="C4778" s="11">
        <f>IFERROR(__xludf.DUMMYFUNCTION("""COMPUTED_VALUE"""),90467.0)</f>
        <v>90467</v>
      </c>
      <c r="D4778" s="11">
        <f>IFERROR(__xludf.DUMMYFUNCTION("""COMPUTED_VALUE"""),760.0)</f>
        <v>760</v>
      </c>
      <c r="E4778" s="9"/>
    </row>
    <row r="4779">
      <c r="A4779" s="11">
        <f>IFERROR(__xludf.DUMMYFUNCTION("""COMPUTED_VALUE"""),2021.0)</f>
        <v>2021</v>
      </c>
      <c r="B4779" s="11">
        <f>IFERROR(__xludf.DUMMYFUNCTION("""COMPUTED_VALUE"""),10.0)</f>
        <v>10</v>
      </c>
      <c r="C4779" s="11">
        <f>IFERROR(__xludf.DUMMYFUNCTION("""COMPUTED_VALUE"""),119874.0)</f>
        <v>119874</v>
      </c>
      <c r="D4779" s="11">
        <f>IFERROR(__xludf.DUMMYFUNCTION("""COMPUTED_VALUE"""),1559.0)</f>
        <v>1559</v>
      </c>
      <c r="E4779" s="9"/>
    </row>
    <row r="4780">
      <c r="A4780" s="11">
        <f>IFERROR(__xludf.DUMMYFUNCTION("""COMPUTED_VALUE"""),2021.0)</f>
        <v>2021</v>
      </c>
      <c r="B4780" s="11">
        <f>IFERROR(__xludf.DUMMYFUNCTION("""COMPUTED_VALUE"""),10.0)</f>
        <v>10</v>
      </c>
      <c r="C4780" s="11">
        <f>IFERROR(__xludf.DUMMYFUNCTION("""COMPUTED_VALUE"""),121316.0)</f>
        <v>121316</v>
      </c>
      <c r="D4780" s="11">
        <f>IFERROR(__xludf.DUMMYFUNCTION("""COMPUTED_VALUE"""),1150.0)</f>
        <v>1150</v>
      </c>
      <c r="E4780" s="9"/>
    </row>
    <row r="4781">
      <c r="A4781" s="11">
        <f>IFERROR(__xludf.DUMMYFUNCTION("""COMPUTED_VALUE"""),2021.0)</f>
        <v>2021</v>
      </c>
      <c r="B4781" s="11">
        <f>IFERROR(__xludf.DUMMYFUNCTION("""COMPUTED_VALUE"""),9.0)</f>
        <v>9</v>
      </c>
      <c r="C4781" s="11">
        <f>IFERROR(__xludf.DUMMYFUNCTION("""COMPUTED_VALUE"""),77390.0)</f>
        <v>77390</v>
      </c>
      <c r="D4781" s="11">
        <f>IFERROR(__xludf.DUMMYFUNCTION("""COMPUTED_VALUE"""),1231.0)</f>
        <v>1231</v>
      </c>
      <c r="E4781" s="9"/>
    </row>
    <row r="4782">
      <c r="A4782" s="11">
        <f>IFERROR(__xludf.DUMMYFUNCTION("""COMPUTED_VALUE"""),2021.0)</f>
        <v>2021</v>
      </c>
      <c r="B4782" s="11">
        <f>IFERROR(__xludf.DUMMYFUNCTION("""COMPUTED_VALUE"""),10.0)</f>
        <v>10</v>
      </c>
      <c r="C4782" s="11">
        <f>IFERROR(__xludf.DUMMYFUNCTION("""COMPUTED_VALUE"""),11444.0)</f>
        <v>11444</v>
      </c>
      <c r="D4782" s="11">
        <f>IFERROR(__xludf.DUMMYFUNCTION("""COMPUTED_VALUE"""),312.0)</f>
        <v>312</v>
      </c>
      <c r="E4782" s="9"/>
    </row>
    <row r="4783">
      <c r="A4783" s="11">
        <f>IFERROR(__xludf.DUMMYFUNCTION("""COMPUTED_VALUE"""),2021.0)</f>
        <v>2021</v>
      </c>
      <c r="B4783" s="11">
        <f>IFERROR(__xludf.DUMMYFUNCTION("""COMPUTED_VALUE"""),10.0)</f>
        <v>10</v>
      </c>
      <c r="C4783" s="11">
        <f>IFERROR(__xludf.DUMMYFUNCTION("""COMPUTED_VALUE"""),74416.0)</f>
        <v>74416</v>
      </c>
      <c r="D4783" s="11">
        <f>IFERROR(__xludf.DUMMYFUNCTION("""COMPUTED_VALUE"""),1003.0)</f>
        <v>1003</v>
      </c>
      <c r="E4783" s="9"/>
    </row>
    <row r="4784">
      <c r="A4784" s="11">
        <f>IFERROR(__xludf.DUMMYFUNCTION("""COMPUTED_VALUE"""),2021.0)</f>
        <v>2021</v>
      </c>
      <c r="B4784" s="11">
        <f>IFERROR(__xludf.DUMMYFUNCTION("""COMPUTED_VALUE"""),10.0)</f>
        <v>10</v>
      </c>
      <c r="C4784" s="11">
        <f>IFERROR(__xludf.DUMMYFUNCTION("""COMPUTED_VALUE"""),75323.0)</f>
        <v>75323</v>
      </c>
      <c r="D4784" s="11">
        <f>IFERROR(__xludf.DUMMYFUNCTION("""COMPUTED_VALUE"""),462.0)</f>
        <v>462</v>
      </c>
      <c r="E4784" s="9"/>
    </row>
    <row r="4785">
      <c r="A4785" s="11">
        <f>IFERROR(__xludf.DUMMYFUNCTION("""COMPUTED_VALUE"""),2021.0)</f>
        <v>2021</v>
      </c>
      <c r="B4785" s="11">
        <f>IFERROR(__xludf.DUMMYFUNCTION("""COMPUTED_VALUE"""),8.0)</f>
        <v>8</v>
      </c>
      <c r="C4785" s="11">
        <f>IFERROR(__xludf.DUMMYFUNCTION("""COMPUTED_VALUE"""),86619.0)</f>
        <v>86619</v>
      </c>
      <c r="D4785" s="11">
        <f>IFERROR(__xludf.DUMMYFUNCTION("""COMPUTED_VALUE"""),578.0)</f>
        <v>578</v>
      </c>
      <c r="E4785" s="9"/>
    </row>
    <row r="4786">
      <c r="A4786" s="11">
        <f>IFERROR(__xludf.DUMMYFUNCTION("""COMPUTED_VALUE"""),2021.0)</f>
        <v>2021</v>
      </c>
      <c r="B4786" s="11">
        <f>IFERROR(__xludf.DUMMYFUNCTION("""COMPUTED_VALUE"""),10.0)</f>
        <v>10</v>
      </c>
      <c r="C4786" s="11">
        <f>IFERROR(__xludf.DUMMYFUNCTION("""COMPUTED_VALUE"""),119801.0)</f>
        <v>119801</v>
      </c>
      <c r="D4786" s="11">
        <f>IFERROR(__xludf.DUMMYFUNCTION("""COMPUTED_VALUE"""),1139.0)</f>
        <v>1139</v>
      </c>
      <c r="E4786" s="9"/>
    </row>
    <row r="4787">
      <c r="A4787" s="11">
        <f>IFERROR(__xludf.DUMMYFUNCTION("""COMPUTED_VALUE"""),2021.0)</f>
        <v>2021</v>
      </c>
      <c r="B4787" s="11">
        <f>IFERROR(__xludf.DUMMYFUNCTION("""COMPUTED_VALUE"""),11.0)</f>
        <v>11</v>
      </c>
      <c r="C4787" s="11">
        <f>IFERROR(__xludf.DUMMYFUNCTION("""COMPUTED_VALUE"""),126576.0)</f>
        <v>126576</v>
      </c>
      <c r="D4787" s="11">
        <f>IFERROR(__xludf.DUMMYFUNCTION("""COMPUTED_VALUE"""),1617.0)</f>
        <v>1617</v>
      </c>
      <c r="E4787" s="9"/>
    </row>
    <row r="4788">
      <c r="A4788" s="11">
        <f>IFERROR(__xludf.DUMMYFUNCTION("""COMPUTED_VALUE"""),2021.0)</f>
        <v>2021</v>
      </c>
      <c r="B4788" s="11">
        <f>IFERROR(__xludf.DUMMYFUNCTION("""COMPUTED_VALUE"""),10.0)</f>
        <v>10</v>
      </c>
      <c r="C4788" s="11">
        <f>IFERROR(__xludf.DUMMYFUNCTION("""COMPUTED_VALUE"""),108841.0)</f>
        <v>108841</v>
      </c>
      <c r="D4788" s="11">
        <f>IFERROR(__xludf.DUMMYFUNCTION("""COMPUTED_VALUE"""),1475.0)</f>
        <v>1475</v>
      </c>
      <c r="E4788" s="9"/>
    </row>
    <row r="4789">
      <c r="A4789" s="11">
        <f>IFERROR(__xludf.DUMMYFUNCTION("""COMPUTED_VALUE"""),2021.0)</f>
        <v>2021</v>
      </c>
      <c r="B4789" s="11">
        <f>IFERROR(__xludf.DUMMYFUNCTION("""COMPUTED_VALUE"""),11.0)</f>
        <v>11</v>
      </c>
      <c r="C4789" s="11">
        <f>IFERROR(__xludf.DUMMYFUNCTION("""COMPUTED_VALUE"""),82820.0)</f>
        <v>82820</v>
      </c>
      <c r="D4789" s="11">
        <f>IFERROR(__xludf.DUMMYFUNCTION("""COMPUTED_VALUE"""),362.0)</f>
        <v>362</v>
      </c>
      <c r="E4789" s="9"/>
    </row>
    <row r="4790">
      <c r="A4790" s="11">
        <f>IFERROR(__xludf.DUMMYFUNCTION("""COMPUTED_VALUE"""),2021.0)</f>
        <v>2021</v>
      </c>
      <c r="B4790" s="11">
        <f>IFERROR(__xludf.DUMMYFUNCTION("""COMPUTED_VALUE"""),9.0)</f>
        <v>9</v>
      </c>
      <c r="C4790" s="11">
        <f>IFERROR(__xludf.DUMMYFUNCTION("""COMPUTED_VALUE"""),116826.0)</f>
        <v>116826</v>
      </c>
      <c r="D4790" s="11">
        <f>IFERROR(__xludf.DUMMYFUNCTION("""COMPUTED_VALUE"""),1608.0)</f>
        <v>1608</v>
      </c>
      <c r="E4790" s="9"/>
    </row>
    <row r="4791">
      <c r="A4791" s="11">
        <f>IFERROR(__xludf.DUMMYFUNCTION("""COMPUTED_VALUE"""),2021.0)</f>
        <v>2021</v>
      </c>
      <c r="B4791" s="11">
        <f>IFERROR(__xludf.DUMMYFUNCTION("""COMPUTED_VALUE"""),9.0)</f>
        <v>9</v>
      </c>
      <c r="C4791" s="11">
        <f>IFERROR(__xludf.DUMMYFUNCTION("""COMPUTED_VALUE"""),126965.0)</f>
        <v>126965</v>
      </c>
      <c r="D4791" s="11">
        <f>IFERROR(__xludf.DUMMYFUNCTION("""COMPUTED_VALUE"""),231.0)</f>
        <v>231</v>
      </c>
      <c r="E4791" s="9"/>
    </row>
    <row r="4792">
      <c r="A4792" s="11">
        <f>IFERROR(__xludf.DUMMYFUNCTION("""COMPUTED_VALUE"""),2021.0)</f>
        <v>2021</v>
      </c>
      <c r="B4792" s="11">
        <f>IFERROR(__xludf.DUMMYFUNCTION("""COMPUTED_VALUE"""),11.0)</f>
        <v>11</v>
      </c>
      <c r="C4792" s="11">
        <f>IFERROR(__xludf.DUMMYFUNCTION("""COMPUTED_VALUE"""),103795.0)</f>
        <v>103795</v>
      </c>
      <c r="D4792" s="11">
        <f>IFERROR(__xludf.DUMMYFUNCTION("""COMPUTED_VALUE"""),1645.0)</f>
        <v>1645</v>
      </c>
      <c r="E4792" s="9"/>
    </row>
    <row r="4793">
      <c r="A4793" s="11">
        <f>IFERROR(__xludf.DUMMYFUNCTION("""COMPUTED_VALUE"""),2021.0)</f>
        <v>2021</v>
      </c>
      <c r="B4793" s="11">
        <f>IFERROR(__xludf.DUMMYFUNCTION("""COMPUTED_VALUE"""),9.0)</f>
        <v>9</v>
      </c>
      <c r="C4793" s="11">
        <f>IFERROR(__xludf.DUMMYFUNCTION("""COMPUTED_VALUE"""),116821.0)</f>
        <v>116821</v>
      </c>
      <c r="D4793" s="11">
        <f>IFERROR(__xludf.DUMMYFUNCTION("""COMPUTED_VALUE"""),1463.0)</f>
        <v>1463</v>
      </c>
      <c r="E4793" s="9"/>
    </row>
    <row r="4794">
      <c r="A4794" s="11">
        <f>IFERROR(__xludf.DUMMYFUNCTION("""COMPUTED_VALUE"""),2021.0)</f>
        <v>2021</v>
      </c>
      <c r="B4794" s="11">
        <f>IFERROR(__xludf.DUMMYFUNCTION("""COMPUTED_VALUE"""),8.0)</f>
        <v>8</v>
      </c>
      <c r="C4794" s="11">
        <f>IFERROR(__xludf.DUMMYFUNCTION("""COMPUTED_VALUE"""),126577.0)</f>
        <v>126577</v>
      </c>
      <c r="D4794" s="11">
        <f>IFERROR(__xludf.DUMMYFUNCTION("""COMPUTED_VALUE"""),36.0)</f>
        <v>36</v>
      </c>
      <c r="E4794" s="9"/>
    </row>
    <row r="4795">
      <c r="A4795" s="11">
        <f>IFERROR(__xludf.DUMMYFUNCTION("""COMPUTED_VALUE"""),2021.0)</f>
        <v>2021</v>
      </c>
      <c r="B4795" s="11">
        <f>IFERROR(__xludf.DUMMYFUNCTION("""COMPUTED_VALUE"""),11.0)</f>
        <v>11</v>
      </c>
      <c r="C4795" s="11">
        <f>IFERROR(__xludf.DUMMYFUNCTION("""COMPUTED_VALUE"""),82806.0)</f>
        <v>82806</v>
      </c>
      <c r="D4795" s="11">
        <f>IFERROR(__xludf.DUMMYFUNCTION("""COMPUTED_VALUE"""),1245.0)</f>
        <v>1245</v>
      </c>
      <c r="E4795" s="9"/>
    </row>
    <row r="4796">
      <c r="A4796" s="11">
        <f>IFERROR(__xludf.DUMMYFUNCTION("""COMPUTED_VALUE"""),2021.0)</f>
        <v>2021</v>
      </c>
      <c r="B4796" s="11">
        <f>IFERROR(__xludf.DUMMYFUNCTION("""COMPUTED_VALUE"""),9.0)</f>
        <v>9</v>
      </c>
      <c r="C4796" s="11">
        <f>IFERROR(__xludf.DUMMYFUNCTION("""COMPUTED_VALUE"""),68099.0)</f>
        <v>68099</v>
      </c>
      <c r="D4796" s="11">
        <f>IFERROR(__xludf.DUMMYFUNCTION("""COMPUTED_VALUE"""),961.0)</f>
        <v>961</v>
      </c>
      <c r="E4796" s="9"/>
    </row>
    <row r="4797">
      <c r="A4797" s="11">
        <f>IFERROR(__xludf.DUMMYFUNCTION("""COMPUTED_VALUE"""),2021.0)</f>
        <v>2021</v>
      </c>
      <c r="B4797" s="11">
        <f>IFERROR(__xludf.DUMMYFUNCTION("""COMPUTED_VALUE"""),9.0)</f>
        <v>9</v>
      </c>
      <c r="C4797" s="11">
        <f>IFERROR(__xludf.DUMMYFUNCTION("""COMPUTED_VALUE"""),82827.0)</f>
        <v>82827</v>
      </c>
      <c r="D4797" s="11">
        <f>IFERROR(__xludf.DUMMYFUNCTION("""COMPUTED_VALUE"""),1699.0)</f>
        <v>1699</v>
      </c>
      <c r="E4797" s="9"/>
    </row>
    <row r="4798">
      <c r="A4798" s="11">
        <f>IFERROR(__xludf.DUMMYFUNCTION("""COMPUTED_VALUE"""),2021.0)</f>
        <v>2021</v>
      </c>
      <c r="B4798" s="11">
        <f>IFERROR(__xludf.DUMMYFUNCTION("""COMPUTED_VALUE"""),11.0)</f>
        <v>11</v>
      </c>
      <c r="C4798" s="11">
        <f>IFERROR(__xludf.DUMMYFUNCTION("""COMPUTED_VALUE"""),77127.0)</f>
        <v>77127</v>
      </c>
      <c r="D4798" s="11">
        <f>IFERROR(__xludf.DUMMYFUNCTION("""COMPUTED_VALUE"""),1345.0)</f>
        <v>1345</v>
      </c>
      <c r="E4798" s="9"/>
    </row>
    <row r="4799">
      <c r="A4799" s="11">
        <f>IFERROR(__xludf.DUMMYFUNCTION("""COMPUTED_VALUE"""),2021.0)</f>
        <v>2021</v>
      </c>
      <c r="B4799" s="11">
        <f>IFERROR(__xludf.DUMMYFUNCTION("""COMPUTED_VALUE"""),8.0)</f>
        <v>8</v>
      </c>
      <c r="C4799" s="11">
        <f>IFERROR(__xludf.DUMMYFUNCTION("""COMPUTED_VALUE"""),69002.0)</f>
        <v>69002</v>
      </c>
      <c r="D4799" s="11">
        <f>IFERROR(__xludf.DUMMYFUNCTION("""COMPUTED_VALUE"""),41.0)</f>
        <v>41</v>
      </c>
      <c r="E4799" s="9"/>
    </row>
    <row r="4800">
      <c r="A4800" s="11">
        <f>IFERROR(__xludf.DUMMYFUNCTION("""COMPUTED_VALUE"""),2021.0)</f>
        <v>2021</v>
      </c>
      <c r="B4800" s="11">
        <f>IFERROR(__xludf.DUMMYFUNCTION("""COMPUTED_VALUE"""),8.0)</f>
        <v>8</v>
      </c>
      <c r="C4800" s="11">
        <f>IFERROR(__xludf.DUMMYFUNCTION("""COMPUTED_VALUE"""),119847.0)</f>
        <v>119847</v>
      </c>
      <c r="D4800" s="11">
        <f>IFERROR(__xludf.DUMMYFUNCTION("""COMPUTED_VALUE"""),1802.0)</f>
        <v>1802</v>
      </c>
      <c r="E4800" s="9"/>
    </row>
    <row r="4801">
      <c r="A4801" s="11">
        <f>IFERROR(__xludf.DUMMYFUNCTION("""COMPUTED_VALUE"""),2021.0)</f>
        <v>2021</v>
      </c>
      <c r="B4801" s="11">
        <f>IFERROR(__xludf.DUMMYFUNCTION("""COMPUTED_VALUE"""),10.0)</f>
        <v>10</v>
      </c>
      <c r="C4801" s="11">
        <f>IFERROR(__xludf.DUMMYFUNCTION("""COMPUTED_VALUE"""),11446.0)</f>
        <v>11446</v>
      </c>
      <c r="D4801" s="11">
        <f>IFERROR(__xludf.DUMMYFUNCTION("""COMPUTED_VALUE"""),889.0)</f>
        <v>889</v>
      </c>
      <c r="E4801" s="9"/>
    </row>
    <row r="4802">
      <c r="A4802" s="11">
        <f>IFERROR(__xludf.DUMMYFUNCTION("""COMPUTED_VALUE"""),2021.0)</f>
        <v>2021</v>
      </c>
      <c r="B4802" s="11">
        <f>IFERROR(__xludf.DUMMYFUNCTION("""COMPUTED_VALUE"""),9.0)</f>
        <v>9</v>
      </c>
      <c r="C4802" s="11">
        <f>IFERROR(__xludf.DUMMYFUNCTION("""COMPUTED_VALUE"""),30628.0)</f>
        <v>30628</v>
      </c>
      <c r="D4802" s="11">
        <f>IFERROR(__xludf.DUMMYFUNCTION("""COMPUTED_VALUE"""),1851.0)</f>
        <v>1851</v>
      </c>
      <c r="E4802" s="9"/>
    </row>
    <row r="4803">
      <c r="A4803" s="11">
        <f>IFERROR(__xludf.DUMMYFUNCTION("""COMPUTED_VALUE"""),2021.0)</f>
        <v>2021</v>
      </c>
      <c r="B4803" s="11">
        <f>IFERROR(__xludf.DUMMYFUNCTION("""COMPUTED_VALUE"""),8.0)</f>
        <v>8</v>
      </c>
      <c r="C4803" s="11">
        <f>IFERROR(__xludf.DUMMYFUNCTION("""COMPUTED_VALUE"""),113003.0)</f>
        <v>113003</v>
      </c>
      <c r="D4803" s="11">
        <f>IFERROR(__xludf.DUMMYFUNCTION("""COMPUTED_VALUE"""),631.0)</f>
        <v>631</v>
      </c>
      <c r="E4803" s="9"/>
    </row>
    <row r="4804">
      <c r="A4804" s="11">
        <f>IFERROR(__xludf.DUMMYFUNCTION("""COMPUTED_VALUE"""),2021.0)</f>
        <v>2021</v>
      </c>
      <c r="B4804" s="11">
        <f>IFERROR(__xludf.DUMMYFUNCTION("""COMPUTED_VALUE"""),9.0)</f>
        <v>9</v>
      </c>
      <c r="C4804" s="11">
        <f>IFERROR(__xludf.DUMMYFUNCTION("""COMPUTED_VALUE"""),30631.0)</f>
        <v>30631</v>
      </c>
      <c r="D4804" s="11">
        <f>IFERROR(__xludf.DUMMYFUNCTION("""COMPUTED_VALUE"""),85.0)</f>
        <v>85</v>
      </c>
      <c r="E4804" s="9"/>
    </row>
    <row r="4805">
      <c r="A4805" s="11">
        <f>IFERROR(__xludf.DUMMYFUNCTION("""COMPUTED_VALUE"""),2021.0)</f>
        <v>2021</v>
      </c>
      <c r="B4805" s="11">
        <f>IFERROR(__xludf.DUMMYFUNCTION("""COMPUTED_VALUE"""),9.0)</f>
        <v>9</v>
      </c>
      <c r="C4805" s="11">
        <f>IFERROR(__xludf.DUMMYFUNCTION("""COMPUTED_VALUE"""),188351.0)</f>
        <v>188351</v>
      </c>
      <c r="D4805" s="11">
        <f>IFERROR(__xludf.DUMMYFUNCTION("""COMPUTED_VALUE"""),15.0)</f>
        <v>15</v>
      </c>
      <c r="E4805" s="9"/>
    </row>
    <row r="4806">
      <c r="A4806" s="11">
        <f>IFERROR(__xludf.DUMMYFUNCTION("""COMPUTED_VALUE"""),2021.0)</f>
        <v>2021</v>
      </c>
      <c r="B4806" s="11">
        <f>IFERROR(__xludf.DUMMYFUNCTION("""COMPUTED_VALUE"""),11.0)</f>
        <v>11</v>
      </c>
      <c r="C4806" s="11">
        <f>IFERROR(__xludf.DUMMYFUNCTION("""COMPUTED_VALUE"""),67025.0)</f>
        <v>67025</v>
      </c>
      <c r="D4806" s="11">
        <f>IFERROR(__xludf.DUMMYFUNCTION("""COMPUTED_VALUE"""),1594.0)</f>
        <v>1594</v>
      </c>
      <c r="E4806" s="9"/>
    </row>
    <row r="4807">
      <c r="A4807" s="11">
        <f>IFERROR(__xludf.DUMMYFUNCTION("""COMPUTED_VALUE"""),2021.0)</f>
        <v>2021</v>
      </c>
      <c r="B4807" s="11">
        <f>IFERROR(__xludf.DUMMYFUNCTION("""COMPUTED_VALUE"""),11.0)</f>
        <v>11</v>
      </c>
      <c r="C4807" s="11">
        <f>IFERROR(__xludf.DUMMYFUNCTION("""COMPUTED_VALUE"""),119797.0)</f>
        <v>119797</v>
      </c>
      <c r="D4807" s="11">
        <f>IFERROR(__xludf.DUMMYFUNCTION("""COMPUTED_VALUE"""),1186.0)</f>
        <v>1186</v>
      </c>
      <c r="E4807" s="9"/>
    </row>
    <row r="4808">
      <c r="A4808" s="11">
        <f>IFERROR(__xludf.DUMMYFUNCTION("""COMPUTED_VALUE"""),2021.0)</f>
        <v>2021</v>
      </c>
      <c r="B4808" s="11">
        <f>IFERROR(__xludf.DUMMYFUNCTION("""COMPUTED_VALUE"""),11.0)</f>
        <v>11</v>
      </c>
      <c r="C4808" s="11">
        <f>IFERROR(__xludf.DUMMYFUNCTION("""COMPUTED_VALUE"""),3592.0)</f>
        <v>3592</v>
      </c>
      <c r="D4808" s="11">
        <f>IFERROR(__xludf.DUMMYFUNCTION("""COMPUTED_VALUE"""),1850.0)</f>
        <v>1850</v>
      </c>
      <c r="E4808" s="9"/>
    </row>
    <row r="4809">
      <c r="A4809" s="11">
        <f>IFERROR(__xludf.DUMMYFUNCTION("""COMPUTED_VALUE"""),2021.0)</f>
        <v>2021</v>
      </c>
      <c r="B4809" s="11">
        <f>IFERROR(__xludf.DUMMYFUNCTION("""COMPUTED_VALUE"""),9.0)</f>
        <v>9</v>
      </c>
      <c r="C4809" s="11">
        <f>IFERROR(__xludf.DUMMYFUNCTION("""COMPUTED_VALUE"""),3586.0)</f>
        <v>3586</v>
      </c>
      <c r="D4809" s="11">
        <f>IFERROR(__xludf.DUMMYFUNCTION("""COMPUTED_VALUE"""),979.0)</f>
        <v>979</v>
      </c>
      <c r="E4809" s="9"/>
    </row>
    <row r="4810">
      <c r="A4810" s="11">
        <f>IFERROR(__xludf.DUMMYFUNCTION("""COMPUTED_VALUE"""),2021.0)</f>
        <v>2021</v>
      </c>
      <c r="B4810" s="11">
        <f>IFERROR(__xludf.DUMMYFUNCTION("""COMPUTED_VALUE"""),9.0)</f>
        <v>9</v>
      </c>
      <c r="C4810" s="11">
        <f>IFERROR(__xludf.DUMMYFUNCTION("""COMPUTED_VALUE"""),3591.0)</f>
        <v>3591</v>
      </c>
      <c r="D4810" s="11">
        <f>IFERROR(__xludf.DUMMYFUNCTION("""COMPUTED_VALUE"""),691.0)</f>
        <v>691</v>
      </c>
      <c r="E4810" s="9"/>
    </row>
    <row r="4811">
      <c r="A4811" s="11">
        <f>IFERROR(__xludf.DUMMYFUNCTION("""COMPUTED_VALUE"""),2021.0)</f>
        <v>2021</v>
      </c>
      <c r="B4811" s="11">
        <f>IFERROR(__xludf.DUMMYFUNCTION("""COMPUTED_VALUE"""),9.0)</f>
        <v>9</v>
      </c>
      <c r="C4811" s="11">
        <f>IFERROR(__xludf.DUMMYFUNCTION("""COMPUTED_VALUE"""),73847.0)</f>
        <v>73847</v>
      </c>
      <c r="D4811" s="11">
        <f>IFERROR(__xludf.DUMMYFUNCTION("""COMPUTED_VALUE"""),1671.0)</f>
        <v>1671</v>
      </c>
      <c r="E4811" s="9"/>
    </row>
    <row r="4812">
      <c r="A4812" s="11">
        <f>IFERROR(__xludf.DUMMYFUNCTION("""COMPUTED_VALUE"""),2021.0)</f>
        <v>2021</v>
      </c>
      <c r="B4812" s="11">
        <f>IFERROR(__xludf.DUMMYFUNCTION("""COMPUTED_VALUE"""),8.0)</f>
        <v>8</v>
      </c>
      <c r="C4812" s="11">
        <f>IFERROR(__xludf.DUMMYFUNCTION("""COMPUTED_VALUE"""),3590.0)</f>
        <v>3590</v>
      </c>
      <c r="D4812" s="11">
        <f>IFERROR(__xludf.DUMMYFUNCTION("""COMPUTED_VALUE"""),603.0)</f>
        <v>603</v>
      </c>
      <c r="E4812" s="9"/>
    </row>
    <row r="4813">
      <c r="A4813" s="11">
        <f>IFERROR(__xludf.DUMMYFUNCTION("""COMPUTED_VALUE"""),2021.0)</f>
        <v>2021</v>
      </c>
      <c r="B4813" s="11">
        <f>IFERROR(__xludf.DUMMYFUNCTION("""COMPUTED_VALUE"""),9.0)</f>
        <v>9</v>
      </c>
      <c r="C4813" s="11">
        <f>IFERROR(__xludf.DUMMYFUNCTION("""COMPUTED_VALUE"""),116903.0)</f>
        <v>116903</v>
      </c>
      <c r="D4813" s="11">
        <f>IFERROR(__xludf.DUMMYFUNCTION("""COMPUTED_VALUE"""),708.0)</f>
        <v>708</v>
      </c>
      <c r="E4813" s="9"/>
    </row>
    <row r="4814">
      <c r="A4814" s="11">
        <f>IFERROR(__xludf.DUMMYFUNCTION("""COMPUTED_VALUE"""),2021.0)</f>
        <v>2021</v>
      </c>
      <c r="B4814" s="11">
        <f>IFERROR(__xludf.DUMMYFUNCTION("""COMPUTED_VALUE"""),11.0)</f>
        <v>11</v>
      </c>
      <c r="C4814" s="11">
        <f>IFERROR(__xludf.DUMMYFUNCTION("""COMPUTED_VALUE"""),116780.0)</f>
        <v>116780</v>
      </c>
      <c r="D4814" s="11">
        <f>IFERROR(__xludf.DUMMYFUNCTION("""COMPUTED_VALUE"""),542.0)</f>
        <v>542</v>
      </c>
      <c r="E4814" s="9"/>
    </row>
    <row r="4815">
      <c r="A4815" s="11">
        <f>IFERROR(__xludf.DUMMYFUNCTION("""COMPUTED_VALUE"""),2021.0)</f>
        <v>2021</v>
      </c>
      <c r="B4815" s="11">
        <f>IFERROR(__xludf.DUMMYFUNCTION("""COMPUTED_VALUE"""),11.0)</f>
        <v>11</v>
      </c>
      <c r="C4815" s="11">
        <f>IFERROR(__xludf.DUMMYFUNCTION("""COMPUTED_VALUE"""),114912.0)</f>
        <v>114912</v>
      </c>
      <c r="D4815" s="11">
        <f>IFERROR(__xludf.DUMMYFUNCTION("""COMPUTED_VALUE"""),1210.0)</f>
        <v>1210</v>
      </c>
      <c r="E4815" s="9"/>
    </row>
    <row r="4816">
      <c r="A4816" s="11">
        <f>IFERROR(__xludf.DUMMYFUNCTION("""COMPUTED_VALUE"""),2021.0)</f>
        <v>2021</v>
      </c>
      <c r="B4816" s="11">
        <f>IFERROR(__xludf.DUMMYFUNCTION("""COMPUTED_VALUE"""),10.0)</f>
        <v>10</v>
      </c>
      <c r="C4816" s="11">
        <f>IFERROR(__xludf.DUMMYFUNCTION("""COMPUTED_VALUE"""),111970.0)</f>
        <v>111970</v>
      </c>
      <c r="D4816" s="11">
        <f>IFERROR(__xludf.DUMMYFUNCTION("""COMPUTED_VALUE"""),231.0)</f>
        <v>231</v>
      </c>
      <c r="E4816" s="9"/>
    </row>
    <row r="4817">
      <c r="A4817" s="11">
        <f>IFERROR(__xludf.DUMMYFUNCTION("""COMPUTED_VALUE"""),2021.0)</f>
        <v>2021</v>
      </c>
      <c r="B4817" s="11">
        <f>IFERROR(__xludf.DUMMYFUNCTION("""COMPUTED_VALUE"""),10.0)</f>
        <v>10</v>
      </c>
      <c r="C4817" s="11">
        <f>IFERROR(__xludf.DUMMYFUNCTION("""COMPUTED_VALUE"""),126973.0)</f>
        <v>126973</v>
      </c>
      <c r="D4817" s="11">
        <f>IFERROR(__xludf.DUMMYFUNCTION("""COMPUTED_VALUE"""),1733.0)</f>
        <v>1733</v>
      </c>
      <c r="E4817" s="9"/>
    </row>
    <row r="4818">
      <c r="A4818" s="11">
        <f>IFERROR(__xludf.DUMMYFUNCTION("""COMPUTED_VALUE"""),2021.0)</f>
        <v>2021</v>
      </c>
      <c r="B4818" s="11">
        <f>IFERROR(__xludf.DUMMYFUNCTION("""COMPUTED_VALUE"""),9.0)</f>
        <v>9</v>
      </c>
      <c r="C4818" s="11">
        <f>IFERROR(__xludf.DUMMYFUNCTION("""COMPUTED_VALUE"""),116964.0)</f>
        <v>116964</v>
      </c>
      <c r="D4818" s="11">
        <f>IFERROR(__xludf.DUMMYFUNCTION("""COMPUTED_VALUE"""),1173.0)</f>
        <v>1173</v>
      </c>
      <c r="E4818" s="9"/>
    </row>
    <row r="4819">
      <c r="A4819" s="11">
        <f>IFERROR(__xludf.DUMMYFUNCTION("""COMPUTED_VALUE"""),2021.0)</f>
        <v>2021</v>
      </c>
      <c r="B4819" s="11">
        <f>IFERROR(__xludf.DUMMYFUNCTION("""COMPUTED_VALUE"""),10.0)</f>
        <v>10</v>
      </c>
      <c r="C4819" s="11">
        <f>IFERROR(__xludf.DUMMYFUNCTION("""COMPUTED_VALUE"""),122340.0)</f>
        <v>122340</v>
      </c>
      <c r="D4819" s="11">
        <f>IFERROR(__xludf.DUMMYFUNCTION("""COMPUTED_VALUE"""),422.0)</f>
        <v>422</v>
      </c>
      <c r="E4819" s="9"/>
    </row>
    <row r="4820">
      <c r="A4820" s="11">
        <f>IFERROR(__xludf.DUMMYFUNCTION("""COMPUTED_VALUE"""),2021.0)</f>
        <v>2021</v>
      </c>
      <c r="B4820" s="11">
        <f>IFERROR(__xludf.DUMMYFUNCTION("""COMPUTED_VALUE"""),8.0)</f>
        <v>8</v>
      </c>
      <c r="C4820" s="11">
        <f>IFERROR(__xludf.DUMMYFUNCTION("""COMPUTED_VALUE"""),116963.0)</f>
        <v>116963</v>
      </c>
      <c r="D4820" s="11">
        <f>IFERROR(__xludf.DUMMYFUNCTION("""COMPUTED_VALUE"""),1441.0)</f>
        <v>1441</v>
      </c>
      <c r="E4820" s="9"/>
    </row>
    <row r="4821">
      <c r="A4821" s="11">
        <f>IFERROR(__xludf.DUMMYFUNCTION("""COMPUTED_VALUE"""),2021.0)</f>
        <v>2021</v>
      </c>
      <c r="B4821" s="11">
        <f>IFERROR(__xludf.DUMMYFUNCTION("""COMPUTED_VALUE"""),11.0)</f>
        <v>11</v>
      </c>
      <c r="C4821" s="11">
        <f>IFERROR(__xludf.DUMMYFUNCTION("""COMPUTED_VALUE"""),120241.0)</f>
        <v>120241</v>
      </c>
      <c r="D4821" s="11">
        <f>IFERROR(__xludf.DUMMYFUNCTION("""COMPUTED_VALUE"""),1224.0)</f>
        <v>1224</v>
      </c>
      <c r="E4821" s="9"/>
    </row>
    <row r="4822">
      <c r="A4822" s="11">
        <f>IFERROR(__xludf.DUMMYFUNCTION("""COMPUTED_VALUE"""),2021.0)</f>
        <v>2021</v>
      </c>
      <c r="B4822" s="11">
        <f>IFERROR(__xludf.DUMMYFUNCTION("""COMPUTED_VALUE"""),11.0)</f>
        <v>11</v>
      </c>
      <c r="C4822" s="11">
        <f>IFERROR(__xludf.DUMMYFUNCTION("""COMPUTED_VALUE"""),120205.0)</f>
        <v>120205</v>
      </c>
      <c r="D4822" s="11">
        <f>IFERROR(__xludf.DUMMYFUNCTION("""COMPUTED_VALUE"""),1924.0)</f>
        <v>1924</v>
      </c>
      <c r="E4822" s="9"/>
    </row>
    <row r="4823">
      <c r="A4823" s="11">
        <f>IFERROR(__xludf.DUMMYFUNCTION("""COMPUTED_VALUE"""),2021.0)</f>
        <v>2021</v>
      </c>
      <c r="B4823" s="11">
        <f>IFERROR(__xludf.DUMMYFUNCTION("""COMPUTED_VALUE"""),11.0)</f>
        <v>11</v>
      </c>
      <c r="C4823" s="11">
        <f>IFERROR(__xludf.DUMMYFUNCTION("""COMPUTED_VALUE"""),104162.0)</f>
        <v>104162</v>
      </c>
      <c r="D4823" s="11">
        <f>IFERROR(__xludf.DUMMYFUNCTION("""COMPUTED_VALUE"""),1766.0)</f>
        <v>1766</v>
      </c>
      <c r="E4823" s="9"/>
    </row>
    <row r="4824">
      <c r="A4824" s="11">
        <f>IFERROR(__xludf.DUMMYFUNCTION("""COMPUTED_VALUE"""),2021.0)</f>
        <v>2021</v>
      </c>
      <c r="B4824" s="11">
        <f>IFERROR(__xludf.DUMMYFUNCTION("""COMPUTED_VALUE"""),9.0)</f>
        <v>9</v>
      </c>
      <c r="C4824" s="11">
        <f>IFERROR(__xludf.DUMMYFUNCTION("""COMPUTED_VALUE"""),110792.0)</f>
        <v>110792</v>
      </c>
      <c r="D4824" s="11">
        <f>IFERROR(__xludf.DUMMYFUNCTION("""COMPUTED_VALUE"""),199.0)</f>
        <v>199</v>
      </c>
      <c r="E4824" s="9"/>
    </row>
    <row r="4825">
      <c r="A4825" s="11">
        <f>IFERROR(__xludf.DUMMYFUNCTION("""COMPUTED_VALUE"""),2021.0)</f>
        <v>2021</v>
      </c>
      <c r="B4825" s="11">
        <f>IFERROR(__xludf.DUMMYFUNCTION("""COMPUTED_VALUE"""),8.0)</f>
        <v>8</v>
      </c>
      <c r="C4825" s="11">
        <f>IFERROR(__xludf.DUMMYFUNCTION("""COMPUTED_VALUE"""),104169.0)</f>
        <v>104169</v>
      </c>
      <c r="D4825" s="11">
        <f>IFERROR(__xludf.DUMMYFUNCTION("""COMPUTED_VALUE"""),1389.0)</f>
        <v>1389</v>
      </c>
      <c r="E4825" s="9"/>
    </row>
    <row r="4826">
      <c r="A4826" s="11">
        <f>IFERROR(__xludf.DUMMYFUNCTION("""COMPUTED_VALUE"""),2021.0)</f>
        <v>2021</v>
      </c>
      <c r="B4826" s="11">
        <f>IFERROR(__xludf.DUMMYFUNCTION("""COMPUTED_VALUE"""),9.0)</f>
        <v>9</v>
      </c>
      <c r="C4826" s="11">
        <f>IFERROR(__xludf.DUMMYFUNCTION("""COMPUTED_VALUE"""),111957.0)</f>
        <v>111957</v>
      </c>
      <c r="D4826" s="11">
        <f>IFERROR(__xludf.DUMMYFUNCTION("""COMPUTED_VALUE"""),1419.0)</f>
        <v>1419</v>
      </c>
      <c r="E4826" s="9"/>
    </row>
    <row r="4827">
      <c r="A4827" s="11">
        <f>IFERROR(__xludf.DUMMYFUNCTION("""COMPUTED_VALUE"""),2021.0)</f>
        <v>2021</v>
      </c>
      <c r="B4827" s="11">
        <f>IFERROR(__xludf.DUMMYFUNCTION("""COMPUTED_VALUE"""),9.0)</f>
        <v>9</v>
      </c>
      <c r="C4827" s="11">
        <f>IFERROR(__xludf.DUMMYFUNCTION("""COMPUTED_VALUE"""),89201.0)</f>
        <v>89201</v>
      </c>
      <c r="D4827" s="11">
        <f>IFERROR(__xludf.DUMMYFUNCTION("""COMPUTED_VALUE"""),1088.0)</f>
        <v>1088</v>
      </c>
      <c r="E4827" s="9"/>
    </row>
    <row r="4828">
      <c r="A4828" s="11">
        <f>IFERROR(__xludf.DUMMYFUNCTION("""COMPUTED_VALUE"""),2021.0)</f>
        <v>2021</v>
      </c>
      <c r="B4828" s="11">
        <f>IFERROR(__xludf.DUMMYFUNCTION("""COMPUTED_VALUE"""),8.0)</f>
        <v>8</v>
      </c>
      <c r="C4828" s="11">
        <f>IFERROR(__xludf.DUMMYFUNCTION("""COMPUTED_VALUE"""),87305.0)</f>
        <v>87305</v>
      </c>
      <c r="D4828" s="11">
        <f>IFERROR(__xludf.DUMMYFUNCTION("""COMPUTED_VALUE"""),6.0)</f>
        <v>6</v>
      </c>
      <c r="E4828" s="9"/>
    </row>
    <row r="4829">
      <c r="A4829" s="11">
        <f>IFERROR(__xludf.DUMMYFUNCTION("""COMPUTED_VALUE"""),2021.0)</f>
        <v>2021</v>
      </c>
      <c r="B4829" s="11">
        <f>IFERROR(__xludf.DUMMYFUNCTION("""COMPUTED_VALUE"""),8.0)</f>
        <v>8</v>
      </c>
      <c r="C4829" s="11">
        <f>IFERROR(__xludf.DUMMYFUNCTION("""COMPUTED_VALUE"""),3480.0)</f>
        <v>3480</v>
      </c>
      <c r="D4829" s="11">
        <f>IFERROR(__xludf.DUMMYFUNCTION("""COMPUTED_VALUE"""),121.0)</f>
        <v>121</v>
      </c>
      <c r="E4829" s="9"/>
    </row>
    <row r="4830">
      <c r="A4830" s="11">
        <f>IFERROR(__xludf.DUMMYFUNCTION("""COMPUTED_VALUE"""),2021.0)</f>
        <v>2021</v>
      </c>
      <c r="B4830" s="11">
        <f>IFERROR(__xludf.DUMMYFUNCTION("""COMPUTED_VALUE"""),10.0)</f>
        <v>10</v>
      </c>
      <c r="C4830" s="11">
        <f>IFERROR(__xludf.DUMMYFUNCTION("""COMPUTED_VALUE"""),116817.0)</f>
        <v>116817</v>
      </c>
      <c r="D4830" s="11">
        <f>IFERROR(__xludf.DUMMYFUNCTION("""COMPUTED_VALUE"""),1434.0)</f>
        <v>1434</v>
      </c>
      <c r="E4830" s="9"/>
    </row>
    <row r="4831">
      <c r="A4831" s="11">
        <f>IFERROR(__xludf.DUMMYFUNCTION("""COMPUTED_VALUE"""),2021.0)</f>
        <v>2021</v>
      </c>
      <c r="B4831" s="11">
        <f>IFERROR(__xludf.DUMMYFUNCTION("""COMPUTED_VALUE"""),10.0)</f>
        <v>10</v>
      </c>
      <c r="C4831" s="11">
        <f>IFERROR(__xludf.DUMMYFUNCTION("""COMPUTED_VALUE"""),47209.0)</f>
        <v>47209</v>
      </c>
      <c r="D4831" s="11">
        <f>IFERROR(__xludf.DUMMYFUNCTION("""COMPUTED_VALUE"""),1782.0)</f>
        <v>1782</v>
      </c>
      <c r="E4831" s="9"/>
    </row>
    <row r="4832">
      <c r="A4832" s="11">
        <f>IFERROR(__xludf.DUMMYFUNCTION("""COMPUTED_VALUE"""),2021.0)</f>
        <v>2021</v>
      </c>
      <c r="B4832" s="11">
        <f>IFERROR(__xludf.DUMMYFUNCTION("""COMPUTED_VALUE"""),11.0)</f>
        <v>11</v>
      </c>
      <c r="C4832" s="11">
        <f>IFERROR(__xludf.DUMMYFUNCTION("""COMPUTED_VALUE"""),68213.0)</f>
        <v>68213</v>
      </c>
      <c r="D4832" s="11">
        <f>IFERROR(__xludf.DUMMYFUNCTION("""COMPUTED_VALUE"""),359.0)</f>
        <v>359</v>
      </c>
      <c r="E4832" s="9"/>
    </row>
    <row r="4833">
      <c r="A4833" s="11">
        <f>IFERROR(__xludf.DUMMYFUNCTION("""COMPUTED_VALUE"""),2021.0)</f>
        <v>2021</v>
      </c>
      <c r="B4833" s="11">
        <f>IFERROR(__xludf.DUMMYFUNCTION("""COMPUTED_VALUE"""),9.0)</f>
        <v>9</v>
      </c>
      <c r="C4833" s="11">
        <f>IFERROR(__xludf.DUMMYFUNCTION("""COMPUTED_VALUE"""),100999.0)</f>
        <v>100999</v>
      </c>
      <c r="D4833" s="11">
        <f>IFERROR(__xludf.DUMMYFUNCTION("""COMPUTED_VALUE"""),1318.0)</f>
        <v>1318</v>
      </c>
      <c r="E4833" s="9"/>
    </row>
    <row r="4834">
      <c r="A4834" s="11">
        <f>IFERROR(__xludf.DUMMYFUNCTION("""COMPUTED_VALUE"""),2021.0)</f>
        <v>2021</v>
      </c>
      <c r="B4834" s="11">
        <f>IFERROR(__xludf.DUMMYFUNCTION("""COMPUTED_VALUE"""),9.0)</f>
        <v>9</v>
      </c>
      <c r="C4834" s="11">
        <f>IFERROR(__xludf.DUMMYFUNCTION("""COMPUTED_VALUE"""),119241.0)</f>
        <v>119241</v>
      </c>
      <c r="D4834" s="11">
        <f>IFERROR(__xludf.DUMMYFUNCTION("""COMPUTED_VALUE"""),787.0)</f>
        <v>787</v>
      </c>
      <c r="E4834" s="9"/>
    </row>
    <row r="4835">
      <c r="A4835" s="11">
        <f>IFERROR(__xludf.DUMMYFUNCTION("""COMPUTED_VALUE"""),2021.0)</f>
        <v>2021</v>
      </c>
      <c r="B4835" s="11">
        <f>IFERROR(__xludf.DUMMYFUNCTION("""COMPUTED_VALUE"""),11.0)</f>
        <v>11</v>
      </c>
      <c r="C4835" s="11">
        <f>IFERROR(__xludf.DUMMYFUNCTION("""COMPUTED_VALUE"""),133917.0)</f>
        <v>133917</v>
      </c>
      <c r="D4835" s="11">
        <f>IFERROR(__xludf.DUMMYFUNCTION("""COMPUTED_VALUE"""),413.0)</f>
        <v>413</v>
      </c>
      <c r="E4835" s="9"/>
    </row>
    <row r="4836">
      <c r="A4836" s="11">
        <f>IFERROR(__xludf.DUMMYFUNCTION("""COMPUTED_VALUE"""),2021.0)</f>
        <v>2021</v>
      </c>
      <c r="B4836" s="11">
        <f>IFERROR(__xludf.DUMMYFUNCTION("""COMPUTED_VALUE"""),8.0)</f>
        <v>8</v>
      </c>
      <c r="C4836" s="11">
        <f>IFERROR(__xludf.DUMMYFUNCTION("""COMPUTED_VALUE"""),128334.0)</f>
        <v>128334</v>
      </c>
      <c r="D4836" s="11">
        <f>IFERROR(__xludf.DUMMYFUNCTION("""COMPUTED_VALUE"""),1291.0)</f>
        <v>1291</v>
      </c>
      <c r="E4836" s="9"/>
    </row>
    <row r="4837">
      <c r="A4837" s="11">
        <f>IFERROR(__xludf.DUMMYFUNCTION("""COMPUTED_VALUE"""),2021.0)</f>
        <v>2021</v>
      </c>
      <c r="B4837" s="11">
        <f>IFERROR(__xludf.DUMMYFUNCTION("""COMPUTED_VALUE"""),11.0)</f>
        <v>11</v>
      </c>
      <c r="C4837" s="11">
        <f>IFERROR(__xludf.DUMMYFUNCTION("""COMPUTED_VALUE"""),113235.0)</f>
        <v>113235</v>
      </c>
      <c r="D4837" s="11">
        <f>IFERROR(__xludf.DUMMYFUNCTION("""COMPUTED_VALUE"""),1887.0)</f>
        <v>1887</v>
      </c>
      <c r="E4837" s="9"/>
    </row>
    <row r="4838">
      <c r="A4838" s="11">
        <f>IFERROR(__xludf.DUMMYFUNCTION("""COMPUTED_VALUE"""),2021.0)</f>
        <v>2021</v>
      </c>
      <c r="B4838" s="11">
        <f>IFERROR(__xludf.DUMMYFUNCTION("""COMPUTED_VALUE"""),9.0)</f>
        <v>9</v>
      </c>
      <c r="C4838" s="11">
        <f>IFERROR(__xludf.DUMMYFUNCTION("""COMPUTED_VALUE"""),113249.0)</f>
        <v>113249</v>
      </c>
      <c r="D4838" s="11">
        <f>IFERROR(__xludf.DUMMYFUNCTION("""COMPUTED_VALUE"""),158.0)</f>
        <v>158</v>
      </c>
      <c r="E4838" s="9"/>
    </row>
    <row r="4839">
      <c r="A4839" s="11">
        <f>IFERROR(__xludf.DUMMYFUNCTION("""COMPUTED_VALUE"""),2021.0)</f>
        <v>2021</v>
      </c>
      <c r="B4839" s="11">
        <f>IFERROR(__xludf.DUMMYFUNCTION("""COMPUTED_VALUE"""),9.0)</f>
        <v>9</v>
      </c>
      <c r="C4839" s="11">
        <f>IFERROR(__xludf.DUMMYFUNCTION("""COMPUTED_VALUE"""),89210.0)</f>
        <v>89210</v>
      </c>
      <c r="D4839" s="11">
        <f>IFERROR(__xludf.DUMMYFUNCTION("""COMPUTED_VALUE"""),1103.0)</f>
        <v>1103</v>
      </c>
      <c r="E4839" s="9"/>
    </row>
    <row r="4840">
      <c r="A4840" s="11">
        <f>IFERROR(__xludf.DUMMYFUNCTION("""COMPUTED_VALUE"""),2021.0)</f>
        <v>2021</v>
      </c>
      <c r="B4840" s="11">
        <f>IFERROR(__xludf.DUMMYFUNCTION("""COMPUTED_VALUE"""),9.0)</f>
        <v>9</v>
      </c>
      <c r="C4840" s="11">
        <f>IFERROR(__xludf.DUMMYFUNCTION("""COMPUTED_VALUE"""),104170.0)</f>
        <v>104170</v>
      </c>
      <c r="D4840" s="11">
        <f>IFERROR(__xludf.DUMMYFUNCTION("""COMPUTED_VALUE"""),1467.0)</f>
        <v>1467</v>
      </c>
      <c r="E4840" s="9"/>
    </row>
    <row r="4841">
      <c r="A4841" s="11">
        <f>IFERROR(__xludf.DUMMYFUNCTION("""COMPUTED_VALUE"""),2021.0)</f>
        <v>2021</v>
      </c>
      <c r="B4841" s="11">
        <f>IFERROR(__xludf.DUMMYFUNCTION("""COMPUTED_VALUE"""),11.0)</f>
        <v>11</v>
      </c>
      <c r="C4841" s="11">
        <f>IFERROR(__xludf.DUMMYFUNCTION("""COMPUTED_VALUE"""),18671.0)</f>
        <v>18671</v>
      </c>
      <c r="D4841" s="11">
        <f>IFERROR(__xludf.DUMMYFUNCTION("""COMPUTED_VALUE"""),458.0)</f>
        <v>458</v>
      </c>
      <c r="E4841" s="9"/>
    </row>
    <row r="4842">
      <c r="A4842" s="11">
        <f>IFERROR(__xludf.DUMMYFUNCTION("""COMPUTED_VALUE"""),2021.0)</f>
        <v>2021</v>
      </c>
      <c r="B4842" s="11">
        <f>IFERROR(__xludf.DUMMYFUNCTION("""COMPUTED_VALUE"""),11.0)</f>
        <v>11</v>
      </c>
      <c r="C4842" s="11">
        <f>IFERROR(__xludf.DUMMYFUNCTION("""COMPUTED_VALUE"""),83804.0)</f>
        <v>83804</v>
      </c>
      <c r="D4842" s="11">
        <f>IFERROR(__xludf.DUMMYFUNCTION("""COMPUTED_VALUE"""),1246.0)</f>
        <v>1246</v>
      </c>
      <c r="E4842" s="9"/>
    </row>
    <row r="4843">
      <c r="A4843" s="11">
        <f>IFERROR(__xludf.DUMMYFUNCTION("""COMPUTED_VALUE"""),2021.0)</f>
        <v>2021</v>
      </c>
      <c r="B4843" s="11">
        <f>IFERROR(__xludf.DUMMYFUNCTION("""COMPUTED_VALUE"""),8.0)</f>
        <v>8</v>
      </c>
      <c r="C4843" s="11">
        <f>IFERROR(__xludf.DUMMYFUNCTION("""COMPUTED_VALUE"""),104415.0)</f>
        <v>104415</v>
      </c>
      <c r="D4843" s="11">
        <f>IFERROR(__xludf.DUMMYFUNCTION("""COMPUTED_VALUE"""),1646.0)</f>
        <v>1646</v>
      </c>
      <c r="E4843" s="9"/>
    </row>
    <row r="4844">
      <c r="A4844" s="11">
        <f>IFERROR(__xludf.DUMMYFUNCTION("""COMPUTED_VALUE"""),2021.0)</f>
        <v>2021</v>
      </c>
      <c r="B4844" s="11">
        <f>IFERROR(__xludf.DUMMYFUNCTION("""COMPUTED_VALUE"""),10.0)</f>
        <v>10</v>
      </c>
      <c r="C4844" s="11">
        <f>IFERROR(__xludf.DUMMYFUNCTION("""COMPUTED_VALUE"""),78351.0)</f>
        <v>78351</v>
      </c>
      <c r="D4844" s="11">
        <f>IFERROR(__xludf.DUMMYFUNCTION("""COMPUTED_VALUE"""),348.0)</f>
        <v>348</v>
      </c>
      <c r="E4844" s="9"/>
    </row>
    <row r="4845">
      <c r="A4845" s="11">
        <f>IFERROR(__xludf.DUMMYFUNCTION("""COMPUTED_VALUE"""),2021.0)</f>
        <v>2021</v>
      </c>
      <c r="B4845" s="11">
        <f>IFERROR(__xludf.DUMMYFUNCTION("""COMPUTED_VALUE"""),10.0)</f>
        <v>10</v>
      </c>
      <c r="C4845" s="11">
        <f>IFERROR(__xludf.DUMMYFUNCTION("""COMPUTED_VALUE"""),112174.0)</f>
        <v>112174</v>
      </c>
      <c r="D4845" s="11">
        <f>IFERROR(__xludf.DUMMYFUNCTION("""COMPUTED_VALUE"""),1794.0)</f>
        <v>1794</v>
      </c>
      <c r="E4845" s="9"/>
    </row>
    <row r="4846">
      <c r="A4846" s="11">
        <f>IFERROR(__xludf.DUMMYFUNCTION("""COMPUTED_VALUE"""),2021.0)</f>
        <v>2021</v>
      </c>
      <c r="B4846" s="11">
        <f>IFERROR(__xludf.DUMMYFUNCTION("""COMPUTED_VALUE"""),10.0)</f>
        <v>10</v>
      </c>
      <c r="C4846" s="11">
        <f>IFERROR(__xludf.DUMMYFUNCTION("""COMPUTED_VALUE"""),120248.0)</f>
        <v>120248</v>
      </c>
      <c r="D4846" s="11">
        <f>IFERROR(__xludf.DUMMYFUNCTION("""COMPUTED_VALUE"""),1435.0)</f>
        <v>1435</v>
      </c>
      <c r="E4846" s="9"/>
    </row>
    <row r="4847">
      <c r="A4847" s="11">
        <f>IFERROR(__xludf.DUMMYFUNCTION("""COMPUTED_VALUE"""),2021.0)</f>
        <v>2021</v>
      </c>
      <c r="B4847" s="11">
        <f>IFERROR(__xludf.DUMMYFUNCTION("""COMPUTED_VALUE"""),11.0)</f>
        <v>11</v>
      </c>
      <c r="C4847" s="11">
        <f>IFERROR(__xludf.DUMMYFUNCTION("""COMPUTED_VALUE"""),18672.0)</f>
        <v>18672</v>
      </c>
      <c r="D4847" s="11">
        <f>IFERROR(__xludf.DUMMYFUNCTION("""COMPUTED_VALUE"""),479.0)</f>
        <v>479</v>
      </c>
      <c r="E4847" s="9"/>
    </row>
    <row r="4848">
      <c r="A4848" s="11">
        <f>IFERROR(__xludf.DUMMYFUNCTION("""COMPUTED_VALUE"""),2021.0)</f>
        <v>2021</v>
      </c>
      <c r="B4848" s="11">
        <f>IFERROR(__xludf.DUMMYFUNCTION("""COMPUTED_VALUE"""),10.0)</f>
        <v>10</v>
      </c>
      <c r="C4848" s="11">
        <f>IFERROR(__xludf.DUMMYFUNCTION("""COMPUTED_VALUE"""),13517.0)</f>
        <v>13517</v>
      </c>
      <c r="D4848" s="11">
        <f>IFERROR(__xludf.DUMMYFUNCTION("""COMPUTED_VALUE"""),232.0)</f>
        <v>232</v>
      </c>
      <c r="E4848" s="9"/>
    </row>
    <row r="4849">
      <c r="A4849" s="11">
        <f>IFERROR(__xludf.DUMMYFUNCTION("""COMPUTED_VALUE"""),2021.0)</f>
        <v>2021</v>
      </c>
      <c r="B4849" s="11">
        <f>IFERROR(__xludf.DUMMYFUNCTION("""COMPUTED_VALUE"""),11.0)</f>
        <v>11</v>
      </c>
      <c r="C4849" s="11">
        <f>IFERROR(__xludf.DUMMYFUNCTION("""COMPUTED_VALUE"""),119896.0)</f>
        <v>119896</v>
      </c>
      <c r="D4849" s="11">
        <f>IFERROR(__xludf.DUMMYFUNCTION("""COMPUTED_VALUE"""),126.0)</f>
        <v>126</v>
      </c>
      <c r="E4849" s="9"/>
    </row>
    <row r="4850">
      <c r="A4850" s="11">
        <f>IFERROR(__xludf.DUMMYFUNCTION("""COMPUTED_VALUE"""),2021.0)</f>
        <v>2021</v>
      </c>
      <c r="B4850" s="11">
        <f>IFERROR(__xludf.DUMMYFUNCTION("""COMPUTED_VALUE"""),9.0)</f>
        <v>9</v>
      </c>
      <c r="C4850" s="11">
        <f>IFERROR(__xludf.DUMMYFUNCTION("""COMPUTED_VALUE"""),120249.0)</f>
        <v>120249</v>
      </c>
      <c r="D4850" s="11">
        <f>IFERROR(__xludf.DUMMYFUNCTION("""COMPUTED_VALUE"""),1195.0)</f>
        <v>1195</v>
      </c>
      <c r="E4850" s="9"/>
    </row>
    <row r="4851">
      <c r="A4851" s="11">
        <f>IFERROR(__xludf.DUMMYFUNCTION("""COMPUTED_VALUE"""),2021.0)</f>
        <v>2021</v>
      </c>
      <c r="B4851" s="11">
        <f>IFERROR(__xludf.DUMMYFUNCTION("""COMPUTED_VALUE"""),11.0)</f>
        <v>11</v>
      </c>
      <c r="C4851" s="11">
        <f>IFERROR(__xludf.DUMMYFUNCTION("""COMPUTED_VALUE"""),78352.0)</f>
        <v>78352</v>
      </c>
      <c r="D4851" s="11">
        <f>IFERROR(__xludf.DUMMYFUNCTION("""COMPUTED_VALUE"""),87.0)</f>
        <v>87</v>
      </c>
      <c r="E4851" s="9"/>
    </row>
    <row r="4852">
      <c r="A4852" s="11">
        <f>IFERROR(__xludf.DUMMYFUNCTION("""COMPUTED_VALUE"""),2021.0)</f>
        <v>2021</v>
      </c>
      <c r="B4852" s="11">
        <f>IFERROR(__xludf.DUMMYFUNCTION("""COMPUTED_VALUE"""),9.0)</f>
        <v>9</v>
      </c>
      <c r="C4852" s="11">
        <f>IFERROR(__xludf.DUMMYFUNCTION("""COMPUTED_VALUE"""),45630.0)</f>
        <v>45630</v>
      </c>
      <c r="D4852" s="11">
        <f>IFERROR(__xludf.DUMMYFUNCTION("""COMPUTED_VALUE"""),331.0)</f>
        <v>331</v>
      </c>
      <c r="E4852" s="9"/>
    </row>
    <row r="4853">
      <c r="A4853" s="11">
        <f>IFERROR(__xludf.DUMMYFUNCTION("""COMPUTED_VALUE"""),2021.0)</f>
        <v>2021</v>
      </c>
      <c r="B4853" s="11">
        <f>IFERROR(__xludf.DUMMYFUNCTION("""COMPUTED_VALUE"""),8.0)</f>
        <v>8</v>
      </c>
      <c r="C4853" s="11">
        <f>IFERROR(__xludf.DUMMYFUNCTION("""COMPUTED_VALUE"""),99726.0)</f>
        <v>99726</v>
      </c>
      <c r="D4853" s="11">
        <f>IFERROR(__xludf.DUMMYFUNCTION("""COMPUTED_VALUE"""),289.0)</f>
        <v>289</v>
      </c>
      <c r="E4853" s="9"/>
    </row>
    <row r="4854">
      <c r="A4854" s="11">
        <f>IFERROR(__xludf.DUMMYFUNCTION("""COMPUTED_VALUE"""),2021.0)</f>
        <v>2021</v>
      </c>
      <c r="B4854" s="11">
        <f>IFERROR(__xludf.DUMMYFUNCTION("""COMPUTED_VALUE"""),8.0)</f>
        <v>8</v>
      </c>
      <c r="C4854" s="11">
        <f>IFERROR(__xludf.DUMMYFUNCTION("""COMPUTED_VALUE"""),88619.0)</f>
        <v>88619</v>
      </c>
      <c r="D4854" s="11">
        <f>IFERROR(__xludf.DUMMYFUNCTION("""COMPUTED_VALUE"""),979.0)</f>
        <v>979</v>
      </c>
      <c r="E4854" s="9"/>
    </row>
    <row r="4855">
      <c r="A4855" s="11">
        <f>IFERROR(__xludf.DUMMYFUNCTION("""COMPUTED_VALUE"""),2021.0)</f>
        <v>2021</v>
      </c>
      <c r="B4855" s="11">
        <f>IFERROR(__xludf.DUMMYFUNCTION("""COMPUTED_VALUE"""),11.0)</f>
        <v>11</v>
      </c>
      <c r="C4855" s="11">
        <f>IFERROR(__xludf.DUMMYFUNCTION("""COMPUTED_VALUE"""),73430.0)</f>
        <v>73430</v>
      </c>
      <c r="D4855" s="11">
        <f>IFERROR(__xludf.DUMMYFUNCTION("""COMPUTED_VALUE"""),1930.0)</f>
        <v>1930</v>
      </c>
      <c r="E4855" s="9"/>
    </row>
    <row r="4856">
      <c r="A4856" s="11">
        <f>IFERROR(__xludf.DUMMYFUNCTION("""COMPUTED_VALUE"""),2021.0)</f>
        <v>2021</v>
      </c>
      <c r="B4856" s="11">
        <f>IFERROR(__xludf.DUMMYFUNCTION("""COMPUTED_VALUE"""),8.0)</f>
        <v>8</v>
      </c>
      <c r="C4856" s="11">
        <f>IFERROR(__xludf.DUMMYFUNCTION("""COMPUTED_VALUE"""),98939.0)</f>
        <v>98939</v>
      </c>
      <c r="D4856" s="11">
        <f>IFERROR(__xludf.DUMMYFUNCTION("""COMPUTED_VALUE"""),199.0)</f>
        <v>199</v>
      </c>
      <c r="E4856" s="9"/>
    </row>
    <row r="4857">
      <c r="A4857" s="11">
        <f>IFERROR(__xludf.DUMMYFUNCTION("""COMPUTED_VALUE"""),2021.0)</f>
        <v>2021</v>
      </c>
      <c r="B4857" s="11">
        <f>IFERROR(__xludf.DUMMYFUNCTION("""COMPUTED_VALUE"""),9.0)</f>
        <v>9</v>
      </c>
      <c r="C4857" s="11">
        <f>IFERROR(__xludf.DUMMYFUNCTION("""COMPUTED_VALUE"""),45826.0)</f>
        <v>45826</v>
      </c>
      <c r="D4857" s="11">
        <f>IFERROR(__xludf.DUMMYFUNCTION("""COMPUTED_VALUE"""),1258.0)</f>
        <v>1258</v>
      </c>
      <c r="E4857" s="9"/>
    </row>
    <row r="4858">
      <c r="A4858" s="11">
        <f>IFERROR(__xludf.DUMMYFUNCTION("""COMPUTED_VALUE"""),2021.0)</f>
        <v>2021</v>
      </c>
      <c r="B4858" s="11">
        <f>IFERROR(__xludf.DUMMYFUNCTION("""COMPUTED_VALUE"""),9.0)</f>
        <v>9</v>
      </c>
      <c r="C4858" s="11">
        <f>IFERROR(__xludf.DUMMYFUNCTION("""COMPUTED_VALUE"""),100797.0)</f>
        <v>100797</v>
      </c>
      <c r="D4858" s="11">
        <f>IFERROR(__xludf.DUMMYFUNCTION("""COMPUTED_VALUE"""),663.0)</f>
        <v>663</v>
      </c>
      <c r="E4858" s="9"/>
    </row>
    <row r="4859">
      <c r="A4859" s="11">
        <f>IFERROR(__xludf.DUMMYFUNCTION("""COMPUTED_VALUE"""),2021.0)</f>
        <v>2021</v>
      </c>
      <c r="B4859" s="11">
        <f>IFERROR(__xludf.DUMMYFUNCTION("""COMPUTED_VALUE"""),9.0)</f>
        <v>9</v>
      </c>
      <c r="C4859" s="11">
        <f>IFERROR(__xludf.DUMMYFUNCTION("""COMPUTED_VALUE"""),104429.0)</f>
        <v>104429</v>
      </c>
      <c r="D4859" s="11">
        <f>IFERROR(__xludf.DUMMYFUNCTION("""COMPUTED_VALUE"""),374.0)</f>
        <v>374</v>
      </c>
      <c r="E4859" s="9"/>
    </row>
    <row r="4860">
      <c r="A4860" s="11">
        <f>IFERROR(__xludf.DUMMYFUNCTION("""COMPUTED_VALUE"""),2021.0)</f>
        <v>2021</v>
      </c>
      <c r="B4860" s="11">
        <f>IFERROR(__xludf.DUMMYFUNCTION("""COMPUTED_VALUE"""),9.0)</f>
        <v>9</v>
      </c>
      <c r="C4860" s="11">
        <f>IFERROR(__xludf.DUMMYFUNCTION("""COMPUTED_VALUE"""),119806.0)</f>
        <v>119806</v>
      </c>
      <c r="D4860" s="11">
        <f>IFERROR(__xludf.DUMMYFUNCTION("""COMPUTED_VALUE"""),1298.0)</f>
        <v>1298</v>
      </c>
      <c r="E4860" s="9"/>
    </row>
    <row r="4861">
      <c r="A4861" s="11">
        <f>IFERROR(__xludf.DUMMYFUNCTION("""COMPUTED_VALUE"""),2021.0)</f>
        <v>2021</v>
      </c>
      <c r="B4861" s="11">
        <f>IFERROR(__xludf.DUMMYFUNCTION("""COMPUTED_VALUE"""),8.0)</f>
        <v>8</v>
      </c>
      <c r="C4861" s="11">
        <f>IFERROR(__xludf.DUMMYFUNCTION("""COMPUTED_VALUE"""),120734.0)</f>
        <v>120734</v>
      </c>
      <c r="D4861" s="11">
        <f>IFERROR(__xludf.DUMMYFUNCTION("""COMPUTED_VALUE"""),803.0)</f>
        <v>803</v>
      </c>
      <c r="E4861" s="9"/>
    </row>
    <row r="4862">
      <c r="A4862" s="11">
        <f>IFERROR(__xludf.DUMMYFUNCTION("""COMPUTED_VALUE"""),2021.0)</f>
        <v>2021</v>
      </c>
      <c r="B4862" s="11">
        <f>IFERROR(__xludf.DUMMYFUNCTION("""COMPUTED_VALUE"""),10.0)</f>
        <v>10</v>
      </c>
      <c r="C4862" s="11">
        <f>IFERROR(__xludf.DUMMYFUNCTION("""COMPUTED_VALUE"""),104423.0)</f>
        <v>104423</v>
      </c>
      <c r="D4862" s="11">
        <f>IFERROR(__xludf.DUMMYFUNCTION("""COMPUTED_VALUE"""),229.0)</f>
        <v>229</v>
      </c>
      <c r="E4862" s="9"/>
    </row>
    <row r="4863">
      <c r="A4863" s="11">
        <f>IFERROR(__xludf.DUMMYFUNCTION("""COMPUTED_VALUE"""),2021.0)</f>
        <v>2021</v>
      </c>
      <c r="B4863" s="11">
        <f>IFERROR(__xludf.DUMMYFUNCTION("""COMPUTED_VALUE"""),9.0)</f>
        <v>9</v>
      </c>
      <c r="C4863" s="11">
        <f>IFERROR(__xludf.DUMMYFUNCTION("""COMPUTED_VALUE"""),120286.0)</f>
        <v>120286</v>
      </c>
      <c r="D4863" s="11">
        <f>IFERROR(__xludf.DUMMYFUNCTION("""COMPUTED_VALUE"""),258.0)</f>
        <v>258</v>
      </c>
      <c r="E4863" s="9"/>
    </row>
    <row r="4864">
      <c r="A4864" s="11">
        <f>IFERROR(__xludf.DUMMYFUNCTION("""COMPUTED_VALUE"""),2021.0)</f>
        <v>2021</v>
      </c>
      <c r="B4864" s="11">
        <f>IFERROR(__xludf.DUMMYFUNCTION("""COMPUTED_VALUE"""),8.0)</f>
        <v>8</v>
      </c>
      <c r="C4864" s="11">
        <f>IFERROR(__xludf.DUMMYFUNCTION("""COMPUTED_VALUE"""),81838.0)</f>
        <v>81838</v>
      </c>
      <c r="D4864" s="11">
        <f>IFERROR(__xludf.DUMMYFUNCTION("""COMPUTED_VALUE"""),1616.0)</f>
        <v>1616</v>
      </c>
      <c r="E4864" s="9"/>
    </row>
    <row r="4865">
      <c r="A4865" s="11">
        <f>IFERROR(__xludf.DUMMYFUNCTION("""COMPUTED_VALUE"""),2021.0)</f>
        <v>2021</v>
      </c>
      <c r="B4865" s="11">
        <f>IFERROR(__xludf.DUMMYFUNCTION("""COMPUTED_VALUE"""),10.0)</f>
        <v>10</v>
      </c>
      <c r="C4865" s="11">
        <f>IFERROR(__xludf.DUMMYFUNCTION("""COMPUTED_VALUE"""),117718.0)</f>
        <v>117718</v>
      </c>
      <c r="D4865" s="11">
        <f>IFERROR(__xludf.DUMMYFUNCTION("""COMPUTED_VALUE"""),218.0)</f>
        <v>218</v>
      </c>
      <c r="E4865" s="9"/>
    </row>
    <row r="4866">
      <c r="A4866" s="11">
        <f>IFERROR(__xludf.DUMMYFUNCTION("""COMPUTED_VALUE"""),2021.0)</f>
        <v>2021</v>
      </c>
      <c r="B4866" s="11">
        <f>IFERROR(__xludf.DUMMYFUNCTION("""COMPUTED_VALUE"""),10.0)</f>
        <v>10</v>
      </c>
      <c r="C4866" s="11">
        <f>IFERROR(__xludf.DUMMYFUNCTION("""COMPUTED_VALUE"""),70611.0)</f>
        <v>70611</v>
      </c>
      <c r="D4866" s="11">
        <f>IFERROR(__xludf.DUMMYFUNCTION("""COMPUTED_VALUE"""),10.0)</f>
        <v>10</v>
      </c>
      <c r="E4866" s="9"/>
    </row>
    <row r="4867">
      <c r="A4867" s="11">
        <f>IFERROR(__xludf.DUMMYFUNCTION("""COMPUTED_VALUE"""),2021.0)</f>
        <v>2021</v>
      </c>
      <c r="B4867" s="11">
        <f>IFERROR(__xludf.DUMMYFUNCTION("""COMPUTED_VALUE"""),10.0)</f>
        <v>10</v>
      </c>
      <c r="C4867" s="11">
        <f>IFERROR(__xludf.DUMMYFUNCTION("""COMPUTED_VALUE"""),110848.0)</f>
        <v>110848</v>
      </c>
      <c r="D4867" s="11">
        <f>IFERROR(__xludf.DUMMYFUNCTION("""COMPUTED_VALUE"""),642.0)</f>
        <v>642</v>
      </c>
      <c r="E4867" s="9"/>
    </row>
    <row r="4868">
      <c r="A4868" s="11">
        <f>IFERROR(__xludf.DUMMYFUNCTION("""COMPUTED_VALUE"""),2021.0)</f>
        <v>2021</v>
      </c>
      <c r="B4868" s="11">
        <f>IFERROR(__xludf.DUMMYFUNCTION("""COMPUTED_VALUE"""),9.0)</f>
        <v>9</v>
      </c>
      <c r="C4868" s="11">
        <f>IFERROR(__xludf.DUMMYFUNCTION("""COMPUTED_VALUE"""),107925.0)</f>
        <v>107925</v>
      </c>
      <c r="D4868" s="11">
        <f>IFERROR(__xludf.DUMMYFUNCTION("""COMPUTED_VALUE"""),1364.0)</f>
        <v>1364</v>
      </c>
      <c r="E4868" s="9"/>
    </row>
    <row r="4869">
      <c r="A4869" s="11">
        <f>IFERROR(__xludf.DUMMYFUNCTION("""COMPUTED_VALUE"""),2021.0)</f>
        <v>2021</v>
      </c>
      <c r="B4869" s="11">
        <f>IFERROR(__xludf.DUMMYFUNCTION("""COMPUTED_VALUE"""),9.0)</f>
        <v>9</v>
      </c>
      <c r="C4869" s="11">
        <f>IFERROR(__xludf.DUMMYFUNCTION("""COMPUTED_VALUE"""),156038.0)</f>
        <v>156038</v>
      </c>
      <c r="D4869" s="11">
        <f>IFERROR(__xludf.DUMMYFUNCTION("""COMPUTED_VALUE"""),292.0)</f>
        <v>292</v>
      </c>
      <c r="E4869" s="9"/>
    </row>
    <row r="4870">
      <c r="A4870" s="11">
        <f>IFERROR(__xludf.DUMMYFUNCTION("""COMPUTED_VALUE"""),2021.0)</f>
        <v>2021</v>
      </c>
      <c r="B4870" s="11">
        <f>IFERROR(__xludf.DUMMYFUNCTION("""COMPUTED_VALUE"""),8.0)</f>
        <v>8</v>
      </c>
      <c r="C4870" s="11">
        <f>IFERROR(__xludf.DUMMYFUNCTION("""COMPUTED_VALUE"""),117392.0)</f>
        <v>117392</v>
      </c>
      <c r="D4870" s="11">
        <f>IFERROR(__xludf.DUMMYFUNCTION("""COMPUTED_VALUE"""),778.0)</f>
        <v>778</v>
      </c>
      <c r="E4870" s="9"/>
    </row>
    <row r="4871">
      <c r="A4871" s="11">
        <f>IFERROR(__xludf.DUMMYFUNCTION("""COMPUTED_VALUE"""),2021.0)</f>
        <v>2021</v>
      </c>
      <c r="B4871" s="11">
        <f>IFERROR(__xludf.DUMMYFUNCTION("""COMPUTED_VALUE"""),10.0)</f>
        <v>10</v>
      </c>
      <c r="C4871" s="11">
        <f>IFERROR(__xludf.DUMMYFUNCTION("""COMPUTED_VALUE"""),86620.0)</f>
        <v>86620</v>
      </c>
      <c r="D4871" s="11">
        <f>IFERROR(__xludf.DUMMYFUNCTION("""COMPUTED_VALUE"""),148.0)</f>
        <v>148</v>
      </c>
      <c r="E4871" s="9"/>
    </row>
    <row r="4872">
      <c r="A4872" s="11">
        <f>IFERROR(__xludf.DUMMYFUNCTION("""COMPUTED_VALUE"""),2021.0)</f>
        <v>2021</v>
      </c>
      <c r="B4872" s="11">
        <f>IFERROR(__xludf.DUMMYFUNCTION("""COMPUTED_VALUE"""),11.0)</f>
        <v>11</v>
      </c>
      <c r="C4872" s="11">
        <f>IFERROR(__xludf.DUMMYFUNCTION("""COMPUTED_VALUE"""),27871.0)</f>
        <v>27871</v>
      </c>
      <c r="D4872" s="11">
        <f>IFERROR(__xludf.DUMMYFUNCTION("""COMPUTED_VALUE"""),1345.0)</f>
        <v>1345</v>
      </c>
      <c r="E4872" s="9"/>
    </row>
    <row r="4873">
      <c r="A4873" s="11">
        <f>IFERROR(__xludf.DUMMYFUNCTION("""COMPUTED_VALUE"""),2021.0)</f>
        <v>2021</v>
      </c>
      <c r="B4873" s="11">
        <f>IFERROR(__xludf.DUMMYFUNCTION("""COMPUTED_VALUE"""),8.0)</f>
        <v>8</v>
      </c>
      <c r="C4873" s="11">
        <f>IFERROR(__xludf.DUMMYFUNCTION("""COMPUTED_VALUE"""),82874.0)</f>
        <v>82874</v>
      </c>
      <c r="D4873" s="11">
        <f>IFERROR(__xludf.DUMMYFUNCTION("""COMPUTED_VALUE"""),1502.0)</f>
        <v>1502</v>
      </c>
      <c r="E4873" s="9"/>
    </row>
    <row r="4874">
      <c r="A4874" s="11">
        <f>IFERROR(__xludf.DUMMYFUNCTION("""COMPUTED_VALUE"""),2021.0)</f>
        <v>2021</v>
      </c>
      <c r="B4874" s="11">
        <f>IFERROR(__xludf.DUMMYFUNCTION("""COMPUTED_VALUE"""),10.0)</f>
        <v>10</v>
      </c>
      <c r="C4874" s="11">
        <f>IFERROR(__xludf.DUMMYFUNCTION("""COMPUTED_VALUE"""),120292.0)</f>
        <v>120292</v>
      </c>
      <c r="D4874" s="11">
        <f>IFERROR(__xludf.DUMMYFUNCTION("""COMPUTED_VALUE"""),272.0)</f>
        <v>272</v>
      </c>
      <c r="E4874" s="9"/>
    </row>
    <row r="4875">
      <c r="A4875" s="11">
        <f>IFERROR(__xludf.DUMMYFUNCTION("""COMPUTED_VALUE"""),2021.0)</f>
        <v>2021</v>
      </c>
      <c r="B4875" s="11">
        <f>IFERROR(__xludf.DUMMYFUNCTION("""COMPUTED_VALUE"""),10.0)</f>
        <v>10</v>
      </c>
      <c r="C4875" s="11">
        <f>IFERROR(__xludf.DUMMYFUNCTION("""COMPUTED_VALUE"""),120293.0)</f>
        <v>120293</v>
      </c>
      <c r="D4875" s="11">
        <f>IFERROR(__xludf.DUMMYFUNCTION("""COMPUTED_VALUE"""),782.0)</f>
        <v>782</v>
      </c>
      <c r="E4875" s="9"/>
    </row>
    <row r="4876">
      <c r="A4876" s="11">
        <f>IFERROR(__xludf.DUMMYFUNCTION("""COMPUTED_VALUE"""),2021.0)</f>
        <v>2021</v>
      </c>
      <c r="B4876" s="11">
        <f>IFERROR(__xludf.DUMMYFUNCTION("""COMPUTED_VALUE"""),8.0)</f>
        <v>8</v>
      </c>
      <c r="C4876" s="11">
        <f>IFERROR(__xludf.DUMMYFUNCTION("""COMPUTED_VALUE"""),44522.0)</f>
        <v>44522</v>
      </c>
      <c r="D4876" s="11">
        <f>IFERROR(__xludf.DUMMYFUNCTION("""COMPUTED_VALUE"""),1293.0)</f>
        <v>1293</v>
      </c>
      <c r="E4876" s="9"/>
    </row>
    <row r="4877">
      <c r="A4877" s="11">
        <f>IFERROR(__xludf.DUMMYFUNCTION("""COMPUTED_VALUE"""),2021.0)</f>
        <v>2021</v>
      </c>
      <c r="B4877" s="11">
        <f>IFERROR(__xludf.DUMMYFUNCTION("""COMPUTED_VALUE"""),11.0)</f>
        <v>11</v>
      </c>
      <c r="C4877" s="11">
        <f>IFERROR(__xludf.DUMMYFUNCTION("""COMPUTED_VALUE"""),143999.0)</f>
        <v>143999</v>
      </c>
      <c r="D4877" s="11">
        <f>IFERROR(__xludf.DUMMYFUNCTION("""COMPUTED_VALUE"""),1870.0)</f>
        <v>1870</v>
      </c>
      <c r="E4877" s="9"/>
    </row>
    <row r="4878">
      <c r="A4878" s="11">
        <f>IFERROR(__xludf.DUMMYFUNCTION("""COMPUTED_VALUE"""),2021.0)</f>
        <v>2021</v>
      </c>
      <c r="B4878" s="11">
        <f>IFERROR(__xludf.DUMMYFUNCTION("""COMPUTED_VALUE"""),10.0)</f>
        <v>10</v>
      </c>
      <c r="C4878" s="11">
        <f>IFERROR(__xludf.DUMMYFUNCTION("""COMPUTED_VALUE"""),144000.0)</f>
        <v>144000</v>
      </c>
      <c r="D4878" s="11">
        <f>IFERROR(__xludf.DUMMYFUNCTION("""COMPUTED_VALUE"""),1016.0)</f>
        <v>1016</v>
      </c>
      <c r="E4878" s="9"/>
    </row>
    <row r="4879">
      <c r="A4879" s="11">
        <f>IFERROR(__xludf.DUMMYFUNCTION("""COMPUTED_VALUE"""),2021.0)</f>
        <v>2021</v>
      </c>
      <c r="B4879" s="11">
        <f>IFERROR(__xludf.DUMMYFUNCTION("""COMPUTED_VALUE"""),8.0)</f>
        <v>8</v>
      </c>
      <c r="C4879" s="11">
        <f>IFERROR(__xludf.DUMMYFUNCTION("""COMPUTED_VALUE"""),91236.0)</f>
        <v>91236</v>
      </c>
      <c r="D4879" s="11">
        <f>IFERROR(__xludf.DUMMYFUNCTION("""COMPUTED_VALUE"""),1568.0)</f>
        <v>1568</v>
      </c>
      <c r="E4879" s="9"/>
    </row>
    <row r="4880">
      <c r="A4880" s="11">
        <f>IFERROR(__xludf.DUMMYFUNCTION("""COMPUTED_VALUE"""),2021.0)</f>
        <v>2021</v>
      </c>
      <c r="B4880" s="11">
        <f>IFERROR(__xludf.DUMMYFUNCTION("""COMPUTED_VALUE"""),9.0)</f>
        <v>9</v>
      </c>
      <c r="C4880" s="11">
        <f>IFERROR(__xludf.DUMMYFUNCTION("""COMPUTED_VALUE"""),78213.0)</f>
        <v>78213</v>
      </c>
      <c r="D4880" s="11">
        <f>IFERROR(__xludf.DUMMYFUNCTION("""COMPUTED_VALUE"""),1018.0)</f>
        <v>1018</v>
      </c>
      <c r="E4880" s="9"/>
    </row>
    <row r="4881">
      <c r="A4881" s="11">
        <f>IFERROR(__xludf.DUMMYFUNCTION("""COMPUTED_VALUE"""),2021.0)</f>
        <v>2021</v>
      </c>
      <c r="B4881" s="11">
        <f>IFERROR(__xludf.DUMMYFUNCTION("""COMPUTED_VALUE"""),8.0)</f>
        <v>8</v>
      </c>
      <c r="C4881" s="11">
        <f>IFERROR(__xludf.DUMMYFUNCTION("""COMPUTED_VALUE"""),119254.0)</f>
        <v>119254</v>
      </c>
      <c r="D4881" s="11">
        <f>IFERROR(__xludf.DUMMYFUNCTION("""COMPUTED_VALUE"""),1508.0)</f>
        <v>1508</v>
      </c>
      <c r="E4881" s="9"/>
    </row>
    <row r="4882">
      <c r="A4882" s="11">
        <f>IFERROR(__xludf.DUMMYFUNCTION("""COMPUTED_VALUE"""),2021.0)</f>
        <v>2021</v>
      </c>
      <c r="B4882" s="11">
        <f>IFERROR(__xludf.DUMMYFUNCTION("""COMPUTED_VALUE"""),9.0)</f>
        <v>9</v>
      </c>
      <c r="C4882" s="11">
        <f>IFERROR(__xludf.DUMMYFUNCTION("""COMPUTED_VALUE"""),82149.0)</f>
        <v>82149</v>
      </c>
      <c r="D4882" s="11">
        <f>IFERROR(__xludf.DUMMYFUNCTION("""COMPUTED_VALUE"""),35.0)</f>
        <v>35</v>
      </c>
      <c r="E4882" s="9"/>
    </row>
    <row r="4883">
      <c r="A4883" s="11">
        <f>IFERROR(__xludf.DUMMYFUNCTION("""COMPUTED_VALUE"""),2021.0)</f>
        <v>2021</v>
      </c>
      <c r="B4883" s="11">
        <f>IFERROR(__xludf.DUMMYFUNCTION("""COMPUTED_VALUE"""),10.0)</f>
        <v>10</v>
      </c>
      <c r="C4883" s="11">
        <f>IFERROR(__xludf.DUMMYFUNCTION("""COMPUTED_VALUE"""),30864.0)</f>
        <v>30864</v>
      </c>
      <c r="D4883" s="11">
        <f>IFERROR(__xludf.DUMMYFUNCTION("""COMPUTED_VALUE"""),318.0)</f>
        <v>318</v>
      </c>
      <c r="E4883" s="9"/>
    </row>
    <row r="4884">
      <c r="A4884" s="11">
        <f>IFERROR(__xludf.DUMMYFUNCTION("""COMPUTED_VALUE"""),2021.0)</f>
        <v>2021</v>
      </c>
      <c r="B4884" s="11">
        <f>IFERROR(__xludf.DUMMYFUNCTION("""COMPUTED_VALUE"""),10.0)</f>
        <v>10</v>
      </c>
      <c r="C4884" s="11">
        <f>IFERROR(__xludf.DUMMYFUNCTION("""COMPUTED_VALUE"""),82148.0)</f>
        <v>82148</v>
      </c>
      <c r="D4884" s="11">
        <f>IFERROR(__xludf.DUMMYFUNCTION("""COMPUTED_VALUE"""),195.0)</f>
        <v>195</v>
      </c>
      <c r="E4884" s="9"/>
    </row>
    <row r="4885">
      <c r="A4885" s="11">
        <f>IFERROR(__xludf.DUMMYFUNCTION("""COMPUTED_VALUE"""),2021.0)</f>
        <v>2021</v>
      </c>
      <c r="B4885" s="11">
        <f>IFERROR(__xludf.DUMMYFUNCTION("""COMPUTED_VALUE"""),11.0)</f>
        <v>11</v>
      </c>
      <c r="C4885" s="11">
        <f>IFERROR(__xludf.DUMMYFUNCTION("""COMPUTED_VALUE"""),78069.0)</f>
        <v>78069</v>
      </c>
      <c r="D4885" s="11">
        <f>IFERROR(__xludf.DUMMYFUNCTION("""COMPUTED_VALUE"""),1008.0)</f>
        <v>1008</v>
      </c>
      <c r="E4885" s="9"/>
    </row>
    <row r="4886">
      <c r="A4886" s="11">
        <f>IFERROR(__xludf.DUMMYFUNCTION("""COMPUTED_VALUE"""),2021.0)</f>
        <v>2021</v>
      </c>
      <c r="B4886" s="11">
        <f>IFERROR(__xludf.DUMMYFUNCTION("""COMPUTED_VALUE"""),9.0)</f>
        <v>9</v>
      </c>
      <c r="C4886" s="11">
        <f>IFERROR(__xludf.DUMMYFUNCTION("""COMPUTED_VALUE"""),68623.0)</f>
        <v>68623</v>
      </c>
      <c r="D4886" s="11">
        <f>IFERROR(__xludf.DUMMYFUNCTION("""COMPUTED_VALUE"""),908.0)</f>
        <v>908</v>
      </c>
      <c r="E4886" s="9"/>
    </row>
    <row r="4887">
      <c r="A4887" s="11">
        <f>IFERROR(__xludf.DUMMYFUNCTION("""COMPUTED_VALUE"""),2021.0)</f>
        <v>2021</v>
      </c>
      <c r="B4887" s="11">
        <f>IFERROR(__xludf.DUMMYFUNCTION("""COMPUTED_VALUE"""),11.0)</f>
        <v>11</v>
      </c>
      <c r="C4887" s="11">
        <f>IFERROR(__xludf.DUMMYFUNCTION("""COMPUTED_VALUE"""),108904.0)</f>
        <v>108904</v>
      </c>
      <c r="D4887" s="11">
        <f>IFERROR(__xludf.DUMMYFUNCTION("""COMPUTED_VALUE"""),658.0)</f>
        <v>658</v>
      </c>
      <c r="E4887" s="9"/>
    </row>
    <row r="4888">
      <c r="A4888" s="11">
        <f>IFERROR(__xludf.DUMMYFUNCTION("""COMPUTED_VALUE"""),2021.0)</f>
        <v>2021</v>
      </c>
      <c r="B4888" s="11">
        <f>IFERROR(__xludf.DUMMYFUNCTION("""COMPUTED_VALUE"""),11.0)</f>
        <v>11</v>
      </c>
      <c r="C4888" s="11">
        <f>IFERROR(__xludf.DUMMYFUNCTION("""COMPUTED_VALUE"""),113967.0)</f>
        <v>113967</v>
      </c>
      <c r="D4888" s="11">
        <f>IFERROR(__xludf.DUMMYFUNCTION("""COMPUTED_VALUE"""),541.0)</f>
        <v>541</v>
      </c>
      <c r="E4888" s="9"/>
    </row>
    <row r="4889">
      <c r="A4889" s="11">
        <f>IFERROR(__xludf.DUMMYFUNCTION("""COMPUTED_VALUE"""),2021.0)</f>
        <v>2021</v>
      </c>
      <c r="B4889" s="11">
        <f>IFERROR(__xludf.DUMMYFUNCTION("""COMPUTED_VALUE"""),9.0)</f>
        <v>9</v>
      </c>
      <c r="C4889" s="11">
        <f>IFERROR(__xludf.DUMMYFUNCTION("""COMPUTED_VALUE"""),10145.0)</f>
        <v>10145</v>
      </c>
      <c r="D4889" s="11">
        <f>IFERROR(__xludf.DUMMYFUNCTION("""COMPUTED_VALUE"""),1909.0)</f>
        <v>1909</v>
      </c>
      <c r="E4889" s="9"/>
    </row>
    <row r="4890">
      <c r="A4890" s="11">
        <f>IFERROR(__xludf.DUMMYFUNCTION("""COMPUTED_VALUE"""),2021.0)</f>
        <v>2021</v>
      </c>
      <c r="B4890" s="11">
        <f>IFERROR(__xludf.DUMMYFUNCTION("""COMPUTED_VALUE"""),8.0)</f>
        <v>8</v>
      </c>
      <c r="C4890" s="11">
        <f>IFERROR(__xludf.DUMMYFUNCTION("""COMPUTED_VALUE"""),116960.0)</f>
        <v>116960</v>
      </c>
      <c r="D4890" s="11">
        <f>IFERROR(__xludf.DUMMYFUNCTION("""COMPUTED_VALUE"""),1866.0)</f>
        <v>1866</v>
      </c>
      <c r="E4890" s="9"/>
    </row>
    <row r="4891">
      <c r="A4891" s="11">
        <f>IFERROR(__xludf.DUMMYFUNCTION("""COMPUTED_VALUE"""),2021.0)</f>
        <v>2021</v>
      </c>
      <c r="B4891" s="11">
        <f>IFERROR(__xludf.DUMMYFUNCTION("""COMPUTED_VALUE"""),10.0)</f>
        <v>10</v>
      </c>
      <c r="C4891" s="11">
        <f>IFERROR(__xludf.DUMMYFUNCTION("""COMPUTED_VALUE"""),103663.0)</f>
        <v>103663</v>
      </c>
      <c r="D4891" s="11">
        <f>IFERROR(__xludf.DUMMYFUNCTION("""COMPUTED_VALUE"""),976.0)</f>
        <v>976</v>
      </c>
      <c r="E4891" s="9"/>
    </row>
    <row r="4892">
      <c r="A4892" s="11">
        <f>IFERROR(__xludf.DUMMYFUNCTION("""COMPUTED_VALUE"""),2021.0)</f>
        <v>2021</v>
      </c>
      <c r="B4892" s="11">
        <f>IFERROR(__xludf.DUMMYFUNCTION("""COMPUTED_VALUE"""),11.0)</f>
        <v>11</v>
      </c>
      <c r="C4892" s="11">
        <f>IFERROR(__xludf.DUMMYFUNCTION("""COMPUTED_VALUE"""),45983.0)</f>
        <v>45983</v>
      </c>
      <c r="D4892" s="11">
        <f>IFERROR(__xludf.DUMMYFUNCTION("""COMPUTED_VALUE"""),1842.0)</f>
        <v>1842</v>
      </c>
      <c r="E4892" s="9"/>
    </row>
    <row r="4893">
      <c r="A4893" s="11">
        <f>IFERROR(__xludf.DUMMYFUNCTION("""COMPUTED_VALUE"""),2021.0)</f>
        <v>2021</v>
      </c>
      <c r="B4893" s="11">
        <f>IFERROR(__xludf.DUMMYFUNCTION("""COMPUTED_VALUE"""),11.0)</f>
        <v>11</v>
      </c>
      <c r="C4893" s="11">
        <f>IFERROR(__xludf.DUMMYFUNCTION("""COMPUTED_VALUE"""),103662.0)</f>
        <v>103662</v>
      </c>
      <c r="D4893" s="11">
        <f>IFERROR(__xludf.DUMMYFUNCTION("""COMPUTED_VALUE"""),1144.0)</f>
        <v>1144</v>
      </c>
      <c r="E4893" s="9"/>
    </row>
    <row r="4894">
      <c r="A4894" s="11">
        <f>IFERROR(__xludf.DUMMYFUNCTION("""COMPUTED_VALUE"""),2021.0)</f>
        <v>2021</v>
      </c>
      <c r="B4894" s="11">
        <f>IFERROR(__xludf.DUMMYFUNCTION("""COMPUTED_VALUE"""),8.0)</f>
        <v>8</v>
      </c>
      <c r="C4894" s="11">
        <f>IFERROR(__xludf.DUMMYFUNCTION("""COMPUTED_VALUE"""),78318.0)</f>
        <v>78318</v>
      </c>
      <c r="D4894" s="11">
        <f>IFERROR(__xludf.DUMMYFUNCTION("""COMPUTED_VALUE"""),1693.0)</f>
        <v>1693</v>
      </c>
      <c r="E4894" s="9"/>
    </row>
    <row r="4895">
      <c r="A4895" s="11">
        <f>IFERROR(__xludf.DUMMYFUNCTION("""COMPUTED_VALUE"""),2021.0)</f>
        <v>2021</v>
      </c>
      <c r="B4895" s="11">
        <f>IFERROR(__xludf.DUMMYFUNCTION("""COMPUTED_VALUE"""),11.0)</f>
        <v>11</v>
      </c>
      <c r="C4895" s="11">
        <f>IFERROR(__xludf.DUMMYFUNCTION("""COMPUTED_VALUE"""),120179.0)</f>
        <v>120179</v>
      </c>
      <c r="D4895" s="11">
        <f>IFERROR(__xludf.DUMMYFUNCTION("""COMPUTED_VALUE"""),798.0)</f>
        <v>798</v>
      </c>
      <c r="E4895" s="9"/>
    </row>
    <row r="4896">
      <c r="A4896" s="11">
        <f>IFERROR(__xludf.DUMMYFUNCTION("""COMPUTED_VALUE"""),2021.0)</f>
        <v>2021</v>
      </c>
      <c r="B4896" s="11">
        <f>IFERROR(__xludf.DUMMYFUNCTION("""COMPUTED_VALUE"""),9.0)</f>
        <v>9</v>
      </c>
      <c r="C4896" s="11">
        <f>IFERROR(__xludf.DUMMYFUNCTION("""COMPUTED_VALUE"""),10144.0)</f>
        <v>10144</v>
      </c>
      <c r="D4896" s="11">
        <f>IFERROR(__xludf.DUMMYFUNCTION("""COMPUTED_VALUE"""),1643.0)</f>
        <v>1643</v>
      </c>
      <c r="E4896" s="9"/>
    </row>
    <row r="4897">
      <c r="A4897" s="11">
        <f>IFERROR(__xludf.DUMMYFUNCTION("""COMPUTED_VALUE"""),2021.0)</f>
        <v>2021</v>
      </c>
      <c r="B4897" s="11">
        <f>IFERROR(__xludf.DUMMYFUNCTION("""COMPUTED_VALUE"""),9.0)</f>
        <v>9</v>
      </c>
      <c r="C4897" s="11">
        <f>IFERROR(__xludf.DUMMYFUNCTION("""COMPUTED_VALUE"""),78304.0)</f>
        <v>78304</v>
      </c>
      <c r="D4897" s="11">
        <f>IFERROR(__xludf.DUMMYFUNCTION("""COMPUTED_VALUE"""),1878.0)</f>
        <v>1878</v>
      </c>
      <c r="E4897" s="9"/>
    </row>
    <row r="4898">
      <c r="A4898" s="11">
        <f>IFERROR(__xludf.DUMMYFUNCTION("""COMPUTED_VALUE"""),2021.0)</f>
        <v>2021</v>
      </c>
      <c r="B4898" s="11">
        <f>IFERROR(__xludf.DUMMYFUNCTION("""COMPUTED_VALUE"""),10.0)</f>
        <v>10</v>
      </c>
      <c r="C4898" s="11">
        <f>IFERROR(__xludf.DUMMYFUNCTION("""COMPUTED_VALUE"""),86598.0)</f>
        <v>86598</v>
      </c>
      <c r="D4898" s="11">
        <f>IFERROR(__xludf.DUMMYFUNCTION("""COMPUTED_VALUE"""),649.0)</f>
        <v>649</v>
      </c>
      <c r="E4898" s="9"/>
    </row>
    <row r="4899">
      <c r="A4899" s="11">
        <f>IFERROR(__xludf.DUMMYFUNCTION("""COMPUTED_VALUE"""),2021.0)</f>
        <v>2021</v>
      </c>
      <c r="B4899" s="11">
        <f>IFERROR(__xludf.DUMMYFUNCTION("""COMPUTED_VALUE"""),8.0)</f>
        <v>8</v>
      </c>
      <c r="C4899" s="11">
        <f>IFERROR(__xludf.DUMMYFUNCTION("""COMPUTED_VALUE"""),103665.0)</f>
        <v>103665</v>
      </c>
      <c r="D4899" s="11">
        <f>IFERROR(__xludf.DUMMYFUNCTION("""COMPUTED_VALUE"""),52.0)</f>
        <v>52</v>
      </c>
      <c r="E4899" s="9"/>
    </row>
    <row r="4900">
      <c r="A4900" s="11">
        <f>IFERROR(__xludf.DUMMYFUNCTION("""COMPUTED_VALUE"""),2021.0)</f>
        <v>2021</v>
      </c>
      <c r="B4900" s="11">
        <f>IFERROR(__xludf.DUMMYFUNCTION("""COMPUTED_VALUE"""),10.0)</f>
        <v>10</v>
      </c>
      <c r="C4900" s="11">
        <f>IFERROR(__xludf.DUMMYFUNCTION("""COMPUTED_VALUE"""),77771.0)</f>
        <v>77771</v>
      </c>
      <c r="D4900" s="11">
        <f>IFERROR(__xludf.DUMMYFUNCTION("""COMPUTED_VALUE"""),648.0)</f>
        <v>648</v>
      </c>
      <c r="E4900" s="9"/>
    </row>
    <row r="4901">
      <c r="A4901" s="11">
        <f>IFERROR(__xludf.DUMMYFUNCTION("""COMPUTED_VALUE"""),2021.0)</f>
        <v>2021</v>
      </c>
      <c r="B4901" s="11">
        <f>IFERROR(__xludf.DUMMYFUNCTION("""COMPUTED_VALUE"""),8.0)</f>
        <v>8</v>
      </c>
      <c r="C4901" s="11">
        <f>IFERROR(__xludf.DUMMYFUNCTION("""COMPUTED_VALUE"""),116798.0)</f>
        <v>116798</v>
      </c>
      <c r="D4901" s="11">
        <f>IFERROR(__xludf.DUMMYFUNCTION("""COMPUTED_VALUE"""),1330.0)</f>
        <v>1330</v>
      </c>
      <c r="E4901" s="9"/>
    </row>
    <row r="4902">
      <c r="A4902" s="11">
        <f>IFERROR(__xludf.DUMMYFUNCTION("""COMPUTED_VALUE"""),2021.0)</f>
        <v>2021</v>
      </c>
      <c r="B4902" s="11">
        <f>IFERROR(__xludf.DUMMYFUNCTION("""COMPUTED_VALUE"""),10.0)</f>
        <v>10</v>
      </c>
      <c r="C4902" s="11">
        <f>IFERROR(__xludf.DUMMYFUNCTION("""COMPUTED_VALUE"""),100610.0)</f>
        <v>100610</v>
      </c>
      <c r="D4902" s="11">
        <f>IFERROR(__xludf.DUMMYFUNCTION("""COMPUTED_VALUE"""),1546.0)</f>
        <v>1546</v>
      </c>
      <c r="E4902" s="9"/>
    </row>
    <row r="4903">
      <c r="A4903" s="11">
        <f>IFERROR(__xludf.DUMMYFUNCTION("""COMPUTED_VALUE"""),2021.0)</f>
        <v>2021</v>
      </c>
      <c r="B4903" s="11">
        <f>IFERROR(__xludf.DUMMYFUNCTION("""COMPUTED_VALUE"""),11.0)</f>
        <v>11</v>
      </c>
      <c r="C4903" s="11">
        <f>IFERROR(__xludf.DUMMYFUNCTION("""COMPUTED_VALUE"""),77772.0)</f>
        <v>77772</v>
      </c>
      <c r="D4903" s="11">
        <f>IFERROR(__xludf.DUMMYFUNCTION("""COMPUTED_VALUE"""),1607.0)</f>
        <v>1607</v>
      </c>
      <c r="E4903" s="9"/>
    </row>
    <row r="4904">
      <c r="A4904" s="11">
        <f>IFERROR(__xludf.DUMMYFUNCTION("""COMPUTED_VALUE"""),2021.0)</f>
        <v>2021</v>
      </c>
      <c r="B4904" s="11">
        <f>IFERROR(__xludf.DUMMYFUNCTION("""COMPUTED_VALUE"""),9.0)</f>
        <v>9</v>
      </c>
      <c r="C4904" s="11">
        <f>IFERROR(__xludf.DUMMYFUNCTION("""COMPUTED_VALUE"""),119914.0)</f>
        <v>119914</v>
      </c>
      <c r="D4904" s="11">
        <f>IFERROR(__xludf.DUMMYFUNCTION("""COMPUTED_VALUE"""),1508.0)</f>
        <v>1508</v>
      </c>
      <c r="E4904" s="9"/>
    </row>
    <row r="4905">
      <c r="A4905" s="11">
        <f>IFERROR(__xludf.DUMMYFUNCTION("""COMPUTED_VALUE"""),2021.0)</f>
        <v>2021</v>
      </c>
      <c r="B4905" s="11">
        <f>IFERROR(__xludf.DUMMYFUNCTION("""COMPUTED_VALUE"""),9.0)</f>
        <v>9</v>
      </c>
      <c r="C4905" s="11">
        <f>IFERROR(__xludf.DUMMYFUNCTION("""COMPUTED_VALUE"""),88495.0)</f>
        <v>88495</v>
      </c>
      <c r="D4905" s="11">
        <f>IFERROR(__xludf.DUMMYFUNCTION("""COMPUTED_VALUE"""),1253.0)</f>
        <v>1253</v>
      </c>
      <c r="E4905" s="9"/>
    </row>
    <row r="4906">
      <c r="A4906" s="11">
        <f>IFERROR(__xludf.DUMMYFUNCTION("""COMPUTED_VALUE"""),2021.0)</f>
        <v>2021</v>
      </c>
      <c r="B4906" s="11">
        <f>IFERROR(__xludf.DUMMYFUNCTION("""COMPUTED_VALUE"""),11.0)</f>
        <v>11</v>
      </c>
      <c r="C4906" s="11">
        <f>IFERROR(__xludf.DUMMYFUNCTION("""COMPUTED_VALUE"""),88487.0)</f>
        <v>88487</v>
      </c>
      <c r="D4906" s="11">
        <f>IFERROR(__xludf.DUMMYFUNCTION("""COMPUTED_VALUE"""),1155.0)</f>
        <v>1155</v>
      </c>
      <c r="E4906" s="9"/>
    </row>
    <row r="4907">
      <c r="A4907" s="11">
        <f>IFERROR(__xludf.DUMMYFUNCTION("""COMPUTED_VALUE"""),2021.0)</f>
        <v>2021</v>
      </c>
      <c r="B4907" s="11">
        <f>IFERROR(__xludf.DUMMYFUNCTION("""COMPUTED_VALUE"""),9.0)</f>
        <v>9</v>
      </c>
      <c r="C4907" s="11">
        <f>IFERROR(__xludf.DUMMYFUNCTION("""COMPUTED_VALUE"""),109488.0)</f>
        <v>109488</v>
      </c>
      <c r="D4907" s="11">
        <f>IFERROR(__xludf.DUMMYFUNCTION("""COMPUTED_VALUE"""),433.0)</f>
        <v>433</v>
      </c>
      <c r="E4907" s="9"/>
    </row>
    <row r="4908">
      <c r="A4908" s="11">
        <f>IFERROR(__xludf.DUMMYFUNCTION("""COMPUTED_VALUE"""),2021.0)</f>
        <v>2021</v>
      </c>
      <c r="B4908" s="11">
        <f>IFERROR(__xludf.DUMMYFUNCTION("""COMPUTED_VALUE"""),9.0)</f>
        <v>9</v>
      </c>
      <c r="C4908" s="11">
        <f>IFERROR(__xludf.DUMMYFUNCTION("""COMPUTED_VALUE"""),11401.0)</f>
        <v>11401</v>
      </c>
      <c r="D4908" s="11">
        <f>IFERROR(__xludf.DUMMYFUNCTION("""COMPUTED_VALUE"""),1140.0)</f>
        <v>1140</v>
      </c>
      <c r="E4908" s="9"/>
    </row>
    <row r="4909">
      <c r="A4909" s="11">
        <f>IFERROR(__xludf.DUMMYFUNCTION("""COMPUTED_VALUE"""),2021.0)</f>
        <v>2021</v>
      </c>
      <c r="B4909" s="11">
        <f>IFERROR(__xludf.DUMMYFUNCTION("""COMPUTED_VALUE"""),10.0)</f>
        <v>10</v>
      </c>
      <c r="C4909" s="11">
        <f>IFERROR(__xludf.DUMMYFUNCTION("""COMPUTED_VALUE"""),45530.0)</f>
        <v>45530</v>
      </c>
      <c r="D4909" s="11">
        <f>IFERROR(__xludf.DUMMYFUNCTION("""COMPUTED_VALUE"""),994.0)</f>
        <v>994</v>
      </c>
      <c r="E4909" s="9"/>
    </row>
    <row r="4910">
      <c r="A4910" s="11">
        <f>IFERROR(__xludf.DUMMYFUNCTION("""COMPUTED_VALUE"""),2021.0)</f>
        <v>2021</v>
      </c>
      <c r="B4910" s="11">
        <f>IFERROR(__xludf.DUMMYFUNCTION("""COMPUTED_VALUE"""),10.0)</f>
        <v>10</v>
      </c>
      <c r="C4910" s="11">
        <f>IFERROR(__xludf.DUMMYFUNCTION("""COMPUTED_VALUE"""),104426.0)</f>
        <v>104426</v>
      </c>
      <c r="D4910" s="11">
        <f>IFERROR(__xludf.DUMMYFUNCTION("""COMPUTED_VALUE"""),463.0)</f>
        <v>463</v>
      </c>
      <c r="E4910" s="9"/>
    </row>
    <row r="4911">
      <c r="A4911" s="11">
        <f>IFERROR(__xludf.DUMMYFUNCTION("""COMPUTED_VALUE"""),2021.0)</f>
        <v>2021</v>
      </c>
      <c r="B4911" s="11">
        <f>IFERROR(__xludf.DUMMYFUNCTION("""COMPUTED_VALUE"""),8.0)</f>
        <v>8</v>
      </c>
      <c r="C4911" s="11">
        <f>IFERROR(__xludf.DUMMYFUNCTION("""COMPUTED_VALUE"""),119827.0)</f>
        <v>119827</v>
      </c>
      <c r="D4911" s="11">
        <f>IFERROR(__xludf.DUMMYFUNCTION("""COMPUTED_VALUE"""),775.0)</f>
        <v>775</v>
      </c>
      <c r="E4911" s="9"/>
    </row>
    <row r="4912">
      <c r="A4912" s="11">
        <f>IFERROR(__xludf.DUMMYFUNCTION("""COMPUTED_VALUE"""),2021.0)</f>
        <v>2021</v>
      </c>
      <c r="B4912" s="11">
        <f>IFERROR(__xludf.DUMMYFUNCTION("""COMPUTED_VALUE"""),10.0)</f>
        <v>10</v>
      </c>
      <c r="C4912" s="11">
        <f>IFERROR(__xludf.DUMMYFUNCTION("""COMPUTED_VALUE"""),104384.0)</f>
        <v>104384</v>
      </c>
      <c r="D4912" s="11">
        <f>IFERROR(__xludf.DUMMYFUNCTION("""COMPUTED_VALUE"""),201.0)</f>
        <v>201</v>
      </c>
      <c r="E4912" s="9"/>
    </row>
    <row r="4913">
      <c r="A4913" s="11">
        <f>IFERROR(__xludf.DUMMYFUNCTION("""COMPUTED_VALUE"""),2021.0)</f>
        <v>2021</v>
      </c>
      <c r="B4913" s="11">
        <f>IFERROR(__xludf.DUMMYFUNCTION("""COMPUTED_VALUE"""),8.0)</f>
        <v>8</v>
      </c>
      <c r="C4913" s="11">
        <f>IFERROR(__xludf.DUMMYFUNCTION("""COMPUTED_VALUE"""),121966.0)</f>
        <v>121966</v>
      </c>
      <c r="D4913" s="11">
        <f>IFERROR(__xludf.DUMMYFUNCTION("""COMPUTED_VALUE"""),148.0)</f>
        <v>148</v>
      </c>
      <c r="E4913" s="9"/>
    </row>
    <row r="4914">
      <c r="A4914" s="11">
        <f>IFERROR(__xludf.DUMMYFUNCTION("""COMPUTED_VALUE"""),2021.0)</f>
        <v>2021</v>
      </c>
      <c r="B4914" s="11">
        <f>IFERROR(__xludf.DUMMYFUNCTION("""COMPUTED_VALUE"""),10.0)</f>
        <v>10</v>
      </c>
      <c r="C4914" s="11">
        <f>IFERROR(__xludf.DUMMYFUNCTION("""COMPUTED_VALUE"""),120183.0)</f>
        <v>120183</v>
      </c>
      <c r="D4914" s="11">
        <f>IFERROR(__xludf.DUMMYFUNCTION("""COMPUTED_VALUE"""),934.0)</f>
        <v>934</v>
      </c>
      <c r="E4914" s="9"/>
    </row>
    <row r="4915">
      <c r="A4915" s="11">
        <f>IFERROR(__xludf.DUMMYFUNCTION("""COMPUTED_VALUE"""),2021.0)</f>
        <v>2021</v>
      </c>
      <c r="B4915" s="11">
        <f>IFERROR(__xludf.DUMMYFUNCTION("""COMPUTED_VALUE"""),11.0)</f>
        <v>11</v>
      </c>
      <c r="C4915" s="11">
        <f>IFERROR(__xludf.DUMMYFUNCTION("""COMPUTED_VALUE"""),82832.0)</f>
        <v>82832</v>
      </c>
      <c r="D4915" s="11">
        <f>IFERROR(__xludf.DUMMYFUNCTION("""COMPUTED_VALUE"""),838.0)</f>
        <v>838</v>
      </c>
      <c r="E4915" s="9"/>
    </row>
    <row r="4916">
      <c r="A4916" s="11">
        <f>IFERROR(__xludf.DUMMYFUNCTION("""COMPUTED_VALUE"""),2021.0)</f>
        <v>2021</v>
      </c>
      <c r="B4916" s="11">
        <f>IFERROR(__xludf.DUMMYFUNCTION("""COMPUTED_VALUE"""),10.0)</f>
        <v>10</v>
      </c>
      <c r="C4916" s="11">
        <f>IFERROR(__xludf.DUMMYFUNCTION("""COMPUTED_VALUE"""),117607.0)</f>
        <v>117607</v>
      </c>
      <c r="D4916" s="11">
        <f>IFERROR(__xludf.DUMMYFUNCTION("""COMPUTED_VALUE"""),1730.0)</f>
        <v>1730</v>
      </c>
      <c r="E4916" s="9"/>
    </row>
    <row r="4917">
      <c r="A4917" s="11">
        <f>IFERROR(__xludf.DUMMYFUNCTION("""COMPUTED_VALUE"""),2021.0)</f>
        <v>2021</v>
      </c>
      <c r="B4917" s="11">
        <f>IFERROR(__xludf.DUMMYFUNCTION("""COMPUTED_VALUE"""),8.0)</f>
        <v>8</v>
      </c>
      <c r="C4917" s="11">
        <f>IFERROR(__xludf.DUMMYFUNCTION("""COMPUTED_VALUE"""),116244.0)</f>
        <v>116244</v>
      </c>
      <c r="D4917" s="11">
        <f>IFERROR(__xludf.DUMMYFUNCTION("""COMPUTED_VALUE"""),711.0)</f>
        <v>711</v>
      </c>
      <c r="E4917" s="9"/>
    </row>
    <row r="4918">
      <c r="A4918" s="11">
        <f>IFERROR(__xludf.DUMMYFUNCTION("""COMPUTED_VALUE"""),2021.0)</f>
        <v>2021</v>
      </c>
      <c r="B4918" s="11">
        <f>IFERROR(__xludf.DUMMYFUNCTION("""COMPUTED_VALUE"""),11.0)</f>
        <v>11</v>
      </c>
      <c r="C4918" s="11">
        <f>IFERROR(__xludf.DUMMYFUNCTION("""COMPUTED_VALUE"""),81045.0)</f>
        <v>81045</v>
      </c>
      <c r="D4918" s="11">
        <f>IFERROR(__xludf.DUMMYFUNCTION("""COMPUTED_VALUE"""),677.0)</f>
        <v>677</v>
      </c>
      <c r="E4918" s="9"/>
    </row>
    <row r="4919">
      <c r="A4919" s="11">
        <f>IFERROR(__xludf.DUMMYFUNCTION("""COMPUTED_VALUE"""),2021.0)</f>
        <v>2021</v>
      </c>
      <c r="B4919" s="11">
        <f>IFERROR(__xludf.DUMMYFUNCTION("""COMPUTED_VALUE"""),10.0)</f>
        <v>10</v>
      </c>
      <c r="C4919" s="11">
        <f>IFERROR(__xludf.DUMMYFUNCTION("""COMPUTED_VALUE"""),106021.0)</f>
        <v>106021</v>
      </c>
      <c r="D4919" s="11">
        <f>IFERROR(__xludf.DUMMYFUNCTION("""COMPUTED_VALUE"""),986.0)</f>
        <v>986</v>
      </c>
      <c r="E4919" s="9"/>
    </row>
    <row r="4920">
      <c r="A4920" s="11">
        <f>IFERROR(__xludf.DUMMYFUNCTION("""COMPUTED_VALUE"""),2021.0)</f>
        <v>2021</v>
      </c>
      <c r="B4920" s="11">
        <f>IFERROR(__xludf.DUMMYFUNCTION("""COMPUTED_VALUE"""),10.0)</f>
        <v>10</v>
      </c>
      <c r="C4920" s="11">
        <f>IFERROR(__xludf.DUMMYFUNCTION("""COMPUTED_VALUE"""),86622.0)</f>
        <v>86622</v>
      </c>
      <c r="D4920" s="11">
        <f>IFERROR(__xludf.DUMMYFUNCTION("""COMPUTED_VALUE"""),951.0)</f>
        <v>951</v>
      </c>
      <c r="E4920" s="9"/>
    </row>
    <row r="4921">
      <c r="A4921" s="11">
        <f>IFERROR(__xludf.DUMMYFUNCTION("""COMPUTED_VALUE"""),2021.0)</f>
        <v>2021</v>
      </c>
      <c r="B4921" s="11">
        <f>IFERROR(__xludf.DUMMYFUNCTION("""COMPUTED_VALUE"""),9.0)</f>
        <v>9</v>
      </c>
      <c r="C4921" s="11">
        <f>IFERROR(__xludf.DUMMYFUNCTION("""COMPUTED_VALUE"""),82834.0)</f>
        <v>82834</v>
      </c>
      <c r="D4921" s="11">
        <f>IFERROR(__xludf.DUMMYFUNCTION("""COMPUTED_VALUE"""),639.0)</f>
        <v>639</v>
      </c>
      <c r="E4921" s="9"/>
    </row>
    <row r="4922">
      <c r="A4922" s="11">
        <f>IFERROR(__xludf.DUMMYFUNCTION("""COMPUTED_VALUE"""),2021.0)</f>
        <v>2021</v>
      </c>
      <c r="B4922" s="11">
        <f>IFERROR(__xludf.DUMMYFUNCTION("""COMPUTED_VALUE"""),11.0)</f>
        <v>11</v>
      </c>
      <c r="C4922" s="11">
        <f>IFERROR(__xludf.DUMMYFUNCTION("""COMPUTED_VALUE"""),81008.0)</f>
        <v>81008</v>
      </c>
      <c r="D4922" s="11">
        <f>IFERROR(__xludf.DUMMYFUNCTION("""COMPUTED_VALUE"""),558.0)</f>
        <v>558</v>
      </c>
      <c r="E4922" s="9"/>
    </row>
    <row r="4923">
      <c r="A4923" s="11">
        <f>IFERROR(__xludf.DUMMYFUNCTION("""COMPUTED_VALUE"""),2021.0)</f>
        <v>2021</v>
      </c>
      <c r="B4923" s="11">
        <f>IFERROR(__xludf.DUMMYFUNCTION("""COMPUTED_VALUE"""),11.0)</f>
        <v>11</v>
      </c>
      <c r="C4923" s="11">
        <f>IFERROR(__xludf.DUMMYFUNCTION("""COMPUTED_VALUE"""),83167.0)</f>
        <v>83167</v>
      </c>
      <c r="D4923" s="11">
        <f>IFERROR(__xludf.DUMMYFUNCTION("""COMPUTED_VALUE"""),939.0)</f>
        <v>939</v>
      </c>
      <c r="E4923" s="9"/>
    </row>
    <row r="4924">
      <c r="A4924" s="11">
        <f>IFERROR(__xludf.DUMMYFUNCTION("""COMPUTED_VALUE"""),2021.0)</f>
        <v>2021</v>
      </c>
      <c r="B4924" s="11">
        <f>IFERROR(__xludf.DUMMYFUNCTION("""COMPUTED_VALUE"""),10.0)</f>
        <v>10</v>
      </c>
      <c r="C4924" s="11">
        <f>IFERROR(__xludf.DUMMYFUNCTION("""COMPUTED_VALUE"""),86584.0)</f>
        <v>86584</v>
      </c>
      <c r="D4924" s="11">
        <f>IFERROR(__xludf.DUMMYFUNCTION("""COMPUTED_VALUE"""),1510.0)</f>
        <v>1510</v>
      </c>
      <c r="E4924" s="9"/>
    </row>
    <row r="4925">
      <c r="A4925" s="11">
        <f>IFERROR(__xludf.DUMMYFUNCTION("""COMPUTED_VALUE"""),2021.0)</f>
        <v>2021</v>
      </c>
      <c r="B4925" s="11">
        <f>IFERROR(__xludf.DUMMYFUNCTION("""COMPUTED_VALUE"""),11.0)</f>
        <v>11</v>
      </c>
      <c r="C4925" s="11">
        <f>IFERROR(__xludf.DUMMYFUNCTION("""COMPUTED_VALUE"""),79902.0)</f>
        <v>79902</v>
      </c>
      <c r="D4925" s="11">
        <f>IFERROR(__xludf.DUMMYFUNCTION("""COMPUTED_VALUE"""),1911.0)</f>
        <v>1911</v>
      </c>
      <c r="E4925" s="9"/>
    </row>
    <row r="4926">
      <c r="A4926" s="11">
        <f>IFERROR(__xludf.DUMMYFUNCTION("""COMPUTED_VALUE"""),2021.0)</f>
        <v>2021</v>
      </c>
      <c r="B4926" s="11">
        <f>IFERROR(__xludf.DUMMYFUNCTION("""COMPUTED_VALUE"""),11.0)</f>
        <v>11</v>
      </c>
      <c r="C4926" s="11">
        <f>IFERROR(__xludf.DUMMYFUNCTION("""COMPUTED_VALUE"""),41328.0)</f>
        <v>41328</v>
      </c>
      <c r="D4926" s="11">
        <f>IFERROR(__xludf.DUMMYFUNCTION("""COMPUTED_VALUE"""),1191.0)</f>
        <v>1191</v>
      </c>
      <c r="E4926" s="9"/>
    </row>
    <row r="4927">
      <c r="A4927" s="11">
        <f>IFERROR(__xludf.DUMMYFUNCTION("""COMPUTED_VALUE"""),2021.0)</f>
        <v>2021</v>
      </c>
      <c r="B4927" s="11">
        <f>IFERROR(__xludf.DUMMYFUNCTION("""COMPUTED_VALUE"""),10.0)</f>
        <v>10</v>
      </c>
      <c r="C4927" s="11">
        <f>IFERROR(__xludf.DUMMYFUNCTION("""COMPUTED_VALUE"""),79907.0)</f>
        <v>79907</v>
      </c>
      <c r="D4927" s="11">
        <f>IFERROR(__xludf.DUMMYFUNCTION("""COMPUTED_VALUE"""),951.0)</f>
        <v>951</v>
      </c>
      <c r="E4927" s="9"/>
    </row>
    <row r="4928">
      <c r="A4928" s="11">
        <f>IFERROR(__xludf.DUMMYFUNCTION("""COMPUTED_VALUE"""),2021.0)</f>
        <v>2021</v>
      </c>
      <c r="B4928" s="11">
        <f>IFERROR(__xludf.DUMMYFUNCTION("""COMPUTED_VALUE"""),9.0)</f>
        <v>9</v>
      </c>
      <c r="C4928" s="11">
        <f>IFERROR(__xludf.DUMMYFUNCTION("""COMPUTED_VALUE"""),70588.0)</f>
        <v>70588</v>
      </c>
      <c r="D4928" s="11">
        <f>IFERROR(__xludf.DUMMYFUNCTION("""COMPUTED_VALUE"""),530.0)</f>
        <v>530</v>
      </c>
      <c r="E4928" s="9"/>
    </row>
    <row r="4929">
      <c r="A4929" s="11">
        <f>IFERROR(__xludf.DUMMYFUNCTION("""COMPUTED_VALUE"""),2021.0)</f>
        <v>2021</v>
      </c>
      <c r="B4929" s="11">
        <f>IFERROR(__xludf.DUMMYFUNCTION("""COMPUTED_VALUE"""),10.0)</f>
        <v>10</v>
      </c>
      <c r="C4929" s="11">
        <f>IFERROR(__xludf.DUMMYFUNCTION("""COMPUTED_VALUE"""),70587.0)</f>
        <v>70587</v>
      </c>
      <c r="D4929" s="11">
        <f>IFERROR(__xludf.DUMMYFUNCTION("""COMPUTED_VALUE"""),925.0)</f>
        <v>925</v>
      </c>
      <c r="E4929" s="9"/>
    </row>
    <row r="4930">
      <c r="A4930" s="11">
        <f>IFERROR(__xludf.DUMMYFUNCTION("""COMPUTED_VALUE"""),2021.0)</f>
        <v>2021</v>
      </c>
      <c r="B4930" s="11">
        <f>IFERROR(__xludf.DUMMYFUNCTION("""COMPUTED_VALUE"""),8.0)</f>
        <v>8</v>
      </c>
      <c r="C4930" s="11">
        <f>IFERROR(__xludf.DUMMYFUNCTION("""COMPUTED_VALUE"""),109356.0)</f>
        <v>109356</v>
      </c>
      <c r="D4930" s="11">
        <f>IFERROR(__xludf.DUMMYFUNCTION("""COMPUTED_VALUE"""),1802.0)</f>
        <v>1802</v>
      </c>
      <c r="E4930" s="9"/>
    </row>
    <row r="4931">
      <c r="A4931" s="11">
        <f>IFERROR(__xludf.DUMMYFUNCTION("""COMPUTED_VALUE"""),2021.0)</f>
        <v>2021</v>
      </c>
      <c r="B4931" s="11">
        <f>IFERROR(__xludf.DUMMYFUNCTION("""COMPUTED_VALUE"""),11.0)</f>
        <v>11</v>
      </c>
      <c r="C4931" s="11">
        <f>IFERROR(__xludf.DUMMYFUNCTION("""COMPUTED_VALUE"""),47892.0)</f>
        <v>47892</v>
      </c>
      <c r="D4931" s="11">
        <f>IFERROR(__xludf.DUMMYFUNCTION("""COMPUTED_VALUE"""),1619.0)</f>
        <v>1619</v>
      </c>
      <c r="E4931" s="9"/>
    </row>
    <row r="4932">
      <c r="A4932" s="11">
        <f>IFERROR(__xludf.DUMMYFUNCTION("""COMPUTED_VALUE"""),2021.0)</f>
        <v>2021</v>
      </c>
      <c r="B4932" s="11">
        <f>IFERROR(__xludf.DUMMYFUNCTION("""COMPUTED_VALUE"""),9.0)</f>
        <v>9</v>
      </c>
      <c r="C4932" s="11">
        <f>IFERROR(__xludf.DUMMYFUNCTION("""COMPUTED_VALUE"""),79901.0)</f>
        <v>79901</v>
      </c>
      <c r="D4932" s="11">
        <f>IFERROR(__xludf.DUMMYFUNCTION("""COMPUTED_VALUE"""),1084.0)</f>
        <v>1084</v>
      </c>
      <c r="E4932" s="9"/>
    </row>
    <row r="4933">
      <c r="A4933" s="11">
        <f>IFERROR(__xludf.DUMMYFUNCTION("""COMPUTED_VALUE"""),2021.0)</f>
        <v>2021</v>
      </c>
      <c r="B4933" s="11">
        <f>IFERROR(__xludf.DUMMYFUNCTION("""COMPUTED_VALUE"""),10.0)</f>
        <v>10</v>
      </c>
      <c r="C4933" s="11">
        <f>IFERROR(__xludf.DUMMYFUNCTION("""COMPUTED_VALUE"""),70585.0)</f>
        <v>70585</v>
      </c>
      <c r="D4933" s="11">
        <f>IFERROR(__xludf.DUMMYFUNCTION("""COMPUTED_VALUE"""),1074.0)</f>
        <v>1074</v>
      </c>
      <c r="E4933" s="9"/>
    </row>
    <row r="4934">
      <c r="A4934" s="11">
        <f>IFERROR(__xludf.DUMMYFUNCTION("""COMPUTED_VALUE"""),2021.0)</f>
        <v>2021</v>
      </c>
      <c r="B4934" s="11">
        <f>IFERROR(__xludf.DUMMYFUNCTION("""COMPUTED_VALUE"""),9.0)</f>
        <v>9</v>
      </c>
      <c r="C4934" s="11">
        <f>IFERROR(__xludf.DUMMYFUNCTION("""COMPUTED_VALUE"""),4375.0)</f>
        <v>4375</v>
      </c>
      <c r="D4934" s="11">
        <f>IFERROR(__xludf.DUMMYFUNCTION("""COMPUTED_VALUE"""),1148.0)</f>
        <v>1148</v>
      </c>
      <c r="E4934" s="9"/>
    </row>
    <row r="4935">
      <c r="A4935" s="11">
        <f>IFERROR(__xludf.DUMMYFUNCTION("""COMPUTED_VALUE"""),2021.0)</f>
        <v>2021</v>
      </c>
      <c r="B4935" s="11">
        <f>IFERROR(__xludf.DUMMYFUNCTION("""COMPUTED_VALUE"""),9.0)</f>
        <v>9</v>
      </c>
      <c r="C4935" s="11">
        <f>IFERROR(__xludf.DUMMYFUNCTION("""COMPUTED_VALUE"""),4380.0)</f>
        <v>4380</v>
      </c>
      <c r="D4935" s="11">
        <f>IFERROR(__xludf.DUMMYFUNCTION("""COMPUTED_VALUE"""),1048.0)</f>
        <v>1048</v>
      </c>
      <c r="E4935" s="9"/>
    </row>
    <row r="4936">
      <c r="A4936" s="11">
        <f>IFERROR(__xludf.DUMMYFUNCTION("""COMPUTED_VALUE"""),2021.0)</f>
        <v>2021</v>
      </c>
      <c r="B4936" s="11">
        <f>IFERROR(__xludf.DUMMYFUNCTION("""COMPUTED_VALUE"""),11.0)</f>
        <v>11</v>
      </c>
      <c r="C4936" s="11">
        <f>IFERROR(__xludf.DUMMYFUNCTION("""COMPUTED_VALUE"""),84967.0)</f>
        <v>84967</v>
      </c>
      <c r="D4936" s="11">
        <f>IFERROR(__xludf.DUMMYFUNCTION("""COMPUTED_VALUE"""),759.0)</f>
        <v>759</v>
      </c>
      <c r="E4936" s="9"/>
    </row>
    <row r="4937">
      <c r="A4937" s="11">
        <f>IFERROR(__xludf.DUMMYFUNCTION("""COMPUTED_VALUE"""),2021.0)</f>
        <v>2021</v>
      </c>
      <c r="B4937" s="11">
        <f>IFERROR(__xludf.DUMMYFUNCTION("""COMPUTED_VALUE"""),11.0)</f>
        <v>11</v>
      </c>
      <c r="C4937" s="11">
        <f>IFERROR(__xludf.DUMMYFUNCTION("""COMPUTED_VALUE"""),4381.0)</f>
        <v>4381</v>
      </c>
      <c r="D4937" s="11">
        <f>IFERROR(__xludf.DUMMYFUNCTION("""COMPUTED_VALUE"""),342.0)</f>
        <v>342</v>
      </c>
      <c r="E4937" s="9"/>
    </row>
    <row r="4938">
      <c r="A4938" s="11">
        <f>IFERROR(__xludf.DUMMYFUNCTION("""COMPUTED_VALUE"""),2021.0)</f>
        <v>2021</v>
      </c>
      <c r="B4938" s="11">
        <f>IFERROR(__xludf.DUMMYFUNCTION("""COMPUTED_VALUE"""),10.0)</f>
        <v>10</v>
      </c>
      <c r="C4938" s="11">
        <f>IFERROR(__xludf.DUMMYFUNCTION("""COMPUTED_VALUE"""),4379.0)</f>
        <v>4379</v>
      </c>
      <c r="D4938" s="11">
        <f>IFERROR(__xludf.DUMMYFUNCTION("""COMPUTED_VALUE"""),1888.0)</f>
        <v>1888</v>
      </c>
      <c r="E4938" s="9"/>
    </row>
    <row r="4939">
      <c r="A4939" s="11">
        <f>IFERROR(__xludf.DUMMYFUNCTION("""COMPUTED_VALUE"""),2021.0)</f>
        <v>2021</v>
      </c>
      <c r="B4939" s="11">
        <f>IFERROR(__xludf.DUMMYFUNCTION("""COMPUTED_VALUE"""),9.0)</f>
        <v>9</v>
      </c>
      <c r="C4939" s="11">
        <f>IFERROR(__xludf.DUMMYFUNCTION("""COMPUTED_VALUE"""),4383.0)</f>
        <v>4383</v>
      </c>
      <c r="D4939" s="11">
        <f>IFERROR(__xludf.DUMMYFUNCTION("""COMPUTED_VALUE"""),696.0)</f>
        <v>696</v>
      </c>
      <c r="E4939" s="9"/>
    </row>
    <row r="4940">
      <c r="A4940" s="11">
        <f>IFERROR(__xludf.DUMMYFUNCTION("""COMPUTED_VALUE"""),2021.0)</f>
        <v>2021</v>
      </c>
      <c r="B4940" s="11">
        <f>IFERROR(__xludf.DUMMYFUNCTION("""COMPUTED_VALUE"""),10.0)</f>
        <v>10</v>
      </c>
      <c r="C4940" s="11">
        <f>IFERROR(__xludf.DUMMYFUNCTION("""COMPUTED_VALUE"""),110770.0)</f>
        <v>110770</v>
      </c>
      <c r="D4940" s="11">
        <f>IFERROR(__xludf.DUMMYFUNCTION("""COMPUTED_VALUE"""),277.0)</f>
        <v>277</v>
      </c>
      <c r="E4940" s="9"/>
    </row>
    <row r="4941">
      <c r="A4941" s="11">
        <f>IFERROR(__xludf.DUMMYFUNCTION("""COMPUTED_VALUE"""),2021.0)</f>
        <v>2021</v>
      </c>
      <c r="B4941" s="11">
        <f>IFERROR(__xludf.DUMMYFUNCTION("""COMPUTED_VALUE"""),11.0)</f>
        <v>11</v>
      </c>
      <c r="C4941" s="11">
        <f>IFERROR(__xludf.DUMMYFUNCTION("""COMPUTED_VALUE"""),110764.0)</f>
        <v>110764</v>
      </c>
      <c r="D4941" s="11">
        <f>IFERROR(__xludf.DUMMYFUNCTION("""COMPUTED_VALUE"""),1934.0)</f>
        <v>1934</v>
      </c>
      <c r="E4941" s="9"/>
    </row>
    <row r="4942">
      <c r="A4942" s="11">
        <f>IFERROR(__xludf.DUMMYFUNCTION("""COMPUTED_VALUE"""),2021.0)</f>
        <v>2021</v>
      </c>
      <c r="B4942" s="11">
        <f>IFERROR(__xludf.DUMMYFUNCTION("""COMPUTED_VALUE"""),8.0)</f>
        <v>8</v>
      </c>
      <c r="C4942" s="11">
        <f>IFERROR(__xludf.DUMMYFUNCTION("""COMPUTED_VALUE"""),109355.0)</f>
        <v>109355</v>
      </c>
      <c r="D4942" s="11">
        <f>IFERROR(__xludf.DUMMYFUNCTION("""COMPUTED_VALUE"""),1810.0)</f>
        <v>1810</v>
      </c>
      <c r="E4942" s="9"/>
    </row>
    <row r="4943">
      <c r="A4943" s="11">
        <f>IFERROR(__xludf.DUMMYFUNCTION("""COMPUTED_VALUE"""),2021.0)</f>
        <v>2021</v>
      </c>
      <c r="B4943" s="11">
        <f>IFERROR(__xludf.DUMMYFUNCTION("""COMPUTED_VALUE"""),8.0)</f>
        <v>8</v>
      </c>
      <c r="C4943" s="11">
        <f>IFERROR(__xludf.DUMMYFUNCTION("""COMPUTED_VALUE"""),110765.0)</f>
        <v>110765</v>
      </c>
      <c r="D4943" s="11">
        <f>IFERROR(__xludf.DUMMYFUNCTION("""COMPUTED_VALUE"""),1602.0)</f>
        <v>1602</v>
      </c>
      <c r="E4943" s="9"/>
    </row>
    <row r="4944">
      <c r="A4944" s="11">
        <f>IFERROR(__xludf.DUMMYFUNCTION("""COMPUTED_VALUE"""),2021.0)</f>
        <v>2021</v>
      </c>
      <c r="B4944" s="11">
        <f>IFERROR(__xludf.DUMMYFUNCTION("""COMPUTED_VALUE"""),10.0)</f>
        <v>10</v>
      </c>
      <c r="C4944" s="11">
        <f>IFERROR(__xludf.DUMMYFUNCTION("""COMPUTED_VALUE"""),103510.0)</f>
        <v>103510</v>
      </c>
      <c r="D4944" s="11">
        <f>IFERROR(__xludf.DUMMYFUNCTION("""COMPUTED_VALUE"""),119.0)</f>
        <v>119</v>
      </c>
      <c r="E4944" s="9"/>
    </row>
    <row r="4945">
      <c r="A4945" s="11">
        <f>IFERROR(__xludf.DUMMYFUNCTION("""COMPUTED_VALUE"""),2021.0)</f>
        <v>2021</v>
      </c>
      <c r="B4945" s="11">
        <f>IFERROR(__xludf.DUMMYFUNCTION("""COMPUTED_VALUE"""),9.0)</f>
        <v>9</v>
      </c>
      <c r="C4945" s="11">
        <f>IFERROR(__xludf.DUMMYFUNCTION("""COMPUTED_VALUE"""),114936.0)</f>
        <v>114936</v>
      </c>
      <c r="D4945" s="11">
        <f>IFERROR(__xludf.DUMMYFUNCTION("""COMPUTED_VALUE"""),734.0)</f>
        <v>734</v>
      </c>
      <c r="E4945" s="9"/>
    </row>
    <row r="4946">
      <c r="A4946" s="11">
        <f>IFERROR(__xludf.DUMMYFUNCTION("""COMPUTED_VALUE"""),2021.0)</f>
        <v>2021</v>
      </c>
      <c r="B4946" s="11">
        <f>IFERROR(__xludf.DUMMYFUNCTION("""COMPUTED_VALUE"""),10.0)</f>
        <v>10</v>
      </c>
      <c r="C4946" s="11">
        <f>IFERROR(__xludf.DUMMYFUNCTION("""COMPUTED_VALUE"""),114935.0)</f>
        <v>114935</v>
      </c>
      <c r="D4946" s="11">
        <f>IFERROR(__xludf.DUMMYFUNCTION("""COMPUTED_VALUE"""),252.0)</f>
        <v>252</v>
      </c>
      <c r="E4946" s="9"/>
    </row>
    <row r="4947">
      <c r="A4947" s="11">
        <f>IFERROR(__xludf.DUMMYFUNCTION("""COMPUTED_VALUE"""),2021.0)</f>
        <v>2021</v>
      </c>
      <c r="B4947" s="11">
        <f>IFERROR(__xludf.DUMMYFUNCTION("""COMPUTED_VALUE"""),9.0)</f>
        <v>9</v>
      </c>
      <c r="C4947" s="11">
        <f>IFERROR(__xludf.DUMMYFUNCTION("""COMPUTED_VALUE"""),110768.0)</f>
        <v>110768</v>
      </c>
      <c r="D4947" s="11">
        <f>IFERROR(__xludf.DUMMYFUNCTION("""COMPUTED_VALUE"""),645.0)</f>
        <v>645</v>
      </c>
      <c r="E4947" s="9"/>
    </row>
    <row r="4948">
      <c r="A4948" s="11">
        <f>IFERROR(__xludf.DUMMYFUNCTION("""COMPUTED_VALUE"""),2021.0)</f>
        <v>2021</v>
      </c>
      <c r="B4948" s="11">
        <f>IFERROR(__xludf.DUMMYFUNCTION("""COMPUTED_VALUE"""),8.0)</f>
        <v>8</v>
      </c>
      <c r="C4948" s="11">
        <f>IFERROR(__xludf.DUMMYFUNCTION("""COMPUTED_VALUE"""),120256.0)</f>
        <v>120256</v>
      </c>
      <c r="D4948" s="11">
        <f>IFERROR(__xludf.DUMMYFUNCTION("""COMPUTED_VALUE"""),2.0)</f>
        <v>2</v>
      </c>
      <c r="E4948" s="9"/>
    </row>
    <row r="4949">
      <c r="A4949" s="11">
        <f>IFERROR(__xludf.DUMMYFUNCTION("""COMPUTED_VALUE"""),2021.0)</f>
        <v>2021</v>
      </c>
      <c r="B4949" s="11">
        <f>IFERROR(__xludf.DUMMYFUNCTION("""COMPUTED_VALUE"""),8.0)</f>
        <v>8</v>
      </c>
      <c r="C4949" s="11">
        <f>IFERROR(__xludf.DUMMYFUNCTION("""COMPUTED_VALUE"""),101783.0)</f>
        <v>101783</v>
      </c>
      <c r="D4949" s="11">
        <f>IFERROR(__xludf.DUMMYFUNCTION("""COMPUTED_VALUE"""),1049.0)</f>
        <v>1049</v>
      </c>
      <c r="E4949" s="9"/>
    </row>
    <row r="4950">
      <c r="A4950" s="11">
        <f>IFERROR(__xludf.DUMMYFUNCTION("""COMPUTED_VALUE"""),2021.0)</f>
        <v>2021</v>
      </c>
      <c r="B4950" s="11">
        <f>IFERROR(__xludf.DUMMYFUNCTION("""COMPUTED_VALUE"""),10.0)</f>
        <v>10</v>
      </c>
      <c r="C4950" s="11">
        <f>IFERROR(__xludf.DUMMYFUNCTION("""COMPUTED_VALUE"""),75766.0)</f>
        <v>75766</v>
      </c>
      <c r="D4950" s="11">
        <f>IFERROR(__xludf.DUMMYFUNCTION("""COMPUTED_VALUE"""),1272.0)</f>
        <v>1272</v>
      </c>
      <c r="E4950" s="9"/>
    </row>
    <row r="4951">
      <c r="A4951" s="11">
        <f>IFERROR(__xludf.DUMMYFUNCTION("""COMPUTED_VALUE"""),2021.0)</f>
        <v>2021</v>
      </c>
      <c r="B4951" s="11">
        <f>IFERROR(__xludf.DUMMYFUNCTION("""COMPUTED_VALUE"""),8.0)</f>
        <v>8</v>
      </c>
      <c r="C4951" s="11">
        <f>IFERROR(__xludf.DUMMYFUNCTION("""COMPUTED_VALUE"""),69756.0)</f>
        <v>69756</v>
      </c>
      <c r="D4951" s="11">
        <f>IFERROR(__xludf.DUMMYFUNCTION("""COMPUTED_VALUE"""),1750.0)</f>
        <v>1750</v>
      </c>
      <c r="E4951" s="9"/>
    </row>
    <row r="4952">
      <c r="A4952" s="11">
        <f>IFERROR(__xludf.DUMMYFUNCTION("""COMPUTED_VALUE"""),2021.0)</f>
        <v>2021</v>
      </c>
      <c r="B4952" s="11">
        <f>IFERROR(__xludf.DUMMYFUNCTION("""COMPUTED_VALUE"""),10.0)</f>
        <v>10</v>
      </c>
      <c r="C4952" s="11">
        <f>IFERROR(__xludf.DUMMYFUNCTION("""COMPUTED_VALUE"""),112471.0)</f>
        <v>112471</v>
      </c>
      <c r="D4952" s="11">
        <f>IFERROR(__xludf.DUMMYFUNCTION("""COMPUTED_VALUE"""),1440.0)</f>
        <v>1440</v>
      </c>
      <c r="E4952" s="9"/>
    </row>
    <row r="4953">
      <c r="A4953" s="11">
        <f>IFERROR(__xludf.DUMMYFUNCTION("""COMPUTED_VALUE"""),2021.0)</f>
        <v>2021</v>
      </c>
      <c r="B4953" s="11">
        <f>IFERROR(__xludf.DUMMYFUNCTION("""COMPUTED_VALUE"""),8.0)</f>
        <v>8</v>
      </c>
      <c r="C4953" s="11">
        <f>IFERROR(__xludf.DUMMYFUNCTION("""COMPUTED_VALUE"""),99040.0)</f>
        <v>99040</v>
      </c>
      <c r="D4953" s="11">
        <f>IFERROR(__xludf.DUMMYFUNCTION("""COMPUTED_VALUE"""),1955.0)</f>
        <v>1955</v>
      </c>
      <c r="E4953" s="9"/>
    </row>
    <row r="4954">
      <c r="A4954" s="11">
        <f>IFERROR(__xludf.DUMMYFUNCTION("""COMPUTED_VALUE"""),2021.0)</f>
        <v>2021</v>
      </c>
      <c r="B4954" s="11">
        <f>IFERROR(__xludf.DUMMYFUNCTION("""COMPUTED_VALUE"""),9.0)</f>
        <v>9</v>
      </c>
      <c r="C4954" s="11">
        <f>IFERROR(__xludf.DUMMYFUNCTION("""COMPUTED_VALUE"""),112321.0)</f>
        <v>112321</v>
      </c>
      <c r="D4954" s="11">
        <f>IFERROR(__xludf.DUMMYFUNCTION("""COMPUTED_VALUE"""),1450.0)</f>
        <v>1450</v>
      </c>
      <c r="E4954" s="9"/>
    </row>
    <row r="4955">
      <c r="A4955" s="11">
        <f>IFERROR(__xludf.DUMMYFUNCTION("""COMPUTED_VALUE"""),2021.0)</f>
        <v>2021</v>
      </c>
      <c r="B4955" s="11">
        <f>IFERROR(__xludf.DUMMYFUNCTION("""COMPUTED_VALUE"""),11.0)</f>
        <v>11</v>
      </c>
      <c r="C4955" s="11">
        <f>IFERROR(__xludf.DUMMYFUNCTION("""COMPUTED_VALUE"""),139296.0)</f>
        <v>139296</v>
      </c>
      <c r="D4955" s="11">
        <f>IFERROR(__xludf.DUMMYFUNCTION("""COMPUTED_VALUE"""),234.0)</f>
        <v>234</v>
      </c>
      <c r="E4955" s="9"/>
    </row>
    <row r="4956">
      <c r="A4956" s="11">
        <f>IFERROR(__xludf.DUMMYFUNCTION("""COMPUTED_VALUE"""),2021.0)</f>
        <v>2021</v>
      </c>
      <c r="B4956" s="11">
        <f>IFERROR(__xludf.DUMMYFUNCTION("""COMPUTED_VALUE"""),11.0)</f>
        <v>11</v>
      </c>
      <c r="C4956" s="11">
        <f>IFERROR(__xludf.DUMMYFUNCTION("""COMPUTED_VALUE"""),112318.0)</f>
        <v>112318</v>
      </c>
      <c r="D4956" s="11">
        <f>IFERROR(__xludf.DUMMYFUNCTION("""COMPUTED_VALUE"""),350.0)</f>
        <v>350</v>
      </c>
      <c r="E4956" s="9"/>
    </row>
    <row r="4957">
      <c r="A4957" s="11">
        <f>IFERROR(__xludf.DUMMYFUNCTION("""COMPUTED_VALUE"""),2021.0)</f>
        <v>2021</v>
      </c>
      <c r="B4957" s="11">
        <f>IFERROR(__xludf.DUMMYFUNCTION("""COMPUTED_VALUE"""),9.0)</f>
        <v>9</v>
      </c>
      <c r="C4957" s="11">
        <f>IFERROR(__xludf.DUMMYFUNCTION("""COMPUTED_VALUE"""),86119.0)</f>
        <v>86119</v>
      </c>
      <c r="D4957" s="11">
        <f>IFERROR(__xludf.DUMMYFUNCTION("""COMPUTED_VALUE"""),644.0)</f>
        <v>644</v>
      </c>
      <c r="E4957" s="9"/>
    </row>
    <row r="4958">
      <c r="A4958" s="11">
        <f>IFERROR(__xludf.DUMMYFUNCTION("""COMPUTED_VALUE"""),2021.0)</f>
        <v>2021</v>
      </c>
      <c r="B4958" s="11">
        <f>IFERROR(__xludf.DUMMYFUNCTION("""COMPUTED_VALUE"""),9.0)</f>
        <v>9</v>
      </c>
      <c r="C4958" s="11">
        <f>IFERROR(__xludf.DUMMYFUNCTION("""COMPUTED_VALUE"""),79895.0)</f>
        <v>79895</v>
      </c>
      <c r="D4958" s="11">
        <f>IFERROR(__xludf.DUMMYFUNCTION("""COMPUTED_VALUE"""),115.0)</f>
        <v>115</v>
      </c>
      <c r="E4958" s="9"/>
    </row>
    <row r="4959">
      <c r="A4959" s="11">
        <f>IFERROR(__xludf.DUMMYFUNCTION("""COMPUTED_VALUE"""),2021.0)</f>
        <v>2021</v>
      </c>
      <c r="B4959" s="11">
        <f>IFERROR(__xludf.DUMMYFUNCTION("""COMPUTED_VALUE"""),8.0)</f>
        <v>8</v>
      </c>
      <c r="C4959" s="11">
        <f>IFERROR(__xludf.DUMMYFUNCTION("""COMPUTED_VALUE"""),133909.0)</f>
        <v>133909</v>
      </c>
      <c r="D4959" s="11">
        <f>IFERROR(__xludf.DUMMYFUNCTION("""COMPUTED_VALUE"""),1449.0)</f>
        <v>1449</v>
      </c>
      <c r="E4959" s="9"/>
    </row>
    <row r="4960">
      <c r="A4960" s="11">
        <f>IFERROR(__xludf.DUMMYFUNCTION("""COMPUTED_VALUE"""),2021.0)</f>
        <v>2021</v>
      </c>
      <c r="B4960" s="11">
        <f>IFERROR(__xludf.DUMMYFUNCTION("""COMPUTED_VALUE"""),8.0)</f>
        <v>8</v>
      </c>
      <c r="C4960" s="11">
        <f>IFERROR(__xludf.DUMMYFUNCTION("""COMPUTED_VALUE"""),128338.0)</f>
        <v>128338</v>
      </c>
      <c r="D4960" s="11">
        <f>IFERROR(__xludf.DUMMYFUNCTION("""COMPUTED_VALUE"""),1475.0)</f>
        <v>1475</v>
      </c>
      <c r="E4960" s="9"/>
    </row>
    <row r="4961">
      <c r="A4961" s="11">
        <f>IFERROR(__xludf.DUMMYFUNCTION("""COMPUTED_VALUE"""),2021.0)</f>
        <v>2021</v>
      </c>
      <c r="B4961" s="11">
        <f>IFERROR(__xludf.DUMMYFUNCTION("""COMPUTED_VALUE"""),10.0)</f>
        <v>10</v>
      </c>
      <c r="C4961" s="11">
        <f>IFERROR(__xludf.DUMMYFUNCTION("""COMPUTED_VALUE"""),42990.0)</f>
        <v>42990</v>
      </c>
      <c r="D4961" s="11">
        <f>IFERROR(__xludf.DUMMYFUNCTION("""COMPUTED_VALUE"""),1527.0)</f>
        <v>1527</v>
      </c>
      <c r="E4961" s="9"/>
    </row>
    <row r="4962">
      <c r="A4962" s="11">
        <f>IFERROR(__xludf.DUMMYFUNCTION("""COMPUTED_VALUE"""),2021.0)</f>
        <v>2021</v>
      </c>
      <c r="B4962" s="11">
        <f>IFERROR(__xludf.DUMMYFUNCTION("""COMPUTED_VALUE"""),11.0)</f>
        <v>11</v>
      </c>
      <c r="C4962" s="11">
        <f>IFERROR(__xludf.DUMMYFUNCTION("""COMPUTED_VALUE"""),128339.0)</f>
        <v>128339</v>
      </c>
      <c r="D4962" s="11">
        <f>IFERROR(__xludf.DUMMYFUNCTION("""COMPUTED_VALUE"""),272.0)</f>
        <v>272</v>
      </c>
      <c r="E4962" s="9"/>
    </row>
    <row r="4963">
      <c r="A4963" s="11">
        <f>IFERROR(__xludf.DUMMYFUNCTION("""COMPUTED_VALUE"""),2021.0)</f>
        <v>2021</v>
      </c>
      <c r="B4963" s="11">
        <f>IFERROR(__xludf.DUMMYFUNCTION("""COMPUTED_VALUE"""),8.0)</f>
        <v>8</v>
      </c>
      <c r="C4963" s="11">
        <f>IFERROR(__xludf.DUMMYFUNCTION("""COMPUTED_VALUE"""),42008.0)</f>
        <v>42008</v>
      </c>
      <c r="D4963" s="11">
        <f>IFERROR(__xludf.DUMMYFUNCTION("""COMPUTED_VALUE"""),1283.0)</f>
        <v>1283</v>
      </c>
      <c r="E4963" s="9"/>
    </row>
    <row r="4964">
      <c r="A4964" s="11">
        <f>IFERROR(__xludf.DUMMYFUNCTION("""COMPUTED_VALUE"""),2021.0)</f>
        <v>2021</v>
      </c>
      <c r="B4964" s="11">
        <f>IFERROR(__xludf.DUMMYFUNCTION("""COMPUTED_VALUE"""),9.0)</f>
        <v>9</v>
      </c>
      <c r="C4964" s="11">
        <f>IFERROR(__xludf.DUMMYFUNCTION("""COMPUTED_VALUE"""),112320.0)</f>
        <v>112320</v>
      </c>
      <c r="D4964" s="11">
        <f>IFERROR(__xludf.DUMMYFUNCTION("""COMPUTED_VALUE"""),1192.0)</f>
        <v>1192</v>
      </c>
      <c r="E4964" s="9"/>
    </row>
    <row r="4965">
      <c r="A4965" s="11">
        <f>IFERROR(__xludf.DUMMYFUNCTION("""COMPUTED_VALUE"""),2021.0)</f>
        <v>2021</v>
      </c>
      <c r="B4965" s="11">
        <f>IFERROR(__xludf.DUMMYFUNCTION("""COMPUTED_VALUE"""),8.0)</f>
        <v>8</v>
      </c>
      <c r="C4965" s="11">
        <f>IFERROR(__xludf.DUMMYFUNCTION("""COMPUTED_VALUE"""),111150.0)</f>
        <v>111150</v>
      </c>
      <c r="D4965" s="11">
        <f>IFERROR(__xludf.DUMMYFUNCTION("""COMPUTED_VALUE"""),1151.0)</f>
        <v>1151</v>
      </c>
      <c r="E4965" s="9"/>
    </row>
    <row r="4966">
      <c r="A4966" s="11">
        <f>IFERROR(__xludf.DUMMYFUNCTION("""COMPUTED_VALUE"""),2021.0)</f>
        <v>2021</v>
      </c>
      <c r="B4966" s="11">
        <f>IFERROR(__xludf.DUMMYFUNCTION("""COMPUTED_VALUE"""),8.0)</f>
        <v>8</v>
      </c>
      <c r="C4966" s="11">
        <f>IFERROR(__xludf.DUMMYFUNCTION("""COMPUTED_VALUE"""),101782.0)</f>
        <v>101782</v>
      </c>
      <c r="D4966" s="11">
        <f>IFERROR(__xludf.DUMMYFUNCTION("""COMPUTED_VALUE"""),1347.0)</f>
        <v>1347</v>
      </c>
      <c r="E4966" s="9"/>
    </row>
    <row r="4967">
      <c r="A4967" s="11">
        <f>IFERROR(__xludf.DUMMYFUNCTION("""COMPUTED_VALUE"""),2021.0)</f>
        <v>2021</v>
      </c>
      <c r="B4967" s="11">
        <f>IFERROR(__xludf.DUMMYFUNCTION("""COMPUTED_VALUE"""),10.0)</f>
        <v>10</v>
      </c>
      <c r="C4967" s="11">
        <f>IFERROR(__xludf.DUMMYFUNCTION("""COMPUTED_VALUE"""),128402.0)</f>
        <v>128402</v>
      </c>
      <c r="D4967" s="11">
        <f>IFERROR(__xludf.DUMMYFUNCTION("""COMPUTED_VALUE"""),1816.0)</f>
        <v>1816</v>
      </c>
      <c r="E4967" s="9"/>
    </row>
    <row r="4968">
      <c r="A4968" s="11">
        <f>IFERROR(__xludf.DUMMYFUNCTION("""COMPUTED_VALUE"""),2021.0)</f>
        <v>2021</v>
      </c>
      <c r="B4968" s="11">
        <f>IFERROR(__xludf.DUMMYFUNCTION("""COMPUTED_VALUE"""),9.0)</f>
        <v>9</v>
      </c>
      <c r="C4968" s="11">
        <f>IFERROR(__xludf.DUMMYFUNCTION("""COMPUTED_VALUE"""),112322.0)</f>
        <v>112322</v>
      </c>
      <c r="D4968" s="11">
        <f>IFERROR(__xludf.DUMMYFUNCTION("""COMPUTED_VALUE"""),1286.0)</f>
        <v>1286</v>
      </c>
      <c r="E4968" s="9"/>
    </row>
    <row r="4969">
      <c r="A4969" s="11">
        <f>IFERROR(__xludf.DUMMYFUNCTION("""COMPUTED_VALUE"""),2021.0)</f>
        <v>2021</v>
      </c>
      <c r="B4969" s="11">
        <f>IFERROR(__xludf.DUMMYFUNCTION("""COMPUTED_VALUE"""),10.0)</f>
        <v>10</v>
      </c>
      <c r="C4969" s="11">
        <f>IFERROR(__xludf.DUMMYFUNCTION("""COMPUTED_VALUE"""),41994.0)</f>
        <v>41994</v>
      </c>
      <c r="D4969" s="11">
        <f>IFERROR(__xludf.DUMMYFUNCTION("""COMPUTED_VALUE"""),1136.0)</f>
        <v>1136</v>
      </c>
      <c r="E4969" s="9"/>
    </row>
    <row r="4970">
      <c r="A4970" s="11">
        <f>IFERROR(__xludf.DUMMYFUNCTION("""COMPUTED_VALUE"""),2021.0)</f>
        <v>2021</v>
      </c>
      <c r="B4970" s="11">
        <f>IFERROR(__xludf.DUMMYFUNCTION("""COMPUTED_VALUE"""),8.0)</f>
        <v>8</v>
      </c>
      <c r="C4970" s="11">
        <f>IFERROR(__xludf.DUMMYFUNCTION("""COMPUTED_VALUE"""),112319.0)</f>
        <v>112319</v>
      </c>
      <c r="D4970" s="11">
        <f>IFERROR(__xludf.DUMMYFUNCTION("""COMPUTED_VALUE"""),324.0)</f>
        <v>324</v>
      </c>
      <c r="E4970" s="9"/>
    </row>
    <row r="4971">
      <c r="A4971" s="11">
        <f>IFERROR(__xludf.DUMMYFUNCTION("""COMPUTED_VALUE"""),2021.0)</f>
        <v>2021</v>
      </c>
      <c r="B4971" s="11">
        <f>IFERROR(__xludf.DUMMYFUNCTION("""COMPUTED_VALUE"""),9.0)</f>
        <v>9</v>
      </c>
      <c r="C4971" s="11">
        <f>IFERROR(__xludf.DUMMYFUNCTION("""COMPUTED_VALUE"""),42002.0)</f>
        <v>42002</v>
      </c>
      <c r="D4971" s="11">
        <f>IFERROR(__xludf.DUMMYFUNCTION("""COMPUTED_VALUE"""),1503.0)</f>
        <v>1503</v>
      </c>
      <c r="E4971" s="9"/>
    </row>
    <row r="4972">
      <c r="A4972" s="11">
        <f>IFERROR(__xludf.DUMMYFUNCTION("""COMPUTED_VALUE"""),2021.0)</f>
        <v>2021</v>
      </c>
      <c r="B4972" s="11">
        <f>IFERROR(__xludf.DUMMYFUNCTION("""COMPUTED_VALUE"""),9.0)</f>
        <v>9</v>
      </c>
      <c r="C4972" s="11">
        <f>IFERROR(__xludf.DUMMYFUNCTION("""COMPUTED_VALUE"""),120263.0)</f>
        <v>120263</v>
      </c>
      <c r="D4972" s="11">
        <f>IFERROR(__xludf.DUMMYFUNCTION("""COMPUTED_VALUE"""),315.0)</f>
        <v>315</v>
      </c>
      <c r="E4972" s="9"/>
    </row>
    <row r="4973">
      <c r="A4973" s="11">
        <f>IFERROR(__xludf.DUMMYFUNCTION("""COMPUTED_VALUE"""),2021.0)</f>
        <v>2021</v>
      </c>
      <c r="B4973" s="11">
        <f>IFERROR(__xludf.DUMMYFUNCTION("""COMPUTED_VALUE"""),8.0)</f>
        <v>8</v>
      </c>
      <c r="C4973" s="11">
        <f>IFERROR(__xludf.DUMMYFUNCTION("""COMPUTED_VALUE"""),112855.0)</f>
        <v>112855</v>
      </c>
      <c r="D4973" s="11">
        <f>IFERROR(__xludf.DUMMYFUNCTION("""COMPUTED_VALUE"""),871.0)</f>
        <v>871</v>
      </c>
      <c r="E4973" s="9"/>
    </row>
    <row r="4974">
      <c r="A4974" s="11">
        <f>IFERROR(__xludf.DUMMYFUNCTION("""COMPUTED_VALUE"""),2021.0)</f>
        <v>2021</v>
      </c>
      <c r="B4974" s="11">
        <f>IFERROR(__xludf.DUMMYFUNCTION("""COMPUTED_VALUE"""),9.0)</f>
        <v>9</v>
      </c>
      <c r="C4974" s="11">
        <f>IFERROR(__xludf.DUMMYFUNCTION("""COMPUTED_VALUE"""),111151.0)</f>
        <v>111151</v>
      </c>
      <c r="D4974" s="11">
        <f>IFERROR(__xludf.DUMMYFUNCTION("""COMPUTED_VALUE"""),271.0)</f>
        <v>271</v>
      </c>
      <c r="E4974" s="9"/>
    </row>
    <row r="4975">
      <c r="A4975" s="11">
        <f>IFERROR(__xludf.DUMMYFUNCTION("""COMPUTED_VALUE"""),2021.0)</f>
        <v>2021</v>
      </c>
      <c r="B4975" s="11">
        <f>IFERROR(__xludf.DUMMYFUNCTION("""COMPUTED_VALUE"""),11.0)</f>
        <v>11</v>
      </c>
      <c r="C4975" s="11">
        <f>IFERROR(__xludf.DUMMYFUNCTION("""COMPUTED_VALUE"""),111152.0)</f>
        <v>111152</v>
      </c>
      <c r="D4975" s="11">
        <f>IFERROR(__xludf.DUMMYFUNCTION("""COMPUTED_VALUE"""),1445.0)</f>
        <v>1445</v>
      </c>
      <c r="E4975" s="9"/>
    </row>
    <row r="4976">
      <c r="A4976" s="11">
        <f>IFERROR(__xludf.DUMMYFUNCTION("""COMPUTED_VALUE"""),2021.0)</f>
        <v>2021</v>
      </c>
      <c r="B4976" s="11">
        <f>IFERROR(__xludf.DUMMYFUNCTION("""COMPUTED_VALUE"""),10.0)</f>
        <v>10</v>
      </c>
      <c r="C4976" s="11">
        <f>IFERROR(__xludf.DUMMYFUNCTION("""COMPUTED_VALUE"""),122224.0)</f>
        <v>122224</v>
      </c>
      <c r="D4976" s="11">
        <f>IFERROR(__xludf.DUMMYFUNCTION("""COMPUTED_VALUE"""),314.0)</f>
        <v>314</v>
      </c>
      <c r="E4976" s="9"/>
    </row>
    <row r="4977">
      <c r="A4977" s="11">
        <f>IFERROR(__xludf.DUMMYFUNCTION("""COMPUTED_VALUE"""),2021.0)</f>
        <v>2021</v>
      </c>
      <c r="B4977" s="11">
        <f>IFERROR(__xludf.DUMMYFUNCTION("""COMPUTED_VALUE"""),10.0)</f>
        <v>10</v>
      </c>
      <c r="C4977" s="11">
        <f>IFERROR(__xludf.DUMMYFUNCTION("""COMPUTED_VALUE"""),124709.0)</f>
        <v>124709</v>
      </c>
      <c r="D4977" s="11">
        <f>IFERROR(__xludf.DUMMYFUNCTION("""COMPUTED_VALUE"""),1545.0)</f>
        <v>1545</v>
      </c>
      <c r="E4977" s="9"/>
    </row>
    <row r="4978">
      <c r="A4978" s="11">
        <f>IFERROR(__xludf.DUMMYFUNCTION("""COMPUTED_VALUE"""),2021.0)</f>
        <v>2021</v>
      </c>
      <c r="B4978" s="11">
        <f>IFERROR(__xludf.DUMMYFUNCTION("""COMPUTED_VALUE"""),10.0)</f>
        <v>10</v>
      </c>
      <c r="C4978" s="11">
        <f>IFERROR(__xludf.DUMMYFUNCTION("""COMPUTED_VALUE"""),99039.0)</f>
        <v>99039</v>
      </c>
      <c r="D4978" s="11">
        <f>IFERROR(__xludf.DUMMYFUNCTION("""COMPUTED_VALUE"""),190.0)</f>
        <v>190</v>
      </c>
      <c r="E4978" s="9"/>
    </row>
    <row r="4979">
      <c r="A4979" s="11">
        <f>IFERROR(__xludf.DUMMYFUNCTION("""COMPUTED_VALUE"""),2021.0)</f>
        <v>2021</v>
      </c>
      <c r="B4979" s="11">
        <f>IFERROR(__xludf.DUMMYFUNCTION("""COMPUTED_VALUE"""),11.0)</f>
        <v>11</v>
      </c>
      <c r="C4979" s="11">
        <f>IFERROR(__xludf.DUMMYFUNCTION("""COMPUTED_VALUE"""),82928.0)</f>
        <v>82928</v>
      </c>
      <c r="D4979" s="11">
        <f>IFERROR(__xludf.DUMMYFUNCTION("""COMPUTED_VALUE"""),1686.0)</f>
        <v>1686</v>
      </c>
      <c r="E4979" s="9"/>
    </row>
    <row r="4980">
      <c r="A4980" s="11">
        <f>IFERROR(__xludf.DUMMYFUNCTION("""COMPUTED_VALUE"""),2021.0)</f>
        <v>2021</v>
      </c>
      <c r="B4980" s="11">
        <f>IFERROR(__xludf.DUMMYFUNCTION("""COMPUTED_VALUE"""),10.0)</f>
        <v>10</v>
      </c>
      <c r="C4980" s="11">
        <f>IFERROR(__xludf.DUMMYFUNCTION("""COMPUTED_VALUE"""),111149.0)</f>
        <v>111149</v>
      </c>
      <c r="D4980" s="11">
        <f>IFERROR(__xludf.DUMMYFUNCTION("""COMPUTED_VALUE"""),266.0)</f>
        <v>266</v>
      </c>
      <c r="E4980" s="9"/>
    </row>
    <row r="4981">
      <c r="A4981" s="11">
        <f>IFERROR(__xludf.DUMMYFUNCTION("""COMPUTED_VALUE"""),2021.0)</f>
        <v>2021</v>
      </c>
      <c r="B4981" s="11">
        <f>IFERROR(__xludf.DUMMYFUNCTION("""COMPUTED_VALUE"""),9.0)</f>
        <v>9</v>
      </c>
      <c r="C4981" s="11">
        <f>IFERROR(__xludf.DUMMYFUNCTION("""COMPUTED_VALUE"""),82927.0)</f>
        <v>82927</v>
      </c>
      <c r="D4981" s="11">
        <f>IFERROR(__xludf.DUMMYFUNCTION("""COMPUTED_VALUE"""),1276.0)</f>
        <v>1276</v>
      </c>
      <c r="E4981" s="9"/>
    </row>
    <row r="4982">
      <c r="A4982" s="11">
        <f>IFERROR(__xludf.DUMMYFUNCTION("""COMPUTED_VALUE"""),2021.0)</f>
        <v>2021</v>
      </c>
      <c r="B4982" s="11">
        <f>IFERROR(__xludf.DUMMYFUNCTION("""COMPUTED_VALUE"""),9.0)</f>
        <v>9</v>
      </c>
      <c r="C4982" s="11">
        <f>IFERROR(__xludf.DUMMYFUNCTION("""COMPUTED_VALUE"""),112317.0)</f>
        <v>112317</v>
      </c>
      <c r="D4982" s="11">
        <f>IFERROR(__xludf.DUMMYFUNCTION("""COMPUTED_VALUE"""),1569.0)</f>
        <v>1569</v>
      </c>
      <c r="E4982" s="9"/>
    </row>
    <row r="4983">
      <c r="A4983" s="11">
        <f>IFERROR(__xludf.DUMMYFUNCTION("""COMPUTED_VALUE"""),2021.0)</f>
        <v>2021</v>
      </c>
      <c r="B4983" s="11">
        <f>IFERROR(__xludf.DUMMYFUNCTION("""COMPUTED_VALUE"""),11.0)</f>
        <v>11</v>
      </c>
      <c r="C4983" s="11">
        <f>IFERROR(__xludf.DUMMYFUNCTION("""COMPUTED_VALUE"""),140597.0)</f>
        <v>140597</v>
      </c>
      <c r="D4983" s="11">
        <f>IFERROR(__xludf.DUMMYFUNCTION("""COMPUTED_VALUE"""),585.0)</f>
        <v>585</v>
      </c>
      <c r="E4983" s="9"/>
    </row>
    <row r="4984">
      <c r="A4984" s="11">
        <f>IFERROR(__xludf.DUMMYFUNCTION("""COMPUTED_VALUE"""),2021.0)</f>
        <v>2021</v>
      </c>
      <c r="B4984" s="11">
        <f>IFERROR(__xludf.DUMMYFUNCTION("""COMPUTED_VALUE"""),11.0)</f>
        <v>11</v>
      </c>
      <c r="C4984" s="11">
        <f>IFERROR(__xludf.DUMMYFUNCTION("""COMPUTED_VALUE"""),122229.0)</f>
        <v>122229</v>
      </c>
      <c r="D4984" s="11">
        <f>IFERROR(__xludf.DUMMYFUNCTION("""COMPUTED_VALUE"""),297.0)</f>
        <v>297</v>
      </c>
      <c r="E4984" s="9"/>
    </row>
    <row r="4985">
      <c r="A4985" s="11">
        <f>IFERROR(__xludf.DUMMYFUNCTION("""COMPUTED_VALUE"""),2021.0)</f>
        <v>2021</v>
      </c>
      <c r="B4985" s="11">
        <f>IFERROR(__xludf.DUMMYFUNCTION("""COMPUTED_VALUE"""),11.0)</f>
        <v>11</v>
      </c>
      <c r="C4985" s="11">
        <f>IFERROR(__xludf.DUMMYFUNCTION("""COMPUTED_VALUE"""),112473.0)</f>
        <v>112473</v>
      </c>
      <c r="D4985" s="11">
        <f>IFERROR(__xludf.DUMMYFUNCTION("""COMPUTED_VALUE"""),1355.0)</f>
        <v>1355</v>
      </c>
      <c r="E4985" s="9"/>
    </row>
    <row r="4986">
      <c r="A4986" s="11">
        <f>IFERROR(__xludf.DUMMYFUNCTION("""COMPUTED_VALUE"""),2021.0)</f>
        <v>2021</v>
      </c>
      <c r="B4986" s="11">
        <f>IFERROR(__xludf.DUMMYFUNCTION("""COMPUTED_VALUE"""),9.0)</f>
        <v>9</v>
      </c>
      <c r="C4986" s="11">
        <f>IFERROR(__xludf.DUMMYFUNCTION("""COMPUTED_VALUE"""),122226.0)</f>
        <v>122226</v>
      </c>
      <c r="D4986" s="11">
        <f>IFERROR(__xludf.DUMMYFUNCTION("""COMPUTED_VALUE"""),1380.0)</f>
        <v>1380</v>
      </c>
      <c r="E4986" s="9"/>
    </row>
    <row r="4987">
      <c r="A4987" s="11">
        <f>IFERROR(__xludf.DUMMYFUNCTION("""COMPUTED_VALUE"""),2021.0)</f>
        <v>2021</v>
      </c>
      <c r="B4987" s="11">
        <f>IFERROR(__xludf.DUMMYFUNCTION("""COMPUTED_VALUE"""),8.0)</f>
        <v>8</v>
      </c>
      <c r="C4987" s="11">
        <f>IFERROR(__xludf.DUMMYFUNCTION("""COMPUTED_VALUE"""),4385.0)</f>
        <v>4385</v>
      </c>
      <c r="D4987" s="11">
        <f>IFERROR(__xludf.DUMMYFUNCTION("""COMPUTED_VALUE"""),1116.0)</f>
        <v>1116</v>
      </c>
      <c r="E4987" s="9"/>
    </row>
    <row r="4988">
      <c r="A4988" s="11">
        <f>IFERROR(__xludf.DUMMYFUNCTION("""COMPUTED_VALUE"""),2021.0)</f>
        <v>2021</v>
      </c>
      <c r="B4988" s="11">
        <f>IFERROR(__xludf.DUMMYFUNCTION("""COMPUTED_VALUE"""),11.0)</f>
        <v>11</v>
      </c>
      <c r="C4988" s="11">
        <f>IFERROR(__xludf.DUMMYFUNCTION("""COMPUTED_VALUE"""),41029.0)</f>
        <v>41029</v>
      </c>
      <c r="D4988" s="11">
        <f>IFERROR(__xludf.DUMMYFUNCTION("""COMPUTED_VALUE"""),313.0)</f>
        <v>313</v>
      </c>
      <c r="E4988" s="9"/>
    </row>
    <row r="4989">
      <c r="A4989" s="11">
        <f>IFERROR(__xludf.DUMMYFUNCTION("""COMPUTED_VALUE"""),2021.0)</f>
        <v>2021</v>
      </c>
      <c r="B4989" s="11">
        <f>IFERROR(__xludf.DUMMYFUNCTION("""COMPUTED_VALUE"""),8.0)</f>
        <v>8</v>
      </c>
      <c r="C4989" s="11">
        <f>IFERROR(__xludf.DUMMYFUNCTION("""COMPUTED_VALUE"""),4386.0)</f>
        <v>4386</v>
      </c>
      <c r="D4989" s="11">
        <f>IFERROR(__xludf.DUMMYFUNCTION("""COMPUTED_VALUE"""),1244.0)</f>
        <v>1244</v>
      </c>
      <c r="E4989" s="9"/>
    </row>
    <row r="4990">
      <c r="A4990" s="11">
        <f>IFERROR(__xludf.DUMMYFUNCTION("""COMPUTED_VALUE"""),2021.0)</f>
        <v>2021</v>
      </c>
      <c r="B4990" s="11">
        <f>IFERROR(__xludf.DUMMYFUNCTION("""COMPUTED_VALUE"""),8.0)</f>
        <v>8</v>
      </c>
      <c r="C4990" s="11">
        <f>IFERROR(__xludf.DUMMYFUNCTION("""COMPUTED_VALUE"""),41030.0)</f>
        <v>41030</v>
      </c>
      <c r="D4990" s="11">
        <f>IFERROR(__xludf.DUMMYFUNCTION("""COMPUTED_VALUE"""),1393.0)</f>
        <v>1393</v>
      </c>
      <c r="E4990" s="9"/>
    </row>
    <row r="4991">
      <c r="A4991" s="11">
        <f>IFERROR(__xludf.DUMMYFUNCTION("""COMPUTED_VALUE"""),2021.0)</f>
        <v>2021</v>
      </c>
      <c r="B4991" s="11">
        <f>IFERROR(__xludf.DUMMYFUNCTION("""COMPUTED_VALUE"""),9.0)</f>
        <v>9</v>
      </c>
      <c r="C4991" s="11">
        <f>IFERROR(__xludf.DUMMYFUNCTION("""COMPUTED_VALUE"""),84950.0)</f>
        <v>84950</v>
      </c>
      <c r="D4991" s="11">
        <f>IFERROR(__xludf.DUMMYFUNCTION("""COMPUTED_VALUE"""),16.0)</f>
        <v>16</v>
      </c>
      <c r="E4991" s="9"/>
    </row>
    <row r="4992">
      <c r="A4992" s="11">
        <f>IFERROR(__xludf.DUMMYFUNCTION("""COMPUTED_VALUE"""),2021.0)</f>
        <v>2021</v>
      </c>
      <c r="B4992" s="11">
        <f>IFERROR(__xludf.DUMMYFUNCTION("""COMPUTED_VALUE"""),11.0)</f>
        <v>11</v>
      </c>
      <c r="C4992" s="11">
        <f>IFERROR(__xludf.DUMMYFUNCTION("""COMPUTED_VALUE"""),45255.0)</f>
        <v>45255</v>
      </c>
      <c r="D4992" s="11">
        <f>IFERROR(__xludf.DUMMYFUNCTION("""COMPUTED_VALUE"""),561.0)</f>
        <v>561</v>
      </c>
      <c r="E4992" s="9"/>
    </row>
    <row r="4993">
      <c r="A4993" s="11">
        <f>IFERROR(__xludf.DUMMYFUNCTION("""COMPUTED_VALUE"""),2021.0)</f>
        <v>2021</v>
      </c>
      <c r="B4993" s="11">
        <f>IFERROR(__xludf.DUMMYFUNCTION("""COMPUTED_VALUE"""),8.0)</f>
        <v>8</v>
      </c>
      <c r="C4993" s="11">
        <f>IFERROR(__xludf.DUMMYFUNCTION("""COMPUTED_VALUE"""),108070.0)</f>
        <v>108070</v>
      </c>
      <c r="D4993" s="11">
        <f>IFERROR(__xludf.DUMMYFUNCTION("""COMPUTED_VALUE"""),1794.0)</f>
        <v>1794</v>
      </c>
      <c r="E4993" s="9"/>
    </row>
    <row r="4994">
      <c r="A4994" s="11">
        <f>IFERROR(__xludf.DUMMYFUNCTION("""COMPUTED_VALUE"""),2021.0)</f>
        <v>2021</v>
      </c>
      <c r="B4994" s="11">
        <f>IFERROR(__xludf.DUMMYFUNCTION("""COMPUTED_VALUE"""),11.0)</f>
        <v>11</v>
      </c>
      <c r="C4994" s="11">
        <f>IFERROR(__xludf.DUMMYFUNCTION("""COMPUTED_VALUE"""),108069.0)</f>
        <v>108069</v>
      </c>
      <c r="D4994" s="11">
        <f>IFERROR(__xludf.DUMMYFUNCTION("""COMPUTED_VALUE"""),590.0)</f>
        <v>590</v>
      </c>
      <c r="E4994" s="9"/>
    </row>
    <row r="4995">
      <c r="A4995" s="11">
        <f>IFERROR(__xludf.DUMMYFUNCTION("""COMPUTED_VALUE"""),2021.0)</f>
        <v>2021</v>
      </c>
      <c r="B4995" s="11">
        <f>IFERROR(__xludf.DUMMYFUNCTION("""COMPUTED_VALUE"""),9.0)</f>
        <v>9</v>
      </c>
      <c r="C4995" s="11">
        <f>IFERROR(__xludf.DUMMYFUNCTION("""COMPUTED_VALUE"""),9668.0)</f>
        <v>9668</v>
      </c>
      <c r="D4995" s="11">
        <f>IFERROR(__xludf.DUMMYFUNCTION("""COMPUTED_VALUE"""),682.0)</f>
        <v>682</v>
      </c>
      <c r="E4995" s="9"/>
    </row>
    <row r="4996">
      <c r="A4996" s="11">
        <f>IFERROR(__xludf.DUMMYFUNCTION("""COMPUTED_VALUE"""),2021.0)</f>
        <v>2021</v>
      </c>
      <c r="B4996" s="11">
        <f>IFERROR(__xludf.DUMMYFUNCTION("""COMPUTED_VALUE"""),8.0)</f>
        <v>8</v>
      </c>
      <c r="C4996" s="11">
        <f>IFERROR(__xludf.DUMMYFUNCTION("""COMPUTED_VALUE"""),26322.0)</f>
        <v>26322</v>
      </c>
      <c r="D4996" s="11">
        <f>IFERROR(__xludf.DUMMYFUNCTION("""COMPUTED_VALUE"""),1352.0)</f>
        <v>1352</v>
      </c>
      <c r="E4996" s="9"/>
    </row>
    <row r="4997">
      <c r="A4997" s="11">
        <f>IFERROR(__xludf.DUMMYFUNCTION("""COMPUTED_VALUE"""),2021.0)</f>
        <v>2021</v>
      </c>
      <c r="B4997" s="11">
        <f>IFERROR(__xludf.DUMMYFUNCTION("""COMPUTED_VALUE"""),9.0)</f>
        <v>9</v>
      </c>
      <c r="C4997" s="11">
        <f>IFERROR(__xludf.DUMMYFUNCTION("""COMPUTED_VALUE"""),70413.0)</f>
        <v>70413</v>
      </c>
      <c r="D4997" s="11">
        <f>IFERROR(__xludf.DUMMYFUNCTION("""COMPUTED_VALUE"""),1299.0)</f>
        <v>1299</v>
      </c>
      <c r="E4997" s="9"/>
    </row>
    <row r="4998">
      <c r="A4998" s="11">
        <f>IFERROR(__xludf.DUMMYFUNCTION("""COMPUTED_VALUE"""),2021.0)</f>
        <v>2021</v>
      </c>
      <c r="B4998" s="11">
        <f>IFERROR(__xludf.DUMMYFUNCTION("""COMPUTED_VALUE"""),11.0)</f>
        <v>11</v>
      </c>
      <c r="C4998" s="11">
        <f>IFERROR(__xludf.DUMMYFUNCTION("""COMPUTED_VALUE"""),4389.0)</f>
        <v>4389</v>
      </c>
      <c r="D4998" s="11">
        <f>IFERROR(__xludf.DUMMYFUNCTION("""COMPUTED_VALUE"""),167.0)</f>
        <v>167</v>
      </c>
      <c r="E4998" s="9"/>
    </row>
    <row r="4999">
      <c r="A4999" s="11">
        <f>IFERROR(__xludf.DUMMYFUNCTION("""COMPUTED_VALUE"""),2021.0)</f>
        <v>2021</v>
      </c>
      <c r="B4999" s="11">
        <f>IFERROR(__xludf.DUMMYFUNCTION("""COMPUTED_VALUE"""),11.0)</f>
        <v>11</v>
      </c>
      <c r="C4999" s="11">
        <f>IFERROR(__xludf.DUMMYFUNCTION("""COMPUTED_VALUE"""),128340.0)</f>
        <v>128340</v>
      </c>
      <c r="D4999" s="11">
        <f>IFERROR(__xludf.DUMMYFUNCTION("""COMPUTED_VALUE"""),1608.0)</f>
        <v>1608</v>
      </c>
      <c r="E4999" s="9"/>
    </row>
    <row r="5000">
      <c r="A5000" s="11">
        <f>IFERROR(__xludf.DUMMYFUNCTION("""COMPUTED_VALUE"""),2021.0)</f>
        <v>2021</v>
      </c>
      <c r="B5000" s="11">
        <f>IFERROR(__xludf.DUMMYFUNCTION("""COMPUTED_VALUE"""),8.0)</f>
        <v>8</v>
      </c>
      <c r="C5000" s="11">
        <f>IFERROR(__xludf.DUMMYFUNCTION("""COMPUTED_VALUE"""),108071.0)</f>
        <v>108071</v>
      </c>
      <c r="D5000" s="11">
        <f>IFERROR(__xludf.DUMMYFUNCTION("""COMPUTED_VALUE"""),37.0)</f>
        <v>37</v>
      </c>
      <c r="E5000" s="9"/>
    </row>
    <row r="5001">
      <c r="A5001" s="11">
        <f>IFERROR(__xludf.DUMMYFUNCTION("""COMPUTED_VALUE"""),2021.0)</f>
        <v>2021</v>
      </c>
      <c r="B5001" s="11">
        <f>IFERROR(__xludf.DUMMYFUNCTION("""COMPUTED_VALUE"""),8.0)</f>
        <v>8</v>
      </c>
      <c r="C5001" s="11">
        <f>IFERROR(__xludf.DUMMYFUNCTION("""COMPUTED_VALUE"""),108068.0)</f>
        <v>108068</v>
      </c>
      <c r="D5001" s="11">
        <f>IFERROR(__xludf.DUMMYFUNCTION("""COMPUTED_VALUE"""),591.0)</f>
        <v>591</v>
      </c>
      <c r="E5001" s="9"/>
    </row>
    <row r="5002">
      <c r="A5002" s="11">
        <f>IFERROR(__xludf.DUMMYFUNCTION("""COMPUTED_VALUE"""),2021.0)</f>
        <v>2021</v>
      </c>
      <c r="B5002" s="11">
        <f>IFERROR(__xludf.DUMMYFUNCTION("""COMPUTED_VALUE"""),8.0)</f>
        <v>8</v>
      </c>
      <c r="C5002" s="11">
        <f>IFERROR(__xludf.DUMMYFUNCTION("""COMPUTED_VALUE"""),9662.0)</f>
        <v>9662</v>
      </c>
      <c r="D5002" s="11">
        <f>IFERROR(__xludf.DUMMYFUNCTION("""COMPUTED_VALUE"""),1869.0)</f>
        <v>1869</v>
      </c>
      <c r="E5002" s="9"/>
    </row>
    <row r="5003">
      <c r="A5003" s="11">
        <f>IFERROR(__xludf.DUMMYFUNCTION("""COMPUTED_VALUE"""),2021.0)</f>
        <v>2021</v>
      </c>
      <c r="B5003" s="11">
        <f>IFERROR(__xludf.DUMMYFUNCTION("""COMPUTED_VALUE"""),9.0)</f>
        <v>9</v>
      </c>
      <c r="C5003" s="11">
        <f>IFERROR(__xludf.DUMMYFUNCTION("""COMPUTED_VALUE"""),117611.0)</f>
        <v>117611</v>
      </c>
      <c r="D5003" s="11">
        <f>IFERROR(__xludf.DUMMYFUNCTION("""COMPUTED_VALUE"""),295.0)</f>
        <v>295</v>
      </c>
      <c r="E5003" s="9"/>
    </row>
    <row r="5004">
      <c r="A5004" s="11">
        <f>IFERROR(__xludf.DUMMYFUNCTION("""COMPUTED_VALUE"""),2021.0)</f>
        <v>2021</v>
      </c>
      <c r="B5004" s="11">
        <f>IFERROR(__xludf.DUMMYFUNCTION("""COMPUTED_VALUE"""),10.0)</f>
        <v>10</v>
      </c>
      <c r="C5004" s="11">
        <f>IFERROR(__xludf.DUMMYFUNCTION("""COMPUTED_VALUE"""),111148.0)</f>
        <v>111148</v>
      </c>
      <c r="D5004" s="11">
        <f>IFERROR(__xludf.DUMMYFUNCTION("""COMPUTED_VALUE"""),1157.0)</f>
        <v>1157</v>
      </c>
      <c r="E5004" s="9"/>
    </row>
    <row r="5005">
      <c r="A5005" s="11">
        <f>IFERROR(__xludf.DUMMYFUNCTION("""COMPUTED_VALUE"""),2021.0)</f>
        <v>2021</v>
      </c>
      <c r="B5005" s="11">
        <f>IFERROR(__xludf.DUMMYFUNCTION("""COMPUTED_VALUE"""),10.0)</f>
        <v>10</v>
      </c>
      <c r="C5005" s="11">
        <f>IFERROR(__xludf.DUMMYFUNCTION("""COMPUTED_VALUE"""),9680.0)</f>
        <v>9680</v>
      </c>
      <c r="D5005" s="11">
        <f>IFERROR(__xludf.DUMMYFUNCTION("""COMPUTED_VALUE"""),176.0)</f>
        <v>176</v>
      </c>
      <c r="E5005" s="9"/>
    </row>
    <row r="5006">
      <c r="A5006" s="11">
        <f>IFERROR(__xludf.DUMMYFUNCTION("""COMPUTED_VALUE"""),2021.0)</f>
        <v>2021</v>
      </c>
      <c r="B5006" s="11">
        <f>IFERROR(__xludf.DUMMYFUNCTION("""COMPUTED_VALUE"""),9.0)</f>
        <v>9</v>
      </c>
      <c r="C5006" s="11">
        <f>IFERROR(__xludf.DUMMYFUNCTION("""COMPUTED_VALUE"""),117605.0)</f>
        <v>117605</v>
      </c>
      <c r="D5006" s="11">
        <f>IFERROR(__xludf.DUMMYFUNCTION("""COMPUTED_VALUE"""),580.0)</f>
        <v>580</v>
      </c>
      <c r="E5006" s="9"/>
    </row>
    <row r="5007">
      <c r="A5007" s="11">
        <f>IFERROR(__xludf.DUMMYFUNCTION("""COMPUTED_VALUE"""),2021.0)</f>
        <v>2021</v>
      </c>
      <c r="B5007" s="11">
        <f>IFERROR(__xludf.DUMMYFUNCTION("""COMPUTED_VALUE"""),11.0)</f>
        <v>11</v>
      </c>
      <c r="C5007" s="11">
        <f>IFERROR(__xludf.DUMMYFUNCTION("""COMPUTED_VALUE"""),108077.0)</f>
        <v>108077</v>
      </c>
      <c r="D5007" s="11">
        <f>IFERROR(__xludf.DUMMYFUNCTION("""COMPUTED_VALUE"""),358.0)</f>
        <v>358</v>
      </c>
      <c r="E5007" s="9"/>
    </row>
    <row r="5008">
      <c r="A5008" s="11">
        <f>IFERROR(__xludf.DUMMYFUNCTION("""COMPUTED_VALUE"""),2021.0)</f>
        <v>2021</v>
      </c>
      <c r="B5008" s="11">
        <f>IFERROR(__xludf.DUMMYFUNCTION("""COMPUTED_VALUE"""),8.0)</f>
        <v>8</v>
      </c>
      <c r="C5008" s="11">
        <f>IFERROR(__xludf.DUMMYFUNCTION("""COMPUTED_VALUE"""),9681.0)</f>
        <v>9681</v>
      </c>
      <c r="D5008" s="11">
        <f>IFERROR(__xludf.DUMMYFUNCTION("""COMPUTED_VALUE"""),290.0)</f>
        <v>290</v>
      </c>
      <c r="E5008" s="9"/>
    </row>
    <row r="5009">
      <c r="A5009" s="11">
        <f>IFERROR(__xludf.DUMMYFUNCTION("""COMPUTED_VALUE"""),2021.0)</f>
        <v>2021</v>
      </c>
      <c r="B5009" s="11">
        <f>IFERROR(__xludf.DUMMYFUNCTION("""COMPUTED_VALUE"""),8.0)</f>
        <v>8</v>
      </c>
      <c r="C5009" s="11">
        <f>IFERROR(__xludf.DUMMYFUNCTION("""COMPUTED_VALUE"""),4388.0)</f>
        <v>4388</v>
      </c>
      <c r="D5009" s="11">
        <f>IFERROR(__xludf.DUMMYFUNCTION("""COMPUTED_VALUE"""),1646.0)</f>
        <v>1646</v>
      </c>
      <c r="E5009" s="9"/>
    </row>
    <row r="5010">
      <c r="A5010" s="11">
        <f>IFERROR(__xludf.DUMMYFUNCTION("""COMPUTED_VALUE"""),2021.0)</f>
        <v>2021</v>
      </c>
      <c r="B5010" s="11">
        <f>IFERROR(__xludf.DUMMYFUNCTION("""COMPUTED_VALUE"""),10.0)</f>
        <v>10</v>
      </c>
      <c r="C5010" s="11">
        <f>IFERROR(__xludf.DUMMYFUNCTION("""COMPUTED_VALUE"""),99036.0)</f>
        <v>99036</v>
      </c>
      <c r="D5010" s="11">
        <f>IFERROR(__xludf.DUMMYFUNCTION("""COMPUTED_VALUE"""),436.0)</f>
        <v>436</v>
      </c>
      <c r="E5010" s="9"/>
    </row>
    <row r="5011">
      <c r="A5011" s="11">
        <f>IFERROR(__xludf.DUMMYFUNCTION("""COMPUTED_VALUE"""),2021.0)</f>
        <v>2021</v>
      </c>
      <c r="B5011" s="11">
        <f>IFERROR(__xludf.DUMMYFUNCTION("""COMPUTED_VALUE"""),11.0)</f>
        <v>11</v>
      </c>
      <c r="C5011" s="11">
        <f>IFERROR(__xludf.DUMMYFUNCTION("""COMPUTED_VALUE"""),109344.0)</f>
        <v>109344</v>
      </c>
      <c r="D5011" s="11">
        <f>IFERROR(__xludf.DUMMYFUNCTION("""COMPUTED_VALUE"""),1248.0)</f>
        <v>1248</v>
      </c>
      <c r="E5011" s="9"/>
    </row>
    <row r="5012">
      <c r="A5012" s="11">
        <f>IFERROR(__xludf.DUMMYFUNCTION("""COMPUTED_VALUE"""),2021.0)</f>
        <v>2021</v>
      </c>
      <c r="B5012" s="11">
        <f>IFERROR(__xludf.DUMMYFUNCTION("""COMPUTED_VALUE"""),9.0)</f>
        <v>9</v>
      </c>
      <c r="C5012" s="11">
        <f>IFERROR(__xludf.DUMMYFUNCTION("""COMPUTED_VALUE"""),9663.0)</f>
        <v>9663</v>
      </c>
      <c r="D5012" s="11">
        <f>IFERROR(__xludf.DUMMYFUNCTION("""COMPUTED_VALUE"""),940.0)</f>
        <v>940</v>
      </c>
      <c r="E5012" s="9"/>
    </row>
    <row r="5013">
      <c r="A5013" s="11">
        <f>IFERROR(__xludf.DUMMYFUNCTION("""COMPUTED_VALUE"""),2021.0)</f>
        <v>2021</v>
      </c>
      <c r="B5013" s="11">
        <f>IFERROR(__xludf.DUMMYFUNCTION("""COMPUTED_VALUE"""),11.0)</f>
        <v>11</v>
      </c>
      <c r="C5013" s="11">
        <f>IFERROR(__xludf.DUMMYFUNCTION("""COMPUTED_VALUE"""),119106.0)</f>
        <v>119106</v>
      </c>
      <c r="D5013" s="11">
        <f>IFERROR(__xludf.DUMMYFUNCTION("""COMPUTED_VALUE"""),1832.0)</f>
        <v>1832</v>
      </c>
      <c r="E5013" s="9"/>
    </row>
    <row r="5014">
      <c r="A5014" s="11">
        <f>IFERROR(__xludf.DUMMYFUNCTION("""COMPUTED_VALUE"""),2021.0)</f>
        <v>2021</v>
      </c>
      <c r="B5014" s="11">
        <f>IFERROR(__xludf.DUMMYFUNCTION("""COMPUTED_VALUE"""),8.0)</f>
        <v>8</v>
      </c>
      <c r="C5014" s="11">
        <f>IFERROR(__xludf.DUMMYFUNCTION("""COMPUTED_VALUE"""),9664.0)</f>
        <v>9664</v>
      </c>
      <c r="D5014" s="11">
        <f>IFERROR(__xludf.DUMMYFUNCTION("""COMPUTED_VALUE"""),585.0)</f>
        <v>585</v>
      </c>
      <c r="E5014" s="9"/>
    </row>
    <row r="5015">
      <c r="A5015" s="11">
        <f>IFERROR(__xludf.DUMMYFUNCTION("""COMPUTED_VALUE"""),2021.0)</f>
        <v>2021</v>
      </c>
      <c r="B5015" s="11">
        <f>IFERROR(__xludf.DUMMYFUNCTION("""COMPUTED_VALUE"""),8.0)</f>
        <v>8</v>
      </c>
      <c r="C5015" s="11">
        <f>IFERROR(__xludf.DUMMYFUNCTION("""COMPUTED_VALUE"""),108064.0)</f>
        <v>108064</v>
      </c>
      <c r="D5015" s="11">
        <f>IFERROR(__xludf.DUMMYFUNCTION("""COMPUTED_VALUE"""),1334.0)</f>
        <v>1334</v>
      </c>
      <c r="E5015" s="9"/>
    </row>
    <row r="5016">
      <c r="A5016" s="11">
        <f>IFERROR(__xludf.DUMMYFUNCTION("""COMPUTED_VALUE"""),2021.0)</f>
        <v>2021</v>
      </c>
      <c r="B5016" s="11">
        <f>IFERROR(__xludf.DUMMYFUNCTION("""COMPUTED_VALUE"""),9.0)</f>
        <v>9</v>
      </c>
      <c r="C5016" s="11">
        <f>IFERROR(__xludf.DUMMYFUNCTION("""COMPUTED_VALUE"""),70414.0)</f>
        <v>70414</v>
      </c>
      <c r="D5016" s="11">
        <f>IFERROR(__xludf.DUMMYFUNCTION("""COMPUTED_VALUE"""),405.0)</f>
        <v>405</v>
      </c>
      <c r="E5016" s="9"/>
    </row>
    <row r="5017">
      <c r="A5017" s="11">
        <f>IFERROR(__xludf.DUMMYFUNCTION("""COMPUTED_VALUE"""),2021.0)</f>
        <v>2021</v>
      </c>
      <c r="B5017" s="11">
        <f>IFERROR(__xludf.DUMMYFUNCTION("""COMPUTED_VALUE"""),9.0)</f>
        <v>9</v>
      </c>
      <c r="C5017" s="11">
        <f>IFERROR(__xludf.DUMMYFUNCTION("""COMPUTED_VALUE"""),9673.0)</f>
        <v>9673</v>
      </c>
      <c r="D5017" s="11">
        <f>IFERROR(__xludf.DUMMYFUNCTION("""COMPUTED_VALUE"""),985.0)</f>
        <v>985</v>
      </c>
      <c r="E5017" s="9"/>
    </row>
    <row r="5018">
      <c r="A5018" s="11">
        <f>IFERROR(__xludf.DUMMYFUNCTION("""COMPUTED_VALUE"""),2021.0)</f>
        <v>2021</v>
      </c>
      <c r="B5018" s="11">
        <f>IFERROR(__xludf.DUMMYFUNCTION("""COMPUTED_VALUE"""),8.0)</f>
        <v>8</v>
      </c>
      <c r="C5018" s="11">
        <f>IFERROR(__xludf.DUMMYFUNCTION("""COMPUTED_VALUE"""),117604.0)</f>
        <v>117604</v>
      </c>
      <c r="D5018" s="11">
        <f>IFERROR(__xludf.DUMMYFUNCTION("""COMPUTED_VALUE"""),197.0)</f>
        <v>197</v>
      </c>
      <c r="E5018" s="9"/>
    </row>
    <row r="5019">
      <c r="A5019" s="11">
        <f>IFERROR(__xludf.DUMMYFUNCTION("""COMPUTED_VALUE"""),2021.0)</f>
        <v>2021</v>
      </c>
      <c r="B5019" s="11">
        <f>IFERROR(__xludf.DUMMYFUNCTION("""COMPUTED_VALUE"""),9.0)</f>
        <v>9</v>
      </c>
      <c r="C5019" s="11">
        <f>IFERROR(__xludf.DUMMYFUNCTION("""COMPUTED_VALUE"""),45165.0)</f>
        <v>45165</v>
      </c>
      <c r="D5019" s="11">
        <f>IFERROR(__xludf.DUMMYFUNCTION("""COMPUTED_VALUE"""),1137.0)</f>
        <v>1137</v>
      </c>
      <c r="E5019" s="9"/>
    </row>
    <row r="5020">
      <c r="A5020" s="11">
        <f>IFERROR(__xludf.DUMMYFUNCTION("""COMPUTED_VALUE"""),2021.0)</f>
        <v>2021</v>
      </c>
      <c r="B5020" s="11">
        <f>IFERROR(__xludf.DUMMYFUNCTION("""COMPUTED_VALUE"""),8.0)</f>
        <v>8</v>
      </c>
      <c r="C5020" s="11">
        <f>IFERROR(__xludf.DUMMYFUNCTION("""COMPUTED_VALUE"""),128341.0)</f>
        <v>128341</v>
      </c>
      <c r="D5020" s="11">
        <f>IFERROR(__xludf.DUMMYFUNCTION("""COMPUTED_VALUE"""),1586.0)</f>
        <v>1586</v>
      </c>
      <c r="E5020" s="9"/>
    </row>
    <row r="5021">
      <c r="A5021" s="11">
        <f>IFERROR(__xludf.DUMMYFUNCTION("""COMPUTED_VALUE"""),2021.0)</f>
        <v>2021</v>
      </c>
      <c r="B5021" s="11">
        <f>IFERROR(__xludf.DUMMYFUNCTION("""COMPUTED_VALUE"""),8.0)</f>
        <v>8</v>
      </c>
      <c r="C5021" s="11">
        <f>IFERROR(__xludf.DUMMYFUNCTION("""COMPUTED_VALUE"""),101917.0)</f>
        <v>101917</v>
      </c>
      <c r="D5021" s="11">
        <f>IFERROR(__xludf.DUMMYFUNCTION("""COMPUTED_VALUE"""),511.0)</f>
        <v>511</v>
      </c>
      <c r="E5021" s="9"/>
    </row>
    <row r="5022">
      <c r="A5022" s="11">
        <f>IFERROR(__xludf.DUMMYFUNCTION("""COMPUTED_VALUE"""),2021.0)</f>
        <v>2021</v>
      </c>
      <c r="B5022" s="11">
        <f>IFERROR(__xludf.DUMMYFUNCTION("""COMPUTED_VALUE"""),10.0)</f>
        <v>10</v>
      </c>
      <c r="C5022" s="11">
        <f>IFERROR(__xludf.DUMMYFUNCTION("""COMPUTED_VALUE"""),79419.0)</f>
        <v>79419</v>
      </c>
      <c r="D5022" s="11">
        <f>IFERROR(__xludf.DUMMYFUNCTION("""COMPUTED_VALUE"""),1556.0)</f>
        <v>1556</v>
      </c>
      <c r="E5022" s="9"/>
    </row>
    <row r="5023">
      <c r="A5023" s="11">
        <f>IFERROR(__xludf.DUMMYFUNCTION("""COMPUTED_VALUE"""),2021.0)</f>
        <v>2021</v>
      </c>
      <c r="B5023" s="11">
        <f>IFERROR(__xludf.DUMMYFUNCTION("""COMPUTED_VALUE"""),11.0)</f>
        <v>11</v>
      </c>
      <c r="C5023" s="11">
        <f>IFERROR(__xludf.DUMMYFUNCTION("""COMPUTED_VALUE"""),9675.0)</f>
        <v>9675</v>
      </c>
      <c r="D5023" s="11">
        <f>IFERROR(__xludf.DUMMYFUNCTION("""COMPUTED_VALUE"""),1345.0)</f>
        <v>1345</v>
      </c>
      <c r="E5023" s="9"/>
    </row>
    <row r="5024">
      <c r="A5024" s="11">
        <f>IFERROR(__xludf.DUMMYFUNCTION("""COMPUTED_VALUE"""),2021.0)</f>
        <v>2021</v>
      </c>
      <c r="B5024" s="11">
        <f>IFERROR(__xludf.DUMMYFUNCTION("""COMPUTED_VALUE"""),11.0)</f>
        <v>11</v>
      </c>
      <c r="C5024" s="11">
        <f>IFERROR(__xludf.DUMMYFUNCTION("""COMPUTED_VALUE"""),9671.0)</f>
        <v>9671</v>
      </c>
      <c r="D5024" s="11">
        <f>IFERROR(__xludf.DUMMYFUNCTION("""COMPUTED_VALUE"""),552.0)</f>
        <v>552</v>
      </c>
      <c r="E5024" s="9"/>
    </row>
    <row r="5025">
      <c r="A5025" s="11">
        <f>IFERROR(__xludf.DUMMYFUNCTION("""COMPUTED_VALUE"""),2021.0)</f>
        <v>2021</v>
      </c>
      <c r="B5025" s="11">
        <f>IFERROR(__xludf.DUMMYFUNCTION("""COMPUTED_VALUE"""),8.0)</f>
        <v>8</v>
      </c>
      <c r="C5025" s="11">
        <f>IFERROR(__xludf.DUMMYFUNCTION("""COMPUTED_VALUE"""),20247.0)</f>
        <v>20247</v>
      </c>
      <c r="D5025" s="11">
        <f>IFERROR(__xludf.DUMMYFUNCTION("""COMPUTED_VALUE"""),237.0)</f>
        <v>237</v>
      </c>
      <c r="E5025" s="9"/>
    </row>
    <row r="5026">
      <c r="A5026" s="11">
        <f>IFERROR(__xludf.DUMMYFUNCTION("""COMPUTED_VALUE"""),2021.0)</f>
        <v>2021</v>
      </c>
      <c r="B5026" s="11">
        <f>IFERROR(__xludf.DUMMYFUNCTION("""COMPUTED_VALUE"""),10.0)</f>
        <v>10</v>
      </c>
      <c r="C5026" s="11">
        <f>IFERROR(__xludf.DUMMYFUNCTION("""COMPUTED_VALUE"""),109240.0)</f>
        <v>109240</v>
      </c>
      <c r="D5026" s="11">
        <f>IFERROR(__xludf.DUMMYFUNCTION("""COMPUTED_VALUE"""),46.0)</f>
        <v>46</v>
      </c>
      <c r="E5026" s="9"/>
    </row>
    <row r="5027">
      <c r="A5027" s="11">
        <f>IFERROR(__xludf.DUMMYFUNCTION("""COMPUTED_VALUE"""),2021.0)</f>
        <v>2021</v>
      </c>
      <c r="B5027" s="11">
        <f>IFERROR(__xludf.DUMMYFUNCTION("""COMPUTED_VALUE"""),11.0)</f>
        <v>11</v>
      </c>
      <c r="C5027" s="11">
        <f>IFERROR(__xludf.DUMMYFUNCTION("""COMPUTED_VALUE"""),104079.0)</f>
        <v>104079</v>
      </c>
      <c r="D5027" s="11">
        <f>IFERROR(__xludf.DUMMYFUNCTION("""COMPUTED_VALUE"""),781.0)</f>
        <v>781</v>
      </c>
      <c r="E5027" s="9"/>
    </row>
    <row r="5028">
      <c r="A5028" s="11">
        <f>IFERROR(__xludf.DUMMYFUNCTION("""COMPUTED_VALUE"""),2021.0)</f>
        <v>2021</v>
      </c>
      <c r="B5028" s="11">
        <f>IFERROR(__xludf.DUMMYFUNCTION("""COMPUTED_VALUE"""),10.0)</f>
        <v>10</v>
      </c>
      <c r="C5028" s="11">
        <f>IFERROR(__xludf.DUMMYFUNCTION("""COMPUTED_VALUE"""),126567.0)</f>
        <v>126567</v>
      </c>
      <c r="D5028" s="11">
        <f>IFERROR(__xludf.DUMMYFUNCTION("""COMPUTED_VALUE"""),1729.0)</f>
        <v>1729</v>
      </c>
      <c r="E5028" s="9"/>
    </row>
    <row r="5029">
      <c r="A5029" s="11">
        <f>IFERROR(__xludf.DUMMYFUNCTION("""COMPUTED_VALUE"""),2021.0)</f>
        <v>2021</v>
      </c>
      <c r="B5029" s="11">
        <f>IFERROR(__xludf.DUMMYFUNCTION("""COMPUTED_VALUE"""),9.0)</f>
        <v>9</v>
      </c>
      <c r="C5029" s="11">
        <f>IFERROR(__xludf.DUMMYFUNCTION("""COMPUTED_VALUE"""),45567.0)</f>
        <v>45567</v>
      </c>
      <c r="D5029" s="11">
        <f>IFERROR(__xludf.DUMMYFUNCTION("""COMPUTED_VALUE"""),244.0)</f>
        <v>244</v>
      </c>
      <c r="E5029" s="9"/>
    </row>
    <row r="5030">
      <c r="A5030" s="11">
        <f>IFERROR(__xludf.DUMMYFUNCTION("""COMPUTED_VALUE"""),2021.0)</f>
        <v>2021</v>
      </c>
      <c r="B5030" s="11">
        <f>IFERROR(__xludf.DUMMYFUNCTION("""COMPUTED_VALUE"""),8.0)</f>
        <v>8</v>
      </c>
      <c r="C5030" s="11">
        <f>IFERROR(__xludf.DUMMYFUNCTION("""COMPUTED_VALUE"""),109241.0)</f>
        <v>109241</v>
      </c>
      <c r="D5030" s="11">
        <f>IFERROR(__xludf.DUMMYFUNCTION("""COMPUTED_VALUE"""),1242.0)</f>
        <v>1242</v>
      </c>
      <c r="E5030" s="9"/>
    </row>
    <row r="5031">
      <c r="A5031" s="11">
        <f>IFERROR(__xludf.DUMMYFUNCTION("""COMPUTED_VALUE"""),2021.0)</f>
        <v>2021</v>
      </c>
      <c r="B5031" s="11">
        <f>IFERROR(__xludf.DUMMYFUNCTION("""COMPUTED_VALUE"""),9.0)</f>
        <v>9</v>
      </c>
      <c r="C5031" s="11">
        <f>IFERROR(__xludf.DUMMYFUNCTION("""COMPUTED_VALUE"""),126564.0)</f>
        <v>126564</v>
      </c>
      <c r="D5031" s="11">
        <f>IFERROR(__xludf.DUMMYFUNCTION("""COMPUTED_VALUE"""),1113.0)</f>
        <v>1113</v>
      </c>
      <c r="E5031" s="9"/>
    </row>
    <row r="5032">
      <c r="A5032" s="11">
        <f>IFERROR(__xludf.DUMMYFUNCTION("""COMPUTED_VALUE"""),2021.0)</f>
        <v>2021</v>
      </c>
      <c r="B5032" s="11">
        <f>IFERROR(__xludf.DUMMYFUNCTION("""COMPUTED_VALUE"""),9.0)</f>
        <v>9</v>
      </c>
      <c r="C5032" s="11">
        <f>IFERROR(__xludf.DUMMYFUNCTION("""COMPUTED_VALUE"""),20246.0)</f>
        <v>20246</v>
      </c>
      <c r="D5032" s="11">
        <f>IFERROR(__xludf.DUMMYFUNCTION("""COMPUTED_VALUE"""),182.0)</f>
        <v>182</v>
      </c>
      <c r="E5032" s="9"/>
    </row>
    <row r="5033">
      <c r="A5033" s="11">
        <f>IFERROR(__xludf.DUMMYFUNCTION("""COMPUTED_VALUE"""),2021.0)</f>
        <v>2021</v>
      </c>
      <c r="B5033" s="11">
        <f>IFERROR(__xludf.DUMMYFUNCTION("""COMPUTED_VALUE"""),8.0)</f>
        <v>8</v>
      </c>
      <c r="C5033" s="11">
        <f>IFERROR(__xludf.DUMMYFUNCTION("""COMPUTED_VALUE"""),99321.0)</f>
        <v>99321</v>
      </c>
      <c r="D5033" s="11">
        <f>IFERROR(__xludf.DUMMYFUNCTION("""COMPUTED_VALUE"""),1252.0)</f>
        <v>1252</v>
      </c>
      <c r="E5033" s="9"/>
    </row>
    <row r="5034">
      <c r="A5034" s="11">
        <f>IFERROR(__xludf.DUMMYFUNCTION("""COMPUTED_VALUE"""),2021.0)</f>
        <v>2021</v>
      </c>
      <c r="B5034" s="11">
        <f>IFERROR(__xludf.DUMMYFUNCTION("""COMPUTED_VALUE"""),11.0)</f>
        <v>11</v>
      </c>
      <c r="C5034" s="11">
        <f>IFERROR(__xludf.DUMMYFUNCTION("""COMPUTED_VALUE"""),99322.0)</f>
        <v>99322</v>
      </c>
      <c r="D5034" s="11">
        <f>IFERROR(__xludf.DUMMYFUNCTION("""COMPUTED_VALUE"""),228.0)</f>
        <v>228</v>
      </c>
      <c r="E5034" s="9"/>
    </row>
    <row r="5035">
      <c r="A5035" s="11">
        <f>IFERROR(__xludf.DUMMYFUNCTION("""COMPUTED_VALUE"""),2021.0)</f>
        <v>2021</v>
      </c>
      <c r="B5035" s="11">
        <f>IFERROR(__xludf.DUMMYFUNCTION("""COMPUTED_VALUE"""),10.0)</f>
        <v>10</v>
      </c>
      <c r="C5035" s="11">
        <f>IFERROR(__xludf.DUMMYFUNCTION("""COMPUTED_VALUE"""),126561.0)</f>
        <v>126561</v>
      </c>
      <c r="D5035" s="11">
        <f>IFERROR(__xludf.DUMMYFUNCTION("""COMPUTED_VALUE"""),1934.0)</f>
        <v>1934</v>
      </c>
      <c r="E5035" s="9"/>
    </row>
    <row r="5036">
      <c r="A5036" s="11">
        <f>IFERROR(__xludf.DUMMYFUNCTION("""COMPUTED_VALUE"""),2021.0)</f>
        <v>2021</v>
      </c>
      <c r="B5036" s="11">
        <f>IFERROR(__xludf.DUMMYFUNCTION("""COMPUTED_VALUE"""),11.0)</f>
        <v>11</v>
      </c>
      <c r="C5036" s="11">
        <f>IFERROR(__xludf.DUMMYFUNCTION("""COMPUTED_VALUE"""),113871.0)</f>
        <v>113871</v>
      </c>
      <c r="D5036" s="11">
        <f>IFERROR(__xludf.DUMMYFUNCTION("""COMPUTED_VALUE"""),520.0)</f>
        <v>520</v>
      </c>
      <c r="E5036" s="9"/>
    </row>
    <row r="5037">
      <c r="A5037" s="11">
        <f>IFERROR(__xludf.DUMMYFUNCTION("""COMPUTED_VALUE"""),2021.0)</f>
        <v>2021</v>
      </c>
      <c r="B5037" s="11">
        <f>IFERROR(__xludf.DUMMYFUNCTION("""COMPUTED_VALUE"""),8.0)</f>
        <v>8</v>
      </c>
      <c r="C5037" s="11">
        <f>IFERROR(__xludf.DUMMYFUNCTION("""COMPUTED_VALUE"""),68332.0)</f>
        <v>68332</v>
      </c>
      <c r="D5037" s="11">
        <f>IFERROR(__xludf.DUMMYFUNCTION("""COMPUTED_VALUE"""),97.0)</f>
        <v>97</v>
      </c>
      <c r="E5037" s="9"/>
    </row>
    <row r="5038">
      <c r="A5038" s="11">
        <f>IFERROR(__xludf.DUMMYFUNCTION("""COMPUTED_VALUE"""),2021.0)</f>
        <v>2021</v>
      </c>
      <c r="B5038" s="11">
        <f>IFERROR(__xludf.DUMMYFUNCTION("""COMPUTED_VALUE"""),8.0)</f>
        <v>8</v>
      </c>
      <c r="C5038" s="11">
        <f>IFERROR(__xludf.DUMMYFUNCTION("""COMPUTED_VALUE"""),102081.0)</f>
        <v>102081</v>
      </c>
      <c r="D5038" s="11">
        <f>IFERROR(__xludf.DUMMYFUNCTION("""COMPUTED_VALUE"""),487.0)</f>
        <v>487</v>
      </c>
      <c r="E5038" s="9"/>
    </row>
    <row r="5039">
      <c r="A5039" s="11">
        <f>IFERROR(__xludf.DUMMYFUNCTION("""COMPUTED_VALUE"""),2021.0)</f>
        <v>2021</v>
      </c>
      <c r="B5039" s="11">
        <f>IFERROR(__xludf.DUMMYFUNCTION("""COMPUTED_VALUE"""),8.0)</f>
        <v>8</v>
      </c>
      <c r="C5039" s="11">
        <f>IFERROR(__xludf.DUMMYFUNCTION("""COMPUTED_VALUE"""),84213.0)</f>
        <v>84213</v>
      </c>
      <c r="D5039" s="11">
        <f>IFERROR(__xludf.DUMMYFUNCTION("""COMPUTED_VALUE"""),490.0)</f>
        <v>490</v>
      </c>
      <c r="E5039" s="9"/>
    </row>
    <row r="5040">
      <c r="A5040" s="11">
        <f>IFERROR(__xludf.DUMMYFUNCTION("""COMPUTED_VALUE"""),2021.0)</f>
        <v>2021</v>
      </c>
      <c r="B5040" s="11">
        <f>IFERROR(__xludf.DUMMYFUNCTION("""COMPUTED_VALUE"""),9.0)</f>
        <v>9</v>
      </c>
      <c r="C5040" s="11">
        <f>IFERROR(__xludf.DUMMYFUNCTION("""COMPUTED_VALUE"""),68302.0)</f>
        <v>68302</v>
      </c>
      <c r="D5040" s="11">
        <f>IFERROR(__xludf.DUMMYFUNCTION("""COMPUTED_VALUE"""),820.0)</f>
        <v>820</v>
      </c>
      <c r="E5040" s="9"/>
    </row>
    <row r="5041">
      <c r="A5041" s="11">
        <f>IFERROR(__xludf.DUMMYFUNCTION("""COMPUTED_VALUE"""),2021.0)</f>
        <v>2021</v>
      </c>
      <c r="B5041" s="11">
        <f>IFERROR(__xludf.DUMMYFUNCTION("""COMPUTED_VALUE"""),9.0)</f>
        <v>9</v>
      </c>
      <c r="C5041" s="11">
        <f>IFERROR(__xludf.DUMMYFUNCTION("""COMPUTED_VALUE"""),88238.0)</f>
        <v>88238</v>
      </c>
      <c r="D5041" s="11">
        <f>IFERROR(__xludf.DUMMYFUNCTION("""COMPUTED_VALUE"""),730.0)</f>
        <v>730</v>
      </c>
      <c r="E5041" s="9"/>
    </row>
    <row r="5042">
      <c r="A5042" s="11">
        <f>IFERROR(__xludf.DUMMYFUNCTION("""COMPUTED_VALUE"""),2021.0)</f>
        <v>2021</v>
      </c>
      <c r="B5042" s="11">
        <f>IFERROR(__xludf.DUMMYFUNCTION("""COMPUTED_VALUE"""),9.0)</f>
        <v>9</v>
      </c>
      <c r="C5042" s="11">
        <f>IFERROR(__xludf.DUMMYFUNCTION("""COMPUTED_VALUE"""),84202.0)</f>
        <v>84202</v>
      </c>
      <c r="D5042" s="11">
        <f>IFERROR(__xludf.DUMMYFUNCTION("""COMPUTED_VALUE"""),106.0)</f>
        <v>106</v>
      </c>
      <c r="E5042" s="9"/>
    </row>
    <row r="5043">
      <c r="A5043" s="11">
        <f>IFERROR(__xludf.DUMMYFUNCTION("""COMPUTED_VALUE"""),2021.0)</f>
        <v>2021</v>
      </c>
      <c r="B5043" s="11">
        <f>IFERROR(__xludf.DUMMYFUNCTION("""COMPUTED_VALUE"""),11.0)</f>
        <v>11</v>
      </c>
      <c r="C5043" s="11">
        <f>IFERROR(__xludf.DUMMYFUNCTION("""COMPUTED_VALUE"""),84226.0)</f>
        <v>84226</v>
      </c>
      <c r="D5043" s="11">
        <f>IFERROR(__xludf.DUMMYFUNCTION("""COMPUTED_VALUE"""),537.0)</f>
        <v>537</v>
      </c>
      <c r="E5043" s="9"/>
    </row>
    <row r="5044">
      <c r="A5044" s="11">
        <f>IFERROR(__xludf.DUMMYFUNCTION("""COMPUTED_VALUE"""),2021.0)</f>
        <v>2021</v>
      </c>
      <c r="B5044" s="11">
        <f>IFERROR(__xludf.DUMMYFUNCTION("""COMPUTED_VALUE"""),10.0)</f>
        <v>10</v>
      </c>
      <c r="C5044" s="11">
        <f>IFERROR(__xludf.DUMMYFUNCTION("""COMPUTED_VALUE"""),104071.0)</f>
        <v>104071</v>
      </c>
      <c r="D5044" s="11">
        <f>IFERROR(__xludf.DUMMYFUNCTION("""COMPUTED_VALUE"""),599.0)</f>
        <v>599</v>
      </c>
      <c r="E5044" s="9"/>
    </row>
    <row r="5045">
      <c r="A5045" s="11">
        <f>IFERROR(__xludf.DUMMYFUNCTION("""COMPUTED_VALUE"""),2021.0)</f>
        <v>2021</v>
      </c>
      <c r="B5045" s="11">
        <f>IFERROR(__xludf.DUMMYFUNCTION("""COMPUTED_VALUE"""),11.0)</f>
        <v>11</v>
      </c>
      <c r="C5045" s="11">
        <f>IFERROR(__xludf.DUMMYFUNCTION("""COMPUTED_VALUE"""),104075.0)</f>
        <v>104075</v>
      </c>
      <c r="D5045" s="11">
        <f>IFERROR(__xludf.DUMMYFUNCTION("""COMPUTED_VALUE"""),565.0)</f>
        <v>565</v>
      </c>
      <c r="E5045" s="9"/>
    </row>
    <row r="5046">
      <c r="A5046" s="11">
        <f>IFERROR(__xludf.DUMMYFUNCTION("""COMPUTED_VALUE"""),2021.0)</f>
        <v>2021</v>
      </c>
      <c r="B5046" s="11">
        <f>IFERROR(__xludf.DUMMYFUNCTION("""COMPUTED_VALUE"""),10.0)</f>
        <v>10</v>
      </c>
      <c r="C5046" s="11">
        <f>IFERROR(__xludf.DUMMYFUNCTION("""COMPUTED_VALUE"""),91042.0)</f>
        <v>91042</v>
      </c>
      <c r="D5046" s="11">
        <f>IFERROR(__xludf.DUMMYFUNCTION("""COMPUTED_VALUE"""),211.0)</f>
        <v>211</v>
      </c>
      <c r="E5046" s="9"/>
    </row>
    <row r="5047">
      <c r="A5047" s="11">
        <f>IFERROR(__xludf.DUMMYFUNCTION("""COMPUTED_VALUE"""),2021.0)</f>
        <v>2021</v>
      </c>
      <c r="B5047" s="11">
        <f>IFERROR(__xludf.DUMMYFUNCTION("""COMPUTED_VALUE"""),10.0)</f>
        <v>10</v>
      </c>
      <c r="C5047" s="11">
        <f>IFERROR(__xludf.DUMMYFUNCTION("""COMPUTED_VALUE"""),108047.0)</f>
        <v>108047</v>
      </c>
      <c r="D5047" s="11">
        <f>IFERROR(__xludf.DUMMYFUNCTION("""COMPUTED_VALUE"""),375.0)</f>
        <v>375</v>
      </c>
      <c r="E5047" s="9"/>
    </row>
    <row r="5048">
      <c r="A5048" s="11">
        <f>IFERROR(__xludf.DUMMYFUNCTION("""COMPUTED_VALUE"""),2021.0)</f>
        <v>2021</v>
      </c>
      <c r="B5048" s="11">
        <f>IFERROR(__xludf.DUMMYFUNCTION("""COMPUTED_VALUE"""),8.0)</f>
        <v>8</v>
      </c>
      <c r="C5048" s="11">
        <f>IFERROR(__xludf.DUMMYFUNCTION("""COMPUTED_VALUE"""),90993.0)</f>
        <v>90993</v>
      </c>
      <c r="D5048" s="11">
        <f>IFERROR(__xludf.DUMMYFUNCTION("""COMPUTED_VALUE"""),369.0)</f>
        <v>369</v>
      </c>
      <c r="E5048" s="9"/>
    </row>
    <row r="5049">
      <c r="A5049" s="11">
        <f>IFERROR(__xludf.DUMMYFUNCTION("""COMPUTED_VALUE"""),2021.0)</f>
        <v>2021</v>
      </c>
      <c r="B5049" s="11">
        <f>IFERROR(__xludf.DUMMYFUNCTION("""COMPUTED_VALUE"""),8.0)</f>
        <v>8</v>
      </c>
      <c r="C5049" s="11">
        <f>IFERROR(__xludf.DUMMYFUNCTION("""COMPUTED_VALUE"""),19277.0)</f>
        <v>19277</v>
      </c>
      <c r="D5049" s="11">
        <f>IFERROR(__xludf.DUMMYFUNCTION("""COMPUTED_VALUE"""),283.0)</f>
        <v>283</v>
      </c>
      <c r="E5049" s="9"/>
    </row>
    <row r="5050">
      <c r="A5050" s="11">
        <f>IFERROR(__xludf.DUMMYFUNCTION("""COMPUTED_VALUE"""),2021.0)</f>
        <v>2021</v>
      </c>
      <c r="B5050" s="11">
        <f>IFERROR(__xludf.DUMMYFUNCTION("""COMPUTED_VALUE"""),8.0)</f>
        <v>8</v>
      </c>
      <c r="C5050" s="11">
        <f>IFERROR(__xludf.DUMMYFUNCTION("""COMPUTED_VALUE"""),84223.0)</f>
        <v>84223</v>
      </c>
      <c r="D5050" s="11">
        <f>IFERROR(__xludf.DUMMYFUNCTION("""COMPUTED_VALUE"""),373.0)</f>
        <v>373</v>
      </c>
      <c r="E5050" s="9"/>
    </row>
    <row r="5051">
      <c r="A5051" s="11">
        <f>IFERROR(__xludf.DUMMYFUNCTION("""COMPUTED_VALUE"""),2021.0)</f>
        <v>2021</v>
      </c>
      <c r="B5051" s="11">
        <f>IFERROR(__xludf.DUMMYFUNCTION("""COMPUTED_VALUE"""),9.0)</f>
        <v>9</v>
      </c>
      <c r="C5051" s="11">
        <f>IFERROR(__xludf.DUMMYFUNCTION("""COMPUTED_VALUE"""),84225.0)</f>
        <v>84225</v>
      </c>
      <c r="D5051" s="11">
        <f>IFERROR(__xludf.DUMMYFUNCTION("""COMPUTED_VALUE"""),370.0)</f>
        <v>370</v>
      </c>
      <c r="E5051" s="9"/>
    </row>
    <row r="5052">
      <c r="A5052" s="11">
        <f>IFERROR(__xludf.DUMMYFUNCTION("""COMPUTED_VALUE"""),2021.0)</f>
        <v>2021</v>
      </c>
      <c r="B5052" s="11">
        <f>IFERROR(__xludf.DUMMYFUNCTION("""COMPUTED_VALUE"""),10.0)</f>
        <v>10</v>
      </c>
      <c r="C5052" s="11">
        <f>IFERROR(__xludf.DUMMYFUNCTION("""COMPUTED_VALUE"""),113865.0)</f>
        <v>113865</v>
      </c>
      <c r="D5052" s="11">
        <f>IFERROR(__xludf.DUMMYFUNCTION("""COMPUTED_VALUE"""),1377.0)</f>
        <v>1377</v>
      </c>
      <c r="E5052" s="9"/>
    </row>
    <row r="5053">
      <c r="A5053" s="11">
        <f>IFERROR(__xludf.DUMMYFUNCTION("""COMPUTED_VALUE"""),2021.0)</f>
        <v>2021</v>
      </c>
      <c r="B5053" s="11">
        <f>IFERROR(__xludf.DUMMYFUNCTION("""COMPUTED_VALUE"""),11.0)</f>
        <v>11</v>
      </c>
      <c r="C5053" s="11">
        <f>IFERROR(__xludf.DUMMYFUNCTION("""COMPUTED_VALUE"""),94645.0)</f>
        <v>94645</v>
      </c>
      <c r="D5053" s="11">
        <f>IFERROR(__xludf.DUMMYFUNCTION("""COMPUTED_VALUE"""),676.0)</f>
        <v>676</v>
      </c>
      <c r="E5053" s="9"/>
    </row>
    <row r="5054">
      <c r="A5054" s="11">
        <f>IFERROR(__xludf.DUMMYFUNCTION("""COMPUTED_VALUE"""),2021.0)</f>
        <v>2021</v>
      </c>
      <c r="B5054" s="11">
        <f>IFERROR(__xludf.DUMMYFUNCTION("""COMPUTED_VALUE"""),10.0)</f>
        <v>10</v>
      </c>
      <c r="C5054" s="11">
        <f>IFERROR(__xludf.DUMMYFUNCTION("""COMPUTED_VALUE"""),104073.0)</f>
        <v>104073</v>
      </c>
      <c r="D5054" s="11">
        <f>IFERROR(__xludf.DUMMYFUNCTION("""COMPUTED_VALUE"""),957.0)</f>
        <v>957</v>
      </c>
      <c r="E5054" s="9"/>
    </row>
    <row r="5055">
      <c r="A5055" s="11">
        <f>IFERROR(__xludf.DUMMYFUNCTION("""COMPUTED_VALUE"""),2021.0)</f>
        <v>2021</v>
      </c>
      <c r="B5055" s="11">
        <f>IFERROR(__xludf.DUMMYFUNCTION("""COMPUTED_VALUE"""),11.0)</f>
        <v>11</v>
      </c>
      <c r="C5055" s="11">
        <f>IFERROR(__xludf.DUMMYFUNCTION("""COMPUTED_VALUE"""),113880.0)</f>
        <v>113880</v>
      </c>
      <c r="D5055" s="11">
        <f>IFERROR(__xludf.DUMMYFUNCTION("""COMPUTED_VALUE"""),124.0)</f>
        <v>124</v>
      </c>
      <c r="E5055" s="9"/>
    </row>
    <row r="5056">
      <c r="A5056" s="11">
        <f>IFERROR(__xludf.DUMMYFUNCTION("""COMPUTED_VALUE"""),2021.0)</f>
        <v>2021</v>
      </c>
      <c r="B5056" s="11">
        <f>IFERROR(__xludf.DUMMYFUNCTION("""COMPUTED_VALUE"""),11.0)</f>
        <v>11</v>
      </c>
      <c r="C5056" s="11">
        <f>IFERROR(__xludf.DUMMYFUNCTION("""COMPUTED_VALUE"""),91045.0)</f>
        <v>91045</v>
      </c>
      <c r="D5056" s="11">
        <f>IFERROR(__xludf.DUMMYFUNCTION("""COMPUTED_VALUE"""),1651.0)</f>
        <v>1651</v>
      </c>
      <c r="E5056" s="9"/>
    </row>
    <row r="5057">
      <c r="A5057" s="11">
        <f>IFERROR(__xludf.DUMMYFUNCTION("""COMPUTED_VALUE"""),2021.0)</f>
        <v>2021</v>
      </c>
      <c r="B5057" s="11">
        <f>IFERROR(__xludf.DUMMYFUNCTION("""COMPUTED_VALUE"""),9.0)</f>
        <v>9</v>
      </c>
      <c r="C5057" s="11">
        <f>IFERROR(__xludf.DUMMYFUNCTION("""COMPUTED_VALUE"""),84231.0)</f>
        <v>84231</v>
      </c>
      <c r="D5057" s="11">
        <f>IFERROR(__xludf.DUMMYFUNCTION("""COMPUTED_VALUE"""),756.0)</f>
        <v>756</v>
      </c>
      <c r="E5057" s="9"/>
    </row>
    <row r="5058">
      <c r="A5058" s="11">
        <f>IFERROR(__xludf.DUMMYFUNCTION("""COMPUTED_VALUE"""),2021.0)</f>
        <v>2021</v>
      </c>
      <c r="B5058" s="11">
        <f>IFERROR(__xludf.DUMMYFUNCTION("""COMPUTED_VALUE"""),11.0)</f>
        <v>11</v>
      </c>
      <c r="C5058" s="11">
        <f>IFERROR(__xludf.DUMMYFUNCTION("""COMPUTED_VALUE"""),68321.0)</f>
        <v>68321</v>
      </c>
      <c r="D5058" s="11">
        <f>IFERROR(__xludf.DUMMYFUNCTION("""COMPUTED_VALUE"""),1658.0)</f>
        <v>1658</v>
      </c>
      <c r="E5058" s="9"/>
    </row>
    <row r="5059">
      <c r="A5059" s="11">
        <f>IFERROR(__xludf.DUMMYFUNCTION("""COMPUTED_VALUE"""),2021.0)</f>
        <v>2021</v>
      </c>
      <c r="B5059" s="11">
        <f>IFERROR(__xludf.DUMMYFUNCTION("""COMPUTED_VALUE"""),11.0)</f>
        <v>11</v>
      </c>
      <c r="C5059" s="11">
        <f>IFERROR(__xludf.DUMMYFUNCTION("""COMPUTED_VALUE"""),84211.0)</f>
        <v>84211</v>
      </c>
      <c r="D5059" s="11">
        <f>IFERROR(__xludf.DUMMYFUNCTION("""COMPUTED_VALUE"""),1860.0)</f>
        <v>1860</v>
      </c>
      <c r="E5059" s="9"/>
    </row>
    <row r="5060">
      <c r="A5060" s="11">
        <f>IFERROR(__xludf.DUMMYFUNCTION("""COMPUTED_VALUE"""),2021.0)</f>
        <v>2021</v>
      </c>
      <c r="B5060" s="11">
        <f>IFERROR(__xludf.DUMMYFUNCTION("""COMPUTED_VALUE"""),11.0)</f>
        <v>11</v>
      </c>
      <c r="C5060" s="11">
        <f>IFERROR(__xludf.DUMMYFUNCTION("""COMPUTED_VALUE"""),158663.0)</f>
        <v>158663</v>
      </c>
      <c r="D5060" s="11">
        <f>IFERROR(__xludf.DUMMYFUNCTION("""COMPUTED_VALUE"""),690.0)</f>
        <v>690</v>
      </c>
      <c r="E5060" s="9"/>
    </row>
    <row r="5061">
      <c r="A5061" s="11">
        <f>IFERROR(__xludf.DUMMYFUNCTION("""COMPUTED_VALUE"""),2021.0)</f>
        <v>2021</v>
      </c>
      <c r="B5061" s="11">
        <f>IFERROR(__xludf.DUMMYFUNCTION("""COMPUTED_VALUE"""),9.0)</f>
        <v>9</v>
      </c>
      <c r="C5061" s="11">
        <f>IFERROR(__xludf.DUMMYFUNCTION("""COMPUTED_VALUE"""),113874.0)</f>
        <v>113874</v>
      </c>
      <c r="D5061" s="11">
        <f>IFERROR(__xludf.DUMMYFUNCTION("""COMPUTED_VALUE"""),999.0)</f>
        <v>999</v>
      </c>
      <c r="E5061" s="9"/>
    </row>
    <row r="5062">
      <c r="A5062" s="11">
        <f>IFERROR(__xludf.DUMMYFUNCTION("""COMPUTED_VALUE"""),2021.0)</f>
        <v>2021</v>
      </c>
      <c r="B5062" s="11">
        <f>IFERROR(__xludf.DUMMYFUNCTION("""COMPUTED_VALUE"""),10.0)</f>
        <v>10</v>
      </c>
      <c r="C5062" s="11">
        <f>IFERROR(__xludf.DUMMYFUNCTION("""COMPUTED_VALUE"""),84234.0)</f>
        <v>84234</v>
      </c>
      <c r="D5062" s="11">
        <f>IFERROR(__xludf.DUMMYFUNCTION("""COMPUTED_VALUE"""),133.0)</f>
        <v>133</v>
      </c>
      <c r="E5062" s="9"/>
    </row>
    <row r="5063">
      <c r="A5063" s="11">
        <f>IFERROR(__xludf.DUMMYFUNCTION("""COMPUTED_VALUE"""),2021.0)</f>
        <v>2021</v>
      </c>
      <c r="B5063" s="11">
        <f>IFERROR(__xludf.DUMMYFUNCTION("""COMPUTED_VALUE"""),10.0)</f>
        <v>10</v>
      </c>
      <c r="C5063" s="11">
        <f>IFERROR(__xludf.DUMMYFUNCTION("""COMPUTED_VALUE"""),76642.0)</f>
        <v>76642</v>
      </c>
      <c r="D5063" s="11">
        <f>IFERROR(__xludf.DUMMYFUNCTION("""COMPUTED_VALUE"""),1361.0)</f>
        <v>1361</v>
      </c>
      <c r="E5063" s="9"/>
    </row>
    <row r="5064">
      <c r="A5064" s="11">
        <f>IFERROR(__xludf.DUMMYFUNCTION("""COMPUTED_VALUE"""),2021.0)</f>
        <v>2021</v>
      </c>
      <c r="B5064" s="11">
        <f>IFERROR(__xludf.DUMMYFUNCTION("""COMPUTED_VALUE"""),8.0)</f>
        <v>8</v>
      </c>
      <c r="C5064" s="11">
        <f>IFERROR(__xludf.DUMMYFUNCTION("""COMPUTED_VALUE"""),126573.0)</f>
        <v>126573</v>
      </c>
      <c r="D5064" s="11">
        <f>IFERROR(__xludf.DUMMYFUNCTION("""COMPUTED_VALUE"""),1505.0)</f>
        <v>1505</v>
      </c>
      <c r="E5064" s="9"/>
    </row>
    <row r="5065">
      <c r="A5065" s="11">
        <f>IFERROR(__xludf.DUMMYFUNCTION("""COMPUTED_VALUE"""),2021.0)</f>
        <v>2021</v>
      </c>
      <c r="B5065" s="11">
        <f>IFERROR(__xludf.DUMMYFUNCTION("""COMPUTED_VALUE"""),10.0)</f>
        <v>10</v>
      </c>
      <c r="C5065" s="11">
        <f>IFERROR(__xludf.DUMMYFUNCTION("""COMPUTED_VALUE"""),113877.0)</f>
        <v>113877</v>
      </c>
      <c r="D5065" s="11">
        <f>IFERROR(__xludf.DUMMYFUNCTION("""COMPUTED_VALUE"""),1157.0)</f>
        <v>1157</v>
      </c>
      <c r="E5065" s="9"/>
    </row>
    <row r="5066">
      <c r="A5066" s="11">
        <f>IFERROR(__xludf.DUMMYFUNCTION("""COMPUTED_VALUE"""),2021.0)</f>
        <v>2021</v>
      </c>
      <c r="B5066" s="11">
        <f>IFERROR(__xludf.DUMMYFUNCTION("""COMPUTED_VALUE"""),11.0)</f>
        <v>11</v>
      </c>
      <c r="C5066" s="11">
        <f>IFERROR(__xludf.DUMMYFUNCTION("""COMPUTED_VALUE"""),84212.0)</f>
        <v>84212</v>
      </c>
      <c r="D5066" s="11">
        <f>IFERROR(__xludf.DUMMYFUNCTION("""COMPUTED_VALUE"""),1765.0)</f>
        <v>1765</v>
      </c>
      <c r="E5066" s="9"/>
    </row>
    <row r="5067">
      <c r="A5067" s="11">
        <f>IFERROR(__xludf.DUMMYFUNCTION("""COMPUTED_VALUE"""),2021.0)</f>
        <v>2021</v>
      </c>
      <c r="B5067" s="11">
        <f>IFERROR(__xludf.DUMMYFUNCTION("""COMPUTED_VALUE"""),11.0)</f>
        <v>11</v>
      </c>
      <c r="C5067" s="11">
        <f>IFERROR(__xludf.DUMMYFUNCTION("""COMPUTED_VALUE"""),84203.0)</f>
        <v>84203</v>
      </c>
      <c r="D5067" s="11">
        <f>IFERROR(__xludf.DUMMYFUNCTION("""COMPUTED_VALUE"""),1670.0)</f>
        <v>1670</v>
      </c>
      <c r="E5067" s="9"/>
    </row>
    <row r="5068">
      <c r="A5068" s="11">
        <f>IFERROR(__xludf.DUMMYFUNCTION("""COMPUTED_VALUE"""),2021.0)</f>
        <v>2021</v>
      </c>
      <c r="B5068" s="11">
        <f>IFERROR(__xludf.DUMMYFUNCTION("""COMPUTED_VALUE"""),11.0)</f>
        <v>11</v>
      </c>
      <c r="C5068" s="11">
        <f>IFERROR(__xludf.DUMMYFUNCTION("""COMPUTED_VALUE"""),91038.0)</f>
        <v>91038</v>
      </c>
      <c r="D5068" s="11">
        <f>IFERROR(__xludf.DUMMYFUNCTION("""COMPUTED_VALUE"""),1784.0)</f>
        <v>1784</v>
      </c>
      <c r="E5068" s="9"/>
    </row>
    <row r="5069">
      <c r="A5069" s="11">
        <f>IFERROR(__xludf.DUMMYFUNCTION("""COMPUTED_VALUE"""),2021.0)</f>
        <v>2021</v>
      </c>
      <c r="B5069" s="11">
        <f>IFERROR(__xludf.DUMMYFUNCTION("""COMPUTED_VALUE"""),10.0)</f>
        <v>10</v>
      </c>
      <c r="C5069" s="11">
        <f>IFERROR(__xludf.DUMMYFUNCTION("""COMPUTED_VALUE"""),19335.0)</f>
        <v>19335</v>
      </c>
      <c r="D5069" s="11">
        <f>IFERROR(__xludf.DUMMYFUNCTION("""COMPUTED_VALUE"""),746.0)</f>
        <v>746</v>
      </c>
      <c r="E5069" s="9"/>
    </row>
    <row r="5070">
      <c r="A5070" s="11">
        <f>IFERROR(__xludf.DUMMYFUNCTION("""COMPUTED_VALUE"""),2021.0)</f>
        <v>2021</v>
      </c>
      <c r="B5070" s="11">
        <f>IFERROR(__xludf.DUMMYFUNCTION("""COMPUTED_VALUE"""),9.0)</f>
        <v>9</v>
      </c>
      <c r="C5070" s="11">
        <f>IFERROR(__xludf.DUMMYFUNCTION("""COMPUTED_VALUE"""),103073.0)</f>
        <v>103073</v>
      </c>
      <c r="D5070" s="11">
        <f>IFERROR(__xludf.DUMMYFUNCTION("""COMPUTED_VALUE"""),230.0)</f>
        <v>230</v>
      </c>
      <c r="E5070" s="9"/>
    </row>
    <row r="5071">
      <c r="A5071" s="11">
        <f>IFERROR(__xludf.DUMMYFUNCTION("""COMPUTED_VALUE"""),2021.0)</f>
        <v>2021</v>
      </c>
      <c r="B5071" s="11">
        <f>IFERROR(__xludf.DUMMYFUNCTION("""COMPUTED_VALUE"""),9.0)</f>
        <v>9</v>
      </c>
      <c r="C5071" s="11">
        <f>IFERROR(__xludf.DUMMYFUNCTION("""COMPUTED_VALUE"""),122261.0)</f>
        <v>122261</v>
      </c>
      <c r="D5071" s="11">
        <f>IFERROR(__xludf.DUMMYFUNCTION("""COMPUTED_VALUE"""),140.0)</f>
        <v>140</v>
      </c>
      <c r="E5071" s="9"/>
    </row>
    <row r="5072">
      <c r="A5072" s="11">
        <f>IFERROR(__xludf.DUMMYFUNCTION("""COMPUTED_VALUE"""),2021.0)</f>
        <v>2021</v>
      </c>
      <c r="B5072" s="11">
        <f>IFERROR(__xludf.DUMMYFUNCTION("""COMPUTED_VALUE"""),9.0)</f>
        <v>9</v>
      </c>
      <c r="C5072" s="11">
        <f>IFERROR(__xludf.DUMMYFUNCTION("""COMPUTED_VALUE"""),68315.0)</f>
        <v>68315</v>
      </c>
      <c r="D5072" s="11">
        <f>IFERROR(__xludf.DUMMYFUNCTION("""COMPUTED_VALUE"""),1800.0)</f>
        <v>1800</v>
      </c>
      <c r="E5072" s="9"/>
    </row>
    <row r="5073">
      <c r="A5073" s="11">
        <f>IFERROR(__xludf.DUMMYFUNCTION("""COMPUTED_VALUE"""),2021.0)</f>
        <v>2021</v>
      </c>
      <c r="B5073" s="11">
        <f>IFERROR(__xludf.DUMMYFUNCTION("""COMPUTED_VALUE"""),11.0)</f>
        <v>11</v>
      </c>
      <c r="C5073" s="11">
        <f>IFERROR(__xludf.DUMMYFUNCTION("""COMPUTED_VALUE"""),110229.0)</f>
        <v>110229</v>
      </c>
      <c r="D5073" s="11">
        <f>IFERROR(__xludf.DUMMYFUNCTION("""COMPUTED_VALUE"""),1410.0)</f>
        <v>1410</v>
      </c>
      <c r="E5073" s="9"/>
    </row>
    <row r="5074">
      <c r="A5074" s="11">
        <f>IFERROR(__xludf.DUMMYFUNCTION("""COMPUTED_VALUE"""),2021.0)</f>
        <v>2021</v>
      </c>
      <c r="B5074" s="11">
        <f>IFERROR(__xludf.DUMMYFUNCTION("""COMPUTED_VALUE"""),10.0)</f>
        <v>10</v>
      </c>
      <c r="C5074" s="11">
        <f>IFERROR(__xludf.DUMMYFUNCTION("""COMPUTED_VALUE"""),5548.0)</f>
        <v>5548</v>
      </c>
      <c r="D5074" s="11">
        <f>IFERROR(__xludf.DUMMYFUNCTION("""COMPUTED_VALUE"""),170.0)</f>
        <v>170</v>
      </c>
      <c r="E5074" s="9"/>
    </row>
    <row r="5075">
      <c r="A5075" s="11">
        <f>IFERROR(__xludf.DUMMYFUNCTION("""COMPUTED_VALUE"""),2021.0)</f>
        <v>2021</v>
      </c>
      <c r="B5075" s="11">
        <f>IFERROR(__xludf.DUMMYFUNCTION("""COMPUTED_VALUE"""),9.0)</f>
        <v>9</v>
      </c>
      <c r="C5075" s="11">
        <f>IFERROR(__xludf.DUMMYFUNCTION("""COMPUTED_VALUE"""),126544.0)</f>
        <v>126544</v>
      </c>
      <c r="D5075" s="11">
        <f>IFERROR(__xludf.DUMMYFUNCTION("""COMPUTED_VALUE"""),9.0)</f>
        <v>9</v>
      </c>
      <c r="E5075" s="9"/>
    </row>
    <row r="5076">
      <c r="A5076" s="11">
        <f>IFERROR(__xludf.DUMMYFUNCTION("""COMPUTED_VALUE"""),2021.0)</f>
        <v>2021</v>
      </c>
      <c r="B5076" s="11">
        <f>IFERROR(__xludf.DUMMYFUNCTION("""COMPUTED_VALUE"""),9.0)</f>
        <v>9</v>
      </c>
      <c r="C5076" s="11">
        <f>IFERROR(__xludf.DUMMYFUNCTION("""COMPUTED_VALUE"""),90792.0)</f>
        <v>90792</v>
      </c>
      <c r="D5076" s="11">
        <f>IFERROR(__xludf.DUMMYFUNCTION("""COMPUTED_VALUE"""),1539.0)</f>
        <v>1539</v>
      </c>
      <c r="E5076" s="9"/>
    </row>
    <row r="5077">
      <c r="A5077" s="11">
        <f>IFERROR(__xludf.DUMMYFUNCTION("""COMPUTED_VALUE"""),2021.0)</f>
        <v>2021</v>
      </c>
      <c r="B5077" s="11">
        <f>IFERROR(__xludf.DUMMYFUNCTION("""COMPUTED_VALUE"""),9.0)</f>
        <v>9</v>
      </c>
      <c r="C5077" s="11">
        <f>IFERROR(__xludf.DUMMYFUNCTION("""COMPUTED_VALUE"""),126541.0)</f>
        <v>126541</v>
      </c>
      <c r="D5077" s="11">
        <f>IFERROR(__xludf.DUMMYFUNCTION("""COMPUTED_VALUE"""),1215.0)</f>
        <v>1215</v>
      </c>
      <c r="E5077" s="9"/>
    </row>
    <row r="5078">
      <c r="A5078" s="11">
        <f>IFERROR(__xludf.DUMMYFUNCTION("""COMPUTED_VALUE"""),2021.0)</f>
        <v>2021</v>
      </c>
      <c r="B5078" s="11">
        <f>IFERROR(__xludf.DUMMYFUNCTION("""COMPUTED_VALUE"""),11.0)</f>
        <v>11</v>
      </c>
      <c r="C5078" s="11">
        <f>IFERROR(__xludf.DUMMYFUNCTION("""COMPUTED_VALUE"""),71190.0)</f>
        <v>71190</v>
      </c>
      <c r="D5078" s="11">
        <f>IFERROR(__xludf.DUMMYFUNCTION("""COMPUTED_VALUE"""),595.0)</f>
        <v>595</v>
      </c>
      <c r="E5078" s="9"/>
    </row>
    <row r="5079">
      <c r="A5079" s="11">
        <f>IFERROR(__xludf.DUMMYFUNCTION("""COMPUTED_VALUE"""),2021.0)</f>
        <v>2021</v>
      </c>
      <c r="B5079" s="11">
        <f>IFERROR(__xludf.DUMMYFUNCTION("""COMPUTED_VALUE"""),8.0)</f>
        <v>8</v>
      </c>
      <c r="C5079" s="11">
        <f>IFERROR(__xludf.DUMMYFUNCTION("""COMPUTED_VALUE"""),76425.0)</f>
        <v>76425</v>
      </c>
      <c r="D5079" s="11">
        <f>IFERROR(__xludf.DUMMYFUNCTION("""COMPUTED_VALUE"""),898.0)</f>
        <v>898</v>
      </c>
      <c r="E5079" s="9"/>
    </row>
    <row r="5080">
      <c r="A5080" s="11">
        <f>IFERROR(__xludf.DUMMYFUNCTION("""COMPUTED_VALUE"""),2021.0)</f>
        <v>2021</v>
      </c>
      <c r="B5080" s="11">
        <f>IFERROR(__xludf.DUMMYFUNCTION("""COMPUTED_VALUE"""),9.0)</f>
        <v>9</v>
      </c>
      <c r="C5080" s="11">
        <f>IFERROR(__xludf.DUMMYFUNCTION("""COMPUTED_VALUE"""),76422.0)</f>
        <v>76422</v>
      </c>
      <c r="D5080" s="11">
        <f>IFERROR(__xludf.DUMMYFUNCTION("""COMPUTED_VALUE"""),1814.0)</f>
        <v>1814</v>
      </c>
      <c r="E5080" s="9"/>
    </row>
    <row r="5081">
      <c r="A5081" s="11">
        <f>IFERROR(__xludf.DUMMYFUNCTION("""COMPUTED_VALUE"""),2021.0)</f>
        <v>2021</v>
      </c>
      <c r="B5081" s="11">
        <f>IFERROR(__xludf.DUMMYFUNCTION("""COMPUTED_VALUE"""),9.0)</f>
        <v>9</v>
      </c>
      <c r="C5081" s="11">
        <f>IFERROR(__xludf.DUMMYFUNCTION("""COMPUTED_VALUE"""),159201.0)</f>
        <v>159201</v>
      </c>
      <c r="D5081" s="11">
        <f>IFERROR(__xludf.DUMMYFUNCTION("""COMPUTED_VALUE"""),846.0)</f>
        <v>846</v>
      </c>
      <c r="E5081" s="9"/>
    </row>
    <row r="5082">
      <c r="A5082" s="11">
        <f>IFERROR(__xludf.DUMMYFUNCTION("""COMPUTED_VALUE"""),2021.0)</f>
        <v>2021</v>
      </c>
      <c r="B5082" s="11">
        <f>IFERROR(__xludf.DUMMYFUNCTION("""COMPUTED_VALUE"""),8.0)</f>
        <v>8</v>
      </c>
      <c r="C5082" s="11">
        <f>IFERROR(__xludf.DUMMYFUNCTION("""COMPUTED_VALUE"""),76421.0)</f>
        <v>76421</v>
      </c>
      <c r="D5082" s="11">
        <f>IFERROR(__xludf.DUMMYFUNCTION("""COMPUTED_VALUE"""),1224.0)</f>
        <v>1224</v>
      </c>
      <c r="E5082" s="9"/>
    </row>
    <row r="5083">
      <c r="A5083" s="11">
        <f>IFERROR(__xludf.DUMMYFUNCTION("""COMPUTED_VALUE"""),2021.0)</f>
        <v>2021</v>
      </c>
      <c r="B5083" s="11">
        <f>IFERROR(__xludf.DUMMYFUNCTION("""COMPUTED_VALUE"""),8.0)</f>
        <v>8</v>
      </c>
      <c r="C5083" s="11">
        <f>IFERROR(__xludf.DUMMYFUNCTION("""COMPUTED_VALUE"""),76424.0)</f>
        <v>76424</v>
      </c>
      <c r="D5083" s="11">
        <f>IFERROR(__xludf.DUMMYFUNCTION("""COMPUTED_VALUE"""),1280.0)</f>
        <v>1280</v>
      </c>
      <c r="E5083" s="9"/>
    </row>
    <row r="5084">
      <c r="A5084" s="11">
        <f>IFERROR(__xludf.DUMMYFUNCTION("""COMPUTED_VALUE"""),2021.0)</f>
        <v>2021</v>
      </c>
      <c r="B5084" s="11">
        <f>IFERROR(__xludf.DUMMYFUNCTION("""COMPUTED_VALUE"""),11.0)</f>
        <v>11</v>
      </c>
      <c r="C5084" s="11">
        <f>IFERROR(__xludf.DUMMYFUNCTION("""COMPUTED_VALUE"""),90766.0)</f>
        <v>90766</v>
      </c>
      <c r="D5084" s="11">
        <f>IFERROR(__xludf.DUMMYFUNCTION("""COMPUTED_VALUE"""),1031.0)</f>
        <v>1031</v>
      </c>
      <c r="E5084" s="9"/>
    </row>
    <row r="5085">
      <c r="A5085" s="11">
        <f>IFERROR(__xludf.DUMMYFUNCTION("""COMPUTED_VALUE"""),2021.0)</f>
        <v>2021</v>
      </c>
      <c r="B5085" s="11">
        <f>IFERROR(__xludf.DUMMYFUNCTION("""COMPUTED_VALUE"""),8.0)</f>
        <v>8</v>
      </c>
      <c r="C5085" s="11">
        <f>IFERROR(__xludf.DUMMYFUNCTION("""COMPUTED_VALUE"""),5538.0)</f>
        <v>5538</v>
      </c>
      <c r="D5085" s="11">
        <f>IFERROR(__xludf.DUMMYFUNCTION("""COMPUTED_VALUE"""),843.0)</f>
        <v>843</v>
      </c>
      <c r="E5085" s="9"/>
    </row>
    <row r="5086">
      <c r="A5086" s="11">
        <f>IFERROR(__xludf.DUMMYFUNCTION("""COMPUTED_VALUE"""),2021.0)</f>
        <v>2021</v>
      </c>
      <c r="B5086" s="11">
        <f>IFERROR(__xludf.DUMMYFUNCTION("""COMPUTED_VALUE"""),8.0)</f>
        <v>8</v>
      </c>
      <c r="C5086" s="11">
        <f>IFERROR(__xludf.DUMMYFUNCTION("""COMPUTED_VALUE"""),68371.0)</f>
        <v>68371</v>
      </c>
      <c r="D5086" s="11">
        <f>IFERROR(__xludf.DUMMYFUNCTION("""COMPUTED_VALUE"""),743.0)</f>
        <v>743</v>
      </c>
      <c r="E5086" s="9"/>
    </row>
    <row r="5087">
      <c r="A5087" s="11">
        <f>IFERROR(__xludf.DUMMYFUNCTION("""COMPUTED_VALUE"""),2021.0)</f>
        <v>2021</v>
      </c>
      <c r="B5087" s="11">
        <f>IFERROR(__xludf.DUMMYFUNCTION("""COMPUTED_VALUE"""),8.0)</f>
        <v>8</v>
      </c>
      <c r="C5087" s="11">
        <f>IFERROR(__xludf.DUMMYFUNCTION("""COMPUTED_VALUE"""),90808.0)</f>
        <v>90808</v>
      </c>
      <c r="D5087" s="11">
        <f>IFERROR(__xludf.DUMMYFUNCTION("""COMPUTED_VALUE"""),1799.0)</f>
        <v>1799</v>
      </c>
      <c r="E5087" s="9"/>
    </row>
    <row r="5088">
      <c r="A5088" s="11">
        <f>IFERROR(__xludf.DUMMYFUNCTION("""COMPUTED_VALUE"""),2021.0)</f>
        <v>2021</v>
      </c>
      <c r="B5088" s="11">
        <f>IFERROR(__xludf.DUMMYFUNCTION("""COMPUTED_VALUE"""),10.0)</f>
        <v>10</v>
      </c>
      <c r="C5088" s="11">
        <f>IFERROR(__xludf.DUMMYFUNCTION("""COMPUTED_VALUE"""),5543.0)</f>
        <v>5543</v>
      </c>
      <c r="D5088" s="11">
        <f>IFERROR(__xludf.DUMMYFUNCTION("""COMPUTED_VALUE"""),590.0)</f>
        <v>590</v>
      </c>
      <c r="E5088" s="9"/>
    </row>
    <row r="5089">
      <c r="A5089" s="11">
        <f>IFERROR(__xludf.DUMMYFUNCTION("""COMPUTED_VALUE"""),2021.0)</f>
        <v>2021</v>
      </c>
      <c r="B5089" s="11">
        <f>IFERROR(__xludf.DUMMYFUNCTION("""COMPUTED_VALUE"""),11.0)</f>
        <v>11</v>
      </c>
      <c r="C5089" s="11">
        <f>IFERROR(__xludf.DUMMYFUNCTION("""COMPUTED_VALUE"""),76420.0)</f>
        <v>76420</v>
      </c>
      <c r="D5089" s="11">
        <f>IFERROR(__xludf.DUMMYFUNCTION("""COMPUTED_VALUE"""),470.0)</f>
        <v>470</v>
      </c>
      <c r="E5089" s="9"/>
    </row>
    <row r="5090">
      <c r="A5090" s="11">
        <f>IFERROR(__xludf.DUMMYFUNCTION("""COMPUTED_VALUE"""),2021.0)</f>
        <v>2021</v>
      </c>
      <c r="B5090" s="11">
        <f>IFERROR(__xludf.DUMMYFUNCTION("""COMPUTED_VALUE"""),11.0)</f>
        <v>11</v>
      </c>
      <c r="C5090" s="11">
        <f>IFERROR(__xludf.DUMMYFUNCTION("""COMPUTED_VALUE"""),68364.0)</f>
        <v>68364</v>
      </c>
      <c r="D5090" s="11">
        <f>IFERROR(__xludf.DUMMYFUNCTION("""COMPUTED_VALUE"""),179.0)</f>
        <v>179</v>
      </c>
      <c r="E5090" s="9"/>
    </row>
    <row r="5091">
      <c r="A5091" s="11">
        <f>IFERROR(__xludf.DUMMYFUNCTION("""COMPUTED_VALUE"""),2021.0)</f>
        <v>2021</v>
      </c>
      <c r="B5091" s="11">
        <f>IFERROR(__xludf.DUMMYFUNCTION("""COMPUTED_VALUE"""),10.0)</f>
        <v>10</v>
      </c>
      <c r="C5091" s="11">
        <f>IFERROR(__xludf.DUMMYFUNCTION("""COMPUTED_VALUE"""),5541.0)</f>
        <v>5541</v>
      </c>
      <c r="D5091" s="11">
        <f>IFERROR(__xludf.DUMMYFUNCTION("""COMPUTED_VALUE"""),78.0)</f>
        <v>78</v>
      </c>
      <c r="E5091" s="9"/>
    </row>
    <row r="5092">
      <c r="A5092" s="11">
        <f>IFERROR(__xludf.DUMMYFUNCTION("""COMPUTED_VALUE"""),2021.0)</f>
        <v>2021</v>
      </c>
      <c r="B5092" s="11">
        <f>IFERROR(__xludf.DUMMYFUNCTION("""COMPUTED_VALUE"""),8.0)</f>
        <v>8</v>
      </c>
      <c r="C5092" s="11">
        <f>IFERROR(__xludf.DUMMYFUNCTION("""COMPUTED_VALUE"""),5544.0)</f>
        <v>5544</v>
      </c>
      <c r="D5092" s="11">
        <f>IFERROR(__xludf.DUMMYFUNCTION("""COMPUTED_VALUE"""),1554.0)</f>
        <v>1554</v>
      </c>
      <c r="E5092" s="9"/>
    </row>
    <row r="5093">
      <c r="A5093" s="11">
        <f>IFERROR(__xludf.DUMMYFUNCTION("""COMPUTED_VALUE"""),2021.0)</f>
        <v>2021</v>
      </c>
      <c r="B5093" s="11">
        <f>IFERROR(__xludf.DUMMYFUNCTION("""COMPUTED_VALUE"""),8.0)</f>
        <v>8</v>
      </c>
      <c r="C5093" s="11">
        <f>IFERROR(__xludf.DUMMYFUNCTION("""COMPUTED_VALUE"""),122257.0)</f>
        <v>122257</v>
      </c>
      <c r="D5093" s="11">
        <f>IFERROR(__xludf.DUMMYFUNCTION("""COMPUTED_VALUE"""),960.0)</f>
        <v>960</v>
      </c>
      <c r="E5093" s="9"/>
    </row>
    <row r="5094">
      <c r="A5094" s="11">
        <f>IFERROR(__xludf.DUMMYFUNCTION("""COMPUTED_VALUE"""),2021.0)</f>
        <v>2021</v>
      </c>
      <c r="B5094" s="11">
        <f>IFERROR(__xludf.DUMMYFUNCTION("""COMPUTED_VALUE"""),9.0)</f>
        <v>9</v>
      </c>
      <c r="C5094" s="11">
        <f>IFERROR(__xludf.DUMMYFUNCTION("""COMPUTED_VALUE"""),90740.0)</f>
        <v>90740</v>
      </c>
      <c r="D5094" s="11">
        <f>IFERROR(__xludf.DUMMYFUNCTION("""COMPUTED_VALUE"""),544.0)</f>
        <v>544</v>
      </c>
      <c r="E5094" s="9"/>
    </row>
    <row r="5095">
      <c r="A5095" s="11">
        <f>IFERROR(__xludf.DUMMYFUNCTION("""COMPUTED_VALUE"""),2021.0)</f>
        <v>2021</v>
      </c>
      <c r="B5095" s="11">
        <f>IFERROR(__xludf.DUMMYFUNCTION("""COMPUTED_VALUE"""),9.0)</f>
        <v>9</v>
      </c>
      <c r="C5095" s="11">
        <f>IFERROR(__xludf.DUMMYFUNCTION("""COMPUTED_VALUE"""),48280.0)</f>
        <v>48280</v>
      </c>
      <c r="D5095" s="11">
        <f>IFERROR(__xludf.DUMMYFUNCTION("""COMPUTED_VALUE"""),1583.0)</f>
        <v>1583</v>
      </c>
      <c r="E5095" s="9"/>
    </row>
    <row r="5096">
      <c r="A5096" s="11">
        <f>IFERROR(__xludf.DUMMYFUNCTION("""COMPUTED_VALUE"""),2021.0)</f>
        <v>2021</v>
      </c>
      <c r="B5096" s="11">
        <f>IFERROR(__xludf.DUMMYFUNCTION("""COMPUTED_VALUE"""),9.0)</f>
        <v>9</v>
      </c>
      <c r="C5096" s="11">
        <f>IFERROR(__xludf.DUMMYFUNCTION("""COMPUTED_VALUE"""),71191.0)</f>
        <v>71191</v>
      </c>
      <c r="D5096" s="11">
        <f>IFERROR(__xludf.DUMMYFUNCTION("""COMPUTED_VALUE"""),1089.0)</f>
        <v>1089</v>
      </c>
      <c r="E5096" s="9"/>
    </row>
    <row r="5097">
      <c r="A5097" s="11">
        <f>IFERROR(__xludf.DUMMYFUNCTION("""COMPUTED_VALUE"""),2021.0)</f>
        <v>2021</v>
      </c>
      <c r="B5097" s="11">
        <f>IFERROR(__xludf.DUMMYFUNCTION("""COMPUTED_VALUE"""),9.0)</f>
        <v>9</v>
      </c>
      <c r="C5097" s="11">
        <f>IFERROR(__xludf.DUMMYFUNCTION("""COMPUTED_VALUE"""),76418.0)</f>
        <v>76418</v>
      </c>
      <c r="D5097" s="11">
        <f>IFERROR(__xludf.DUMMYFUNCTION("""COMPUTED_VALUE"""),1900.0)</f>
        <v>1900</v>
      </c>
      <c r="E5097" s="9"/>
    </row>
    <row r="5098">
      <c r="A5098" s="11">
        <f>IFERROR(__xludf.DUMMYFUNCTION("""COMPUTED_VALUE"""),2021.0)</f>
        <v>2021</v>
      </c>
      <c r="B5098" s="11">
        <f>IFERROR(__xludf.DUMMYFUNCTION("""COMPUTED_VALUE"""),9.0)</f>
        <v>9</v>
      </c>
      <c r="C5098" s="11">
        <f>IFERROR(__xludf.DUMMYFUNCTION("""COMPUTED_VALUE"""),87161.0)</f>
        <v>87161</v>
      </c>
      <c r="D5098" s="11">
        <f>IFERROR(__xludf.DUMMYFUNCTION("""COMPUTED_VALUE"""),1345.0)</f>
        <v>1345</v>
      </c>
      <c r="E5098" s="9"/>
    </row>
    <row r="5099">
      <c r="A5099" s="11">
        <f>IFERROR(__xludf.DUMMYFUNCTION("""COMPUTED_VALUE"""),2021.0)</f>
        <v>2021</v>
      </c>
      <c r="B5099" s="11">
        <f>IFERROR(__xludf.DUMMYFUNCTION("""COMPUTED_VALUE"""),11.0)</f>
        <v>11</v>
      </c>
      <c r="C5099" s="11">
        <f>IFERROR(__xludf.DUMMYFUNCTION("""COMPUTED_VALUE"""),68323.0)</f>
        <v>68323</v>
      </c>
      <c r="D5099" s="11">
        <f>IFERROR(__xludf.DUMMYFUNCTION("""COMPUTED_VALUE"""),1919.0)</f>
        <v>1919</v>
      </c>
      <c r="E5099" s="9"/>
    </row>
    <row r="5100">
      <c r="A5100" s="11">
        <f>IFERROR(__xludf.DUMMYFUNCTION("""COMPUTED_VALUE"""),2021.0)</f>
        <v>2021</v>
      </c>
      <c r="B5100" s="11">
        <f>IFERROR(__xludf.DUMMYFUNCTION("""COMPUTED_VALUE"""),8.0)</f>
        <v>8</v>
      </c>
      <c r="C5100" s="11">
        <f>IFERROR(__xludf.DUMMYFUNCTION("""COMPUTED_VALUE"""),72847.0)</f>
        <v>72847</v>
      </c>
      <c r="D5100" s="11">
        <f>IFERROR(__xludf.DUMMYFUNCTION("""COMPUTED_VALUE"""),767.0)</f>
        <v>767</v>
      </c>
      <c r="E5100" s="9"/>
    </row>
    <row r="5101">
      <c r="A5101" s="11">
        <f>IFERROR(__xludf.DUMMYFUNCTION("""COMPUTED_VALUE"""),2021.0)</f>
        <v>2021</v>
      </c>
      <c r="B5101" s="11">
        <f>IFERROR(__xludf.DUMMYFUNCTION("""COMPUTED_VALUE"""),8.0)</f>
        <v>8</v>
      </c>
      <c r="C5101" s="11">
        <f>IFERROR(__xludf.DUMMYFUNCTION("""COMPUTED_VALUE"""),90799.0)</f>
        <v>90799</v>
      </c>
      <c r="D5101" s="11">
        <f>IFERROR(__xludf.DUMMYFUNCTION("""COMPUTED_VALUE"""),653.0)</f>
        <v>653</v>
      </c>
      <c r="E5101" s="9"/>
    </row>
    <row r="5102">
      <c r="A5102" s="11">
        <f>IFERROR(__xludf.DUMMYFUNCTION("""COMPUTED_VALUE"""),2021.0)</f>
        <v>2021</v>
      </c>
      <c r="B5102" s="11">
        <f>IFERROR(__xludf.DUMMYFUNCTION("""COMPUTED_VALUE"""),9.0)</f>
        <v>9</v>
      </c>
      <c r="C5102" s="11">
        <f>IFERROR(__xludf.DUMMYFUNCTION("""COMPUTED_VALUE"""),71194.0)</f>
        <v>71194</v>
      </c>
      <c r="D5102" s="11">
        <f>IFERROR(__xludf.DUMMYFUNCTION("""COMPUTED_VALUE"""),742.0)</f>
        <v>742</v>
      </c>
      <c r="E5102" s="9"/>
    </row>
    <row r="5103">
      <c r="A5103" s="11">
        <f>IFERROR(__xludf.DUMMYFUNCTION("""COMPUTED_VALUE"""),2021.0)</f>
        <v>2021</v>
      </c>
      <c r="B5103" s="11">
        <f>IFERROR(__xludf.DUMMYFUNCTION("""COMPUTED_VALUE"""),11.0)</f>
        <v>11</v>
      </c>
      <c r="C5103" s="11">
        <f>IFERROR(__xludf.DUMMYFUNCTION("""COMPUTED_VALUE"""),68378.0)</f>
        <v>68378</v>
      </c>
      <c r="D5103" s="11">
        <f>IFERROR(__xludf.DUMMYFUNCTION("""COMPUTED_VALUE"""),59.0)</f>
        <v>59</v>
      </c>
      <c r="E5103" s="9"/>
    </row>
    <row r="5104">
      <c r="A5104" s="11">
        <f>IFERROR(__xludf.DUMMYFUNCTION("""COMPUTED_VALUE"""),2021.0)</f>
        <v>2021</v>
      </c>
      <c r="B5104" s="11">
        <f>IFERROR(__xludf.DUMMYFUNCTION("""COMPUTED_VALUE"""),11.0)</f>
        <v>11</v>
      </c>
      <c r="C5104" s="11">
        <f>IFERROR(__xludf.DUMMYFUNCTION("""COMPUTED_VALUE"""),76426.0)</f>
        <v>76426</v>
      </c>
      <c r="D5104" s="11">
        <f>IFERROR(__xludf.DUMMYFUNCTION("""COMPUTED_VALUE"""),614.0)</f>
        <v>614</v>
      </c>
      <c r="E5104" s="9"/>
    </row>
    <row r="5105">
      <c r="A5105" s="11">
        <f>IFERROR(__xludf.DUMMYFUNCTION("""COMPUTED_VALUE"""),2021.0)</f>
        <v>2021</v>
      </c>
      <c r="B5105" s="11">
        <f>IFERROR(__xludf.DUMMYFUNCTION("""COMPUTED_VALUE"""),9.0)</f>
        <v>9</v>
      </c>
      <c r="C5105" s="11">
        <f>IFERROR(__xludf.DUMMYFUNCTION("""COMPUTED_VALUE"""),76413.0)</f>
        <v>76413</v>
      </c>
      <c r="D5105" s="11">
        <f>IFERROR(__xludf.DUMMYFUNCTION("""COMPUTED_VALUE"""),236.0)</f>
        <v>236</v>
      </c>
      <c r="E5105" s="9"/>
    </row>
    <row r="5106">
      <c r="A5106" s="11">
        <f>IFERROR(__xludf.DUMMYFUNCTION("""COMPUTED_VALUE"""),2021.0)</f>
        <v>2021</v>
      </c>
      <c r="B5106" s="11">
        <f>IFERROR(__xludf.DUMMYFUNCTION("""COMPUTED_VALUE"""),8.0)</f>
        <v>8</v>
      </c>
      <c r="C5106" s="11">
        <f>IFERROR(__xludf.DUMMYFUNCTION("""COMPUTED_VALUE"""),68306.0)</f>
        <v>68306</v>
      </c>
      <c r="D5106" s="11">
        <f>IFERROR(__xludf.DUMMYFUNCTION("""COMPUTED_VALUE"""),496.0)</f>
        <v>496</v>
      </c>
      <c r="E5106" s="9"/>
    </row>
    <row r="5107">
      <c r="A5107" s="11">
        <f>IFERROR(__xludf.DUMMYFUNCTION("""COMPUTED_VALUE"""),2021.0)</f>
        <v>2021</v>
      </c>
      <c r="B5107" s="11">
        <f>IFERROR(__xludf.DUMMYFUNCTION("""COMPUTED_VALUE"""),8.0)</f>
        <v>8</v>
      </c>
      <c r="C5107" s="11">
        <f>IFERROR(__xludf.DUMMYFUNCTION("""COMPUTED_VALUE"""),48283.0)</f>
        <v>48283</v>
      </c>
      <c r="D5107" s="11">
        <f>IFERROR(__xludf.DUMMYFUNCTION("""COMPUTED_VALUE"""),1087.0)</f>
        <v>1087</v>
      </c>
      <c r="E5107" s="9"/>
    </row>
    <row r="5108">
      <c r="A5108" s="11">
        <f>IFERROR(__xludf.DUMMYFUNCTION("""COMPUTED_VALUE"""),2021.0)</f>
        <v>2021</v>
      </c>
      <c r="B5108" s="11">
        <f>IFERROR(__xludf.DUMMYFUNCTION("""COMPUTED_VALUE"""),9.0)</f>
        <v>9</v>
      </c>
      <c r="C5108" s="11">
        <f>IFERROR(__xludf.DUMMYFUNCTION("""COMPUTED_VALUE"""),81172.0)</f>
        <v>81172</v>
      </c>
      <c r="D5108" s="11">
        <f>IFERROR(__xludf.DUMMYFUNCTION("""COMPUTED_VALUE"""),109.0)</f>
        <v>109</v>
      </c>
      <c r="E5108" s="9"/>
    </row>
    <row r="5109">
      <c r="A5109" s="11">
        <f>IFERROR(__xludf.DUMMYFUNCTION("""COMPUTED_VALUE"""),2021.0)</f>
        <v>2021</v>
      </c>
      <c r="B5109" s="11">
        <f>IFERROR(__xludf.DUMMYFUNCTION("""COMPUTED_VALUE"""),9.0)</f>
        <v>9</v>
      </c>
      <c r="C5109" s="11">
        <f>IFERROR(__xludf.DUMMYFUNCTION("""COMPUTED_VALUE"""),68328.0)</f>
        <v>68328</v>
      </c>
      <c r="D5109" s="11">
        <f>IFERROR(__xludf.DUMMYFUNCTION("""COMPUTED_VALUE"""),814.0)</f>
        <v>814</v>
      </c>
      <c r="E5109" s="9"/>
    </row>
    <row r="5110">
      <c r="A5110" s="11">
        <f>IFERROR(__xludf.DUMMYFUNCTION("""COMPUTED_VALUE"""),2021.0)</f>
        <v>2021</v>
      </c>
      <c r="B5110" s="11">
        <f>IFERROR(__xludf.DUMMYFUNCTION("""COMPUTED_VALUE"""),10.0)</f>
        <v>10</v>
      </c>
      <c r="C5110" s="11">
        <f>IFERROR(__xludf.DUMMYFUNCTION("""COMPUTED_VALUE"""),158667.0)</f>
        <v>158667</v>
      </c>
      <c r="D5110" s="11">
        <f>IFERROR(__xludf.DUMMYFUNCTION("""COMPUTED_VALUE"""),1899.0)</f>
        <v>1899</v>
      </c>
      <c r="E5110" s="9"/>
    </row>
    <row r="5111">
      <c r="A5111" s="11">
        <f>IFERROR(__xludf.DUMMYFUNCTION("""COMPUTED_VALUE"""),2021.0)</f>
        <v>2021</v>
      </c>
      <c r="B5111" s="11">
        <f>IFERROR(__xludf.DUMMYFUNCTION("""COMPUTED_VALUE"""),9.0)</f>
        <v>9</v>
      </c>
      <c r="C5111" s="11">
        <f>IFERROR(__xludf.DUMMYFUNCTION("""COMPUTED_VALUE"""),5539.0)</f>
        <v>5539</v>
      </c>
      <c r="D5111" s="11">
        <f>IFERROR(__xludf.DUMMYFUNCTION("""COMPUTED_VALUE"""),208.0)</f>
        <v>208</v>
      </c>
      <c r="E5111" s="9"/>
    </row>
    <row r="5112">
      <c r="A5112" s="11">
        <f>IFERROR(__xludf.DUMMYFUNCTION("""COMPUTED_VALUE"""),2021.0)</f>
        <v>2021</v>
      </c>
      <c r="B5112" s="11">
        <f>IFERROR(__xludf.DUMMYFUNCTION("""COMPUTED_VALUE"""),11.0)</f>
        <v>11</v>
      </c>
      <c r="C5112" s="11">
        <f>IFERROR(__xludf.DUMMYFUNCTION("""COMPUTED_VALUE"""),68413.0)</f>
        <v>68413</v>
      </c>
      <c r="D5112" s="11">
        <f>IFERROR(__xludf.DUMMYFUNCTION("""COMPUTED_VALUE"""),1493.0)</f>
        <v>1493</v>
      </c>
      <c r="E5112" s="9"/>
    </row>
    <row r="5113">
      <c r="A5113" s="11">
        <f>IFERROR(__xludf.DUMMYFUNCTION("""COMPUTED_VALUE"""),2021.0)</f>
        <v>2021</v>
      </c>
      <c r="B5113" s="11">
        <f>IFERROR(__xludf.DUMMYFUNCTION("""COMPUTED_VALUE"""),9.0)</f>
        <v>9</v>
      </c>
      <c r="C5113" s="11">
        <f>IFERROR(__xludf.DUMMYFUNCTION("""COMPUTED_VALUE"""),68345.0)</f>
        <v>68345</v>
      </c>
      <c r="D5113" s="11">
        <f>IFERROR(__xludf.DUMMYFUNCTION("""COMPUTED_VALUE"""),23.0)</f>
        <v>23</v>
      </c>
      <c r="E5113" s="9"/>
    </row>
    <row r="5114">
      <c r="A5114" s="11">
        <f>IFERROR(__xludf.DUMMYFUNCTION("""COMPUTED_VALUE"""),2021.0)</f>
        <v>2021</v>
      </c>
      <c r="B5114" s="11">
        <f>IFERROR(__xludf.DUMMYFUNCTION("""COMPUTED_VALUE"""),9.0)</f>
        <v>9</v>
      </c>
      <c r="C5114" s="11">
        <f>IFERROR(__xludf.DUMMYFUNCTION("""COMPUTED_VALUE"""),70377.0)</f>
        <v>70377</v>
      </c>
      <c r="D5114" s="11">
        <f>IFERROR(__xludf.DUMMYFUNCTION("""COMPUTED_VALUE"""),1458.0)</f>
        <v>1458</v>
      </c>
      <c r="E5114" s="9"/>
    </row>
    <row r="5115">
      <c r="A5115" s="11">
        <f>IFERROR(__xludf.DUMMYFUNCTION("""COMPUTED_VALUE"""),2021.0)</f>
        <v>2021</v>
      </c>
      <c r="B5115" s="11">
        <f>IFERROR(__xludf.DUMMYFUNCTION("""COMPUTED_VALUE"""),10.0)</f>
        <v>10</v>
      </c>
      <c r="C5115" s="11">
        <f>IFERROR(__xludf.DUMMYFUNCTION("""COMPUTED_VALUE"""),126547.0)</f>
        <v>126547</v>
      </c>
      <c r="D5115" s="11">
        <f>IFERROR(__xludf.DUMMYFUNCTION("""COMPUTED_VALUE"""),1241.0)</f>
        <v>1241</v>
      </c>
      <c r="E5115" s="9"/>
    </row>
    <row r="5116">
      <c r="A5116" s="11">
        <f>IFERROR(__xludf.DUMMYFUNCTION("""COMPUTED_VALUE"""),2021.0)</f>
        <v>2021</v>
      </c>
      <c r="B5116" s="11">
        <f>IFERROR(__xludf.DUMMYFUNCTION("""COMPUTED_VALUE"""),9.0)</f>
        <v>9</v>
      </c>
      <c r="C5116" s="11">
        <f>IFERROR(__xludf.DUMMYFUNCTION("""COMPUTED_VALUE"""),117218.0)</f>
        <v>117218</v>
      </c>
      <c r="D5116" s="11">
        <f>IFERROR(__xludf.DUMMYFUNCTION("""COMPUTED_VALUE"""),1871.0)</f>
        <v>1871</v>
      </c>
      <c r="E5116" s="9"/>
    </row>
    <row r="5117">
      <c r="A5117" s="11">
        <f>IFERROR(__xludf.DUMMYFUNCTION("""COMPUTED_VALUE"""),2021.0)</f>
        <v>2021</v>
      </c>
      <c r="B5117" s="11">
        <f>IFERROR(__xludf.DUMMYFUNCTION("""COMPUTED_VALUE"""),8.0)</f>
        <v>8</v>
      </c>
      <c r="C5117" s="11">
        <f>IFERROR(__xludf.DUMMYFUNCTION("""COMPUTED_VALUE"""),158668.0)</f>
        <v>158668</v>
      </c>
      <c r="D5117" s="11">
        <f>IFERROR(__xludf.DUMMYFUNCTION("""COMPUTED_VALUE"""),690.0)</f>
        <v>690</v>
      </c>
      <c r="E5117" s="9"/>
    </row>
    <row r="5118">
      <c r="A5118" s="11">
        <f>IFERROR(__xludf.DUMMYFUNCTION("""COMPUTED_VALUE"""),2021.0)</f>
        <v>2021</v>
      </c>
      <c r="B5118" s="11">
        <f>IFERROR(__xludf.DUMMYFUNCTION("""COMPUTED_VALUE"""),9.0)</f>
        <v>9</v>
      </c>
      <c r="C5118" s="11">
        <f>IFERROR(__xludf.DUMMYFUNCTION("""COMPUTED_VALUE"""),19314.0)</f>
        <v>19314</v>
      </c>
      <c r="D5118" s="11">
        <f>IFERROR(__xludf.DUMMYFUNCTION("""COMPUTED_VALUE"""),326.0)</f>
        <v>326</v>
      </c>
      <c r="E5118" s="9"/>
    </row>
    <row r="5119">
      <c r="A5119" s="11">
        <f>IFERROR(__xludf.DUMMYFUNCTION("""COMPUTED_VALUE"""),2021.0)</f>
        <v>2021</v>
      </c>
      <c r="B5119" s="11">
        <f>IFERROR(__xludf.DUMMYFUNCTION("""COMPUTED_VALUE"""),11.0)</f>
        <v>11</v>
      </c>
      <c r="C5119" s="11">
        <f>IFERROR(__xludf.DUMMYFUNCTION("""COMPUTED_VALUE"""),113867.0)</f>
        <v>113867</v>
      </c>
      <c r="D5119" s="11">
        <f>IFERROR(__xludf.DUMMYFUNCTION("""COMPUTED_VALUE"""),695.0)</f>
        <v>695</v>
      </c>
      <c r="E5119" s="9"/>
    </row>
    <row r="5120">
      <c r="A5120" s="11">
        <f>IFERROR(__xludf.DUMMYFUNCTION("""COMPUTED_VALUE"""),2021.0)</f>
        <v>2021</v>
      </c>
      <c r="B5120" s="11">
        <f>IFERROR(__xludf.DUMMYFUNCTION("""COMPUTED_VALUE"""),11.0)</f>
        <v>11</v>
      </c>
      <c r="C5120" s="11">
        <f>IFERROR(__xludf.DUMMYFUNCTION("""COMPUTED_VALUE"""),19294.0)</f>
        <v>19294</v>
      </c>
      <c r="D5120" s="11">
        <f>IFERROR(__xludf.DUMMYFUNCTION("""COMPUTED_VALUE"""),15.0)</f>
        <v>15</v>
      </c>
      <c r="E5120" s="9"/>
    </row>
    <row r="5121">
      <c r="A5121" s="11">
        <f>IFERROR(__xludf.DUMMYFUNCTION("""COMPUTED_VALUE"""),2021.0)</f>
        <v>2021</v>
      </c>
      <c r="B5121" s="11">
        <f>IFERROR(__xludf.DUMMYFUNCTION("""COMPUTED_VALUE"""),11.0)</f>
        <v>11</v>
      </c>
      <c r="C5121" s="11">
        <f>IFERROR(__xludf.DUMMYFUNCTION("""COMPUTED_VALUE"""),90961.0)</f>
        <v>90961</v>
      </c>
      <c r="D5121" s="11">
        <f>IFERROR(__xludf.DUMMYFUNCTION("""COMPUTED_VALUE"""),1568.0)</f>
        <v>1568</v>
      </c>
      <c r="E5121" s="9"/>
    </row>
    <row r="5122">
      <c r="A5122" s="11">
        <f>IFERROR(__xludf.DUMMYFUNCTION("""COMPUTED_VALUE"""),2021.0)</f>
        <v>2021</v>
      </c>
      <c r="B5122" s="11">
        <f>IFERROR(__xludf.DUMMYFUNCTION("""COMPUTED_VALUE"""),9.0)</f>
        <v>9</v>
      </c>
      <c r="C5122" s="11">
        <f>IFERROR(__xludf.DUMMYFUNCTION("""COMPUTED_VALUE"""),118480.0)</f>
        <v>118480</v>
      </c>
      <c r="D5122" s="11">
        <f>IFERROR(__xludf.DUMMYFUNCTION("""COMPUTED_VALUE"""),1933.0)</f>
        <v>1933</v>
      </c>
      <c r="E5122" s="9"/>
    </row>
    <row r="5123">
      <c r="A5123" s="11">
        <f>IFERROR(__xludf.DUMMYFUNCTION("""COMPUTED_VALUE"""),2021.0)</f>
        <v>2021</v>
      </c>
      <c r="B5123" s="11">
        <f>IFERROR(__xludf.DUMMYFUNCTION("""COMPUTED_VALUE"""),10.0)</f>
        <v>10</v>
      </c>
      <c r="C5123" s="11">
        <f>IFERROR(__xludf.DUMMYFUNCTION("""COMPUTED_VALUE"""),98337.0)</f>
        <v>98337</v>
      </c>
      <c r="D5123" s="11">
        <f>IFERROR(__xludf.DUMMYFUNCTION("""COMPUTED_VALUE"""),216.0)</f>
        <v>216</v>
      </c>
      <c r="E5123" s="9"/>
    </row>
    <row r="5124">
      <c r="A5124" s="11">
        <f>IFERROR(__xludf.DUMMYFUNCTION("""COMPUTED_VALUE"""),2021.0)</f>
        <v>2021</v>
      </c>
      <c r="B5124" s="11">
        <f>IFERROR(__xludf.DUMMYFUNCTION("""COMPUTED_VALUE"""),9.0)</f>
        <v>9</v>
      </c>
      <c r="C5124" s="11">
        <f>IFERROR(__xludf.DUMMYFUNCTION("""COMPUTED_VALUE"""),90955.0)</f>
        <v>90955</v>
      </c>
      <c r="D5124" s="11">
        <f>IFERROR(__xludf.DUMMYFUNCTION("""COMPUTED_VALUE"""),223.0)</f>
        <v>223</v>
      </c>
      <c r="E5124" s="9"/>
    </row>
    <row r="5125">
      <c r="A5125" s="11">
        <f>IFERROR(__xludf.DUMMYFUNCTION("""COMPUTED_VALUE"""),2021.0)</f>
        <v>2021</v>
      </c>
      <c r="B5125" s="11">
        <f>IFERROR(__xludf.DUMMYFUNCTION("""COMPUTED_VALUE"""),11.0)</f>
        <v>11</v>
      </c>
      <c r="C5125" s="11">
        <f>IFERROR(__xludf.DUMMYFUNCTION("""COMPUTED_VALUE"""),19303.0)</f>
        <v>19303</v>
      </c>
      <c r="D5125" s="11">
        <f>IFERROR(__xludf.DUMMYFUNCTION("""COMPUTED_VALUE"""),141.0)</f>
        <v>141</v>
      </c>
      <c r="E5125" s="9"/>
    </row>
    <row r="5126">
      <c r="A5126" s="11">
        <f>IFERROR(__xludf.DUMMYFUNCTION("""COMPUTED_VALUE"""),2021.0)</f>
        <v>2021</v>
      </c>
      <c r="B5126" s="11">
        <f>IFERROR(__xludf.DUMMYFUNCTION("""COMPUTED_VALUE"""),8.0)</f>
        <v>8</v>
      </c>
      <c r="C5126" s="11">
        <f>IFERROR(__xludf.DUMMYFUNCTION("""COMPUTED_VALUE"""),98338.0)</f>
        <v>98338</v>
      </c>
      <c r="D5126" s="11">
        <f>IFERROR(__xludf.DUMMYFUNCTION("""COMPUTED_VALUE"""),1619.0)</f>
        <v>1619</v>
      </c>
      <c r="E5126" s="9"/>
    </row>
    <row r="5127">
      <c r="A5127" s="11">
        <f>IFERROR(__xludf.DUMMYFUNCTION("""COMPUTED_VALUE"""),2021.0)</f>
        <v>2021</v>
      </c>
      <c r="B5127" s="11">
        <f>IFERROR(__xludf.DUMMYFUNCTION("""COMPUTED_VALUE"""),9.0)</f>
        <v>9</v>
      </c>
      <c r="C5127" s="11">
        <f>IFERROR(__xludf.DUMMYFUNCTION("""COMPUTED_VALUE"""),98339.0)</f>
        <v>98339</v>
      </c>
      <c r="D5127" s="11">
        <f>IFERROR(__xludf.DUMMYFUNCTION("""COMPUTED_VALUE"""),1465.0)</f>
        <v>1465</v>
      </c>
      <c r="E5127" s="9"/>
    </row>
    <row r="5128">
      <c r="A5128" s="11">
        <f>IFERROR(__xludf.DUMMYFUNCTION("""COMPUTED_VALUE"""),2021.0)</f>
        <v>2021</v>
      </c>
      <c r="B5128" s="11">
        <f>IFERROR(__xludf.DUMMYFUNCTION("""COMPUTED_VALUE"""),10.0)</f>
        <v>10</v>
      </c>
      <c r="C5128" s="11">
        <f>IFERROR(__xludf.DUMMYFUNCTION("""COMPUTED_VALUE"""),19296.0)</f>
        <v>19296</v>
      </c>
      <c r="D5128" s="11">
        <f>IFERROR(__xludf.DUMMYFUNCTION("""COMPUTED_VALUE"""),368.0)</f>
        <v>368</v>
      </c>
      <c r="E5128" s="9"/>
    </row>
    <row r="5129">
      <c r="A5129" s="11">
        <f>IFERROR(__xludf.DUMMYFUNCTION("""COMPUTED_VALUE"""),2021.0)</f>
        <v>2021</v>
      </c>
      <c r="B5129" s="11">
        <f>IFERROR(__xludf.DUMMYFUNCTION("""COMPUTED_VALUE"""),11.0)</f>
        <v>11</v>
      </c>
      <c r="C5129" s="11">
        <f>IFERROR(__xludf.DUMMYFUNCTION("""COMPUTED_VALUE"""),19306.0)</f>
        <v>19306</v>
      </c>
      <c r="D5129" s="11">
        <f>IFERROR(__xludf.DUMMYFUNCTION("""COMPUTED_VALUE"""),1478.0)</f>
        <v>1478</v>
      </c>
      <c r="E5129" s="9"/>
    </row>
    <row r="5130">
      <c r="A5130" s="11">
        <f>IFERROR(__xludf.DUMMYFUNCTION("""COMPUTED_VALUE"""),2021.0)</f>
        <v>2021</v>
      </c>
      <c r="B5130" s="11">
        <f>IFERROR(__xludf.DUMMYFUNCTION("""COMPUTED_VALUE"""),11.0)</f>
        <v>11</v>
      </c>
      <c r="C5130" s="11">
        <f>IFERROR(__xludf.DUMMYFUNCTION("""COMPUTED_VALUE"""),90969.0)</f>
        <v>90969</v>
      </c>
      <c r="D5130" s="11">
        <f>IFERROR(__xludf.DUMMYFUNCTION("""COMPUTED_VALUE"""),1792.0)</f>
        <v>1792</v>
      </c>
      <c r="E5130" s="9"/>
    </row>
    <row r="5131">
      <c r="A5131" s="11">
        <f>IFERROR(__xludf.DUMMYFUNCTION("""COMPUTED_VALUE"""),2021.0)</f>
        <v>2021</v>
      </c>
      <c r="B5131" s="11">
        <f>IFERROR(__xludf.DUMMYFUNCTION("""COMPUTED_VALUE"""),11.0)</f>
        <v>11</v>
      </c>
      <c r="C5131" s="11">
        <f>IFERROR(__xludf.DUMMYFUNCTION("""COMPUTED_VALUE"""),19299.0)</f>
        <v>19299</v>
      </c>
      <c r="D5131" s="11">
        <f>IFERROR(__xludf.DUMMYFUNCTION("""COMPUTED_VALUE"""),131.0)</f>
        <v>131</v>
      </c>
      <c r="E5131" s="9"/>
    </row>
    <row r="5132">
      <c r="A5132" s="11">
        <f>IFERROR(__xludf.DUMMYFUNCTION("""COMPUTED_VALUE"""),2021.0)</f>
        <v>2021</v>
      </c>
      <c r="B5132" s="11">
        <f>IFERROR(__xludf.DUMMYFUNCTION("""COMPUTED_VALUE"""),10.0)</f>
        <v>10</v>
      </c>
      <c r="C5132" s="11">
        <f>IFERROR(__xludf.DUMMYFUNCTION("""COMPUTED_VALUE"""),5764.0)</f>
        <v>5764</v>
      </c>
      <c r="D5132" s="11">
        <f>IFERROR(__xludf.DUMMYFUNCTION("""COMPUTED_VALUE"""),442.0)</f>
        <v>442</v>
      </c>
      <c r="E5132" s="9"/>
    </row>
    <row r="5133">
      <c r="A5133" s="11">
        <f>IFERROR(__xludf.DUMMYFUNCTION("""COMPUTED_VALUE"""),2021.0)</f>
        <v>2021</v>
      </c>
      <c r="B5133" s="11">
        <f>IFERROR(__xludf.DUMMYFUNCTION("""COMPUTED_VALUE"""),9.0)</f>
        <v>9</v>
      </c>
      <c r="C5133" s="11">
        <f>IFERROR(__xludf.DUMMYFUNCTION("""COMPUTED_VALUE"""),114667.0)</f>
        <v>114667</v>
      </c>
      <c r="D5133" s="11">
        <f>IFERROR(__xludf.DUMMYFUNCTION("""COMPUTED_VALUE"""),1694.0)</f>
        <v>1694</v>
      </c>
      <c r="E5133" s="9"/>
    </row>
    <row r="5134">
      <c r="A5134" s="11">
        <f>IFERROR(__xludf.DUMMYFUNCTION("""COMPUTED_VALUE"""),2021.0)</f>
        <v>2021</v>
      </c>
      <c r="B5134" s="11">
        <f>IFERROR(__xludf.DUMMYFUNCTION("""COMPUTED_VALUE"""),11.0)</f>
        <v>11</v>
      </c>
      <c r="C5134" s="11">
        <f>IFERROR(__xludf.DUMMYFUNCTION("""COMPUTED_VALUE"""),113870.0)</f>
        <v>113870</v>
      </c>
      <c r="D5134" s="11">
        <f>IFERROR(__xludf.DUMMYFUNCTION("""COMPUTED_VALUE"""),380.0)</f>
        <v>380</v>
      </c>
      <c r="E5134" s="9"/>
    </row>
    <row r="5135">
      <c r="A5135" s="11">
        <f>IFERROR(__xludf.DUMMYFUNCTION("""COMPUTED_VALUE"""),2021.0)</f>
        <v>2021</v>
      </c>
      <c r="B5135" s="11">
        <f>IFERROR(__xludf.DUMMYFUNCTION("""COMPUTED_VALUE"""),11.0)</f>
        <v>11</v>
      </c>
      <c r="C5135" s="11">
        <f>IFERROR(__xludf.DUMMYFUNCTION("""COMPUTED_VALUE"""),127918.0)</f>
        <v>127918</v>
      </c>
      <c r="D5135" s="11">
        <f>IFERROR(__xludf.DUMMYFUNCTION("""COMPUTED_VALUE"""),444.0)</f>
        <v>444</v>
      </c>
      <c r="E5135" s="9"/>
    </row>
    <row r="5136">
      <c r="A5136" s="11">
        <f>IFERROR(__xludf.DUMMYFUNCTION("""COMPUTED_VALUE"""),2021.0)</f>
        <v>2021</v>
      </c>
      <c r="B5136" s="11">
        <f>IFERROR(__xludf.DUMMYFUNCTION("""COMPUTED_VALUE"""),10.0)</f>
        <v>10</v>
      </c>
      <c r="C5136" s="11">
        <f>IFERROR(__xludf.DUMMYFUNCTION("""COMPUTED_VALUE"""),127917.0)</f>
        <v>127917</v>
      </c>
      <c r="D5136" s="11">
        <f>IFERROR(__xludf.DUMMYFUNCTION("""COMPUTED_VALUE"""),777.0)</f>
        <v>777</v>
      </c>
      <c r="E5136" s="9"/>
    </row>
    <row r="5137">
      <c r="A5137" s="11">
        <f>IFERROR(__xludf.DUMMYFUNCTION("""COMPUTED_VALUE"""),2021.0)</f>
        <v>2021</v>
      </c>
      <c r="B5137" s="11">
        <f>IFERROR(__xludf.DUMMYFUNCTION("""COMPUTED_VALUE"""),8.0)</f>
        <v>8</v>
      </c>
      <c r="C5137" s="11">
        <f>IFERROR(__xludf.DUMMYFUNCTION("""COMPUTED_VALUE"""),19297.0)</f>
        <v>19297</v>
      </c>
      <c r="D5137" s="11">
        <f>IFERROR(__xludf.DUMMYFUNCTION("""COMPUTED_VALUE"""),770.0)</f>
        <v>770</v>
      </c>
      <c r="E5137" s="9"/>
    </row>
    <row r="5138">
      <c r="A5138" s="11">
        <f>IFERROR(__xludf.DUMMYFUNCTION("""COMPUTED_VALUE"""),2021.0)</f>
        <v>2021</v>
      </c>
      <c r="B5138" s="11">
        <f>IFERROR(__xludf.DUMMYFUNCTION("""COMPUTED_VALUE"""),10.0)</f>
        <v>10</v>
      </c>
      <c r="C5138" s="11">
        <f>IFERROR(__xludf.DUMMYFUNCTION("""COMPUTED_VALUE"""),19316.0)</f>
        <v>19316</v>
      </c>
      <c r="D5138" s="11">
        <f>IFERROR(__xludf.DUMMYFUNCTION("""COMPUTED_VALUE"""),1293.0)</f>
        <v>1293</v>
      </c>
      <c r="E5138" s="9"/>
    </row>
    <row r="5139">
      <c r="A5139" s="11">
        <f>IFERROR(__xludf.DUMMYFUNCTION("""COMPUTED_VALUE"""),2021.0)</f>
        <v>2021</v>
      </c>
      <c r="B5139" s="11">
        <f>IFERROR(__xludf.DUMMYFUNCTION("""COMPUTED_VALUE"""),10.0)</f>
        <v>10</v>
      </c>
      <c r="C5139" s="11">
        <f>IFERROR(__xludf.DUMMYFUNCTION("""COMPUTED_VALUE"""),118481.0)</f>
        <v>118481</v>
      </c>
      <c r="D5139" s="11">
        <f>IFERROR(__xludf.DUMMYFUNCTION("""COMPUTED_VALUE"""),509.0)</f>
        <v>509</v>
      </c>
      <c r="E5139" s="9"/>
    </row>
    <row r="5140">
      <c r="A5140" s="11">
        <f>IFERROR(__xludf.DUMMYFUNCTION("""COMPUTED_VALUE"""),2021.0)</f>
        <v>2021</v>
      </c>
      <c r="B5140" s="11">
        <f>IFERROR(__xludf.DUMMYFUNCTION("""COMPUTED_VALUE"""),10.0)</f>
        <v>10</v>
      </c>
      <c r="C5140" s="11">
        <f>IFERROR(__xludf.DUMMYFUNCTION("""COMPUTED_VALUE"""),118366.0)</f>
        <v>118366</v>
      </c>
      <c r="D5140" s="11">
        <f>IFERROR(__xludf.DUMMYFUNCTION("""COMPUTED_VALUE"""),1051.0)</f>
        <v>1051</v>
      </c>
      <c r="E5140" s="9"/>
    </row>
    <row r="5141">
      <c r="A5141" s="11">
        <f>IFERROR(__xludf.DUMMYFUNCTION("""COMPUTED_VALUE"""),2021.0)</f>
        <v>2021</v>
      </c>
      <c r="B5141" s="11">
        <f>IFERROR(__xludf.DUMMYFUNCTION("""COMPUTED_VALUE"""),10.0)</f>
        <v>10</v>
      </c>
      <c r="C5141" s="11">
        <f>IFERROR(__xludf.DUMMYFUNCTION("""COMPUTED_VALUE"""),111183.0)</f>
        <v>111183</v>
      </c>
      <c r="D5141" s="11">
        <f>IFERROR(__xludf.DUMMYFUNCTION("""COMPUTED_VALUE"""),1109.0)</f>
        <v>1109</v>
      </c>
      <c r="E5141" s="9"/>
    </row>
    <row r="5142">
      <c r="A5142" s="11">
        <f>IFERROR(__xludf.DUMMYFUNCTION("""COMPUTED_VALUE"""),2021.0)</f>
        <v>2021</v>
      </c>
      <c r="B5142" s="11">
        <f>IFERROR(__xludf.DUMMYFUNCTION("""COMPUTED_VALUE"""),11.0)</f>
        <v>11</v>
      </c>
      <c r="C5142" s="11">
        <f>IFERROR(__xludf.DUMMYFUNCTION("""COMPUTED_VALUE"""),124735.0)</f>
        <v>124735</v>
      </c>
      <c r="D5142" s="11">
        <f>IFERROR(__xludf.DUMMYFUNCTION("""COMPUTED_VALUE"""),665.0)</f>
        <v>665</v>
      </c>
      <c r="E5142" s="9"/>
    </row>
    <row r="5143">
      <c r="A5143" s="11">
        <f>IFERROR(__xludf.DUMMYFUNCTION("""COMPUTED_VALUE"""),2021.0)</f>
        <v>2021</v>
      </c>
      <c r="B5143" s="11">
        <f>IFERROR(__xludf.DUMMYFUNCTION("""COMPUTED_VALUE"""),8.0)</f>
        <v>8</v>
      </c>
      <c r="C5143" s="11">
        <f>IFERROR(__xludf.DUMMYFUNCTION("""COMPUTED_VALUE"""),78727.0)</f>
        <v>78727</v>
      </c>
      <c r="D5143" s="11">
        <f>IFERROR(__xludf.DUMMYFUNCTION("""COMPUTED_VALUE"""),1060.0)</f>
        <v>1060</v>
      </c>
      <c r="E5143" s="9"/>
    </row>
    <row r="5144">
      <c r="A5144" s="11">
        <f>IFERROR(__xludf.DUMMYFUNCTION("""COMPUTED_VALUE"""),2021.0)</f>
        <v>2021</v>
      </c>
      <c r="B5144" s="11">
        <f>IFERROR(__xludf.DUMMYFUNCTION("""COMPUTED_VALUE"""),8.0)</f>
        <v>8</v>
      </c>
      <c r="C5144" s="11">
        <f>IFERROR(__xludf.DUMMYFUNCTION("""COMPUTED_VALUE"""),111182.0)</f>
        <v>111182</v>
      </c>
      <c r="D5144" s="11">
        <f>IFERROR(__xludf.DUMMYFUNCTION("""COMPUTED_VALUE"""),1528.0)</f>
        <v>1528</v>
      </c>
      <c r="E5144" s="9"/>
    </row>
    <row r="5145">
      <c r="A5145" s="11">
        <f>IFERROR(__xludf.DUMMYFUNCTION("""COMPUTED_VALUE"""),2021.0)</f>
        <v>2021</v>
      </c>
      <c r="B5145" s="11">
        <f>IFERROR(__xludf.DUMMYFUNCTION("""COMPUTED_VALUE"""),8.0)</f>
        <v>8</v>
      </c>
      <c r="C5145" s="11">
        <f>IFERROR(__xludf.DUMMYFUNCTION("""COMPUTED_VALUE"""),78734.0)</f>
        <v>78734</v>
      </c>
      <c r="D5145" s="11">
        <f>IFERROR(__xludf.DUMMYFUNCTION("""COMPUTED_VALUE"""),683.0)</f>
        <v>683</v>
      </c>
      <c r="E5145" s="9"/>
    </row>
    <row r="5146">
      <c r="A5146" s="11">
        <f>IFERROR(__xludf.DUMMYFUNCTION("""COMPUTED_VALUE"""),2021.0)</f>
        <v>2021</v>
      </c>
      <c r="B5146" s="11">
        <f>IFERROR(__xludf.DUMMYFUNCTION("""COMPUTED_VALUE"""),8.0)</f>
        <v>8</v>
      </c>
      <c r="C5146" s="11">
        <f>IFERROR(__xludf.DUMMYFUNCTION("""COMPUTED_VALUE"""),78729.0)</f>
        <v>78729</v>
      </c>
      <c r="D5146" s="11">
        <f>IFERROR(__xludf.DUMMYFUNCTION("""COMPUTED_VALUE"""),263.0)</f>
        <v>263</v>
      </c>
      <c r="E5146" s="9"/>
    </row>
    <row r="5147">
      <c r="A5147" s="11">
        <f>IFERROR(__xludf.DUMMYFUNCTION("""COMPUTED_VALUE"""),2021.0)</f>
        <v>2021</v>
      </c>
      <c r="B5147" s="11">
        <f>IFERROR(__xludf.DUMMYFUNCTION("""COMPUTED_VALUE"""),10.0)</f>
        <v>10</v>
      </c>
      <c r="C5147" s="11">
        <f>IFERROR(__xludf.DUMMYFUNCTION("""COMPUTED_VALUE"""),111662.0)</f>
        <v>111662</v>
      </c>
      <c r="D5147" s="11">
        <f>IFERROR(__xludf.DUMMYFUNCTION("""COMPUTED_VALUE"""),1234.0)</f>
        <v>1234</v>
      </c>
      <c r="E5147" s="9"/>
    </row>
    <row r="5148">
      <c r="A5148" s="11">
        <f>IFERROR(__xludf.DUMMYFUNCTION("""COMPUTED_VALUE"""),2021.0)</f>
        <v>2021</v>
      </c>
      <c r="B5148" s="11">
        <f>IFERROR(__xludf.DUMMYFUNCTION("""COMPUTED_VALUE"""),9.0)</f>
        <v>9</v>
      </c>
      <c r="C5148" s="11">
        <f>IFERROR(__xludf.DUMMYFUNCTION("""COMPUTED_VALUE"""),78728.0)</f>
        <v>78728</v>
      </c>
      <c r="D5148" s="11">
        <f>IFERROR(__xludf.DUMMYFUNCTION("""COMPUTED_VALUE"""),1537.0)</f>
        <v>1537</v>
      </c>
      <c r="E5148" s="9"/>
    </row>
    <row r="5149">
      <c r="A5149" s="11">
        <f>IFERROR(__xludf.DUMMYFUNCTION("""COMPUTED_VALUE"""),2021.0)</f>
        <v>2021</v>
      </c>
      <c r="B5149" s="11">
        <f>IFERROR(__xludf.DUMMYFUNCTION("""COMPUTED_VALUE"""),9.0)</f>
        <v>9</v>
      </c>
      <c r="C5149" s="11">
        <f>IFERROR(__xludf.DUMMYFUNCTION("""COMPUTED_VALUE"""),119082.0)</f>
        <v>119082</v>
      </c>
      <c r="D5149" s="11">
        <f>IFERROR(__xludf.DUMMYFUNCTION("""COMPUTED_VALUE"""),743.0)</f>
        <v>743</v>
      </c>
      <c r="E5149" s="9"/>
    </row>
    <row r="5150">
      <c r="A5150" s="11">
        <f>IFERROR(__xludf.DUMMYFUNCTION("""COMPUTED_VALUE"""),2021.0)</f>
        <v>2021</v>
      </c>
      <c r="B5150" s="11">
        <f>IFERROR(__xludf.DUMMYFUNCTION("""COMPUTED_VALUE"""),11.0)</f>
        <v>11</v>
      </c>
      <c r="C5150" s="11">
        <f>IFERROR(__xludf.DUMMYFUNCTION("""COMPUTED_VALUE"""),5770.0)</f>
        <v>5770</v>
      </c>
      <c r="D5150" s="11">
        <f>IFERROR(__xludf.DUMMYFUNCTION("""COMPUTED_VALUE"""),1218.0)</f>
        <v>1218</v>
      </c>
      <c r="E5150" s="9"/>
    </row>
    <row r="5151">
      <c r="A5151" s="11">
        <f>IFERROR(__xludf.DUMMYFUNCTION("""COMPUTED_VALUE"""),2021.0)</f>
        <v>2021</v>
      </c>
      <c r="B5151" s="11">
        <f>IFERROR(__xludf.DUMMYFUNCTION("""COMPUTED_VALUE"""),8.0)</f>
        <v>8</v>
      </c>
      <c r="C5151" s="11">
        <f>IFERROR(__xludf.DUMMYFUNCTION("""COMPUTED_VALUE"""),103072.0)</f>
        <v>103072</v>
      </c>
      <c r="D5151" s="11">
        <f>IFERROR(__xludf.DUMMYFUNCTION("""COMPUTED_VALUE"""),1760.0)</f>
        <v>1760</v>
      </c>
      <c r="E5151" s="9"/>
    </row>
    <row r="5152">
      <c r="A5152" s="11">
        <f>IFERROR(__xludf.DUMMYFUNCTION("""COMPUTED_VALUE"""),2021.0)</f>
        <v>2021</v>
      </c>
      <c r="B5152" s="11">
        <f>IFERROR(__xludf.DUMMYFUNCTION("""COMPUTED_VALUE"""),10.0)</f>
        <v>10</v>
      </c>
      <c r="C5152" s="11">
        <f>IFERROR(__xludf.DUMMYFUNCTION("""COMPUTED_VALUE"""),19344.0)</f>
        <v>19344</v>
      </c>
      <c r="D5152" s="11">
        <f>IFERROR(__xludf.DUMMYFUNCTION("""COMPUTED_VALUE"""),714.0)</f>
        <v>714</v>
      </c>
      <c r="E5152" s="9"/>
    </row>
    <row r="5153">
      <c r="A5153" s="11">
        <f>IFERROR(__xludf.DUMMYFUNCTION("""COMPUTED_VALUE"""),2021.0)</f>
        <v>2021</v>
      </c>
      <c r="B5153" s="11">
        <f>IFERROR(__xludf.DUMMYFUNCTION("""COMPUTED_VALUE"""),11.0)</f>
        <v>11</v>
      </c>
      <c r="C5153" s="11">
        <f>IFERROR(__xludf.DUMMYFUNCTION("""COMPUTED_VALUE"""),84219.0)</f>
        <v>84219</v>
      </c>
      <c r="D5153" s="11">
        <f>IFERROR(__xludf.DUMMYFUNCTION("""COMPUTED_VALUE"""),124.0)</f>
        <v>124</v>
      </c>
      <c r="E5153" s="9"/>
    </row>
    <row r="5154">
      <c r="A5154" s="11">
        <f>IFERROR(__xludf.DUMMYFUNCTION("""COMPUTED_VALUE"""),2021.0)</f>
        <v>2021</v>
      </c>
      <c r="B5154" s="11">
        <f>IFERROR(__xludf.DUMMYFUNCTION("""COMPUTED_VALUE"""),8.0)</f>
        <v>8</v>
      </c>
      <c r="C5154" s="11">
        <f>IFERROR(__xludf.DUMMYFUNCTION("""COMPUTED_VALUE"""),19345.0)</f>
        <v>19345</v>
      </c>
      <c r="D5154" s="11">
        <f>IFERROR(__xludf.DUMMYFUNCTION("""COMPUTED_VALUE"""),31.0)</f>
        <v>31</v>
      </c>
      <c r="E5154" s="9"/>
    </row>
    <row r="5155">
      <c r="A5155" s="11">
        <f>IFERROR(__xludf.DUMMYFUNCTION("""COMPUTED_VALUE"""),2021.0)</f>
        <v>2021</v>
      </c>
      <c r="B5155" s="11">
        <f>IFERROR(__xludf.DUMMYFUNCTION("""COMPUTED_VALUE"""),8.0)</f>
        <v>8</v>
      </c>
      <c r="C5155" s="11">
        <f>IFERROR(__xludf.DUMMYFUNCTION("""COMPUTED_VALUE"""),90816.0)</f>
        <v>90816</v>
      </c>
      <c r="D5155" s="11">
        <f>IFERROR(__xludf.DUMMYFUNCTION("""COMPUTED_VALUE"""),1452.0)</f>
        <v>1452</v>
      </c>
      <c r="E5155" s="9"/>
    </row>
    <row r="5156">
      <c r="A5156" s="11">
        <f>IFERROR(__xludf.DUMMYFUNCTION("""COMPUTED_VALUE"""),2021.0)</f>
        <v>2021</v>
      </c>
      <c r="B5156" s="11">
        <f>IFERROR(__xludf.DUMMYFUNCTION("""COMPUTED_VALUE"""),10.0)</f>
        <v>10</v>
      </c>
      <c r="C5156" s="11">
        <f>IFERROR(__xludf.DUMMYFUNCTION("""COMPUTED_VALUE"""),23198.0)</f>
        <v>23198</v>
      </c>
      <c r="D5156" s="11">
        <f>IFERROR(__xludf.DUMMYFUNCTION("""COMPUTED_VALUE"""),758.0)</f>
        <v>758</v>
      </c>
      <c r="E5156" s="9"/>
    </row>
    <row r="5157">
      <c r="A5157" s="11">
        <f>IFERROR(__xludf.DUMMYFUNCTION("""COMPUTED_VALUE"""),2021.0)</f>
        <v>2021</v>
      </c>
      <c r="B5157" s="11">
        <f>IFERROR(__xludf.DUMMYFUNCTION("""COMPUTED_VALUE"""),10.0)</f>
        <v>10</v>
      </c>
      <c r="C5157" s="11">
        <f>IFERROR(__xludf.DUMMYFUNCTION("""COMPUTED_VALUE"""),87207.0)</f>
        <v>87207</v>
      </c>
      <c r="D5157" s="11">
        <f>IFERROR(__xludf.DUMMYFUNCTION("""COMPUTED_VALUE"""),98.0)</f>
        <v>98</v>
      </c>
      <c r="E5157" s="9"/>
    </row>
    <row r="5158">
      <c r="A5158" s="11">
        <f>IFERROR(__xludf.DUMMYFUNCTION("""COMPUTED_VALUE"""),2021.0)</f>
        <v>2021</v>
      </c>
      <c r="B5158" s="11">
        <f>IFERROR(__xludf.DUMMYFUNCTION("""COMPUTED_VALUE"""),8.0)</f>
        <v>8</v>
      </c>
      <c r="C5158" s="11">
        <f>IFERROR(__xludf.DUMMYFUNCTION("""COMPUTED_VALUE"""),5694.0)</f>
        <v>5694</v>
      </c>
      <c r="D5158" s="11">
        <f>IFERROR(__xludf.DUMMYFUNCTION("""COMPUTED_VALUE"""),1412.0)</f>
        <v>1412</v>
      </c>
      <c r="E5158" s="9"/>
    </row>
    <row r="5159">
      <c r="A5159" s="11">
        <f>IFERROR(__xludf.DUMMYFUNCTION("""COMPUTED_VALUE"""),2021.0)</f>
        <v>2021</v>
      </c>
      <c r="B5159" s="11">
        <f>IFERROR(__xludf.DUMMYFUNCTION("""COMPUTED_VALUE"""),8.0)</f>
        <v>8</v>
      </c>
      <c r="C5159" s="11">
        <f>IFERROR(__xludf.DUMMYFUNCTION("""COMPUTED_VALUE"""),119084.0)</f>
        <v>119084</v>
      </c>
      <c r="D5159" s="11">
        <f>IFERROR(__xludf.DUMMYFUNCTION("""COMPUTED_VALUE"""),1943.0)</f>
        <v>1943</v>
      </c>
      <c r="E5159" s="9"/>
    </row>
    <row r="5160">
      <c r="A5160" s="11">
        <f>IFERROR(__xludf.DUMMYFUNCTION("""COMPUTED_VALUE"""),2021.0)</f>
        <v>2021</v>
      </c>
      <c r="B5160" s="11">
        <f>IFERROR(__xludf.DUMMYFUNCTION("""COMPUTED_VALUE"""),11.0)</f>
        <v>11</v>
      </c>
      <c r="C5160" s="11">
        <f>IFERROR(__xludf.DUMMYFUNCTION("""COMPUTED_VALUE"""),127927.0)</f>
        <v>127927</v>
      </c>
      <c r="D5160" s="11">
        <f>IFERROR(__xludf.DUMMYFUNCTION("""COMPUTED_VALUE"""),914.0)</f>
        <v>914</v>
      </c>
      <c r="E5160" s="9"/>
    </row>
    <row r="5161">
      <c r="A5161" s="11">
        <f>IFERROR(__xludf.DUMMYFUNCTION("""COMPUTED_VALUE"""),2021.0)</f>
        <v>2021</v>
      </c>
      <c r="B5161" s="11">
        <f>IFERROR(__xludf.DUMMYFUNCTION("""COMPUTED_VALUE"""),8.0)</f>
        <v>8</v>
      </c>
      <c r="C5161" s="11">
        <f>IFERROR(__xludf.DUMMYFUNCTION("""COMPUTED_VALUE"""),111184.0)</f>
        <v>111184</v>
      </c>
      <c r="D5161" s="11">
        <f>IFERROR(__xludf.DUMMYFUNCTION("""COMPUTED_VALUE"""),1369.0)</f>
        <v>1369</v>
      </c>
      <c r="E5161" s="9"/>
    </row>
    <row r="5162">
      <c r="A5162" s="11">
        <f>IFERROR(__xludf.DUMMYFUNCTION("""COMPUTED_VALUE"""),2021.0)</f>
        <v>2021</v>
      </c>
      <c r="B5162" s="11">
        <f>IFERROR(__xludf.DUMMYFUNCTION("""COMPUTED_VALUE"""),8.0)</f>
        <v>8</v>
      </c>
      <c r="C5162" s="11">
        <f>IFERROR(__xludf.DUMMYFUNCTION("""COMPUTED_VALUE"""),19341.0)</f>
        <v>19341</v>
      </c>
      <c r="D5162" s="11">
        <f>IFERROR(__xludf.DUMMYFUNCTION("""COMPUTED_VALUE"""),518.0)</f>
        <v>518</v>
      </c>
      <c r="E5162" s="9"/>
    </row>
    <row r="5163">
      <c r="A5163" s="11">
        <f>IFERROR(__xludf.DUMMYFUNCTION("""COMPUTED_VALUE"""),2021.0)</f>
        <v>2021</v>
      </c>
      <c r="B5163" s="11">
        <f>IFERROR(__xludf.DUMMYFUNCTION("""COMPUTED_VALUE"""),8.0)</f>
        <v>8</v>
      </c>
      <c r="C5163" s="11">
        <f>IFERROR(__xludf.DUMMYFUNCTION("""COMPUTED_VALUE"""),118485.0)</f>
        <v>118485</v>
      </c>
      <c r="D5163" s="11">
        <f>IFERROR(__xludf.DUMMYFUNCTION("""COMPUTED_VALUE"""),664.0)</f>
        <v>664</v>
      </c>
      <c r="E5163" s="9"/>
    </row>
    <row r="5164">
      <c r="A5164" s="11">
        <f>IFERROR(__xludf.DUMMYFUNCTION("""COMPUTED_VALUE"""),2021.0)</f>
        <v>2021</v>
      </c>
      <c r="B5164" s="11">
        <f>IFERROR(__xludf.DUMMYFUNCTION("""COMPUTED_VALUE"""),8.0)</f>
        <v>8</v>
      </c>
      <c r="C5164" s="11">
        <f>IFERROR(__xludf.DUMMYFUNCTION("""COMPUTED_VALUE"""),110565.0)</f>
        <v>110565</v>
      </c>
      <c r="D5164" s="11">
        <f>IFERROR(__xludf.DUMMYFUNCTION("""COMPUTED_VALUE"""),653.0)</f>
        <v>653</v>
      </c>
      <c r="E5164" s="9"/>
    </row>
    <row r="5165">
      <c r="A5165" s="11">
        <f>IFERROR(__xludf.DUMMYFUNCTION("""COMPUTED_VALUE"""),2021.0)</f>
        <v>2021</v>
      </c>
      <c r="B5165" s="11">
        <f>IFERROR(__xludf.DUMMYFUNCTION("""COMPUTED_VALUE"""),9.0)</f>
        <v>9</v>
      </c>
      <c r="C5165" s="11">
        <f>IFERROR(__xludf.DUMMYFUNCTION("""COMPUTED_VALUE"""),118484.0)</f>
        <v>118484</v>
      </c>
      <c r="D5165" s="11">
        <f>IFERROR(__xludf.DUMMYFUNCTION("""COMPUTED_VALUE"""),781.0)</f>
        <v>781</v>
      </c>
      <c r="E5165" s="9"/>
    </row>
    <row r="5166">
      <c r="A5166" s="11">
        <f>IFERROR(__xludf.DUMMYFUNCTION("""COMPUTED_VALUE"""),2021.0)</f>
        <v>2021</v>
      </c>
      <c r="B5166" s="11">
        <f>IFERROR(__xludf.DUMMYFUNCTION("""COMPUTED_VALUE"""),11.0)</f>
        <v>11</v>
      </c>
      <c r="C5166" s="11">
        <f>IFERROR(__xludf.DUMMYFUNCTION("""COMPUTED_VALUE"""),107652.0)</f>
        <v>107652</v>
      </c>
      <c r="D5166" s="11">
        <f>IFERROR(__xludf.DUMMYFUNCTION("""COMPUTED_VALUE"""),1953.0)</f>
        <v>1953</v>
      </c>
      <c r="E5166" s="9"/>
    </row>
    <row r="5167">
      <c r="A5167" s="11">
        <f>IFERROR(__xludf.DUMMYFUNCTION("""COMPUTED_VALUE"""),2021.0)</f>
        <v>2021</v>
      </c>
      <c r="B5167" s="11">
        <f>IFERROR(__xludf.DUMMYFUNCTION("""COMPUTED_VALUE"""),9.0)</f>
        <v>9</v>
      </c>
      <c r="C5167" s="11">
        <f>IFERROR(__xludf.DUMMYFUNCTION("""COMPUTED_VALUE"""),107673.0)</f>
        <v>107673</v>
      </c>
      <c r="D5167" s="11">
        <f>IFERROR(__xludf.DUMMYFUNCTION("""COMPUTED_VALUE"""),381.0)</f>
        <v>381</v>
      </c>
      <c r="E5167" s="9"/>
    </row>
    <row r="5168">
      <c r="A5168" s="11">
        <f>IFERROR(__xludf.DUMMYFUNCTION("""COMPUTED_VALUE"""),2021.0)</f>
        <v>2021</v>
      </c>
      <c r="B5168" s="11">
        <f>IFERROR(__xludf.DUMMYFUNCTION("""COMPUTED_VALUE"""),10.0)</f>
        <v>10</v>
      </c>
      <c r="C5168" s="11">
        <f>IFERROR(__xludf.DUMMYFUNCTION("""COMPUTED_VALUE"""),107902.0)</f>
        <v>107902</v>
      </c>
      <c r="D5168" s="11">
        <f>IFERROR(__xludf.DUMMYFUNCTION("""COMPUTED_VALUE"""),1470.0)</f>
        <v>1470</v>
      </c>
      <c r="E5168" s="9"/>
    </row>
    <row r="5169">
      <c r="A5169" s="11">
        <f>IFERROR(__xludf.DUMMYFUNCTION("""COMPUTED_VALUE"""),2021.0)</f>
        <v>2021</v>
      </c>
      <c r="B5169" s="11">
        <f>IFERROR(__xludf.DUMMYFUNCTION("""COMPUTED_VALUE"""),9.0)</f>
        <v>9</v>
      </c>
      <c r="C5169" s="11">
        <f>IFERROR(__xludf.DUMMYFUNCTION("""COMPUTED_VALUE"""),19340.0)</f>
        <v>19340</v>
      </c>
      <c r="D5169" s="11">
        <f>IFERROR(__xludf.DUMMYFUNCTION("""COMPUTED_VALUE"""),1665.0)</f>
        <v>1665</v>
      </c>
      <c r="E5169" s="9"/>
    </row>
    <row r="5170">
      <c r="A5170" s="11">
        <f>IFERROR(__xludf.DUMMYFUNCTION("""COMPUTED_VALUE"""),2021.0)</f>
        <v>2021</v>
      </c>
      <c r="B5170" s="11">
        <f>IFERROR(__xludf.DUMMYFUNCTION("""COMPUTED_VALUE"""),8.0)</f>
        <v>8</v>
      </c>
      <c r="C5170" s="11">
        <f>IFERROR(__xludf.DUMMYFUNCTION("""COMPUTED_VALUE"""),69190.0)</f>
        <v>69190</v>
      </c>
      <c r="D5170" s="11">
        <f>IFERROR(__xludf.DUMMYFUNCTION("""COMPUTED_VALUE"""),1134.0)</f>
        <v>1134</v>
      </c>
      <c r="E5170" s="9"/>
    </row>
    <row r="5171">
      <c r="A5171" s="11">
        <f>IFERROR(__xludf.DUMMYFUNCTION("""COMPUTED_VALUE"""),2021.0)</f>
        <v>2021</v>
      </c>
      <c r="B5171" s="11">
        <f>IFERROR(__xludf.DUMMYFUNCTION("""COMPUTED_VALUE"""),8.0)</f>
        <v>8</v>
      </c>
      <c r="C5171" s="11">
        <f>IFERROR(__xludf.DUMMYFUNCTION("""COMPUTED_VALUE"""),48451.0)</f>
        <v>48451</v>
      </c>
      <c r="D5171" s="11">
        <f>IFERROR(__xludf.DUMMYFUNCTION("""COMPUTED_VALUE"""),872.0)</f>
        <v>872</v>
      </c>
      <c r="E5171" s="9"/>
    </row>
    <row r="5172">
      <c r="A5172" s="11">
        <f>IFERROR(__xludf.DUMMYFUNCTION("""COMPUTED_VALUE"""),2021.0)</f>
        <v>2021</v>
      </c>
      <c r="B5172" s="11">
        <f>IFERROR(__xludf.DUMMYFUNCTION("""COMPUTED_VALUE"""),9.0)</f>
        <v>9</v>
      </c>
      <c r="C5172" s="11">
        <f>IFERROR(__xludf.DUMMYFUNCTION("""COMPUTED_VALUE"""),19339.0)</f>
        <v>19339</v>
      </c>
      <c r="D5172" s="11">
        <f>IFERROR(__xludf.DUMMYFUNCTION("""COMPUTED_VALUE"""),973.0)</f>
        <v>973</v>
      </c>
      <c r="E5172" s="9"/>
    </row>
    <row r="5173">
      <c r="A5173" s="11">
        <f>IFERROR(__xludf.DUMMYFUNCTION("""COMPUTED_VALUE"""),2021.0)</f>
        <v>2021</v>
      </c>
      <c r="B5173" s="11">
        <f>IFERROR(__xludf.DUMMYFUNCTION("""COMPUTED_VALUE"""),10.0)</f>
        <v>10</v>
      </c>
      <c r="C5173" s="11">
        <f>IFERROR(__xludf.DUMMYFUNCTION("""COMPUTED_VALUE"""),69195.0)</f>
        <v>69195</v>
      </c>
      <c r="D5173" s="11">
        <f>IFERROR(__xludf.DUMMYFUNCTION("""COMPUTED_VALUE"""),866.0)</f>
        <v>866</v>
      </c>
      <c r="E5173" s="9"/>
    </row>
    <row r="5174">
      <c r="A5174" s="11">
        <f>IFERROR(__xludf.DUMMYFUNCTION("""COMPUTED_VALUE"""),2021.0)</f>
        <v>2021</v>
      </c>
      <c r="B5174" s="11">
        <f>IFERROR(__xludf.DUMMYFUNCTION("""COMPUTED_VALUE"""),9.0)</f>
        <v>9</v>
      </c>
      <c r="C5174" s="11">
        <f>IFERROR(__xludf.DUMMYFUNCTION("""COMPUTED_VALUE"""),77192.0)</f>
        <v>77192</v>
      </c>
      <c r="D5174" s="11">
        <f>IFERROR(__xludf.DUMMYFUNCTION("""COMPUTED_VALUE"""),389.0)</f>
        <v>389</v>
      </c>
      <c r="E5174" s="9"/>
    </row>
    <row r="5175">
      <c r="A5175" s="11">
        <f>IFERROR(__xludf.DUMMYFUNCTION("""COMPUTED_VALUE"""),2021.0)</f>
        <v>2021</v>
      </c>
      <c r="B5175" s="11">
        <f>IFERROR(__xludf.DUMMYFUNCTION("""COMPUTED_VALUE"""),11.0)</f>
        <v>11</v>
      </c>
      <c r="C5175" s="11">
        <f>IFERROR(__xludf.DUMMYFUNCTION("""COMPUTED_VALUE"""),95922.0)</f>
        <v>95922</v>
      </c>
      <c r="D5175" s="11">
        <f>IFERROR(__xludf.DUMMYFUNCTION("""COMPUTED_VALUE"""),1911.0)</f>
        <v>1911</v>
      </c>
      <c r="E5175" s="9"/>
    </row>
    <row r="5176">
      <c r="A5176" s="11">
        <f>IFERROR(__xludf.DUMMYFUNCTION("""COMPUTED_VALUE"""),2021.0)</f>
        <v>2021</v>
      </c>
      <c r="B5176" s="11">
        <f>IFERROR(__xludf.DUMMYFUNCTION("""COMPUTED_VALUE"""),11.0)</f>
        <v>11</v>
      </c>
      <c r="C5176" s="11">
        <f>IFERROR(__xludf.DUMMYFUNCTION("""COMPUTED_VALUE"""),116779.0)</f>
        <v>116779</v>
      </c>
      <c r="D5176" s="11">
        <f>IFERROR(__xludf.DUMMYFUNCTION("""COMPUTED_VALUE"""),536.0)</f>
        <v>536</v>
      </c>
      <c r="E5176" s="9"/>
    </row>
    <row r="5177">
      <c r="A5177" s="11">
        <f>IFERROR(__xludf.DUMMYFUNCTION("""COMPUTED_VALUE"""),2021.0)</f>
        <v>2021</v>
      </c>
      <c r="B5177" s="11">
        <f>IFERROR(__xludf.DUMMYFUNCTION("""COMPUTED_VALUE"""),10.0)</f>
        <v>10</v>
      </c>
      <c r="C5177" s="11">
        <f>IFERROR(__xludf.DUMMYFUNCTION("""COMPUTED_VALUE"""),69238.0)</f>
        <v>69238</v>
      </c>
      <c r="D5177" s="11">
        <f>IFERROR(__xludf.DUMMYFUNCTION("""COMPUTED_VALUE"""),1859.0)</f>
        <v>1859</v>
      </c>
      <c r="E5177" s="9"/>
    </row>
    <row r="5178">
      <c r="A5178" s="11">
        <f>IFERROR(__xludf.DUMMYFUNCTION("""COMPUTED_VALUE"""),2021.0)</f>
        <v>2021</v>
      </c>
      <c r="B5178" s="11">
        <f>IFERROR(__xludf.DUMMYFUNCTION("""COMPUTED_VALUE"""),10.0)</f>
        <v>10</v>
      </c>
      <c r="C5178" s="11">
        <f>IFERROR(__xludf.DUMMYFUNCTION("""COMPUTED_VALUE"""),19337.0)</f>
        <v>19337</v>
      </c>
      <c r="D5178" s="11">
        <f>IFERROR(__xludf.DUMMYFUNCTION("""COMPUTED_VALUE"""),834.0)</f>
        <v>834</v>
      </c>
      <c r="E5178" s="9"/>
    </row>
    <row r="5179">
      <c r="A5179" s="11">
        <f>IFERROR(__xludf.DUMMYFUNCTION("""COMPUTED_VALUE"""),2021.0)</f>
        <v>2021</v>
      </c>
      <c r="B5179" s="11">
        <f>IFERROR(__xludf.DUMMYFUNCTION("""COMPUTED_VALUE"""),8.0)</f>
        <v>8</v>
      </c>
      <c r="C5179" s="11">
        <f>IFERROR(__xludf.DUMMYFUNCTION("""COMPUTED_VALUE"""),19326.0)</f>
        <v>19326</v>
      </c>
      <c r="D5179" s="11">
        <f>IFERROR(__xludf.DUMMYFUNCTION("""COMPUTED_VALUE"""),1308.0)</f>
        <v>1308</v>
      </c>
      <c r="E5179" s="9"/>
    </row>
    <row r="5180">
      <c r="A5180" s="11">
        <f>IFERROR(__xludf.DUMMYFUNCTION("""COMPUTED_VALUE"""),2021.0)</f>
        <v>2021</v>
      </c>
      <c r="B5180" s="11">
        <f>IFERROR(__xludf.DUMMYFUNCTION("""COMPUTED_VALUE"""),11.0)</f>
        <v>11</v>
      </c>
      <c r="C5180" s="11">
        <f>IFERROR(__xludf.DUMMYFUNCTION("""COMPUTED_VALUE"""),69251.0)</f>
        <v>69251</v>
      </c>
      <c r="D5180" s="11">
        <f>IFERROR(__xludf.DUMMYFUNCTION("""COMPUTED_VALUE"""),608.0)</f>
        <v>608</v>
      </c>
      <c r="E5180" s="9"/>
    </row>
    <row r="5181">
      <c r="A5181" s="11">
        <f>IFERROR(__xludf.DUMMYFUNCTION("""COMPUTED_VALUE"""),2021.0)</f>
        <v>2021</v>
      </c>
      <c r="B5181" s="11">
        <f>IFERROR(__xludf.DUMMYFUNCTION("""COMPUTED_VALUE"""),11.0)</f>
        <v>11</v>
      </c>
      <c r="C5181" s="11">
        <f>IFERROR(__xludf.DUMMYFUNCTION("""COMPUTED_VALUE"""),81871.0)</f>
        <v>81871</v>
      </c>
      <c r="D5181" s="11">
        <f>IFERROR(__xludf.DUMMYFUNCTION("""COMPUTED_VALUE"""),1171.0)</f>
        <v>1171</v>
      </c>
      <c r="E5181" s="9"/>
    </row>
    <row r="5182">
      <c r="A5182" s="11">
        <f>IFERROR(__xludf.DUMMYFUNCTION("""COMPUTED_VALUE"""),2021.0)</f>
        <v>2021</v>
      </c>
      <c r="B5182" s="11">
        <f>IFERROR(__xludf.DUMMYFUNCTION("""COMPUTED_VALUE"""),9.0)</f>
        <v>9</v>
      </c>
      <c r="C5182" s="11">
        <f>IFERROR(__xludf.DUMMYFUNCTION("""COMPUTED_VALUE"""),19321.0)</f>
        <v>19321</v>
      </c>
      <c r="D5182" s="11">
        <f>IFERROR(__xludf.DUMMYFUNCTION("""COMPUTED_VALUE"""),1557.0)</f>
        <v>1557</v>
      </c>
      <c r="E5182" s="9"/>
    </row>
    <row r="5183">
      <c r="A5183" s="11">
        <f>IFERROR(__xludf.DUMMYFUNCTION("""COMPUTED_VALUE"""),2021.0)</f>
        <v>2021</v>
      </c>
      <c r="B5183" s="11">
        <f>IFERROR(__xludf.DUMMYFUNCTION("""COMPUTED_VALUE"""),11.0)</f>
        <v>11</v>
      </c>
      <c r="C5183" s="11">
        <f>IFERROR(__xludf.DUMMYFUNCTION("""COMPUTED_VALUE"""),117618.0)</f>
        <v>117618</v>
      </c>
      <c r="D5183" s="11">
        <f>IFERROR(__xludf.DUMMYFUNCTION("""COMPUTED_VALUE"""),1630.0)</f>
        <v>1630</v>
      </c>
      <c r="E5183" s="9"/>
    </row>
    <row r="5184">
      <c r="A5184" s="11">
        <f>IFERROR(__xludf.DUMMYFUNCTION("""COMPUTED_VALUE"""),2021.0)</f>
        <v>2021</v>
      </c>
      <c r="B5184" s="11">
        <f>IFERROR(__xludf.DUMMYFUNCTION("""COMPUTED_VALUE"""),11.0)</f>
        <v>11</v>
      </c>
      <c r="C5184" s="11">
        <f>IFERROR(__xludf.DUMMYFUNCTION("""COMPUTED_VALUE"""),117623.0)</f>
        <v>117623</v>
      </c>
      <c r="D5184" s="11">
        <f>IFERROR(__xludf.DUMMYFUNCTION("""COMPUTED_VALUE"""),215.0)</f>
        <v>215</v>
      </c>
      <c r="E5184" s="9"/>
    </row>
    <row r="5185">
      <c r="A5185" s="11">
        <f>IFERROR(__xludf.DUMMYFUNCTION("""COMPUTED_VALUE"""),2021.0)</f>
        <v>2021</v>
      </c>
      <c r="B5185" s="11">
        <f>IFERROR(__xludf.DUMMYFUNCTION("""COMPUTED_VALUE"""),10.0)</f>
        <v>10</v>
      </c>
      <c r="C5185" s="11">
        <f>IFERROR(__xludf.DUMMYFUNCTION("""COMPUTED_VALUE"""),117614.0)</f>
        <v>117614</v>
      </c>
      <c r="D5185" s="11">
        <f>IFERROR(__xludf.DUMMYFUNCTION("""COMPUTED_VALUE"""),883.0)</f>
        <v>883</v>
      </c>
      <c r="E5185" s="9"/>
    </row>
    <row r="5186">
      <c r="A5186" s="11">
        <f>IFERROR(__xludf.DUMMYFUNCTION("""COMPUTED_VALUE"""),2021.0)</f>
        <v>2021</v>
      </c>
      <c r="B5186" s="11">
        <f>IFERROR(__xludf.DUMMYFUNCTION("""COMPUTED_VALUE"""),11.0)</f>
        <v>11</v>
      </c>
      <c r="C5186" s="11">
        <f>IFERROR(__xludf.DUMMYFUNCTION("""COMPUTED_VALUE"""),14393.0)</f>
        <v>14393</v>
      </c>
      <c r="D5186" s="11">
        <f>IFERROR(__xludf.DUMMYFUNCTION("""COMPUTED_VALUE"""),1073.0)</f>
        <v>1073</v>
      </c>
      <c r="E5186" s="9"/>
    </row>
    <row r="5187">
      <c r="A5187" s="11">
        <f>IFERROR(__xludf.DUMMYFUNCTION("""COMPUTED_VALUE"""),2021.0)</f>
        <v>2021</v>
      </c>
      <c r="B5187" s="11">
        <f>IFERROR(__xludf.DUMMYFUNCTION("""COMPUTED_VALUE"""),8.0)</f>
        <v>8</v>
      </c>
      <c r="C5187" s="11">
        <f>IFERROR(__xludf.DUMMYFUNCTION("""COMPUTED_VALUE"""),70419.0)</f>
        <v>70419</v>
      </c>
      <c r="D5187" s="11">
        <f>IFERROR(__xludf.DUMMYFUNCTION("""COMPUTED_VALUE"""),1278.0)</f>
        <v>1278</v>
      </c>
      <c r="E5187" s="9"/>
    </row>
    <row r="5188">
      <c r="A5188" s="11">
        <f>IFERROR(__xludf.DUMMYFUNCTION("""COMPUTED_VALUE"""),2021.0)</f>
        <v>2021</v>
      </c>
      <c r="B5188" s="11">
        <f>IFERROR(__xludf.DUMMYFUNCTION("""COMPUTED_VALUE"""),8.0)</f>
        <v>8</v>
      </c>
      <c r="C5188" s="11">
        <f>IFERROR(__xludf.DUMMYFUNCTION("""COMPUTED_VALUE"""),111147.0)</f>
        <v>111147</v>
      </c>
      <c r="D5188" s="11">
        <f>IFERROR(__xludf.DUMMYFUNCTION("""COMPUTED_VALUE"""),65.0)</f>
        <v>65</v>
      </c>
      <c r="E5188" s="9"/>
    </row>
    <row r="5189">
      <c r="A5189" s="11">
        <f>IFERROR(__xludf.DUMMYFUNCTION("""COMPUTED_VALUE"""),2021.0)</f>
        <v>2021</v>
      </c>
      <c r="B5189" s="11">
        <f>IFERROR(__xludf.DUMMYFUNCTION("""COMPUTED_VALUE"""),8.0)</f>
        <v>8</v>
      </c>
      <c r="C5189" s="11">
        <f>IFERROR(__xludf.DUMMYFUNCTION("""COMPUTED_VALUE"""),4325.0)</f>
        <v>4325</v>
      </c>
      <c r="D5189" s="11">
        <f>IFERROR(__xludf.DUMMYFUNCTION("""COMPUTED_VALUE"""),1379.0)</f>
        <v>1379</v>
      </c>
      <c r="E5189" s="9"/>
    </row>
    <row r="5190">
      <c r="A5190" s="11">
        <f>IFERROR(__xludf.DUMMYFUNCTION("""COMPUTED_VALUE"""),2021.0)</f>
        <v>2021</v>
      </c>
      <c r="B5190" s="11">
        <f>IFERROR(__xludf.DUMMYFUNCTION("""COMPUTED_VALUE"""),9.0)</f>
        <v>9</v>
      </c>
      <c r="C5190" s="11">
        <f>IFERROR(__xludf.DUMMYFUNCTION("""COMPUTED_VALUE"""),4321.0)</f>
        <v>4321</v>
      </c>
      <c r="D5190" s="11">
        <f>IFERROR(__xludf.DUMMYFUNCTION("""COMPUTED_VALUE"""),846.0)</f>
        <v>846</v>
      </c>
      <c r="E5190" s="9"/>
    </row>
    <row r="5191">
      <c r="A5191" s="11">
        <f>IFERROR(__xludf.DUMMYFUNCTION("""COMPUTED_VALUE"""),2021.0)</f>
        <v>2021</v>
      </c>
      <c r="B5191" s="11">
        <f>IFERROR(__xludf.DUMMYFUNCTION("""COMPUTED_VALUE"""),8.0)</f>
        <v>8</v>
      </c>
      <c r="C5191" s="11">
        <f>IFERROR(__xludf.DUMMYFUNCTION("""COMPUTED_VALUE"""),70418.0)</f>
        <v>70418</v>
      </c>
      <c r="D5191" s="11">
        <f>IFERROR(__xludf.DUMMYFUNCTION("""COMPUTED_VALUE"""),600.0)</f>
        <v>600</v>
      </c>
      <c r="E5191" s="9"/>
    </row>
    <row r="5192">
      <c r="A5192" s="11">
        <f>IFERROR(__xludf.DUMMYFUNCTION("""COMPUTED_VALUE"""),2021.0)</f>
        <v>2021</v>
      </c>
      <c r="B5192" s="11">
        <f>IFERROR(__xludf.DUMMYFUNCTION("""COMPUTED_VALUE"""),11.0)</f>
        <v>11</v>
      </c>
      <c r="C5192" s="11">
        <f>IFERROR(__xludf.DUMMYFUNCTION("""COMPUTED_VALUE"""),80648.0)</f>
        <v>80648</v>
      </c>
      <c r="D5192" s="11">
        <f>IFERROR(__xludf.DUMMYFUNCTION("""COMPUTED_VALUE"""),704.0)</f>
        <v>704</v>
      </c>
      <c r="E5192" s="9"/>
    </row>
    <row r="5193">
      <c r="A5193" s="11">
        <f>IFERROR(__xludf.DUMMYFUNCTION("""COMPUTED_VALUE"""),2021.0)</f>
        <v>2021</v>
      </c>
      <c r="B5193" s="11">
        <f>IFERROR(__xludf.DUMMYFUNCTION("""COMPUTED_VALUE"""),11.0)</f>
        <v>11</v>
      </c>
      <c r="C5193" s="11">
        <f>IFERROR(__xludf.DUMMYFUNCTION("""COMPUTED_VALUE"""),70417.0)</f>
        <v>70417</v>
      </c>
      <c r="D5193" s="11">
        <f>IFERROR(__xludf.DUMMYFUNCTION("""COMPUTED_VALUE"""),363.0)</f>
        <v>363</v>
      </c>
      <c r="E5193" s="9"/>
    </row>
    <row r="5194">
      <c r="A5194" s="11">
        <f>IFERROR(__xludf.DUMMYFUNCTION("""COMPUTED_VALUE"""),2021.0)</f>
        <v>2021</v>
      </c>
      <c r="B5194" s="11">
        <f>IFERROR(__xludf.DUMMYFUNCTION("""COMPUTED_VALUE"""),11.0)</f>
        <v>11</v>
      </c>
      <c r="C5194" s="11">
        <f>IFERROR(__xludf.DUMMYFUNCTION("""COMPUTED_VALUE"""),79420.0)</f>
        <v>79420</v>
      </c>
      <c r="D5194" s="11">
        <f>IFERROR(__xludf.DUMMYFUNCTION("""COMPUTED_VALUE"""),156.0)</f>
        <v>156</v>
      </c>
      <c r="E5194" s="9"/>
    </row>
    <row r="5195">
      <c r="A5195" s="11">
        <f>IFERROR(__xludf.DUMMYFUNCTION("""COMPUTED_VALUE"""),2021.0)</f>
        <v>2021</v>
      </c>
      <c r="B5195" s="11">
        <f>IFERROR(__xludf.DUMMYFUNCTION("""COMPUTED_VALUE"""),9.0)</f>
        <v>9</v>
      </c>
      <c r="C5195" s="11">
        <f>IFERROR(__xludf.DUMMYFUNCTION("""COMPUTED_VALUE"""),4327.0)</f>
        <v>4327</v>
      </c>
      <c r="D5195" s="11">
        <f>IFERROR(__xludf.DUMMYFUNCTION("""COMPUTED_VALUE"""),1672.0)</f>
        <v>1672</v>
      </c>
      <c r="E5195" s="9"/>
    </row>
    <row r="5196">
      <c r="A5196" s="11">
        <f>IFERROR(__xludf.DUMMYFUNCTION("""COMPUTED_VALUE"""),2021.0)</f>
        <v>2021</v>
      </c>
      <c r="B5196" s="11">
        <f>IFERROR(__xludf.DUMMYFUNCTION("""COMPUTED_VALUE"""),11.0)</f>
        <v>11</v>
      </c>
      <c r="C5196" s="11">
        <f>IFERROR(__xludf.DUMMYFUNCTION("""COMPUTED_VALUE"""),89505.0)</f>
        <v>89505</v>
      </c>
      <c r="D5196" s="11">
        <f>IFERROR(__xludf.DUMMYFUNCTION("""COMPUTED_VALUE"""),83.0)</f>
        <v>83</v>
      </c>
      <c r="E5196" s="9"/>
    </row>
    <row r="5197">
      <c r="A5197" s="11">
        <f>IFERROR(__xludf.DUMMYFUNCTION("""COMPUTED_VALUE"""),2021.0)</f>
        <v>2021</v>
      </c>
      <c r="B5197" s="11">
        <f>IFERROR(__xludf.DUMMYFUNCTION("""COMPUTED_VALUE"""),9.0)</f>
        <v>9</v>
      </c>
      <c r="C5197" s="11">
        <f>IFERROR(__xludf.DUMMYFUNCTION("""COMPUTED_VALUE"""),128344.0)</f>
        <v>128344</v>
      </c>
      <c r="D5197" s="11">
        <f>IFERROR(__xludf.DUMMYFUNCTION("""COMPUTED_VALUE"""),1655.0)</f>
        <v>1655</v>
      </c>
      <c r="E5197" s="9"/>
    </row>
    <row r="5198">
      <c r="A5198" s="11">
        <f>IFERROR(__xludf.DUMMYFUNCTION("""COMPUTED_VALUE"""),2021.0)</f>
        <v>2021</v>
      </c>
      <c r="B5198" s="11">
        <f>IFERROR(__xludf.DUMMYFUNCTION("""COMPUTED_VALUE"""),9.0)</f>
        <v>9</v>
      </c>
      <c r="C5198" s="11">
        <f>IFERROR(__xludf.DUMMYFUNCTION("""COMPUTED_VALUE"""),79421.0)</f>
        <v>79421</v>
      </c>
      <c r="D5198" s="11">
        <f>IFERROR(__xludf.DUMMYFUNCTION("""COMPUTED_VALUE"""),626.0)</f>
        <v>626</v>
      </c>
      <c r="E5198" s="9"/>
    </row>
    <row r="5199">
      <c r="A5199" s="11">
        <f>IFERROR(__xludf.DUMMYFUNCTION("""COMPUTED_VALUE"""),2021.0)</f>
        <v>2021</v>
      </c>
      <c r="B5199" s="11">
        <f>IFERROR(__xludf.DUMMYFUNCTION("""COMPUTED_VALUE"""),11.0)</f>
        <v>11</v>
      </c>
      <c r="C5199" s="11">
        <f>IFERROR(__xludf.DUMMYFUNCTION("""COMPUTED_VALUE"""),128336.0)</f>
        <v>128336</v>
      </c>
      <c r="D5199" s="11">
        <f>IFERROR(__xludf.DUMMYFUNCTION("""COMPUTED_VALUE"""),1695.0)</f>
        <v>1695</v>
      </c>
      <c r="E5199" s="9"/>
    </row>
    <row r="5200">
      <c r="A5200" s="11">
        <f>IFERROR(__xludf.DUMMYFUNCTION("""COMPUTED_VALUE"""),2021.0)</f>
        <v>2021</v>
      </c>
      <c r="B5200" s="11">
        <f>IFERROR(__xludf.DUMMYFUNCTION("""COMPUTED_VALUE"""),11.0)</f>
        <v>11</v>
      </c>
      <c r="C5200" s="11">
        <f>IFERROR(__xludf.DUMMYFUNCTION("""COMPUTED_VALUE"""),5081.0)</f>
        <v>5081</v>
      </c>
      <c r="D5200" s="11">
        <f>IFERROR(__xludf.DUMMYFUNCTION("""COMPUTED_VALUE"""),1282.0)</f>
        <v>1282</v>
      </c>
      <c r="E5200" s="9"/>
    </row>
    <row r="5201">
      <c r="A5201" s="11">
        <f>IFERROR(__xludf.DUMMYFUNCTION("""COMPUTED_VALUE"""),2021.0)</f>
        <v>2021</v>
      </c>
      <c r="B5201" s="11">
        <f>IFERROR(__xludf.DUMMYFUNCTION("""COMPUTED_VALUE"""),11.0)</f>
        <v>11</v>
      </c>
      <c r="C5201" s="11">
        <f>IFERROR(__xludf.DUMMYFUNCTION("""COMPUTED_VALUE"""),79423.0)</f>
        <v>79423</v>
      </c>
      <c r="D5201" s="11">
        <f>IFERROR(__xludf.DUMMYFUNCTION("""COMPUTED_VALUE"""),916.0)</f>
        <v>916</v>
      </c>
      <c r="E5201" s="9"/>
    </row>
    <row r="5202">
      <c r="A5202" s="11">
        <f>IFERROR(__xludf.DUMMYFUNCTION("""COMPUTED_VALUE"""),2021.0)</f>
        <v>2021</v>
      </c>
      <c r="B5202" s="11">
        <f>IFERROR(__xludf.DUMMYFUNCTION("""COMPUTED_VALUE"""),9.0)</f>
        <v>9</v>
      </c>
      <c r="C5202" s="11">
        <f>IFERROR(__xludf.DUMMYFUNCTION("""COMPUTED_VALUE"""),116481.0)</f>
        <v>116481</v>
      </c>
      <c r="D5202" s="11">
        <f>IFERROR(__xludf.DUMMYFUNCTION("""COMPUTED_VALUE"""),1344.0)</f>
        <v>1344</v>
      </c>
      <c r="E5202" s="9"/>
    </row>
    <row r="5203">
      <c r="A5203" s="11">
        <f>IFERROR(__xludf.DUMMYFUNCTION("""COMPUTED_VALUE"""),2021.0)</f>
        <v>2021</v>
      </c>
      <c r="B5203" s="11">
        <f>IFERROR(__xludf.DUMMYFUNCTION("""COMPUTED_VALUE"""),11.0)</f>
        <v>11</v>
      </c>
      <c r="C5203" s="11">
        <f>IFERROR(__xludf.DUMMYFUNCTION("""COMPUTED_VALUE"""),118278.0)</f>
        <v>118278</v>
      </c>
      <c r="D5203" s="11">
        <f>IFERROR(__xludf.DUMMYFUNCTION("""COMPUTED_VALUE"""),76.0)</f>
        <v>76</v>
      </c>
      <c r="E5203" s="9"/>
    </row>
    <row r="5204">
      <c r="A5204" s="11">
        <f>IFERROR(__xludf.DUMMYFUNCTION("""COMPUTED_VALUE"""),2021.0)</f>
        <v>2021</v>
      </c>
      <c r="B5204" s="11">
        <f>IFERROR(__xludf.DUMMYFUNCTION("""COMPUTED_VALUE"""),11.0)</f>
        <v>11</v>
      </c>
      <c r="C5204" s="11">
        <f>IFERROR(__xludf.DUMMYFUNCTION("""COMPUTED_VALUE"""),116440.0)</f>
        <v>116440</v>
      </c>
      <c r="D5204" s="11">
        <f>IFERROR(__xludf.DUMMYFUNCTION("""COMPUTED_VALUE"""),1712.0)</f>
        <v>1712</v>
      </c>
      <c r="E5204" s="9"/>
    </row>
    <row r="5205">
      <c r="A5205" s="11">
        <f>IFERROR(__xludf.DUMMYFUNCTION("""COMPUTED_VALUE"""),2021.0)</f>
        <v>2021</v>
      </c>
      <c r="B5205" s="11">
        <f>IFERROR(__xludf.DUMMYFUNCTION("""COMPUTED_VALUE"""),10.0)</f>
        <v>10</v>
      </c>
      <c r="C5205" s="11">
        <f>IFERROR(__xludf.DUMMYFUNCTION("""COMPUTED_VALUE"""),116478.0)</f>
        <v>116478</v>
      </c>
      <c r="D5205" s="11">
        <f>IFERROR(__xludf.DUMMYFUNCTION("""COMPUTED_VALUE"""),430.0)</f>
        <v>430</v>
      </c>
      <c r="E5205" s="9"/>
    </row>
    <row r="5206">
      <c r="A5206" s="11">
        <f>IFERROR(__xludf.DUMMYFUNCTION("""COMPUTED_VALUE"""),2021.0)</f>
        <v>2021</v>
      </c>
      <c r="B5206" s="11">
        <f>IFERROR(__xludf.DUMMYFUNCTION("""COMPUTED_VALUE"""),8.0)</f>
        <v>8</v>
      </c>
      <c r="C5206" s="11">
        <f>IFERROR(__xludf.DUMMYFUNCTION("""COMPUTED_VALUE"""),139305.0)</f>
        <v>139305</v>
      </c>
      <c r="D5206" s="11">
        <f>IFERROR(__xludf.DUMMYFUNCTION("""COMPUTED_VALUE"""),1029.0)</f>
        <v>1029</v>
      </c>
      <c r="E5206" s="9"/>
    </row>
    <row r="5207">
      <c r="A5207" s="11">
        <f>IFERROR(__xludf.DUMMYFUNCTION("""COMPUTED_VALUE"""),2021.0)</f>
        <v>2021</v>
      </c>
      <c r="B5207" s="11">
        <f>IFERROR(__xludf.DUMMYFUNCTION("""COMPUTED_VALUE"""),8.0)</f>
        <v>8</v>
      </c>
      <c r="C5207" s="11">
        <f>IFERROR(__xludf.DUMMYFUNCTION("""COMPUTED_VALUE"""),118280.0)</f>
        <v>118280</v>
      </c>
      <c r="D5207" s="11">
        <f>IFERROR(__xludf.DUMMYFUNCTION("""COMPUTED_VALUE"""),1383.0)</f>
        <v>1383</v>
      </c>
      <c r="E5207" s="9"/>
    </row>
    <row r="5208">
      <c r="A5208" s="11">
        <f>IFERROR(__xludf.DUMMYFUNCTION("""COMPUTED_VALUE"""),2021.0)</f>
        <v>2021</v>
      </c>
      <c r="B5208" s="11">
        <f>IFERROR(__xludf.DUMMYFUNCTION("""COMPUTED_VALUE"""),9.0)</f>
        <v>9</v>
      </c>
      <c r="C5208" s="11">
        <f>IFERROR(__xludf.DUMMYFUNCTION("""COMPUTED_VALUE"""),116506.0)</f>
        <v>116506</v>
      </c>
      <c r="D5208" s="11">
        <f>IFERROR(__xludf.DUMMYFUNCTION("""COMPUTED_VALUE"""),929.0)</f>
        <v>929</v>
      </c>
      <c r="E5208" s="9"/>
    </row>
    <row r="5209">
      <c r="A5209" s="11">
        <f>IFERROR(__xludf.DUMMYFUNCTION("""COMPUTED_VALUE"""),2021.0)</f>
        <v>2021</v>
      </c>
      <c r="B5209" s="11">
        <f>IFERROR(__xludf.DUMMYFUNCTION("""COMPUTED_VALUE"""),11.0)</f>
        <v>11</v>
      </c>
      <c r="C5209" s="11">
        <f>IFERROR(__xludf.DUMMYFUNCTION("""COMPUTED_VALUE"""),116504.0)</f>
        <v>116504</v>
      </c>
      <c r="D5209" s="11">
        <f>IFERROR(__xludf.DUMMYFUNCTION("""COMPUTED_VALUE"""),1660.0)</f>
        <v>1660</v>
      </c>
      <c r="E5209" s="9"/>
    </row>
    <row r="5210">
      <c r="A5210" s="11">
        <f>IFERROR(__xludf.DUMMYFUNCTION("""COMPUTED_VALUE"""),2021.0)</f>
        <v>2021</v>
      </c>
      <c r="B5210" s="11">
        <f>IFERROR(__xludf.DUMMYFUNCTION("""COMPUTED_VALUE"""),8.0)</f>
        <v>8</v>
      </c>
      <c r="C5210" s="11">
        <f>IFERROR(__xludf.DUMMYFUNCTION("""COMPUTED_VALUE"""),116435.0)</f>
        <v>116435</v>
      </c>
      <c r="D5210" s="11">
        <f>IFERROR(__xludf.DUMMYFUNCTION("""COMPUTED_VALUE"""),674.0)</f>
        <v>674</v>
      </c>
      <c r="E5210" s="9"/>
    </row>
    <row r="5211">
      <c r="A5211" s="11">
        <f>IFERROR(__xludf.DUMMYFUNCTION("""COMPUTED_VALUE"""),2021.0)</f>
        <v>2021</v>
      </c>
      <c r="B5211" s="11">
        <f>IFERROR(__xludf.DUMMYFUNCTION("""COMPUTED_VALUE"""),9.0)</f>
        <v>9</v>
      </c>
      <c r="C5211" s="11">
        <f>IFERROR(__xludf.DUMMYFUNCTION("""COMPUTED_VALUE"""),70575.0)</f>
        <v>70575</v>
      </c>
      <c r="D5211" s="11">
        <f>IFERROR(__xludf.DUMMYFUNCTION("""COMPUTED_VALUE"""),445.0)</f>
        <v>445</v>
      </c>
      <c r="E5211" s="9"/>
    </row>
    <row r="5212">
      <c r="A5212" s="11">
        <f>IFERROR(__xludf.DUMMYFUNCTION("""COMPUTED_VALUE"""),2021.0)</f>
        <v>2021</v>
      </c>
      <c r="B5212" s="11">
        <f>IFERROR(__xludf.DUMMYFUNCTION("""COMPUTED_VALUE"""),9.0)</f>
        <v>9</v>
      </c>
      <c r="C5212" s="11">
        <f>IFERROR(__xludf.DUMMYFUNCTION("""COMPUTED_VALUE"""),128343.0)</f>
        <v>128343</v>
      </c>
      <c r="D5212" s="11">
        <f>IFERROR(__xludf.DUMMYFUNCTION("""COMPUTED_VALUE"""),1878.0)</f>
        <v>1878</v>
      </c>
      <c r="E5212" s="9"/>
    </row>
    <row r="5213">
      <c r="A5213" s="11">
        <f>IFERROR(__xludf.DUMMYFUNCTION("""COMPUTED_VALUE"""),2021.0)</f>
        <v>2021</v>
      </c>
      <c r="B5213" s="11">
        <f>IFERROR(__xludf.DUMMYFUNCTION("""COMPUTED_VALUE"""),8.0)</f>
        <v>8</v>
      </c>
      <c r="C5213" s="11">
        <f>IFERROR(__xludf.DUMMYFUNCTION("""COMPUTED_VALUE"""),112099.0)</f>
        <v>112099</v>
      </c>
      <c r="D5213" s="11">
        <f>IFERROR(__xludf.DUMMYFUNCTION("""COMPUTED_VALUE"""),1078.0)</f>
        <v>1078</v>
      </c>
      <c r="E5213" s="9"/>
    </row>
    <row r="5214">
      <c r="A5214" s="11">
        <f>IFERROR(__xludf.DUMMYFUNCTION("""COMPUTED_VALUE"""),2021.0)</f>
        <v>2021</v>
      </c>
      <c r="B5214" s="11">
        <f>IFERROR(__xludf.DUMMYFUNCTION("""COMPUTED_VALUE"""),10.0)</f>
        <v>10</v>
      </c>
      <c r="C5214" s="11">
        <f>IFERROR(__xludf.DUMMYFUNCTION("""COMPUTED_VALUE"""),128337.0)</f>
        <v>128337</v>
      </c>
      <c r="D5214" s="11">
        <f>IFERROR(__xludf.DUMMYFUNCTION("""COMPUTED_VALUE"""),929.0)</f>
        <v>929</v>
      </c>
      <c r="E5214" s="9"/>
    </row>
    <row r="5215">
      <c r="A5215" s="11">
        <f>IFERROR(__xludf.DUMMYFUNCTION("""COMPUTED_VALUE"""),2021.0)</f>
        <v>2021</v>
      </c>
      <c r="B5215" s="11">
        <f>IFERROR(__xludf.DUMMYFUNCTION("""COMPUTED_VALUE"""),9.0)</f>
        <v>9</v>
      </c>
      <c r="C5215" s="11">
        <f>IFERROR(__xludf.DUMMYFUNCTION("""COMPUTED_VALUE"""),4339.0)</f>
        <v>4339</v>
      </c>
      <c r="D5215" s="11">
        <f>IFERROR(__xludf.DUMMYFUNCTION("""COMPUTED_VALUE"""),1549.0)</f>
        <v>1549</v>
      </c>
      <c r="E5215" s="9"/>
    </row>
    <row r="5216">
      <c r="A5216" s="11">
        <f>IFERROR(__xludf.DUMMYFUNCTION("""COMPUTED_VALUE"""),2021.0)</f>
        <v>2021</v>
      </c>
      <c r="B5216" s="11">
        <f>IFERROR(__xludf.DUMMYFUNCTION("""COMPUTED_VALUE"""),9.0)</f>
        <v>9</v>
      </c>
      <c r="C5216" s="11">
        <f>IFERROR(__xludf.DUMMYFUNCTION("""COMPUTED_VALUE"""),14399.0)</f>
        <v>14399</v>
      </c>
      <c r="D5216" s="11">
        <f>IFERROR(__xludf.DUMMYFUNCTION("""COMPUTED_VALUE"""),1683.0)</f>
        <v>1683</v>
      </c>
      <c r="E5216" s="9"/>
    </row>
    <row r="5217">
      <c r="A5217" s="11">
        <f>IFERROR(__xludf.DUMMYFUNCTION("""COMPUTED_VALUE"""),2021.0)</f>
        <v>2021</v>
      </c>
      <c r="B5217" s="11">
        <f>IFERROR(__xludf.DUMMYFUNCTION("""COMPUTED_VALUE"""),8.0)</f>
        <v>8</v>
      </c>
      <c r="C5217" s="11">
        <f>IFERROR(__xludf.DUMMYFUNCTION("""COMPUTED_VALUE"""),4340.0)</f>
        <v>4340</v>
      </c>
      <c r="D5217" s="11">
        <f>IFERROR(__xludf.DUMMYFUNCTION("""COMPUTED_VALUE"""),1177.0)</f>
        <v>1177</v>
      </c>
      <c r="E5217" s="9"/>
    </row>
    <row r="5218">
      <c r="A5218" s="11">
        <f>IFERROR(__xludf.DUMMYFUNCTION("""COMPUTED_VALUE"""),2021.0)</f>
        <v>2021</v>
      </c>
      <c r="B5218" s="11">
        <f>IFERROR(__xludf.DUMMYFUNCTION("""COMPUTED_VALUE"""),10.0)</f>
        <v>10</v>
      </c>
      <c r="C5218" s="11">
        <f>IFERROR(__xludf.DUMMYFUNCTION("""COMPUTED_VALUE"""),45250.0)</f>
        <v>45250</v>
      </c>
      <c r="D5218" s="11">
        <f>IFERROR(__xludf.DUMMYFUNCTION("""COMPUTED_VALUE"""),1351.0)</f>
        <v>1351</v>
      </c>
      <c r="E5218" s="9"/>
    </row>
    <row r="5219">
      <c r="A5219" s="11">
        <f>IFERROR(__xludf.DUMMYFUNCTION("""COMPUTED_VALUE"""),2021.0)</f>
        <v>2021</v>
      </c>
      <c r="B5219" s="11">
        <f>IFERROR(__xludf.DUMMYFUNCTION("""COMPUTED_VALUE"""),8.0)</f>
        <v>8</v>
      </c>
      <c r="C5219" s="11">
        <f>IFERROR(__xludf.DUMMYFUNCTION("""COMPUTED_VALUE"""),9651.0)</f>
        <v>9651</v>
      </c>
      <c r="D5219" s="11">
        <f>IFERROR(__xludf.DUMMYFUNCTION("""COMPUTED_VALUE"""),1867.0)</f>
        <v>1867</v>
      </c>
      <c r="E5219" s="9"/>
    </row>
    <row r="5220">
      <c r="A5220" s="11">
        <f>IFERROR(__xludf.DUMMYFUNCTION("""COMPUTED_VALUE"""),2021.0)</f>
        <v>2021</v>
      </c>
      <c r="B5220" s="11">
        <f>IFERROR(__xludf.DUMMYFUNCTION("""COMPUTED_VALUE"""),10.0)</f>
        <v>10</v>
      </c>
      <c r="C5220" s="11">
        <f>IFERROR(__xludf.DUMMYFUNCTION("""COMPUTED_VALUE"""),4329.0)</f>
        <v>4329</v>
      </c>
      <c r="D5220" s="11">
        <f>IFERROR(__xludf.DUMMYFUNCTION("""COMPUTED_VALUE"""),533.0)</f>
        <v>533</v>
      </c>
      <c r="E5220" s="9"/>
    </row>
    <row r="5221">
      <c r="A5221" s="11">
        <f>IFERROR(__xludf.DUMMYFUNCTION("""COMPUTED_VALUE"""),2021.0)</f>
        <v>2021</v>
      </c>
      <c r="B5221" s="11">
        <f>IFERROR(__xludf.DUMMYFUNCTION("""COMPUTED_VALUE"""),8.0)</f>
        <v>8</v>
      </c>
      <c r="C5221" s="11">
        <f>IFERROR(__xludf.DUMMYFUNCTION("""COMPUTED_VALUE"""),4338.0)</f>
        <v>4338</v>
      </c>
      <c r="D5221" s="11">
        <f>IFERROR(__xludf.DUMMYFUNCTION("""COMPUTED_VALUE"""),1465.0)</f>
        <v>1465</v>
      </c>
      <c r="E5221" s="9"/>
    </row>
    <row r="5222">
      <c r="A5222" s="11">
        <f>IFERROR(__xludf.DUMMYFUNCTION("""COMPUTED_VALUE"""),2021.0)</f>
        <v>2021</v>
      </c>
      <c r="B5222" s="11">
        <f>IFERROR(__xludf.DUMMYFUNCTION("""COMPUTED_VALUE"""),10.0)</f>
        <v>10</v>
      </c>
      <c r="C5222" s="11">
        <f>IFERROR(__xludf.DUMMYFUNCTION("""COMPUTED_VALUE"""),112100.0)</f>
        <v>112100</v>
      </c>
      <c r="D5222" s="11">
        <f>IFERROR(__xludf.DUMMYFUNCTION("""COMPUTED_VALUE"""),329.0)</f>
        <v>329</v>
      </c>
      <c r="E5222" s="9"/>
    </row>
    <row r="5223">
      <c r="A5223" s="11">
        <f>IFERROR(__xludf.DUMMYFUNCTION("""COMPUTED_VALUE"""),2021.0)</f>
        <v>2021</v>
      </c>
      <c r="B5223" s="11">
        <f>IFERROR(__xludf.DUMMYFUNCTION("""COMPUTED_VALUE"""),9.0)</f>
        <v>9</v>
      </c>
      <c r="C5223" s="11">
        <f>IFERROR(__xludf.DUMMYFUNCTION("""COMPUTED_VALUE"""),9650.0)</f>
        <v>9650</v>
      </c>
      <c r="D5223" s="11">
        <f>IFERROR(__xludf.DUMMYFUNCTION("""COMPUTED_VALUE"""),1280.0)</f>
        <v>1280</v>
      </c>
      <c r="E5223" s="9"/>
    </row>
    <row r="5224">
      <c r="A5224" s="11">
        <f>IFERROR(__xludf.DUMMYFUNCTION("""COMPUTED_VALUE"""),2021.0)</f>
        <v>2021</v>
      </c>
      <c r="B5224" s="11">
        <f>IFERROR(__xludf.DUMMYFUNCTION("""COMPUTED_VALUE"""),8.0)</f>
        <v>8</v>
      </c>
      <c r="C5224" s="11">
        <f>IFERROR(__xludf.DUMMYFUNCTION("""COMPUTED_VALUE"""),9649.0)</f>
        <v>9649</v>
      </c>
      <c r="D5224" s="11">
        <f>IFERROR(__xludf.DUMMYFUNCTION("""COMPUTED_VALUE"""),689.0)</f>
        <v>689</v>
      </c>
      <c r="E5224" s="9"/>
    </row>
    <row r="5225">
      <c r="A5225" s="11">
        <f>IFERROR(__xludf.DUMMYFUNCTION("""COMPUTED_VALUE"""),2021.0)</f>
        <v>2021</v>
      </c>
      <c r="B5225" s="11">
        <f>IFERROR(__xludf.DUMMYFUNCTION("""COMPUTED_VALUE"""),11.0)</f>
        <v>11</v>
      </c>
      <c r="C5225" s="11">
        <f>IFERROR(__xludf.DUMMYFUNCTION("""COMPUTED_VALUE"""),9652.0)</f>
        <v>9652</v>
      </c>
      <c r="D5225" s="11">
        <f>IFERROR(__xludf.DUMMYFUNCTION("""COMPUTED_VALUE"""),656.0)</f>
        <v>656</v>
      </c>
      <c r="E5225" s="9"/>
    </row>
    <row r="5226">
      <c r="A5226" s="11">
        <f>IFERROR(__xludf.DUMMYFUNCTION("""COMPUTED_VALUE"""),2021.0)</f>
        <v>2021</v>
      </c>
      <c r="B5226" s="11">
        <f>IFERROR(__xludf.DUMMYFUNCTION("""COMPUTED_VALUE"""),10.0)</f>
        <v>10</v>
      </c>
      <c r="C5226" s="11">
        <f>IFERROR(__xludf.DUMMYFUNCTION("""COMPUTED_VALUE"""),79426.0)</f>
        <v>79426</v>
      </c>
      <c r="D5226" s="11">
        <f>IFERROR(__xludf.DUMMYFUNCTION("""COMPUTED_VALUE"""),89.0)</f>
        <v>89</v>
      </c>
      <c r="E5226" s="9"/>
    </row>
    <row r="5227">
      <c r="A5227" s="11">
        <f>IFERROR(__xludf.DUMMYFUNCTION("""COMPUTED_VALUE"""),2021.0)</f>
        <v>2021</v>
      </c>
      <c r="B5227" s="11">
        <f>IFERROR(__xludf.DUMMYFUNCTION("""COMPUTED_VALUE"""),10.0)</f>
        <v>10</v>
      </c>
      <c r="C5227" s="11">
        <f>IFERROR(__xludf.DUMMYFUNCTION("""COMPUTED_VALUE"""),79425.0)</f>
        <v>79425</v>
      </c>
      <c r="D5227" s="11">
        <f>IFERROR(__xludf.DUMMYFUNCTION("""COMPUTED_VALUE"""),121.0)</f>
        <v>121</v>
      </c>
      <c r="E5227" s="9"/>
    </row>
    <row r="5228">
      <c r="A5228" s="11">
        <f>IFERROR(__xludf.DUMMYFUNCTION("""COMPUTED_VALUE"""),2021.0)</f>
        <v>2021</v>
      </c>
      <c r="B5228" s="11">
        <f>IFERROR(__xludf.DUMMYFUNCTION("""COMPUTED_VALUE"""),9.0)</f>
        <v>9</v>
      </c>
      <c r="C5228" s="11">
        <f>IFERROR(__xludf.DUMMYFUNCTION("""COMPUTED_VALUE"""),4335.0)</f>
        <v>4335</v>
      </c>
      <c r="D5228" s="11">
        <f>IFERROR(__xludf.DUMMYFUNCTION("""COMPUTED_VALUE"""),675.0)</f>
        <v>675</v>
      </c>
      <c r="E5228" s="9"/>
    </row>
    <row r="5229">
      <c r="A5229" s="11">
        <f>IFERROR(__xludf.DUMMYFUNCTION("""COMPUTED_VALUE"""),2021.0)</f>
        <v>2021</v>
      </c>
      <c r="B5229" s="11">
        <f>IFERROR(__xludf.DUMMYFUNCTION("""COMPUTED_VALUE"""),8.0)</f>
        <v>8</v>
      </c>
      <c r="C5229" s="11">
        <f>IFERROR(__xludf.DUMMYFUNCTION("""COMPUTED_VALUE"""),70420.0)</f>
        <v>70420</v>
      </c>
      <c r="D5229" s="11">
        <f>IFERROR(__xludf.DUMMYFUNCTION("""COMPUTED_VALUE"""),1668.0)</f>
        <v>1668</v>
      </c>
      <c r="E5229" s="9"/>
    </row>
    <row r="5230">
      <c r="A5230" s="11">
        <f>IFERROR(__xludf.DUMMYFUNCTION("""COMPUTED_VALUE"""),2021.0)</f>
        <v>2021</v>
      </c>
      <c r="B5230" s="11">
        <f>IFERROR(__xludf.DUMMYFUNCTION("""COMPUTED_VALUE"""),9.0)</f>
        <v>9</v>
      </c>
      <c r="C5230" s="11">
        <f>IFERROR(__xludf.DUMMYFUNCTION("""COMPUTED_VALUE"""),9655.0)</f>
        <v>9655</v>
      </c>
      <c r="D5230" s="11">
        <f>IFERROR(__xludf.DUMMYFUNCTION("""COMPUTED_VALUE"""),1733.0)</f>
        <v>1733</v>
      </c>
      <c r="E5230" s="9"/>
    </row>
    <row r="5231">
      <c r="A5231" s="11">
        <f>IFERROR(__xludf.DUMMYFUNCTION("""COMPUTED_VALUE"""),2021.0)</f>
        <v>2021</v>
      </c>
      <c r="B5231" s="11">
        <f>IFERROR(__xludf.DUMMYFUNCTION("""COMPUTED_VALUE"""),8.0)</f>
        <v>8</v>
      </c>
      <c r="C5231" s="11">
        <f>IFERROR(__xludf.DUMMYFUNCTION("""COMPUTED_VALUE"""),68510.0)</f>
        <v>68510</v>
      </c>
      <c r="D5231" s="11">
        <f>IFERROR(__xludf.DUMMYFUNCTION("""COMPUTED_VALUE"""),1539.0)</f>
        <v>1539</v>
      </c>
      <c r="E5231" s="9"/>
    </row>
    <row r="5232">
      <c r="A5232" s="11">
        <f>IFERROR(__xludf.DUMMYFUNCTION("""COMPUTED_VALUE"""),2021.0)</f>
        <v>2021</v>
      </c>
      <c r="B5232" s="11">
        <f>IFERROR(__xludf.DUMMYFUNCTION("""COMPUTED_VALUE"""),10.0)</f>
        <v>10</v>
      </c>
      <c r="C5232" s="11">
        <f>IFERROR(__xludf.DUMMYFUNCTION("""COMPUTED_VALUE"""),11068.0)</f>
        <v>11068</v>
      </c>
      <c r="D5232" s="11">
        <f>IFERROR(__xludf.DUMMYFUNCTION("""COMPUTED_VALUE"""),496.0)</f>
        <v>496</v>
      </c>
      <c r="E5232" s="9"/>
    </row>
    <row r="5233">
      <c r="A5233" s="11">
        <f>IFERROR(__xludf.DUMMYFUNCTION("""COMPUTED_VALUE"""),2021.0)</f>
        <v>2021</v>
      </c>
      <c r="B5233" s="11">
        <f>IFERROR(__xludf.DUMMYFUNCTION("""COMPUTED_VALUE"""),11.0)</f>
        <v>11</v>
      </c>
      <c r="C5233" s="11">
        <f>IFERROR(__xludf.DUMMYFUNCTION("""COMPUTED_VALUE"""),79888.0)</f>
        <v>79888</v>
      </c>
      <c r="D5233" s="11">
        <f>IFERROR(__xludf.DUMMYFUNCTION("""COMPUTED_VALUE"""),603.0)</f>
        <v>603</v>
      </c>
      <c r="E5233" s="9"/>
    </row>
    <row r="5234">
      <c r="A5234" s="11">
        <f>IFERROR(__xludf.DUMMYFUNCTION("""COMPUTED_VALUE"""),2021.0)</f>
        <v>2021</v>
      </c>
      <c r="B5234" s="11">
        <f>IFERROR(__xludf.DUMMYFUNCTION("""COMPUTED_VALUE"""),11.0)</f>
        <v>11</v>
      </c>
      <c r="C5234" s="11">
        <f>IFERROR(__xludf.DUMMYFUNCTION("""COMPUTED_VALUE"""),108982.0)</f>
        <v>108982</v>
      </c>
      <c r="D5234" s="11">
        <f>IFERROR(__xludf.DUMMYFUNCTION("""COMPUTED_VALUE"""),1079.0)</f>
        <v>1079</v>
      </c>
      <c r="E5234" s="9"/>
    </row>
    <row r="5235">
      <c r="A5235" s="11">
        <f>IFERROR(__xludf.DUMMYFUNCTION("""COMPUTED_VALUE"""),2021.0)</f>
        <v>2021</v>
      </c>
      <c r="B5235" s="11">
        <f>IFERROR(__xludf.DUMMYFUNCTION("""COMPUTED_VALUE"""),8.0)</f>
        <v>8</v>
      </c>
      <c r="C5235" s="11">
        <f>IFERROR(__xludf.DUMMYFUNCTION("""COMPUTED_VALUE"""),88020.0)</f>
        <v>88020</v>
      </c>
      <c r="D5235" s="11">
        <f>IFERROR(__xludf.DUMMYFUNCTION("""COMPUTED_VALUE"""),889.0)</f>
        <v>889</v>
      </c>
      <c r="E5235" s="9"/>
    </row>
    <row r="5236">
      <c r="A5236" s="11">
        <f>IFERROR(__xludf.DUMMYFUNCTION("""COMPUTED_VALUE"""),2021.0)</f>
        <v>2021</v>
      </c>
      <c r="B5236" s="11">
        <f>IFERROR(__xludf.DUMMYFUNCTION("""COMPUTED_VALUE"""),10.0)</f>
        <v>10</v>
      </c>
      <c r="C5236" s="11">
        <f>IFERROR(__xludf.DUMMYFUNCTION("""COMPUTED_VALUE"""),44824.0)</f>
        <v>44824</v>
      </c>
      <c r="D5236" s="11">
        <f>IFERROR(__xludf.DUMMYFUNCTION("""COMPUTED_VALUE"""),664.0)</f>
        <v>664</v>
      </c>
      <c r="E5236" s="9"/>
    </row>
    <row r="5237">
      <c r="A5237" s="11">
        <f>IFERROR(__xludf.DUMMYFUNCTION("""COMPUTED_VALUE"""),2021.0)</f>
        <v>2021</v>
      </c>
      <c r="B5237" s="11">
        <f>IFERROR(__xludf.DUMMYFUNCTION("""COMPUTED_VALUE"""),10.0)</f>
        <v>10</v>
      </c>
      <c r="C5237" s="11">
        <f>IFERROR(__xludf.DUMMYFUNCTION("""COMPUTED_VALUE"""),46900.0)</f>
        <v>46900</v>
      </c>
      <c r="D5237" s="11">
        <f>IFERROR(__xludf.DUMMYFUNCTION("""COMPUTED_VALUE"""),891.0)</f>
        <v>891</v>
      </c>
      <c r="E5237" s="9"/>
    </row>
    <row r="5238">
      <c r="A5238" s="11">
        <f>IFERROR(__xludf.DUMMYFUNCTION("""COMPUTED_VALUE"""),2021.0)</f>
        <v>2021</v>
      </c>
      <c r="B5238" s="11">
        <f>IFERROR(__xludf.DUMMYFUNCTION("""COMPUTED_VALUE"""),8.0)</f>
        <v>8</v>
      </c>
      <c r="C5238" s="11">
        <f>IFERROR(__xludf.DUMMYFUNCTION("""COMPUTED_VALUE"""),41981.0)</f>
        <v>41981</v>
      </c>
      <c r="D5238" s="11">
        <f>IFERROR(__xludf.DUMMYFUNCTION("""COMPUTED_VALUE"""),752.0)</f>
        <v>752</v>
      </c>
      <c r="E5238" s="9"/>
    </row>
    <row r="5239">
      <c r="A5239" s="11">
        <f>IFERROR(__xludf.DUMMYFUNCTION("""COMPUTED_VALUE"""),2021.0)</f>
        <v>2021</v>
      </c>
      <c r="B5239" s="11">
        <f>IFERROR(__xludf.DUMMYFUNCTION("""COMPUTED_VALUE"""),10.0)</f>
        <v>10</v>
      </c>
      <c r="C5239" s="11">
        <f>IFERROR(__xludf.DUMMYFUNCTION("""COMPUTED_VALUE"""),44825.0)</f>
        <v>44825</v>
      </c>
      <c r="D5239" s="11">
        <f>IFERROR(__xludf.DUMMYFUNCTION("""COMPUTED_VALUE"""),1264.0)</f>
        <v>1264</v>
      </c>
      <c r="E5239" s="9"/>
    </row>
    <row r="5240">
      <c r="A5240" s="11">
        <f>IFERROR(__xludf.DUMMYFUNCTION("""COMPUTED_VALUE"""),2021.0)</f>
        <v>2021</v>
      </c>
      <c r="B5240" s="11">
        <f>IFERROR(__xludf.DUMMYFUNCTION("""COMPUTED_VALUE"""),8.0)</f>
        <v>8</v>
      </c>
      <c r="C5240" s="11">
        <f>IFERROR(__xludf.DUMMYFUNCTION("""COMPUTED_VALUE"""),6875.0)</f>
        <v>6875</v>
      </c>
      <c r="D5240" s="11">
        <f>IFERROR(__xludf.DUMMYFUNCTION("""COMPUTED_VALUE"""),1019.0)</f>
        <v>1019</v>
      </c>
      <c r="E5240" s="9"/>
    </row>
    <row r="5241">
      <c r="A5241" s="11">
        <f>IFERROR(__xludf.DUMMYFUNCTION("""COMPUTED_VALUE"""),2021.0)</f>
        <v>2021</v>
      </c>
      <c r="B5241" s="11">
        <f>IFERROR(__xludf.DUMMYFUNCTION("""COMPUTED_VALUE"""),9.0)</f>
        <v>9</v>
      </c>
      <c r="C5241" s="11">
        <f>IFERROR(__xludf.DUMMYFUNCTION("""COMPUTED_VALUE"""),108981.0)</f>
        <v>108981</v>
      </c>
      <c r="D5241" s="11">
        <f>IFERROR(__xludf.DUMMYFUNCTION("""COMPUTED_VALUE"""),663.0)</f>
        <v>663</v>
      </c>
      <c r="E5241" s="9"/>
    </row>
    <row r="5242">
      <c r="A5242" s="11">
        <f>IFERROR(__xludf.DUMMYFUNCTION("""COMPUTED_VALUE"""),2021.0)</f>
        <v>2021</v>
      </c>
      <c r="B5242" s="11">
        <f>IFERROR(__xludf.DUMMYFUNCTION("""COMPUTED_VALUE"""),11.0)</f>
        <v>11</v>
      </c>
      <c r="C5242" s="11">
        <f>IFERROR(__xludf.DUMMYFUNCTION("""COMPUTED_VALUE"""),110931.0)</f>
        <v>110931</v>
      </c>
      <c r="D5242" s="11">
        <f>IFERROR(__xludf.DUMMYFUNCTION("""COMPUTED_VALUE"""),28.0)</f>
        <v>28</v>
      </c>
      <c r="E5242" s="9"/>
    </row>
    <row r="5243">
      <c r="A5243" s="11">
        <f>IFERROR(__xludf.DUMMYFUNCTION("""COMPUTED_VALUE"""),2021.0)</f>
        <v>2021</v>
      </c>
      <c r="B5243" s="11">
        <f>IFERROR(__xludf.DUMMYFUNCTION("""COMPUTED_VALUE"""),10.0)</f>
        <v>10</v>
      </c>
      <c r="C5243" s="11">
        <f>IFERROR(__xludf.DUMMYFUNCTION("""COMPUTED_VALUE"""),99037.0)</f>
        <v>99037</v>
      </c>
      <c r="D5243" s="11">
        <f>IFERROR(__xludf.DUMMYFUNCTION("""COMPUTED_VALUE"""),854.0)</f>
        <v>854</v>
      </c>
      <c r="E5243" s="9"/>
    </row>
    <row r="5244">
      <c r="A5244" s="11">
        <f>IFERROR(__xludf.DUMMYFUNCTION("""COMPUTED_VALUE"""),2021.0)</f>
        <v>2021</v>
      </c>
      <c r="B5244" s="11">
        <f>IFERROR(__xludf.DUMMYFUNCTION("""COMPUTED_VALUE"""),9.0)</f>
        <v>9</v>
      </c>
      <c r="C5244" s="11">
        <f>IFERROR(__xludf.DUMMYFUNCTION("""COMPUTED_VALUE"""),99096.0)</f>
        <v>99096</v>
      </c>
      <c r="D5244" s="11">
        <f>IFERROR(__xludf.DUMMYFUNCTION("""COMPUTED_VALUE"""),316.0)</f>
        <v>316</v>
      </c>
      <c r="E5244" s="9"/>
    </row>
    <row r="5245">
      <c r="A5245" s="11">
        <f>IFERROR(__xludf.DUMMYFUNCTION("""COMPUTED_VALUE"""),2021.0)</f>
        <v>2021</v>
      </c>
      <c r="B5245" s="11">
        <f>IFERROR(__xludf.DUMMYFUNCTION("""COMPUTED_VALUE"""),11.0)</f>
        <v>11</v>
      </c>
      <c r="C5245" s="11">
        <f>IFERROR(__xludf.DUMMYFUNCTION("""COMPUTED_VALUE"""),41986.0)</f>
        <v>41986</v>
      </c>
      <c r="D5245" s="11">
        <f>IFERROR(__xludf.DUMMYFUNCTION("""COMPUTED_VALUE"""),242.0)</f>
        <v>242</v>
      </c>
      <c r="E5245" s="9"/>
    </row>
    <row r="5246">
      <c r="A5246" s="11">
        <f>IFERROR(__xludf.DUMMYFUNCTION("""COMPUTED_VALUE"""),2021.0)</f>
        <v>2021</v>
      </c>
      <c r="B5246" s="11">
        <f>IFERROR(__xludf.DUMMYFUNCTION("""COMPUTED_VALUE"""),11.0)</f>
        <v>11</v>
      </c>
      <c r="C5246" s="11">
        <f>IFERROR(__xludf.DUMMYFUNCTION("""COMPUTED_VALUE"""),79430.0)</f>
        <v>79430</v>
      </c>
      <c r="D5246" s="11">
        <f>IFERROR(__xludf.DUMMYFUNCTION("""COMPUTED_VALUE"""),1755.0)</f>
        <v>1755</v>
      </c>
      <c r="E5246" s="9"/>
    </row>
    <row r="5247">
      <c r="A5247" s="11">
        <f>IFERROR(__xludf.DUMMYFUNCTION("""COMPUTED_VALUE"""),2021.0)</f>
        <v>2021</v>
      </c>
      <c r="B5247" s="11">
        <f>IFERROR(__xludf.DUMMYFUNCTION("""COMPUTED_VALUE"""),9.0)</f>
        <v>9</v>
      </c>
      <c r="C5247" s="11">
        <f>IFERROR(__xludf.DUMMYFUNCTION("""COMPUTED_VALUE"""),41921.0)</f>
        <v>41921</v>
      </c>
      <c r="D5247" s="11">
        <f>IFERROR(__xludf.DUMMYFUNCTION("""COMPUTED_VALUE"""),1174.0)</f>
        <v>1174</v>
      </c>
      <c r="E5247" s="9"/>
    </row>
    <row r="5248">
      <c r="A5248" s="11">
        <f>IFERROR(__xludf.DUMMYFUNCTION("""COMPUTED_VALUE"""),2021.0)</f>
        <v>2021</v>
      </c>
      <c r="B5248" s="11">
        <f>IFERROR(__xludf.DUMMYFUNCTION("""COMPUTED_VALUE"""),9.0)</f>
        <v>9</v>
      </c>
      <c r="C5248" s="11">
        <f>IFERROR(__xludf.DUMMYFUNCTION("""COMPUTED_VALUE"""),41910.0)</f>
        <v>41910</v>
      </c>
      <c r="D5248" s="11">
        <f>IFERROR(__xludf.DUMMYFUNCTION("""COMPUTED_VALUE"""),1736.0)</f>
        <v>1736</v>
      </c>
      <c r="E5248" s="9"/>
    </row>
    <row r="5249">
      <c r="A5249" s="11">
        <f>IFERROR(__xludf.DUMMYFUNCTION("""COMPUTED_VALUE"""),2021.0)</f>
        <v>2021</v>
      </c>
      <c r="B5249" s="11">
        <f>IFERROR(__xludf.DUMMYFUNCTION("""COMPUTED_VALUE"""),9.0)</f>
        <v>9</v>
      </c>
      <c r="C5249" s="11">
        <f>IFERROR(__xludf.DUMMYFUNCTION("""COMPUTED_VALUE"""),11069.0)</f>
        <v>11069</v>
      </c>
      <c r="D5249" s="11">
        <f>IFERROR(__xludf.DUMMYFUNCTION("""COMPUTED_VALUE"""),812.0)</f>
        <v>812</v>
      </c>
      <c r="E5249" s="9"/>
    </row>
    <row r="5250">
      <c r="A5250" s="11">
        <f>IFERROR(__xludf.DUMMYFUNCTION("""COMPUTED_VALUE"""),2021.0)</f>
        <v>2021</v>
      </c>
      <c r="B5250" s="11">
        <f>IFERROR(__xludf.DUMMYFUNCTION("""COMPUTED_VALUE"""),8.0)</f>
        <v>8</v>
      </c>
      <c r="C5250" s="11">
        <f>IFERROR(__xludf.DUMMYFUNCTION("""COMPUTED_VALUE"""),41924.0)</f>
        <v>41924</v>
      </c>
      <c r="D5250" s="11">
        <f>IFERROR(__xludf.DUMMYFUNCTION("""COMPUTED_VALUE"""),796.0)</f>
        <v>796</v>
      </c>
      <c r="E5250" s="9"/>
    </row>
    <row r="5251">
      <c r="A5251" s="11">
        <f>IFERROR(__xludf.DUMMYFUNCTION("""COMPUTED_VALUE"""),2021.0)</f>
        <v>2021</v>
      </c>
      <c r="B5251" s="11">
        <f>IFERROR(__xludf.DUMMYFUNCTION("""COMPUTED_VALUE"""),11.0)</f>
        <v>11</v>
      </c>
      <c r="C5251" s="11">
        <f>IFERROR(__xludf.DUMMYFUNCTION("""COMPUTED_VALUE"""),133913.0)</f>
        <v>133913</v>
      </c>
      <c r="D5251" s="11">
        <f>IFERROR(__xludf.DUMMYFUNCTION("""COMPUTED_VALUE"""),1242.0)</f>
        <v>1242</v>
      </c>
      <c r="E5251" s="9"/>
    </row>
    <row r="5252">
      <c r="A5252" s="11">
        <f>IFERROR(__xludf.DUMMYFUNCTION("""COMPUTED_VALUE"""),2021.0)</f>
        <v>2021</v>
      </c>
      <c r="B5252" s="11">
        <f>IFERROR(__xludf.DUMMYFUNCTION("""COMPUTED_VALUE"""),10.0)</f>
        <v>10</v>
      </c>
      <c r="C5252" s="11">
        <f>IFERROR(__xludf.DUMMYFUNCTION("""COMPUTED_VALUE"""),70422.0)</f>
        <v>70422</v>
      </c>
      <c r="D5252" s="11">
        <f>IFERROR(__xludf.DUMMYFUNCTION("""COMPUTED_VALUE"""),1585.0)</f>
        <v>1585</v>
      </c>
      <c r="E5252" s="9"/>
    </row>
    <row r="5253">
      <c r="A5253" s="11">
        <f>IFERROR(__xludf.DUMMYFUNCTION("""COMPUTED_VALUE"""),2021.0)</f>
        <v>2021</v>
      </c>
      <c r="B5253" s="11">
        <f>IFERROR(__xludf.DUMMYFUNCTION("""COMPUTED_VALUE"""),11.0)</f>
        <v>11</v>
      </c>
      <c r="C5253" s="11">
        <f>IFERROR(__xludf.DUMMYFUNCTION("""COMPUTED_VALUE"""),17812.0)</f>
        <v>17812</v>
      </c>
      <c r="D5253" s="11">
        <f>IFERROR(__xludf.DUMMYFUNCTION("""COMPUTED_VALUE"""),1048.0)</f>
        <v>1048</v>
      </c>
      <c r="E5253" s="9"/>
    </row>
    <row r="5254">
      <c r="A5254" s="11">
        <f>IFERROR(__xludf.DUMMYFUNCTION("""COMPUTED_VALUE"""),2021.0)</f>
        <v>2021</v>
      </c>
      <c r="B5254" s="11">
        <f>IFERROR(__xludf.DUMMYFUNCTION("""COMPUTED_VALUE"""),10.0)</f>
        <v>10</v>
      </c>
      <c r="C5254" s="11">
        <f>IFERROR(__xludf.DUMMYFUNCTION("""COMPUTED_VALUE"""),70429.0)</f>
        <v>70429</v>
      </c>
      <c r="D5254" s="11">
        <f>IFERROR(__xludf.DUMMYFUNCTION("""COMPUTED_VALUE"""),766.0)</f>
        <v>766</v>
      </c>
      <c r="E5254" s="9"/>
    </row>
    <row r="5255">
      <c r="A5255" s="11">
        <f>IFERROR(__xludf.DUMMYFUNCTION("""COMPUTED_VALUE"""),2021.0)</f>
        <v>2021</v>
      </c>
      <c r="B5255" s="11">
        <f>IFERROR(__xludf.DUMMYFUNCTION("""COMPUTED_VALUE"""),10.0)</f>
        <v>10</v>
      </c>
      <c r="C5255" s="11">
        <f>IFERROR(__xludf.DUMMYFUNCTION("""COMPUTED_VALUE"""),70428.0)</f>
        <v>70428</v>
      </c>
      <c r="D5255" s="11">
        <f>IFERROR(__xludf.DUMMYFUNCTION("""COMPUTED_VALUE"""),665.0)</f>
        <v>665</v>
      </c>
      <c r="E5255" s="9"/>
    </row>
    <row r="5256">
      <c r="A5256" s="11">
        <f>IFERROR(__xludf.DUMMYFUNCTION("""COMPUTED_VALUE"""),2021.0)</f>
        <v>2021</v>
      </c>
      <c r="B5256" s="11">
        <f>IFERROR(__xludf.DUMMYFUNCTION("""COMPUTED_VALUE"""),9.0)</f>
        <v>9</v>
      </c>
      <c r="C5256" s="11">
        <f>IFERROR(__xludf.DUMMYFUNCTION("""COMPUTED_VALUE"""),99038.0)</f>
        <v>99038</v>
      </c>
      <c r="D5256" s="11">
        <f>IFERROR(__xludf.DUMMYFUNCTION("""COMPUTED_VALUE"""),83.0)</f>
        <v>83</v>
      </c>
      <c r="E5256" s="9"/>
    </row>
    <row r="5257">
      <c r="A5257" s="11">
        <f>IFERROR(__xludf.DUMMYFUNCTION("""COMPUTED_VALUE"""),2021.0)</f>
        <v>2021</v>
      </c>
      <c r="B5257" s="11">
        <f>IFERROR(__xludf.DUMMYFUNCTION("""COMPUTED_VALUE"""),11.0)</f>
        <v>11</v>
      </c>
      <c r="C5257" s="11">
        <f>IFERROR(__xludf.DUMMYFUNCTION("""COMPUTED_VALUE"""),11071.0)</f>
        <v>11071</v>
      </c>
      <c r="D5257" s="11">
        <f>IFERROR(__xludf.DUMMYFUNCTION("""COMPUTED_VALUE"""),706.0)</f>
        <v>706</v>
      </c>
      <c r="E5257" s="9"/>
    </row>
    <row r="5258">
      <c r="A5258" s="11">
        <f>IFERROR(__xludf.DUMMYFUNCTION("""COMPUTED_VALUE"""),2021.0)</f>
        <v>2021</v>
      </c>
      <c r="B5258" s="11">
        <f>IFERROR(__xludf.DUMMYFUNCTION("""COMPUTED_VALUE"""),8.0)</f>
        <v>8</v>
      </c>
      <c r="C5258" s="11">
        <f>IFERROR(__xludf.DUMMYFUNCTION("""COMPUTED_VALUE"""),17066.0)</f>
        <v>17066</v>
      </c>
      <c r="D5258" s="11">
        <f>IFERROR(__xludf.DUMMYFUNCTION("""COMPUTED_VALUE"""),224.0)</f>
        <v>224</v>
      </c>
      <c r="E5258" s="9"/>
    </row>
    <row r="5259">
      <c r="A5259" s="11">
        <f>IFERROR(__xludf.DUMMYFUNCTION("""COMPUTED_VALUE"""),2021.0)</f>
        <v>2021</v>
      </c>
      <c r="B5259" s="11">
        <f>IFERROR(__xludf.DUMMYFUNCTION("""COMPUTED_VALUE"""),10.0)</f>
        <v>10</v>
      </c>
      <c r="C5259" s="11">
        <f>IFERROR(__xludf.DUMMYFUNCTION("""COMPUTED_VALUE"""),117649.0)</f>
        <v>117649</v>
      </c>
      <c r="D5259" s="11">
        <f>IFERROR(__xludf.DUMMYFUNCTION("""COMPUTED_VALUE"""),1219.0)</f>
        <v>1219</v>
      </c>
      <c r="E5259" s="9"/>
    </row>
    <row r="5260">
      <c r="A5260" s="11">
        <f>IFERROR(__xludf.DUMMYFUNCTION("""COMPUTED_VALUE"""),2021.0)</f>
        <v>2021</v>
      </c>
      <c r="B5260" s="11">
        <f>IFERROR(__xludf.DUMMYFUNCTION("""COMPUTED_VALUE"""),8.0)</f>
        <v>8</v>
      </c>
      <c r="C5260" s="11">
        <f>IFERROR(__xludf.DUMMYFUNCTION("""COMPUTED_VALUE"""),70426.0)</f>
        <v>70426</v>
      </c>
      <c r="D5260" s="11">
        <f>IFERROR(__xludf.DUMMYFUNCTION("""COMPUTED_VALUE"""),783.0)</f>
        <v>783</v>
      </c>
      <c r="E5260" s="9"/>
    </row>
    <row r="5261">
      <c r="A5261" s="11">
        <f>IFERROR(__xludf.DUMMYFUNCTION("""COMPUTED_VALUE"""),2021.0)</f>
        <v>2021</v>
      </c>
      <c r="B5261" s="11">
        <f>IFERROR(__xludf.DUMMYFUNCTION("""COMPUTED_VALUE"""),10.0)</f>
        <v>10</v>
      </c>
      <c r="C5261" s="11">
        <f>IFERROR(__xludf.DUMMYFUNCTION("""COMPUTED_VALUE"""),75750.0)</f>
        <v>75750</v>
      </c>
      <c r="D5261" s="11">
        <f>IFERROR(__xludf.DUMMYFUNCTION("""COMPUTED_VALUE"""),642.0)</f>
        <v>642</v>
      </c>
      <c r="E5261" s="9"/>
    </row>
    <row r="5262">
      <c r="A5262" s="11">
        <f>IFERROR(__xludf.DUMMYFUNCTION("""COMPUTED_VALUE"""),2021.0)</f>
        <v>2021</v>
      </c>
      <c r="B5262" s="11">
        <f>IFERROR(__xludf.DUMMYFUNCTION("""COMPUTED_VALUE"""),10.0)</f>
        <v>10</v>
      </c>
      <c r="C5262" s="11">
        <f>IFERROR(__xludf.DUMMYFUNCTION("""COMPUTED_VALUE"""),117644.0)</f>
        <v>117644</v>
      </c>
      <c r="D5262" s="11">
        <f>IFERROR(__xludf.DUMMYFUNCTION("""COMPUTED_VALUE"""),1820.0)</f>
        <v>1820</v>
      </c>
      <c r="E5262" s="9"/>
    </row>
    <row r="5263">
      <c r="A5263" s="11">
        <f>IFERROR(__xludf.DUMMYFUNCTION("""COMPUTED_VALUE"""),2021.0)</f>
        <v>2021</v>
      </c>
      <c r="B5263" s="11">
        <f>IFERROR(__xludf.DUMMYFUNCTION("""COMPUTED_VALUE"""),11.0)</f>
        <v>11</v>
      </c>
      <c r="C5263" s="11">
        <f>IFERROR(__xludf.DUMMYFUNCTION("""COMPUTED_VALUE"""),68512.0)</f>
        <v>68512</v>
      </c>
      <c r="D5263" s="11">
        <f>IFERROR(__xludf.DUMMYFUNCTION("""COMPUTED_VALUE"""),1141.0)</f>
        <v>1141</v>
      </c>
      <c r="E5263" s="9"/>
    </row>
    <row r="5264">
      <c r="A5264" s="11">
        <f>IFERROR(__xludf.DUMMYFUNCTION("""COMPUTED_VALUE"""),2021.0)</f>
        <v>2021</v>
      </c>
      <c r="B5264" s="11">
        <f>IFERROR(__xludf.DUMMYFUNCTION("""COMPUTED_VALUE"""),10.0)</f>
        <v>10</v>
      </c>
      <c r="C5264" s="11">
        <f>IFERROR(__xludf.DUMMYFUNCTION("""COMPUTED_VALUE"""),12792.0)</f>
        <v>12792</v>
      </c>
      <c r="D5264" s="11">
        <f>IFERROR(__xludf.DUMMYFUNCTION("""COMPUTED_VALUE"""),1886.0)</f>
        <v>1886</v>
      </c>
      <c r="E5264" s="9"/>
    </row>
    <row r="5265">
      <c r="A5265" s="11">
        <f>IFERROR(__xludf.DUMMYFUNCTION("""COMPUTED_VALUE"""),2021.0)</f>
        <v>2021</v>
      </c>
      <c r="B5265" s="11">
        <f>IFERROR(__xludf.DUMMYFUNCTION("""COMPUTED_VALUE"""),11.0)</f>
        <v>11</v>
      </c>
      <c r="C5265" s="11">
        <f>IFERROR(__xludf.DUMMYFUNCTION("""COMPUTED_VALUE"""),46684.0)</f>
        <v>46684</v>
      </c>
      <c r="D5265" s="11">
        <f>IFERROR(__xludf.DUMMYFUNCTION("""COMPUTED_VALUE"""),361.0)</f>
        <v>361</v>
      </c>
      <c r="E5265" s="9"/>
    </row>
    <row r="5266">
      <c r="A5266" s="11">
        <f>IFERROR(__xludf.DUMMYFUNCTION("""COMPUTED_VALUE"""),2021.0)</f>
        <v>2021</v>
      </c>
      <c r="B5266" s="11">
        <f>IFERROR(__xludf.DUMMYFUNCTION("""COMPUTED_VALUE"""),9.0)</f>
        <v>9</v>
      </c>
      <c r="C5266" s="11">
        <f>IFERROR(__xludf.DUMMYFUNCTION("""COMPUTED_VALUE"""),12795.0)</f>
        <v>12795</v>
      </c>
      <c r="D5266" s="11">
        <f>IFERROR(__xludf.DUMMYFUNCTION("""COMPUTED_VALUE"""),735.0)</f>
        <v>735</v>
      </c>
      <c r="E5266" s="9"/>
    </row>
    <row r="5267">
      <c r="A5267" s="11">
        <f>IFERROR(__xludf.DUMMYFUNCTION("""COMPUTED_VALUE"""),2021.0)</f>
        <v>2021</v>
      </c>
      <c r="B5267" s="11">
        <f>IFERROR(__xludf.DUMMYFUNCTION("""COMPUTED_VALUE"""),10.0)</f>
        <v>10</v>
      </c>
      <c r="C5267" s="11">
        <f>IFERROR(__xludf.DUMMYFUNCTION("""COMPUTED_VALUE"""),46686.0)</f>
        <v>46686</v>
      </c>
      <c r="D5267" s="11">
        <f>IFERROR(__xludf.DUMMYFUNCTION("""COMPUTED_VALUE"""),1370.0)</f>
        <v>1370</v>
      </c>
      <c r="E5267" s="9"/>
    </row>
    <row r="5268">
      <c r="A5268" s="11">
        <f>IFERROR(__xludf.DUMMYFUNCTION("""COMPUTED_VALUE"""),2021.0)</f>
        <v>2021</v>
      </c>
      <c r="B5268" s="11">
        <f>IFERROR(__xludf.DUMMYFUNCTION("""COMPUTED_VALUE"""),8.0)</f>
        <v>8</v>
      </c>
      <c r="C5268" s="11">
        <f>IFERROR(__xludf.DUMMYFUNCTION("""COMPUTED_VALUE"""),12804.0)</f>
        <v>12804</v>
      </c>
      <c r="D5268" s="11">
        <f>IFERROR(__xludf.DUMMYFUNCTION("""COMPUTED_VALUE"""),1209.0)</f>
        <v>1209</v>
      </c>
      <c r="E5268" s="9"/>
    </row>
    <row r="5269">
      <c r="A5269" s="11">
        <f>IFERROR(__xludf.DUMMYFUNCTION("""COMPUTED_VALUE"""),2021.0)</f>
        <v>2021</v>
      </c>
      <c r="B5269" s="11">
        <f>IFERROR(__xludf.DUMMYFUNCTION("""COMPUTED_VALUE"""),10.0)</f>
        <v>10</v>
      </c>
      <c r="C5269" s="11">
        <f>IFERROR(__xludf.DUMMYFUNCTION("""COMPUTED_VALUE"""),12799.0)</f>
        <v>12799</v>
      </c>
      <c r="D5269" s="11">
        <f>IFERROR(__xludf.DUMMYFUNCTION("""COMPUTED_VALUE"""),1780.0)</f>
        <v>1780</v>
      </c>
      <c r="E5269" s="9"/>
    </row>
    <row r="5270">
      <c r="A5270" s="11">
        <f>IFERROR(__xludf.DUMMYFUNCTION("""COMPUTED_VALUE"""),2021.0)</f>
        <v>2021</v>
      </c>
      <c r="B5270" s="11">
        <f>IFERROR(__xludf.DUMMYFUNCTION("""COMPUTED_VALUE"""),10.0)</f>
        <v>10</v>
      </c>
      <c r="C5270" s="11">
        <f>IFERROR(__xludf.DUMMYFUNCTION("""COMPUTED_VALUE"""),100914.0)</f>
        <v>100914</v>
      </c>
      <c r="D5270" s="11">
        <f>IFERROR(__xludf.DUMMYFUNCTION("""COMPUTED_VALUE"""),151.0)</f>
        <v>151</v>
      </c>
      <c r="E5270" s="9"/>
    </row>
    <row r="5271">
      <c r="A5271" s="11">
        <f>IFERROR(__xludf.DUMMYFUNCTION("""COMPUTED_VALUE"""),2021.0)</f>
        <v>2021</v>
      </c>
      <c r="B5271" s="11">
        <f>IFERROR(__xludf.DUMMYFUNCTION("""COMPUTED_VALUE"""),10.0)</f>
        <v>10</v>
      </c>
      <c r="C5271" s="11">
        <f>IFERROR(__xludf.DUMMYFUNCTION("""COMPUTED_VALUE"""),12802.0)</f>
        <v>12802</v>
      </c>
      <c r="D5271" s="11">
        <f>IFERROR(__xludf.DUMMYFUNCTION("""COMPUTED_VALUE"""),191.0)</f>
        <v>191</v>
      </c>
      <c r="E5271" s="9"/>
    </row>
    <row r="5272">
      <c r="A5272" s="11">
        <f>IFERROR(__xludf.DUMMYFUNCTION("""COMPUTED_VALUE"""),2021.0)</f>
        <v>2021</v>
      </c>
      <c r="B5272" s="11">
        <f>IFERROR(__xludf.DUMMYFUNCTION("""COMPUTED_VALUE"""),8.0)</f>
        <v>8</v>
      </c>
      <c r="C5272" s="11">
        <f>IFERROR(__xludf.DUMMYFUNCTION("""COMPUTED_VALUE"""),100907.0)</f>
        <v>100907</v>
      </c>
      <c r="D5272" s="11">
        <f>IFERROR(__xludf.DUMMYFUNCTION("""COMPUTED_VALUE"""),1340.0)</f>
        <v>1340</v>
      </c>
      <c r="E5272" s="9"/>
    </row>
    <row r="5273">
      <c r="A5273" s="11">
        <f>IFERROR(__xludf.DUMMYFUNCTION("""COMPUTED_VALUE"""),2021.0)</f>
        <v>2021</v>
      </c>
      <c r="B5273" s="11">
        <f>IFERROR(__xludf.DUMMYFUNCTION("""COMPUTED_VALUE"""),8.0)</f>
        <v>8</v>
      </c>
      <c r="C5273" s="11">
        <f>IFERROR(__xludf.DUMMYFUNCTION("""COMPUTED_VALUE"""),12794.0)</f>
        <v>12794</v>
      </c>
      <c r="D5273" s="11">
        <f>IFERROR(__xludf.DUMMYFUNCTION("""COMPUTED_VALUE"""),1875.0)</f>
        <v>1875</v>
      </c>
      <c r="E5273" s="9"/>
    </row>
    <row r="5274">
      <c r="A5274" s="11">
        <f>IFERROR(__xludf.DUMMYFUNCTION("""COMPUTED_VALUE"""),2021.0)</f>
        <v>2021</v>
      </c>
      <c r="B5274" s="11">
        <f>IFERROR(__xludf.DUMMYFUNCTION("""COMPUTED_VALUE"""),11.0)</f>
        <v>11</v>
      </c>
      <c r="C5274" s="11">
        <f>IFERROR(__xludf.DUMMYFUNCTION("""COMPUTED_VALUE"""),4261.0)</f>
        <v>4261</v>
      </c>
      <c r="D5274" s="11">
        <f>IFERROR(__xludf.DUMMYFUNCTION("""COMPUTED_VALUE"""),1003.0)</f>
        <v>1003</v>
      </c>
      <c r="E5274" s="9"/>
    </row>
    <row r="5275">
      <c r="A5275" s="11">
        <f>IFERROR(__xludf.DUMMYFUNCTION("""COMPUTED_VALUE"""),2021.0)</f>
        <v>2021</v>
      </c>
      <c r="B5275" s="11">
        <f>IFERROR(__xludf.DUMMYFUNCTION("""COMPUTED_VALUE"""),8.0)</f>
        <v>8</v>
      </c>
      <c r="C5275" s="11">
        <f>IFERROR(__xludf.DUMMYFUNCTION("""COMPUTED_VALUE"""),9656.0)</f>
        <v>9656</v>
      </c>
      <c r="D5275" s="11">
        <f>IFERROR(__xludf.DUMMYFUNCTION("""COMPUTED_VALUE"""),968.0)</f>
        <v>968</v>
      </c>
      <c r="E5275" s="9"/>
    </row>
    <row r="5276">
      <c r="A5276" s="11">
        <f>IFERROR(__xludf.DUMMYFUNCTION("""COMPUTED_VALUE"""),2021.0)</f>
        <v>2021</v>
      </c>
      <c r="B5276" s="11">
        <f>IFERROR(__xludf.DUMMYFUNCTION("""COMPUTED_VALUE"""),8.0)</f>
        <v>8</v>
      </c>
      <c r="C5276" s="11">
        <f>IFERROR(__xludf.DUMMYFUNCTION("""COMPUTED_VALUE"""),9657.0)</f>
        <v>9657</v>
      </c>
      <c r="D5276" s="11">
        <f>IFERROR(__xludf.DUMMYFUNCTION("""COMPUTED_VALUE"""),970.0)</f>
        <v>970</v>
      </c>
      <c r="E5276" s="9"/>
    </row>
    <row r="5277">
      <c r="A5277" s="11">
        <f>IFERROR(__xludf.DUMMYFUNCTION("""COMPUTED_VALUE"""),2021.0)</f>
        <v>2021</v>
      </c>
      <c r="B5277" s="11">
        <f>IFERROR(__xludf.DUMMYFUNCTION("""COMPUTED_VALUE"""),11.0)</f>
        <v>11</v>
      </c>
      <c r="C5277" s="11">
        <f>IFERROR(__xludf.DUMMYFUNCTION("""COMPUTED_VALUE"""),9660.0)</f>
        <v>9660</v>
      </c>
      <c r="D5277" s="11">
        <f>IFERROR(__xludf.DUMMYFUNCTION("""COMPUTED_VALUE"""),1348.0)</f>
        <v>1348</v>
      </c>
      <c r="E5277" s="9"/>
    </row>
    <row r="5278">
      <c r="A5278" s="11">
        <f>IFERROR(__xludf.DUMMYFUNCTION("""COMPUTED_VALUE"""),2021.0)</f>
        <v>2021</v>
      </c>
      <c r="B5278" s="11">
        <f>IFERROR(__xludf.DUMMYFUNCTION("""COMPUTED_VALUE"""),11.0)</f>
        <v>11</v>
      </c>
      <c r="C5278" s="11">
        <f>IFERROR(__xludf.DUMMYFUNCTION("""COMPUTED_VALUE"""),9648.0)</f>
        <v>9648</v>
      </c>
      <c r="D5278" s="11">
        <f>IFERROR(__xludf.DUMMYFUNCTION("""COMPUTED_VALUE"""),1366.0)</f>
        <v>1366</v>
      </c>
      <c r="E5278" s="9"/>
    </row>
    <row r="5279">
      <c r="A5279" s="11">
        <f>IFERROR(__xludf.DUMMYFUNCTION("""COMPUTED_VALUE"""),2021.0)</f>
        <v>2021</v>
      </c>
      <c r="B5279" s="11">
        <f>IFERROR(__xludf.DUMMYFUNCTION("""COMPUTED_VALUE"""),11.0)</f>
        <v>11</v>
      </c>
      <c r="C5279" s="11">
        <f>IFERROR(__xludf.DUMMYFUNCTION("""COMPUTED_VALUE"""),79424.0)</f>
        <v>79424</v>
      </c>
      <c r="D5279" s="11">
        <f>IFERROR(__xludf.DUMMYFUNCTION("""COMPUTED_VALUE"""),717.0)</f>
        <v>717</v>
      </c>
      <c r="E5279" s="9"/>
    </row>
    <row r="5280">
      <c r="A5280" s="11">
        <f>IFERROR(__xludf.DUMMYFUNCTION("""COMPUTED_VALUE"""),2021.0)</f>
        <v>2021</v>
      </c>
      <c r="B5280" s="11">
        <f>IFERROR(__xludf.DUMMYFUNCTION("""COMPUTED_VALUE"""),11.0)</f>
        <v>11</v>
      </c>
      <c r="C5280" s="11">
        <f>IFERROR(__xludf.DUMMYFUNCTION("""COMPUTED_VALUE"""),4267.0)</f>
        <v>4267</v>
      </c>
      <c r="D5280" s="11">
        <f>IFERROR(__xludf.DUMMYFUNCTION("""COMPUTED_VALUE"""),317.0)</f>
        <v>317</v>
      </c>
      <c r="E5280" s="9"/>
    </row>
    <row r="5281">
      <c r="A5281" s="11">
        <f>IFERROR(__xludf.DUMMYFUNCTION("""COMPUTED_VALUE"""),2021.0)</f>
        <v>2021</v>
      </c>
      <c r="B5281" s="11">
        <f>IFERROR(__xludf.DUMMYFUNCTION("""COMPUTED_VALUE"""),8.0)</f>
        <v>8</v>
      </c>
      <c r="C5281" s="11">
        <f>IFERROR(__xludf.DUMMYFUNCTION("""COMPUTED_VALUE"""),9647.0)</f>
        <v>9647</v>
      </c>
      <c r="D5281" s="11">
        <f>IFERROR(__xludf.DUMMYFUNCTION("""COMPUTED_VALUE"""),681.0)</f>
        <v>681</v>
      </c>
      <c r="E5281" s="9"/>
    </row>
    <row r="5282">
      <c r="A5282" s="11">
        <f>IFERROR(__xludf.DUMMYFUNCTION("""COMPUTED_VALUE"""),2021.0)</f>
        <v>2021</v>
      </c>
      <c r="B5282" s="11">
        <f>IFERROR(__xludf.DUMMYFUNCTION("""COMPUTED_VALUE"""),11.0)</f>
        <v>11</v>
      </c>
      <c r="C5282" s="11">
        <f>IFERROR(__xludf.DUMMYFUNCTION("""COMPUTED_VALUE"""),110772.0)</f>
        <v>110772</v>
      </c>
      <c r="D5282" s="11">
        <f>IFERROR(__xludf.DUMMYFUNCTION("""COMPUTED_VALUE"""),1733.0)</f>
        <v>1733</v>
      </c>
      <c r="E5282" s="9"/>
    </row>
    <row r="5283">
      <c r="A5283" s="11">
        <f>IFERROR(__xludf.DUMMYFUNCTION("""COMPUTED_VALUE"""),2021.0)</f>
        <v>2021</v>
      </c>
      <c r="B5283" s="11">
        <f>IFERROR(__xludf.DUMMYFUNCTION("""COMPUTED_VALUE"""),9.0)</f>
        <v>9</v>
      </c>
      <c r="C5283" s="11">
        <f>IFERROR(__xludf.DUMMYFUNCTION("""COMPUTED_VALUE"""),4255.0)</f>
        <v>4255</v>
      </c>
      <c r="D5283" s="11">
        <f>IFERROR(__xludf.DUMMYFUNCTION("""COMPUTED_VALUE"""),627.0)</f>
        <v>627</v>
      </c>
      <c r="E5283" s="9"/>
    </row>
    <row r="5284">
      <c r="A5284" s="11">
        <f>IFERROR(__xludf.DUMMYFUNCTION("""COMPUTED_VALUE"""),2021.0)</f>
        <v>2021</v>
      </c>
      <c r="B5284" s="11">
        <f>IFERROR(__xludf.DUMMYFUNCTION("""COMPUTED_VALUE"""),11.0)</f>
        <v>11</v>
      </c>
      <c r="C5284" s="11">
        <f>IFERROR(__xludf.DUMMYFUNCTION("""COMPUTED_VALUE"""),4270.0)</f>
        <v>4270</v>
      </c>
      <c r="D5284" s="11">
        <f>IFERROR(__xludf.DUMMYFUNCTION("""COMPUTED_VALUE"""),1523.0)</f>
        <v>1523</v>
      </c>
      <c r="E5284" s="9"/>
    </row>
    <row r="5285">
      <c r="A5285" s="11">
        <f>IFERROR(__xludf.DUMMYFUNCTION("""COMPUTED_VALUE"""),2021.0)</f>
        <v>2021</v>
      </c>
      <c r="B5285" s="11">
        <f>IFERROR(__xludf.DUMMYFUNCTION("""COMPUTED_VALUE"""),8.0)</f>
        <v>8</v>
      </c>
      <c r="C5285" s="11">
        <f>IFERROR(__xludf.DUMMYFUNCTION("""COMPUTED_VALUE"""),4264.0)</f>
        <v>4264</v>
      </c>
      <c r="D5285" s="11">
        <f>IFERROR(__xludf.DUMMYFUNCTION("""COMPUTED_VALUE"""),987.0)</f>
        <v>987</v>
      </c>
      <c r="E5285" s="9"/>
    </row>
    <row r="5286">
      <c r="A5286" s="11">
        <f>IFERROR(__xludf.DUMMYFUNCTION("""COMPUTED_VALUE"""),2021.0)</f>
        <v>2021</v>
      </c>
      <c r="B5286" s="11">
        <f>IFERROR(__xludf.DUMMYFUNCTION("""COMPUTED_VALUE"""),10.0)</f>
        <v>10</v>
      </c>
      <c r="C5286" s="11">
        <f>IFERROR(__xludf.DUMMYFUNCTION("""COMPUTED_VALUE"""),4271.0)</f>
        <v>4271</v>
      </c>
      <c r="D5286" s="11">
        <f>IFERROR(__xludf.DUMMYFUNCTION("""COMPUTED_VALUE"""),1156.0)</f>
        <v>1156</v>
      </c>
      <c r="E5286" s="9"/>
    </row>
    <row r="5287">
      <c r="A5287" s="11">
        <f>IFERROR(__xludf.DUMMYFUNCTION("""COMPUTED_VALUE"""),2021.0)</f>
        <v>2021</v>
      </c>
      <c r="B5287" s="11">
        <f>IFERROR(__xludf.DUMMYFUNCTION("""COMPUTED_VALUE"""),8.0)</f>
        <v>8</v>
      </c>
      <c r="C5287" s="11">
        <f>IFERROR(__xludf.DUMMYFUNCTION("""COMPUTED_VALUE"""),79428.0)</f>
        <v>79428</v>
      </c>
      <c r="D5287" s="11">
        <f>IFERROR(__xludf.DUMMYFUNCTION("""COMPUTED_VALUE"""),827.0)</f>
        <v>827</v>
      </c>
      <c r="E5287" s="9"/>
    </row>
    <row r="5288">
      <c r="A5288" s="11">
        <f>IFERROR(__xludf.DUMMYFUNCTION("""COMPUTED_VALUE"""),2021.0)</f>
        <v>2021</v>
      </c>
      <c r="B5288" s="11">
        <f>IFERROR(__xludf.DUMMYFUNCTION("""COMPUTED_VALUE"""),9.0)</f>
        <v>9</v>
      </c>
      <c r="C5288" s="11">
        <f>IFERROR(__xludf.DUMMYFUNCTION("""COMPUTED_VALUE"""),68509.0)</f>
        <v>68509</v>
      </c>
      <c r="D5288" s="11">
        <f>IFERROR(__xludf.DUMMYFUNCTION("""COMPUTED_VALUE"""),1954.0)</f>
        <v>1954</v>
      </c>
      <c r="E5288" s="9"/>
    </row>
    <row r="5289">
      <c r="A5289" s="11">
        <f>IFERROR(__xludf.DUMMYFUNCTION("""COMPUTED_VALUE"""),2021.0)</f>
        <v>2021</v>
      </c>
      <c r="B5289" s="11">
        <f>IFERROR(__xludf.DUMMYFUNCTION("""COMPUTED_VALUE"""),10.0)</f>
        <v>10</v>
      </c>
      <c r="C5289" s="11">
        <f>IFERROR(__xludf.DUMMYFUNCTION("""COMPUTED_VALUE"""),112104.0)</f>
        <v>112104</v>
      </c>
      <c r="D5289" s="11">
        <f>IFERROR(__xludf.DUMMYFUNCTION("""COMPUTED_VALUE"""),343.0)</f>
        <v>343</v>
      </c>
      <c r="E5289" s="9"/>
    </row>
    <row r="5290">
      <c r="A5290" s="11">
        <f>IFERROR(__xludf.DUMMYFUNCTION("""COMPUTED_VALUE"""),2021.0)</f>
        <v>2021</v>
      </c>
      <c r="B5290" s="11">
        <f>IFERROR(__xludf.DUMMYFUNCTION("""COMPUTED_VALUE"""),10.0)</f>
        <v>10</v>
      </c>
      <c r="C5290" s="11">
        <f>IFERROR(__xludf.DUMMYFUNCTION("""COMPUTED_VALUE"""),79885.0)</f>
        <v>79885</v>
      </c>
      <c r="D5290" s="11">
        <f>IFERROR(__xludf.DUMMYFUNCTION("""COMPUTED_VALUE"""),1340.0)</f>
        <v>1340</v>
      </c>
      <c r="E5290" s="9"/>
    </row>
    <row r="5291">
      <c r="A5291" s="11">
        <f>IFERROR(__xludf.DUMMYFUNCTION("""COMPUTED_VALUE"""),2021.0)</f>
        <v>2021</v>
      </c>
      <c r="B5291" s="11">
        <f>IFERROR(__xludf.DUMMYFUNCTION("""COMPUTED_VALUE"""),11.0)</f>
        <v>11</v>
      </c>
      <c r="C5291" s="11">
        <f>IFERROR(__xludf.DUMMYFUNCTION("""COMPUTED_VALUE"""),6876.0)</f>
        <v>6876</v>
      </c>
      <c r="D5291" s="11">
        <f>IFERROR(__xludf.DUMMYFUNCTION("""COMPUTED_VALUE"""),886.0)</f>
        <v>886</v>
      </c>
      <c r="E5291" s="9"/>
    </row>
    <row r="5292">
      <c r="A5292" s="11">
        <f>IFERROR(__xludf.DUMMYFUNCTION("""COMPUTED_VALUE"""),2021.0)</f>
        <v>2021</v>
      </c>
      <c r="B5292" s="11">
        <f>IFERROR(__xludf.DUMMYFUNCTION("""COMPUTED_VALUE"""),8.0)</f>
        <v>8</v>
      </c>
      <c r="C5292" s="11">
        <f>IFERROR(__xludf.DUMMYFUNCTION("""COMPUTED_VALUE"""),79427.0)</f>
        <v>79427</v>
      </c>
      <c r="D5292" s="11">
        <f>IFERROR(__xludf.DUMMYFUNCTION("""COMPUTED_VALUE"""),569.0)</f>
        <v>569</v>
      </c>
      <c r="E5292" s="9"/>
    </row>
    <row r="5293">
      <c r="A5293" s="11">
        <f>IFERROR(__xludf.DUMMYFUNCTION("""COMPUTED_VALUE"""),2021.0)</f>
        <v>2021</v>
      </c>
      <c r="B5293" s="11">
        <f>IFERROR(__xludf.DUMMYFUNCTION("""COMPUTED_VALUE"""),10.0)</f>
        <v>10</v>
      </c>
      <c r="C5293" s="11">
        <f>IFERROR(__xludf.DUMMYFUNCTION("""COMPUTED_VALUE"""),44828.0)</f>
        <v>44828</v>
      </c>
      <c r="D5293" s="11">
        <f>IFERROR(__xludf.DUMMYFUNCTION("""COMPUTED_VALUE"""),394.0)</f>
        <v>394</v>
      </c>
      <c r="E5293" s="9"/>
    </row>
    <row r="5294">
      <c r="A5294" s="11">
        <f>IFERROR(__xludf.DUMMYFUNCTION("""COMPUTED_VALUE"""),2021.0)</f>
        <v>2021</v>
      </c>
      <c r="B5294" s="11">
        <f>IFERROR(__xludf.DUMMYFUNCTION("""COMPUTED_VALUE"""),10.0)</f>
        <v>10</v>
      </c>
      <c r="C5294" s="11">
        <f>IFERROR(__xludf.DUMMYFUNCTION("""COMPUTED_VALUE"""),122213.0)</f>
        <v>122213</v>
      </c>
      <c r="D5294" s="11">
        <f>IFERROR(__xludf.DUMMYFUNCTION("""COMPUTED_VALUE"""),1554.0)</f>
        <v>1554</v>
      </c>
      <c r="E5294" s="9"/>
    </row>
    <row r="5295">
      <c r="A5295" s="11">
        <f>IFERROR(__xludf.DUMMYFUNCTION("""COMPUTED_VALUE"""),2021.0)</f>
        <v>2021</v>
      </c>
      <c r="B5295" s="11">
        <f>IFERROR(__xludf.DUMMYFUNCTION("""COMPUTED_VALUE"""),10.0)</f>
        <v>10</v>
      </c>
      <c r="C5295" s="11">
        <f>IFERROR(__xludf.DUMMYFUNCTION("""COMPUTED_VALUE"""),46903.0)</f>
        <v>46903</v>
      </c>
      <c r="D5295" s="11">
        <f>IFERROR(__xludf.DUMMYFUNCTION("""COMPUTED_VALUE"""),1332.0)</f>
        <v>1332</v>
      </c>
      <c r="E5295" s="9"/>
    </row>
    <row r="5296">
      <c r="A5296" s="11">
        <f>IFERROR(__xludf.DUMMYFUNCTION("""COMPUTED_VALUE"""),2021.0)</f>
        <v>2021</v>
      </c>
      <c r="B5296" s="11">
        <f>IFERROR(__xludf.DUMMYFUNCTION("""COMPUTED_VALUE"""),8.0)</f>
        <v>8</v>
      </c>
      <c r="C5296" s="11">
        <f>IFERROR(__xludf.DUMMYFUNCTION("""COMPUTED_VALUE"""),80359.0)</f>
        <v>80359</v>
      </c>
      <c r="D5296" s="11">
        <f>IFERROR(__xludf.DUMMYFUNCTION("""COMPUTED_VALUE"""),254.0)</f>
        <v>254</v>
      </c>
      <c r="E5296" s="9"/>
    </row>
    <row r="5297">
      <c r="A5297" s="11">
        <f>IFERROR(__xludf.DUMMYFUNCTION("""COMPUTED_VALUE"""),2021.0)</f>
        <v>2021</v>
      </c>
      <c r="B5297" s="11">
        <f>IFERROR(__xludf.DUMMYFUNCTION("""COMPUTED_VALUE"""),8.0)</f>
        <v>8</v>
      </c>
      <c r="C5297" s="11">
        <f>IFERROR(__xludf.DUMMYFUNCTION("""COMPUTED_VALUE"""),44827.0)</f>
        <v>44827</v>
      </c>
      <c r="D5297" s="11">
        <f>IFERROR(__xludf.DUMMYFUNCTION("""COMPUTED_VALUE"""),1142.0)</f>
        <v>1142</v>
      </c>
      <c r="E5297" s="9"/>
    </row>
    <row r="5298">
      <c r="A5298" s="11">
        <f>IFERROR(__xludf.DUMMYFUNCTION("""COMPUTED_VALUE"""),2021.0)</f>
        <v>2021</v>
      </c>
      <c r="B5298" s="11">
        <f>IFERROR(__xludf.DUMMYFUNCTION("""COMPUTED_VALUE"""),10.0)</f>
        <v>10</v>
      </c>
      <c r="C5298" s="11">
        <f>IFERROR(__xludf.DUMMYFUNCTION("""COMPUTED_VALUE"""),79882.0)</f>
        <v>79882</v>
      </c>
      <c r="D5298" s="11">
        <f>IFERROR(__xludf.DUMMYFUNCTION("""COMPUTED_VALUE"""),1925.0)</f>
        <v>1925</v>
      </c>
      <c r="E5298" s="9"/>
    </row>
    <row r="5299">
      <c r="A5299" s="11">
        <f>IFERROR(__xludf.DUMMYFUNCTION("""COMPUTED_VALUE"""),2021.0)</f>
        <v>2021</v>
      </c>
      <c r="B5299" s="11">
        <f>IFERROR(__xludf.DUMMYFUNCTION("""COMPUTED_VALUE"""),11.0)</f>
        <v>11</v>
      </c>
      <c r="C5299" s="11">
        <f>IFERROR(__xludf.DUMMYFUNCTION("""COMPUTED_VALUE"""),11065.0)</f>
        <v>11065</v>
      </c>
      <c r="D5299" s="11">
        <f>IFERROR(__xludf.DUMMYFUNCTION("""COMPUTED_VALUE"""),1490.0)</f>
        <v>1490</v>
      </c>
      <c r="E5299" s="9"/>
    </row>
    <row r="5300">
      <c r="A5300" s="11">
        <f>IFERROR(__xludf.DUMMYFUNCTION("""COMPUTED_VALUE"""),2021.0)</f>
        <v>2021</v>
      </c>
      <c r="B5300" s="11">
        <f>IFERROR(__xludf.DUMMYFUNCTION("""COMPUTED_VALUE"""),8.0)</f>
        <v>8</v>
      </c>
      <c r="C5300" s="11">
        <f>IFERROR(__xludf.DUMMYFUNCTION("""COMPUTED_VALUE"""),41991.0)</f>
        <v>41991</v>
      </c>
      <c r="D5300" s="11">
        <f>IFERROR(__xludf.DUMMYFUNCTION("""COMPUTED_VALUE"""),101.0)</f>
        <v>101</v>
      </c>
      <c r="E5300" s="9"/>
    </row>
    <row r="5301">
      <c r="A5301" s="11">
        <f>IFERROR(__xludf.DUMMYFUNCTION("""COMPUTED_VALUE"""),2021.0)</f>
        <v>2021</v>
      </c>
      <c r="B5301" s="11">
        <f>IFERROR(__xludf.DUMMYFUNCTION("""COMPUTED_VALUE"""),11.0)</f>
        <v>11</v>
      </c>
      <c r="C5301" s="11">
        <f>IFERROR(__xludf.DUMMYFUNCTION("""COMPUTED_VALUE"""),6877.0)</f>
        <v>6877</v>
      </c>
      <c r="D5301" s="11">
        <f>IFERROR(__xludf.DUMMYFUNCTION("""COMPUTED_VALUE"""),1219.0)</f>
        <v>1219</v>
      </c>
      <c r="E5301" s="9"/>
    </row>
    <row r="5302">
      <c r="A5302" s="11">
        <f>IFERROR(__xludf.DUMMYFUNCTION("""COMPUTED_VALUE"""),2021.0)</f>
        <v>2021</v>
      </c>
      <c r="B5302" s="11">
        <f>IFERROR(__xludf.DUMMYFUNCTION("""COMPUTED_VALUE"""),9.0)</f>
        <v>9</v>
      </c>
      <c r="C5302" s="11">
        <f>IFERROR(__xludf.DUMMYFUNCTION("""COMPUTED_VALUE"""),4290.0)</f>
        <v>4290</v>
      </c>
      <c r="D5302" s="11">
        <f>IFERROR(__xludf.DUMMYFUNCTION("""COMPUTED_VALUE"""),1051.0)</f>
        <v>1051</v>
      </c>
      <c r="E5302" s="9"/>
    </row>
    <row r="5303">
      <c r="A5303" s="11">
        <f>IFERROR(__xludf.DUMMYFUNCTION("""COMPUTED_VALUE"""),2021.0)</f>
        <v>2021</v>
      </c>
      <c r="B5303" s="11">
        <f>IFERROR(__xludf.DUMMYFUNCTION("""COMPUTED_VALUE"""),9.0)</f>
        <v>9</v>
      </c>
      <c r="C5303" s="11">
        <f>IFERROR(__xludf.DUMMYFUNCTION("""COMPUTED_VALUE"""),4905.0)</f>
        <v>4905</v>
      </c>
      <c r="D5303" s="11">
        <f>IFERROR(__xludf.DUMMYFUNCTION("""COMPUTED_VALUE"""),1543.0)</f>
        <v>1543</v>
      </c>
      <c r="E5303" s="9"/>
    </row>
    <row r="5304">
      <c r="A5304" s="11">
        <f>IFERROR(__xludf.DUMMYFUNCTION("""COMPUTED_VALUE"""),2021.0)</f>
        <v>2021</v>
      </c>
      <c r="B5304" s="11">
        <f>IFERROR(__xludf.DUMMYFUNCTION("""COMPUTED_VALUE"""),9.0)</f>
        <v>9</v>
      </c>
      <c r="C5304" s="11">
        <f>IFERROR(__xludf.DUMMYFUNCTION("""COMPUTED_VALUE"""),41979.0)</f>
        <v>41979</v>
      </c>
      <c r="D5304" s="11">
        <f>IFERROR(__xludf.DUMMYFUNCTION("""COMPUTED_VALUE"""),1654.0)</f>
        <v>1654</v>
      </c>
      <c r="E5304" s="9"/>
    </row>
    <row r="5305">
      <c r="A5305" s="11">
        <f>IFERROR(__xludf.DUMMYFUNCTION("""COMPUTED_VALUE"""),2021.0)</f>
        <v>2021</v>
      </c>
      <c r="B5305" s="11">
        <f>IFERROR(__xludf.DUMMYFUNCTION("""COMPUTED_VALUE"""),10.0)</f>
        <v>10</v>
      </c>
      <c r="C5305" s="11">
        <f>IFERROR(__xludf.DUMMYFUNCTION("""COMPUTED_VALUE"""),41925.0)</f>
        <v>41925</v>
      </c>
      <c r="D5305" s="11">
        <f>IFERROR(__xludf.DUMMYFUNCTION("""COMPUTED_VALUE"""),1387.0)</f>
        <v>1387</v>
      </c>
      <c r="E5305" s="9"/>
    </row>
    <row r="5306">
      <c r="A5306" s="11">
        <f>IFERROR(__xludf.DUMMYFUNCTION("""COMPUTED_VALUE"""),2021.0)</f>
        <v>2021</v>
      </c>
      <c r="B5306" s="11">
        <f>IFERROR(__xludf.DUMMYFUNCTION("""COMPUTED_VALUE"""),10.0)</f>
        <v>10</v>
      </c>
      <c r="C5306" s="11">
        <f>IFERROR(__xludf.DUMMYFUNCTION("""COMPUTED_VALUE"""),17067.0)</f>
        <v>17067</v>
      </c>
      <c r="D5306" s="11">
        <f>IFERROR(__xludf.DUMMYFUNCTION("""COMPUTED_VALUE"""),1300.0)</f>
        <v>1300</v>
      </c>
      <c r="E5306" s="9"/>
    </row>
    <row r="5307">
      <c r="A5307" s="11">
        <f>IFERROR(__xludf.DUMMYFUNCTION("""COMPUTED_VALUE"""),2021.0)</f>
        <v>2021</v>
      </c>
      <c r="B5307" s="11">
        <f>IFERROR(__xludf.DUMMYFUNCTION("""COMPUTED_VALUE"""),8.0)</f>
        <v>8</v>
      </c>
      <c r="C5307" s="11">
        <f>IFERROR(__xludf.DUMMYFUNCTION("""COMPUTED_VALUE"""),70425.0)</f>
        <v>70425</v>
      </c>
      <c r="D5307" s="11">
        <f>IFERROR(__xludf.DUMMYFUNCTION("""COMPUTED_VALUE"""),720.0)</f>
        <v>720</v>
      </c>
      <c r="E5307" s="9"/>
    </row>
    <row r="5308">
      <c r="A5308" s="11">
        <f>IFERROR(__xludf.DUMMYFUNCTION("""COMPUTED_VALUE"""),2021.0)</f>
        <v>2021</v>
      </c>
      <c r="B5308" s="11">
        <f>IFERROR(__xludf.DUMMYFUNCTION("""COMPUTED_VALUE"""),10.0)</f>
        <v>10</v>
      </c>
      <c r="C5308" s="11">
        <f>IFERROR(__xludf.DUMMYFUNCTION("""COMPUTED_VALUE"""),17065.0)</f>
        <v>17065</v>
      </c>
      <c r="D5308" s="11">
        <f>IFERROR(__xludf.DUMMYFUNCTION("""COMPUTED_VALUE"""),100.0)</f>
        <v>100</v>
      </c>
      <c r="E5308" s="9"/>
    </row>
    <row r="5309">
      <c r="A5309" s="11">
        <f>IFERROR(__xludf.DUMMYFUNCTION("""COMPUTED_VALUE"""),2021.0)</f>
        <v>2021</v>
      </c>
      <c r="B5309" s="11">
        <f>IFERROR(__xludf.DUMMYFUNCTION("""COMPUTED_VALUE"""),9.0)</f>
        <v>9</v>
      </c>
      <c r="C5309" s="11">
        <f>IFERROR(__xludf.DUMMYFUNCTION("""COMPUTED_VALUE"""),103514.0)</f>
        <v>103514</v>
      </c>
      <c r="D5309" s="11">
        <f>IFERROR(__xludf.DUMMYFUNCTION("""COMPUTED_VALUE"""),944.0)</f>
        <v>944</v>
      </c>
      <c r="E5309" s="9"/>
    </row>
    <row r="5310">
      <c r="A5310" s="11">
        <f>IFERROR(__xludf.DUMMYFUNCTION("""COMPUTED_VALUE"""),2021.0)</f>
        <v>2021</v>
      </c>
      <c r="B5310" s="11">
        <f>IFERROR(__xludf.DUMMYFUNCTION("""COMPUTED_VALUE"""),10.0)</f>
        <v>10</v>
      </c>
      <c r="C5310" s="11">
        <f>IFERROR(__xludf.DUMMYFUNCTION("""COMPUTED_VALUE"""),4298.0)</f>
        <v>4298</v>
      </c>
      <c r="D5310" s="11">
        <f>IFERROR(__xludf.DUMMYFUNCTION("""COMPUTED_VALUE"""),253.0)</f>
        <v>253</v>
      </c>
      <c r="E5310" s="9"/>
    </row>
    <row r="5311">
      <c r="A5311" s="11">
        <f>IFERROR(__xludf.DUMMYFUNCTION("""COMPUTED_VALUE"""),2021.0)</f>
        <v>2021</v>
      </c>
      <c r="B5311" s="11">
        <f>IFERROR(__xludf.DUMMYFUNCTION("""COMPUTED_VALUE"""),9.0)</f>
        <v>9</v>
      </c>
      <c r="C5311" s="11">
        <f>IFERROR(__xludf.DUMMYFUNCTION("""COMPUTED_VALUE"""),4301.0)</f>
        <v>4301</v>
      </c>
      <c r="D5311" s="11">
        <f>IFERROR(__xludf.DUMMYFUNCTION("""COMPUTED_VALUE"""),1609.0)</f>
        <v>1609</v>
      </c>
      <c r="E5311" s="9"/>
    </row>
    <row r="5312">
      <c r="A5312" s="11">
        <f>IFERROR(__xludf.DUMMYFUNCTION("""COMPUTED_VALUE"""),2021.0)</f>
        <v>2021</v>
      </c>
      <c r="B5312" s="11">
        <f>IFERROR(__xludf.DUMMYFUNCTION("""COMPUTED_VALUE"""),8.0)</f>
        <v>8</v>
      </c>
      <c r="C5312" s="11">
        <f>IFERROR(__xludf.DUMMYFUNCTION("""COMPUTED_VALUE"""),75752.0)</f>
        <v>75752</v>
      </c>
      <c r="D5312" s="11">
        <f>IFERROR(__xludf.DUMMYFUNCTION("""COMPUTED_VALUE"""),1258.0)</f>
        <v>1258</v>
      </c>
      <c r="E5312" s="9"/>
    </row>
    <row r="5313">
      <c r="A5313" s="11">
        <f>IFERROR(__xludf.DUMMYFUNCTION("""COMPUTED_VALUE"""),2021.0)</f>
        <v>2021</v>
      </c>
      <c r="B5313" s="11">
        <f>IFERROR(__xludf.DUMMYFUNCTION("""COMPUTED_VALUE"""),10.0)</f>
        <v>10</v>
      </c>
      <c r="C5313" s="11">
        <f>IFERROR(__xludf.DUMMYFUNCTION("""COMPUTED_VALUE"""),21520.0)</f>
        <v>21520</v>
      </c>
      <c r="D5313" s="11">
        <f>IFERROR(__xludf.DUMMYFUNCTION("""COMPUTED_VALUE"""),1876.0)</f>
        <v>1876</v>
      </c>
      <c r="E5313" s="9"/>
    </row>
    <row r="5314">
      <c r="A5314" s="11">
        <f>IFERROR(__xludf.DUMMYFUNCTION("""COMPUTED_VALUE"""),2021.0)</f>
        <v>2021</v>
      </c>
      <c r="B5314" s="11">
        <f>IFERROR(__xludf.DUMMYFUNCTION("""COMPUTED_VALUE"""),11.0)</f>
        <v>11</v>
      </c>
      <c r="C5314" s="11">
        <f>IFERROR(__xludf.DUMMYFUNCTION("""COMPUTED_VALUE"""),82206.0)</f>
        <v>82206</v>
      </c>
      <c r="D5314" s="11">
        <f>IFERROR(__xludf.DUMMYFUNCTION("""COMPUTED_VALUE"""),281.0)</f>
        <v>281</v>
      </c>
      <c r="E5314" s="9"/>
    </row>
    <row r="5315">
      <c r="A5315" s="11">
        <f>IFERROR(__xludf.DUMMYFUNCTION("""COMPUTED_VALUE"""),2021.0)</f>
        <v>2021</v>
      </c>
      <c r="B5315" s="11">
        <f>IFERROR(__xludf.DUMMYFUNCTION("""COMPUTED_VALUE"""),11.0)</f>
        <v>11</v>
      </c>
      <c r="C5315" s="11">
        <f>IFERROR(__xludf.DUMMYFUNCTION("""COMPUTED_VALUE"""),5599.0)</f>
        <v>5599</v>
      </c>
      <c r="D5315" s="11">
        <f>IFERROR(__xludf.DUMMYFUNCTION("""COMPUTED_VALUE"""),516.0)</f>
        <v>516</v>
      </c>
      <c r="E5315" s="9"/>
    </row>
    <row r="5316">
      <c r="A5316" s="11">
        <f>IFERROR(__xludf.DUMMYFUNCTION("""COMPUTED_VALUE"""),2021.0)</f>
        <v>2021</v>
      </c>
      <c r="B5316" s="11">
        <f>IFERROR(__xludf.DUMMYFUNCTION("""COMPUTED_VALUE"""),8.0)</f>
        <v>8</v>
      </c>
      <c r="C5316" s="11">
        <f>IFERROR(__xludf.DUMMYFUNCTION("""COMPUTED_VALUE"""),87231.0)</f>
        <v>87231</v>
      </c>
      <c r="D5316" s="11">
        <f>IFERROR(__xludf.DUMMYFUNCTION("""COMPUTED_VALUE"""),1832.0)</f>
        <v>1832</v>
      </c>
      <c r="E5316" s="9"/>
    </row>
    <row r="5317">
      <c r="A5317" s="11">
        <f>IFERROR(__xludf.DUMMYFUNCTION("""COMPUTED_VALUE"""),2021.0)</f>
        <v>2021</v>
      </c>
      <c r="B5317" s="11">
        <f>IFERROR(__xludf.DUMMYFUNCTION("""COMPUTED_VALUE"""),11.0)</f>
        <v>11</v>
      </c>
      <c r="C5317" s="11">
        <f>IFERROR(__xludf.DUMMYFUNCTION("""COMPUTED_VALUE"""),5861.0)</f>
        <v>5861</v>
      </c>
      <c r="D5317" s="11">
        <f>IFERROR(__xludf.DUMMYFUNCTION("""COMPUTED_VALUE"""),1726.0)</f>
        <v>1726</v>
      </c>
      <c r="E5317" s="9"/>
    </row>
    <row r="5318">
      <c r="A5318" s="11">
        <f>IFERROR(__xludf.DUMMYFUNCTION("""COMPUTED_VALUE"""),2021.0)</f>
        <v>2021</v>
      </c>
      <c r="B5318" s="11">
        <f>IFERROR(__xludf.DUMMYFUNCTION("""COMPUTED_VALUE"""),11.0)</f>
        <v>11</v>
      </c>
      <c r="C5318" s="11">
        <f>IFERROR(__xludf.DUMMYFUNCTION("""COMPUTED_VALUE"""),90909.0)</f>
        <v>90909</v>
      </c>
      <c r="D5318" s="11">
        <f>IFERROR(__xludf.DUMMYFUNCTION("""COMPUTED_VALUE"""),587.0)</f>
        <v>587</v>
      </c>
      <c r="E5318" s="9"/>
    </row>
    <row r="5319">
      <c r="A5319" s="11">
        <f>IFERROR(__xludf.DUMMYFUNCTION("""COMPUTED_VALUE"""),2021.0)</f>
        <v>2021</v>
      </c>
      <c r="B5319" s="11">
        <f>IFERROR(__xludf.DUMMYFUNCTION("""COMPUTED_VALUE"""),11.0)</f>
        <v>11</v>
      </c>
      <c r="C5319" s="11">
        <f>IFERROR(__xludf.DUMMYFUNCTION("""COMPUTED_VALUE"""),21523.0)</f>
        <v>21523</v>
      </c>
      <c r="D5319" s="11">
        <f>IFERROR(__xludf.DUMMYFUNCTION("""COMPUTED_VALUE"""),711.0)</f>
        <v>711</v>
      </c>
      <c r="E5319" s="9"/>
    </row>
    <row r="5320">
      <c r="A5320" s="11">
        <f>IFERROR(__xludf.DUMMYFUNCTION("""COMPUTED_VALUE"""),2021.0)</f>
        <v>2021</v>
      </c>
      <c r="B5320" s="11">
        <f>IFERROR(__xludf.DUMMYFUNCTION("""COMPUTED_VALUE"""),9.0)</f>
        <v>9</v>
      </c>
      <c r="C5320" s="11">
        <f>IFERROR(__xludf.DUMMYFUNCTION("""COMPUTED_VALUE"""),5485.0)</f>
        <v>5485</v>
      </c>
      <c r="D5320" s="11">
        <f>IFERROR(__xludf.DUMMYFUNCTION("""COMPUTED_VALUE"""),1642.0)</f>
        <v>1642</v>
      </c>
      <c r="E5320" s="9"/>
    </row>
    <row r="5321">
      <c r="A5321" s="11">
        <f>IFERROR(__xludf.DUMMYFUNCTION("""COMPUTED_VALUE"""),2021.0)</f>
        <v>2021</v>
      </c>
      <c r="B5321" s="11">
        <f>IFERROR(__xludf.DUMMYFUNCTION("""COMPUTED_VALUE"""),11.0)</f>
        <v>11</v>
      </c>
      <c r="C5321" s="11">
        <f>IFERROR(__xludf.DUMMYFUNCTION("""COMPUTED_VALUE"""),77294.0)</f>
        <v>77294</v>
      </c>
      <c r="D5321" s="11">
        <f>IFERROR(__xludf.DUMMYFUNCTION("""COMPUTED_VALUE"""),484.0)</f>
        <v>484</v>
      </c>
      <c r="E5321" s="9"/>
    </row>
    <row r="5322">
      <c r="A5322" s="11">
        <f>IFERROR(__xludf.DUMMYFUNCTION("""COMPUTED_VALUE"""),2021.0)</f>
        <v>2021</v>
      </c>
      <c r="B5322" s="11">
        <f>IFERROR(__xludf.DUMMYFUNCTION("""COMPUTED_VALUE"""),9.0)</f>
        <v>9</v>
      </c>
      <c r="C5322" s="11">
        <f>IFERROR(__xludf.DUMMYFUNCTION("""COMPUTED_VALUE"""),5486.0)</f>
        <v>5486</v>
      </c>
      <c r="D5322" s="11">
        <f>IFERROR(__xludf.DUMMYFUNCTION("""COMPUTED_VALUE"""),44.0)</f>
        <v>44</v>
      </c>
      <c r="E5322" s="9"/>
    </row>
    <row r="5323">
      <c r="A5323" s="11">
        <f>IFERROR(__xludf.DUMMYFUNCTION("""COMPUTED_VALUE"""),2021.0)</f>
        <v>2021</v>
      </c>
      <c r="B5323" s="11">
        <f>IFERROR(__xludf.DUMMYFUNCTION("""COMPUTED_VALUE"""),8.0)</f>
        <v>8</v>
      </c>
      <c r="C5323" s="11">
        <f>IFERROR(__xludf.DUMMYFUNCTION("""COMPUTED_VALUE"""),77293.0)</f>
        <v>77293</v>
      </c>
      <c r="D5323" s="11">
        <f>IFERROR(__xludf.DUMMYFUNCTION("""COMPUTED_VALUE"""),90.0)</f>
        <v>90</v>
      </c>
      <c r="E5323" s="9"/>
    </row>
    <row r="5324">
      <c r="A5324" s="11">
        <f>IFERROR(__xludf.DUMMYFUNCTION("""COMPUTED_VALUE"""),2021.0)</f>
        <v>2021</v>
      </c>
      <c r="B5324" s="11">
        <f>IFERROR(__xludf.DUMMYFUNCTION("""COMPUTED_VALUE"""),11.0)</f>
        <v>11</v>
      </c>
      <c r="C5324" s="11">
        <f>IFERROR(__xludf.DUMMYFUNCTION("""COMPUTED_VALUE"""),112230.0)</f>
        <v>112230</v>
      </c>
      <c r="D5324" s="11">
        <f>IFERROR(__xludf.DUMMYFUNCTION("""COMPUTED_VALUE"""),54.0)</f>
        <v>54</v>
      </c>
      <c r="E5324" s="9"/>
    </row>
    <row r="5325">
      <c r="A5325" s="11">
        <f>IFERROR(__xludf.DUMMYFUNCTION("""COMPUTED_VALUE"""),2021.0)</f>
        <v>2021</v>
      </c>
      <c r="B5325" s="11">
        <f>IFERROR(__xludf.DUMMYFUNCTION("""COMPUTED_VALUE"""),10.0)</f>
        <v>10</v>
      </c>
      <c r="C5325" s="11">
        <f>IFERROR(__xludf.DUMMYFUNCTION("""COMPUTED_VALUE"""),83607.0)</f>
        <v>83607</v>
      </c>
      <c r="D5325" s="11">
        <f>IFERROR(__xludf.DUMMYFUNCTION("""COMPUTED_VALUE"""),846.0)</f>
        <v>846</v>
      </c>
      <c r="E5325" s="9"/>
    </row>
    <row r="5326">
      <c r="A5326" s="11">
        <f>IFERROR(__xludf.DUMMYFUNCTION("""COMPUTED_VALUE"""),2021.0)</f>
        <v>2021</v>
      </c>
      <c r="B5326" s="11">
        <f>IFERROR(__xludf.DUMMYFUNCTION("""COMPUTED_VALUE"""),9.0)</f>
        <v>9</v>
      </c>
      <c r="C5326" s="11">
        <f>IFERROR(__xludf.DUMMYFUNCTION("""COMPUTED_VALUE"""),117216.0)</f>
        <v>117216</v>
      </c>
      <c r="D5326" s="11">
        <f>IFERROR(__xludf.DUMMYFUNCTION("""COMPUTED_VALUE"""),1475.0)</f>
        <v>1475</v>
      </c>
      <c r="E5326" s="9"/>
    </row>
    <row r="5327">
      <c r="A5327" s="11">
        <f>IFERROR(__xludf.DUMMYFUNCTION("""COMPUTED_VALUE"""),2021.0)</f>
        <v>2021</v>
      </c>
      <c r="B5327" s="11">
        <f>IFERROR(__xludf.DUMMYFUNCTION("""COMPUTED_VALUE"""),9.0)</f>
        <v>9</v>
      </c>
      <c r="C5327" s="11">
        <f>IFERROR(__xludf.DUMMYFUNCTION("""COMPUTED_VALUE"""),5487.0)</f>
        <v>5487</v>
      </c>
      <c r="D5327" s="11">
        <f>IFERROR(__xludf.DUMMYFUNCTION("""COMPUTED_VALUE"""),515.0)</f>
        <v>515</v>
      </c>
      <c r="E5327" s="9"/>
    </row>
    <row r="5328">
      <c r="A5328" s="11">
        <f>IFERROR(__xludf.DUMMYFUNCTION("""COMPUTED_VALUE"""),2021.0)</f>
        <v>2021</v>
      </c>
      <c r="B5328" s="11">
        <f>IFERROR(__xludf.DUMMYFUNCTION("""COMPUTED_VALUE"""),9.0)</f>
        <v>9</v>
      </c>
      <c r="C5328" s="11">
        <f>IFERROR(__xludf.DUMMYFUNCTION("""COMPUTED_VALUE"""),77295.0)</f>
        <v>77295</v>
      </c>
      <c r="D5328" s="11">
        <f>IFERROR(__xludf.DUMMYFUNCTION("""COMPUTED_VALUE"""),1861.0)</f>
        <v>1861</v>
      </c>
      <c r="E5328" s="9"/>
    </row>
    <row r="5329">
      <c r="A5329" s="11">
        <f>IFERROR(__xludf.DUMMYFUNCTION("""COMPUTED_VALUE"""),2021.0)</f>
        <v>2021</v>
      </c>
      <c r="B5329" s="11">
        <f>IFERROR(__xludf.DUMMYFUNCTION("""COMPUTED_VALUE"""),10.0)</f>
        <v>10</v>
      </c>
      <c r="C5329" s="11">
        <f>IFERROR(__xludf.DUMMYFUNCTION("""COMPUTED_VALUE"""),89774.0)</f>
        <v>89774</v>
      </c>
      <c r="D5329" s="11">
        <f>IFERROR(__xludf.DUMMYFUNCTION("""COMPUTED_VALUE"""),1622.0)</f>
        <v>1622</v>
      </c>
      <c r="E5329" s="9"/>
    </row>
    <row r="5330">
      <c r="A5330" s="11">
        <f>IFERROR(__xludf.DUMMYFUNCTION("""COMPUTED_VALUE"""),2021.0)</f>
        <v>2021</v>
      </c>
      <c r="B5330" s="11">
        <f>IFERROR(__xludf.DUMMYFUNCTION("""COMPUTED_VALUE"""),8.0)</f>
        <v>8</v>
      </c>
      <c r="C5330" s="11">
        <f>IFERROR(__xludf.DUMMYFUNCTION("""COMPUTED_VALUE"""),5483.0)</f>
        <v>5483</v>
      </c>
      <c r="D5330" s="11">
        <f>IFERROR(__xludf.DUMMYFUNCTION("""COMPUTED_VALUE"""),110.0)</f>
        <v>110</v>
      </c>
      <c r="E5330" s="9"/>
    </row>
    <row r="5331">
      <c r="A5331" s="11">
        <f>IFERROR(__xludf.DUMMYFUNCTION("""COMPUTED_VALUE"""),2021.0)</f>
        <v>2021</v>
      </c>
      <c r="B5331" s="11">
        <f>IFERROR(__xludf.DUMMYFUNCTION("""COMPUTED_VALUE"""),10.0)</f>
        <v>10</v>
      </c>
      <c r="C5331" s="11">
        <f>IFERROR(__xludf.DUMMYFUNCTION("""COMPUTED_VALUE"""),120541.0)</f>
        <v>120541</v>
      </c>
      <c r="D5331" s="11">
        <f>IFERROR(__xludf.DUMMYFUNCTION("""COMPUTED_VALUE"""),428.0)</f>
        <v>428</v>
      </c>
      <c r="E5331" s="9"/>
    </row>
    <row r="5332">
      <c r="A5332" s="11">
        <f>IFERROR(__xludf.DUMMYFUNCTION("""COMPUTED_VALUE"""),2021.0)</f>
        <v>2021</v>
      </c>
      <c r="B5332" s="11">
        <f>IFERROR(__xludf.DUMMYFUNCTION("""COMPUTED_VALUE"""),9.0)</f>
        <v>9</v>
      </c>
      <c r="C5332" s="11">
        <f>IFERROR(__xludf.DUMMYFUNCTION("""COMPUTED_VALUE"""),100249.0)</f>
        <v>100249</v>
      </c>
      <c r="D5332" s="11">
        <f>IFERROR(__xludf.DUMMYFUNCTION("""COMPUTED_VALUE"""),830.0)</f>
        <v>830</v>
      </c>
      <c r="E5332" s="9"/>
    </row>
    <row r="5333">
      <c r="A5333" s="11">
        <f>IFERROR(__xludf.DUMMYFUNCTION("""COMPUTED_VALUE"""),2021.0)</f>
        <v>2021</v>
      </c>
      <c r="B5333" s="11">
        <f>IFERROR(__xludf.DUMMYFUNCTION("""COMPUTED_VALUE"""),10.0)</f>
        <v>10</v>
      </c>
      <c r="C5333" s="11">
        <f>IFERROR(__xludf.DUMMYFUNCTION("""COMPUTED_VALUE"""),119242.0)</f>
        <v>119242</v>
      </c>
      <c r="D5333" s="11">
        <f>IFERROR(__xludf.DUMMYFUNCTION("""COMPUTED_VALUE"""),476.0)</f>
        <v>476</v>
      </c>
      <c r="E5333" s="9"/>
    </row>
    <row r="5334">
      <c r="A5334" s="11">
        <f>IFERROR(__xludf.DUMMYFUNCTION("""COMPUTED_VALUE"""),2021.0)</f>
        <v>2021</v>
      </c>
      <c r="B5334" s="11">
        <f>IFERROR(__xludf.DUMMYFUNCTION("""COMPUTED_VALUE"""),11.0)</f>
        <v>11</v>
      </c>
      <c r="C5334" s="11">
        <f>IFERROR(__xludf.DUMMYFUNCTION("""COMPUTED_VALUE"""),90868.0)</f>
        <v>90868</v>
      </c>
      <c r="D5334" s="11">
        <f>IFERROR(__xludf.DUMMYFUNCTION("""COMPUTED_VALUE"""),1897.0)</f>
        <v>1897</v>
      </c>
      <c r="E5334" s="9"/>
    </row>
    <row r="5335">
      <c r="A5335" s="11">
        <f>IFERROR(__xludf.DUMMYFUNCTION("""COMPUTED_VALUE"""),2021.0)</f>
        <v>2021</v>
      </c>
      <c r="B5335" s="11">
        <f>IFERROR(__xludf.DUMMYFUNCTION("""COMPUTED_VALUE"""),10.0)</f>
        <v>10</v>
      </c>
      <c r="C5335" s="11">
        <f>IFERROR(__xludf.DUMMYFUNCTION("""COMPUTED_VALUE"""),90854.0)</f>
        <v>90854</v>
      </c>
      <c r="D5335" s="11">
        <f>IFERROR(__xludf.DUMMYFUNCTION("""COMPUTED_VALUE"""),269.0)</f>
        <v>269</v>
      </c>
      <c r="E5335" s="9"/>
    </row>
    <row r="5336">
      <c r="A5336" s="11">
        <f>IFERROR(__xludf.DUMMYFUNCTION("""COMPUTED_VALUE"""),2021.0)</f>
        <v>2021</v>
      </c>
      <c r="B5336" s="11">
        <f>IFERROR(__xludf.DUMMYFUNCTION("""COMPUTED_VALUE"""),10.0)</f>
        <v>10</v>
      </c>
      <c r="C5336" s="11">
        <f>IFERROR(__xludf.DUMMYFUNCTION("""COMPUTED_VALUE"""),76568.0)</f>
        <v>76568</v>
      </c>
      <c r="D5336" s="11">
        <f>IFERROR(__xludf.DUMMYFUNCTION("""COMPUTED_VALUE"""),411.0)</f>
        <v>411</v>
      </c>
      <c r="E5336" s="9"/>
    </row>
    <row r="5337">
      <c r="A5337" s="11">
        <f>IFERROR(__xludf.DUMMYFUNCTION("""COMPUTED_VALUE"""),2021.0)</f>
        <v>2021</v>
      </c>
      <c r="B5337" s="11">
        <f>IFERROR(__xludf.DUMMYFUNCTION("""COMPUTED_VALUE"""),9.0)</f>
        <v>9</v>
      </c>
      <c r="C5337" s="11">
        <f>IFERROR(__xludf.DUMMYFUNCTION("""COMPUTED_VALUE"""),76589.0)</f>
        <v>76589</v>
      </c>
      <c r="D5337" s="11">
        <f>IFERROR(__xludf.DUMMYFUNCTION("""COMPUTED_VALUE"""),1078.0)</f>
        <v>1078</v>
      </c>
      <c r="E5337" s="9"/>
    </row>
    <row r="5338">
      <c r="A5338" s="11">
        <f>IFERROR(__xludf.DUMMYFUNCTION("""COMPUTED_VALUE"""),2021.0)</f>
        <v>2021</v>
      </c>
      <c r="B5338" s="11">
        <f>IFERROR(__xludf.DUMMYFUNCTION("""COMPUTED_VALUE"""),10.0)</f>
        <v>10</v>
      </c>
      <c r="C5338" s="11">
        <f>IFERROR(__xludf.DUMMYFUNCTION("""COMPUTED_VALUE"""),76581.0)</f>
        <v>76581</v>
      </c>
      <c r="D5338" s="11">
        <f>IFERROR(__xludf.DUMMYFUNCTION("""COMPUTED_VALUE"""),192.0)</f>
        <v>192</v>
      </c>
      <c r="E5338" s="9"/>
    </row>
    <row r="5339">
      <c r="A5339" s="11">
        <f>IFERROR(__xludf.DUMMYFUNCTION("""COMPUTED_VALUE"""),2021.0)</f>
        <v>2021</v>
      </c>
      <c r="B5339" s="11">
        <f>IFERROR(__xludf.DUMMYFUNCTION("""COMPUTED_VALUE"""),10.0)</f>
        <v>10</v>
      </c>
      <c r="C5339" s="11">
        <f>IFERROR(__xludf.DUMMYFUNCTION("""COMPUTED_VALUE"""),77250.0)</f>
        <v>77250</v>
      </c>
      <c r="D5339" s="11">
        <f>IFERROR(__xludf.DUMMYFUNCTION("""COMPUTED_VALUE"""),1403.0)</f>
        <v>1403</v>
      </c>
      <c r="E5339" s="9"/>
    </row>
    <row r="5340">
      <c r="A5340" s="11">
        <f>IFERROR(__xludf.DUMMYFUNCTION("""COMPUTED_VALUE"""),2021.0)</f>
        <v>2021</v>
      </c>
      <c r="B5340" s="11">
        <f>IFERROR(__xludf.DUMMYFUNCTION("""COMPUTED_VALUE"""),8.0)</f>
        <v>8</v>
      </c>
      <c r="C5340" s="11">
        <f>IFERROR(__xludf.DUMMYFUNCTION("""COMPUTED_VALUE"""),87222.0)</f>
        <v>87222</v>
      </c>
      <c r="D5340" s="11">
        <f>IFERROR(__xludf.DUMMYFUNCTION("""COMPUTED_VALUE"""),142.0)</f>
        <v>142</v>
      </c>
      <c r="E5340" s="9"/>
    </row>
    <row r="5341">
      <c r="A5341" s="11">
        <f>IFERROR(__xludf.DUMMYFUNCTION("""COMPUTED_VALUE"""),2021.0)</f>
        <v>2021</v>
      </c>
      <c r="B5341" s="11">
        <f>IFERROR(__xludf.DUMMYFUNCTION("""COMPUTED_VALUE"""),9.0)</f>
        <v>9</v>
      </c>
      <c r="C5341" s="11">
        <f>IFERROR(__xludf.DUMMYFUNCTION("""COMPUTED_VALUE"""),122120.0)</f>
        <v>122120</v>
      </c>
      <c r="D5341" s="11">
        <f>IFERROR(__xludf.DUMMYFUNCTION("""COMPUTED_VALUE"""),491.0)</f>
        <v>491</v>
      </c>
      <c r="E5341" s="9"/>
    </row>
    <row r="5342">
      <c r="A5342" s="11">
        <f>IFERROR(__xludf.DUMMYFUNCTION("""COMPUTED_VALUE"""),2021.0)</f>
        <v>2021</v>
      </c>
      <c r="B5342" s="11">
        <f>IFERROR(__xludf.DUMMYFUNCTION("""COMPUTED_VALUE"""),8.0)</f>
        <v>8</v>
      </c>
      <c r="C5342" s="11">
        <f>IFERROR(__xludf.DUMMYFUNCTION("""COMPUTED_VALUE"""),122121.0)</f>
        <v>122121</v>
      </c>
      <c r="D5342" s="11">
        <f>IFERROR(__xludf.DUMMYFUNCTION("""COMPUTED_VALUE"""),1004.0)</f>
        <v>1004</v>
      </c>
      <c r="E5342" s="9"/>
    </row>
    <row r="5343">
      <c r="A5343" s="11">
        <f>IFERROR(__xludf.DUMMYFUNCTION("""COMPUTED_VALUE"""),2021.0)</f>
        <v>2021</v>
      </c>
      <c r="B5343" s="11">
        <f>IFERROR(__xludf.DUMMYFUNCTION("""COMPUTED_VALUE"""),11.0)</f>
        <v>11</v>
      </c>
      <c r="C5343" s="11">
        <f>IFERROR(__xludf.DUMMYFUNCTION("""COMPUTED_VALUE"""),90880.0)</f>
        <v>90880</v>
      </c>
      <c r="D5343" s="11">
        <f>IFERROR(__xludf.DUMMYFUNCTION("""COMPUTED_VALUE"""),1782.0)</f>
        <v>1782</v>
      </c>
      <c r="E5343" s="9"/>
    </row>
    <row r="5344">
      <c r="A5344" s="11">
        <f>IFERROR(__xludf.DUMMYFUNCTION("""COMPUTED_VALUE"""),2021.0)</f>
        <v>2021</v>
      </c>
      <c r="B5344" s="11">
        <f>IFERROR(__xludf.DUMMYFUNCTION("""COMPUTED_VALUE"""),10.0)</f>
        <v>10</v>
      </c>
      <c r="C5344" s="11">
        <f>IFERROR(__xludf.DUMMYFUNCTION("""COMPUTED_VALUE"""),122088.0)</f>
        <v>122088</v>
      </c>
      <c r="D5344" s="11">
        <f>IFERROR(__xludf.DUMMYFUNCTION("""COMPUTED_VALUE"""),1563.0)</f>
        <v>1563</v>
      </c>
      <c r="E5344" s="9"/>
    </row>
    <row r="5345">
      <c r="A5345" s="11">
        <f>IFERROR(__xludf.DUMMYFUNCTION("""COMPUTED_VALUE"""),2021.0)</f>
        <v>2021</v>
      </c>
      <c r="B5345" s="11">
        <f>IFERROR(__xludf.DUMMYFUNCTION("""COMPUTED_VALUE"""),9.0)</f>
        <v>9</v>
      </c>
      <c r="C5345" s="11">
        <f>IFERROR(__xludf.DUMMYFUNCTION("""COMPUTED_VALUE"""),90886.0)</f>
        <v>90886</v>
      </c>
      <c r="D5345" s="11">
        <f>IFERROR(__xludf.DUMMYFUNCTION("""COMPUTED_VALUE"""),1358.0)</f>
        <v>1358</v>
      </c>
      <c r="E5345" s="9"/>
    </row>
    <row r="5346">
      <c r="A5346" s="11">
        <f>IFERROR(__xludf.DUMMYFUNCTION("""COMPUTED_VALUE"""),2021.0)</f>
        <v>2021</v>
      </c>
      <c r="B5346" s="11">
        <f>IFERROR(__xludf.DUMMYFUNCTION("""COMPUTED_VALUE"""),9.0)</f>
        <v>9</v>
      </c>
      <c r="C5346" s="11">
        <f>IFERROR(__xludf.DUMMYFUNCTION("""COMPUTED_VALUE"""),90755.0)</f>
        <v>90755</v>
      </c>
      <c r="D5346" s="11">
        <f>IFERROR(__xludf.DUMMYFUNCTION("""COMPUTED_VALUE"""),1774.0)</f>
        <v>1774</v>
      </c>
      <c r="E5346" s="9"/>
    </row>
    <row r="5347">
      <c r="A5347" s="11">
        <f>IFERROR(__xludf.DUMMYFUNCTION("""COMPUTED_VALUE"""),2021.0)</f>
        <v>2021</v>
      </c>
      <c r="B5347" s="11">
        <f>IFERROR(__xludf.DUMMYFUNCTION("""COMPUTED_VALUE"""),11.0)</f>
        <v>11</v>
      </c>
      <c r="C5347" s="11">
        <f>IFERROR(__xludf.DUMMYFUNCTION("""COMPUTED_VALUE"""),111045.0)</f>
        <v>111045</v>
      </c>
      <c r="D5347" s="11">
        <f>IFERROR(__xludf.DUMMYFUNCTION("""COMPUTED_VALUE"""),1158.0)</f>
        <v>1158</v>
      </c>
      <c r="E5347" s="9"/>
    </row>
    <row r="5348">
      <c r="A5348" s="11">
        <f>IFERROR(__xludf.DUMMYFUNCTION("""COMPUTED_VALUE"""),2021.0)</f>
        <v>2021</v>
      </c>
      <c r="B5348" s="11">
        <f>IFERROR(__xludf.DUMMYFUNCTION("""COMPUTED_VALUE"""),9.0)</f>
        <v>9</v>
      </c>
      <c r="C5348" s="11">
        <f>IFERROR(__xludf.DUMMYFUNCTION("""COMPUTED_VALUE"""),76582.0)</f>
        <v>76582</v>
      </c>
      <c r="D5348" s="11">
        <f>IFERROR(__xludf.DUMMYFUNCTION("""COMPUTED_VALUE"""),200.0)</f>
        <v>200</v>
      </c>
      <c r="E5348" s="9"/>
    </row>
    <row r="5349">
      <c r="A5349" s="11">
        <f>IFERROR(__xludf.DUMMYFUNCTION("""COMPUTED_VALUE"""),2021.0)</f>
        <v>2021</v>
      </c>
      <c r="B5349" s="11">
        <f>IFERROR(__xludf.DUMMYFUNCTION("""COMPUTED_VALUE"""),9.0)</f>
        <v>9</v>
      </c>
      <c r="C5349" s="11">
        <f>IFERROR(__xludf.DUMMYFUNCTION("""COMPUTED_VALUE"""),76570.0)</f>
        <v>76570</v>
      </c>
      <c r="D5349" s="11">
        <f>IFERROR(__xludf.DUMMYFUNCTION("""COMPUTED_VALUE"""),1231.0)</f>
        <v>1231</v>
      </c>
      <c r="E5349" s="9"/>
    </row>
    <row r="5350">
      <c r="A5350" s="11">
        <f>IFERROR(__xludf.DUMMYFUNCTION("""COMPUTED_VALUE"""),2021.0)</f>
        <v>2021</v>
      </c>
      <c r="B5350" s="11">
        <f>IFERROR(__xludf.DUMMYFUNCTION("""COMPUTED_VALUE"""),8.0)</f>
        <v>8</v>
      </c>
      <c r="C5350" s="11">
        <f>IFERROR(__xludf.DUMMYFUNCTION("""COMPUTED_VALUE"""),87099.0)</f>
        <v>87099</v>
      </c>
      <c r="D5350" s="11">
        <f>IFERROR(__xludf.DUMMYFUNCTION("""COMPUTED_VALUE"""),732.0)</f>
        <v>732</v>
      </c>
      <c r="E5350" s="9"/>
    </row>
    <row r="5351">
      <c r="A5351" s="11">
        <f>IFERROR(__xludf.DUMMYFUNCTION("""COMPUTED_VALUE"""),2021.0)</f>
        <v>2021</v>
      </c>
      <c r="B5351" s="11">
        <f>IFERROR(__xludf.DUMMYFUNCTION("""COMPUTED_VALUE"""),8.0)</f>
        <v>8</v>
      </c>
      <c r="C5351" s="11">
        <f>IFERROR(__xludf.DUMMYFUNCTION("""COMPUTED_VALUE"""),76569.0)</f>
        <v>76569</v>
      </c>
      <c r="D5351" s="11">
        <f>IFERROR(__xludf.DUMMYFUNCTION("""COMPUTED_VALUE"""),1822.0)</f>
        <v>1822</v>
      </c>
      <c r="E5351" s="9"/>
    </row>
    <row r="5352">
      <c r="A5352" s="11">
        <f>IFERROR(__xludf.DUMMYFUNCTION("""COMPUTED_VALUE"""),2021.0)</f>
        <v>2021</v>
      </c>
      <c r="B5352" s="11">
        <f>IFERROR(__xludf.DUMMYFUNCTION("""COMPUTED_VALUE"""),10.0)</f>
        <v>10</v>
      </c>
      <c r="C5352" s="11">
        <f>IFERROR(__xludf.DUMMYFUNCTION("""COMPUTED_VALUE"""),5586.0)</f>
        <v>5586</v>
      </c>
      <c r="D5352" s="11">
        <f>IFERROR(__xludf.DUMMYFUNCTION("""COMPUTED_VALUE"""),1182.0)</f>
        <v>1182</v>
      </c>
      <c r="E5352" s="9"/>
    </row>
    <row r="5353">
      <c r="A5353" s="11">
        <f>IFERROR(__xludf.DUMMYFUNCTION("""COMPUTED_VALUE"""),2021.0)</f>
        <v>2021</v>
      </c>
      <c r="B5353" s="11">
        <f>IFERROR(__xludf.DUMMYFUNCTION("""COMPUTED_VALUE"""),8.0)</f>
        <v>8</v>
      </c>
      <c r="C5353" s="11">
        <f>IFERROR(__xludf.DUMMYFUNCTION("""COMPUTED_VALUE"""),5600.0)</f>
        <v>5600</v>
      </c>
      <c r="D5353" s="11">
        <f>IFERROR(__xludf.DUMMYFUNCTION("""COMPUTED_VALUE"""),1388.0)</f>
        <v>1388</v>
      </c>
      <c r="E5353" s="9"/>
    </row>
    <row r="5354">
      <c r="A5354" s="11">
        <f>IFERROR(__xludf.DUMMYFUNCTION("""COMPUTED_VALUE"""),2021.0)</f>
        <v>2021</v>
      </c>
      <c r="B5354" s="11">
        <f>IFERROR(__xludf.DUMMYFUNCTION("""COMPUTED_VALUE"""),10.0)</f>
        <v>10</v>
      </c>
      <c r="C5354" s="11">
        <f>IFERROR(__xludf.DUMMYFUNCTION("""COMPUTED_VALUE"""),120390.0)</f>
        <v>120390</v>
      </c>
      <c r="D5354" s="11">
        <f>IFERROR(__xludf.DUMMYFUNCTION("""COMPUTED_VALUE"""),1860.0)</f>
        <v>1860</v>
      </c>
      <c r="E5354" s="9"/>
    </row>
    <row r="5355">
      <c r="A5355" s="11">
        <f>IFERROR(__xludf.DUMMYFUNCTION("""COMPUTED_VALUE"""),2021.0)</f>
        <v>2021</v>
      </c>
      <c r="B5355" s="11">
        <f>IFERROR(__xludf.DUMMYFUNCTION("""COMPUTED_VALUE"""),9.0)</f>
        <v>9</v>
      </c>
      <c r="C5355" s="11">
        <f>IFERROR(__xludf.DUMMYFUNCTION("""COMPUTED_VALUE"""),76389.0)</f>
        <v>76389</v>
      </c>
      <c r="D5355" s="11">
        <f>IFERROR(__xludf.DUMMYFUNCTION("""COMPUTED_VALUE"""),55.0)</f>
        <v>55</v>
      </c>
      <c r="E5355" s="9"/>
    </row>
    <row r="5356">
      <c r="A5356" s="11">
        <f>IFERROR(__xludf.DUMMYFUNCTION("""COMPUTED_VALUE"""),2021.0)</f>
        <v>2021</v>
      </c>
      <c r="B5356" s="11">
        <f>IFERROR(__xludf.DUMMYFUNCTION("""COMPUTED_VALUE"""),10.0)</f>
        <v>10</v>
      </c>
      <c r="C5356" s="11">
        <f>IFERROR(__xludf.DUMMYFUNCTION("""COMPUTED_VALUE"""),5601.0)</f>
        <v>5601</v>
      </c>
      <c r="D5356" s="11">
        <f>IFERROR(__xludf.DUMMYFUNCTION("""COMPUTED_VALUE"""),1579.0)</f>
        <v>1579</v>
      </c>
      <c r="E5356" s="9"/>
    </row>
    <row r="5357">
      <c r="A5357" s="11">
        <f>IFERROR(__xludf.DUMMYFUNCTION("""COMPUTED_VALUE"""),2021.0)</f>
        <v>2021</v>
      </c>
      <c r="B5357" s="11">
        <f>IFERROR(__xludf.DUMMYFUNCTION("""COMPUTED_VALUE"""),10.0)</f>
        <v>10</v>
      </c>
      <c r="C5357" s="11">
        <f>IFERROR(__xludf.DUMMYFUNCTION("""COMPUTED_VALUE"""),202579.0)</f>
        <v>202579</v>
      </c>
      <c r="D5357" s="11">
        <f>IFERROR(__xludf.DUMMYFUNCTION("""COMPUTED_VALUE"""),535.0)</f>
        <v>535</v>
      </c>
      <c r="E5357" s="9"/>
    </row>
    <row r="5358">
      <c r="A5358" s="11">
        <f>IFERROR(__xludf.DUMMYFUNCTION("""COMPUTED_VALUE"""),2021.0)</f>
        <v>2021</v>
      </c>
      <c r="B5358" s="11">
        <f>IFERROR(__xludf.DUMMYFUNCTION("""COMPUTED_VALUE"""),8.0)</f>
        <v>8</v>
      </c>
      <c r="C5358" s="11">
        <f>IFERROR(__xludf.DUMMYFUNCTION("""COMPUTED_VALUE"""),5584.0)</f>
        <v>5584</v>
      </c>
      <c r="D5358" s="11">
        <f>IFERROR(__xludf.DUMMYFUNCTION("""COMPUTED_VALUE"""),195.0)</f>
        <v>195</v>
      </c>
      <c r="E5358" s="9"/>
    </row>
    <row r="5359">
      <c r="A5359" s="11">
        <f>IFERROR(__xludf.DUMMYFUNCTION("""COMPUTED_VALUE"""),2021.0)</f>
        <v>2021</v>
      </c>
      <c r="B5359" s="11">
        <f>IFERROR(__xludf.DUMMYFUNCTION("""COMPUTED_VALUE"""),11.0)</f>
        <v>11</v>
      </c>
      <c r="C5359" s="11">
        <f>IFERROR(__xludf.DUMMYFUNCTION("""COMPUTED_VALUE"""),90888.0)</f>
        <v>90888</v>
      </c>
      <c r="D5359" s="11">
        <f>IFERROR(__xludf.DUMMYFUNCTION("""COMPUTED_VALUE"""),969.0)</f>
        <v>969</v>
      </c>
      <c r="E5359" s="9"/>
    </row>
    <row r="5360">
      <c r="A5360" s="11">
        <f>IFERROR(__xludf.DUMMYFUNCTION("""COMPUTED_VALUE"""),2021.0)</f>
        <v>2021</v>
      </c>
      <c r="B5360" s="11">
        <f>IFERROR(__xludf.DUMMYFUNCTION("""COMPUTED_VALUE"""),8.0)</f>
        <v>8</v>
      </c>
      <c r="C5360" s="11">
        <f>IFERROR(__xludf.DUMMYFUNCTION("""COMPUTED_VALUE"""),76584.0)</f>
        <v>76584</v>
      </c>
      <c r="D5360" s="11">
        <f>IFERROR(__xludf.DUMMYFUNCTION("""COMPUTED_VALUE"""),1215.0)</f>
        <v>1215</v>
      </c>
      <c r="E5360" s="9"/>
    </row>
    <row r="5361">
      <c r="A5361" s="11">
        <f>IFERROR(__xludf.DUMMYFUNCTION("""COMPUTED_VALUE"""),2021.0)</f>
        <v>2021</v>
      </c>
      <c r="B5361" s="11">
        <f>IFERROR(__xludf.DUMMYFUNCTION("""COMPUTED_VALUE"""),10.0)</f>
        <v>10</v>
      </c>
      <c r="C5361" s="11">
        <f>IFERROR(__xludf.DUMMYFUNCTION("""COMPUTED_VALUE"""),87171.0)</f>
        <v>87171</v>
      </c>
      <c r="D5361" s="11">
        <f>IFERROR(__xludf.DUMMYFUNCTION("""COMPUTED_VALUE"""),990.0)</f>
        <v>990</v>
      </c>
      <c r="E5361" s="9"/>
    </row>
    <row r="5362">
      <c r="A5362" s="11">
        <f>IFERROR(__xludf.DUMMYFUNCTION("""COMPUTED_VALUE"""),2021.0)</f>
        <v>2021</v>
      </c>
      <c r="B5362" s="11">
        <f>IFERROR(__xludf.DUMMYFUNCTION("""COMPUTED_VALUE"""),8.0)</f>
        <v>8</v>
      </c>
      <c r="C5362" s="11">
        <f>IFERROR(__xludf.DUMMYFUNCTION("""COMPUTED_VALUE"""),110569.0)</f>
        <v>110569</v>
      </c>
      <c r="D5362" s="11">
        <f>IFERROR(__xludf.DUMMYFUNCTION("""COMPUTED_VALUE"""),1241.0)</f>
        <v>1241</v>
      </c>
      <c r="E5362" s="9"/>
    </row>
    <row r="5363">
      <c r="A5363" s="11">
        <f>IFERROR(__xludf.DUMMYFUNCTION("""COMPUTED_VALUE"""),2021.0)</f>
        <v>2021</v>
      </c>
      <c r="B5363" s="11">
        <f>IFERROR(__xludf.DUMMYFUNCTION("""COMPUTED_VALUE"""),8.0)</f>
        <v>8</v>
      </c>
      <c r="C5363" s="11">
        <f>IFERROR(__xludf.DUMMYFUNCTION("""COMPUTED_VALUE"""),5588.0)</f>
        <v>5588</v>
      </c>
      <c r="D5363" s="11">
        <f>IFERROR(__xludf.DUMMYFUNCTION("""COMPUTED_VALUE"""),238.0)</f>
        <v>238</v>
      </c>
      <c r="E5363" s="9"/>
    </row>
    <row r="5364">
      <c r="A5364" s="11">
        <f>IFERROR(__xludf.DUMMYFUNCTION("""COMPUTED_VALUE"""),2021.0)</f>
        <v>2021</v>
      </c>
      <c r="B5364" s="11">
        <f>IFERROR(__xludf.DUMMYFUNCTION("""COMPUTED_VALUE"""),11.0)</f>
        <v>11</v>
      </c>
      <c r="C5364" s="11">
        <f>IFERROR(__xludf.DUMMYFUNCTION("""COMPUTED_VALUE"""),117165.0)</f>
        <v>117165</v>
      </c>
      <c r="D5364" s="11">
        <f>IFERROR(__xludf.DUMMYFUNCTION("""COMPUTED_VALUE"""),34.0)</f>
        <v>34</v>
      </c>
      <c r="E5364" s="9"/>
    </row>
    <row r="5365">
      <c r="A5365" s="11">
        <f>IFERROR(__xludf.DUMMYFUNCTION("""COMPUTED_VALUE"""),2021.0)</f>
        <v>2021</v>
      </c>
      <c r="B5365" s="11">
        <f>IFERROR(__xludf.DUMMYFUNCTION("""COMPUTED_VALUE"""),10.0)</f>
        <v>10</v>
      </c>
      <c r="C5365" s="11">
        <f>IFERROR(__xludf.DUMMYFUNCTION("""COMPUTED_VALUE"""),5587.0)</f>
        <v>5587</v>
      </c>
      <c r="D5365" s="11">
        <f>IFERROR(__xludf.DUMMYFUNCTION("""COMPUTED_VALUE"""),1178.0)</f>
        <v>1178</v>
      </c>
      <c r="E5365" s="9"/>
    </row>
    <row r="5366">
      <c r="A5366" s="11">
        <f>IFERROR(__xludf.DUMMYFUNCTION("""COMPUTED_VALUE"""),2021.0)</f>
        <v>2021</v>
      </c>
      <c r="B5366" s="11">
        <f>IFERROR(__xludf.DUMMYFUNCTION("""COMPUTED_VALUE"""),8.0)</f>
        <v>8</v>
      </c>
      <c r="C5366" s="11">
        <f>IFERROR(__xludf.DUMMYFUNCTION("""COMPUTED_VALUE"""),68359.0)</f>
        <v>68359</v>
      </c>
      <c r="D5366" s="11">
        <f>IFERROR(__xludf.DUMMYFUNCTION("""COMPUTED_VALUE"""),1472.0)</f>
        <v>1472</v>
      </c>
      <c r="E5366" s="9"/>
    </row>
    <row r="5367">
      <c r="A5367" s="11">
        <f>IFERROR(__xludf.DUMMYFUNCTION("""COMPUTED_VALUE"""),2021.0)</f>
        <v>2021</v>
      </c>
      <c r="B5367" s="11">
        <f>IFERROR(__xludf.DUMMYFUNCTION("""COMPUTED_VALUE"""),11.0)</f>
        <v>11</v>
      </c>
      <c r="C5367" s="11">
        <f>IFERROR(__xludf.DUMMYFUNCTION("""COMPUTED_VALUE"""),5590.0)</f>
        <v>5590</v>
      </c>
      <c r="D5367" s="11">
        <f>IFERROR(__xludf.DUMMYFUNCTION("""COMPUTED_VALUE"""),1565.0)</f>
        <v>1565</v>
      </c>
      <c r="E5367" s="9"/>
    </row>
    <row r="5368">
      <c r="A5368" s="11">
        <f>IFERROR(__xludf.DUMMYFUNCTION("""COMPUTED_VALUE"""),2021.0)</f>
        <v>2021</v>
      </c>
      <c r="B5368" s="11">
        <f>IFERROR(__xludf.DUMMYFUNCTION("""COMPUTED_VALUE"""),8.0)</f>
        <v>8</v>
      </c>
      <c r="C5368" s="11">
        <f>IFERROR(__xludf.DUMMYFUNCTION("""COMPUTED_VALUE"""),76475.0)</f>
        <v>76475</v>
      </c>
      <c r="D5368" s="11">
        <f>IFERROR(__xludf.DUMMYFUNCTION("""COMPUTED_VALUE"""),576.0)</f>
        <v>576</v>
      </c>
      <c r="E5368" s="9"/>
    </row>
    <row r="5369">
      <c r="A5369" s="11">
        <f>IFERROR(__xludf.DUMMYFUNCTION("""COMPUTED_VALUE"""),2021.0)</f>
        <v>2021</v>
      </c>
      <c r="B5369" s="11">
        <f>IFERROR(__xludf.DUMMYFUNCTION("""COMPUTED_VALUE"""),9.0)</f>
        <v>9</v>
      </c>
      <c r="C5369" s="11">
        <f>IFERROR(__xludf.DUMMYFUNCTION("""COMPUTED_VALUE"""),147309.0)</f>
        <v>147309</v>
      </c>
      <c r="D5369" s="11">
        <f>IFERROR(__xludf.DUMMYFUNCTION("""COMPUTED_VALUE"""),248.0)</f>
        <v>248</v>
      </c>
      <c r="E5369" s="9"/>
    </row>
    <row r="5370">
      <c r="A5370" s="11">
        <f>IFERROR(__xludf.DUMMYFUNCTION("""COMPUTED_VALUE"""),2021.0)</f>
        <v>2021</v>
      </c>
      <c r="B5370" s="11">
        <f>IFERROR(__xludf.DUMMYFUNCTION("""COMPUTED_VALUE"""),10.0)</f>
        <v>10</v>
      </c>
      <c r="C5370" s="11">
        <f>IFERROR(__xludf.DUMMYFUNCTION("""COMPUTED_VALUE"""),120533.0)</f>
        <v>120533</v>
      </c>
      <c r="D5370" s="11">
        <f>IFERROR(__xludf.DUMMYFUNCTION("""COMPUTED_VALUE"""),1086.0)</f>
        <v>1086</v>
      </c>
      <c r="E5370" s="9"/>
    </row>
    <row r="5371">
      <c r="A5371" s="11">
        <f>IFERROR(__xludf.DUMMYFUNCTION("""COMPUTED_VALUE"""),2021.0)</f>
        <v>2021</v>
      </c>
      <c r="B5371" s="11">
        <f>IFERROR(__xludf.DUMMYFUNCTION("""COMPUTED_VALUE"""),11.0)</f>
        <v>11</v>
      </c>
      <c r="C5371" s="11">
        <f>IFERROR(__xludf.DUMMYFUNCTION("""COMPUTED_VALUE"""),5591.0)</f>
        <v>5591</v>
      </c>
      <c r="D5371" s="11">
        <f>IFERROR(__xludf.DUMMYFUNCTION("""COMPUTED_VALUE"""),160.0)</f>
        <v>160</v>
      </c>
      <c r="E5371" s="9"/>
    </row>
    <row r="5372">
      <c r="A5372" s="11">
        <f>IFERROR(__xludf.DUMMYFUNCTION("""COMPUTED_VALUE"""),2021.0)</f>
        <v>2021</v>
      </c>
      <c r="B5372" s="11">
        <f>IFERROR(__xludf.DUMMYFUNCTION("""COMPUTED_VALUE"""),11.0)</f>
        <v>11</v>
      </c>
      <c r="C5372" s="11">
        <f>IFERROR(__xludf.DUMMYFUNCTION("""COMPUTED_VALUE"""),77248.0)</f>
        <v>77248</v>
      </c>
      <c r="D5372" s="11">
        <f>IFERROR(__xludf.DUMMYFUNCTION("""COMPUTED_VALUE"""),1629.0)</f>
        <v>1629</v>
      </c>
      <c r="E5372" s="9"/>
    </row>
    <row r="5373">
      <c r="A5373" s="11">
        <f>IFERROR(__xludf.DUMMYFUNCTION("""COMPUTED_VALUE"""),2021.0)</f>
        <v>2021</v>
      </c>
      <c r="B5373" s="11">
        <f>IFERROR(__xludf.DUMMYFUNCTION("""COMPUTED_VALUE"""),9.0)</f>
        <v>9</v>
      </c>
      <c r="C5373" s="11">
        <f>IFERROR(__xludf.DUMMYFUNCTION("""COMPUTED_VALUE"""),90819.0)</f>
        <v>90819</v>
      </c>
      <c r="D5373" s="11">
        <f>IFERROR(__xludf.DUMMYFUNCTION("""COMPUTED_VALUE"""),268.0)</f>
        <v>268</v>
      </c>
      <c r="E5373" s="9"/>
    </row>
    <row r="5374">
      <c r="A5374" s="11">
        <f>IFERROR(__xludf.DUMMYFUNCTION("""COMPUTED_VALUE"""),2021.0)</f>
        <v>2021</v>
      </c>
      <c r="B5374" s="11">
        <f>IFERROR(__xludf.DUMMYFUNCTION("""COMPUTED_VALUE"""),9.0)</f>
        <v>9</v>
      </c>
      <c r="C5374" s="11">
        <f>IFERROR(__xludf.DUMMYFUNCTION("""COMPUTED_VALUE"""),90820.0)</f>
        <v>90820</v>
      </c>
      <c r="D5374" s="11">
        <f>IFERROR(__xludf.DUMMYFUNCTION("""COMPUTED_VALUE"""),1851.0)</f>
        <v>1851</v>
      </c>
      <c r="E5374" s="9"/>
    </row>
    <row r="5375">
      <c r="A5375" s="11">
        <f>IFERROR(__xludf.DUMMYFUNCTION("""COMPUTED_VALUE"""),2021.0)</f>
        <v>2021</v>
      </c>
      <c r="B5375" s="11">
        <f>IFERROR(__xludf.DUMMYFUNCTION("""COMPUTED_VALUE"""),8.0)</f>
        <v>8</v>
      </c>
      <c r="C5375" s="11">
        <f>IFERROR(__xludf.DUMMYFUNCTION("""COMPUTED_VALUE"""),90839.0)</f>
        <v>90839</v>
      </c>
      <c r="D5375" s="11">
        <f>IFERROR(__xludf.DUMMYFUNCTION("""COMPUTED_VALUE"""),1231.0)</f>
        <v>1231</v>
      </c>
      <c r="E5375" s="9"/>
    </row>
    <row r="5376">
      <c r="A5376" s="11">
        <f>IFERROR(__xludf.DUMMYFUNCTION("""COMPUTED_VALUE"""),2021.0)</f>
        <v>2021</v>
      </c>
      <c r="B5376" s="11">
        <f>IFERROR(__xludf.DUMMYFUNCTION("""COMPUTED_VALUE"""),9.0)</f>
        <v>9</v>
      </c>
      <c r="C5376" s="11">
        <f>IFERROR(__xludf.DUMMYFUNCTION("""COMPUTED_VALUE"""),90858.0)</f>
        <v>90858</v>
      </c>
      <c r="D5376" s="11">
        <f>IFERROR(__xludf.DUMMYFUNCTION("""COMPUTED_VALUE"""),799.0)</f>
        <v>799</v>
      </c>
      <c r="E5376" s="9"/>
    </row>
    <row r="5377">
      <c r="A5377" s="11">
        <f>IFERROR(__xludf.DUMMYFUNCTION("""COMPUTED_VALUE"""),2021.0)</f>
        <v>2021</v>
      </c>
      <c r="B5377" s="11">
        <f>IFERROR(__xludf.DUMMYFUNCTION("""COMPUTED_VALUE"""),10.0)</f>
        <v>10</v>
      </c>
      <c r="C5377" s="11">
        <f>IFERROR(__xludf.DUMMYFUNCTION("""COMPUTED_VALUE"""),76588.0)</f>
        <v>76588</v>
      </c>
      <c r="D5377" s="11">
        <f>IFERROR(__xludf.DUMMYFUNCTION("""COMPUTED_VALUE"""),1846.0)</f>
        <v>1846</v>
      </c>
      <c r="E5377" s="9"/>
    </row>
    <row r="5378">
      <c r="A5378" s="11">
        <f>IFERROR(__xludf.DUMMYFUNCTION("""COMPUTED_VALUE"""),2021.0)</f>
        <v>2021</v>
      </c>
      <c r="B5378" s="11">
        <f>IFERROR(__xludf.DUMMYFUNCTION("""COMPUTED_VALUE"""),11.0)</f>
        <v>11</v>
      </c>
      <c r="C5378" s="11">
        <f>IFERROR(__xludf.DUMMYFUNCTION("""COMPUTED_VALUE"""),90671.0)</f>
        <v>90671</v>
      </c>
      <c r="D5378" s="11">
        <f>IFERROR(__xludf.DUMMYFUNCTION("""COMPUTED_VALUE"""),1377.0)</f>
        <v>1377</v>
      </c>
      <c r="E5378" s="9"/>
    </row>
    <row r="5379">
      <c r="A5379" s="11">
        <f>IFERROR(__xludf.DUMMYFUNCTION("""COMPUTED_VALUE"""),2021.0)</f>
        <v>2021</v>
      </c>
      <c r="B5379" s="11">
        <f>IFERROR(__xludf.DUMMYFUNCTION("""COMPUTED_VALUE"""),8.0)</f>
        <v>8</v>
      </c>
      <c r="C5379" s="11">
        <f>IFERROR(__xludf.DUMMYFUNCTION("""COMPUTED_VALUE"""),77194.0)</f>
        <v>77194</v>
      </c>
      <c r="D5379" s="11">
        <f>IFERROR(__xludf.DUMMYFUNCTION("""COMPUTED_VALUE"""),1572.0)</f>
        <v>1572</v>
      </c>
      <c r="E5379" s="9"/>
    </row>
    <row r="5380">
      <c r="A5380" s="11">
        <f>IFERROR(__xludf.DUMMYFUNCTION("""COMPUTED_VALUE"""),2021.0)</f>
        <v>2021</v>
      </c>
      <c r="B5380" s="11">
        <f>IFERROR(__xludf.DUMMYFUNCTION("""COMPUTED_VALUE"""),11.0)</f>
        <v>11</v>
      </c>
      <c r="C5380" s="11">
        <f>IFERROR(__xludf.DUMMYFUNCTION("""COMPUTED_VALUE"""),5504.0)</f>
        <v>5504</v>
      </c>
      <c r="D5380" s="11">
        <f>IFERROR(__xludf.DUMMYFUNCTION("""COMPUTED_VALUE"""),1685.0)</f>
        <v>1685</v>
      </c>
      <c r="E5380" s="9"/>
    </row>
    <row r="5381">
      <c r="A5381" s="11">
        <f>IFERROR(__xludf.DUMMYFUNCTION("""COMPUTED_VALUE"""),2021.0)</f>
        <v>2021</v>
      </c>
      <c r="B5381" s="11">
        <f>IFERROR(__xludf.DUMMYFUNCTION("""COMPUTED_VALUE"""),11.0)</f>
        <v>11</v>
      </c>
      <c r="C5381" s="11">
        <f>IFERROR(__xludf.DUMMYFUNCTION("""COMPUTED_VALUE"""),90662.0)</f>
        <v>90662</v>
      </c>
      <c r="D5381" s="11">
        <f>IFERROR(__xludf.DUMMYFUNCTION("""COMPUTED_VALUE"""),1268.0)</f>
        <v>1268</v>
      </c>
      <c r="E5381" s="9"/>
    </row>
    <row r="5382">
      <c r="A5382" s="11">
        <f>IFERROR(__xludf.DUMMYFUNCTION("""COMPUTED_VALUE"""),2021.0)</f>
        <v>2021</v>
      </c>
      <c r="B5382" s="11">
        <f>IFERROR(__xludf.DUMMYFUNCTION("""COMPUTED_VALUE"""),10.0)</f>
        <v>10</v>
      </c>
      <c r="C5382" s="11">
        <f>IFERROR(__xludf.DUMMYFUNCTION("""COMPUTED_VALUE"""),87288.0)</f>
        <v>87288</v>
      </c>
      <c r="D5382" s="11">
        <f>IFERROR(__xludf.DUMMYFUNCTION("""COMPUTED_VALUE"""),984.0)</f>
        <v>984</v>
      </c>
      <c r="E5382" s="9"/>
    </row>
    <row r="5383">
      <c r="A5383" s="11">
        <f>IFERROR(__xludf.DUMMYFUNCTION("""COMPUTED_VALUE"""),2021.0)</f>
        <v>2021</v>
      </c>
      <c r="B5383" s="11">
        <f>IFERROR(__xludf.DUMMYFUNCTION("""COMPUTED_VALUE"""),10.0)</f>
        <v>10</v>
      </c>
      <c r="C5383" s="11">
        <f>IFERROR(__xludf.DUMMYFUNCTION("""COMPUTED_VALUE"""),5494.0)</f>
        <v>5494</v>
      </c>
      <c r="D5383" s="11">
        <f>IFERROR(__xludf.DUMMYFUNCTION("""COMPUTED_VALUE"""),683.0)</f>
        <v>683</v>
      </c>
      <c r="E5383" s="9"/>
    </row>
    <row r="5384">
      <c r="A5384" s="11">
        <f>IFERROR(__xludf.DUMMYFUNCTION("""COMPUTED_VALUE"""),2021.0)</f>
        <v>2021</v>
      </c>
      <c r="B5384" s="11">
        <f>IFERROR(__xludf.DUMMYFUNCTION("""COMPUTED_VALUE"""),11.0)</f>
        <v>11</v>
      </c>
      <c r="C5384" s="11">
        <f>IFERROR(__xludf.DUMMYFUNCTION("""COMPUTED_VALUE"""),76637.0)</f>
        <v>76637</v>
      </c>
      <c r="D5384" s="11">
        <f>IFERROR(__xludf.DUMMYFUNCTION("""COMPUTED_VALUE"""),661.0)</f>
        <v>661</v>
      </c>
      <c r="E5384" s="9"/>
    </row>
    <row r="5385">
      <c r="A5385" s="11">
        <f>IFERROR(__xludf.DUMMYFUNCTION("""COMPUTED_VALUE"""),2021.0)</f>
        <v>2021</v>
      </c>
      <c r="B5385" s="11">
        <f>IFERROR(__xludf.DUMMYFUNCTION("""COMPUTED_VALUE"""),8.0)</f>
        <v>8</v>
      </c>
      <c r="C5385" s="11">
        <f>IFERROR(__xludf.DUMMYFUNCTION("""COMPUTED_VALUE"""),76601.0)</f>
        <v>76601</v>
      </c>
      <c r="D5385" s="11">
        <f>IFERROR(__xludf.DUMMYFUNCTION("""COMPUTED_VALUE"""),1389.0)</f>
        <v>1389</v>
      </c>
      <c r="E5385" s="9"/>
    </row>
    <row r="5386">
      <c r="A5386" s="11">
        <f>IFERROR(__xludf.DUMMYFUNCTION("""COMPUTED_VALUE"""),2021.0)</f>
        <v>2021</v>
      </c>
      <c r="B5386" s="11">
        <f>IFERROR(__xludf.DUMMYFUNCTION("""COMPUTED_VALUE"""),10.0)</f>
        <v>10</v>
      </c>
      <c r="C5386" s="11">
        <f>IFERROR(__xludf.DUMMYFUNCTION("""COMPUTED_VALUE"""),87202.0)</f>
        <v>87202</v>
      </c>
      <c r="D5386" s="11">
        <f>IFERROR(__xludf.DUMMYFUNCTION("""COMPUTED_VALUE"""),1478.0)</f>
        <v>1478</v>
      </c>
      <c r="E5386" s="9"/>
    </row>
    <row r="5387">
      <c r="A5387" s="11">
        <f>IFERROR(__xludf.DUMMYFUNCTION("""COMPUTED_VALUE"""),2021.0)</f>
        <v>2021</v>
      </c>
      <c r="B5387" s="11">
        <f>IFERROR(__xludf.DUMMYFUNCTION("""COMPUTED_VALUE"""),10.0)</f>
        <v>10</v>
      </c>
      <c r="C5387" s="11">
        <f>IFERROR(__xludf.DUMMYFUNCTION("""COMPUTED_VALUE"""),122244.0)</f>
        <v>122244</v>
      </c>
      <c r="D5387" s="11">
        <f>IFERROR(__xludf.DUMMYFUNCTION("""COMPUTED_VALUE"""),1893.0)</f>
        <v>1893</v>
      </c>
      <c r="E5387" s="9"/>
    </row>
    <row r="5388">
      <c r="A5388" s="11">
        <f>IFERROR(__xludf.DUMMYFUNCTION("""COMPUTED_VALUE"""),2021.0)</f>
        <v>2021</v>
      </c>
      <c r="B5388" s="11">
        <f>IFERROR(__xludf.DUMMYFUNCTION("""COMPUTED_VALUE"""),9.0)</f>
        <v>9</v>
      </c>
      <c r="C5388" s="11">
        <f>IFERROR(__xludf.DUMMYFUNCTION("""COMPUTED_VALUE"""),122075.0)</f>
        <v>122075</v>
      </c>
      <c r="D5388" s="11">
        <f>IFERROR(__xludf.DUMMYFUNCTION("""COMPUTED_VALUE"""),991.0)</f>
        <v>991</v>
      </c>
      <c r="E5388" s="9"/>
    </row>
    <row r="5389">
      <c r="A5389" s="11">
        <f>IFERROR(__xludf.DUMMYFUNCTION("""COMPUTED_VALUE"""),2021.0)</f>
        <v>2021</v>
      </c>
      <c r="B5389" s="11">
        <f>IFERROR(__xludf.DUMMYFUNCTION("""COMPUTED_VALUE"""),9.0)</f>
        <v>9</v>
      </c>
      <c r="C5389" s="11">
        <f>IFERROR(__xludf.DUMMYFUNCTION("""COMPUTED_VALUE"""),90735.0)</f>
        <v>90735</v>
      </c>
      <c r="D5389" s="11">
        <f>IFERROR(__xludf.DUMMYFUNCTION("""COMPUTED_VALUE"""),1545.0)</f>
        <v>1545</v>
      </c>
      <c r="E5389" s="9"/>
    </row>
    <row r="5390">
      <c r="A5390" s="11">
        <f>IFERROR(__xludf.DUMMYFUNCTION("""COMPUTED_VALUE"""),2021.0)</f>
        <v>2021</v>
      </c>
      <c r="B5390" s="11">
        <f>IFERROR(__xludf.DUMMYFUNCTION("""COMPUTED_VALUE"""),11.0)</f>
        <v>11</v>
      </c>
      <c r="C5390" s="11">
        <f>IFERROR(__xludf.DUMMYFUNCTION("""COMPUTED_VALUE"""),20951.0)</f>
        <v>20951</v>
      </c>
      <c r="D5390" s="11">
        <f>IFERROR(__xludf.DUMMYFUNCTION("""COMPUTED_VALUE"""),936.0)</f>
        <v>936</v>
      </c>
      <c r="E5390" s="9"/>
    </row>
    <row r="5391">
      <c r="A5391" s="11">
        <f>IFERROR(__xludf.DUMMYFUNCTION("""COMPUTED_VALUE"""),2021.0)</f>
        <v>2021</v>
      </c>
      <c r="B5391" s="11">
        <f>IFERROR(__xludf.DUMMYFUNCTION("""COMPUTED_VALUE"""),10.0)</f>
        <v>10</v>
      </c>
      <c r="C5391" s="11">
        <f>IFERROR(__xludf.DUMMYFUNCTION("""COMPUTED_VALUE"""),5502.0)</f>
        <v>5502</v>
      </c>
      <c r="D5391" s="11">
        <f>IFERROR(__xludf.DUMMYFUNCTION("""COMPUTED_VALUE"""),1925.0)</f>
        <v>1925</v>
      </c>
      <c r="E5391" s="9"/>
    </row>
    <row r="5392">
      <c r="A5392" s="11">
        <f>IFERROR(__xludf.DUMMYFUNCTION("""COMPUTED_VALUE"""),2021.0)</f>
        <v>2021</v>
      </c>
      <c r="B5392" s="11">
        <f>IFERROR(__xludf.DUMMYFUNCTION("""COMPUTED_VALUE"""),11.0)</f>
        <v>11</v>
      </c>
      <c r="C5392" s="11">
        <f>IFERROR(__xludf.DUMMYFUNCTION("""COMPUTED_VALUE"""),90669.0)</f>
        <v>90669</v>
      </c>
      <c r="D5392" s="11">
        <f>IFERROR(__xludf.DUMMYFUNCTION("""COMPUTED_VALUE"""),1485.0)</f>
        <v>1485</v>
      </c>
      <c r="E5392" s="9"/>
    </row>
    <row r="5393">
      <c r="A5393" s="11">
        <f>IFERROR(__xludf.DUMMYFUNCTION("""COMPUTED_VALUE"""),2021.0)</f>
        <v>2021</v>
      </c>
      <c r="B5393" s="11">
        <f>IFERROR(__xludf.DUMMYFUNCTION("""COMPUTED_VALUE"""),10.0)</f>
        <v>10</v>
      </c>
      <c r="C5393" s="11">
        <f>IFERROR(__xludf.DUMMYFUNCTION("""COMPUTED_VALUE"""),90673.0)</f>
        <v>90673</v>
      </c>
      <c r="D5393" s="11">
        <f>IFERROR(__xludf.DUMMYFUNCTION("""COMPUTED_VALUE"""),251.0)</f>
        <v>251</v>
      </c>
      <c r="E5393" s="9"/>
    </row>
    <row r="5394">
      <c r="A5394" s="11">
        <f>IFERROR(__xludf.DUMMYFUNCTION("""COMPUTED_VALUE"""),2021.0)</f>
        <v>2021</v>
      </c>
      <c r="B5394" s="11">
        <f>IFERROR(__xludf.DUMMYFUNCTION("""COMPUTED_VALUE"""),11.0)</f>
        <v>11</v>
      </c>
      <c r="C5394" s="11">
        <f>IFERROR(__xludf.DUMMYFUNCTION("""COMPUTED_VALUE"""),68403.0)</f>
        <v>68403</v>
      </c>
      <c r="D5394" s="11">
        <f>IFERROR(__xludf.DUMMYFUNCTION("""COMPUTED_VALUE"""),1638.0)</f>
        <v>1638</v>
      </c>
      <c r="E5394" s="9"/>
    </row>
    <row r="5395">
      <c r="A5395" s="11">
        <f>IFERROR(__xludf.DUMMYFUNCTION("""COMPUTED_VALUE"""),2021.0)</f>
        <v>2021</v>
      </c>
      <c r="B5395" s="11">
        <f>IFERROR(__xludf.DUMMYFUNCTION("""COMPUTED_VALUE"""),9.0)</f>
        <v>9</v>
      </c>
      <c r="C5395" s="11">
        <f>IFERROR(__xludf.DUMMYFUNCTION("""COMPUTED_VALUE"""),76636.0)</f>
        <v>76636</v>
      </c>
      <c r="D5395" s="11">
        <f>IFERROR(__xludf.DUMMYFUNCTION("""COMPUTED_VALUE"""),213.0)</f>
        <v>213</v>
      </c>
      <c r="E5395" s="9"/>
    </row>
    <row r="5396">
      <c r="A5396" s="11">
        <f>IFERROR(__xludf.DUMMYFUNCTION("""COMPUTED_VALUE"""),2021.0)</f>
        <v>2021</v>
      </c>
      <c r="B5396" s="11">
        <f>IFERROR(__xludf.DUMMYFUNCTION("""COMPUTED_VALUE"""),10.0)</f>
        <v>10</v>
      </c>
      <c r="C5396" s="11">
        <f>IFERROR(__xludf.DUMMYFUNCTION("""COMPUTED_VALUE"""),77397.0)</f>
        <v>77397</v>
      </c>
      <c r="D5396" s="11">
        <f>IFERROR(__xludf.DUMMYFUNCTION("""COMPUTED_VALUE"""),1845.0)</f>
        <v>1845</v>
      </c>
      <c r="E5396" s="9"/>
    </row>
    <row r="5397">
      <c r="A5397" s="11">
        <f>IFERROR(__xludf.DUMMYFUNCTION("""COMPUTED_VALUE"""),2021.0)</f>
        <v>2021</v>
      </c>
      <c r="B5397" s="11">
        <f>IFERROR(__xludf.DUMMYFUNCTION("""COMPUTED_VALUE"""),8.0)</f>
        <v>8</v>
      </c>
      <c r="C5397" s="11">
        <f>IFERROR(__xludf.DUMMYFUNCTION("""COMPUTED_VALUE"""),76195.0)</f>
        <v>76195</v>
      </c>
      <c r="D5397" s="11">
        <f>IFERROR(__xludf.DUMMYFUNCTION("""COMPUTED_VALUE"""),1037.0)</f>
        <v>1037</v>
      </c>
      <c r="E5397" s="9"/>
    </row>
    <row r="5398">
      <c r="A5398" s="11">
        <f>IFERROR(__xludf.DUMMYFUNCTION("""COMPUTED_VALUE"""),2021.0)</f>
        <v>2021</v>
      </c>
      <c r="B5398" s="11">
        <f>IFERROR(__xludf.DUMMYFUNCTION("""COMPUTED_VALUE"""),11.0)</f>
        <v>11</v>
      </c>
      <c r="C5398" s="11">
        <f>IFERROR(__xludf.DUMMYFUNCTION("""COMPUTED_VALUE"""),90710.0)</f>
        <v>90710</v>
      </c>
      <c r="D5398" s="11">
        <f>IFERROR(__xludf.DUMMYFUNCTION("""COMPUTED_VALUE"""),1137.0)</f>
        <v>1137</v>
      </c>
      <c r="E5398" s="9"/>
    </row>
    <row r="5399">
      <c r="A5399" s="11">
        <f>IFERROR(__xludf.DUMMYFUNCTION("""COMPUTED_VALUE"""),2021.0)</f>
        <v>2021</v>
      </c>
      <c r="B5399" s="11">
        <f>IFERROR(__xludf.DUMMYFUNCTION("""COMPUTED_VALUE"""),9.0)</f>
        <v>9</v>
      </c>
      <c r="C5399" s="11">
        <f>IFERROR(__xludf.DUMMYFUNCTION("""COMPUTED_VALUE"""),117148.0)</f>
        <v>117148</v>
      </c>
      <c r="D5399" s="11">
        <f>IFERROR(__xludf.DUMMYFUNCTION("""COMPUTED_VALUE"""),835.0)</f>
        <v>835</v>
      </c>
      <c r="E5399" s="9"/>
    </row>
    <row r="5400">
      <c r="A5400" s="11">
        <f>IFERROR(__xludf.DUMMYFUNCTION("""COMPUTED_VALUE"""),2021.0)</f>
        <v>2021</v>
      </c>
      <c r="B5400" s="11">
        <f>IFERROR(__xludf.DUMMYFUNCTION("""COMPUTED_VALUE"""),9.0)</f>
        <v>9</v>
      </c>
      <c r="C5400" s="11">
        <f>IFERROR(__xludf.DUMMYFUNCTION("""COMPUTED_VALUE"""),5493.0)</f>
        <v>5493</v>
      </c>
      <c r="D5400" s="11">
        <f>IFERROR(__xludf.DUMMYFUNCTION("""COMPUTED_VALUE"""),268.0)</f>
        <v>268</v>
      </c>
      <c r="E5400" s="9"/>
    </row>
    <row r="5401">
      <c r="A5401" s="11">
        <f>IFERROR(__xludf.DUMMYFUNCTION("""COMPUTED_VALUE"""),2021.0)</f>
        <v>2021</v>
      </c>
      <c r="B5401" s="11">
        <f>IFERROR(__xludf.DUMMYFUNCTION("""COMPUTED_VALUE"""),10.0)</f>
        <v>10</v>
      </c>
      <c r="C5401" s="11">
        <f>IFERROR(__xludf.DUMMYFUNCTION("""COMPUTED_VALUE"""),76671.0)</f>
        <v>76671</v>
      </c>
      <c r="D5401" s="11">
        <f>IFERROR(__xludf.DUMMYFUNCTION("""COMPUTED_VALUE"""),1465.0)</f>
        <v>1465</v>
      </c>
      <c r="E5401" s="9"/>
    </row>
    <row r="5402">
      <c r="A5402" s="11">
        <f>IFERROR(__xludf.DUMMYFUNCTION("""COMPUTED_VALUE"""),2021.0)</f>
        <v>2021</v>
      </c>
      <c r="B5402" s="11">
        <f>IFERROR(__xludf.DUMMYFUNCTION("""COMPUTED_VALUE"""),9.0)</f>
        <v>9</v>
      </c>
      <c r="C5402" s="11">
        <f>IFERROR(__xludf.DUMMYFUNCTION("""COMPUTED_VALUE"""),90678.0)</f>
        <v>90678</v>
      </c>
      <c r="D5402" s="11">
        <f>IFERROR(__xludf.DUMMYFUNCTION("""COMPUTED_VALUE"""),828.0)</f>
        <v>828</v>
      </c>
      <c r="E5402" s="9"/>
    </row>
    <row r="5403">
      <c r="A5403" s="11">
        <f>IFERROR(__xludf.DUMMYFUNCTION("""COMPUTED_VALUE"""),2021.0)</f>
        <v>2021</v>
      </c>
      <c r="B5403" s="11">
        <f>IFERROR(__xludf.DUMMYFUNCTION("""COMPUTED_VALUE"""),11.0)</f>
        <v>11</v>
      </c>
      <c r="C5403" s="11">
        <f>IFERROR(__xludf.DUMMYFUNCTION("""COMPUTED_VALUE"""),76207.0)</f>
        <v>76207</v>
      </c>
      <c r="D5403" s="11">
        <f>IFERROR(__xludf.DUMMYFUNCTION("""COMPUTED_VALUE"""),632.0)</f>
        <v>632</v>
      </c>
      <c r="E5403" s="9"/>
    </row>
    <row r="5404">
      <c r="A5404" s="11">
        <f>IFERROR(__xludf.DUMMYFUNCTION("""COMPUTED_VALUE"""),2021.0)</f>
        <v>2021</v>
      </c>
      <c r="B5404" s="11">
        <f>IFERROR(__xludf.DUMMYFUNCTION("""COMPUTED_VALUE"""),9.0)</f>
        <v>9</v>
      </c>
      <c r="C5404" s="11">
        <f>IFERROR(__xludf.DUMMYFUNCTION("""COMPUTED_VALUE"""),5500.0)</f>
        <v>5500</v>
      </c>
      <c r="D5404" s="11">
        <f>IFERROR(__xludf.DUMMYFUNCTION("""COMPUTED_VALUE"""),1482.0)</f>
        <v>1482</v>
      </c>
      <c r="E5404" s="9"/>
    </row>
    <row r="5405">
      <c r="A5405" s="11">
        <f>IFERROR(__xludf.DUMMYFUNCTION("""COMPUTED_VALUE"""),2021.0)</f>
        <v>2021</v>
      </c>
      <c r="B5405" s="11">
        <f>IFERROR(__xludf.DUMMYFUNCTION("""COMPUTED_VALUE"""),8.0)</f>
        <v>8</v>
      </c>
      <c r="C5405" s="11">
        <f>IFERROR(__xludf.DUMMYFUNCTION("""COMPUTED_VALUE"""),122081.0)</f>
        <v>122081</v>
      </c>
      <c r="D5405" s="11">
        <f>IFERROR(__xludf.DUMMYFUNCTION("""COMPUTED_VALUE"""),1596.0)</f>
        <v>1596</v>
      </c>
      <c r="E5405" s="9"/>
    </row>
    <row r="5406">
      <c r="A5406" s="11">
        <f>IFERROR(__xludf.DUMMYFUNCTION("""COMPUTED_VALUE"""),2021.0)</f>
        <v>2021</v>
      </c>
      <c r="B5406" s="11">
        <f>IFERROR(__xludf.DUMMYFUNCTION("""COMPUTED_VALUE"""),11.0)</f>
        <v>11</v>
      </c>
      <c r="C5406" s="11">
        <f>IFERROR(__xludf.DUMMYFUNCTION("""COMPUTED_VALUE"""),77396.0)</f>
        <v>77396</v>
      </c>
      <c r="D5406" s="11">
        <f>IFERROR(__xludf.DUMMYFUNCTION("""COMPUTED_VALUE"""),508.0)</f>
        <v>508</v>
      </c>
      <c r="E5406" s="9"/>
    </row>
    <row r="5407">
      <c r="A5407" s="11">
        <f>IFERROR(__xludf.DUMMYFUNCTION("""COMPUTED_VALUE"""),2021.0)</f>
        <v>2021</v>
      </c>
      <c r="B5407" s="11">
        <f>IFERROR(__xludf.DUMMYFUNCTION("""COMPUTED_VALUE"""),8.0)</f>
        <v>8</v>
      </c>
      <c r="C5407" s="11">
        <f>IFERROR(__xludf.DUMMYFUNCTION("""COMPUTED_VALUE"""),77398.0)</f>
        <v>77398</v>
      </c>
      <c r="D5407" s="11">
        <f>IFERROR(__xludf.DUMMYFUNCTION("""COMPUTED_VALUE"""),240.0)</f>
        <v>240</v>
      </c>
      <c r="E5407" s="9"/>
    </row>
    <row r="5408">
      <c r="A5408" s="11">
        <f>IFERROR(__xludf.DUMMYFUNCTION("""COMPUTED_VALUE"""),2021.0)</f>
        <v>2021</v>
      </c>
      <c r="B5408" s="11">
        <f>IFERROR(__xludf.DUMMYFUNCTION("""COMPUTED_VALUE"""),8.0)</f>
        <v>8</v>
      </c>
      <c r="C5408" s="11">
        <f>IFERROR(__xludf.DUMMYFUNCTION("""COMPUTED_VALUE"""),90716.0)</f>
        <v>90716</v>
      </c>
      <c r="D5408" s="11">
        <f>IFERROR(__xludf.DUMMYFUNCTION("""COMPUTED_VALUE"""),1160.0)</f>
        <v>1160</v>
      </c>
      <c r="E5408" s="9"/>
    </row>
    <row r="5409">
      <c r="A5409" s="11">
        <f>IFERROR(__xludf.DUMMYFUNCTION("""COMPUTED_VALUE"""),2021.0)</f>
        <v>2021</v>
      </c>
      <c r="B5409" s="11">
        <f>IFERROR(__xludf.DUMMYFUNCTION("""COMPUTED_VALUE"""),9.0)</f>
        <v>9</v>
      </c>
      <c r="C5409" s="11">
        <f>IFERROR(__xludf.DUMMYFUNCTION("""COMPUTED_VALUE"""),122846.0)</f>
        <v>122846</v>
      </c>
      <c r="D5409" s="11">
        <f>IFERROR(__xludf.DUMMYFUNCTION("""COMPUTED_VALUE"""),634.0)</f>
        <v>634</v>
      </c>
      <c r="E5409" s="9"/>
    </row>
    <row r="5410">
      <c r="A5410" s="11">
        <f>IFERROR(__xludf.DUMMYFUNCTION("""COMPUTED_VALUE"""),2021.0)</f>
        <v>2021</v>
      </c>
      <c r="B5410" s="11">
        <f>IFERROR(__xludf.DUMMYFUNCTION("""COMPUTED_VALUE"""),10.0)</f>
        <v>10</v>
      </c>
      <c r="C5410" s="11">
        <f>IFERROR(__xludf.DUMMYFUNCTION("""COMPUTED_VALUE"""),77410.0)</f>
        <v>77410</v>
      </c>
      <c r="D5410" s="11">
        <f>IFERROR(__xludf.DUMMYFUNCTION("""COMPUTED_VALUE"""),486.0)</f>
        <v>486</v>
      </c>
      <c r="E5410" s="9"/>
    </row>
    <row r="5411">
      <c r="A5411" s="11">
        <f>IFERROR(__xludf.DUMMYFUNCTION("""COMPUTED_VALUE"""),2021.0)</f>
        <v>2021</v>
      </c>
      <c r="B5411" s="11">
        <f>IFERROR(__xludf.DUMMYFUNCTION("""COMPUTED_VALUE"""),8.0)</f>
        <v>8</v>
      </c>
      <c r="C5411" s="11">
        <f>IFERROR(__xludf.DUMMYFUNCTION("""COMPUTED_VALUE"""),87083.0)</f>
        <v>87083</v>
      </c>
      <c r="D5411" s="11">
        <f>IFERROR(__xludf.DUMMYFUNCTION("""COMPUTED_VALUE"""),1014.0)</f>
        <v>1014</v>
      </c>
      <c r="E5411" s="9"/>
    </row>
    <row r="5412">
      <c r="A5412" s="11">
        <f>IFERROR(__xludf.DUMMYFUNCTION("""COMPUTED_VALUE"""),2021.0)</f>
        <v>2021</v>
      </c>
      <c r="B5412" s="11">
        <f>IFERROR(__xludf.DUMMYFUNCTION("""COMPUTED_VALUE"""),10.0)</f>
        <v>10</v>
      </c>
      <c r="C5412" s="11">
        <f>IFERROR(__xludf.DUMMYFUNCTION("""COMPUTED_VALUE"""),73630.0)</f>
        <v>73630</v>
      </c>
      <c r="D5412" s="11">
        <f>IFERROR(__xludf.DUMMYFUNCTION("""COMPUTED_VALUE"""),945.0)</f>
        <v>945</v>
      </c>
      <c r="E5412" s="9"/>
    </row>
    <row r="5413">
      <c r="A5413" s="11">
        <f>IFERROR(__xludf.DUMMYFUNCTION("""COMPUTED_VALUE"""),2021.0)</f>
        <v>2021</v>
      </c>
      <c r="B5413" s="11">
        <f>IFERROR(__xludf.DUMMYFUNCTION("""COMPUTED_VALUE"""),11.0)</f>
        <v>11</v>
      </c>
      <c r="C5413" s="11">
        <f>IFERROR(__xludf.DUMMYFUNCTION("""COMPUTED_VALUE"""),90659.0)</f>
        <v>90659</v>
      </c>
      <c r="D5413" s="11">
        <f>IFERROR(__xludf.DUMMYFUNCTION("""COMPUTED_VALUE"""),439.0)</f>
        <v>439</v>
      </c>
      <c r="E5413" s="9"/>
    </row>
    <row r="5414">
      <c r="A5414" s="11">
        <f>IFERROR(__xludf.DUMMYFUNCTION("""COMPUTED_VALUE"""),2021.0)</f>
        <v>2021</v>
      </c>
      <c r="B5414" s="11">
        <f>IFERROR(__xludf.DUMMYFUNCTION("""COMPUTED_VALUE"""),11.0)</f>
        <v>11</v>
      </c>
      <c r="C5414" s="11">
        <f>IFERROR(__xludf.DUMMYFUNCTION("""COMPUTED_VALUE"""),122079.0)</f>
        <v>122079</v>
      </c>
      <c r="D5414" s="11">
        <f>IFERROR(__xludf.DUMMYFUNCTION("""COMPUTED_VALUE"""),1927.0)</f>
        <v>1927</v>
      </c>
      <c r="E5414" s="9"/>
    </row>
    <row r="5415">
      <c r="A5415" s="11">
        <f>IFERROR(__xludf.DUMMYFUNCTION("""COMPUTED_VALUE"""),2021.0)</f>
        <v>2021</v>
      </c>
      <c r="B5415" s="11">
        <f>IFERROR(__xludf.DUMMYFUNCTION("""COMPUTED_VALUE"""),9.0)</f>
        <v>9</v>
      </c>
      <c r="C5415" s="11">
        <f>IFERROR(__xludf.DUMMYFUNCTION("""COMPUTED_VALUE"""),5551.0)</f>
        <v>5551</v>
      </c>
      <c r="D5415" s="11">
        <f>IFERROR(__xludf.DUMMYFUNCTION("""COMPUTED_VALUE"""),1396.0)</f>
        <v>1396</v>
      </c>
      <c r="E5415" s="9"/>
    </row>
    <row r="5416">
      <c r="A5416" s="11">
        <f>IFERROR(__xludf.DUMMYFUNCTION("""COMPUTED_VALUE"""),2021.0)</f>
        <v>2021</v>
      </c>
      <c r="B5416" s="11">
        <f>IFERROR(__xludf.DUMMYFUNCTION("""COMPUTED_VALUE"""),11.0)</f>
        <v>11</v>
      </c>
      <c r="C5416" s="11">
        <f>IFERROR(__xludf.DUMMYFUNCTION("""COMPUTED_VALUE"""),90624.0)</f>
        <v>90624</v>
      </c>
      <c r="D5416" s="11">
        <f>IFERROR(__xludf.DUMMYFUNCTION("""COMPUTED_VALUE"""),1851.0)</f>
        <v>1851</v>
      </c>
      <c r="E5416" s="9"/>
    </row>
    <row r="5417">
      <c r="A5417" s="11">
        <f>IFERROR(__xludf.DUMMYFUNCTION("""COMPUTED_VALUE"""),2021.0)</f>
        <v>2021</v>
      </c>
      <c r="B5417" s="11">
        <f>IFERROR(__xludf.DUMMYFUNCTION("""COMPUTED_VALUE"""),11.0)</f>
        <v>11</v>
      </c>
      <c r="C5417" s="11">
        <f>IFERROR(__xludf.DUMMYFUNCTION("""COMPUTED_VALUE"""),29100.0)</f>
        <v>29100</v>
      </c>
      <c r="D5417" s="11">
        <f>IFERROR(__xludf.DUMMYFUNCTION("""COMPUTED_VALUE"""),47.0)</f>
        <v>47</v>
      </c>
      <c r="E5417" s="9"/>
    </row>
    <row r="5418">
      <c r="A5418" s="11">
        <f>IFERROR(__xludf.DUMMYFUNCTION("""COMPUTED_VALUE"""),2021.0)</f>
        <v>2021</v>
      </c>
      <c r="B5418" s="11">
        <f>IFERROR(__xludf.DUMMYFUNCTION("""COMPUTED_VALUE"""),8.0)</f>
        <v>8</v>
      </c>
      <c r="C5418" s="11">
        <f>IFERROR(__xludf.DUMMYFUNCTION("""COMPUTED_VALUE"""),46330.0)</f>
        <v>46330</v>
      </c>
      <c r="D5418" s="11">
        <f>IFERROR(__xludf.DUMMYFUNCTION("""COMPUTED_VALUE"""),749.0)</f>
        <v>749</v>
      </c>
      <c r="E5418" s="9"/>
    </row>
    <row r="5419">
      <c r="A5419" s="11">
        <f>IFERROR(__xludf.DUMMYFUNCTION("""COMPUTED_VALUE"""),2021.0)</f>
        <v>2021</v>
      </c>
      <c r="B5419" s="11">
        <f>IFERROR(__xludf.DUMMYFUNCTION("""COMPUTED_VALUE"""),8.0)</f>
        <v>8</v>
      </c>
      <c r="C5419" s="11">
        <f>IFERROR(__xludf.DUMMYFUNCTION("""COMPUTED_VALUE"""),117659.0)</f>
        <v>117659</v>
      </c>
      <c r="D5419" s="11">
        <f>IFERROR(__xludf.DUMMYFUNCTION("""COMPUTED_VALUE"""),839.0)</f>
        <v>839</v>
      </c>
      <c r="E5419" s="9"/>
    </row>
    <row r="5420">
      <c r="A5420" s="11">
        <f>IFERROR(__xludf.DUMMYFUNCTION("""COMPUTED_VALUE"""),2021.0)</f>
        <v>2021</v>
      </c>
      <c r="B5420" s="11">
        <f>IFERROR(__xludf.DUMMYFUNCTION("""COMPUTED_VALUE"""),10.0)</f>
        <v>10</v>
      </c>
      <c r="C5420" s="11">
        <f>IFERROR(__xludf.DUMMYFUNCTION("""COMPUTED_VALUE"""),48149.0)</f>
        <v>48149</v>
      </c>
      <c r="D5420" s="11">
        <f>IFERROR(__xludf.DUMMYFUNCTION("""COMPUTED_VALUE"""),884.0)</f>
        <v>884</v>
      </c>
      <c r="E5420" s="9"/>
    </row>
    <row r="5421">
      <c r="A5421" s="11">
        <f>IFERROR(__xludf.DUMMYFUNCTION("""COMPUTED_VALUE"""),2021.0)</f>
        <v>2021</v>
      </c>
      <c r="B5421" s="11">
        <f>IFERROR(__xludf.DUMMYFUNCTION("""COMPUTED_VALUE"""),11.0)</f>
        <v>11</v>
      </c>
      <c r="C5421" s="11">
        <f>IFERROR(__xludf.DUMMYFUNCTION("""COMPUTED_VALUE"""),113739.0)</f>
        <v>113739</v>
      </c>
      <c r="D5421" s="11">
        <f>IFERROR(__xludf.DUMMYFUNCTION("""COMPUTED_VALUE"""),1195.0)</f>
        <v>1195</v>
      </c>
      <c r="E5421" s="9"/>
    </row>
    <row r="5422">
      <c r="A5422" s="11">
        <f>IFERROR(__xludf.DUMMYFUNCTION("""COMPUTED_VALUE"""),2021.0)</f>
        <v>2021</v>
      </c>
      <c r="B5422" s="11">
        <f>IFERROR(__xludf.DUMMYFUNCTION("""COMPUTED_VALUE"""),11.0)</f>
        <v>11</v>
      </c>
      <c r="C5422" s="11">
        <f>IFERROR(__xludf.DUMMYFUNCTION("""COMPUTED_VALUE"""),147316.0)</f>
        <v>147316</v>
      </c>
      <c r="D5422" s="11">
        <f>IFERROR(__xludf.DUMMYFUNCTION("""COMPUTED_VALUE"""),909.0)</f>
        <v>909</v>
      </c>
      <c r="E5422" s="9"/>
    </row>
    <row r="5423">
      <c r="A5423" s="11">
        <f>IFERROR(__xludf.DUMMYFUNCTION("""COMPUTED_VALUE"""),2021.0)</f>
        <v>2021</v>
      </c>
      <c r="B5423" s="11">
        <f>IFERROR(__xludf.DUMMYFUNCTION("""COMPUTED_VALUE"""),9.0)</f>
        <v>9</v>
      </c>
      <c r="C5423" s="11">
        <f>IFERROR(__xludf.DUMMYFUNCTION("""COMPUTED_VALUE"""),76297.0)</f>
        <v>76297</v>
      </c>
      <c r="D5423" s="11">
        <f>IFERROR(__xludf.DUMMYFUNCTION("""COMPUTED_VALUE"""),963.0)</f>
        <v>963</v>
      </c>
      <c r="E5423" s="9"/>
    </row>
    <row r="5424">
      <c r="A5424" s="11">
        <f>IFERROR(__xludf.DUMMYFUNCTION("""COMPUTED_VALUE"""),2021.0)</f>
        <v>2021</v>
      </c>
      <c r="B5424" s="11">
        <f>IFERROR(__xludf.DUMMYFUNCTION("""COMPUTED_VALUE"""),11.0)</f>
        <v>11</v>
      </c>
      <c r="C5424" s="11">
        <f>IFERROR(__xludf.DUMMYFUNCTION("""COMPUTED_VALUE"""),102698.0)</f>
        <v>102698</v>
      </c>
      <c r="D5424" s="11">
        <f>IFERROR(__xludf.DUMMYFUNCTION("""COMPUTED_VALUE"""),110.0)</f>
        <v>110</v>
      </c>
      <c r="E5424" s="9"/>
    </row>
    <row r="5425">
      <c r="A5425" s="11">
        <f>IFERROR(__xludf.DUMMYFUNCTION("""COMPUTED_VALUE"""),2021.0)</f>
        <v>2021</v>
      </c>
      <c r="B5425" s="11">
        <f>IFERROR(__xludf.DUMMYFUNCTION("""COMPUTED_VALUE"""),8.0)</f>
        <v>8</v>
      </c>
      <c r="C5425" s="11">
        <f>IFERROR(__xludf.DUMMYFUNCTION("""COMPUTED_VALUE"""),102699.0)</f>
        <v>102699</v>
      </c>
      <c r="D5425" s="11">
        <f>IFERROR(__xludf.DUMMYFUNCTION("""COMPUTED_VALUE"""),114.0)</f>
        <v>114</v>
      </c>
      <c r="E5425" s="9"/>
    </row>
    <row r="5426">
      <c r="A5426" s="11">
        <f>IFERROR(__xludf.DUMMYFUNCTION("""COMPUTED_VALUE"""),2021.0)</f>
        <v>2021</v>
      </c>
      <c r="B5426" s="11">
        <f>IFERROR(__xludf.DUMMYFUNCTION("""COMPUTED_VALUE"""),11.0)</f>
        <v>11</v>
      </c>
      <c r="C5426" s="11">
        <f>IFERROR(__xludf.DUMMYFUNCTION("""COMPUTED_VALUE"""),5556.0)</f>
        <v>5556</v>
      </c>
      <c r="D5426" s="11">
        <f>IFERROR(__xludf.DUMMYFUNCTION("""COMPUTED_VALUE"""),1701.0)</f>
        <v>1701</v>
      </c>
      <c r="E5426" s="9"/>
    </row>
    <row r="5427">
      <c r="A5427" s="11">
        <f>IFERROR(__xludf.DUMMYFUNCTION("""COMPUTED_VALUE"""),2021.0)</f>
        <v>2021</v>
      </c>
      <c r="B5427" s="11">
        <f>IFERROR(__xludf.DUMMYFUNCTION("""COMPUTED_VALUE"""),8.0)</f>
        <v>8</v>
      </c>
      <c r="C5427" s="11">
        <f>IFERROR(__xludf.DUMMYFUNCTION("""COMPUTED_VALUE"""),73629.0)</f>
        <v>73629</v>
      </c>
      <c r="D5427" s="11">
        <f>IFERROR(__xludf.DUMMYFUNCTION("""COMPUTED_VALUE"""),1528.0)</f>
        <v>1528</v>
      </c>
      <c r="E5427" s="9"/>
    </row>
    <row r="5428">
      <c r="A5428" s="11">
        <f>IFERROR(__xludf.DUMMYFUNCTION("""COMPUTED_VALUE"""),2021.0)</f>
        <v>2021</v>
      </c>
      <c r="B5428" s="11">
        <f>IFERROR(__xludf.DUMMYFUNCTION("""COMPUTED_VALUE"""),8.0)</f>
        <v>8</v>
      </c>
      <c r="C5428" s="11">
        <f>IFERROR(__xludf.DUMMYFUNCTION("""COMPUTED_VALUE"""),77253.0)</f>
        <v>77253</v>
      </c>
      <c r="D5428" s="11">
        <f>IFERROR(__xludf.DUMMYFUNCTION("""COMPUTED_VALUE"""),1352.0)</f>
        <v>1352</v>
      </c>
      <c r="E5428" s="9"/>
    </row>
    <row r="5429">
      <c r="A5429" s="11">
        <f>IFERROR(__xludf.DUMMYFUNCTION("""COMPUTED_VALUE"""),2021.0)</f>
        <v>2021</v>
      </c>
      <c r="B5429" s="11">
        <f>IFERROR(__xludf.DUMMYFUNCTION("""COMPUTED_VALUE"""),8.0)</f>
        <v>8</v>
      </c>
      <c r="C5429" s="11">
        <f>IFERROR(__xludf.DUMMYFUNCTION("""COMPUTED_VALUE"""),5552.0)</f>
        <v>5552</v>
      </c>
      <c r="D5429" s="11">
        <f>IFERROR(__xludf.DUMMYFUNCTION("""COMPUTED_VALUE"""),1850.0)</f>
        <v>1850</v>
      </c>
      <c r="E5429" s="9"/>
    </row>
    <row r="5430">
      <c r="A5430" s="11">
        <f>IFERROR(__xludf.DUMMYFUNCTION("""COMPUTED_VALUE"""),2021.0)</f>
        <v>2021</v>
      </c>
      <c r="B5430" s="11">
        <f>IFERROR(__xludf.DUMMYFUNCTION("""COMPUTED_VALUE"""),8.0)</f>
        <v>8</v>
      </c>
      <c r="C5430" s="11">
        <f>IFERROR(__xludf.DUMMYFUNCTION("""COMPUTED_VALUE"""),73805.0)</f>
        <v>73805</v>
      </c>
      <c r="D5430" s="11">
        <f>IFERROR(__xludf.DUMMYFUNCTION("""COMPUTED_VALUE"""),1690.0)</f>
        <v>1690</v>
      </c>
      <c r="E5430" s="9"/>
    </row>
    <row r="5431">
      <c r="A5431" s="11">
        <f>IFERROR(__xludf.DUMMYFUNCTION("""COMPUTED_VALUE"""),2021.0)</f>
        <v>2021</v>
      </c>
      <c r="B5431" s="11">
        <f>IFERROR(__xludf.DUMMYFUNCTION("""COMPUTED_VALUE"""),11.0)</f>
        <v>11</v>
      </c>
      <c r="C5431" s="11">
        <f>IFERROR(__xludf.DUMMYFUNCTION("""COMPUTED_VALUE"""),48403.0)</f>
        <v>48403</v>
      </c>
      <c r="D5431" s="11">
        <f>IFERROR(__xludf.DUMMYFUNCTION("""COMPUTED_VALUE"""),1392.0)</f>
        <v>1392</v>
      </c>
      <c r="E5431" s="9"/>
    </row>
    <row r="5432">
      <c r="A5432" s="11">
        <f>IFERROR(__xludf.DUMMYFUNCTION("""COMPUTED_VALUE"""),2021.0)</f>
        <v>2021</v>
      </c>
      <c r="B5432" s="11">
        <f>IFERROR(__xludf.DUMMYFUNCTION("""COMPUTED_VALUE"""),9.0)</f>
        <v>9</v>
      </c>
      <c r="C5432" s="11">
        <f>IFERROR(__xludf.DUMMYFUNCTION("""COMPUTED_VALUE"""),90626.0)</f>
        <v>90626</v>
      </c>
      <c r="D5432" s="11">
        <f>IFERROR(__xludf.DUMMYFUNCTION("""COMPUTED_VALUE"""),1529.0)</f>
        <v>1529</v>
      </c>
      <c r="E5432" s="9"/>
    </row>
    <row r="5433">
      <c r="A5433" s="11">
        <f>IFERROR(__xludf.DUMMYFUNCTION("""COMPUTED_VALUE"""),2021.0)</f>
        <v>2021</v>
      </c>
      <c r="B5433" s="11">
        <f>IFERROR(__xludf.DUMMYFUNCTION("""COMPUTED_VALUE"""),10.0)</f>
        <v>10</v>
      </c>
      <c r="C5433" s="11">
        <f>IFERROR(__xludf.DUMMYFUNCTION("""COMPUTED_VALUE"""),147324.0)</f>
        <v>147324</v>
      </c>
      <c r="D5433" s="11">
        <f>IFERROR(__xludf.DUMMYFUNCTION("""COMPUTED_VALUE"""),1210.0)</f>
        <v>1210</v>
      </c>
      <c r="E5433" s="9"/>
    </row>
    <row r="5434">
      <c r="A5434" s="11">
        <f>IFERROR(__xludf.DUMMYFUNCTION("""COMPUTED_VALUE"""),2021.0)</f>
        <v>2021</v>
      </c>
      <c r="B5434" s="11">
        <f>IFERROR(__xludf.DUMMYFUNCTION("""COMPUTED_VALUE"""),8.0)</f>
        <v>8</v>
      </c>
      <c r="C5434" s="11">
        <f>IFERROR(__xludf.DUMMYFUNCTION("""COMPUTED_VALUE"""),77411.0)</f>
        <v>77411</v>
      </c>
      <c r="D5434" s="11">
        <f>IFERROR(__xludf.DUMMYFUNCTION("""COMPUTED_VALUE"""),1090.0)</f>
        <v>1090</v>
      </c>
      <c r="E5434" s="9"/>
    </row>
    <row r="5435">
      <c r="A5435" s="11">
        <f>IFERROR(__xludf.DUMMYFUNCTION("""COMPUTED_VALUE"""),2021.0)</f>
        <v>2021</v>
      </c>
      <c r="B5435" s="11">
        <f>IFERROR(__xludf.DUMMYFUNCTION("""COMPUTED_VALUE"""),8.0)</f>
        <v>8</v>
      </c>
      <c r="C5435" s="11">
        <f>IFERROR(__xludf.DUMMYFUNCTION("""COMPUTED_VALUE"""),87085.0)</f>
        <v>87085</v>
      </c>
      <c r="D5435" s="11">
        <f>IFERROR(__xludf.DUMMYFUNCTION("""COMPUTED_VALUE"""),579.0)</f>
        <v>579</v>
      </c>
      <c r="E5435" s="9"/>
    </row>
    <row r="5436">
      <c r="A5436" s="11">
        <f>IFERROR(__xludf.DUMMYFUNCTION("""COMPUTED_VALUE"""),2021.0)</f>
        <v>2021</v>
      </c>
      <c r="B5436" s="11">
        <f>IFERROR(__xludf.DUMMYFUNCTION("""COMPUTED_VALUE"""),9.0)</f>
        <v>9</v>
      </c>
      <c r="C5436" s="11">
        <f>IFERROR(__xludf.DUMMYFUNCTION("""COMPUTED_VALUE"""),76212.0)</f>
        <v>76212</v>
      </c>
      <c r="D5436" s="11">
        <f>IFERROR(__xludf.DUMMYFUNCTION("""COMPUTED_VALUE"""),1602.0)</f>
        <v>1602</v>
      </c>
      <c r="E5436" s="9"/>
    </row>
    <row r="5437">
      <c r="A5437" s="11">
        <f>IFERROR(__xludf.DUMMYFUNCTION("""COMPUTED_VALUE"""),2021.0)</f>
        <v>2021</v>
      </c>
      <c r="B5437" s="11">
        <f>IFERROR(__xludf.DUMMYFUNCTION("""COMPUTED_VALUE"""),10.0)</f>
        <v>10</v>
      </c>
      <c r="C5437" s="11">
        <f>IFERROR(__xludf.DUMMYFUNCTION("""COMPUTED_VALUE"""),117655.0)</f>
        <v>117655</v>
      </c>
      <c r="D5437" s="11">
        <f>IFERROR(__xludf.DUMMYFUNCTION("""COMPUTED_VALUE"""),1718.0)</f>
        <v>1718</v>
      </c>
      <c r="E5437" s="9"/>
    </row>
    <row r="5438">
      <c r="A5438" s="11">
        <f>IFERROR(__xludf.DUMMYFUNCTION("""COMPUTED_VALUE"""),2021.0)</f>
        <v>2021</v>
      </c>
      <c r="B5438" s="11">
        <f>IFERROR(__xludf.DUMMYFUNCTION("""COMPUTED_VALUE"""),11.0)</f>
        <v>11</v>
      </c>
      <c r="C5438" s="11">
        <f>IFERROR(__xludf.DUMMYFUNCTION("""COMPUTED_VALUE"""),83596.0)</f>
        <v>83596</v>
      </c>
      <c r="D5438" s="11">
        <f>IFERROR(__xludf.DUMMYFUNCTION("""COMPUTED_VALUE"""),460.0)</f>
        <v>460</v>
      </c>
      <c r="E5438" s="9"/>
    </row>
    <row r="5439">
      <c r="A5439" s="11">
        <f>IFERROR(__xludf.DUMMYFUNCTION("""COMPUTED_VALUE"""),2021.0)</f>
        <v>2021</v>
      </c>
      <c r="B5439" s="11">
        <f>IFERROR(__xludf.DUMMYFUNCTION("""COMPUTED_VALUE"""),8.0)</f>
        <v>8</v>
      </c>
      <c r="C5439" s="11">
        <f>IFERROR(__xludf.DUMMYFUNCTION("""COMPUTED_VALUE"""),5561.0)</f>
        <v>5561</v>
      </c>
      <c r="D5439" s="11">
        <f>IFERROR(__xludf.DUMMYFUNCTION("""COMPUTED_VALUE"""),44.0)</f>
        <v>44</v>
      </c>
      <c r="E5439" s="9"/>
    </row>
    <row r="5440">
      <c r="A5440" s="11">
        <f>IFERROR(__xludf.DUMMYFUNCTION("""COMPUTED_VALUE"""),2021.0)</f>
        <v>2021</v>
      </c>
      <c r="B5440" s="11">
        <f>IFERROR(__xludf.DUMMYFUNCTION("""COMPUTED_VALUE"""),10.0)</f>
        <v>10</v>
      </c>
      <c r="C5440" s="11">
        <f>IFERROR(__xludf.DUMMYFUNCTION("""COMPUTED_VALUE"""),87304.0)</f>
        <v>87304</v>
      </c>
      <c r="D5440" s="11">
        <f>IFERROR(__xludf.DUMMYFUNCTION("""COMPUTED_VALUE"""),187.0)</f>
        <v>187</v>
      </c>
      <c r="E5440" s="9"/>
    </row>
    <row r="5441">
      <c r="A5441" s="11">
        <f>IFERROR(__xludf.DUMMYFUNCTION("""COMPUTED_VALUE"""),2021.0)</f>
        <v>2021</v>
      </c>
      <c r="B5441" s="11">
        <f>IFERROR(__xludf.DUMMYFUNCTION("""COMPUTED_VALUE"""),8.0)</f>
        <v>8</v>
      </c>
      <c r="C5441" s="11">
        <f>IFERROR(__xludf.DUMMYFUNCTION("""COMPUTED_VALUE"""),113735.0)</f>
        <v>113735</v>
      </c>
      <c r="D5441" s="11">
        <f>IFERROR(__xludf.DUMMYFUNCTION("""COMPUTED_VALUE"""),456.0)</f>
        <v>456</v>
      </c>
      <c r="E5441" s="9"/>
    </row>
    <row r="5442">
      <c r="A5442" s="11">
        <f>IFERROR(__xludf.DUMMYFUNCTION("""COMPUTED_VALUE"""),2021.0)</f>
        <v>2021</v>
      </c>
      <c r="B5442" s="11">
        <f>IFERROR(__xludf.DUMMYFUNCTION("""COMPUTED_VALUE"""),11.0)</f>
        <v>11</v>
      </c>
      <c r="C5442" s="11">
        <f>IFERROR(__xludf.DUMMYFUNCTION("""COMPUTED_VALUE"""),90661.0)</f>
        <v>90661</v>
      </c>
      <c r="D5442" s="11">
        <f>IFERROR(__xludf.DUMMYFUNCTION("""COMPUTED_VALUE"""),88.0)</f>
        <v>88</v>
      </c>
      <c r="E5442" s="9"/>
    </row>
    <row r="5443">
      <c r="A5443" s="11">
        <f>IFERROR(__xludf.DUMMYFUNCTION("""COMPUTED_VALUE"""),2021.0)</f>
        <v>2021</v>
      </c>
      <c r="B5443" s="11">
        <f>IFERROR(__xludf.DUMMYFUNCTION("""COMPUTED_VALUE"""),11.0)</f>
        <v>11</v>
      </c>
      <c r="C5443" s="11">
        <f>IFERROR(__xludf.DUMMYFUNCTION("""COMPUTED_VALUE"""),76281.0)</f>
        <v>76281</v>
      </c>
      <c r="D5443" s="11">
        <f>IFERROR(__xludf.DUMMYFUNCTION("""COMPUTED_VALUE"""),926.0)</f>
        <v>926</v>
      </c>
      <c r="E5443" s="9"/>
    </row>
    <row r="5444">
      <c r="A5444" s="11">
        <f>IFERROR(__xludf.DUMMYFUNCTION("""COMPUTED_VALUE"""),2021.0)</f>
        <v>2021</v>
      </c>
      <c r="B5444" s="11">
        <f>IFERROR(__xludf.DUMMYFUNCTION("""COMPUTED_VALUE"""),8.0)</f>
        <v>8</v>
      </c>
      <c r="C5444" s="11">
        <f>IFERROR(__xludf.DUMMYFUNCTION("""COMPUTED_VALUE"""),90622.0)</f>
        <v>90622</v>
      </c>
      <c r="D5444" s="11">
        <f>IFERROR(__xludf.DUMMYFUNCTION("""COMPUTED_VALUE"""),275.0)</f>
        <v>275</v>
      </c>
      <c r="E5444" s="9"/>
    </row>
    <row r="5445">
      <c r="A5445" s="11">
        <f>IFERROR(__xludf.DUMMYFUNCTION("""COMPUTED_VALUE"""),2021.0)</f>
        <v>2021</v>
      </c>
      <c r="B5445" s="11">
        <f>IFERROR(__xludf.DUMMYFUNCTION("""COMPUTED_VALUE"""),8.0)</f>
        <v>8</v>
      </c>
      <c r="C5445" s="11">
        <f>IFERROR(__xludf.DUMMYFUNCTION("""COMPUTED_VALUE"""),90637.0)</f>
        <v>90637</v>
      </c>
      <c r="D5445" s="11">
        <f>IFERROR(__xludf.DUMMYFUNCTION("""COMPUTED_VALUE"""),1441.0)</f>
        <v>1441</v>
      </c>
      <c r="E5445" s="9"/>
    </row>
    <row r="5446">
      <c r="A5446" s="11">
        <f>IFERROR(__xludf.DUMMYFUNCTION("""COMPUTED_VALUE"""),2021.0)</f>
        <v>2021</v>
      </c>
      <c r="B5446" s="11">
        <f>IFERROR(__xludf.DUMMYFUNCTION("""COMPUTED_VALUE"""),10.0)</f>
        <v>10</v>
      </c>
      <c r="C5446" s="11">
        <f>IFERROR(__xludf.DUMMYFUNCTION("""COMPUTED_VALUE"""),76208.0)</f>
        <v>76208</v>
      </c>
      <c r="D5446" s="11">
        <f>IFERROR(__xludf.DUMMYFUNCTION("""COMPUTED_VALUE"""),1458.0)</f>
        <v>1458</v>
      </c>
      <c r="E5446" s="9"/>
    </row>
    <row r="5447">
      <c r="A5447" s="11">
        <f>IFERROR(__xludf.DUMMYFUNCTION("""COMPUTED_VALUE"""),2021.0)</f>
        <v>2021</v>
      </c>
      <c r="B5447" s="11">
        <f>IFERROR(__xludf.DUMMYFUNCTION("""COMPUTED_VALUE"""),11.0)</f>
        <v>11</v>
      </c>
      <c r="C5447" s="11">
        <f>IFERROR(__xludf.DUMMYFUNCTION("""COMPUTED_VALUE"""),91355.0)</f>
        <v>91355</v>
      </c>
      <c r="D5447" s="11">
        <f>IFERROR(__xludf.DUMMYFUNCTION("""COMPUTED_VALUE"""),1231.0)</f>
        <v>1231</v>
      </c>
      <c r="E5447" s="9"/>
    </row>
    <row r="5448">
      <c r="A5448" s="11">
        <f>IFERROR(__xludf.DUMMYFUNCTION("""COMPUTED_VALUE"""),2021.0)</f>
        <v>2021</v>
      </c>
      <c r="B5448" s="11">
        <f>IFERROR(__xludf.DUMMYFUNCTION("""COMPUTED_VALUE"""),10.0)</f>
        <v>10</v>
      </c>
      <c r="C5448" s="11">
        <f>IFERROR(__xludf.DUMMYFUNCTION("""COMPUTED_VALUE"""),122068.0)</f>
        <v>122068</v>
      </c>
      <c r="D5448" s="11">
        <f>IFERROR(__xludf.DUMMYFUNCTION("""COMPUTED_VALUE"""),556.0)</f>
        <v>556</v>
      </c>
      <c r="E5448" s="9"/>
    </row>
    <row r="5449">
      <c r="A5449" s="11">
        <f>IFERROR(__xludf.DUMMYFUNCTION("""COMPUTED_VALUE"""),2021.0)</f>
        <v>2021</v>
      </c>
      <c r="B5449" s="11">
        <f>IFERROR(__xludf.DUMMYFUNCTION("""COMPUTED_VALUE"""),9.0)</f>
        <v>9</v>
      </c>
      <c r="C5449" s="11">
        <f>IFERROR(__xludf.DUMMYFUNCTION("""COMPUTED_VALUE"""),48404.0)</f>
        <v>48404</v>
      </c>
      <c r="D5449" s="11">
        <f>IFERROR(__xludf.DUMMYFUNCTION("""COMPUTED_VALUE"""),1789.0)</f>
        <v>1789</v>
      </c>
      <c r="E5449" s="9"/>
    </row>
    <row r="5450">
      <c r="A5450" s="11">
        <f>IFERROR(__xludf.DUMMYFUNCTION("""COMPUTED_VALUE"""),2021.0)</f>
        <v>2021</v>
      </c>
      <c r="B5450" s="11">
        <f>IFERROR(__xludf.DUMMYFUNCTION("""COMPUTED_VALUE"""),9.0)</f>
        <v>9</v>
      </c>
      <c r="C5450" s="11">
        <f>IFERROR(__xludf.DUMMYFUNCTION("""COMPUTED_VALUE"""),5553.0)</f>
        <v>5553</v>
      </c>
      <c r="D5450" s="11">
        <f>IFERROR(__xludf.DUMMYFUNCTION("""COMPUTED_VALUE"""),1680.0)</f>
        <v>1680</v>
      </c>
      <c r="E5450" s="9"/>
    </row>
    <row r="5451">
      <c r="A5451" s="11">
        <f>IFERROR(__xludf.DUMMYFUNCTION("""COMPUTED_VALUE"""),2021.0)</f>
        <v>2021</v>
      </c>
      <c r="B5451" s="11">
        <f>IFERROR(__xludf.DUMMYFUNCTION("""COMPUTED_VALUE"""),8.0)</f>
        <v>8</v>
      </c>
      <c r="C5451" s="11">
        <f>IFERROR(__xludf.DUMMYFUNCTION("""COMPUTED_VALUE"""),76282.0)</f>
        <v>76282</v>
      </c>
      <c r="D5451" s="11">
        <f>IFERROR(__xludf.DUMMYFUNCTION("""COMPUTED_VALUE"""),578.0)</f>
        <v>578</v>
      </c>
      <c r="E5451" s="9"/>
    </row>
    <row r="5452">
      <c r="A5452" s="11">
        <f>IFERROR(__xludf.DUMMYFUNCTION("""COMPUTED_VALUE"""),2021.0)</f>
        <v>2021</v>
      </c>
      <c r="B5452" s="11">
        <f>IFERROR(__xludf.DUMMYFUNCTION("""COMPUTED_VALUE"""),10.0)</f>
        <v>10</v>
      </c>
      <c r="C5452" s="11">
        <f>IFERROR(__xludf.DUMMYFUNCTION("""COMPUTED_VALUE"""),5554.0)</f>
        <v>5554</v>
      </c>
      <c r="D5452" s="11">
        <f>IFERROR(__xludf.DUMMYFUNCTION("""COMPUTED_VALUE"""),811.0)</f>
        <v>811</v>
      </c>
      <c r="E5452" s="9"/>
    </row>
    <row r="5453">
      <c r="A5453" s="11">
        <f>IFERROR(__xludf.DUMMYFUNCTION("""COMPUTED_VALUE"""),2021.0)</f>
        <v>2021</v>
      </c>
      <c r="B5453" s="11">
        <f>IFERROR(__xludf.DUMMYFUNCTION("""COMPUTED_VALUE"""),10.0)</f>
        <v>10</v>
      </c>
      <c r="C5453" s="11">
        <f>IFERROR(__xludf.DUMMYFUNCTION("""COMPUTED_VALUE"""),77408.0)</f>
        <v>77408</v>
      </c>
      <c r="D5453" s="11">
        <f>IFERROR(__xludf.DUMMYFUNCTION("""COMPUTED_VALUE"""),1868.0)</f>
        <v>1868</v>
      </c>
      <c r="E5453" s="9"/>
    </row>
    <row r="5454">
      <c r="A5454" s="11">
        <f>IFERROR(__xludf.DUMMYFUNCTION("""COMPUTED_VALUE"""),2021.0)</f>
        <v>2021</v>
      </c>
      <c r="B5454" s="11">
        <f>IFERROR(__xludf.DUMMYFUNCTION("""COMPUTED_VALUE"""),10.0)</f>
        <v>10</v>
      </c>
      <c r="C5454" s="11">
        <f>IFERROR(__xludf.DUMMYFUNCTION("""COMPUTED_VALUE"""),147312.0)</f>
        <v>147312</v>
      </c>
      <c r="D5454" s="11">
        <f>IFERROR(__xludf.DUMMYFUNCTION("""COMPUTED_VALUE"""),785.0)</f>
        <v>785</v>
      </c>
      <c r="E5454" s="9"/>
    </row>
    <row r="5455">
      <c r="A5455" s="11">
        <f>IFERROR(__xludf.DUMMYFUNCTION("""COMPUTED_VALUE"""),2021.0)</f>
        <v>2021</v>
      </c>
      <c r="B5455" s="11">
        <f>IFERROR(__xludf.DUMMYFUNCTION("""COMPUTED_VALUE"""),10.0)</f>
        <v>10</v>
      </c>
      <c r="C5455" s="11">
        <f>IFERROR(__xludf.DUMMYFUNCTION("""COMPUTED_VALUE"""),113741.0)</f>
        <v>113741</v>
      </c>
      <c r="D5455" s="11">
        <f>IFERROR(__xludf.DUMMYFUNCTION("""COMPUTED_VALUE"""),1793.0)</f>
        <v>1793</v>
      </c>
      <c r="E5455" s="9"/>
    </row>
    <row r="5456">
      <c r="A5456" s="11">
        <f>IFERROR(__xludf.DUMMYFUNCTION("""COMPUTED_VALUE"""),2021.0)</f>
        <v>2021</v>
      </c>
      <c r="B5456" s="11">
        <f>IFERROR(__xludf.DUMMYFUNCTION("""COMPUTED_VALUE"""),9.0)</f>
        <v>9</v>
      </c>
      <c r="C5456" s="11">
        <f>IFERROR(__xludf.DUMMYFUNCTION("""COMPUTED_VALUE"""),76290.0)</f>
        <v>76290</v>
      </c>
      <c r="D5456" s="11">
        <f>IFERROR(__xludf.DUMMYFUNCTION("""COMPUTED_VALUE"""),390.0)</f>
        <v>390</v>
      </c>
      <c r="E5456" s="9"/>
    </row>
    <row r="5457">
      <c r="A5457" s="11">
        <f>IFERROR(__xludf.DUMMYFUNCTION("""COMPUTED_VALUE"""),2021.0)</f>
        <v>2021</v>
      </c>
      <c r="B5457" s="11">
        <f>IFERROR(__xludf.DUMMYFUNCTION("""COMPUTED_VALUE"""),9.0)</f>
        <v>9</v>
      </c>
      <c r="C5457" s="11">
        <f>IFERROR(__xludf.DUMMYFUNCTION("""COMPUTED_VALUE"""),5559.0)</f>
        <v>5559</v>
      </c>
      <c r="D5457" s="11">
        <f>IFERROR(__xludf.DUMMYFUNCTION("""COMPUTED_VALUE"""),1317.0)</f>
        <v>1317</v>
      </c>
      <c r="E5457" s="9"/>
    </row>
    <row r="5458">
      <c r="A5458" s="11">
        <f>IFERROR(__xludf.DUMMYFUNCTION("""COMPUTED_VALUE"""),2021.0)</f>
        <v>2021</v>
      </c>
      <c r="B5458" s="11">
        <f>IFERROR(__xludf.DUMMYFUNCTION("""COMPUTED_VALUE"""),11.0)</f>
        <v>11</v>
      </c>
      <c r="C5458" s="11">
        <f>IFERROR(__xludf.DUMMYFUNCTION("""COMPUTED_VALUE"""),68351.0)</f>
        <v>68351</v>
      </c>
      <c r="D5458" s="11">
        <f>IFERROR(__xludf.DUMMYFUNCTION("""COMPUTED_VALUE"""),490.0)</f>
        <v>490</v>
      </c>
      <c r="E5458" s="9"/>
    </row>
    <row r="5459">
      <c r="A5459" s="11">
        <f>IFERROR(__xludf.DUMMYFUNCTION("""COMPUTED_VALUE"""),2021.0)</f>
        <v>2021</v>
      </c>
      <c r="B5459" s="11">
        <f>IFERROR(__xludf.DUMMYFUNCTION("""COMPUTED_VALUE"""),11.0)</f>
        <v>11</v>
      </c>
      <c r="C5459" s="11">
        <f>IFERROR(__xludf.DUMMYFUNCTION("""COMPUTED_VALUE"""),113736.0)</f>
        <v>113736</v>
      </c>
      <c r="D5459" s="11">
        <f>IFERROR(__xludf.DUMMYFUNCTION("""COMPUTED_VALUE"""),623.0)</f>
        <v>623</v>
      </c>
      <c r="E5459" s="9"/>
    </row>
    <row r="5460">
      <c r="A5460" s="11">
        <f>IFERROR(__xludf.DUMMYFUNCTION("""COMPUTED_VALUE"""),2021.0)</f>
        <v>2021</v>
      </c>
      <c r="B5460" s="11">
        <f>IFERROR(__xludf.DUMMYFUNCTION("""COMPUTED_VALUE"""),10.0)</f>
        <v>10</v>
      </c>
      <c r="C5460" s="11">
        <f>IFERROR(__xludf.DUMMYFUNCTION("""COMPUTED_VALUE"""),113738.0)</f>
        <v>113738</v>
      </c>
      <c r="D5460" s="11">
        <f>IFERROR(__xludf.DUMMYFUNCTION("""COMPUTED_VALUE"""),1894.0)</f>
        <v>1894</v>
      </c>
      <c r="E5460" s="9"/>
    </row>
    <row r="5461">
      <c r="A5461" s="11">
        <f>IFERROR(__xludf.DUMMYFUNCTION("""COMPUTED_VALUE"""),2021.0)</f>
        <v>2021</v>
      </c>
      <c r="B5461" s="11">
        <f>IFERROR(__xludf.DUMMYFUNCTION("""COMPUTED_VALUE"""),9.0)</f>
        <v>9</v>
      </c>
      <c r="C5461" s="11">
        <f>IFERROR(__xludf.DUMMYFUNCTION("""COMPUTED_VALUE"""),113737.0)</f>
        <v>113737</v>
      </c>
      <c r="D5461" s="11">
        <f>IFERROR(__xludf.DUMMYFUNCTION("""COMPUTED_VALUE"""),327.0)</f>
        <v>327</v>
      </c>
      <c r="E5461" s="9"/>
    </row>
    <row r="5462">
      <c r="A5462" s="11">
        <f>IFERROR(__xludf.DUMMYFUNCTION("""COMPUTED_VALUE"""),2021.0)</f>
        <v>2021</v>
      </c>
      <c r="B5462" s="11">
        <f>IFERROR(__xludf.DUMMYFUNCTION("""COMPUTED_VALUE"""),9.0)</f>
        <v>9</v>
      </c>
      <c r="C5462" s="11">
        <f>IFERROR(__xludf.DUMMYFUNCTION("""COMPUTED_VALUE"""),73767.0)</f>
        <v>73767</v>
      </c>
      <c r="D5462" s="11">
        <f>IFERROR(__xludf.DUMMYFUNCTION("""COMPUTED_VALUE"""),711.0)</f>
        <v>711</v>
      </c>
      <c r="E5462" s="9"/>
    </row>
    <row r="5463">
      <c r="A5463" s="11">
        <f>IFERROR(__xludf.DUMMYFUNCTION("""COMPUTED_VALUE"""),2021.0)</f>
        <v>2021</v>
      </c>
      <c r="B5463" s="11">
        <f>IFERROR(__xludf.DUMMYFUNCTION("""COMPUTED_VALUE"""),9.0)</f>
        <v>9</v>
      </c>
      <c r="C5463" s="11">
        <f>IFERROR(__xludf.DUMMYFUNCTION("""COMPUTED_VALUE"""),89559.0)</f>
        <v>89559</v>
      </c>
      <c r="D5463" s="11">
        <f>IFERROR(__xludf.DUMMYFUNCTION("""COMPUTED_VALUE"""),1279.0)</f>
        <v>1279</v>
      </c>
      <c r="E5463" s="9"/>
    </row>
    <row r="5464">
      <c r="A5464" s="11">
        <f>IFERROR(__xludf.DUMMYFUNCTION("""COMPUTED_VALUE"""),2021.0)</f>
        <v>2021</v>
      </c>
      <c r="B5464" s="11">
        <f>IFERROR(__xludf.DUMMYFUNCTION("""COMPUTED_VALUE"""),10.0)</f>
        <v>10</v>
      </c>
      <c r="C5464" s="11">
        <f>IFERROR(__xludf.DUMMYFUNCTION("""COMPUTED_VALUE"""),102720.0)</f>
        <v>102720</v>
      </c>
      <c r="D5464" s="11">
        <f>IFERROR(__xludf.DUMMYFUNCTION("""COMPUTED_VALUE"""),1939.0)</f>
        <v>1939</v>
      </c>
      <c r="E5464" s="9"/>
    </row>
    <row r="5465">
      <c r="A5465" s="11">
        <f>IFERROR(__xludf.DUMMYFUNCTION("""COMPUTED_VALUE"""),2021.0)</f>
        <v>2021</v>
      </c>
      <c r="B5465" s="11">
        <f>IFERROR(__xludf.DUMMYFUNCTION("""COMPUTED_VALUE"""),8.0)</f>
        <v>8</v>
      </c>
      <c r="C5465" s="11">
        <f>IFERROR(__xludf.DUMMYFUNCTION("""COMPUTED_VALUE"""),114668.0)</f>
        <v>114668</v>
      </c>
      <c r="D5465" s="11">
        <f>IFERROR(__xludf.DUMMYFUNCTION("""COMPUTED_VALUE"""),633.0)</f>
        <v>633</v>
      </c>
      <c r="E5465" s="9"/>
    </row>
    <row r="5466">
      <c r="A5466" s="11">
        <f>IFERROR(__xludf.DUMMYFUNCTION("""COMPUTED_VALUE"""),2021.0)</f>
        <v>2021</v>
      </c>
      <c r="B5466" s="11">
        <f>IFERROR(__xludf.DUMMYFUNCTION("""COMPUTED_VALUE"""),9.0)</f>
        <v>9</v>
      </c>
      <c r="C5466" s="11">
        <f>IFERROR(__xludf.DUMMYFUNCTION("""COMPUTED_VALUE"""),159208.0)</f>
        <v>159208</v>
      </c>
      <c r="D5466" s="11">
        <f>IFERROR(__xludf.DUMMYFUNCTION("""COMPUTED_VALUE"""),622.0)</f>
        <v>622</v>
      </c>
      <c r="E5466" s="9"/>
    </row>
    <row r="5467">
      <c r="A5467" s="11">
        <f>IFERROR(__xludf.DUMMYFUNCTION("""COMPUTED_VALUE"""),2021.0)</f>
        <v>2021</v>
      </c>
      <c r="B5467" s="11">
        <f>IFERROR(__xludf.DUMMYFUNCTION("""COMPUTED_VALUE"""),9.0)</f>
        <v>9</v>
      </c>
      <c r="C5467" s="11">
        <f>IFERROR(__xludf.DUMMYFUNCTION("""COMPUTED_VALUE"""),108476.0)</f>
        <v>108476</v>
      </c>
      <c r="D5467" s="11">
        <f>IFERROR(__xludf.DUMMYFUNCTION("""COMPUTED_VALUE"""),1556.0)</f>
        <v>1556</v>
      </c>
      <c r="E5467" s="9"/>
    </row>
    <row r="5468">
      <c r="A5468" s="11">
        <f>IFERROR(__xludf.DUMMYFUNCTION("""COMPUTED_VALUE"""),2021.0)</f>
        <v>2021</v>
      </c>
      <c r="B5468" s="11">
        <f>IFERROR(__xludf.DUMMYFUNCTION("""COMPUTED_VALUE"""),8.0)</f>
        <v>8</v>
      </c>
      <c r="C5468" s="11">
        <f>IFERROR(__xludf.DUMMYFUNCTION("""COMPUTED_VALUE"""),76603.0)</f>
        <v>76603</v>
      </c>
      <c r="D5468" s="11">
        <f>IFERROR(__xludf.DUMMYFUNCTION("""COMPUTED_VALUE"""),298.0)</f>
        <v>298</v>
      </c>
      <c r="E5468" s="9"/>
    </row>
    <row r="5469">
      <c r="A5469" s="11">
        <f>IFERROR(__xludf.DUMMYFUNCTION("""COMPUTED_VALUE"""),2021.0)</f>
        <v>2021</v>
      </c>
      <c r="B5469" s="11">
        <f>IFERROR(__xludf.DUMMYFUNCTION("""COMPUTED_VALUE"""),9.0)</f>
        <v>9</v>
      </c>
      <c r="C5469" s="11">
        <f>IFERROR(__xludf.DUMMYFUNCTION("""COMPUTED_VALUE"""),117672.0)</f>
        <v>117672</v>
      </c>
      <c r="D5469" s="11">
        <f>IFERROR(__xludf.DUMMYFUNCTION("""COMPUTED_VALUE"""),934.0)</f>
        <v>934</v>
      </c>
      <c r="E5469" s="9"/>
    </row>
    <row r="5470">
      <c r="A5470" s="11">
        <f>IFERROR(__xludf.DUMMYFUNCTION("""COMPUTED_VALUE"""),2021.0)</f>
        <v>2021</v>
      </c>
      <c r="B5470" s="11">
        <f>IFERROR(__xludf.DUMMYFUNCTION("""COMPUTED_VALUE"""),9.0)</f>
        <v>9</v>
      </c>
      <c r="C5470" s="11">
        <f>IFERROR(__xludf.DUMMYFUNCTION("""COMPUTED_VALUE"""),73968.0)</f>
        <v>73968</v>
      </c>
      <c r="D5470" s="11">
        <f>IFERROR(__xludf.DUMMYFUNCTION("""COMPUTED_VALUE"""),100.0)</f>
        <v>100</v>
      </c>
      <c r="E5470" s="9"/>
    </row>
    <row r="5471">
      <c r="A5471" s="11">
        <f>IFERROR(__xludf.DUMMYFUNCTION("""COMPUTED_VALUE"""),2021.0)</f>
        <v>2021</v>
      </c>
      <c r="B5471" s="11">
        <f>IFERROR(__xludf.DUMMYFUNCTION("""COMPUTED_VALUE"""),8.0)</f>
        <v>8</v>
      </c>
      <c r="C5471" s="11">
        <f>IFERROR(__xludf.DUMMYFUNCTION("""COMPUTED_VALUE"""),73967.0)</f>
        <v>73967</v>
      </c>
      <c r="D5471" s="11">
        <f>IFERROR(__xludf.DUMMYFUNCTION("""COMPUTED_VALUE"""),70.0)</f>
        <v>70</v>
      </c>
      <c r="E5471" s="9"/>
    </row>
    <row r="5472">
      <c r="A5472" s="11">
        <f>IFERROR(__xludf.DUMMYFUNCTION("""COMPUTED_VALUE"""),2021.0)</f>
        <v>2021</v>
      </c>
      <c r="B5472" s="11">
        <f>IFERROR(__xludf.DUMMYFUNCTION("""COMPUTED_VALUE"""),9.0)</f>
        <v>9</v>
      </c>
      <c r="C5472" s="11">
        <f>IFERROR(__xludf.DUMMYFUNCTION("""COMPUTED_VALUE"""),159209.0)</f>
        <v>159209</v>
      </c>
      <c r="D5472" s="11">
        <f>IFERROR(__xludf.DUMMYFUNCTION("""COMPUTED_VALUE"""),1626.0)</f>
        <v>1626</v>
      </c>
      <c r="E5472" s="9"/>
    </row>
    <row r="5473">
      <c r="A5473" s="11">
        <f>IFERROR(__xludf.DUMMYFUNCTION("""COMPUTED_VALUE"""),2021.0)</f>
        <v>2021</v>
      </c>
      <c r="B5473" s="11">
        <f>IFERROR(__xludf.DUMMYFUNCTION("""COMPUTED_VALUE"""),11.0)</f>
        <v>11</v>
      </c>
      <c r="C5473" s="11">
        <f>IFERROR(__xludf.DUMMYFUNCTION("""COMPUTED_VALUE"""),90675.0)</f>
        <v>90675</v>
      </c>
      <c r="D5473" s="11">
        <f>IFERROR(__xludf.DUMMYFUNCTION("""COMPUTED_VALUE"""),1242.0)</f>
        <v>1242</v>
      </c>
      <c r="E5473" s="9"/>
    </row>
    <row r="5474">
      <c r="A5474" s="11">
        <f>IFERROR(__xludf.DUMMYFUNCTION("""COMPUTED_VALUE"""),2021.0)</f>
        <v>2021</v>
      </c>
      <c r="B5474" s="11">
        <f>IFERROR(__xludf.DUMMYFUNCTION("""COMPUTED_VALUE"""),8.0)</f>
        <v>8</v>
      </c>
      <c r="C5474" s="11">
        <f>IFERROR(__xludf.DUMMYFUNCTION("""COMPUTED_VALUE"""),117671.0)</f>
        <v>117671</v>
      </c>
      <c r="D5474" s="11">
        <f>IFERROR(__xludf.DUMMYFUNCTION("""COMPUTED_VALUE"""),500.0)</f>
        <v>500</v>
      </c>
      <c r="E5474" s="9"/>
    </row>
    <row r="5475">
      <c r="A5475" s="11">
        <f>IFERROR(__xludf.DUMMYFUNCTION("""COMPUTED_VALUE"""),2021.0)</f>
        <v>2021</v>
      </c>
      <c r="B5475" s="11">
        <f>IFERROR(__xludf.DUMMYFUNCTION("""COMPUTED_VALUE"""),11.0)</f>
        <v>11</v>
      </c>
      <c r="C5475" s="11">
        <f>IFERROR(__xludf.DUMMYFUNCTION("""COMPUTED_VALUE"""),100015.0)</f>
        <v>100015</v>
      </c>
      <c r="D5475" s="11">
        <f>IFERROR(__xludf.DUMMYFUNCTION("""COMPUTED_VALUE"""),1505.0)</f>
        <v>1505</v>
      </c>
      <c r="E5475" s="9"/>
    </row>
    <row r="5476">
      <c r="A5476" s="11">
        <f>IFERROR(__xludf.DUMMYFUNCTION("""COMPUTED_VALUE"""),2021.0)</f>
        <v>2021</v>
      </c>
      <c r="B5476" s="11">
        <f>IFERROR(__xludf.DUMMYFUNCTION("""COMPUTED_VALUE"""),9.0)</f>
        <v>9</v>
      </c>
      <c r="C5476" s="11">
        <f>IFERROR(__xludf.DUMMYFUNCTION("""COMPUTED_VALUE"""),90680.0)</f>
        <v>90680</v>
      </c>
      <c r="D5476" s="11">
        <f>IFERROR(__xludf.DUMMYFUNCTION("""COMPUTED_VALUE"""),661.0)</f>
        <v>661</v>
      </c>
      <c r="E5476" s="9"/>
    </row>
    <row r="5477">
      <c r="A5477" s="11">
        <f>IFERROR(__xludf.DUMMYFUNCTION("""COMPUTED_VALUE"""),2021.0)</f>
        <v>2021</v>
      </c>
      <c r="B5477" s="11">
        <f>IFERROR(__xludf.DUMMYFUNCTION("""COMPUTED_VALUE"""),11.0)</f>
        <v>11</v>
      </c>
      <c r="C5477" s="11">
        <f>IFERROR(__xludf.DUMMYFUNCTION("""COMPUTED_VALUE"""),88351.0)</f>
        <v>88351</v>
      </c>
      <c r="D5477" s="11">
        <f>IFERROR(__xludf.DUMMYFUNCTION("""COMPUTED_VALUE"""),1163.0)</f>
        <v>1163</v>
      </c>
      <c r="E5477" s="9"/>
    </row>
    <row r="5478">
      <c r="A5478" s="11">
        <f>IFERROR(__xludf.DUMMYFUNCTION("""COMPUTED_VALUE"""),2021.0)</f>
        <v>2021</v>
      </c>
      <c r="B5478" s="11">
        <f>IFERROR(__xludf.DUMMYFUNCTION("""COMPUTED_VALUE"""),8.0)</f>
        <v>8</v>
      </c>
      <c r="C5478" s="11">
        <f>IFERROR(__xludf.DUMMYFUNCTION("""COMPUTED_VALUE"""),108475.0)</f>
        <v>108475</v>
      </c>
      <c r="D5478" s="11">
        <f>IFERROR(__xludf.DUMMYFUNCTION("""COMPUTED_VALUE"""),1198.0)</f>
        <v>1198</v>
      </c>
      <c r="E5478" s="9"/>
    </row>
    <row r="5479">
      <c r="A5479" s="11">
        <f>IFERROR(__xludf.DUMMYFUNCTION("""COMPUTED_VALUE"""),2021.0)</f>
        <v>2021</v>
      </c>
      <c r="B5479" s="11">
        <f>IFERROR(__xludf.DUMMYFUNCTION("""COMPUTED_VALUE"""),8.0)</f>
        <v>8</v>
      </c>
      <c r="C5479" s="11">
        <f>IFERROR(__xludf.DUMMYFUNCTION("""COMPUTED_VALUE"""),90676.0)</f>
        <v>90676</v>
      </c>
      <c r="D5479" s="11">
        <f>IFERROR(__xludf.DUMMYFUNCTION("""COMPUTED_VALUE"""),241.0)</f>
        <v>241</v>
      </c>
      <c r="E5479" s="9"/>
    </row>
    <row r="5480">
      <c r="A5480" s="11">
        <f>IFERROR(__xludf.DUMMYFUNCTION("""COMPUTED_VALUE"""),2021.0)</f>
        <v>2021</v>
      </c>
      <c r="B5480" s="11">
        <f>IFERROR(__xludf.DUMMYFUNCTION("""COMPUTED_VALUE"""),10.0)</f>
        <v>10</v>
      </c>
      <c r="C5480" s="11">
        <f>IFERROR(__xludf.DUMMYFUNCTION("""COMPUTED_VALUE"""),43118.0)</f>
        <v>43118</v>
      </c>
      <c r="D5480" s="11">
        <f>IFERROR(__xludf.DUMMYFUNCTION("""COMPUTED_VALUE"""),1023.0)</f>
        <v>1023</v>
      </c>
      <c r="E5480" s="9"/>
    </row>
    <row r="5481">
      <c r="A5481" s="11">
        <f>IFERROR(__xludf.DUMMYFUNCTION("""COMPUTED_VALUE"""),2021.0)</f>
        <v>2021</v>
      </c>
      <c r="B5481" s="11">
        <f>IFERROR(__xludf.DUMMYFUNCTION("""COMPUTED_VALUE"""),11.0)</f>
        <v>11</v>
      </c>
      <c r="C5481" s="11">
        <f>IFERROR(__xludf.DUMMYFUNCTION("""COMPUTED_VALUE"""),112472.0)</f>
        <v>112472</v>
      </c>
      <c r="D5481" s="11">
        <f>IFERROR(__xludf.DUMMYFUNCTION("""COMPUTED_VALUE"""),428.0)</f>
        <v>428</v>
      </c>
      <c r="E5481" s="9"/>
    </row>
    <row r="5482">
      <c r="A5482" s="11">
        <f>IFERROR(__xludf.DUMMYFUNCTION("""COMPUTED_VALUE"""),2021.0)</f>
        <v>2021</v>
      </c>
      <c r="B5482" s="11">
        <f>IFERROR(__xludf.DUMMYFUNCTION("""COMPUTED_VALUE"""),9.0)</f>
        <v>9</v>
      </c>
      <c r="C5482" s="11">
        <f>IFERROR(__xludf.DUMMYFUNCTION("""COMPUTED_VALUE"""),108083.0)</f>
        <v>108083</v>
      </c>
      <c r="D5482" s="11">
        <f>IFERROR(__xludf.DUMMYFUNCTION("""COMPUTED_VALUE"""),1874.0)</f>
        <v>1874</v>
      </c>
      <c r="E5482" s="9"/>
    </row>
    <row r="5483">
      <c r="A5483" s="11">
        <f>IFERROR(__xludf.DUMMYFUNCTION("""COMPUTED_VALUE"""),2021.0)</f>
        <v>2021</v>
      </c>
      <c r="B5483" s="11">
        <f>IFERROR(__xludf.DUMMYFUNCTION("""COMPUTED_VALUE"""),10.0)</f>
        <v>10</v>
      </c>
      <c r="C5483" s="11">
        <f>IFERROR(__xludf.DUMMYFUNCTION("""COMPUTED_VALUE"""),133907.0)</f>
        <v>133907</v>
      </c>
      <c r="D5483" s="11">
        <f>IFERROR(__xludf.DUMMYFUNCTION("""COMPUTED_VALUE"""),622.0)</f>
        <v>622</v>
      </c>
      <c r="E5483" s="9"/>
    </row>
    <row r="5484">
      <c r="A5484" s="11">
        <f>IFERROR(__xludf.DUMMYFUNCTION("""COMPUTED_VALUE"""),2021.0)</f>
        <v>2021</v>
      </c>
      <c r="B5484" s="11">
        <f>IFERROR(__xludf.DUMMYFUNCTION("""COMPUTED_VALUE"""),11.0)</f>
        <v>11</v>
      </c>
      <c r="C5484" s="11">
        <f>IFERROR(__xludf.DUMMYFUNCTION("""COMPUTED_VALUE"""),45176.0)</f>
        <v>45176</v>
      </c>
      <c r="D5484" s="11">
        <f>IFERROR(__xludf.DUMMYFUNCTION("""COMPUTED_VALUE"""),1703.0)</f>
        <v>1703</v>
      </c>
      <c r="E5484" s="9"/>
    </row>
    <row r="5485">
      <c r="A5485" s="11">
        <f>IFERROR(__xludf.DUMMYFUNCTION("""COMPUTED_VALUE"""),2021.0)</f>
        <v>2021</v>
      </c>
      <c r="B5485" s="11">
        <f>IFERROR(__xludf.DUMMYFUNCTION("""COMPUTED_VALUE"""),10.0)</f>
        <v>10</v>
      </c>
      <c r="C5485" s="11">
        <f>IFERROR(__xludf.DUMMYFUNCTION("""COMPUTED_VALUE"""),5480.0)</f>
        <v>5480</v>
      </c>
      <c r="D5485" s="11">
        <f>IFERROR(__xludf.DUMMYFUNCTION("""COMPUTED_VALUE"""),1723.0)</f>
        <v>1723</v>
      </c>
      <c r="E5485" s="9"/>
    </row>
    <row r="5486">
      <c r="A5486" s="11">
        <f>IFERROR(__xludf.DUMMYFUNCTION("""COMPUTED_VALUE"""),2021.0)</f>
        <v>2021</v>
      </c>
      <c r="B5486" s="11">
        <f>IFERROR(__xludf.DUMMYFUNCTION("""COMPUTED_VALUE"""),9.0)</f>
        <v>9</v>
      </c>
      <c r="C5486" s="11">
        <f>IFERROR(__xludf.DUMMYFUNCTION("""COMPUTED_VALUE"""),119086.0)</f>
        <v>119086</v>
      </c>
      <c r="D5486" s="11">
        <f>IFERROR(__xludf.DUMMYFUNCTION("""COMPUTED_VALUE"""),945.0)</f>
        <v>945</v>
      </c>
      <c r="E5486" s="9"/>
    </row>
    <row r="5487">
      <c r="A5487" s="11">
        <f>IFERROR(__xludf.DUMMYFUNCTION("""COMPUTED_VALUE"""),2021.0)</f>
        <v>2021</v>
      </c>
      <c r="B5487" s="11">
        <f>IFERROR(__xludf.DUMMYFUNCTION("""COMPUTED_VALUE"""),9.0)</f>
        <v>9</v>
      </c>
      <c r="C5487" s="11">
        <f>IFERROR(__xludf.DUMMYFUNCTION("""COMPUTED_VALUE"""),108084.0)</f>
        <v>108084</v>
      </c>
      <c r="D5487" s="11">
        <f>IFERROR(__xludf.DUMMYFUNCTION("""COMPUTED_VALUE"""),949.0)</f>
        <v>949</v>
      </c>
      <c r="E5487" s="9"/>
    </row>
    <row r="5488">
      <c r="A5488" s="11">
        <f>IFERROR(__xludf.DUMMYFUNCTION("""COMPUTED_VALUE"""),2021.0)</f>
        <v>2021</v>
      </c>
      <c r="B5488" s="11">
        <f>IFERROR(__xludf.DUMMYFUNCTION("""COMPUTED_VALUE"""),10.0)</f>
        <v>10</v>
      </c>
      <c r="C5488" s="11">
        <f>IFERROR(__xludf.DUMMYFUNCTION("""COMPUTED_VALUE"""),45192.0)</f>
        <v>45192</v>
      </c>
      <c r="D5488" s="11">
        <f>IFERROR(__xludf.DUMMYFUNCTION("""COMPUTED_VALUE"""),38.0)</f>
        <v>38</v>
      </c>
      <c r="E5488" s="9"/>
    </row>
    <row r="5489">
      <c r="A5489" s="11">
        <f>IFERROR(__xludf.DUMMYFUNCTION("""COMPUTED_VALUE"""),2021.0)</f>
        <v>2021</v>
      </c>
      <c r="B5489" s="11">
        <f>IFERROR(__xludf.DUMMYFUNCTION("""COMPUTED_VALUE"""),10.0)</f>
        <v>10</v>
      </c>
      <c r="C5489" s="11">
        <f>IFERROR(__xludf.DUMMYFUNCTION("""COMPUTED_VALUE"""),26320.0)</f>
        <v>26320</v>
      </c>
      <c r="D5489" s="11">
        <f>IFERROR(__xludf.DUMMYFUNCTION("""COMPUTED_VALUE"""),1531.0)</f>
        <v>1531</v>
      </c>
      <c r="E5489" s="9"/>
    </row>
    <row r="5490">
      <c r="A5490" s="11">
        <f>IFERROR(__xludf.DUMMYFUNCTION("""COMPUTED_VALUE"""),2021.0)</f>
        <v>2021</v>
      </c>
      <c r="B5490" s="11">
        <f>IFERROR(__xludf.DUMMYFUNCTION("""COMPUTED_VALUE"""),8.0)</f>
        <v>8</v>
      </c>
      <c r="C5490" s="11">
        <f>IFERROR(__xludf.DUMMYFUNCTION("""COMPUTED_VALUE"""),133910.0)</f>
        <v>133910</v>
      </c>
      <c r="D5490" s="11">
        <f>IFERROR(__xludf.DUMMYFUNCTION("""COMPUTED_VALUE"""),610.0)</f>
        <v>610</v>
      </c>
      <c r="E5490" s="9"/>
    </row>
    <row r="5491">
      <c r="A5491" s="11">
        <f>IFERROR(__xludf.DUMMYFUNCTION("""COMPUTED_VALUE"""),2021.0)</f>
        <v>2021</v>
      </c>
      <c r="B5491" s="11">
        <f>IFERROR(__xludf.DUMMYFUNCTION("""COMPUTED_VALUE"""),8.0)</f>
        <v>8</v>
      </c>
      <c r="C5491" s="11">
        <f>IFERROR(__xludf.DUMMYFUNCTION("""COMPUTED_VALUE"""),133908.0)</f>
        <v>133908</v>
      </c>
      <c r="D5491" s="11">
        <f>IFERROR(__xludf.DUMMYFUNCTION("""COMPUTED_VALUE"""),713.0)</f>
        <v>713</v>
      </c>
      <c r="E5491" s="9"/>
    </row>
    <row r="5492">
      <c r="A5492" s="11">
        <f>IFERROR(__xludf.DUMMYFUNCTION("""COMPUTED_VALUE"""),2021.0)</f>
        <v>2021</v>
      </c>
      <c r="B5492" s="11">
        <f>IFERROR(__xludf.DUMMYFUNCTION("""COMPUTED_VALUE"""),8.0)</f>
        <v>8</v>
      </c>
      <c r="C5492" s="11">
        <f>IFERROR(__xludf.DUMMYFUNCTION("""COMPUTED_VALUE"""),9646.0)</f>
        <v>9646</v>
      </c>
      <c r="D5492" s="11">
        <f>IFERROR(__xludf.DUMMYFUNCTION("""COMPUTED_VALUE"""),1465.0)</f>
        <v>1465</v>
      </c>
      <c r="E5492" s="9"/>
    </row>
    <row r="5493">
      <c r="A5493" s="11">
        <f>IFERROR(__xludf.DUMMYFUNCTION("""COMPUTED_VALUE"""),2021.0)</f>
        <v>2021</v>
      </c>
      <c r="B5493" s="11">
        <f>IFERROR(__xludf.DUMMYFUNCTION("""COMPUTED_VALUE"""),10.0)</f>
        <v>10</v>
      </c>
      <c r="C5493" s="11">
        <f>IFERROR(__xludf.DUMMYFUNCTION("""COMPUTED_VALUE"""),108091.0)</f>
        <v>108091</v>
      </c>
      <c r="D5493" s="11">
        <f>IFERROR(__xludf.DUMMYFUNCTION("""COMPUTED_VALUE"""),986.0)</f>
        <v>986</v>
      </c>
      <c r="E5493" s="9"/>
    </row>
    <row r="5494">
      <c r="A5494" s="11">
        <f>IFERROR(__xludf.DUMMYFUNCTION("""COMPUTED_VALUE"""),2021.0)</f>
        <v>2021</v>
      </c>
      <c r="B5494" s="11">
        <f>IFERROR(__xludf.DUMMYFUNCTION("""COMPUTED_VALUE"""),11.0)</f>
        <v>11</v>
      </c>
      <c r="C5494" s="11">
        <f>IFERROR(__xludf.DUMMYFUNCTION("""COMPUTED_VALUE"""),108114.0)</f>
        <v>108114</v>
      </c>
      <c r="D5494" s="11">
        <f>IFERROR(__xludf.DUMMYFUNCTION("""COMPUTED_VALUE"""),195.0)</f>
        <v>195</v>
      </c>
      <c r="E5494" s="9"/>
    </row>
    <row r="5495">
      <c r="A5495" s="11">
        <f>IFERROR(__xludf.DUMMYFUNCTION("""COMPUTED_VALUE"""),2021.0)</f>
        <v>2021</v>
      </c>
      <c r="B5495" s="11">
        <f>IFERROR(__xludf.DUMMYFUNCTION("""COMPUTED_VALUE"""),8.0)</f>
        <v>8</v>
      </c>
      <c r="C5495" s="11">
        <f>IFERROR(__xludf.DUMMYFUNCTION("""COMPUTED_VALUE"""),9639.0)</f>
        <v>9639</v>
      </c>
      <c r="D5495" s="11">
        <f>IFERROR(__xludf.DUMMYFUNCTION("""COMPUTED_VALUE"""),186.0)</f>
        <v>186</v>
      </c>
      <c r="E5495" s="9"/>
    </row>
    <row r="5496">
      <c r="A5496" s="11">
        <f>IFERROR(__xludf.DUMMYFUNCTION("""COMPUTED_VALUE"""),2021.0)</f>
        <v>2021</v>
      </c>
      <c r="B5496" s="11">
        <f>IFERROR(__xludf.DUMMYFUNCTION("""COMPUTED_VALUE"""),11.0)</f>
        <v>11</v>
      </c>
      <c r="C5496" s="11">
        <f>IFERROR(__xludf.DUMMYFUNCTION("""COMPUTED_VALUE"""),108108.0)</f>
        <v>108108</v>
      </c>
      <c r="D5496" s="11">
        <f>IFERROR(__xludf.DUMMYFUNCTION("""COMPUTED_VALUE"""),448.0)</f>
        <v>448</v>
      </c>
      <c r="E5496" s="9"/>
    </row>
    <row r="5497">
      <c r="A5497" s="11">
        <f>IFERROR(__xludf.DUMMYFUNCTION("""COMPUTED_VALUE"""),2021.0)</f>
        <v>2021</v>
      </c>
      <c r="B5497" s="11">
        <f>IFERROR(__xludf.DUMMYFUNCTION("""COMPUTED_VALUE"""),11.0)</f>
        <v>11</v>
      </c>
      <c r="C5497" s="11">
        <f>IFERROR(__xludf.DUMMYFUNCTION("""COMPUTED_VALUE"""),108081.0)</f>
        <v>108081</v>
      </c>
      <c r="D5497" s="11">
        <f>IFERROR(__xludf.DUMMYFUNCTION("""COMPUTED_VALUE"""),1096.0)</f>
        <v>1096</v>
      </c>
      <c r="E5497" s="9"/>
    </row>
    <row r="5498">
      <c r="A5498" s="11">
        <f>IFERROR(__xludf.DUMMYFUNCTION("""COMPUTED_VALUE"""),2021.0)</f>
        <v>2021</v>
      </c>
      <c r="B5498" s="11">
        <f>IFERROR(__xludf.DUMMYFUNCTION("""COMPUTED_VALUE"""),11.0)</f>
        <v>11</v>
      </c>
      <c r="C5498" s="11">
        <f>IFERROR(__xludf.DUMMYFUNCTION("""COMPUTED_VALUE"""),4243.0)</f>
        <v>4243</v>
      </c>
      <c r="D5498" s="11">
        <f>IFERROR(__xludf.DUMMYFUNCTION("""COMPUTED_VALUE"""),1728.0)</f>
        <v>1728</v>
      </c>
      <c r="E5498" s="9"/>
    </row>
    <row r="5499">
      <c r="A5499" s="11">
        <f>IFERROR(__xludf.DUMMYFUNCTION("""COMPUTED_VALUE"""),2021.0)</f>
        <v>2021</v>
      </c>
      <c r="B5499" s="11">
        <f>IFERROR(__xludf.DUMMYFUNCTION("""COMPUTED_VALUE"""),10.0)</f>
        <v>10</v>
      </c>
      <c r="C5499" s="11">
        <f>IFERROR(__xludf.DUMMYFUNCTION("""COMPUTED_VALUE"""),108090.0)</f>
        <v>108090</v>
      </c>
      <c r="D5499" s="11">
        <f>IFERROR(__xludf.DUMMYFUNCTION("""COMPUTED_VALUE"""),1428.0)</f>
        <v>1428</v>
      </c>
      <c r="E5499" s="9"/>
    </row>
    <row r="5500">
      <c r="A5500" s="11">
        <f>IFERROR(__xludf.DUMMYFUNCTION("""COMPUTED_VALUE"""),2021.0)</f>
        <v>2021</v>
      </c>
      <c r="B5500" s="11">
        <f>IFERROR(__xludf.DUMMYFUNCTION("""COMPUTED_VALUE"""),9.0)</f>
        <v>9</v>
      </c>
      <c r="C5500" s="11">
        <f>IFERROR(__xludf.DUMMYFUNCTION("""COMPUTED_VALUE"""),133912.0)</f>
        <v>133912</v>
      </c>
      <c r="D5500" s="11">
        <f>IFERROR(__xludf.DUMMYFUNCTION("""COMPUTED_VALUE"""),1857.0)</f>
        <v>1857</v>
      </c>
      <c r="E5500" s="9"/>
    </row>
    <row r="5501">
      <c r="A5501" s="11">
        <f>IFERROR(__xludf.DUMMYFUNCTION("""COMPUTED_VALUE"""),2021.0)</f>
        <v>2021</v>
      </c>
      <c r="B5501" s="11">
        <f>IFERROR(__xludf.DUMMYFUNCTION("""COMPUTED_VALUE"""),11.0)</f>
        <v>11</v>
      </c>
      <c r="C5501" s="11">
        <f>IFERROR(__xludf.DUMMYFUNCTION("""COMPUTED_VALUE"""),108087.0)</f>
        <v>108087</v>
      </c>
      <c r="D5501" s="11">
        <f>IFERROR(__xludf.DUMMYFUNCTION("""COMPUTED_VALUE"""),416.0)</f>
        <v>416</v>
      </c>
      <c r="E5501" s="9"/>
    </row>
    <row r="5502">
      <c r="A5502" s="11">
        <f>IFERROR(__xludf.DUMMYFUNCTION("""COMPUTED_VALUE"""),2021.0)</f>
        <v>2021</v>
      </c>
      <c r="B5502" s="11">
        <f>IFERROR(__xludf.DUMMYFUNCTION("""COMPUTED_VALUE"""),11.0)</f>
        <v>11</v>
      </c>
      <c r="C5502" s="11">
        <f>IFERROR(__xludf.DUMMYFUNCTION("""COMPUTED_VALUE"""),78866.0)</f>
        <v>78866</v>
      </c>
      <c r="D5502" s="11">
        <f>IFERROR(__xludf.DUMMYFUNCTION("""COMPUTED_VALUE"""),1957.0)</f>
        <v>1957</v>
      </c>
      <c r="E5502" s="9"/>
    </row>
    <row r="5503">
      <c r="A5503" s="11">
        <f>IFERROR(__xludf.DUMMYFUNCTION("""COMPUTED_VALUE"""),2021.0)</f>
        <v>2021</v>
      </c>
      <c r="B5503" s="11">
        <f>IFERROR(__xludf.DUMMYFUNCTION("""COMPUTED_VALUE"""),9.0)</f>
        <v>9</v>
      </c>
      <c r="C5503" s="11">
        <f>IFERROR(__xludf.DUMMYFUNCTION("""COMPUTED_VALUE"""),70415.0)</f>
        <v>70415</v>
      </c>
      <c r="D5503" s="11">
        <f>IFERROR(__xludf.DUMMYFUNCTION("""COMPUTED_VALUE"""),1542.0)</f>
        <v>1542</v>
      </c>
      <c r="E5503" s="9"/>
    </row>
    <row r="5504">
      <c r="A5504" s="11">
        <f>IFERROR(__xludf.DUMMYFUNCTION("""COMPUTED_VALUE"""),2021.0)</f>
        <v>2021</v>
      </c>
      <c r="B5504" s="11">
        <f>IFERROR(__xludf.DUMMYFUNCTION("""COMPUTED_VALUE"""),9.0)</f>
        <v>9</v>
      </c>
      <c r="C5504" s="11">
        <f>IFERROR(__xludf.DUMMYFUNCTION("""COMPUTED_VALUE"""),9644.0)</f>
        <v>9644</v>
      </c>
      <c r="D5504" s="11">
        <f>IFERROR(__xludf.DUMMYFUNCTION("""COMPUTED_VALUE"""),1280.0)</f>
        <v>1280</v>
      </c>
      <c r="E5504" s="9"/>
    </row>
    <row r="5505">
      <c r="A5505" s="11">
        <f>IFERROR(__xludf.DUMMYFUNCTION("""COMPUTED_VALUE"""),2021.0)</f>
        <v>2021</v>
      </c>
      <c r="B5505" s="11">
        <f>IFERROR(__xludf.DUMMYFUNCTION("""COMPUTED_VALUE"""),11.0)</f>
        <v>11</v>
      </c>
      <c r="C5505" s="11">
        <f>IFERROR(__xludf.DUMMYFUNCTION("""COMPUTED_VALUE"""),4247.0)</f>
        <v>4247</v>
      </c>
      <c r="D5505" s="11">
        <f>IFERROR(__xludf.DUMMYFUNCTION("""COMPUTED_VALUE"""),202.0)</f>
        <v>202</v>
      </c>
      <c r="E5505" s="9"/>
    </row>
    <row r="5506">
      <c r="A5506" s="11">
        <f>IFERROR(__xludf.DUMMYFUNCTION("""COMPUTED_VALUE"""),2021.0)</f>
        <v>2021</v>
      </c>
      <c r="B5506" s="11">
        <f>IFERROR(__xludf.DUMMYFUNCTION("""COMPUTED_VALUE"""),11.0)</f>
        <v>11</v>
      </c>
      <c r="C5506" s="11">
        <f>IFERROR(__xludf.DUMMYFUNCTION("""COMPUTED_VALUE"""),119087.0)</f>
        <v>119087</v>
      </c>
      <c r="D5506" s="11">
        <f>IFERROR(__xludf.DUMMYFUNCTION("""COMPUTED_VALUE"""),1585.0)</f>
        <v>1585</v>
      </c>
      <c r="E5506" s="9"/>
    </row>
    <row r="5507">
      <c r="A5507" s="11">
        <f>IFERROR(__xludf.DUMMYFUNCTION("""COMPUTED_VALUE"""),2021.0)</f>
        <v>2021</v>
      </c>
      <c r="B5507" s="11">
        <f>IFERROR(__xludf.DUMMYFUNCTION("""COMPUTED_VALUE"""),9.0)</f>
        <v>9</v>
      </c>
      <c r="C5507" s="11">
        <f>IFERROR(__xludf.DUMMYFUNCTION("""COMPUTED_VALUE"""),9635.0)</f>
        <v>9635</v>
      </c>
      <c r="D5507" s="11">
        <f>IFERROR(__xludf.DUMMYFUNCTION("""COMPUTED_VALUE"""),712.0)</f>
        <v>712</v>
      </c>
      <c r="E5507" s="9"/>
    </row>
    <row r="5508">
      <c r="A5508" s="11">
        <f>IFERROR(__xludf.DUMMYFUNCTION("""COMPUTED_VALUE"""),2021.0)</f>
        <v>2021</v>
      </c>
      <c r="B5508" s="11">
        <f>IFERROR(__xludf.DUMMYFUNCTION("""COMPUTED_VALUE"""),11.0)</f>
        <v>11</v>
      </c>
      <c r="C5508" s="11">
        <f>IFERROR(__xludf.DUMMYFUNCTION("""COMPUTED_VALUE"""),108082.0)</f>
        <v>108082</v>
      </c>
      <c r="D5508" s="11">
        <f>IFERROR(__xludf.DUMMYFUNCTION("""COMPUTED_VALUE"""),1178.0)</f>
        <v>1178</v>
      </c>
      <c r="E5508" s="9"/>
    </row>
    <row r="5509">
      <c r="A5509" s="11">
        <f>IFERROR(__xludf.DUMMYFUNCTION("""COMPUTED_VALUE"""),2021.0)</f>
        <v>2021</v>
      </c>
      <c r="B5509" s="11">
        <f>IFERROR(__xludf.DUMMYFUNCTION("""COMPUTED_VALUE"""),9.0)</f>
        <v>9</v>
      </c>
      <c r="C5509" s="11">
        <f>IFERROR(__xludf.DUMMYFUNCTION("""COMPUTED_VALUE"""),9643.0)</f>
        <v>9643</v>
      </c>
      <c r="D5509" s="11">
        <f>IFERROR(__xludf.DUMMYFUNCTION("""COMPUTED_VALUE"""),882.0)</f>
        <v>882</v>
      </c>
      <c r="E5509" s="9"/>
    </row>
    <row r="5510">
      <c r="A5510" s="11">
        <f>IFERROR(__xludf.DUMMYFUNCTION("""COMPUTED_VALUE"""),2021.0)</f>
        <v>2021</v>
      </c>
      <c r="B5510" s="11">
        <f>IFERROR(__xludf.DUMMYFUNCTION("""COMPUTED_VALUE"""),11.0)</f>
        <v>11</v>
      </c>
      <c r="C5510" s="11">
        <f>IFERROR(__xludf.DUMMYFUNCTION("""COMPUTED_VALUE"""),117601.0)</f>
        <v>117601</v>
      </c>
      <c r="D5510" s="11">
        <f>IFERROR(__xludf.DUMMYFUNCTION("""COMPUTED_VALUE"""),1630.0)</f>
        <v>1630</v>
      </c>
      <c r="E5510" s="9"/>
    </row>
    <row r="5511">
      <c r="A5511" s="11">
        <f>IFERROR(__xludf.DUMMYFUNCTION("""COMPUTED_VALUE"""),2021.0)</f>
        <v>2021</v>
      </c>
      <c r="B5511" s="11">
        <f>IFERROR(__xludf.DUMMYFUNCTION("""COMPUTED_VALUE"""),11.0)</f>
        <v>11</v>
      </c>
      <c r="C5511" s="11">
        <f>IFERROR(__xludf.DUMMYFUNCTION("""COMPUTED_VALUE"""),108085.0)</f>
        <v>108085</v>
      </c>
      <c r="D5511" s="11">
        <f>IFERROR(__xludf.DUMMYFUNCTION("""COMPUTED_VALUE"""),1567.0)</f>
        <v>1567</v>
      </c>
      <c r="E5511" s="9"/>
    </row>
    <row r="5512">
      <c r="A5512" s="11">
        <f>IFERROR(__xludf.DUMMYFUNCTION("""COMPUTED_VALUE"""),2021.0)</f>
        <v>2021</v>
      </c>
      <c r="B5512" s="11">
        <f>IFERROR(__xludf.DUMMYFUNCTION("""COMPUTED_VALUE"""),10.0)</f>
        <v>10</v>
      </c>
      <c r="C5512" s="11">
        <f>IFERROR(__xludf.DUMMYFUNCTION("""COMPUTED_VALUE"""),133914.0)</f>
        <v>133914</v>
      </c>
      <c r="D5512" s="11">
        <f>IFERROR(__xludf.DUMMYFUNCTION("""COMPUTED_VALUE"""),1426.0)</f>
        <v>1426</v>
      </c>
      <c r="E5512" s="9"/>
    </row>
    <row r="5513">
      <c r="A5513" s="11">
        <f>IFERROR(__xludf.DUMMYFUNCTION("""COMPUTED_VALUE"""),2021.0)</f>
        <v>2021</v>
      </c>
      <c r="B5513" s="11">
        <f>IFERROR(__xludf.DUMMYFUNCTION("""COMPUTED_VALUE"""),11.0)</f>
        <v>11</v>
      </c>
      <c r="C5513" s="11">
        <f>IFERROR(__xludf.DUMMYFUNCTION("""COMPUTED_VALUE"""),103503.0)</f>
        <v>103503</v>
      </c>
      <c r="D5513" s="11">
        <f>IFERROR(__xludf.DUMMYFUNCTION("""COMPUTED_VALUE"""),1439.0)</f>
        <v>1439</v>
      </c>
      <c r="E5513" s="9"/>
    </row>
    <row r="5514">
      <c r="A5514" s="11">
        <f>IFERROR(__xludf.DUMMYFUNCTION("""COMPUTED_VALUE"""),2021.0)</f>
        <v>2021</v>
      </c>
      <c r="B5514" s="11">
        <f>IFERROR(__xludf.DUMMYFUNCTION("""COMPUTED_VALUE"""),9.0)</f>
        <v>9</v>
      </c>
      <c r="C5514" s="11">
        <f>IFERROR(__xludf.DUMMYFUNCTION("""COMPUTED_VALUE"""),128363.0)</f>
        <v>128363</v>
      </c>
      <c r="D5514" s="11">
        <f>IFERROR(__xludf.DUMMYFUNCTION("""COMPUTED_VALUE"""),271.0)</f>
        <v>271</v>
      </c>
      <c r="E5514" s="9"/>
    </row>
    <row r="5515">
      <c r="A5515" s="11">
        <f>IFERROR(__xludf.DUMMYFUNCTION("""COMPUTED_VALUE"""),2021.0)</f>
        <v>2021</v>
      </c>
      <c r="B5515" s="11">
        <f>IFERROR(__xludf.DUMMYFUNCTION("""COMPUTED_VALUE"""),11.0)</f>
        <v>11</v>
      </c>
      <c r="C5515" s="11">
        <f>IFERROR(__xludf.DUMMYFUNCTION("""COMPUTED_VALUE"""),13863.0)</f>
        <v>13863</v>
      </c>
      <c r="D5515" s="11">
        <f>IFERROR(__xludf.DUMMYFUNCTION("""COMPUTED_VALUE"""),1816.0)</f>
        <v>1816</v>
      </c>
      <c r="E5515" s="9"/>
    </row>
    <row r="5516">
      <c r="A5516" s="11">
        <f>IFERROR(__xludf.DUMMYFUNCTION("""COMPUTED_VALUE"""),2021.0)</f>
        <v>2021</v>
      </c>
      <c r="B5516" s="11">
        <f>IFERROR(__xludf.DUMMYFUNCTION("""COMPUTED_VALUE"""),8.0)</f>
        <v>8</v>
      </c>
      <c r="C5516" s="11">
        <f>IFERROR(__xludf.DUMMYFUNCTION("""COMPUTED_VALUE"""),74454.0)</f>
        <v>74454</v>
      </c>
      <c r="D5516" s="11">
        <f>IFERROR(__xludf.DUMMYFUNCTION("""COMPUTED_VALUE"""),972.0)</f>
        <v>972</v>
      </c>
      <c r="E5516" s="9"/>
    </row>
    <row r="5517">
      <c r="A5517" s="11">
        <f>IFERROR(__xludf.DUMMYFUNCTION("""COMPUTED_VALUE"""),2021.0)</f>
        <v>2021</v>
      </c>
      <c r="B5517" s="11">
        <f>IFERROR(__xludf.DUMMYFUNCTION("""COMPUTED_VALUE"""),10.0)</f>
        <v>10</v>
      </c>
      <c r="C5517" s="11">
        <f>IFERROR(__xludf.DUMMYFUNCTION("""COMPUTED_VALUE"""),12500.0)</f>
        <v>12500</v>
      </c>
      <c r="D5517" s="11">
        <f>IFERROR(__xludf.DUMMYFUNCTION("""COMPUTED_VALUE"""),1584.0)</f>
        <v>1584</v>
      </c>
      <c r="E5517" s="9"/>
    </row>
    <row r="5518">
      <c r="A5518" s="11">
        <f>IFERROR(__xludf.DUMMYFUNCTION("""COMPUTED_VALUE"""),2021.0)</f>
        <v>2021</v>
      </c>
      <c r="B5518" s="11">
        <f>IFERROR(__xludf.DUMMYFUNCTION("""COMPUTED_VALUE"""),10.0)</f>
        <v>10</v>
      </c>
      <c r="C5518" s="11">
        <f>IFERROR(__xludf.DUMMYFUNCTION("""COMPUTED_VALUE"""),116555.0)</f>
        <v>116555</v>
      </c>
      <c r="D5518" s="11">
        <f>IFERROR(__xludf.DUMMYFUNCTION("""COMPUTED_VALUE"""),164.0)</f>
        <v>164</v>
      </c>
      <c r="E5518" s="9"/>
    </row>
    <row r="5519">
      <c r="A5519" s="11">
        <f>IFERROR(__xludf.DUMMYFUNCTION("""COMPUTED_VALUE"""),2021.0)</f>
        <v>2021</v>
      </c>
      <c r="B5519" s="11">
        <f>IFERROR(__xludf.DUMMYFUNCTION("""COMPUTED_VALUE"""),11.0)</f>
        <v>11</v>
      </c>
      <c r="C5519" s="11">
        <f>IFERROR(__xludf.DUMMYFUNCTION("""COMPUTED_VALUE"""),77622.0)</f>
        <v>77622</v>
      </c>
      <c r="D5519" s="11">
        <f>IFERROR(__xludf.DUMMYFUNCTION("""COMPUTED_VALUE"""),472.0)</f>
        <v>472</v>
      </c>
      <c r="E5519" s="9"/>
    </row>
    <row r="5520">
      <c r="A5520" s="11">
        <f>IFERROR(__xludf.DUMMYFUNCTION("""COMPUTED_VALUE"""),2021.0)</f>
        <v>2021</v>
      </c>
      <c r="B5520" s="11">
        <f>IFERROR(__xludf.DUMMYFUNCTION("""COMPUTED_VALUE"""),11.0)</f>
        <v>11</v>
      </c>
      <c r="C5520" s="11">
        <f>IFERROR(__xludf.DUMMYFUNCTION("""COMPUTED_VALUE"""),68294.0)</f>
        <v>68294</v>
      </c>
      <c r="D5520" s="11">
        <f>IFERROR(__xludf.DUMMYFUNCTION("""COMPUTED_VALUE"""),1789.0)</f>
        <v>1789</v>
      </c>
      <c r="E5520" s="9"/>
    </row>
    <row r="5521">
      <c r="A5521" s="11">
        <f>IFERROR(__xludf.DUMMYFUNCTION("""COMPUTED_VALUE"""),2021.0)</f>
        <v>2021</v>
      </c>
      <c r="B5521" s="11">
        <f>IFERROR(__xludf.DUMMYFUNCTION("""COMPUTED_VALUE"""),8.0)</f>
        <v>8</v>
      </c>
      <c r="C5521" s="11">
        <f>IFERROR(__xludf.DUMMYFUNCTION("""COMPUTED_VALUE"""),12497.0)</f>
        <v>12497</v>
      </c>
      <c r="D5521" s="11">
        <f>IFERROR(__xludf.DUMMYFUNCTION("""COMPUTED_VALUE"""),592.0)</f>
        <v>592</v>
      </c>
      <c r="E5521" s="9"/>
    </row>
    <row r="5522">
      <c r="A5522" s="11">
        <f>IFERROR(__xludf.DUMMYFUNCTION("""COMPUTED_VALUE"""),2021.0)</f>
        <v>2021</v>
      </c>
      <c r="B5522" s="11">
        <f>IFERROR(__xludf.DUMMYFUNCTION("""COMPUTED_VALUE"""),8.0)</f>
        <v>8</v>
      </c>
      <c r="C5522" s="11">
        <f>IFERROR(__xludf.DUMMYFUNCTION("""COMPUTED_VALUE"""),74453.0)</f>
        <v>74453</v>
      </c>
      <c r="D5522" s="11">
        <f>IFERROR(__xludf.DUMMYFUNCTION("""COMPUTED_VALUE"""),1816.0)</f>
        <v>1816</v>
      </c>
      <c r="E5522" s="9"/>
    </row>
    <row r="5523">
      <c r="A5523" s="11">
        <f>IFERROR(__xludf.DUMMYFUNCTION("""COMPUTED_VALUE"""),2021.0)</f>
        <v>2021</v>
      </c>
      <c r="B5523" s="11">
        <f>IFERROR(__xludf.DUMMYFUNCTION("""COMPUTED_VALUE"""),10.0)</f>
        <v>10</v>
      </c>
      <c r="C5523" s="11">
        <f>IFERROR(__xludf.DUMMYFUNCTION("""COMPUTED_VALUE"""),112246.0)</f>
        <v>112246</v>
      </c>
      <c r="D5523" s="11">
        <f>IFERROR(__xludf.DUMMYFUNCTION("""COMPUTED_VALUE"""),265.0)</f>
        <v>265</v>
      </c>
      <c r="E5523" s="9"/>
    </row>
    <row r="5524">
      <c r="A5524" s="11">
        <f>IFERROR(__xludf.DUMMYFUNCTION("""COMPUTED_VALUE"""),2021.0)</f>
        <v>2021</v>
      </c>
      <c r="B5524" s="11">
        <f>IFERROR(__xludf.DUMMYFUNCTION("""COMPUTED_VALUE"""),10.0)</f>
        <v>10</v>
      </c>
      <c r="C5524" s="11">
        <f>IFERROR(__xludf.DUMMYFUNCTION("""COMPUTED_VALUE"""),110776.0)</f>
        <v>110776</v>
      </c>
      <c r="D5524" s="11">
        <f>IFERROR(__xludf.DUMMYFUNCTION("""COMPUTED_VALUE"""),1176.0)</f>
        <v>1176</v>
      </c>
      <c r="E5524" s="9"/>
    </row>
    <row r="5525">
      <c r="A5525" s="11">
        <f>IFERROR(__xludf.DUMMYFUNCTION("""COMPUTED_VALUE"""),2021.0)</f>
        <v>2021</v>
      </c>
      <c r="B5525" s="11">
        <f>IFERROR(__xludf.DUMMYFUNCTION("""COMPUTED_VALUE"""),8.0)</f>
        <v>8</v>
      </c>
      <c r="C5525" s="11">
        <f>IFERROR(__xludf.DUMMYFUNCTION("""COMPUTED_VALUE"""),92846.0)</f>
        <v>92846</v>
      </c>
      <c r="D5525" s="11">
        <f>IFERROR(__xludf.DUMMYFUNCTION("""COMPUTED_VALUE"""),123.0)</f>
        <v>123</v>
      </c>
      <c r="E5525" s="9"/>
    </row>
    <row r="5526">
      <c r="A5526" s="11">
        <f>IFERROR(__xludf.DUMMYFUNCTION("""COMPUTED_VALUE"""),2021.0)</f>
        <v>2021</v>
      </c>
      <c r="B5526" s="11">
        <f>IFERROR(__xludf.DUMMYFUNCTION("""COMPUTED_VALUE"""),8.0)</f>
        <v>8</v>
      </c>
      <c r="C5526" s="11">
        <f>IFERROR(__xludf.DUMMYFUNCTION("""COMPUTED_VALUE"""),119257.0)</f>
        <v>119257</v>
      </c>
      <c r="D5526" s="11">
        <f>IFERROR(__xludf.DUMMYFUNCTION("""COMPUTED_VALUE"""),961.0)</f>
        <v>961</v>
      </c>
      <c r="E5526" s="9"/>
    </row>
    <row r="5527">
      <c r="A5527" s="11">
        <f>IFERROR(__xludf.DUMMYFUNCTION("""COMPUTED_VALUE"""),2021.0)</f>
        <v>2021</v>
      </c>
      <c r="B5527" s="11">
        <f>IFERROR(__xludf.DUMMYFUNCTION("""COMPUTED_VALUE"""),8.0)</f>
        <v>8</v>
      </c>
      <c r="C5527" s="11">
        <f>IFERROR(__xludf.DUMMYFUNCTION("""COMPUTED_VALUE"""),68313.0)</f>
        <v>68313</v>
      </c>
      <c r="D5527" s="11">
        <f>IFERROR(__xludf.DUMMYFUNCTION("""COMPUTED_VALUE"""),977.0)</f>
        <v>977</v>
      </c>
      <c r="E5527" s="9"/>
    </row>
    <row r="5528">
      <c r="A5528" s="11">
        <f>IFERROR(__xludf.DUMMYFUNCTION("""COMPUTED_VALUE"""),2021.0)</f>
        <v>2021</v>
      </c>
      <c r="B5528" s="11">
        <f>IFERROR(__xludf.DUMMYFUNCTION("""COMPUTED_VALUE"""),10.0)</f>
        <v>10</v>
      </c>
      <c r="C5528" s="11">
        <f>IFERROR(__xludf.DUMMYFUNCTION("""COMPUTED_VALUE"""),12503.0)</f>
        <v>12503</v>
      </c>
      <c r="D5528" s="11">
        <f>IFERROR(__xludf.DUMMYFUNCTION("""COMPUTED_VALUE"""),1736.0)</f>
        <v>1736</v>
      </c>
      <c r="E5528" s="9"/>
    </row>
    <row r="5529">
      <c r="A5529" s="11">
        <f>IFERROR(__xludf.DUMMYFUNCTION("""COMPUTED_VALUE"""),2021.0)</f>
        <v>2021</v>
      </c>
      <c r="B5529" s="11">
        <f>IFERROR(__xludf.DUMMYFUNCTION("""COMPUTED_VALUE"""),10.0)</f>
        <v>10</v>
      </c>
      <c r="C5529" s="11">
        <f>IFERROR(__xludf.DUMMYFUNCTION("""COMPUTED_VALUE"""),77624.0)</f>
        <v>77624</v>
      </c>
      <c r="D5529" s="11">
        <f>IFERROR(__xludf.DUMMYFUNCTION("""COMPUTED_VALUE"""),221.0)</f>
        <v>221</v>
      </c>
      <c r="E5529" s="9"/>
    </row>
    <row r="5530">
      <c r="A5530" s="11">
        <f>IFERROR(__xludf.DUMMYFUNCTION("""COMPUTED_VALUE"""),2021.0)</f>
        <v>2021</v>
      </c>
      <c r="B5530" s="11">
        <f>IFERROR(__xludf.DUMMYFUNCTION("""COMPUTED_VALUE"""),10.0)</f>
        <v>10</v>
      </c>
      <c r="C5530" s="11">
        <f>IFERROR(__xludf.DUMMYFUNCTION("""COMPUTED_VALUE"""),77432.0)</f>
        <v>77432</v>
      </c>
      <c r="D5530" s="11">
        <f>IFERROR(__xludf.DUMMYFUNCTION("""COMPUTED_VALUE"""),1543.0)</f>
        <v>1543</v>
      </c>
      <c r="E5530" s="9"/>
    </row>
    <row r="5531">
      <c r="A5531" s="11">
        <f>IFERROR(__xludf.DUMMYFUNCTION("""COMPUTED_VALUE"""),2021.0)</f>
        <v>2021</v>
      </c>
      <c r="B5531" s="11">
        <f>IFERROR(__xludf.DUMMYFUNCTION("""COMPUTED_VALUE"""),11.0)</f>
        <v>11</v>
      </c>
      <c r="C5531" s="11">
        <f>IFERROR(__xludf.DUMMYFUNCTION("""COMPUTED_VALUE"""),77429.0)</f>
        <v>77429</v>
      </c>
      <c r="D5531" s="11">
        <f>IFERROR(__xludf.DUMMYFUNCTION("""COMPUTED_VALUE"""),1109.0)</f>
        <v>1109</v>
      </c>
      <c r="E5531" s="9"/>
    </row>
    <row r="5532">
      <c r="A5532" s="11">
        <f>IFERROR(__xludf.DUMMYFUNCTION("""COMPUTED_VALUE"""),2021.0)</f>
        <v>2021</v>
      </c>
      <c r="B5532" s="11">
        <f>IFERROR(__xludf.DUMMYFUNCTION("""COMPUTED_VALUE"""),9.0)</f>
        <v>9</v>
      </c>
      <c r="C5532" s="11">
        <f>IFERROR(__xludf.DUMMYFUNCTION("""COMPUTED_VALUE"""),93995.0)</f>
        <v>93995</v>
      </c>
      <c r="D5532" s="11">
        <f>IFERROR(__xludf.DUMMYFUNCTION("""COMPUTED_VALUE"""),1112.0)</f>
        <v>1112</v>
      </c>
      <c r="E5532" s="9"/>
    </row>
    <row r="5533">
      <c r="A5533" s="11">
        <f>IFERROR(__xludf.DUMMYFUNCTION("""COMPUTED_VALUE"""),2021.0)</f>
        <v>2021</v>
      </c>
      <c r="B5533" s="11">
        <f>IFERROR(__xludf.DUMMYFUNCTION("""COMPUTED_VALUE"""),11.0)</f>
        <v>11</v>
      </c>
      <c r="C5533" s="11">
        <f>IFERROR(__xludf.DUMMYFUNCTION("""COMPUTED_VALUE"""),103185.0)</f>
        <v>103185</v>
      </c>
      <c r="D5533" s="11">
        <f>IFERROR(__xludf.DUMMYFUNCTION("""COMPUTED_VALUE"""),522.0)</f>
        <v>522</v>
      </c>
      <c r="E5533" s="9"/>
    </row>
    <row r="5534">
      <c r="A5534" s="11">
        <f>IFERROR(__xludf.DUMMYFUNCTION("""COMPUTED_VALUE"""),2021.0)</f>
        <v>2021</v>
      </c>
      <c r="B5534" s="11">
        <f>IFERROR(__xludf.DUMMYFUNCTION("""COMPUTED_VALUE"""),10.0)</f>
        <v>10</v>
      </c>
      <c r="C5534" s="11">
        <f>IFERROR(__xludf.DUMMYFUNCTION("""COMPUTED_VALUE"""),13868.0)</f>
        <v>13868</v>
      </c>
      <c r="D5534" s="11">
        <f>IFERROR(__xludf.DUMMYFUNCTION("""COMPUTED_VALUE"""),850.0)</f>
        <v>850</v>
      </c>
      <c r="E5534" s="9"/>
    </row>
    <row r="5535">
      <c r="A5535" s="11">
        <f>IFERROR(__xludf.DUMMYFUNCTION("""COMPUTED_VALUE"""),2021.0)</f>
        <v>2021</v>
      </c>
      <c r="B5535" s="11">
        <f>IFERROR(__xludf.DUMMYFUNCTION("""COMPUTED_VALUE"""),9.0)</f>
        <v>9</v>
      </c>
      <c r="C5535" s="11">
        <f>IFERROR(__xludf.DUMMYFUNCTION("""COMPUTED_VALUE"""),9504.0)</f>
        <v>9504</v>
      </c>
      <c r="D5535" s="11">
        <f>IFERROR(__xludf.DUMMYFUNCTION("""COMPUTED_VALUE"""),1781.0)</f>
        <v>1781</v>
      </c>
      <c r="E5535" s="9"/>
    </row>
    <row r="5536">
      <c r="A5536" s="11">
        <f>IFERROR(__xludf.DUMMYFUNCTION("""COMPUTED_VALUE"""),2021.0)</f>
        <v>2021</v>
      </c>
      <c r="B5536" s="11">
        <f>IFERROR(__xludf.DUMMYFUNCTION("""COMPUTED_VALUE"""),11.0)</f>
        <v>11</v>
      </c>
      <c r="C5536" s="11">
        <f>IFERROR(__xludf.DUMMYFUNCTION("""COMPUTED_VALUE"""),77446.0)</f>
        <v>77446</v>
      </c>
      <c r="D5536" s="11">
        <f>IFERROR(__xludf.DUMMYFUNCTION("""COMPUTED_VALUE"""),806.0)</f>
        <v>806</v>
      </c>
      <c r="E5536" s="9"/>
    </row>
    <row r="5537">
      <c r="A5537" s="11">
        <f>IFERROR(__xludf.DUMMYFUNCTION("""COMPUTED_VALUE"""),2021.0)</f>
        <v>2021</v>
      </c>
      <c r="B5537" s="11">
        <f>IFERROR(__xludf.DUMMYFUNCTION("""COMPUTED_VALUE"""),11.0)</f>
        <v>11</v>
      </c>
      <c r="C5537" s="11">
        <f>IFERROR(__xludf.DUMMYFUNCTION("""COMPUTED_VALUE"""),77498.0)</f>
        <v>77498</v>
      </c>
      <c r="D5537" s="11">
        <f>IFERROR(__xludf.DUMMYFUNCTION("""COMPUTED_VALUE"""),249.0)</f>
        <v>249</v>
      </c>
      <c r="E5537" s="9"/>
    </row>
    <row r="5538">
      <c r="A5538" s="11">
        <f>IFERROR(__xludf.DUMMYFUNCTION("""COMPUTED_VALUE"""),2021.0)</f>
        <v>2021</v>
      </c>
      <c r="B5538" s="11">
        <f>IFERROR(__xludf.DUMMYFUNCTION("""COMPUTED_VALUE"""),10.0)</f>
        <v>10</v>
      </c>
      <c r="C5538" s="11">
        <f>IFERROR(__xludf.DUMMYFUNCTION("""COMPUTED_VALUE"""),77488.0)</f>
        <v>77488</v>
      </c>
      <c r="D5538" s="11">
        <f>IFERROR(__xludf.DUMMYFUNCTION("""COMPUTED_VALUE"""),1513.0)</f>
        <v>1513</v>
      </c>
      <c r="E5538" s="9"/>
    </row>
    <row r="5539">
      <c r="A5539" s="11">
        <f>IFERROR(__xludf.DUMMYFUNCTION("""COMPUTED_VALUE"""),2021.0)</f>
        <v>2021</v>
      </c>
      <c r="B5539" s="11">
        <f>IFERROR(__xludf.DUMMYFUNCTION("""COMPUTED_VALUE"""),9.0)</f>
        <v>9</v>
      </c>
      <c r="C5539" s="11">
        <f>IFERROR(__xludf.DUMMYFUNCTION("""COMPUTED_VALUE"""),82203.0)</f>
        <v>82203</v>
      </c>
      <c r="D5539" s="11">
        <f>IFERROR(__xludf.DUMMYFUNCTION("""COMPUTED_VALUE"""),1623.0)</f>
        <v>1623</v>
      </c>
      <c r="E5539" s="9"/>
    </row>
    <row r="5540">
      <c r="A5540" s="11">
        <f>IFERROR(__xludf.DUMMYFUNCTION("""COMPUTED_VALUE"""),2021.0)</f>
        <v>2021</v>
      </c>
      <c r="B5540" s="11">
        <f>IFERROR(__xludf.DUMMYFUNCTION("""COMPUTED_VALUE"""),8.0)</f>
        <v>8</v>
      </c>
      <c r="C5540" s="11">
        <f>IFERROR(__xludf.DUMMYFUNCTION("""COMPUTED_VALUE"""),82754.0)</f>
        <v>82754</v>
      </c>
      <c r="D5540" s="11">
        <f>IFERROR(__xludf.DUMMYFUNCTION("""COMPUTED_VALUE"""),844.0)</f>
        <v>844</v>
      </c>
      <c r="E5540" s="9"/>
    </row>
    <row r="5541">
      <c r="A5541" s="11">
        <f>IFERROR(__xludf.DUMMYFUNCTION("""COMPUTED_VALUE"""),2021.0)</f>
        <v>2021</v>
      </c>
      <c r="B5541" s="11">
        <f>IFERROR(__xludf.DUMMYFUNCTION("""COMPUTED_VALUE"""),8.0)</f>
        <v>8</v>
      </c>
      <c r="C5541" s="11">
        <f>IFERROR(__xludf.DUMMYFUNCTION("""COMPUTED_VALUE"""),110837.0)</f>
        <v>110837</v>
      </c>
      <c r="D5541" s="11">
        <f>IFERROR(__xludf.DUMMYFUNCTION("""COMPUTED_VALUE"""),1262.0)</f>
        <v>1262</v>
      </c>
      <c r="E5541" s="9"/>
    </row>
    <row r="5542">
      <c r="A5542" s="11">
        <f>IFERROR(__xludf.DUMMYFUNCTION("""COMPUTED_VALUE"""),2021.0)</f>
        <v>2021</v>
      </c>
      <c r="B5542" s="11">
        <f>IFERROR(__xludf.DUMMYFUNCTION("""COMPUTED_VALUE"""),8.0)</f>
        <v>8</v>
      </c>
      <c r="C5542" s="11">
        <f>IFERROR(__xludf.DUMMYFUNCTION("""COMPUTED_VALUE"""),9591.0)</f>
        <v>9591</v>
      </c>
      <c r="D5542" s="11">
        <f>IFERROR(__xludf.DUMMYFUNCTION("""COMPUTED_VALUE"""),1649.0)</f>
        <v>1649</v>
      </c>
      <c r="E5542" s="9"/>
    </row>
    <row r="5543">
      <c r="A5543" s="11">
        <f>IFERROR(__xludf.DUMMYFUNCTION("""COMPUTED_VALUE"""),2021.0)</f>
        <v>2021</v>
      </c>
      <c r="B5543" s="11">
        <f>IFERROR(__xludf.DUMMYFUNCTION("""COMPUTED_VALUE"""),10.0)</f>
        <v>10</v>
      </c>
      <c r="C5543" s="11">
        <f>IFERROR(__xludf.DUMMYFUNCTION("""COMPUTED_VALUE"""),94040.0)</f>
        <v>94040</v>
      </c>
      <c r="D5543" s="11">
        <f>IFERROR(__xludf.DUMMYFUNCTION("""COMPUTED_VALUE"""),458.0)</f>
        <v>458</v>
      </c>
      <c r="E5543" s="9"/>
    </row>
    <row r="5544">
      <c r="A5544" s="11">
        <f>IFERROR(__xludf.DUMMYFUNCTION("""COMPUTED_VALUE"""),2021.0)</f>
        <v>2021</v>
      </c>
      <c r="B5544" s="11">
        <f>IFERROR(__xludf.DUMMYFUNCTION("""COMPUTED_VALUE"""),8.0)</f>
        <v>8</v>
      </c>
      <c r="C5544" s="11">
        <f>IFERROR(__xludf.DUMMYFUNCTION("""COMPUTED_VALUE"""),9513.0)</f>
        <v>9513</v>
      </c>
      <c r="D5544" s="11">
        <f>IFERROR(__xludf.DUMMYFUNCTION("""COMPUTED_VALUE"""),1416.0)</f>
        <v>1416</v>
      </c>
      <c r="E5544" s="9"/>
    </row>
    <row r="5545">
      <c r="A5545" s="11">
        <f>IFERROR(__xludf.DUMMYFUNCTION("""COMPUTED_VALUE"""),2021.0)</f>
        <v>2021</v>
      </c>
      <c r="B5545" s="11">
        <f>IFERROR(__xludf.DUMMYFUNCTION("""COMPUTED_VALUE"""),10.0)</f>
        <v>10</v>
      </c>
      <c r="C5545" s="11">
        <f>IFERROR(__xludf.DUMMYFUNCTION("""COMPUTED_VALUE"""),121543.0)</f>
        <v>121543</v>
      </c>
      <c r="D5545" s="11">
        <f>IFERROR(__xludf.DUMMYFUNCTION("""COMPUTED_VALUE"""),1568.0)</f>
        <v>1568</v>
      </c>
      <c r="E5545" s="9"/>
    </row>
    <row r="5546">
      <c r="A5546" s="11">
        <f>IFERROR(__xludf.DUMMYFUNCTION("""COMPUTED_VALUE"""),2021.0)</f>
        <v>2021</v>
      </c>
      <c r="B5546" s="11">
        <f>IFERROR(__xludf.DUMMYFUNCTION("""COMPUTED_VALUE"""),9.0)</f>
        <v>9</v>
      </c>
      <c r="C5546" s="11">
        <f>IFERROR(__xludf.DUMMYFUNCTION("""COMPUTED_VALUE"""),164638.0)</f>
        <v>164638</v>
      </c>
      <c r="D5546" s="11">
        <f>IFERROR(__xludf.DUMMYFUNCTION("""COMPUTED_VALUE"""),1419.0)</f>
        <v>1419</v>
      </c>
      <c r="E5546" s="9"/>
    </row>
    <row r="5547">
      <c r="A5547" s="11">
        <f>IFERROR(__xludf.DUMMYFUNCTION("""COMPUTED_VALUE"""),2021.0)</f>
        <v>2021</v>
      </c>
      <c r="B5547" s="11">
        <f>IFERROR(__xludf.DUMMYFUNCTION("""COMPUTED_VALUE"""),8.0)</f>
        <v>8</v>
      </c>
      <c r="C5547" s="11">
        <f>IFERROR(__xludf.DUMMYFUNCTION("""COMPUTED_VALUE"""),9554.0)</f>
        <v>9554</v>
      </c>
      <c r="D5547" s="11">
        <f>IFERROR(__xludf.DUMMYFUNCTION("""COMPUTED_VALUE"""),576.0)</f>
        <v>576</v>
      </c>
      <c r="E5547" s="9"/>
    </row>
    <row r="5548">
      <c r="A5548" s="11">
        <f>IFERROR(__xludf.DUMMYFUNCTION("""COMPUTED_VALUE"""),2021.0)</f>
        <v>2021</v>
      </c>
      <c r="B5548" s="11">
        <f>IFERROR(__xludf.DUMMYFUNCTION("""COMPUTED_VALUE"""),8.0)</f>
        <v>8</v>
      </c>
      <c r="C5548" s="11">
        <f>IFERROR(__xludf.DUMMYFUNCTION("""COMPUTED_VALUE"""),117798.0)</f>
        <v>117798</v>
      </c>
      <c r="D5548" s="11">
        <f>IFERROR(__xludf.DUMMYFUNCTION("""COMPUTED_VALUE"""),1841.0)</f>
        <v>1841</v>
      </c>
      <c r="E5548" s="9"/>
    </row>
    <row r="5549">
      <c r="A5549" s="11">
        <f>IFERROR(__xludf.DUMMYFUNCTION("""COMPUTED_VALUE"""),2021.0)</f>
        <v>2021</v>
      </c>
      <c r="B5549" s="11">
        <f>IFERROR(__xludf.DUMMYFUNCTION("""COMPUTED_VALUE"""),10.0)</f>
        <v>10</v>
      </c>
      <c r="C5549" s="11">
        <f>IFERROR(__xludf.DUMMYFUNCTION("""COMPUTED_VALUE"""),77480.0)</f>
        <v>77480</v>
      </c>
      <c r="D5549" s="11">
        <f>IFERROR(__xludf.DUMMYFUNCTION("""COMPUTED_VALUE"""),551.0)</f>
        <v>551</v>
      </c>
      <c r="E5549" s="9"/>
    </row>
    <row r="5550">
      <c r="A5550" s="11">
        <f>IFERROR(__xludf.DUMMYFUNCTION("""COMPUTED_VALUE"""),2021.0)</f>
        <v>2021</v>
      </c>
      <c r="B5550" s="11">
        <f>IFERROR(__xludf.DUMMYFUNCTION("""COMPUTED_VALUE"""),8.0)</f>
        <v>8</v>
      </c>
      <c r="C5550" s="11">
        <f>IFERROR(__xludf.DUMMYFUNCTION("""COMPUTED_VALUE"""),9547.0)</f>
        <v>9547</v>
      </c>
      <c r="D5550" s="11">
        <f>IFERROR(__xludf.DUMMYFUNCTION("""COMPUTED_VALUE"""),681.0)</f>
        <v>681</v>
      </c>
      <c r="E5550" s="9"/>
    </row>
    <row r="5551">
      <c r="A5551" s="11">
        <f>IFERROR(__xludf.DUMMYFUNCTION("""COMPUTED_VALUE"""),2021.0)</f>
        <v>2021</v>
      </c>
      <c r="B5551" s="11">
        <f>IFERROR(__xludf.DUMMYFUNCTION("""COMPUTED_VALUE"""),10.0)</f>
        <v>10</v>
      </c>
      <c r="C5551" s="11">
        <f>IFERROR(__xludf.DUMMYFUNCTION("""COMPUTED_VALUE"""),9551.0)</f>
        <v>9551</v>
      </c>
      <c r="D5551" s="11">
        <f>IFERROR(__xludf.DUMMYFUNCTION("""COMPUTED_VALUE"""),1463.0)</f>
        <v>1463</v>
      </c>
      <c r="E5551" s="9"/>
    </row>
    <row r="5552">
      <c r="A5552" s="11">
        <f>IFERROR(__xludf.DUMMYFUNCTION("""COMPUTED_VALUE"""),2021.0)</f>
        <v>2021</v>
      </c>
      <c r="B5552" s="11">
        <f>IFERROR(__xludf.DUMMYFUNCTION("""COMPUTED_VALUE"""),10.0)</f>
        <v>10</v>
      </c>
      <c r="C5552" s="11">
        <f>IFERROR(__xludf.DUMMYFUNCTION("""COMPUTED_VALUE"""),9514.0)</f>
        <v>9514</v>
      </c>
      <c r="D5552" s="11">
        <f>IFERROR(__xludf.DUMMYFUNCTION("""COMPUTED_VALUE"""),969.0)</f>
        <v>969</v>
      </c>
      <c r="E5552" s="9"/>
    </row>
    <row r="5553">
      <c r="A5553" s="11">
        <f>IFERROR(__xludf.DUMMYFUNCTION("""COMPUTED_VALUE"""),2021.0)</f>
        <v>2021</v>
      </c>
      <c r="B5553" s="11">
        <f>IFERROR(__xludf.DUMMYFUNCTION("""COMPUTED_VALUE"""),9.0)</f>
        <v>9</v>
      </c>
      <c r="C5553" s="11">
        <f>IFERROR(__xludf.DUMMYFUNCTION("""COMPUTED_VALUE"""),147310.0)</f>
        <v>147310</v>
      </c>
      <c r="D5553" s="11">
        <f>IFERROR(__xludf.DUMMYFUNCTION("""COMPUTED_VALUE"""),343.0)</f>
        <v>343</v>
      </c>
      <c r="E5553" s="9"/>
    </row>
    <row r="5554">
      <c r="A5554" s="11">
        <f>IFERROR(__xludf.DUMMYFUNCTION("""COMPUTED_VALUE"""),2021.0)</f>
        <v>2021</v>
      </c>
      <c r="B5554" s="11">
        <f>IFERROR(__xludf.DUMMYFUNCTION("""COMPUTED_VALUE"""),10.0)</f>
        <v>10</v>
      </c>
      <c r="C5554" s="11">
        <f>IFERROR(__xludf.DUMMYFUNCTION("""COMPUTED_VALUE"""),13865.0)</f>
        <v>13865</v>
      </c>
      <c r="D5554" s="11">
        <f>IFERROR(__xludf.DUMMYFUNCTION("""COMPUTED_VALUE"""),992.0)</f>
        <v>992</v>
      </c>
      <c r="E5554" s="9"/>
    </row>
    <row r="5555">
      <c r="A5555" s="11">
        <f>IFERROR(__xludf.DUMMYFUNCTION("""COMPUTED_VALUE"""),2021.0)</f>
        <v>2021</v>
      </c>
      <c r="B5555" s="11">
        <f>IFERROR(__xludf.DUMMYFUNCTION("""COMPUTED_VALUE"""),8.0)</f>
        <v>8</v>
      </c>
      <c r="C5555" s="11">
        <f>IFERROR(__xludf.DUMMYFUNCTION("""COMPUTED_VALUE"""),9521.0)</f>
        <v>9521</v>
      </c>
      <c r="D5555" s="11">
        <f>IFERROR(__xludf.DUMMYFUNCTION("""COMPUTED_VALUE"""),1571.0)</f>
        <v>1571</v>
      </c>
      <c r="E5555" s="9"/>
    </row>
    <row r="5556">
      <c r="A5556" s="11">
        <f>IFERROR(__xludf.DUMMYFUNCTION("""COMPUTED_VALUE"""),2021.0)</f>
        <v>2021</v>
      </c>
      <c r="B5556" s="11">
        <f>IFERROR(__xludf.DUMMYFUNCTION("""COMPUTED_VALUE"""),9.0)</f>
        <v>9</v>
      </c>
      <c r="C5556" s="11">
        <f>IFERROR(__xludf.DUMMYFUNCTION("""COMPUTED_VALUE"""),9522.0)</f>
        <v>9522</v>
      </c>
      <c r="D5556" s="11">
        <f>IFERROR(__xludf.DUMMYFUNCTION("""COMPUTED_VALUE"""),493.0)</f>
        <v>493</v>
      </c>
      <c r="E5556" s="9"/>
    </row>
    <row r="5557">
      <c r="A5557" s="11">
        <f>IFERROR(__xludf.DUMMYFUNCTION("""COMPUTED_VALUE"""),2021.0)</f>
        <v>2021</v>
      </c>
      <c r="B5557" s="11">
        <f>IFERROR(__xludf.DUMMYFUNCTION("""COMPUTED_VALUE"""),9.0)</f>
        <v>9</v>
      </c>
      <c r="C5557" s="11">
        <f>IFERROR(__xludf.DUMMYFUNCTION("""COMPUTED_VALUE"""),94048.0)</f>
        <v>94048</v>
      </c>
      <c r="D5557" s="11">
        <f>IFERROR(__xludf.DUMMYFUNCTION("""COMPUTED_VALUE"""),1647.0)</f>
        <v>1647</v>
      </c>
      <c r="E5557" s="9"/>
    </row>
    <row r="5558">
      <c r="A5558" s="11">
        <f>IFERROR(__xludf.DUMMYFUNCTION("""COMPUTED_VALUE"""),2021.0)</f>
        <v>2021</v>
      </c>
      <c r="B5558" s="11">
        <f>IFERROR(__xludf.DUMMYFUNCTION("""COMPUTED_VALUE"""),11.0)</f>
        <v>11</v>
      </c>
      <c r="C5558" s="11">
        <f>IFERROR(__xludf.DUMMYFUNCTION("""COMPUTED_VALUE"""),121549.0)</f>
        <v>121549</v>
      </c>
      <c r="D5558" s="11">
        <f>IFERROR(__xludf.DUMMYFUNCTION("""COMPUTED_VALUE"""),1460.0)</f>
        <v>1460</v>
      </c>
      <c r="E5558" s="9"/>
    </row>
    <row r="5559">
      <c r="A5559" s="11">
        <f>IFERROR(__xludf.DUMMYFUNCTION("""COMPUTED_VALUE"""),2021.0)</f>
        <v>2021</v>
      </c>
      <c r="B5559" s="11">
        <f>IFERROR(__xludf.DUMMYFUNCTION("""COMPUTED_VALUE"""),9.0)</f>
        <v>9</v>
      </c>
      <c r="C5559" s="11">
        <f>IFERROR(__xludf.DUMMYFUNCTION("""COMPUTED_VALUE"""),9593.0)</f>
        <v>9593</v>
      </c>
      <c r="D5559" s="11">
        <f>IFERROR(__xludf.DUMMYFUNCTION("""COMPUTED_VALUE"""),1903.0)</f>
        <v>1903</v>
      </c>
      <c r="E5559" s="9"/>
    </row>
    <row r="5560">
      <c r="A5560" s="11">
        <f>IFERROR(__xludf.DUMMYFUNCTION("""COMPUTED_VALUE"""),2021.0)</f>
        <v>2021</v>
      </c>
      <c r="B5560" s="11">
        <f>IFERROR(__xludf.DUMMYFUNCTION("""COMPUTED_VALUE"""),11.0)</f>
        <v>11</v>
      </c>
      <c r="C5560" s="11">
        <f>IFERROR(__xludf.DUMMYFUNCTION("""COMPUTED_VALUE"""),119247.0)</f>
        <v>119247</v>
      </c>
      <c r="D5560" s="11">
        <f>IFERROR(__xludf.DUMMYFUNCTION("""COMPUTED_VALUE"""),1453.0)</f>
        <v>1453</v>
      </c>
      <c r="E5560" s="9"/>
    </row>
    <row r="5561">
      <c r="A5561" s="11">
        <f>IFERROR(__xludf.DUMMYFUNCTION("""COMPUTED_VALUE"""),2021.0)</f>
        <v>2021</v>
      </c>
      <c r="B5561" s="11">
        <f>IFERROR(__xludf.DUMMYFUNCTION("""COMPUTED_VALUE"""),8.0)</f>
        <v>8</v>
      </c>
      <c r="C5561" s="11">
        <f>IFERROR(__xludf.DUMMYFUNCTION("""COMPUTED_VALUE"""),9516.0)</f>
        <v>9516</v>
      </c>
      <c r="D5561" s="11">
        <f>IFERROR(__xludf.DUMMYFUNCTION("""COMPUTED_VALUE"""),186.0)</f>
        <v>186</v>
      </c>
      <c r="E5561" s="9"/>
    </row>
    <row r="5562">
      <c r="A5562" s="11">
        <f>IFERROR(__xludf.DUMMYFUNCTION("""COMPUTED_VALUE"""),2021.0)</f>
        <v>2021</v>
      </c>
      <c r="B5562" s="11">
        <f>IFERROR(__xludf.DUMMYFUNCTION("""COMPUTED_VALUE"""),11.0)</f>
        <v>11</v>
      </c>
      <c r="C5562" s="11">
        <f>IFERROR(__xludf.DUMMYFUNCTION("""COMPUTED_VALUE"""),193265.0)</f>
        <v>193265</v>
      </c>
      <c r="D5562" s="11">
        <f>IFERROR(__xludf.DUMMYFUNCTION("""COMPUTED_VALUE"""),1451.0)</f>
        <v>1451</v>
      </c>
      <c r="E5562" s="9"/>
    </row>
    <row r="5563">
      <c r="A5563" s="11">
        <f>IFERROR(__xludf.DUMMYFUNCTION("""COMPUTED_VALUE"""),2021.0)</f>
        <v>2021</v>
      </c>
      <c r="B5563" s="11">
        <f>IFERROR(__xludf.DUMMYFUNCTION("""COMPUTED_VALUE"""),11.0)</f>
        <v>11</v>
      </c>
      <c r="C5563" s="11">
        <f>IFERROR(__xludf.DUMMYFUNCTION("""COMPUTED_VALUE"""),13869.0)</f>
        <v>13869</v>
      </c>
      <c r="D5563" s="11">
        <f>IFERROR(__xludf.DUMMYFUNCTION("""COMPUTED_VALUE"""),19.0)</f>
        <v>19</v>
      </c>
      <c r="E5563" s="9"/>
    </row>
    <row r="5564">
      <c r="A5564" s="11">
        <f>IFERROR(__xludf.DUMMYFUNCTION("""COMPUTED_VALUE"""),2021.0)</f>
        <v>2021</v>
      </c>
      <c r="B5564" s="11">
        <f>IFERROR(__xludf.DUMMYFUNCTION("""COMPUTED_VALUE"""),8.0)</f>
        <v>8</v>
      </c>
      <c r="C5564" s="11">
        <f>IFERROR(__xludf.DUMMYFUNCTION("""COMPUTED_VALUE"""),13877.0)</f>
        <v>13877</v>
      </c>
      <c r="D5564" s="11">
        <f>IFERROR(__xludf.DUMMYFUNCTION("""COMPUTED_VALUE"""),1834.0)</f>
        <v>1834</v>
      </c>
      <c r="E5564" s="9"/>
    </row>
    <row r="5565">
      <c r="A5565" s="11">
        <f>IFERROR(__xludf.DUMMYFUNCTION("""COMPUTED_VALUE"""),2021.0)</f>
        <v>2021</v>
      </c>
      <c r="B5565" s="11">
        <f>IFERROR(__xludf.DUMMYFUNCTION("""COMPUTED_VALUE"""),10.0)</f>
        <v>10</v>
      </c>
      <c r="C5565" s="11">
        <f>IFERROR(__xludf.DUMMYFUNCTION("""COMPUTED_VALUE"""),9493.0)</f>
        <v>9493</v>
      </c>
      <c r="D5565" s="11">
        <f>IFERROR(__xludf.DUMMYFUNCTION("""COMPUTED_VALUE"""),1552.0)</f>
        <v>1552</v>
      </c>
      <c r="E5565" s="9"/>
    </row>
    <row r="5566">
      <c r="A5566" s="11">
        <f>IFERROR(__xludf.DUMMYFUNCTION("""COMPUTED_VALUE"""),2021.0)</f>
        <v>2021</v>
      </c>
      <c r="B5566" s="11">
        <f>IFERROR(__xludf.DUMMYFUNCTION("""COMPUTED_VALUE"""),11.0)</f>
        <v>11</v>
      </c>
      <c r="C5566" s="11">
        <f>IFERROR(__xludf.DUMMYFUNCTION("""COMPUTED_VALUE"""),9502.0)</f>
        <v>9502</v>
      </c>
      <c r="D5566" s="11">
        <f>IFERROR(__xludf.DUMMYFUNCTION("""COMPUTED_VALUE"""),1941.0)</f>
        <v>1941</v>
      </c>
      <c r="E5566" s="9"/>
    </row>
    <row r="5567">
      <c r="A5567" s="11">
        <f>IFERROR(__xludf.DUMMYFUNCTION("""COMPUTED_VALUE"""),2021.0)</f>
        <v>2021</v>
      </c>
      <c r="B5567" s="11">
        <f>IFERROR(__xludf.DUMMYFUNCTION("""COMPUTED_VALUE"""),8.0)</f>
        <v>8</v>
      </c>
      <c r="C5567" s="11">
        <f>IFERROR(__xludf.DUMMYFUNCTION("""COMPUTED_VALUE"""),147301.0)</f>
        <v>147301</v>
      </c>
      <c r="D5567" s="11">
        <f>IFERROR(__xludf.DUMMYFUNCTION("""COMPUTED_VALUE"""),755.0)</f>
        <v>755</v>
      </c>
      <c r="E5567" s="9"/>
    </row>
    <row r="5568">
      <c r="A5568" s="11">
        <f>IFERROR(__xludf.DUMMYFUNCTION("""COMPUTED_VALUE"""),2021.0)</f>
        <v>2021</v>
      </c>
      <c r="B5568" s="11">
        <f>IFERROR(__xludf.DUMMYFUNCTION("""COMPUTED_VALUE"""),11.0)</f>
        <v>11</v>
      </c>
      <c r="C5568" s="11">
        <f>IFERROR(__xludf.DUMMYFUNCTION("""COMPUTED_VALUE"""),30569.0)</f>
        <v>30569</v>
      </c>
      <c r="D5568" s="11">
        <f>IFERROR(__xludf.DUMMYFUNCTION("""COMPUTED_VALUE"""),433.0)</f>
        <v>433</v>
      </c>
      <c r="E5568" s="9"/>
    </row>
    <row r="5569">
      <c r="A5569" s="11">
        <f>IFERROR(__xludf.DUMMYFUNCTION("""COMPUTED_VALUE"""),2021.0)</f>
        <v>2021</v>
      </c>
      <c r="B5569" s="11">
        <f>IFERROR(__xludf.DUMMYFUNCTION("""COMPUTED_VALUE"""),10.0)</f>
        <v>10</v>
      </c>
      <c r="C5569" s="11">
        <f>IFERROR(__xludf.DUMMYFUNCTION("""COMPUTED_VALUE"""),112190.0)</f>
        <v>112190</v>
      </c>
      <c r="D5569" s="11">
        <f>IFERROR(__xludf.DUMMYFUNCTION("""COMPUTED_VALUE"""),1257.0)</f>
        <v>1257</v>
      </c>
      <c r="E5569" s="9"/>
    </row>
    <row r="5570">
      <c r="A5570" s="11">
        <f>IFERROR(__xludf.DUMMYFUNCTION("""COMPUTED_VALUE"""),2021.0)</f>
        <v>2021</v>
      </c>
      <c r="B5570" s="11">
        <f>IFERROR(__xludf.DUMMYFUNCTION("""COMPUTED_VALUE"""),9.0)</f>
        <v>9</v>
      </c>
      <c r="C5570" s="11">
        <f>IFERROR(__xludf.DUMMYFUNCTION("""COMPUTED_VALUE"""),110833.0)</f>
        <v>110833</v>
      </c>
      <c r="D5570" s="11">
        <f>IFERROR(__xludf.DUMMYFUNCTION("""COMPUTED_VALUE"""),1882.0)</f>
        <v>1882</v>
      </c>
      <c r="E5570" s="9"/>
    </row>
    <row r="5571">
      <c r="A5571" s="11">
        <f>IFERROR(__xludf.DUMMYFUNCTION("""COMPUTED_VALUE"""),2021.0)</f>
        <v>2021</v>
      </c>
      <c r="B5571" s="11">
        <f>IFERROR(__xludf.DUMMYFUNCTION("""COMPUTED_VALUE"""),8.0)</f>
        <v>8</v>
      </c>
      <c r="C5571" s="11">
        <f>IFERROR(__xludf.DUMMYFUNCTION("""COMPUTED_VALUE"""),9505.0)</f>
        <v>9505</v>
      </c>
      <c r="D5571" s="11">
        <f>IFERROR(__xludf.DUMMYFUNCTION("""COMPUTED_VALUE"""),657.0)</f>
        <v>657</v>
      </c>
      <c r="E5571" s="9"/>
    </row>
    <row r="5572">
      <c r="A5572" s="11">
        <f>IFERROR(__xludf.DUMMYFUNCTION("""COMPUTED_VALUE"""),2021.0)</f>
        <v>2021</v>
      </c>
      <c r="B5572" s="11">
        <f>IFERROR(__xludf.DUMMYFUNCTION("""COMPUTED_VALUE"""),10.0)</f>
        <v>10</v>
      </c>
      <c r="C5572" s="11">
        <f>IFERROR(__xludf.DUMMYFUNCTION("""COMPUTED_VALUE"""),119248.0)</f>
        <v>119248</v>
      </c>
      <c r="D5572" s="11">
        <f>IFERROR(__xludf.DUMMYFUNCTION("""COMPUTED_VALUE"""),950.0)</f>
        <v>950</v>
      </c>
      <c r="E5572" s="9"/>
    </row>
    <row r="5573">
      <c r="A5573" s="11">
        <f>IFERROR(__xludf.DUMMYFUNCTION("""COMPUTED_VALUE"""),2021.0)</f>
        <v>2021</v>
      </c>
      <c r="B5573" s="11">
        <f>IFERROR(__xludf.DUMMYFUNCTION("""COMPUTED_VALUE"""),8.0)</f>
        <v>8</v>
      </c>
      <c r="C5573" s="11">
        <f>IFERROR(__xludf.DUMMYFUNCTION("""COMPUTED_VALUE"""),147306.0)</f>
        <v>147306</v>
      </c>
      <c r="D5573" s="11">
        <f>IFERROR(__xludf.DUMMYFUNCTION("""COMPUTED_VALUE"""),1772.0)</f>
        <v>1772</v>
      </c>
      <c r="E5573" s="9"/>
    </row>
    <row r="5574">
      <c r="A5574" s="11">
        <f>IFERROR(__xludf.DUMMYFUNCTION("""COMPUTED_VALUE"""),2021.0)</f>
        <v>2021</v>
      </c>
      <c r="B5574" s="11">
        <f>IFERROR(__xludf.DUMMYFUNCTION("""COMPUTED_VALUE"""),10.0)</f>
        <v>10</v>
      </c>
      <c r="C5574" s="11">
        <f>IFERROR(__xludf.DUMMYFUNCTION("""COMPUTED_VALUE"""),77425.0)</f>
        <v>77425</v>
      </c>
      <c r="D5574" s="11">
        <f>IFERROR(__xludf.DUMMYFUNCTION("""COMPUTED_VALUE"""),562.0)</f>
        <v>562</v>
      </c>
      <c r="E5574" s="9"/>
    </row>
    <row r="5575">
      <c r="A5575" s="11">
        <f>IFERROR(__xludf.DUMMYFUNCTION("""COMPUTED_VALUE"""),2021.0)</f>
        <v>2021</v>
      </c>
      <c r="B5575" s="11">
        <f>IFERROR(__xludf.DUMMYFUNCTION("""COMPUTED_VALUE"""),11.0)</f>
        <v>11</v>
      </c>
      <c r="C5575" s="11">
        <f>IFERROR(__xludf.DUMMYFUNCTION("""COMPUTED_VALUE"""),9497.0)</f>
        <v>9497</v>
      </c>
      <c r="D5575" s="11">
        <f>IFERROR(__xludf.DUMMYFUNCTION("""COMPUTED_VALUE"""),1244.0)</f>
        <v>1244</v>
      </c>
      <c r="E5575" s="9"/>
    </row>
    <row r="5576">
      <c r="A5576" s="11">
        <f>IFERROR(__xludf.DUMMYFUNCTION("""COMPUTED_VALUE"""),2021.0)</f>
        <v>2021</v>
      </c>
      <c r="B5576" s="11">
        <f>IFERROR(__xludf.DUMMYFUNCTION("""COMPUTED_VALUE"""),8.0)</f>
        <v>8</v>
      </c>
      <c r="C5576" s="11">
        <f>IFERROR(__xludf.DUMMYFUNCTION("""COMPUTED_VALUE"""),9601.0)</f>
        <v>9601</v>
      </c>
      <c r="D5576" s="11">
        <f>IFERROR(__xludf.DUMMYFUNCTION("""COMPUTED_VALUE"""),353.0)</f>
        <v>353</v>
      </c>
      <c r="E5576" s="9"/>
    </row>
    <row r="5577">
      <c r="A5577" s="11">
        <f>IFERROR(__xludf.DUMMYFUNCTION("""COMPUTED_VALUE"""),2021.0)</f>
        <v>2021</v>
      </c>
      <c r="B5577" s="11">
        <f>IFERROR(__xludf.DUMMYFUNCTION("""COMPUTED_VALUE"""),9.0)</f>
        <v>9</v>
      </c>
      <c r="C5577" s="11">
        <f>IFERROR(__xludf.DUMMYFUNCTION("""COMPUTED_VALUE"""),117799.0)</f>
        <v>117799</v>
      </c>
      <c r="D5577" s="11">
        <f>IFERROR(__xludf.DUMMYFUNCTION("""COMPUTED_VALUE"""),324.0)</f>
        <v>324</v>
      </c>
      <c r="E5577" s="9"/>
    </row>
    <row r="5578">
      <c r="A5578" s="11">
        <f>IFERROR(__xludf.DUMMYFUNCTION("""COMPUTED_VALUE"""),2021.0)</f>
        <v>2021</v>
      </c>
      <c r="B5578" s="11">
        <f>IFERROR(__xludf.DUMMYFUNCTION("""COMPUTED_VALUE"""),11.0)</f>
        <v>11</v>
      </c>
      <c r="C5578" s="11">
        <f>IFERROR(__xludf.DUMMYFUNCTION("""COMPUTED_VALUE"""),82770.0)</f>
        <v>82770</v>
      </c>
      <c r="D5578" s="11">
        <f>IFERROR(__xludf.DUMMYFUNCTION("""COMPUTED_VALUE"""),621.0)</f>
        <v>621</v>
      </c>
      <c r="E5578" s="9"/>
    </row>
    <row r="5579">
      <c r="A5579" s="11">
        <f>IFERROR(__xludf.DUMMYFUNCTION("""COMPUTED_VALUE"""),2021.0)</f>
        <v>2021</v>
      </c>
      <c r="B5579" s="11">
        <f>IFERROR(__xludf.DUMMYFUNCTION("""COMPUTED_VALUE"""),9.0)</f>
        <v>9</v>
      </c>
      <c r="C5579" s="11">
        <f>IFERROR(__xludf.DUMMYFUNCTION("""COMPUTED_VALUE"""),119249.0)</f>
        <v>119249</v>
      </c>
      <c r="D5579" s="11">
        <f>IFERROR(__xludf.DUMMYFUNCTION("""COMPUTED_VALUE"""),1255.0)</f>
        <v>1255</v>
      </c>
      <c r="E5579" s="9"/>
    </row>
    <row r="5580">
      <c r="A5580" s="11">
        <f>IFERROR(__xludf.DUMMYFUNCTION("""COMPUTED_VALUE"""),2021.0)</f>
        <v>2021</v>
      </c>
      <c r="B5580" s="11">
        <f>IFERROR(__xludf.DUMMYFUNCTION("""COMPUTED_VALUE"""),9.0)</f>
        <v>9</v>
      </c>
      <c r="C5580" s="11">
        <f>IFERROR(__xludf.DUMMYFUNCTION("""COMPUTED_VALUE"""),86191.0)</f>
        <v>86191</v>
      </c>
      <c r="D5580" s="11">
        <f>IFERROR(__xludf.DUMMYFUNCTION("""COMPUTED_VALUE"""),1586.0)</f>
        <v>1586</v>
      </c>
      <c r="E5580" s="9"/>
    </row>
    <row r="5581">
      <c r="A5581" s="11">
        <f>IFERROR(__xludf.DUMMYFUNCTION("""COMPUTED_VALUE"""),2021.0)</f>
        <v>2021</v>
      </c>
      <c r="B5581" s="11">
        <f>IFERROR(__xludf.DUMMYFUNCTION("""COMPUTED_VALUE"""),10.0)</f>
        <v>10</v>
      </c>
      <c r="C5581" s="11">
        <f>IFERROR(__xludf.DUMMYFUNCTION("""COMPUTED_VALUE"""),9503.0)</f>
        <v>9503</v>
      </c>
      <c r="D5581" s="11">
        <f>IFERROR(__xludf.DUMMYFUNCTION("""COMPUTED_VALUE"""),1907.0)</f>
        <v>1907</v>
      </c>
      <c r="E5581" s="9"/>
    </row>
    <row r="5582">
      <c r="A5582" s="11">
        <f>IFERROR(__xludf.DUMMYFUNCTION("""COMPUTED_VALUE"""),2021.0)</f>
        <v>2021</v>
      </c>
      <c r="B5582" s="11">
        <f>IFERROR(__xludf.DUMMYFUNCTION("""COMPUTED_VALUE"""),11.0)</f>
        <v>11</v>
      </c>
      <c r="C5582" s="11">
        <f>IFERROR(__xludf.DUMMYFUNCTION("""COMPUTED_VALUE"""),94007.0)</f>
        <v>94007</v>
      </c>
      <c r="D5582" s="11">
        <f>IFERROR(__xludf.DUMMYFUNCTION("""COMPUTED_VALUE"""),24.0)</f>
        <v>24</v>
      </c>
      <c r="E5582" s="9"/>
    </row>
    <row r="5583">
      <c r="A5583" s="11">
        <f>IFERROR(__xludf.DUMMYFUNCTION("""COMPUTED_VALUE"""),2021.0)</f>
        <v>2021</v>
      </c>
      <c r="B5583" s="11">
        <f>IFERROR(__xludf.DUMMYFUNCTION("""COMPUTED_VALUE"""),11.0)</f>
        <v>11</v>
      </c>
      <c r="C5583" s="11">
        <f>IFERROR(__xludf.DUMMYFUNCTION("""COMPUTED_VALUE"""),82761.0)</f>
        <v>82761</v>
      </c>
      <c r="D5583" s="11">
        <f>IFERROR(__xludf.DUMMYFUNCTION("""COMPUTED_VALUE"""),102.0)</f>
        <v>102</v>
      </c>
      <c r="E5583" s="9"/>
    </row>
    <row r="5584">
      <c r="A5584" s="11">
        <f>IFERROR(__xludf.DUMMYFUNCTION("""COMPUTED_VALUE"""),2021.0)</f>
        <v>2021</v>
      </c>
      <c r="B5584" s="11">
        <f>IFERROR(__xludf.DUMMYFUNCTION("""COMPUTED_VALUE"""),10.0)</f>
        <v>10</v>
      </c>
      <c r="C5584" s="11">
        <f>IFERROR(__xludf.DUMMYFUNCTION("""COMPUTED_VALUE"""),9599.0)</f>
        <v>9599</v>
      </c>
      <c r="D5584" s="11">
        <f>IFERROR(__xludf.DUMMYFUNCTION("""COMPUTED_VALUE"""),1013.0)</f>
        <v>1013</v>
      </c>
      <c r="E5584" s="9"/>
    </row>
    <row r="5585">
      <c r="A5585" s="11">
        <f>IFERROR(__xludf.DUMMYFUNCTION("""COMPUTED_VALUE"""),2021.0)</f>
        <v>2021</v>
      </c>
      <c r="B5585" s="11">
        <f>IFERROR(__xludf.DUMMYFUNCTION("""COMPUTED_VALUE"""),10.0)</f>
        <v>10</v>
      </c>
      <c r="C5585" s="11">
        <f>IFERROR(__xludf.DUMMYFUNCTION("""COMPUTED_VALUE"""),9496.0)</f>
        <v>9496</v>
      </c>
      <c r="D5585" s="11">
        <f>IFERROR(__xludf.DUMMYFUNCTION("""COMPUTED_VALUE"""),1041.0)</f>
        <v>1041</v>
      </c>
      <c r="E5585" s="9"/>
    </row>
    <row r="5586">
      <c r="A5586" s="11">
        <f>IFERROR(__xludf.DUMMYFUNCTION("""COMPUTED_VALUE"""),2021.0)</f>
        <v>2021</v>
      </c>
      <c r="B5586" s="11">
        <f>IFERROR(__xludf.DUMMYFUNCTION("""COMPUTED_VALUE"""),10.0)</f>
        <v>10</v>
      </c>
      <c r="C5586" s="11">
        <f>IFERROR(__xludf.DUMMYFUNCTION("""COMPUTED_VALUE"""),195072.0)</f>
        <v>195072</v>
      </c>
      <c r="D5586" s="11">
        <f>IFERROR(__xludf.DUMMYFUNCTION("""COMPUTED_VALUE"""),462.0)</f>
        <v>462</v>
      </c>
      <c r="E5586" s="9"/>
    </row>
    <row r="5587">
      <c r="A5587" s="11">
        <f>IFERROR(__xludf.DUMMYFUNCTION("""COMPUTED_VALUE"""),2021.0)</f>
        <v>2021</v>
      </c>
      <c r="B5587" s="11">
        <f>IFERROR(__xludf.DUMMYFUNCTION("""COMPUTED_VALUE"""),11.0)</f>
        <v>11</v>
      </c>
      <c r="C5587" s="11">
        <f>IFERROR(__xludf.DUMMYFUNCTION("""COMPUTED_VALUE"""),119252.0)</f>
        <v>119252</v>
      </c>
      <c r="D5587" s="11">
        <f>IFERROR(__xludf.DUMMYFUNCTION("""COMPUTED_VALUE"""),200.0)</f>
        <v>200</v>
      </c>
      <c r="E5587" s="9"/>
    </row>
    <row r="5588">
      <c r="A5588" s="11">
        <f>IFERROR(__xludf.DUMMYFUNCTION("""COMPUTED_VALUE"""),2021.0)</f>
        <v>2021</v>
      </c>
      <c r="B5588" s="11">
        <f>IFERROR(__xludf.DUMMYFUNCTION("""COMPUTED_VALUE"""),10.0)</f>
        <v>10</v>
      </c>
      <c r="C5588" s="11">
        <f>IFERROR(__xludf.DUMMYFUNCTION("""COMPUTED_VALUE"""),9501.0)</f>
        <v>9501</v>
      </c>
      <c r="D5588" s="11">
        <f>IFERROR(__xludf.DUMMYFUNCTION("""COMPUTED_VALUE"""),792.0)</f>
        <v>792</v>
      </c>
      <c r="E5588" s="9"/>
    </row>
    <row r="5589">
      <c r="A5589" s="11">
        <f>IFERROR(__xludf.DUMMYFUNCTION("""COMPUTED_VALUE"""),2021.0)</f>
        <v>2021</v>
      </c>
      <c r="B5589" s="11">
        <f>IFERROR(__xludf.DUMMYFUNCTION("""COMPUTED_VALUE"""),11.0)</f>
        <v>11</v>
      </c>
      <c r="C5589" s="11">
        <f>IFERROR(__xludf.DUMMYFUNCTION("""COMPUTED_VALUE"""),9491.0)</f>
        <v>9491</v>
      </c>
      <c r="D5589" s="11">
        <f>IFERROR(__xludf.DUMMYFUNCTION("""COMPUTED_VALUE"""),66.0)</f>
        <v>66</v>
      </c>
      <c r="E5589" s="9"/>
    </row>
    <row r="5590">
      <c r="A5590" s="11">
        <f>IFERROR(__xludf.DUMMYFUNCTION("""COMPUTED_VALUE"""),2021.0)</f>
        <v>2021</v>
      </c>
      <c r="B5590" s="11">
        <f>IFERROR(__xludf.DUMMYFUNCTION("""COMPUTED_VALUE"""),8.0)</f>
        <v>8</v>
      </c>
      <c r="C5590" s="11">
        <f>IFERROR(__xludf.DUMMYFUNCTION("""COMPUTED_VALUE"""),194058.0)</f>
        <v>194058</v>
      </c>
      <c r="D5590" s="11">
        <f>IFERROR(__xludf.DUMMYFUNCTION("""COMPUTED_VALUE"""),1009.0)</f>
        <v>1009</v>
      </c>
      <c r="E5590" s="9"/>
    </row>
    <row r="5591">
      <c r="A5591" s="11">
        <f>IFERROR(__xludf.DUMMYFUNCTION("""COMPUTED_VALUE"""),2021.0)</f>
        <v>2021</v>
      </c>
      <c r="B5591" s="11">
        <f>IFERROR(__xludf.DUMMYFUNCTION("""COMPUTED_VALUE"""),9.0)</f>
        <v>9</v>
      </c>
      <c r="C5591" s="11">
        <f>IFERROR(__xludf.DUMMYFUNCTION("""COMPUTED_VALUE"""),111319.0)</f>
        <v>111319</v>
      </c>
      <c r="D5591" s="11">
        <f>IFERROR(__xludf.DUMMYFUNCTION("""COMPUTED_VALUE"""),1069.0)</f>
        <v>1069</v>
      </c>
      <c r="E5591" s="9"/>
    </row>
    <row r="5592">
      <c r="A5592" s="11">
        <f>IFERROR(__xludf.DUMMYFUNCTION("""COMPUTED_VALUE"""),2021.0)</f>
        <v>2021</v>
      </c>
      <c r="B5592" s="11">
        <f>IFERROR(__xludf.DUMMYFUNCTION("""COMPUTED_VALUE"""),9.0)</f>
        <v>9</v>
      </c>
      <c r="C5592" s="11">
        <f>IFERROR(__xludf.DUMMYFUNCTION("""COMPUTED_VALUE"""),86655.0)</f>
        <v>86655</v>
      </c>
      <c r="D5592" s="11">
        <f>IFERROR(__xludf.DUMMYFUNCTION("""COMPUTED_VALUE"""),1367.0)</f>
        <v>1367</v>
      </c>
      <c r="E5592" s="9"/>
    </row>
    <row r="5593">
      <c r="A5593" s="11">
        <f>IFERROR(__xludf.DUMMYFUNCTION("""COMPUTED_VALUE"""),2021.0)</f>
        <v>2021</v>
      </c>
      <c r="B5593" s="11">
        <f>IFERROR(__xludf.DUMMYFUNCTION("""COMPUTED_VALUE"""),9.0)</f>
        <v>9</v>
      </c>
      <c r="C5593" s="11">
        <f>IFERROR(__xludf.DUMMYFUNCTION("""COMPUTED_VALUE"""),147300.0)</f>
        <v>147300</v>
      </c>
      <c r="D5593" s="11">
        <f>IFERROR(__xludf.DUMMYFUNCTION("""COMPUTED_VALUE"""),824.0)</f>
        <v>824</v>
      </c>
      <c r="E5593" s="9"/>
    </row>
    <row r="5594">
      <c r="A5594" s="11">
        <f>IFERROR(__xludf.DUMMYFUNCTION("""COMPUTED_VALUE"""),2021.0)</f>
        <v>2021</v>
      </c>
      <c r="B5594" s="11">
        <f>IFERROR(__xludf.DUMMYFUNCTION("""COMPUTED_VALUE"""),8.0)</f>
        <v>8</v>
      </c>
      <c r="C5594" s="11">
        <f>IFERROR(__xludf.DUMMYFUNCTION("""COMPUTED_VALUE"""),13861.0)</f>
        <v>13861</v>
      </c>
      <c r="D5594" s="11">
        <f>IFERROR(__xludf.DUMMYFUNCTION("""COMPUTED_VALUE"""),1299.0)</f>
        <v>1299</v>
      </c>
      <c r="E5594" s="9"/>
    </row>
    <row r="5595">
      <c r="A5595" s="11">
        <f>IFERROR(__xludf.DUMMYFUNCTION("""COMPUTED_VALUE"""),2021.0)</f>
        <v>2021</v>
      </c>
      <c r="B5595" s="11">
        <f>IFERROR(__xludf.DUMMYFUNCTION("""COMPUTED_VALUE"""),10.0)</f>
        <v>10</v>
      </c>
      <c r="C5595" s="11">
        <f>IFERROR(__xludf.DUMMYFUNCTION("""COMPUTED_VALUE"""),81510.0)</f>
        <v>81510</v>
      </c>
      <c r="D5595" s="11">
        <f>IFERROR(__xludf.DUMMYFUNCTION("""COMPUTED_VALUE"""),1838.0)</f>
        <v>1838</v>
      </c>
      <c r="E5595" s="9"/>
    </row>
    <row r="5596">
      <c r="A5596" s="11">
        <f>IFERROR(__xludf.DUMMYFUNCTION("""COMPUTED_VALUE"""),2021.0)</f>
        <v>2021</v>
      </c>
      <c r="B5596" s="11">
        <f>IFERROR(__xludf.DUMMYFUNCTION("""COMPUTED_VALUE"""),9.0)</f>
        <v>9</v>
      </c>
      <c r="C5596" s="11">
        <f>IFERROR(__xludf.DUMMYFUNCTION("""COMPUTED_VALUE"""),9560.0)</f>
        <v>9560</v>
      </c>
      <c r="D5596" s="11">
        <f>IFERROR(__xludf.DUMMYFUNCTION("""COMPUTED_VALUE"""),320.0)</f>
        <v>320</v>
      </c>
      <c r="E5596" s="9"/>
    </row>
    <row r="5597">
      <c r="A5597" s="11">
        <f>IFERROR(__xludf.DUMMYFUNCTION("""COMPUTED_VALUE"""),2021.0)</f>
        <v>2021</v>
      </c>
      <c r="B5597" s="11">
        <f>IFERROR(__xludf.DUMMYFUNCTION("""COMPUTED_VALUE"""),9.0)</f>
        <v>9</v>
      </c>
      <c r="C5597" s="11">
        <f>IFERROR(__xludf.DUMMYFUNCTION("""COMPUTED_VALUE"""),72161.0)</f>
        <v>72161</v>
      </c>
      <c r="D5597" s="11">
        <f>IFERROR(__xludf.DUMMYFUNCTION("""COMPUTED_VALUE"""),1078.0)</f>
        <v>1078</v>
      </c>
      <c r="E5597" s="9"/>
    </row>
    <row r="5598">
      <c r="A5598" s="11">
        <f>IFERROR(__xludf.DUMMYFUNCTION("""COMPUTED_VALUE"""),2021.0)</f>
        <v>2021</v>
      </c>
      <c r="B5598" s="11">
        <f>IFERROR(__xludf.DUMMYFUNCTION("""COMPUTED_VALUE"""),10.0)</f>
        <v>10</v>
      </c>
      <c r="C5598" s="11">
        <f>IFERROR(__xludf.DUMMYFUNCTION("""COMPUTED_VALUE"""),9561.0)</f>
        <v>9561</v>
      </c>
      <c r="D5598" s="11">
        <f>IFERROR(__xludf.DUMMYFUNCTION("""COMPUTED_VALUE"""),71.0)</f>
        <v>71</v>
      </c>
      <c r="E5598" s="9"/>
    </row>
    <row r="5599">
      <c r="A5599" s="11">
        <f>IFERROR(__xludf.DUMMYFUNCTION("""COMPUTED_VALUE"""),2021.0)</f>
        <v>2021</v>
      </c>
      <c r="B5599" s="11">
        <f>IFERROR(__xludf.DUMMYFUNCTION("""COMPUTED_VALUE"""),11.0)</f>
        <v>11</v>
      </c>
      <c r="C5599" s="11">
        <f>IFERROR(__xludf.DUMMYFUNCTION("""COMPUTED_VALUE"""),9562.0)</f>
        <v>9562</v>
      </c>
      <c r="D5599" s="11">
        <f>IFERROR(__xludf.DUMMYFUNCTION("""COMPUTED_VALUE"""),274.0)</f>
        <v>274</v>
      </c>
      <c r="E5599" s="9"/>
    </row>
    <row r="5600">
      <c r="A5600" s="11">
        <f>IFERROR(__xludf.DUMMYFUNCTION("""COMPUTED_VALUE"""),2021.0)</f>
        <v>2021</v>
      </c>
      <c r="B5600" s="11">
        <f>IFERROR(__xludf.DUMMYFUNCTION("""COMPUTED_VALUE"""),10.0)</f>
        <v>10</v>
      </c>
      <c r="C5600" s="11">
        <f>IFERROR(__xludf.DUMMYFUNCTION("""COMPUTED_VALUE"""),119250.0)</f>
        <v>119250</v>
      </c>
      <c r="D5600" s="11">
        <f>IFERROR(__xludf.DUMMYFUNCTION("""COMPUTED_VALUE"""),15.0)</f>
        <v>15</v>
      </c>
      <c r="E5600" s="9"/>
    </row>
    <row r="5601">
      <c r="A5601" s="11">
        <f>IFERROR(__xludf.DUMMYFUNCTION("""COMPUTED_VALUE"""),2021.0)</f>
        <v>2021</v>
      </c>
      <c r="B5601" s="11">
        <f>IFERROR(__xludf.DUMMYFUNCTION("""COMPUTED_VALUE"""),9.0)</f>
        <v>9</v>
      </c>
      <c r="C5601" s="11">
        <f>IFERROR(__xludf.DUMMYFUNCTION("""COMPUTED_VALUE"""),122297.0)</f>
        <v>122297</v>
      </c>
      <c r="D5601" s="11">
        <f>IFERROR(__xludf.DUMMYFUNCTION("""COMPUTED_VALUE"""),1622.0)</f>
        <v>1622</v>
      </c>
      <c r="E5601" s="9"/>
    </row>
    <row r="5602">
      <c r="A5602" s="11">
        <f>IFERROR(__xludf.DUMMYFUNCTION("""COMPUTED_VALUE"""),2021.0)</f>
        <v>2021</v>
      </c>
      <c r="B5602" s="11">
        <f>IFERROR(__xludf.DUMMYFUNCTION("""COMPUTED_VALUE"""),10.0)</f>
        <v>10</v>
      </c>
      <c r="C5602" s="11">
        <f>IFERROR(__xludf.DUMMYFUNCTION("""COMPUTED_VALUE"""),164879.0)</f>
        <v>164879</v>
      </c>
      <c r="D5602" s="11">
        <f>IFERROR(__xludf.DUMMYFUNCTION("""COMPUTED_VALUE"""),1571.0)</f>
        <v>1571</v>
      </c>
      <c r="E5602" s="9"/>
    </row>
    <row r="5603">
      <c r="A5603" s="11">
        <f>IFERROR(__xludf.DUMMYFUNCTION("""COMPUTED_VALUE"""),2021.0)</f>
        <v>2021</v>
      </c>
      <c r="B5603" s="11">
        <f>IFERROR(__xludf.DUMMYFUNCTION("""COMPUTED_VALUE"""),8.0)</f>
        <v>8</v>
      </c>
      <c r="C5603" s="11">
        <f>IFERROR(__xludf.DUMMYFUNCTION("""COMPUTED_VALUE"""),48697.0)</f>
        <v>48697</v>
      </c>
      <c r="D5603" s="11">
        <f>IFERROR(__xludf.DUMMYFUNCTION("""COMPUTED_VALUE"""),1786.0)</f>
        <v>1786</v>
      </c>
      <c r="E5603" s="9"/>
    </row>
    <row r="5604">
      <c r="A5604" s="11">
        <f>IFERROR(__xludf.DUMMYFUNCTION("""COMPUTED_VALUE"""),2021.0)</f>
        <v>2021</v>
      </c>
      <c r="B5604" s="11">
        <f>IFERROR(__xludf.DUMMYFUNCTION("""COMPUTED_VALUE"""),10.0)</f>
        <v>10</v>
      </c>
      <c r="C5604" s="11">
        <f>IFERROR(__xludf.DUMMYFUNCTION("""COMPUTED_VALUE"""),122299.0)</f>
        <v>122299</v>
      </c>
      <c r="D5604" s="11">
        <f>IFERROR(__xludf.DUMMYFUNCTION("""COMPUTED_VALUE"""),52.0)</f>
        <v>52</v>
      </c>
      <c r="E5604" s="9"/>
    </row>
    <row r="5605">
      <c r="A5605" s="11">
        <f>IFERROR(__xludf.DUMMYFUNCTION("""COMPUTED_VALUE"""),2021.0)</f>
        <v>2021</v>
      </c>
      <c r="B5605" s="11">
        <f>IFERROR(__xludf.DUMMYFUNCTION("""COMPUTED_VALUE"""),9.0)</f>
        <v>9</v>
      </c>
      <c r="C5605" s="11">
        <f>IFERROR(__xludf.DUMMYFUNCTION("""COMPUTED_VALUE"""),82997.0)</f>
        <v>82997</v>
      </c>
      <c r="D5605" s="11">
        <f>IFERROR(__xludf.DUMMYFUNCTION("""COMPUTED_VALUE"""),580.0)</f>
        <v>580</v>
      </c>
      <c r="E5605" s="9"/>
    </row>
    <row r="5606">
      <c r="A5606" s="11">
        <f>IFERROR(__xludf.DUMMYFUNCTION("""COMPUTED_VALUE"""),2021.0)</f>
        <v>2021</v>
      </c>
      <c r="B5606" s="11">
        <f>IFERROR(__xludf.DUMMYFUNCTION("""COMPUTED_VALUE"""),8.0)</f>
        <v>8</v>
      </c>
      <c r="C5606" s="11">
        <f>IFERROR(__xludf.DUMMYFUNCTION("""COMPUTED_VALUE"""),108350.0)</f>
        <v>108350</v>
      </c>
      <c r="D5606" s="11">
        <f>IFERROR(__xludf.DUMMYFUNCTION("""COMPUTED_VALUE"""),582.0)</f>
        <v>582</v>
      </c>
      <c r="E5606" s="9"/>
    </row>
    <row r="5607">
      <c r="A5607" s="11">
        <f>IFERROR(__xludf.DUMMYFUNCTION("""COMPUTED_VALUE"""),2021.0)</f>
        <v>2021</v>
      </c>
      <c r="B5607" s="11">
        <f>IFERROR(__xludf.DUMMYFUNCTION("""COMPUTED_VALUE"""),8.0)</f>
        <v>8</v>
      </c>
      <c r="C5607" s="11">
        <f>IFERROR(__xludf.DUMMYFUNCTION("""COMPUTED_VALUE"""),48699.0)</f>
        <v>48699</v>
      </c>
      <c r="D5607" s="11">
        <f>IFERROR(__xludf.DUMMYFUNCTION("""COMPUTED_VALUE"""),1456.0)</f>
        <v>1456</v>
      </c>
      <c r="E5607" s="9"/>
    </row>
    <row r="5608">
      <c r="A5608" s="11">
        <f>IFERROR(__xludf.DUMMYFUNCTION("""COMPUTED_VALUE"""),2021.0)</f>
        <v>2021</v>
      </c>
      <c r="B5608" s="11">
        <f>IFERROR(__xludf.DUMMYFUNCTION("""COMPUTED_VALUE"""),9.0)</f>
        <v>9</v>
      </c>
      <c r="C5608" s="11">
        <f>IFERROR(__xludf.DUMMYFUNCTION("""COMPUTED_VALUE"""),108364.0)</f>
        <v>108364</v>
      </c>
      <c r="D5608" s="11">
        <f>IFERROR(__xludf.DUMMYFUNCTION("""COMPUTED_VALUE"""),1909.0)</f>
        <v>1909</v>
      </c>
      <c r="E5608" s="9"/>
    </row>
    <row r="5609">
      <c r="A5609" s="11">
        <f>IFERROR(__xludf.DUMMYFUNCTION("""COMPUTED_VALUE"""),2021.0)</f>
        <v>2021</v>
      </c>
      <c r="B5609" s="11">
        <f>IFERROR(__xludf.DUMMYFUNCTION("""COMPUTED_VALUE"""),10.0)</f>
        <v>10</v>
      </c>
      <c r="C5609" s="11">
        <f>IFERROR(__xludf.DUMMYFUNCTION("""COMPUTED_VALUE"""),5799.0)</f>
        <v>5799</v>
      </c>
      <c r="D5609" s="11">
        <f>IFERROR(__xludf.DUMMYFUNCTION("""COMPUTED_VALUE"""),185.0)</f>
        <v>185</v>
      </c>
      <c r="E5609" s="9"/>
    </row>
    <row r="5610">
      <c r="A5610" s="11">
        <f>IFERROR(__xludf.DUMMYFUNCTION("""COMPUTED_VALUE"""),2021.0)</f>
        <v>2021</v>
      </c>
      <c r="B5610" s="11">
        <f>IFERROR(__xludf.DUMMYFUNCTION("""COMPUTED_VALUE"""),10.0)</f>
        <v>10</v>
      </c>
      <c r="C5610" s="11">
        <f>IFERROR(__xludf.DUMMYFUNCTION("""COMPUTED_VALUE"""),81501.0)</f>
        <v>81501</v>
      </c>
      <c r="D5610" s="11">
        <f>IFERROR(__xludf.DUMMYFUNCTION("""COMPUTED_VALUE"""),949.0)</f>
        <v>949</v>
      </c>
      <c r="E5610" s="9"/>
    </row>
    <row r="5611">
      <c r="A5611" s="11">
        <f>IFERROR(__xludf.DUMMYFUNCTION("""COMPUTED_VALUE"""),2021.0)</f>
        <v>2021</v>
      </c>
      <c r="B5611" s="11">
        <f>IFERROR(__xludf.DUMMYFUNCTION("""COMPUTED_VALUE"""),9.0)</f>
        <v>9</v>
      </c>
      <c r="C5611" s="11">
        <f>IFERROR(__xludf.DUMMYFUNCTION("""COMPUTED_VALUE"""),47648.0)</f>
        <v>47648</v>
      </c>
      <c r="D5611" s="11">
        <f>IFERROR(__xludf.DUMMYFUNCTION("""COMPUTED_VALUE"""),1559.0)</f>
        <v>1559</v>
      </c>
      <c r="E5611" s="9"/>
    </row>
    <row r="5612">
      <c r="A5612" s="11">
        <f>IFERROR(__xludf.DUMMYFUNCTION("""COMPUTED_VALUE"""),2021.0)</f>
        <v>2021</v>
      </c>
      <c r="B5612" s="11">
        <f>IFERROR(__xludf.DUMMYFUNCTION("""COMPUTED_VALUE"""),10.0)</f>
        <v>10</v>
      </c>
      <c r="C5612" s="11">
        <f>IFERROR(__xludf.DUMMYFUNCTION("""COMPUTED_VALUE"""),105328.0)</f>
        <v>105328</v>
      </c>
      <c r="D5612" s="11">
        <f>IFERROR(__xludf.DUMMYFUNCTION("""COMPUTED_VALUE"""),1837.0)</f>
        <v>1837</v>
      </c>
      <c r="E5612" s="9"/>
    </row>
    <row r="5613">
      <c r="A5613" s="11">
        <f>IFERROR(__xludf.DUMMYFUNCTION("""COMPUTED_VALUE"""),2021.0)</f>
        <v>2021</v>
      </c>
      <c r="B5613" s="11">
        <f>IFERROR(__xludf.DUMMYFUNCTION("""COMPUTED_VALUE"""),10.0)</f>
        <v>10</v>
      </c>
      <c r="C5613" s="11">
        <f>IFERROR(__xludf.DUMMYFUNCTION("""COMPUTED_VALUE"""),47654.0)</f>
        <v>47654</v>
      </c>
      <c r="D5613" s="11">
        <f>IFERROR(__xludf.DUMMYFUNCTION("""COMPUTED_VALUE"""),1869.0)</f>
        <v>1869</v>
      </c>
      <c r="E5613" s="9"/>
    </row>
    <row r="5614">
      <c r="A5614" s="11">
        <f>IFERROR(__xludf.DUMMYFUNCTION("""COMPUTED_VALUE"""),2021.0)</f>
        <v>2021</v>
      </c>
      <c r="B5614" s="11">
        <f>IFERROR(__xludf.DUMMYFUNCTION("""COMPUTED_VALUE"""),11.0)</f>
        <v>11</v>
      </c>
      <c r="C5614" s="11">
        <f>IFERROR(__xludf.DUMMYFUNCTION("""COMPUTED_VALUE"""),82371.0)</f>
        <v>82371</v>
      </c>
      <c r="D5614" s="11">
        <f>IFERROR(__xludf.DUMMYFUNCTION("""COMPUTED_VALUE"""),984.0)</f>
        <v>984</v>
      </c>
      <c r="E5614" s="9"/>
    </row>
    <row r="5615">
      <c r="A5615" s="11">
        <f>IFERROR(__xludf.DUMMYFUNCTION("""COMPUTED_VALUE"""),2021.0)</f>
        <v>2021</v>
      </c>
      <c r="B5615" s="11">
        <f>IFERROR(__xludf.DUMMYFUNCTION("""COMPUTED_VALUE"""),11.0)</f>
        <v>11</v>
      </c>
      <c r="C5615" s="11">
        <f>IFERROR(__xludf.DUMMYFUNCTION("""COMPUTED_VALUE"""),81500.0)</f>
        <v>81500</v>
      </c>
      <c r="D5615" s="11">
        <f>IFERROR(__xludf.DUMMYFUNCTION("""COMPUTED_VALUE"""),1793.0)</f>
        <v>1793</v>
      </c>
      <c r="E5615" s="9"/>
    </row>
    <row r="5616">
      <c r="A5616" s="11">
        <f>IFERROR(__xludf.DUMMYFUNCTION("""COMPUTED_VALUE"""),2021.0)</f>
        <v>2021</v>
      </c>
      <c r="B5616" s="11">
        <f>IFERROR(__xludf.DUMMYFUNCTION("""COMPUTED_VALUE"""),8.0)</f>
        <v>8</v>
      </c>
      <c r="C5616" s="11">
        <f>IFERROR(__xludf.DUMMYFUNCTION("""COMPUTED_VALUE"""),48501.0)</f>
        <v>48501</v>
      </c>
      <c r="D5616" s="11">
        <f>IFERROR(__xludf.DUMMYFUNCTION("""COMPUTED_VALUE"""),49.0)</f>
        <v>49</v>
      </c>
      <c r="E5616" s="9"/>
    </row>
    <row r="5617">
      <c r="A5617" s="11">
        <f>IFERROR(__xludf.DUMMYFUNCTION("""COMPUTED_VALUE"""),2021.0)</f>
        <v>2021</v>
      </c>
      <c r="B5617" s="11">
        <f>IFERROR(__xludf.DUMMYFUNCTION("""COMPUTED_VALUE"""),9.0)</f>
        <v>9</v>
      </c>
      <c r="C5617" s="11">
        <f>IFERROR(__xludf.DUMMYFUNCTION("""COMPUTED_VALUE"""),81498.0)</f>
        <v>81498</v>
      </c>
      <c r="D5617" s="11">
        <f>IFERROR(__xludf.DUMMYFUNCTION("""COMPUTED_VALUE"""),221.0)</f>
        <v>221</v>
      </c>
      <c r="E5617" s="9"/>
    </row>
    <row r="5618">
      <c r="A5618" s="11">
        <f>IFERROR(__xludf.DUMMYFUNCTION("""COMPUTED_VALUE"""),2021.0)</f>
        <v>2021</v>
      </c>
      <c r="B5618" s="11">
        <f>IFERROR(__xludf.DUMMYFUNCTION("""COMPUTED_VALUE"""),8.0)</f>
        <v>8</v>
      </c>
      <c r="C5618" s="11">
        <f>IFERROR(__xludf.DUMMYFUNCTION("""COMPUTED_VALUE"""),48498.0)</f>
        <v>48498</v>
      </c>
      <c r="D5618" s="11">
        <f>IFERROR(__xludf.DUMMYFUNCTION("""COMPUTED_VALUE"""),1110.0)</f>
        <v>1110</v>
      </c>
      <c r="E5618" s="9"/>
    </row>
    <row r="5619">
      <c r="A5619" s="11">
        <f>IFERROR(__xludf.DUMMYFUNCTION("""COMPUTED_VALUE"""),2021.0)</f>
        <v>2021</v>
      </c>
      <c r="B5619" s="11">
        <f>IFERROR(__xludf.DUMMYFUNCTION("""COMPUTED_VALUE"""),8.0)</f>
        <v>8</v>
      </c>
      <c r="C5619" s="11">
        <f>IFERROR(__xludf.DUMMYFUNCTION("""COMPUTED_VALUE"""),88628.0)</f>
        <v>88628</v>
      </c>
      <c r="D5619" s="11">
        <f>IFERROR(__xludf.DUMMYFUNCTION("""COMPUTED_VALUE"""),435.0)</f>
        <v>435</v>
      </c>
      <c r="E5619" s="9"/>
    </row>
    <row r="5620">
      <c r="A5620" s="11">
        <f>IFERROR(__xludf.DUMMYFUNCTION("""COMPUTED_VALUE"""),2021.0)</f>
        <v>2021</v>
      </c>
      <c r="B5620" s="11">
        <f>IFERROR(__xludf.DUMMYFUNCTION("""COMPUTED_VALUE"""),9.0)</f>
        <v>9</v>
      </c>
      <c r="C5620" s="11">
        <f>IFERROR(__xludf.DUMMYFUNCTION("""COMPUTED_VALUE"""),180340.0)</f>
        <v>180340</v>
      </c>
      <c r="D5620" s="11">
        <f>IFERROR(__xludf.DUMMYFUNCTION("""COMPUTED_VALUE"""),1576.0)</f>
        <v>1576</v>
      </c>
      <c r="E5620" s="9"/>
    </row>
    <row r="5621">
      <c r="A5621" s="11">
        <f>IFERROR(__xludf.DUMMYFUNCTION("""COMPUTED_VALUE"""),2021.0)</f>
        <v>2021</v>
      </c>
      <c r="B5621" s="11">
        <f>IFERROR(__xludf.DUMMYFUNCTION("""COMPUTED_VALUE"""),11.0)</f>
        <v>11</v>
      </c>
      <c r="C5621" s="11">
        <f>IFERROR(__xludf.DUMMYFUNCTION("""COMPUTED_VALUE"""),48503.0)</f>
        <v>48503</v>
      </c>
      <c r="D5621" s="11">
        <f>IFERROR(__xludf.DUMMYFUNCTION("""COMPUTED_VALUE"""),1231.0)</f>
        <v>1231</v>
      </c>
      <c r="E5621" s="9"/>
    </row>
    <row r="5622">
      <c r="A5622" s="11">
        <f>IFERROR(__xludf.DUMMYFUNCTION("""COMPUTED_VALUE"""),2021.0)</f>
        <v>2021</v>
      </c>
      <c r="B5622" s="11">
        <f>IFERROR(__xludf.DUMMYFUNCTION("""COMPUTED_VALUE"""),9.0)</f>
        <v>9</v>
      </c>
      <c r="C5622" s="11">
        <f>IFERROR(__xludf.DUMMYFUNCTION("""COMPUTED_VALUE"""),74819.0)</f>
        <v>74819</v>
      </c>
      <c r="D5622" s="11">
        <f>IFERROR(__xludf.DUMMYFUNCTION("""COMPUTED_VALUE"""),1542.0)</f>
        <v>1542</v>
      </c>
      <c r="E5622" s="9"/>
    </row>
    <row r="5623">
      <c r="A5623" s="11">
        <f>IFERROR(__xludf.DUMMYFUNCTION("""COMPUTED_VALUE"""),2021.0)</f>
        <v>2021</v>
      </c>
      <c r="B5623" s="11">
        <f>IFERROR(__xludf.DUMMYFUNCTION("""COMPUTED_VALUE"""),8.0)</f>
        <v>8</v>
      </c>
      <c r="C5623" s="11">
        <f>IFERROR(__xludf.DUMMYFUNCTION("""COMPUTED_VALUE"""),48502.0)</f>
        <v>48502</v>
      </c>
      <c r="D5623" s="11">
        <f>IFERROR(__xludf.DUMMYFUNCTION("""COMPUTED_VALUE"""),1390.0)</f>
        <v>1390</v>
      </c>
      <c r="E5623" s="9"/>
    </row>
    <row r="5624">
      <c r="A5624" s="11">
        <f>IFERROR(__xludf.DUMMYFUNCTION("""COMPUTED_VALUE"""),2021.0)</f>
        <v>2021</v>
      </c>
      <c r="B5624" s="11">
        <f>IFERROR(__xludf.DUMMYFUNCTION("""COMPUTED_VALUE"""),9.0)</f>
        <v>9</v>
      </c>
      <c r="C5624" s="11">
        <f>IFERROR(__xludf.DUMMYFUNCTION("""COMPUTED_VALUE"""),96001.0)</f>
        <v>96001</v>
      </c>
      <c r="D5624" s="11">
        <f>IFERROR(__xludf.DUMMYFUNCTION("""COMPUTED_VALUE"""),1466.0)</f>
        <v>1466</v>
      </c>
      <c r="E5624" s="9"/>
    </row>
    <row r="5625">
      <c r="A5625" s="11">
        <f>IFERROR(__xludf.DUMMYFUNCTION("""COMPUTED_VALUE"""),2021.0)</f>
        <v>2021</v>
      </c>
      <c r="B5625" s="11">
        <f>IFERROR(__xludf.DUMMYFUNCTION("""COMPUTED_VALUE"""),11.0)</f>
        <v>11</v>
      </c>
      <c r="C5625" s="11">
        <f>IFERROR(__xludf.DUMMYFUNCTION("""COMPUTED_VALUE"""),103095.0)</f>
        <v>103095</v>
      </c>
      <c r="D5625" s="11">
        <f>IFERROR(__xludf.DUMMYFUNCTION("""COMPUTED_VALUE"""),1058.0)</f>
        <v>1058</v>
      </c>
      <c r="E5625" s="9"/>
    </row>
    <row r="5626">
      <c r="A5626" s="11">
        <f>IFERROR(__xludf.DUMMYFUNCTION("""COMPUTED_VALUE"""),2021.0)</f>
        <v>2021</v>
      </c>
      <c r="B5626" s="11">
        <f>IFERROR(__xludf.DUMMYFUNCTION("""COMPUTED_VALUE"""),8.0)</f>
        <v>8</v>
      </c>
      <c r="C5626" s="11">
        <f>IFERROR(__xludf.DUMMYFUNCTION("""COMPUTED_VALUE"""),88627.0)</f>
        <v>88627</v>
      </c>
      <c r="D5626" s="11">
        <f>IFERROR(__xludf.DUMMYFUNCTION("""COMPUTED_VALUE"""),1956.0)</f>
        <v>1956</v>
      </c>
      <c r="E5626" s="9"/>
    </row>
    <row r="5627">
      <c r="A5627" s="11">
        <f>IFERROR(__xludf.DUMMYFUNCTION("""COMPUTED_VALUE"""),2021.0)</f>
        <v>2021</v>
      </c>
      <c r="B5627" s="11">
        <f>IFERROR(__xludf.DUMMYFUNCTION("""COMPUTED_VALUE"""),10.0)</f>
        <v>10</v>
      </c>
      <c r="C5627" s="11">
        <f>IFERROR(__xludf.DUMMYFUNCTION("""COMPUTED_VALUE"""),105329.0)</f>
        <v>105329</v>
      </c>
      <c r="D5627" s="11">
        <f>IFERROR(__xludf.DUMMYFUNCTION("""COMPUTED_VALUE"""),1145.0)</f>
        <v>1145</v>
      </c>
      <c r="E5627" s="9"/>
    </row>
    <row r="5628">
      <c r="A5628" s="11">
        <f>IFERROR(__xludf.DUMMYFUNCTION("""COMPUTED_VALUE"""),2021.0)</f>
        <v>2021</v>
      </c>
      <c r="B5628" s="11">
        <f>IFERROR(__xludf.DUMMYFUNCTION("""COMPUTED_VALUE"""),10.0)</f>
        <v>10</v>
      </c>
      <c r="C5628" s="11">
        <f>IFERROR(__xludf.DUMMYFUNCTION("""COMPUTED_VALUE"""),105330.0)</f>
        <v>105330</v>
      </c>
      <c r="D5628" s="11">
        <f>IFERROR(__xludf.DUMMYFUNCTION("""COMPUTED_VALUE"""),843.0)</f>
        <v>843</v>
      </c>
      <c r="E5628" s="9"/>
    </row>
    <row r="5629">
      <c r="A5629" s="11">
        <f>IFERROR(__xludf.DUMMYFUNCTION("""COMPUTED_VALUE"""),2021.0)</f>
        <v>2021</v>
      </c>
      <c r="B5629" s="11">
        <f>IFERROR(__xludf.DUMMYFUNCTION("""COMPUTED_VALUE"""),9.0)</f>
        <v>9</v>
      </c>
      <c r="C5629" s="11">
        <f>IFERROR(__xludf.DUMMYFUNCTION("""COMPUTED_VALUE"""),80252.0)</f>
        <v>80252</v>
      </c>
      <c r="D5629" s="11">
        <f>IFERROR(__xludf.DUMMYFUNCTION("""COMPUTED_VALUE"""),1567.0)</f>
        <v>1567</v>
      </c>
      <c r="E5629" s="9"/>
    </row>
    <row r="5630">
      <c r="A5630" s="11">
        <f>IFERROR(__xludf.DUMMYFUNCTION("""COMPUTED_VALUE"""),2021.0)</f>
        <v>2021</v>
      </c>
      <c r="B5630" s="11">
        <f>IFERROR(__xludf.DUMMYFUNCTION("""COMPUTED_VALUE"""),11.0)</f>
        <v>11</v>
      </c>
      <c r="C5630" s="11">
        <f>IFERROR(__xludf.DUMMYFUNCTION("""COMPUTED_VALUE"""),77468.0)</f>
        <v>77468</v>
      </c>
      <c r="D5630" s="11">
        <f>IFERROR(__xludf.DUMMYFUNCTION("""COMPUTED_VALUE"""),747.0)</f>
        <v>747</v>
      </c>
      <c r="E5630" s="9"/>
    </row>
    <row r="5631">
      <c r="A5631" s="11">
        <f>IFERROR(__xludf.DUMMYFUNCTION("""COMPUTED_VALUE"""),2021.0)</f>
        <v>2021</v>
      </c>
      <c r="B5631" s="11">
        <f>IFERROR(__xludf.DUMMYFUNCTION("""COMPUTED_VALUE"""),10.0)</f>
        <v>10</v>
      </c>
      <c r="C5631" s="11">
        <f>IFERROR(__xludf.DUMMYFUNCTION("""COMPUTED_VALUE"""),24203.0)</f>
        <v>24203</v>
      </c>
      <c r="D5631" s="11">
        <f>IFERROR(__xludf.DUMMYFUNCTION("""COMPUTED_VALUE"""),1718.0)</f>
        <v>1718</v>
      </c>
      <c r="E5631" s="9"/>
    </row>
    <row r="5632">
      <c r="A5632" s="11">
        <f>IFERROR(__xludf.DUMMYFUNCTION("""COMPUTED_VALUE"""),2021.0)</f>
        <v>2021</v>
      </c>
      <c r="B5632" s="11">
        <f>IFERROR(__xludf.DUMMYFUNCTION("""COMPUTED_VALUE"""),11.0)</f>
        <v>11</v>
      </c>
      <c r="C5632" s="11">
        <f>IFERROR(__xludf.DUMMYFUNCTION("""COMPUTED_VALUE"""),139291.0)</f>
        <v>139291</v>
      </c>
      <c r="D5632" s="11">
        <f>IFERROR(__xludf.DUMMYFUNCTION("""COMPUTED_VALUE"""),569.0)</f>
        <v>569</v>
      </c>
      <c r="E5632" s="9"/>
    </row>
    <row r="5633">
      <c r="A5633" s="11">
        <f>IFERROR(__xludf.DUMMYFUNCTION("""COMPUTED_VALUE"""),2021.0)</f>
        <v>2021</v>
      </c>
      <c r="B5633" s="11">
        <f>IFERROR(__xludf.DUMMYFUNCTION("""COMPUTED_VALUE"""),10.0)</f>
        <v>10</v>
      </c>
      <c r="C5633" s="11">
        <f>IFERROR(__xludf.DUMMYFUNCTION("""COMPUTED_VALUE"""),77426.0)</f>
        <v>77426</v>
      </c>
      <c r="D5633" s="11">
        <f>IFERROR(__xludf.DUMMYFUNCTION("""COMPUTED_VALUE"""),305.0)</f>
        <v>305</v>
      </c>
      <c r="E5633" s="9"/>
    </row>
    <row r="5634">
      <c r="A5634" s="11">
        <f>IFERROR(__xludf.DUMMYFUNCTION("""COMPUTED_VALUE"""),2021.0)</f>
        <v>2021</v>
      </c>
      <c r="B5634" s="11">
        <f>IFERROR(__xludf.DUMMYFUNCTION("""COMPUTED_VALUE"""),9.0)</f>
        <v>9</v>
      </c>
      <c r="C5634" s="11">
        <f>IFERROR(__xludf.DUMMYFUNCTION("""COMPUTED_VALUE"""),94039.0)</f>
        <v>94039</v>
      </c>
      <c r="D5634" s="11">
        <f>IFERROR(__xludf.DUMMYFUNCTION("""COMPUTED_VALUE"""),888.0)</f>
        <v>888</v>
      </c>
      <c r="E5634" s="9"/>
    </row>
    <row r="5635">
      <c r="A5635" s="11">
        <f>IFERROR(__xludf.DUMMYFUNCTION("""COMPUTED_VALUE"""),2021.0)</f>
        <v>2021</v>
      </c>
      <c r="B5635" s="11">
        <f>IFERROR(__xludf.DUMMYFUNCTION("""COMPUTED_VALUE"""),11.0)</f>
        <v>11</v>
      </c>
      <c r="C5635" s="11">
        <f>IFERROR(__xludf.DUMMYFUNCTION("""COMPUTED_VALUE"""),9508.0)</f>
        <v>9508</v>
      </c>
      <c r="D5635" s="11">
        <f>IFERROR(__xludf.DUMMYFUNCTION("""COMPUTED_VALUE"""),1822.0)</f>
        <v>1822</v>
      </c>
      <c r="E5635" s="9"/>
    </row>
    <row r="5636">
      <c r="A5636" s="11">
        <f>IFERROR(__xludf.DUMMYFUNCTION("""COMPUTED_VALUE"""),2021.0)</f>
        <v>2021</v>
      </c>
      <c r="B5636" s="11">
        <f>IFERROR(__xludf.DUMMYFUNCTION("""COMPUTED_VALUE"""),8.0)</f>
        <v>8</v>
      </c>
      <c r="C5636" s="11">
        <f>IFERROR(__xludf.DUMMYFUNCTION("""COMPUTED_VALUE"""),121595.0)</f>
        <v>121595</v>
      </c>
      <c r="D5636" s="11">
        <f>IFERROR(__xludf.DUMMYFUNCTION("""COMPUTED_VALUE"""),1205.0)</f>
        <v>1205</v>
      </c>
      <c r="E5636" s="9"/>
    </row>
    <row r="5637">
      <c r="A5637" s="11">
        <f>IFERROR(__xludf.DUMMYFUNCTION("""COMPUTED_VALUE"""),2021.0)</f>
        <v>2021</v>
      </c>
      <c r="B5637" s="11">
        <f>IFERROR(__xludf.DUMMYFUNCTION("""COMPUTED_VALUE"""),11.0)</f>
        <v>11</v>
      </c>
      <c r="C5637" s="11">
        <f>IFERROR(__xludf.DUMMYFUNCTION("""COMPUTED_VALUE"""),124762.0)</f>
        <v>124762</v>
      </c>
      <c r="D5637" s="11">
        <f>IFERROR(__xludf.DUMMYFUNCTION("""COMPUTED_VALUE"""),835.0)</f>
        <v>835</v>
      </c>
      <c r="E5637" s="9"/>
    </row>
    <row r="5638">
      <c r="A5638" s="11">
        <f>IFERROR(__xludf.DUMMYFUNCTION("""COMPUTED_VALUE"""),2021.0)</f>
        <v>2021</v>
      </c>
      <c r="B5638" s="11">
        <f>IFERROR(__xludf.DUMMYFUNCTION("""COMPUTED_VALUE"""),9.0)</f>
        <v>9</v>
      </c>
      <c r="C5638" s="11">
        <f>IFERROR(__xludf.DUMMYFUNCTION("""COMPUTED_VALUE"""),77462.0)</f>
        <v>77462</v>
      </c>
      <c r="D5638" s="11">
        <f>IFERROR(__xludf.DUMMYFUNCTION("""COMPUTED_VALUE"""),5.0)</f>
        <v>5</v>
      </c>
      <c r="E5638" s="9"/>
    </row>
    <row r="5639">
      <c r="A5639" s="11">
        <f>IFERROR(__xludf.DUMMYFUNCTION("""COMPUTED_VALUE"""),2021.0)</f>
        <v>2021</v>
      </c>
      <c r="B5639" s="11">
        <f>IFERROR(__xludf.DUMMYFUNCTION("""COMPUTED_VALUE"""),9.0)</f>
        <v>9</v>
      </c>
      <c r="C5639" s="11">
        <f>IFERROR(__xludf.DUMMYFUNCTION("""COMPUTED_VALUE"""),49158.0)</f>
        <v>49158</v>
      </c>
      <c r="D5639" s="11">
        <f>IFERROR(__xludf.DUMMYFUNCTION("""COMPUTED_VALUE"""),1932.0)</f>
        <v>1932</v>
      </c>
      <c r="E5639" s="9"/>
    </row>
    <row r="5640">
      <c r="A5640" s="11">
        <f>IFERROR(__xludf.DUMMYFUNCTION("""COMPUTED_VALUE"""),2021.0)</f>
        <v>2021</v>
      </c>
      <c r="B5640" s="11">
        <f>IFERROR(__xludf.DUMMYFUNCTION("""COMPUTED_VALUE"""),11.0)</f>
        <v>11</v>
      </c>
      <c r="C5640" s="11">
        <f>IFERROR(__xludf.DUMMYFUNCTION("""COMPUTED_VALUE"""),93982.0)</f>
        <v>93982</v>
      </c>
      <c r="D5640" s="11">
        <f>IFERROR(__xludf.DUMMYFUNCTION("""COMPUTED_VALUE"""),1517.0)</f>
        <v>1517</v>
      </c>
      <c r="E5640" s="9"/>
    </row>
    <row r="5641">
      <c r="A5641" s="11">
        <f>IFERROR(__xludf.DUMMYFUNCTION("""COMPUTED_VALUE"""),2021.0)</f>
        <v>2021</v>
      </c>
      <c r="B5641" s="11">
        <f>IFERROR(__xludf.DUMMYFUNCTION("""COMPUTED_VALUE"""),9.0)</f>
        <v>9</v>
      </c>
      <c r="C5641" s="11">
        <f>IFERROR(__xludf.DUMMYFUNCTION("""COMPUTED_VALUE"""),9546.0)</f>
        <v>9546</v>
      </c>
      <c r="D5641" s="11">
        <f>IFERROR(__xludf.DUMMYFUNCTION("""COMPUTED_VALUE"""),1413.0)</f>
        <v>1413</v>
      </c>
      <c r="E5641" s="9"/>
    </row>
    <row r="5642">
      <c r="A5642" s="11">
        <f>IFERROR(__xludf.DUMMYFUNCTION("""COMPUTED_VALUE"""),2021.0)</f>
        <v>2021</v>
      </c>
      <c r="B5642" s="11">
        <f>IFERROR(__xludf.DUMMYFUNCTION("""COMPUTED_VALUE"""),11.0)</f>
        <v>11</v>
      </c>
      <c r="C5642" s="11">
        <f>IFERROR(__xludf.DUMMYFUNCTION("""COMPUTED_VALUE"""),9482.0)</f>
        <v>9482</v>
      </c>
      <c r="D5642" s="11">
        <f>IFERROR(__xludf.DUMMYFUNCTION("""COMPUTED_VALUE"""),1335.0)</f>
        <v>1335</v>
      </c>
      <c r="E5642" s="9"/>
    </row>
    <row r="5643">
      <c r="A5643" s="11">
        <f>IFERROR(__xludf.DUMMYFUNCTION("""COMPUTED_VALUE"""),2021.0)</f>
        <v>2021</v>
      </c>
      <c r="B5643" s="11">
        <f>IFERROR(__xludf.DUMMYFUNCTION("""COMPUTED_VALUE"""),8.0)</f>
        <v>8</v>
      </c>
      <c r="C5643" s="11">
        <f>IFERROR(__xludf.DUMMYFUNCTION("""COMPUTED_VALUE"""),139290.0)</f>
        <v>139290</v>
      </c>
      <c r="D5643" s="11">
        <f>IFERROR(__xludf.DUMMYFUNCTION("""COMPUTED_VALUE"""),15.0)</f>
        <v>15</v>
      </c>
      <c r="E5643" s="9"/>
    </row>
    <row r="5644">
      <c r="A5644" s="11">
        <f>IFERROR(__xludf.DUMMYFUNCTION("""COMPUTED_VALUE"""),2021.0)</f>
        <v>2021</v>
      </c>
      <c r="B5644" s="11">
        <f>IFERROR(__xludf.DUMMYFUNCTION("""COMPUTED_VALUE"""),11.0)</f>
        <v>11</v>
      </c>
      <c r="C5644" s="11">
        <f>IFERROR(__xludf.DUMMYFUNCTION("""COMPUTED_VALUE"""),121596.0)</f>
        <v>121596</v>
      </c>
      <c r="D5644" s="11">
        <f>IFERROR(__xludf.DUMMYFUNCTION("""COMPUTED_VALUE"""),1732.0)</f>
        <v>1732</v>
      </c>
      <c r="E5644" s="9"/>
    </row>
    <row r="5645">
      <c r="A5645" s="11">
        <f>IFERROR(__xludf.DUMMYFUNCTION("""COMPUTED_VALUE"""),2021.0)</f>
        <v>2021</v>
      </c>
      <c r="B5645" s="11">
        <f>IFERROR(__xludf.DUMMYFUNCTION("""COMPUTED_VALUE"""),10.0)</f>
        <v>10</v>
      </c>
      <c r="C5645" s="11">
        <f>IFERROR(__xludf.DUMMYFUNCTION("""COMPUTED_VALUE"""),14441.0)</f>
        <v>14441</v>
      </c>
      <c r="D5645" s="11">
        <f>IFERROR(__xludf.DUMMYFUNCTION("""COMPUTED_VALUE"""),401.0)</f>
        <v>401</v>
      </c>
      <c r="E5645" s="9"/>
    </row>
    <row r="5646">
      <c r="A5646" s="11">
        <f>IFERROR(__xludf.DUMMYFUNCTION("""COMPUTED_VALUE"""),2021.0)</f>
        <v>2021</v>
      </c>
      <c r="B5646" s="11">
        <f>IFERROR(__xludf.DUMMYFUNCTION("""COMPUTED_VALUE"""),8.0)</f>
        <v>8</v>
      </c>
      <c r="C5646" s="11">
        <f>IFERROR(__xludf.DUMMYFUNCTION("""COMPUTED_VALUE"""),9489.0)</f>
        <v>9489</v>
      </c>
      <c r="D5646" s="11">
        <f>IFERROR(__xludf.DUMMYFUNCTION("""COMPUTED_VALUE"""),492.0)</f>
        <v>492</v>
      </c>
      <c r="E5646" s="9"/>
    </row>
    <row r="5647">
      <c r="A5647" s="11">
        <f>IFERROR(__xludf.DUMMYFUNCTION("""COMPUTED_VALUE"""),2021.0)</f>
        <v>2021</v>
      </c>
      <c r="B5647" s="11">
        <f>IFERROR(__xludf.DUMMYFUNCTION("""COMPUTED_VALUE"""),9.0)</f>
        <v>9</v>
      </c>
      <c r="C5647" s="11">
        <f>IFERROR(__xludf.DUMMYFUNCTION("""COMPUTED_VALUE"""),103189.0)</f>
        <v>103189</v>
      </c>
      <c r="D5647" s="11">
        <f>IFERROR(__xludf.DUMMYFUNCTION("""COMPUTED_VALUE"""),507.0)</f>
        <v>507</v>
      </c>
      <c r="E5647" s="9"/>
    </row>
    <row r="5648">
      <c r="A5648" s="11">
        <f>IFERROR(__xludf.DUMMYFUNCTION("""COMPUTED_VALUE"""),2021.0)</f>
        <v>2021</v>
      </c>
      <c r="B5648" s="11">
        <f>IFERROR(__xludf.DUMMYFUNCTION("""COMPUTED_VALUE"""),8.0)</f>
        <v>8</v>
      </c>
      <c r="C5648" s="11">
        <f>IFERROR(__xludf.DUMMYFUNCTION("""COMPUTED_VALUE"""),9567.0)</f>
        <v>9567</v>
      </c>
      <c r="D5648" s="11">
        <f>IFERROR(__xludf.DUMMYFUNCTION("""COMPUTED_VALUE"""),1512.0)</f>
        <v>1512</v>
      </c>
      <c r="E5648" s="9"/>
    </row>
    <row r="5649">
      <c r="A5649" s="11">
        <f>IFERROR(__xludf.DUMMYFUNCTION("""COMPUTED_VALUE"""),2021.0)</f>
        <v>2021</v>
      </c>
      <c r="B5649" s="11">
        <f>IFERROR(__xludf.DUMMYFUNCTION("""COMPUTED_VALUE"""),10.0)</f>
        <v>10</v>
      </c>
      <c r="C5649" s="11">
        <f>IFERROR(__xludf.DUMMYFUNCTION("""COMPUTED_VALUE"""),9543.0)</f>
        <v>9543</v>
      </c>
      <c r="D5649" s="11">
        <f>IFERROR(__xludf.DUMMYFUNCTION("""COMPUTED_VALUE"""),1849.0)</f>
        <v>1849</v>
      </c>
      <c r="E5649" s="9"/>
    </row>
    <row r="5650">
      <c r="A5650" s="11">
        <f>IFERROR(__xludf.DUMMYFUNCTION("""COMPUTED_VALUE"""),2021.0)</f>
        <v>2021</v>
      </c>
      <c r="B5650" s="11">
        <f>IFERROR(__xludf.DUMMYFUNCTION("""COMPUTED_VALUE"""),8.0)</f>
        <v>8</v>
      </c>
      <c r="C5650" s="11">
        <f>IFERROR(__xludf.DUMMYFUNCTION("""COMPUTED_VALUE"""),77471.0)</f>
        <v>77471</v>
      </c>
      <c r="D5650" s="11">
        <f>IFERROR(__xludf.DUMMYFUNCTION("""COMPUTED_VALUE"""),1865.0)</f>
        <v>1865</v>
      </c>
      <c r="E5650" s="9"/>
    </row>
    <row r="5651">
      <c r="A5651" s="11">
        <f>IFERROR(__xludf.DUMMYFUNCTION("""COMPUTED_VALUE"""),2021.0)</f>
        <v>2021</v>
      </c>
      <c r="B5651" s="11">
        <f>IFERROR(__xludf.DUMMYFUNCTION("""COMPUTED_VALUE"""),8.0)</f>
        <v>8</v>
      </c>
      <c r="C5651" s="11">
        <f>IFERROR(__xludf.DUMMYFUNCTION("""COMPUTED_VALUE"""),164631.0)</f>
        <v>164631</v>
      </c>
      <c r="D5651" s="11">
        <f>IFERROR(__xludf.DUMMYFUNCTION("""COMPUTED_VALUE"""),1790.0)</f>
        <v>1790</v>
      </c>
      <c r="E5651" s="9"/>
    </row>
    <row r="5652">
      <c r="A5652" s="11">
        <f>IFERROR(__xludf.DUMMYFUNCTION("""COMPUTED_VALUE"""),2021.0)</f>
        <v>2021</v>
      </c>
      <c r="B5652" s="11">
        <f>IFERROR(__xludf.DUMMYFUNCTION("""COMPUTED_VALUE"""),11.0)</f>
        <v>11</v>
      </c>
      <c r="C5652" s="11">
        <f>IFERROR(__xludf.DUMMYFUNCTION("""COMPUTED_VALUE"""),9606.0)</f>
        <v>9606</v>
      </c>
      <c r="D5652" s="11">
        <f>IFERROR(__xludf.DUMMYFUNCTION("""COMPUTED_VALUE"""),1093.0)</f>
        <v>1093</v>
      </c>
      <c r="E5652" s="9"/>
    </row>
    <row r="5653">
      <c r="A5653" s="11">
        <f>IFERROR(__xludf.DUMMYFUNCTION("""COMPUTED_VALUE"""),2021.0)</f>
        <v>2021</v>
      </c>
      <c r="B5653" s="11">
        <f>IFERROR(__xludf.DUMMYFUNCTION("""COMPUTED_VALUE"""),10.0)</f>
        <v>10</v>
      </c>
      <c r="C5653" s="11">
        <f>IFERROR(__xludf.DUMMYFUNCTION("""COMPUTED_VALUE"""),77473.0)</f>
        <v>77473</v>
      </c>
      <c r="D5653" s="11">
        <f>IFERROR(__xludf.DUMMYFUNCTION("""COMPUTED_VALUE"""),417.0)</f>
        <v>417</v>
      </c>
      <c r="E5653" s="9"/>
    </row>
    <row r="5654">
      <c r="A5654" s="11">
        <f>IFERROR(__xludf.DUMMYFUNCTION("""COMPUTED_VALUE"""),2021.0)</f>
        <v>2021</v>
      </c>
      <c r="B5654" s="11">
        <f>IFERROR(__xludf.DUMMYFUNCTION("""COMPUTED_VALUE"""),10.0)</f>
        <v>10</v>
      </c>
      <c r="C5654" s="11">
        <f>IFERROR(__xludf.DUMMYFUNCTION("""COMPUTED_VALUE"""),9484.0)</f>
        <v>9484</v>
      </c>
      <c r="D5654" s="11">
        <f>IFERROR(__xludf.DUMMYFUNCTION("""COMPUTED_VALUE"""),51.0)</f>
        <v>51</v>
      </c>
      <c r="E5654" s="9"/>
    </row>
    <row r="5655">
      <c r="A5655" s="11">
        <f>IFERROR(__xludf.DUMMYFUNCTION("""COMPUTED_VALUE"""),2021.0)</f>
        <v>2021</v>
      </c>
      <c r="B5655" s="11">
        <f>IFERROR(__xludf.DUMMYFUNCTION("""COMPUTED_VALUE"""),8.0)</f>
        <v>8</v>
      </c>
      <c r="C5655" s="11">
        <f>IFERROR(__xludf.DUMMYFUNCTION("""COMPUTED_VALUE"""),14439.0)</f>
        <v>14439</v>
      </c>
      <c r="D5655" s="11">
        <f>IFERROR(__xludf.DUMMYFUNCTION("""COMPUTED_VALUE"""),354.0)</f>
        <v>354</v>
      </c>
      <c r="E5655" s="9"/>
    </row>
    <row r="5656">
      <c r="A5656" s="11">
        <f>IFERROR(__xludf.DUMMYFUNCTION("""COMPUTED_VALUE"""),2021.0)</f>
        <v>2021</v>
      </c>
      <c r="B5656" s="11">
        <f>IFERROR(__xludf.DUMMYFUNCTION("""COMPUTED_VALUE"""),11.0)</f>
        <v>11</v>
      </c>
      <c r="C5656" s="11">
        <f>IFERROR(__xludf.DUMMYFUNCTION("""COMPUTED_VALUE"""),124761.0)</f>
        <v>124761</v>
      </c>
      <c r="D5656" s="11">
        <f>IFERROR(__xludf.DUMMYFUNCTION("""COMPUTED_VALUE"""),399.0)</f>
        <v>399</v>
      </c>
      <c r="E5656" s="9"/>
    </row>
    <row r="5657">
      <c r="A5657" s="11">
        <f>IFERROR(__xludf.DUMMYFUNCTION("""COMPUTED_VALUE"""),2021.0)</f>
        <v>2021</v>
      </c>
      <c r="B5657" s="11">
        <f>IFERROR(__xludf.DUMMYFUNCTION("""COMPUTED_VALUE"""),9.0)</f>
        <v>9</v>
      </c>
      <c r="C5657" s="11">
        <f>IFERROR(__xludf.DUMMYFUNCTION("""COMPUTED_VALUE"""),14440.0)</f>
        <v>14440</v>
      </c>
      <c r="D5657" s="11">
        <f>IFERROR(__xludf.DUMMYFUNCTION("""COMPUTED_VALUE"""),826.0)</f>
        <v>826</v>
      </c>
      <c r="E5657" s="9"/>
    </row>
    <row r="5658">
      <c r="A5658" s="11">
        <f>IFERROR(__xludf.DUMMYFUNCTION("""COMPUTED_VALUE"""),2021.0)</f>
        <v>2021</v>
      </c>
      <c r="B5658" s="11">
        <f>IFERROR(__xludf.DUMMYFUNCTION("""COMPUTED_VALUE"""),9.0)</f>
        <v>9</v>
      </c>
      <c r="C5658" s="11">
        <f>IFERROR(__xludf.DUMMYFUNCTION("""COMPUTED_VALUE"""),9544.0)</f>
        <v>9544</v>
      </c>
      <c r="D5658" s="11">
        <f>IFERROR(__xludf.DUMMYFUNCTION("""COMPUTED_VALUE"""),506.0)</f>
        <v>506</v>
      </c>
      <c r="E5658" s="9"/>
    </row>
    <row r="5659">
      <c r="A5659" s="11">
        <f>IFERROR(__xludf.DUMMYFUNCTION("""COMPUTED_VALUE"""),2021.0)</f>
        <v>2021</v>
      </c>
      <c r="B5659" s="11">
        <f>IFERROR(__xludf.DUMMYFUNCTION("""COMPUTED_VALUE"""),8.0)</f>
        <v>8</v>
      </c>
      <c r="C5659" s="11">
        <f>IFERROR(__xludf.DUMMYFUNCTION("""COMPUTED_VALUE"""),46482.0)</f>
        <v>46482</v>
      </c>
      <c r="D5659" s="11">
        <f>IFERROR(__xludf.DUMMYFUNCTION("""COMPUTED_VALUE"""),1915.0)</f>
        <v>1915</v>
      </c>
      <c r="E5659" s="9"/>
    </row>
    <row r="5660">
      <c r="A5660" s="11">
        <f>IFERROR(__xludf.DUMMYFUNCTION("""COMPUTED_VALUE"""),2021.0)</f>
        <v>2021</v>
      </c>
      <c r="B5660" s="11">
        <f>IFERROR(__xludf.DUMMYFUNCTION("""COMPUTED_VALUE"""),11.0)</f>
        <v>11</v>
      </c>
      <c r="C5660" s="11">
        <f>IFERROR(__xludf.DUMMYFUNCTION("""COMPUTED_VALUE"""),46773.0)</f>
        <v>46773</v>
      </c>
      <c r="D5660" s="11">
        <f>IFERROR(__xludf.DUMMYFUNCTION("""COMPUTED_VALUE"""),221.0)</f>
        <v>221</v>
      </c>
      <c r="E5660" s="9"/>
    </row>
    <row r="5661">
      <c r="A5661" s="11">
        <f>IFERROR(__xludf.DUMMYFUNCTION("""COMPUTED_VALUE"""),2021.0)</f>
        <v>2021</v>
      </c>
      <c r="B5661" s="11">
        <f>IFERROR(__xludf.DUMMYFUNCTION("""COMPUTED_VALUE"""),8.0)</f>
        <v>8</v>
      </c>
      <c r="C5661" s="11">
        <f>IFERROR(__xludf.DUMMYFUNCTION("""COMPUTED_VALUE"""),81502.0)</f>
        <v>81502</v>
      </c>
      <c r="D5661" s="11">
        <f>IFERROR(__xludf.DUMMYFUNCTION("""COMPUTED_VALUE"""),849.0)</f>
        <v>849</v>
      </c>
      <c r="E5661" s="9"/>
    </row>
    <row r="5662">
      <c r="A5662" s="11">
        <f>IFERROR(__xludf.DUMMYFUNCTION("""COMPUTED_VALUE"""),2021.0)</f>
        <v>2021</v>
      </c>
      <c r="B5662" s="11">
        <f>IFERROR(__xludf.DUMMYFUNCTION("""COMPUTED_VALUE"""),10.0)</f>
        <v>10</v>
      </c>
      <c r="C5662" s="11">
        <f>IFERROR(__xludf.DUMMYFUNCTION("""COMPUTED_VALUE"""),76035.0)</f>
        <v>76035</v>
      </c>
      <c r="D5662" s="11">
        <f>IFERROR(__xludf.DUMMYFUNCTION("""COMPUTED_VALUE"""),458.0)</f>
        <v>458</v>
      </c>
      <c r="E5662" s="9"/>
    </row>
    <row r="5663">
      <c r="A5663" s="11">
        <f>IFERROR(__xludf.DUMMYFUNCTION("""COMPUTED_VALUE"""),2021.0)</f>
        <v>2021</v>
      </c>
      <c r="B5663" s="11">
        <f>IFERROR(__xludf.DUMMYFUNCTION("""COMPUTED_VALUE"""),10.0)</f>
        <v>10</v>
      </c>
      <c r="C5663" s="11">
        <f>IFERROR(__xludf.DUMMYFUNCTION("""COMPUTED_VALUE"""),46774.0)</f>
        <v>46774</v>
      </c>
      <c r="D5663" s="11">
        <f>IFERROR(__xludf.DUMMYFUNCTION("""COMPUTED_VALUE"""),337.0)</f>
        <v>337</v>
      </c>
      <c r="E5663" s="9"/>
    </row>
    <row r="5664">
      <c r="A5664" s="11">
        <f>IFERROR(__xludf.DUMMYFUNCTION("""COMPUTED_VALUE"""),2021.0)</f>
        <v>2021</v>
      </c>
      <c r="B5664" s="11">
        <f>IFERROR(__xludf.DUMMYFUNCTION("""COMPUTED_VALUE"""),9.0)</f>
        <v>9</v>
      </c>
      <c r="C5664" s="11">
        <f>IFERROR(__xludf.DUMMYFUNCTION("""COMPUTED_VALUE"""),121029.0)</f>
        <v>121029</v>
      </c>
      <c r="D5664" s="11">
        <f>IFERROR(__xludf.DUMMYFUNCTION("""COMPUTED_VALUE"""),428.0)</f>
        <v>428</v>
      </c>
      <c r="E5664" s="9"/>
    </row>
    <row r="5665">
      <c r="A5665" s="11">
        <f>IFERROR(__xludf.DUMMYFUNCTION("""COMPUTED_VALUE"""),2021.0)</f>
        <v>2021</v>
      </c>
      <c r="B5665" s="11">
        <f>IFERROR(__xludf.DUMMYFUNCTION("""COMPUTED_VALUE"""),10.0)</f>
        <v>10</v>
      </c>
      <c r="C5665" s="11">
        <f>IFERROR(__xludf.DUMMYFUNCTION("""COMPUTED_VALUE"""),128199.0)</f>
        <v>128199</v>
      </c>
      <c r="D5665" s="11">
        <f>IFERROR(__xludf.DUMMYFUNCTION("""COMPUTED_VALUE"""),1333.0)</f>
        <v>1333</v>
      </c>
      <c r="E5665" s="9"/>
    </row>
    <row r="5666">
      <c r="A5666" s="11">
        <f>IFERROR(__xludf.DUMMYFUNCTION("""COMPUTED_VALUE"""),2021.0)</f>
        <v>2021</v>
      </c>
      <c r="B5666" s="11">
        <f>IFERROR(__xludf.DUMMYFUNCTION("""COMPUTED_VALUE"""),9.0)</f>
        <v>9</v>
      </c>
      <c r="C5666" s="11">
        <f>IFERROR(__xludf.DUMMYFUNCTION("""COMPUTED_VALUE"""),82408.0)</f>
        <v>82408</v>
      </c>
      <c r="D5666" s="11">
        <f>IFERROR(__xludf.DUMMYFUNCTION("""COMPUTED_VALUE"""),320.0)</f>
        <v>320</v>
      </c>
      <c r="E5666" s="9"/>
    </row>
    <row r="5667">
      <c r="A5667" s="11">
        <f>IFERROR(__xludf.DUMMYFUNCTION("""COMPUTED_VALUE"""),2021.0)</f>
        <v>2021</v>
      </c>
      <c r="B5667" s="11">
        <f>IFERROR(__xludf.DUMMYFUNCTION("""COMPUTED_VALUE"""),9.0)</f>
        <v>9</v>
      </c>
      <c r="C5667" s="11">
        <f>IFERROR(__xludf.DUMMYFUNCTION("""COMPUTED_VALUE"""),139298.0)</f>
        <v>139298</v>
      </c>
      <c r="D5667" s="11">
        <f>IFERROR(__xludf.DUMMYFUNCTION("""COMPUTED_VALUE"""),1688.0)</f>
        <v>1688</v>
      </c>
      <c r="E5667" s="9"/>
    </row>
    <row r="5668">
      <c r="A5668" s="11">
        <f>IFERROR(__xludf.DUMMYFUNCTION("""COMPUTED_VALUE"""),2021.0)</f>
        <v>2021</v>
      </c>
      <c r="B5668" s="11">
        <f>IFERROR(__xludf.DUMMYFUNCTION("""COMPUTED_VALUE"""),9.0)</f>
        <v>9</v>
      </c>
      <c r="C5668" s="11">
        <f>IFERROR(__xludf.DUMMYFUNCTION("""COMPUTED_VALUE"""),91397.0)</f>
        <v>91397</v>
      </c>
      <c r="D5668" s="11">
        <f>IFERROR(__xludf.DUMMYFUNCTION("""COMPUTED_VALUE"""),88.0)</f>
        <v>88</v>
      </c>
      <c r="E5668" s="9"/>
    </row>
    <row r="5669">
      <c r="A5669" s="11">
        <f>IFERROR(__xludf.DUMMYFUNCTION("""COMPUTED_VALUE"""),2021.0)</f>
        <v>2021</v>
      </c>
      <c r="B5669" s="11">
        <f>IFERROR(__xludf.DUMMYFUNCTION("""COMPUTED_VALUE"""),8.0)</f>
        <v>8</v>
      </c>
      <c r="C5669" s="11">
        <f>IFERROR(__xludf.DUMMYFUNCTION("""COMPUTED_VALUE"""),91396.0)</f>
        <v>91396</v>
      </c>
      <c r="D5669" s="11">
        <f>IFERROR(__xludf.DUMMYFUNCTION("""COMPUTED_VALUE"""),1741.0)</f>
        <v>1741</v>
      </c>
      <c r="E5669" s="9"/>
    </row>
    <row r="5670">
      <c r="A5670" s="11">
        <f>IFERROR(__xludf.DUMMYFUNCTION("""COMPUTED_VALUE"""),2021.0)</f>
        <v>2021</v>
      </c>
      <c r="B5670" s="11">
        <f>IFERROR(__xludf.DUMMYFUNCTION("""COMPUTED_VALUE"""),10.0)</f>
        <v>10</v>
      </c>
      <c r="C5670" s="11">
        <f>IFERROR(__xludf.DUMMYFUNCTION("""COMPUTED_VALUE"""),139302.0)</f>
        <v>139302</v>
      </c>
      <c r="D5670" s="11">
        <f>IFERROR(__xludf.DUMMYFUNCTION("""COMPUTED_VALUE"""),599.0)</f>
        <v>599</v>
      </c>
      <c r="E5670" s="9"/>
    </row>
    <row r="5671">
      <c r="A5671" s="11">
        <f>IFERROR(__xludf.DUMMYFUNCTION("""COMPUTED_VALUE"""),2021.0)</f>
        <v>2021</v>
      </c>
      <c r="B5671" s="11">
        <f>IFERROR(__xludf.DUMMYFUNCTION("""COMPUTED_VALUE"""),11.0)</f>
        <v>11</v>
      </c>
      <c r="C5671" s="11">
        <f>IFERROR(__xludf.DUMMYFUNCTION("""COMPUTED_VALUE"""),118283.0)</f>
        <v>118283</v>
      </c>
      <c r="D5671" s="11">
        <f>IFERROR(__xludf.DUMMYFUNCTION("""COMPUTED_VALUE"""),1725.0)</f>
        <v>1725</v>
      </c>
      <c r="E5671" s="9"/>
    </row>
    <row r="5672">
      <c r="A5672" s="11">
        <f>IFERROR(__xludf.DUMMYFUNCTION("""COMPUTED_VALUE"""),2021.0)</f>
        <v>2021</v>
      </c>
      <c r="B5672" s="11">
        <f>IFERROR(__xludf.DUMMYFUNCTION("""COMPUTED_VALUE"""),10.0)</f>
        <v>10</v>
      </c>
      <c r="C5672" s="11">
        <f>IFERROR(__xludf.DUMMYFUNCTION("""COMPUTED_VALUE"""),118286.0)</f>
        <v>118286</v>
      </c>
      <c r="D5672" s="11">
        <f>IFERROR(__xludf.DUMMYFUNCTION("""COMPUTED_VALUE"""),1763.0)</f>
        <v>1763</v>
      </c>
      <c r="E5672" s="9"/>
    </row>
    <row r="5673">
      <c r="A5673" s="11">
        <f>IFERROR(__xludf.DUMMYFUNCTION("""COMPUTED_VALUE"""),2021.0)</f>
        <v>2021</v>
      </c>
      <c r="B5673" s="11">
        <f>IFERROR(__xludf.DUMMYFUNCTION("""COMPUTED_VALUE"""),11.0)</f>
        <v>11</v>
      </c>
      <c r="C5673" s="11">
        <f>IFERROR(__xludf.DUMMYFUNCTION("""COMPUTED_VALUE"""),3375.0)</f>
        <v>3375</v>
      </c>
      <c r="D5673" s="11">
        <f>IFERROR(__xludf.DUMMYFUNCTION("""COMPUTED_VALUE"""),1283.0)</f>
        <v>1283</v>
      </c>
      <c r="E5673" s="9"/>
    </row>
    <row r="5674">
      <c r="A5674" s="11">
        <f>IFERROR(__xludf.DUMMYFUNCTION("""COMPUTED_VALUE"""),2021.0)</f>
        <v>2021</v>
      </c>
      <c r="B5674" s="11">
        <f>IFERROR(__xludf.DUMMYFUNCTION("""COMPUTED_VALUE"""),9.0)</f>
        <v>9</v>
      </c>
      <c r="C5674" s="11">
        <f>IFERROR(__xludf.DUMMYFUNCTION("""COMPUTED_VALUE"""),118285.0)</f>
        <v>118285</v>
      </c>
      <c r="D5674" s="11">
        <f>IFERROR(__xludf.DUMMYFUNCTION("""COMPUTED_VALUE"""),841.0)</f>
        <v>841</v>
      </c>
      <c r="E5674" s="9"/>
    </row>
    <row r="5675">
      <c r="A5675" s="11">
        <f>IFERROR(__xludf.DUMMYFUNCTION("""COMPUTED_VALUE"""),2021.0)</f>
        <v>2021</v>
      </c>
      <c r="B5675" s="11">
        <f>IFERROR(__xludf.DUMMYFUNCTION("""COMPUTED_VALUE"""),11.0)</f>
        <v>11</v>
      </c>
      <c r="C5675" s="11">
        <f>IFERROR(__xludf.DUMMYFUNCTION("""COMPUTED_VALUE"""),118284.0)</f>
        <v>118284</v>
      </c>
      <c r="D5675" s="11">
        <f>IFERROR(__xludf.DUMMYFUNCTION("""COMPUTED_VALUE"""),8.0)</f>
        <v>8</v>
      </c>
      <c r="E5675" s="9"/>
    </row>
    <row r="5676">
      <c r="A5676" s="11">
        <f>IFERROR(__xludf.DUMMYFUNCTION("""COMPUTED_VALUE"""),2021.0)</f>
        <v>2021</v>
      </c>
      <c r="B5676" s="11">
        <f>IFERROR(__xludf.DUMMYFUNCTION("""COMPUTED_VALUE"""),9.0)</f>
        <v>9</v>
      </c>
      <c r="C5676" s="11">
        <f>IFERROR(__xludf.DUMMYFUNCTION("""COMPUTED_VALUE"""),116522.0)</f>
        <v>116522</v>
      </c>
      <c r="D5676" s="11">
        <f>IFERROR(__xludf.DUMMYFUNCTION("""COMPUTED_VALUE"""),1350.0)</f>
        <v>1350</v>
      </c>
      <c r="E5676" s="9"/>
    </row>
    <row r="5677">
      <c r="A5677" s="11">
        <f>IFERROR(__xludf.DUMMYFUNCTION("""COMPUTED_VALUE"""),2021.0)</f>
        <v>2021</v>
      </c>
      <c r="B5677" s="11">
        <f>IFERROR(__xludf.DUMMYFUNCTION("""COMPUTED_VALUE"""),9.0)</f>
        <v>9</v>
      </c>
      <c r="C5677" s="11">
        <f>IFERROR(__xludf.DUMMYFUNCTION("""COMPUTED_VALUE"""),139307.0)</f>
        <v>139307</v>
      </c>
      <c r="D5677" s="11">
        <f>IFERROR(__xludf.DUMMYFUNCTION("""COMPUTED_VALUE"""),740.0)</f>
        <v>740</v>
      </c>
      <c r="E5677" s="9"/>
    </row>
    <row r="5678">
      <c r="A5678" s="11">
        <f>IFERROR(__xludf.DUMMYFUNCTION("""COMPUTED_VALUE"""),2021.0)</f>
        <v>2021</v>
      </c>
      <c r="B5678" s="11">
        <f>IFERROR(__xludf.DUMMYFUNCTION("""COMPUTED_VALUE"""),9.0)</f>
        <v>9</v>
      </c>
      <c r="C5678" s="11">
        <f>IFERROR(__xludf.DUMMYFUNCTION("""COMPUTED_VALUE"""),120253.0)</f>
        <v>120253</v>
      </c>
      <c r="D5678" s="11">
        <f>IFERROR(__xludf.DUMMYFUNCTION("""COMPUTED_VALUE"""),579.0)</f>
        <v>579</v>
      </c>
      <c r="E5678" s="9"/>
    </row>
    <row r="5679">
      <c r="A5679" s="11">
        <f>IFERROR(__xludf.DUMMYFUNCTION("""COMPUTED_VALUE"""),2021.0)</f>
        <v>2021</v>
      </c>
      <c r="B5679" s="11">
        <f>IFERROR(__xludf.DUMMYFUNCTION("""COMPUTED_VALUE"""),11.0)</f>
        <v>11</v>
      </c>
      <c r="C5679" s="11">
        <f>IFERROR(__xludf.DUMMYFUNCTION("""COMPUTED_VALUE"""),120252.0)</f>
        <v>120252</v>
      </c>
      <c r="D5679" s="11">
        <f>IFERROR(__xludf.DUMMYFUNCTION("""COMPUTED_VALUE"""),1758.0)</f>
        <v>1758</v>
      </c>
      <c r="E5679" s="9"/>
    </row>
    <row r="5680">
      <c r="A5680" s="11">
        <f>IFERROR(__xludf.DUMMYFUNCTION("""COMPUTED_VALUE"""),2021.0)</f>
        <v>2021</v>
      </c>
      <c r="B5680" s="11">
        <f>IFERROR(__xludf.DUMMYFUNCTION("""COMPUTED_VALUE"""),11.0)</f>
        <v>11</v>
      </c>
      <c r="C5680" s="11">
        <f>IFERROR(__xludf.DUMMYFUNCTION("""COMPUTED_VALUE"""),120251.0)</f>
        <v>120251</v>
      </c>
      <c r="D5680" s="11">
        <f>IFERROR(__xludf.DUMMYFUNCTION("""COMPUTED_VALUE"""),1713.0)</f>
        <v>1713</v>
      </c>
      <c r="E5680" s="9"/>
    </row>
    <row r="5681">
      <c r="A5681" s="11">
        <f>IFERROR(__xludf.DUMMYFUNCTION("""COMPUTED_VALUE"""),2021.0)</f>
        <v>2021</v>
      </c>
      <c r="B5681" s="11">
        <f>IFERROR(__xludf.DUMMYFUNCTION("""COMPUTED_VALUE"""),8.0)</f>
        <v>8</v>
      </c>
      <c r="C5681" s="11">
        <f>IFERROR(__xludf.DUMMYFUNCTION("""COMPUTED_VALUE"""),139306.0)</f>
        <v>139306</v>
      </c>
      <c r="D5681" s="11">
        <f>IFERROR(__xludf.DUMMYFUNCTION("""COMPUTED_VALUE"""),474.0)</f>
        <v>474</v>
      </c>
      <c r="E5681" s="9"/>
    </row>
    <row r="5682">
      <c r="A5682" s="11">
        <f>IFERROR(__xludf.DUMMYFUNCTION("""COMPUTED_VALUE"""),2021.0)</f>
        <v>2021</v>
      </c>
      <c r="B5682" s="11">
        <f>IFERROR(__xludf.DUMMYFUNCTION("""COMPUTED_VALUE"""),10.0)</f>
        <v>10</v>
      </c>
      <c r="C5682" s="11">
        <f>IFERROR(__xludf.DUMMYFUNCTION("""COMPUTED_VALUE"""),120255.0)</f>
        <v>120255</v>
      </c>
      <c r="D5682" s="11">
        <f>IFERROR(__xludf.DUMMYFUNCTION("""COMPUTED_VALUE"""),1641.0)</f>
        <v>1641</v>
      </c>
      <c r="E5682" s="9"/>
    </row>
    <row r="5683">
      <c r="A5683" s="11">
        <f>IFERROR(__xludf.DUMMYFUNCTION("""COMPUTED_VALUE"""),2021.0)</f>
        <v>2021</v>
      </c>
      <c r="B5683" s="11">
        <f>IFERROR(__xludf.DUMMYFUNCTION("""COMPUTED_VALUE"""),11.0)</f>
        <v>11</v>
      </c>
      <c r="C5683" s="11">
        <f>IFERROR(__xludf.DUMMYFUNCTION("""COMPUTED_VALUE"""),120980.0)</f>
        <v>120980</v>
      </c>
      <c r="D5683" s="11">
        <f>IFERROR(__xludf.DUMMYFUNCTION("""COMPUTED_VALUE"""),1693.0)</f>
        <v>1693</v>
      </c>
      <c r="E5683" s="9"/>
    </row>
    <row r="5684">
      <c r="A5684" s="11">
        <f>IFERROR(__xludf.DUMMYFUNCTION("""COMPUTED_VALUE"""),2021.0)</f>
        <v>2021</v>
      </c>
      <c r="B5684" s="11">
        <f>IFERROR(__xludf.DUMMYFUNCTION("""COMPUTED_VALUE"""),10.0)</f>
        <v>10</v>
      </c>
      <c r="C5684" s="11">
        <f>IFERROR(__xludf.DUMMYFUNCTION("""COMPUTED_VALUE"""),139299.0)</f>
        <v>139299</v>
      </c>
      <c r="D5684" s="11">
        <f>IFERROR(__xludf.DUMMYFUNCTION("""COMPUTED_VALUE"""),1372.0)</f>
        <v>1372</v>
      </c>
      <c r="E5684" s="9"/>
    </row>
    <row r="5685">
      <c r="A5685" s="11">
        <f>IFERROR(__xludf.DUMMYFUNCTION("""COMPUTED_VALUE"""),2021.0)</f>
        <v>2021</v>
      </c>
      <c r="B5685" s="11">
        <f>IFERROR(__xludf.DUMMYFUNCTION("""COMPUTED_VALUE"""),9.0)</f>
        <v>9</v>
      </c>
      <c r="C5685" s="11">
        <f>IFERROR(__xludf.DUMMYFUNCTION("""COMPUTED_VALUE"""),73635.0)</f>
        <v>73635</v>
      </c>
      <c r="D5685" s="11">
        <f>IFERROR(__xludf.DUMMYFUNCTION("""COMPUTED_VALUE"""),120.0)</f>
        <v>120</v>
      </c>
      <c r="E5685" s="9"/>
    </row>
    <row r="5686">
      <c r="A5686" s="11">
        <f>IFERROR(__xludf.DUMMYFUNCTION("""COMPUTED_VALUE"""),2021.0)</f>
        <v>2021</v>
      </c>
      <c r="B5686" s="11">
        <f>IFERROR(__xludf.DUMMYFUNCTION("""COMPUTED_VALUE"""),10.0)</f>
        <v>10</v>
      </c>
      <c r="C5686" s="11">
        <f>IFERROR(__xludf.DUMMYFUNCTION("""COMPUTED_VALUE"""),116537.0)</f>
        <v>116537</v>
      </c>
      <c r="D5686" s="11">
        <f>IFERROR(__xludf.DUMMYFUNCTION("""COMPUTED_VALUE"""),1132.0)</f>
        <v>1132</v>
      </c>
      <c r="E5686" s="9"/>
    </row>
    <row r="5687">
      <c r="A5687" s="11">
        <f>IFERROR(__xludf.DUMMYFUNCTION("""COMPUTED_VALUE"""),2021.0)</f>
        <v>2021</v>
      </c>
      <c r="B5687" s="11">
        <f>IFERROR(__xludf.DUMMYFUNCTION("""COMPUTED_VALUE"""),8.0)</f>
        <v>8</v>
      </c>
      <c r="C5687" s="11">
        <f>IFERROR(__xludf.DUMMYFUNCTION("""COMPUTED_VALUE"""),46716.0)</f>
        <v>46716</v>
      </c>
      <c r="D5687" s="11">
        <f>IFERROR(__xludf.DUMMYFUNCTION("""COMPUTED_VALUE"""),1843.0)</f>
        <v>1843</v>
      </c>
      <c r="E5687" s="9"/>
    </row>
    <row r="5688">
      <c r="A5688" s="11">
        <f>IFERROR(__xludf.DUMMYFUNCTION("""COMPUTED_VALUE"""),2021.0)</f>
        <v>2021</v>
      </c>
      <c r="B5688" s="11">
        <f>IFERROR(__xludf.DUMMYFUNCTION("""COMPUTED_VALUE"""),10.0)</f>
        <v>10</v>
      </c>
      <c r="C5688" s="11">
        <f>IFERROR(__xludf.DUMMYFUNCTION("""COMPUTED_VALUE"""),109161.0)</f>
        <v>109161</v>
      </c>
      <c r="D5688" s="11">
        <f>IFERROR(__xludf.DUMMYFUNCTION("""COMPUTED_VALUE"""),324.0)</f>
        <v>324</v>
      </c>
      <c r="E5688" s="9"/>
    </row>
    <row r="5689">
      <c r="A5689" s="11">
        <f>IFERROR(__xludf.DUMMYFUNCTION("""COMPUTED_VALUE"""),2021.0)</f>
        <v>2021</v>
      </c>
      <c r="B5689" s="11">
        <f>IFERROR(__xludf.DUMMYFUNCTION("""COMPUTED_VALUE"""),9.0)</f>
        <v>9</v>
      </c>
      <c r="C5689" s="11">
        <f>IFERROR(__xludf.DUMMYFUNCTION("""COMPUTED_VALUE"""),110760.0)</f>
        <v>110760</v>
      </c>
      <c r="D5689" s="11">
        <f>IFERROR(__xludf.DUMMYFUNCTION("""COMPUTED_VALUE"""),1534.0)</f>
        <v>1534</v>
      </c>
      <c r="E5689" s="9"/>
    </row>
    <row r="5690">
      <c r="A5690" s="11">
        <f>IFERROR(__xludf.DUMMYFUNCTION("""COMPUTED_VALUE"""),2021.0)</f>
        <v>2021</v>
      </c>
      <c r="B5690" s="11">
        <f>IFERROR(__xludf.DUMMYFUNCTION("""COMPUTED_VALUE"""),8.0)</f>
        <v>8</v>
      </c>
      <c r="C5690" s="11">
        <f>IFERROR(__xludf.DUMMYFUNCTION("""COMPUTED_VALUE"""),112095.0)</f>
        <v>112095</v>
      </c>
      <c r="D5690" s="11">
        <f>IFERROR(__xludf.DUMMYFUNCTION("""COMPUTED_VALUE"""),1630.0)</f>
        <v>1630</v>
      </c>
      <c r="E5690" s="9"/>
    </row>
    <row r="5691">
      <c r="A5691" s="11">
        <f>IFERROR(__xludf.DUMMYFUNCTION("""COMPUTED_VALUE"""),2021.0)</f>
        <v>2021</v>
      </c>
      <c r="B5691" s="11">
        <f>IFERROR(__xludf.DUMMYFUNCTION("""COMPUTED_VALUE"""),9.0)</f>
        <v>9</v>
      </c>
      <c r="C5691" s="11">
        <f>IFERROR(__xludf.DUMMYFUNCTION("""COMPUTED_VALUE"""),120261.0)</f>
        <v>120261</v>
      </c>
      <c r="D5691" s="11">
        <f>IFERROR(__xludf.DUMMYFUNCTION("""COMPUTED_VALUE"""),1214.0)</f>
        <v>1214</v>
      </c>
      <c r="E5691" s="9"/>
    </row>
    <row r="5692">
      <c r="A5692" s="11">
        <f>IFERROR(__xludf.DUMMYFUNCTION("""COMPUTED_VALUE"""),2021.0)</f>
        <v>2021</v>
      </c>
      <c r="B5692" s="11">
        <f>IFERROR(__xludf.DUMMYFUNCTION("""COMPUTED_VALUE"""),8.0)</f>
        <v>8</v>
      </c>
      <c r="C5692" s="11">
        <f>IFERROR(__xludf.DUMMYFUNCTION("""COMPUTED_VALUE"""),142302.0)</f>
        <v>142302</v>
      </c>
      <c r="D5692" s="11">
        <f>IFERROR(__xludf.DUMMYFUNCTION("""COMPUTED_VALUE"""),328.0)</f>
        <v>328</v>
      </c>
      <c r="E5692" s="9"/>
    </row>
    <row r="5693">
      <c r="A5693" s="11">
        <f>IFERROR(__xludf.DUMMYFUNCTION("""COMPUTED_VALUE"""),2021.0)</f>
        <v>2021</v>
      </c>
      <c r="B5693" s="11">
        <f>IFERROR(__xludf.DUMMYFUNCTION("""COMPUTED_VALUE"""),8.0)</f>
        <v>8</v>
      </c>
      <c r="C5693" s="11">
        <f>IFERROR(__xludf.DUMMYFUNCTION("""COMPUTED_VALUE"""),46715.0)</f>
        <v>46715</v>
      </c>
      <c r="D5693" s="11">
        <f>IFERROR(__xludf.DUMMYFUNCTION("""COMPUTED_VALUE"""),719.0)</f>
        <v>719</v>
      </c>
      <c r="E5693" s="9"/>
    </row>
    <row r="5694">
      <c r="A5694" s="11">
        <f>IFERROR(__xludf.DUMMYFUNCTION("""COMPUTED_VALUE"""),2021.0)</f>
        <v>2021</v>
      </c>
      <c r="B5694" s="11">
        <f>IFERROR(__xludf.DUMMYFUNCTION("""COMPUTED_VALUE"""),10.0)</f>
        <v>10</v>
      </c>
      <c r="C5694" s="11">
        <f>IFERROR(__xludf.DUMMYFUNCTION("""COMPUTED_VALUE"""),102190.0)</f>
        <v>102190</v>
      </c>
      <c r="D5694" s="11">
        <f>IFERROR(__xludf.DUMMYFUNCTION("""COMPUTED_VALUE"""),808.0)</f>
        <v>808</v>
      </c>
      <c r="E5694" s="9"/>
    </row>
    <row r="5695">
      <c r="A5695" s="11">
        <f>IFERROR(__xludf.DUMMYFUNCTION("""COMPUTED_VALUE"""),2021.0)</f>
        <v>2021</v>
      </c>
      <c r="B5695" s="11">
        <f>IFERROR(__xludf.DUMMYFUNCTION("""COMPUTED_VALUE"""),10.0)</f>
        <v>10</v>
      </c>
      <c r="C5695" s="11">
        <f>IFERROR(__xludf.DUMMYFUNCTION("""COMPUTED_VALUE"""),112098.0)</f>
        <v>112098</v>
      </c>
      <c r="D5695" s="11">
        <f>IFERROR(__xludf.DUMMYFUNCTION("""COMPUTED_VALUE"""),1598.0)</f>
        <v>1598</v>
      </c>
      <c r="E5695" s="9"/>
    </row>
    <row r="5696">
      <c r="A5696" s="11">
        <f>IFERROR(__xludf.DUMMYFUNCTION("""COMPUTED_VALUE"""),2021.0)</f>
        <v>2021</v>
      </c>
      <c r="B5696" s="11">
        <f>IFERROR(__xludf.DUMMYFUNCTION("""COMPUTED_VALUE"""),11.0)</f>
        <v>11</v>
      </c>
      <c r="C5696" s="11">
        <f>IFERROR(__xludf.DUMMYFUNCTION("""COMPUTED_VALUE"""),110761.0)</f>
        <v>110761</v>
      </c>
      <c r="D5696" s="11">
        <f>IFERROR(__xludf.DUMMYFUNCTION("""COMPUTED_VALUE"""),1682.0)</f>
        <v>1682</v>
      </c>
      <c r="E5696" s="9"/>
    </row>
    <row r="5697">
      <c r="A5697" s="11">
        <f>IFERROR(__xludf.DUMMYFUNCTION("""COMPUTED_VALUE"""),2021.0)</f>
        <v>2021</v>
      </c>
      <c r="B5697" s="11">
        <f>IFERROR(__xludf.DUMMYFUNCTION("""COMPUTED_VALUE"""),10.0)</f>
        <v>10</v>
      </c>
      <c r="C5697" s="11">
        <f>IFERROR(__xludf.DUMMYFUNCTION("""COMPUTED_VALUE"""),116529.0)</f>
        <v>116529</v>
      </c>
      <c r="D5697" s="11">
        <f>IFERROR(__xludf.DUMMYFUNCTION("""COMPUTED_VALUE"""),1141.0)</f>
        <v>1141</v>
      </c>
      <c r="E5697" s="9"/>
    </row>
    <row r="5698">
      <c r="A5698" s="11">
        <f>IFERROR(__xludf.DUMMYFUNCTION("""COMPUTED_VALUE"""),2021.0)</f>
        <v>2021</v>
      </c>
      <c r="B5698" s="11">
        <f>IFERROR(__xludf.DUMMYFUNCTION("""COMPUTED_VALUE"""),11.0)</f>
        <v>11</v>
      </c>
      <c r="C5698" s="11">
        <f>IFERROR(__xludf.DUMMYFUNCTION("""COMPUTED_VALUE"""),119245.0)</f>
        <v>119245</v>
      </c>
      <c r="D5698" s="11">
        <f>IFERROR(__xludf.DUMMYFUNCTION("""COMPUTED_VALUE"""),1738.0)</f>
        <v>1738</v>
      </c>
      <c r="E5698" s="9"/>
    </row>
    <row r="5699">
      <c r="A5699" s="11">
        <f>IFERROR(__xludf.DUMMYFUNCTION("""COMPUTED_VALUE"""),2021.0)</f>
        <v>2021</v>
      </c>
      <c r="B5699" s="11">
        <f>IFERROR(__xludf.DUMMYFUNCTION("""COMPUTED_VALUE"""),11.0)</f>
        <v>11</v>
      </c>
      <c r="C5699" s="11">
        <f>IFERROR(__xludf.DUMMYFUNCTION("""COMPUTED_VALUE"""),119454.0)</f>
        <v>119454</v>
      </c>
      <c r="D5699" s="11">
        <f>IFERROR(__xludf.DUMMYFUNCTION("""COMPUTED_VALUE"""),531.0)</f>
        <v>531</v>
      </c>
      <c r="E5699" s="9"/>
    </row>
    <row r="5700">
      <c r="A5700" s="11">
        <f>IFERROR(__xludf.DUMMYFUNCTION("""COMPUTED_VALUE"""),2021.0)</f>
        <v>2021</v>
      </c>
      <c r="B5700" s="11">
        <f>IFERROR(__xludf.DUMMYFUNCTION("""COMPUTED_VALUE"""),11.0)</f>
        <v>11</v>
      </c>
      <c r="C5700" s="11">
        <f>IFERROR(__xludf.DUMMYFUNCTION("""COMPUTED_VALUE"""),118131.0)</f>
        <v>118131</v>
      </c>
      <c r="D5700" s="11">
        <f>IFERROR(__xludf.DUMMYFUNCTION("""COMPUTED_VALUE"""),1071.0)</f>
        <v>1071</v>
      </c>
      <c r="E5700" s="9"/>
    </row>
    <row r="5701">
      <c r="A5701" s="11">
        <f>IFERROR(__xludf.DUMMYFUNCTION("""COMPUTED_VALUE"""),2021.0)</f>
        <v>2021</v>
      </c>
      <c r="B5701" s="11">
        <f>IFERROR(__xludf.DUMMYFUNCTION("""COMPUTED_VALUE"""),9.0)</f>
        <v>9</v>
      </c>
      <c r="C5701" s="11">
        <f>IFERROR(__xludf.DUMMYFUNCTION("""COMPUTED_VALUE"""),128395.0)</f>
        <v>128395</v>
      </c>
      <c r="D5701" s="11">
        <f>IFERROR(__xludf.DUMMYFUNCTION("""COMPUTED_VALUE"""),1894.0)</f>
        <v>1894</v>
      </c>
      <c r="E5701" s="9"/>
    </row>
    <row r="5702">
      <c r="A5702" s="11">
        <f>IFERROR(__xludf.DUMMYFUNCTION("""COMPUTED_VALUE"""),2021.0)</f>
        <v>2021</v>
      </c>
      <c r="B5702" s="11">
        <f>IFERROR(__xludf.DUMMYFUNCTION("""COMPUTED_VALUE"""),10.0)</f>
        <v>10</v>
      </c>
      <c r="C5702" s="11">
        <f>IFERROR(__xludf.DUMMYFUNCTION("""COMPUTED_VALUE"""),117482.0)</f>
        <v>117482</v>
      </c>
      <c r="D5702" s="11">
        <f>IFERROR(__xludf.DUMMYFUNCTION("""COMPUTED_VALUE"""),1766.0)</f>
        <v>1766</v>
      </c>
      <c r="E5702" s="9"/>
    </row>
    <row r="5703">
      <c r="A5703" s="11">
        <f>IFERROR(__xludf.DUMMYFUNCTION("""COMPUTED_VALUE"""),2021.0)</f>
        <v>2021</v>
      </c>
      <c r="B5703" s="11">
        <f>IFERROR(__xludf.DUMMYFUNCTION("""COMPUTED_VALUE"""),8.0)</f>
        <v>8</v>
      </c>
      <c r="C5703" s="11">
        <f>IFERROR(__xludf.DUMMYFUNCTION("""COMPUTED_VALUE"""),118130.0)</f>
        <v>118130</v>
      </c>
      <c r="D5703" s="11">
        <f>IFERROR(__xludf.DUMMYFUNCTION("""COMPUTED_VALUE"""),1348.0)</f>
        <v>1348</v>
      </c>
      <c r="E5703" s="9"/>
    </row>
    <row r="5704">
      <c r="A5704" s="11">
        <f>IFERROR(__xludf.DUMMYFUNCTION("""COMPUTED_VALUE"""),2021.0)</f>
        <v>2021</v>
      </c>
      <c r="B5704" s="11">
        <f>IFERROR(__xludf.DUMMYFUNCTION("""COMPUTED_VALUE"""),9.0)</f>
        <v>9</v>
      </c>
      <c r="C5704" s="11">
        <f>IFERROR(__xludf.DUMMYFUNCTION("""COMPUTED_VALUE"""),109209.0)</f>
        <v>109209</v>
      </c>
      <c r="D5704" s="11">
        <f>IFERROR(__xludf.DUMMYFUNCTION("""COMPUTED_VALUE"""),812.0)</f>
        <v>812</v>
      </c>
      <c r="E5704" s="9"/>
    </row>
    <row r="5705">
      <c r="A5705" s="11">
        <f>IFERROR(__xludf.DUMMYFUNCTION("""COMPUTED_VALUE"""),2021.0)</f>
        <v>2021</v>
      </c>
      <c r="B5705" s="11">
        <f>IFERROR(__xludf.DUMMYFUNCTION("""COMPUTED_VALUE"""),8.0)</f>
        <v>8</v>
      </c>
      <c r="C5705" s="11">
        <f>IFERROR(__xludf.DUMMYFUNCTION("""COMPUTED_VALUE"""),74428.0)</f>
        <v>74428</v>
      </c>
      <c r="D5705" s="11">
        <f>IFERROR(__xludf.DUMMYFUNCTION("""COMPUTED_VALUE"""),1648.0)</f>
        <v>1648</v>
      </c>
      <c r="E5705" s="9"/>
    </row>
    <row r="5706">
      <c r="A5706" s="11">
        <f>IFERROR(__xludf.DUMMYFUNCTION("""COMPUTED_VALUE"""),2021.0)</f>
        <v>2021</v>
      </c>
      <c r="B5706" s="11">
        <f>IFERROR(__xludf.DUMMYFUNCTION("""COMPUTED_VALUE"""),11.0)</f>
        <v>11</v>
      </c>
      <c r="C5706" s="11">
        <f>IFERROR(__xludf.DUMMYFUNCTION("""COMPUTED_VALUE"""),13941.0)</f>
        <v>13941</v>
      </c>
      <c r="D5706" s="11">
        <f>IFERROR(__xludf.DUMMYFUNCTION("""COMPUTED_VALUE"""),1458.0)</f>
        <v>1458</v>
      </c>
      <c r="E5706" s="9"/>
    </row>
    <row r="5707">
      <c r="A5707" s="11">
        <f>IFERROR(__xludf.DUMMYFUNCTION("""COMPUTED_VALUE"""),2021.0)</f>
        <v>2021</v>
      </c>
      <c r="B5707" s="11">
        <f>IFERROR(__xludf.DUMMYFUNCTION("""COMPUTED_VALUE"""),9.0)</f>
        <v>9</v>
      </c>
      <c r="C5707" s="11">
        <f>IFERROR(__xludf.DUMMYFUNCTION("""COMPUTED_VALUE"""),44316.0)</f>
        <v>44316</v>
      </c>
      <c r="D5707" s="11">
        <f>IFERROR(__xludf.DUMMYFUNCTION("""COMPUTED_VALUE"""),587.0)</f>
        <v>587</v>
      </c>
      <c r="E5707" s="9"/>
    </row>
    <row r="5708">
      <c r="A5708" s="11">
        <f>IFERROR(__xludf.DUMMYFUNCTION("""COMPUTED_VALUE"""),2021.0)</f>
        <v>2021</v>
      </c>
      <c r="B5708" s="11">
        <f>IFERROR(__xludf.DUMMYFUNCTION("""COMPUTED_VALUE"""),8.0)</f>
        <v>8</v>
      </c>
      <c r="C5708" s="11">
        <f>IFERROR(__xludf.DUMMYFUNCTION("""COMPUTED_VALUE"""),122748.0)</f>
        <v>122748</v>
      </c>
      <c r="D5708" s="11">
        <f>IFERROR(__xludf.DUMMYFUNCTION("""COMPUTED_VALUE"""),1724.0)</f>
        <v>1724</v>
      </c>
      <c r="E5708" s="9"/>
    </row>
    <row r="5709">
      <c r="A5709" s="11">
        <f>IFERROR(__xludf.DUMMYFUNCTION("""COMPUTED_VALUE"""),2021.0)</f>
        <v>2021</v>
      </c>
      <c r="B5709" s="11">
        <f>IFERROR(__xludf.DUMMYFUNCTION("""COMPUTED_VALUE"""),9.0)</f>
        <v>9</v>
      </c>
      <c r="C5709" s="11">
        <f>IFERROR(__xludf.DUMMYFUNCTION("""COMPUTED_VALUE"""),118936.0)</f>
        <v>118936</v>
      </c>
      <c r="D5709" s="11">
        <f>IFERROR(__xludf.DUMMYFUNCTION("""COMPUTED_VALUE"""),1588.0)</f>
        <v>1588</v>
      </c>
      <c r="E5709" s="9"/>
    </row>
    <row r="5710">
      <c r="A5710" s="11">
        <f>IFERROR(__xludf.DUMMYFUNCTION("""COMPUTED_VALUE"""),2021.0)</f>
        <v>2021</v>
      </c>
      <c r="B5710" s="11">
        <f>IFERROR(__xludf.DUMMYFUNCTION("""COMPUTED_VALUE"""),9.0)</f>
        <v>9</v>
      </c>
      <c r="C5710" s="11">
        <f>IFERROR(__xludf.DUMMYFUNCTION("""COMPUTED_VALUE"""),122746.0)</f>
        <v>122746</v>
      </c>
      <c r="D5710" s="11">
        <f>IFERROR(__xludf.DUMMYFUNCTION("""COMPUTED_VALUE"""),194.0)</f>
        <v>194</v>
      </c>
      <c r="E5710" s="9"/>
    </row>
    <row r="5711">
      <c r="A5711" s="11">
        <f>IFERROR(__xludf.DUMMYFUNCTION("""COMPUTED_VALUE"""),2021.0)</f>
        <v>2021</v>
      </c>
      <c r="B5711" s="11">
        <f>IFERROR(__xludf.DUMMYFUNCTION("""COMPUTED_VALUE"""),8.0)</f>
        <v>8</v>
      </c>
      <c r="C5711" s="11">
        <f>IFERROR(__xludf.DUMMYFUNCTION("""COMPUTED_VALUE"""),76567.0)</f>
        <v>76567</v>
      </c>
      <c r="D5711" s="11">
        <f>IFERROR(__xludf.DUMMYFUNCTION("""COMPUTED_VALUE"""),965.0)</f>
        <v>965</v>
      </c>
      <c r="E5711" s="9"/>
    </row>
    <row r="5712">
      <c r="A5712" s="11">
        <f>IFERROR(__xludf.DUMMYFUNCTION("""COMPUTED_VALUE"""),2021.0)</f>
        <v>2021</v>
      </c>
      <c r="B5712" s="11">
        <f>IFERROR(__xludf.DUMMYFUNCTION("""COMPUTED_VALUE"""),11.0)</f>
        <v>11</v>
      </c>
      <c r="C5712" s="11">
        <f>IFERROR(__xludf.DUMMYFUNCTION("""COMPUTED_VALUE"""),122747.0)</f>
        <v>122747</v>
      </c>
      <c r="D5712" s="11">
        <f>IFERROR(__xludf.DUMMYFUNCTION("""COMPUTED_VALUE"""),1430.0)</f>
        <v>1430</v>
      </c>
      <c r="E5712" s="9"/>
    </row>
    <row r="5713">
      <c r="A5713" s="11">
        <f>IFERROR(__xludf.DUMMYFUNCTION("""COMPUTED_VALUE"""),2021.0)</f>
        <v>2021</v>
      </c>
      <c r="B5713" s="11">
        <f>IFERROR(__xludf.DUMMYFUNCTION("""COMPUTED_VALUE"""),9.0)</f>
        <v>9</v>
      </c>
      <c r="C5713" s="11">
        <f>IFERROR(__xludf.DUMMYFUNCTION("""COMPUTED_VALUE"""),48484.0)</f>
        <v>48484</v>
      </c>
      <c r="D5713" s="11">
        <f>IFERROR(__xludf.DUMMYFUNCTION("""COMPUTED_VALUE"""),1176.0)</f>
        <v>1176</v>
      </c>
      <c r="E5713" s="9"/>
    </row>
    <row r="5714">
      <c r="A5714" s="11">
        <f>IFERROR(__xludf.DUMMYFUNCTION("""COMPUTED_VALUE"""),2021.0)</f>
        <v>2021</v>
      </c>
      <c r="B5714" s="11">
        <f>IFERROR(__xludf.DUMMYFUNCTION("""COMPUTED_VALUE"""),11.0)</f>
        <v>11</v>
      </c>
      <c r="C5714" s="11">
        <f>IFERROR(__xludf.DUMMYFUNCTION("""COMPUTED_VALUE"""),10856.0)</f>
        <v>10856</v>
      </c>
      <c r="D5714" s="11">
        <f>IFERROR(__xludf.DUMMYFUNCTION("""COMPUTED_VALUE"""),1769.0)</f>
        <v>1769</v>
      </c>
      <c r="E5714" s="9"/>
    </row>
    <row r="5715">
      <c r="A5715" s="11">
        <f>IFERROR(__xludf.DUMMYFUNCTION("""COMPUTED_VALUE"""),2021.0)</f>
        <v>2021</v>
      </c>
      <c r="B5715" s="11">
        <f>IFERROR(__xludf.DUMMYFUNCTION("""COMPUTED_VALUE"""),10.0)</f>
        <v>10</v>
      </c>
      <c r="C5715" s="11">
        <f>IFERROR(__xludf.DUMMYFUNCTION("""COMPUTED_VALUE"""),48486.0)</f>
        <v>48486</v>
      </c>
      <c r="D5715" s="11">
        <f>IFERROR(__xludf.DUMMYFUNCTION("""COMPUTED_VALUE"""),637.0)</f>
        <v>637</v>
      </c>
      <c r="E5715" s="9"/>
    </row>
    <row r="5716">
      <c r="A5716" s="11">
        <f>IFERROR(__xludf.DUMMYFUNCTION("""COMPUTED_VALUE"""),2021.0)</f>
        <v>2021</v>
      </c>
      <c r="B5716" s="11">
        <f>IFERROR(__xludf.DUMMYFUNCTION("""COMPUTED_VALUE"""),10.0)</f>
        <v>10</v>
      </c>
      <c r="C5716" s="11">
        <f>IFERROR(__xludf.DUMMYFUNCTION("""COMPUTED_VALUE"""),108707.0)</f>
        <v>108707</v>
      </c>
      <c r="D5716" s="11">
        <f>IFERROR(__xludf.DUMMYFUNCTION("""COMPUTED_VALUE"""),22.0)</f>
        <v>22</v>
      </c>
      <c r="E5716" s="9"/>
    </row>
    <row r="5717">
      <c r="A5717" s="11">
        <f>IFERROR(__xludf.DUMMYFUNCTION("""COMPUTED_VALUE"""),2021.0)</f>
        <v>2021</v>
      </c>
      <c r="B5717" s="11">
        <f>IFERROR(__xludf.DUMMYFUNCTION("""COMPUTED_VALUE"""),9.0)</f>
        <v>9</v>
      </c>
      <c r="C5717" s="11">
        <f>IFERROR(__xludf.DUMMYFUNCTION("""COMPUTED_VALUE"""),109565.0)</f>
        <v>109565</v>
      </c>
      <c r="D5717" s="11">
        <f>IFERROR(__xludf.DUMMYFUNCTION("""COMPUTED_VALUE"""),893.0)</f>
        <v>893</v>
      </c>
      <c r="E5717" s="9"/>
    </row>
    <row r="5718">
      <c r="A5718" s="11">
        <f>IFERROR(__xludf.DUMMYFUNCTION("""COMPUTED_VALUE"""),2021.0)</f>
        <v>2021</v>
      </c>
      <c r="B5718" s="11">
        <f>IFERROR(__xludf.DUMMYFUNCTION("""COMPUTED_VALUE"""),8.0)</f>
        <v>8</v>
      </c>
      <c r="C5718" s="11">
        <f>IFERROR(__xludf.DUMMYFUNCTION("""COMPUTED_VALUE"""),99181.0)</f>
        <v>99181</v>
      </c>
      <c r="D5718" s="11">
        <f>IFERROR(__xludf.DUMMYFUNCTION("""COMPUTED_VALUE"""),598.0)</f>
        <v>598</v>
      </c>
      <c r="E5718" s="9"/>
    </row>
    <row r="5719">
      <c r="A5719" s="11">
        <f>IFERROR(__xludf.DUMMYFUNCTION("""COMPUTED_VALUE"""),2021.0)</f>
        <v>2021</v>
      </c>
      <c r="B5719" s="11">
        <f>IFERROR(__xludf.DUMMYFUNCTION("""COMPUTED_VALUE"""),9.0)</f>
        <v>9</v>
      </c>
      <c r="C5719" s="11">
        <f>IFERROR(__xludf.DUMMYFUNCTION("""COMPUTED_VALUE"""),109060.0)</f>
        <v>109060</v>
      </c>
      <c r="D5719" s="11">
        <f>IFERROR(__xludf.DUMMYFUNCTION("""COMPUTED_VALUE"""),990.0)</f>
        <v>990</v>
      </c>
      <c r="E5719" s="9"/>
    </row>
    <row r="5720">
      <c r="A5720" s="11">
        <f>IFERROR(__xludf.DUMMYFUNCTION("""COMPUTED_VALUE"""),2021.0)</f>
        <v>2021</v>
      </c>
      <c r="B5720" s="11">
        <f>IFERROR(__xludf.DUMMYFUNCTION("""COMPUTED_VALUE"""),10.0)</f>
        <v>10</v>
      </c>
      <c r="C5720" s="11">
        <f>IFERROR(__xludf.DUMMYFUNCTION("""COMPUTED_VALUE"""),109628.0)</f>
        <v>109628</v>
      </c>
      <c r="D5720" s="11">
        <f>IFERROR(__xludf.DUMMYFUNCTION("""COMPUTED_VALUE"""),486.0)</f>
        <v>486</v>
      </c>
      <c r="E5720" s="9"/>
    </row>
    <row r="5721">
      <c r="A5721" s="11">
        <f>IFERROR(__xludf.DUMMYFUNCTION("""COMPUTED_VALUE"""),2021.0)</f>
        <v>2021</v>
      </c>
      <c r="B5721" s="11">
        <f>IFERROR(__xludf.DUMMYFUNCTION("""COMPUTED_VALUE"""),8.0)</f>
        <v>8</v>
      </c>
      <c r="C5721" s="11">
        <f>IFERROR(__xludf.DUMMYFUNCTION("""COMPUTED_VALUE"""),128346.0)</f>
        <v>128346</v>
      </c>
      <c r="D5721" s="11">
        <f>IFERROR(__xludf.DUMMYFUNCTION("""COMPUTED_VALUE"""),1120.0)</f>
        <v>1120</v>
      </c>
      <c r="E5721" s="9"/>
    </row>
    <row r="5722">
      <c r="A5722" s="11">
        <f>IFERROR(__xludf.DUMMYFUNCTION("""COMPUTED_VALUE"""),2021.0)</f>
        <v>2021</v>
      </c>
      <c r="B5722" s="11">
        <f>IFERROR(__xludf.DUMMYFUNCTION("""COMPUTED_VALUE"""),8.0)</f>
        <v>8</v>
      </c>
      <c r="C5722" s="11">
        <f>IFERROR(__xludf.DUMMYFUNCTION("""COMPUTED_VALUE"""),90319.0)</f>
        <v>90319</v>
      </c>
      <c r="D5722" s="11">
        <f>IFERROR(__xludf.DUMMYFUNCTION("""COMPUTED_VALUE"""),54.0)</f>
        <v>54</v>
      </c>
      <c r="E5722" s="9"/>
    </row>
    <row r="5723">
      <c r="A5723" s="11">
        <f>IFERROR(__xludf.DUMMYFUNCTION("""COMPUTED_VALUE"""),2021.0)</f>
        <v>2021</v>
      </c>
      <c r="B5723" s="11">
        <f>IFERROR(__xludf.DUMMYFUNCTION("""COMPUTED_VALUE"""),8.0)</f>
        <v>8</v>
      </c>
      <c r="C5723" s="11">
        <f>IFERROR(__xludf.DUMMYFUNCTION("""COMPUTED_VALUE"""),96287.0)</f>
        <v>96287</v>
      </c>
      <c r="D5723" s="11">
        <f>IFERROR(__xludf.DUMMYFUNCTION("""COMPUTED_VALUE"""),836.0)</f>
        <v>836</v>
      </c>
      <c r="E5723" s="9"/>
    </row>
    <row r="5724">
      <c r="A5724" s="11">
        <f>IFERROR(__xludf.DUMMYFUNCTION("""COMPUTED_VALUE"""),2021.0)</f>
        <v>2021</v>
      </c>
      <c r="B5724" s="11">
        <f>IFERROR(__xludf.DUMMYFUNCTION("""COMPUTED_VALUE"""),11.0)</f>
        <v>11</v>
      </c>
      <c r="C5724" s="11">
        <f>IFERROR(__xludf.DUMMYFUNCTION("""COMPUTED_VALUE"""),96238.0)</f>
        <v>96238</v>
      </c>
      <c r="D5724" s="11">
        <f>IFERROR(__xludf.DUMMYFUNCTION("""COMPUTED_VALUE"""),1484.0)</f>
        <v>1484</v>
      </c>
      <c r="E5724" s="9"/>
    </row>
    <row r="5725">
      <c r="A5725" s="11">
        <f>IFERROR(__xludf.DUMMYFUNCTION("""COMPUTED_VALUE"""),2021.0)</f>
        <v>2021</v>
      </c>
      <c r="B5725" s="11">
        <f>IFERROR(__xludf.DUMMYFUNCTION("""COMPUTED_VALUE"""),10.0)</f>
        <v>10</v>
      </c>
      <c r="C5725" s="11">
        <f>IFERROR(__xludf.DUMMYFUNCTION("""COMPUTED_VALUE"""),116553.0)</f>
        <v>116553</v>
      </c>
      <c r="D5725" s="11">
        <f>IFERROR(__xludf.DUMMYFUNCTION("""COMPUTED_VALUE"""),340.0)</f>
        <v>340</v>
      </c>
      <c r="E5725" s="9"/>
    </row>
    <row r="5726">
      <c r="A5726" s="11">
        <f>IFERROR(__xludf.DUMMYFUNCTION("""COMPUTED_VALUE"""),2021.0)</f>
        <v>2021</v>
      </c>
      <c r="B5726" s="11">
        <f>IFERROR(__xludf.DUMMYFUNCTION("""COMPUTED_VALUE"""),11.0)</f>
        <v>11</v>
      </c>
      <c r="C5726" s="11">
        <f>IFERROR(__xludf.DUMMYFUNCTION("""COMPUTED_VALUE"""),116539.0)</f>
        <v>116539</v>
      </c>
      <c r="D5726" s="11">
        <f>IFERROR(__xludf.DUMMYFUNCTION("""COMPUTED_VALUE"""),1567.0)</f>
        <v>1567</v>
      </c>
      <c r="E5726" s="9"/>
    </row>
    <row r="5727">
      <c r="A5727" s="11">
        <f>IFERROR(__xludf.DUMMYFUNCTION("""COMPUTED_VALUE"""),2021.0)</f>
        <v>2021</v>
      </c>
      <c r="B5727" s="11">
        <f>IFERROR(__xludf.DUMMYFUNCTION("""COMPUTED_VALUE"""),9.0)</f>
        <v>9</v>
      </c>
      <c r="C5727" s="11">
        <f>IFERROR(__xludf.DUMMYFUNCTION("""COMPUTED_VALUE"""),156015.0)</f>
        <v>156015</v>
      </c>
      <c r="D5727" s="11">
        <f>IFERROR(__xludf.DUMMYFUNCTION("""COMPUTED_VALUE"""),781.0)</f>
        <v>781</v>
      </c>
      <c r="E5727" s="9"/>
    </row>
    <row r="5728">
      <c r="A5728" s="11">
        <f>IFERROR(__xludf.DUMMYFUNCTION("""COMPUTED_VALUE"""),2021.0)</f>
        <v>2021</v>
      </c>
      <c r="B5728" s="11">
        <f>IFERROR(__xludf.DUMMYFUNCTION("""COMPUTED_VALUE"""),10.0)</f>
        <v>10</v>
      </c>
      <c r="C5728" s="11">
        <f>IFERROR(__xludf.DUMMYFUNCTION("""COMPUTED_VALUE"""),77049.0)</f>
        <v>77049</v>
      </c>
      <c r="D5728" s="11">
        <f>IFERROR(__xludf.DUMMYFUNCTION("""COMPUTED_VALUE"""),1424.0)</f>
        <v>1424</v>
      </c>
      <c r="E5728" s="9"/>
    </row>
    <row r="5729">
      <c r="A5729" s="11">
        <f>IFERROR(__xludf.DUMMYFUNCTION("""COMPUTED_VALUE"""),2021.0)</f>
        <v>2021</v>
      </c>
      <c r="B5729" s="11">
        <f>IFERROR(__xludf.DUMMYFUNCTION("""COMPUTED_VALUE"""),10.0)</f>
        <v>10</v>
      </c>
      <c r="C5729" s="11">
        <f>IFERROR(__xludf.DUMMYFUNCTION("""COMPUTED_VALUE"""),92906.0)</f>
        <v>92906</v>
      </c>
      <c r="D5729" s="11">
        <f>IFERROR(__xludf.DUMMYFUNCTION("""COMPUTED_VALUE"""),1889.0)</f>
        <v>1889</v>
      </c>
      <c r="E5729" s="9"/>
    </row>
    <row r="5730">
      <c r="A5730" s="11">
        <f>IFERROR(__xludf.DUMMYFUNCTION("""COMPUTED_VALUE"""),2021.0)</f>
        <v>2021</v>
      </c>
      <c r="B5730" s="11">
        <f>IFERROR(__xludf.DUMMYFUNCTION("""COMPUTED_VALUE"""),11.0)</f>
        <v>11</v>
      </c>
      <c r="C5730" s="11">
        <f>IFERROR(__xludf.DUMMYFUNCTION("""COMPUTED_VALUE"""),6425.0)</f>
        <v>6425</v>
      </c>
      <c r="D5730" s="11">
        <f>IFERROR(__xludf.DUMMYFUNCTION("""COMPUTED_VALUE"""),290.0)</f>
        <v>290</v>
      </c>
      <c r="E5730" s="9"/>
    </row>
    <row r="5731">
      <c r="A5731" s="11">
        <f>IFERROR(__xludf.DUMMYFUNCTION("""COMPUTED_VALUE"""),2021.0)</f>
        <v>2021</v>
      </c>
      <c r="B5731" s="11">
        <f>IFERROR(__xludf.DUMMYFUNCTION("""COMPUTED_VALUE"""),11.0)</f>
        <v>11</v>
      </c>
      <c r="C5731" s="11">
        <f>IFERROR(__xludf.DUMMYFUNCTION("""COMPUTED_VALUE"""),77653.0)</f>
        <v>77653</v>
      </c>
      <c r="D5731" s="11">
        <f>IFERROR(__xludf.DUMMYFUNCTION("""COMPUTED_VALUE"""),121.0)</f>
        <v>121</v>
      </c>
      <c r="E5731" s="9"/>
    </row>
    <row r="5732">
      <c r="A5732" s="11">
        <f>IFERROR(__xludf.DUMMYFUNCTION("""COMPUTED_VALUE"""),2021.0)</f>
        <v>2021</v>
      </c>
      <c r="B5732" s="11">
        <f>IFERROR(__xludf.DUMMYFUNCTION("""COMPUTED_VALUE"""),8.0)</f>
        <v>8</v>
      </c>
      <c r="C5732" s="11">
        <f>IFERROR(__xludf.DUMMYFUNCTION("""COMPUTED_VALUE"""),156029.0)</f>
        <v>156029</v>
      </c>
      <c r="D5732" s="11">
        <f>IFERROR(__xludf.DUMMYFUNCTION("""COMPUTED_VALUE"""),429.0)</f>
        <v>429</v>
      </c>
      <c r="E5732" s="9"/>
    </row>
    <row r="5733">
      <c r="A5733" s="11">
        <f>IFERROR(__xludf.DUMMYFUNCTION("""COMPUTED_VALUE"""),2021.0)</f>
        <v>2021</v>
      </c>
      <c r="B5733" s="11">
        <f>IFERROR(__xludf.DUMMYFUNCTION("""COMPUTED_VALUE"""),9.0)</f>
        <v>9</v>
      </c>
      <c r="C5733" s="11">
        <f>IFERROR(__xludf.DUMMYFUNCTION("""COMPUTED_VALUE"""),182726.0)</f>
        <v>182726</v>
      </c>
      <c r="D5733" s="11">
        <f>IFERROR(__xludf.DUMMYFUNCTION("""COMPUTED_VALUE"""),1142.0)</f>
        <v>1142</v>
      </c>
      <c r="E5733" s="9"/>
    </row>
    <row r="5734">
      <c r="A5734" s="11">
        <f>IFERROR(__xludf.DUMMYFUNCTION("""COMPUTED_VALUE"""),2021.0)</f>
        <v>2021</v>
      </c>
      <c r="B5734" s="11">
        <f>IFERROR(__xludf.DUMMYFUNCTION("""COMPUTED_VALUE"""),10.0)</f>
        <v>10</v>
      </c>
      <c r="C5734" s="11">
        <f>IFERROR(__xludf.DUMMYFUNCTION("""COMPUTED_VALUE"""),3536.0)</f>
        <v>3536</v>
      </c>
      <c r="D5734" s="11">
        <f>IFERROR(__xludf.DUMMYFUNCTION("""COMPUTED_VALUE"""),1074.0)</f>
        <v>1074</v>
      </c>
      <c r="E5734" s="9"/>
    </row>
    <row r="5735">
      <c r="A5735" s="11">
        <f>IFERROR(__xludf.DUMMYFUNCTION("""COMPUTED_VALUE"""),2021.0)</f>
        <v>2021</v>
      </c>
      <c r="B5735" s="11">
        <f>IFERROR(__xludf.DUMMYFUNCTION("""COMPUTED_VALUE"""),10.0)</f>
        <v>10</v>
      </c>
      <c r="C5735" s="11">
        <f>IFERROR(__xludf.DUMMYFUNCTION("""COMPUTED_VALUE"""),3541.0)</f>
        <v>3541</v>
      </c>
      <c r="D5735" s="11">
        <f>IFERROR(__xludf.DUMMYFUNCTION("""COMPUTED_VALUE"""),618.0)</f>
        <v>618</v>
      </c>
      <c r="E5735" s="9"/>
    </row>
    <row r="5736">
      <c r="A5736" s="11">
        <f>IFERROR(__xludf.DUMMYFUNCTION("""COMPUTED_VALUE"""),2021.0)</f>
        <v>2021</v>
      </c>
      <c r="B5736" s="11">
        <f>IFERROR(__xludf.DUMMYFUNCTION("""COMPUTED_VALUE"""),10.0)</f>
        <v>10</v>
      </c>
      <c r="C5736" s="11">
        <f>IFERROR(__xludf.DUMMYFUNCTION("""COMPUTED_VALUE"""),147335.0)</f>
        <v>147335</v>
      </c>
      <c r="D5736" s="11">
        <f>IFERROR(__xludf.DUMMYFUNCTION("""COMPUTED_VALUE"""),935.0)</f>
        <v>935</v>
      </c>
      <c r="E5736" s="9"/>
    </row>
    <row r="5737">
      <c r="A5737" s="11">
        <f>IFERROR(__xludf.DUMMYFUNCTION("""COMPUTED_VALUE"""),2021.0)</f>
        <v>2021</v>
      </c>
      <c r="B5737" s="11">
        <f>IFERROR(__xludf.DUMMYFUNCTION("""COMPUTED_VALUE"""),11.0)</f>
        <v>11</v>
      </c>
      <c r="C5737" s="11">
        <f>IFERROR(__xludf.DUMMYFUNCTION("""COMPUTED_VALUE"""),46896.0)</f>
        <v>46896</v>
      </c>
      <c r="D5737" s="11">
        <f>IFERROR(__xludf.DUMMYFUNCTION("""COMPUTED_VALUE"""),1300.0)</f>
        <v>1300</v>
      </c>
      <c r="E5737" s="9"/>
    </row>
    <row r="5738">
      <c r="A5738" s="11">
        <f>IFERROR(__xludf.DUMMYFUNCTION("""COMPUTED_VALUE"""),2021.0)</f>
        <v>2021</v>
      </c>
      <c r="B5738" s="11">
        <f>IFERROR(__xludf.DUMMYFUNCTION("""COMPUTED_VALUE"""),10.0)</f>
        <v>10</v>
      </c>
      <c r="C5738" s="11">
        <f>IFERROR(__xludf.DUMMYFUNCTION("""COMPUTED_VALUE"""),46897.0)</f>
        <v>46897</v>
      </c>
      <c r="D5738" s="11">
        <f>IFERROR(__xludf.DUMMYFUNCTION("""COMPUTED_VALUE"""),1582.0)</f>
        <v>1582</v>
      </c>
      <c r="E5738" s="9"/>
    </row>
    <row r="5739">
      <c r="A5739" s="11">
        <f>IFERROR(__xludf.DUMMYFUNCTION("""COMPUTED_VALUE"""),2021.0)</f>
        <v>2021</v>
      </c>
      <c r="B5739" s="11">
        <f>IFERROR(__xludf.DUMMYFUNCTION("""COMPUTED_VALUE"""),9.0)</f>
        <v>9</v>
      </c>
      <c r="C5739" s="11">
        <f>IFERROR(__xludf.DUMMYFUNCTION("""COMPUTED_VALUE"""),71729.0)</f>
        <v>71729</v>
      </c>
      <c r="D5739" s="11">
        <f>IFERROR(__xludf.DUMMYFUNCTION("""COMPUTED_VALUE"""),1481.0)</f>
        <v>1481</v>
      </c>
      <c r="E5739" s="9"/>
    </row>
    <row r="5740">
      <c r="A5740" s="11">
        <f>IFERROR(__xludf.DUMMYFUNCTION("""COMPUTED_VALUE"""),2021.0)</f>
        <v>2021</v>
      </c>
      <c r="B5740" s="11">
        <f>IFERROR(__xludf.DUMMYFUNCTION("""COMPUTED_VALUE"""),9.0)</f>
        <v>9</v>
      </c>
      <c r="C5740" s="11">
        <f>IFERROR(__xludf.DUMMYFUNCTION("""COMPUTED_VALUE"""),45471.0)</f>
        <v>45471</v>
      </c>
      <c r="D5740" s="11">
        <f>IFERROR(__xludf.DUMMYFUNCTION("""COMPUTED_VALUE"""),1421.0)</f>
        <v>1421</v>
      </c>
      <c r="E5740" s="9"/>
    </row>
    <row r="5741">
      <c r="A5741" s="11">
        <f>IFERROR(__xludf.DUMMYFUNCTION("""COMPUTED_VALUE"""),2021.0)</f>
        <v>2021</v>
      </c>
      <c r="B5741" s="11">
        <f>IFERROR(__xludf.DUMMYFUNCTION("""COMPUTED_VALUE"""),8.0)</f>
        <v>8</v>
      </c>
      <c r="C5741" s="11">
        <f>IFERROR(__xludf.DUMMYFUNCTION("""COMPUTED_VALUE"""),80622.0)</f>
        <v>80622</v>
      </c>
      <c r="D5741" s="11">
        <f>IFERROR(__xludf.DUMMYFUNCTION("""COMPUTED_VALUE"""),1541.0)</f>
        <v>1541</v>
      </c>
      <c r="E5741" s="9"/>
    </row>
    <row r="5742">
      <c r="A5742" s="11">
        <f>IFERROR(__xludf.DUMMYFUNCTION("""COMPUTED_VALUE"""),2021.0)</f>
        <v>2021</v>
      </c>
      <c r="B5742" s="11">
        <f>IFERROR(__xludf.DUMMYFUNCTION("""COMPUTED_VALUE"""),9.0)</f>
        <v>9</v>
      </c>
      <c r="C5742" s="11">
        <f>IFERROR(__xludf.DUMMYFUNCTION("""COMPUTED_VALUE"""),111204.0)</f>
        <v>111204</v>
      </c>
      <c r="D5742" s="11">
        <f>IFERROR(__xludf.DUMMYFUNCTION("""COMPUTED_VALUE"""),1256.0)</f>
        <v>1256</v>
      </c>
      <c r="E5742" s="9"/>
    </row>
    <row r="5743">
      <c r="A5743" s="11">
        <f>IFERROR(__xludf.DUMMYFUNCTION("""COMPUTED_VALUE"""),2021.0)</f>
        <v>2021</v>
      </c>
      <c r="B5743" s="11">
        <f>IFERROR(__xludf.DUMMYFUNCTION("""COMPUTED_VALUE"""),9.0)</f>
        <v>9</v>
      </c>
      <c r="C5743" s="11">
        <f>IFERROR(__xludf.DUMMYFUNCTION("""COMPUTED_VALUE"""),27843.0)</f>
        <v>27843</v>
      </c>
      <c r="D5743" s="11">
        <f>IFERROR(__xludf.DUMMYFUNCTION("""COMPUTED_VALUE"""),1524.0)</f>
        <v>1524</v>
      </c>
      <c r="E5743" s="9"/>
    </row>
    <row r="5744">
      <c r="A5744" s="11">
        <f>IFERROR(__xludf.DUMMYFUNCTION("""COMPUTED_VALUE"""),2021.0)</f>
        <v>2021</v>
      </c>
      <c r="B5744" s="11">
        <f>IFERROR(__xludf.DUMMYFUNCTION("""COMPUTED_VALUE"""),11.0)</f>
        <v>11</v>
      </c>
      <c r="C5744" s="11">
        <f>IFERROR(__xludf.DUMMYFUNCTION("""COMPUTED_VALUE"""),111656.0)</f>
        <v>111656</v>
      </c>
      <c r="D5744" s="11">
        <f>IFERROR(__xludf.DUMMYFUNCTION("""COMPUTED_VALUE"""),342.0)</f>
        <v>342</v>
      </c>
      <c r="E5744" s="9"/>
    </row>
    <row r="5745">
      <c r="A5745" s="11">
        <f>IFERROR(__xludf.DUMMYFUNCTION("""COMPUTED_VALUE"""),2021.0)</f>
        <v>2021</v>
      </c>
      <c r="B5745" s="11">
        <f>IFERROR(__xludf.DUMMYFUNCTION("""COMPUTED_VALUE"""),11.0)</f>
        <v>11</v>
      </c>
      <c r="C5745" s="11">
        <f>IFERROR(__xludf.DUMMYFUNCTION("""COMPUTED_VALUE"""),70043.0)</f>
        <v>70043</v>
      </c>
      <c r="D5745" s="11">
        <f>IFERROR(__xludf.DUMMYFUNCTION("""COMPUTED_VALUE"""),768.0)</f>
        <v>768</v>
      </c>
      <c r="E5745" s="9"/>
    </row>
    <row r="5746">
      <c r="A5746" s="11">
        <f>IFERROR(__xludf.DUMMYFUNCTION("""COMPUTED_VALUE"""),2021.0)</f>
        <v>2021</v>
      </c>
      <c r="B5746" s="11">
        <f>IFERROR(__xludf.DUMMYFUNCTION("""COMPUTED_VALUE"""),8.0)</f>
        <v>8</v>
      </c>
      <c r="C5746" s="11">
        <f>IFERROR(__xludf.DUMMYFUNCTION("""COMPUTED_VALUE"""),127017.0)</f>
        <v>127017</v>
      </c>
      <c r="D5746" s="11">
        <f>IFERROR(__xludf.DUMMYFUNCTION("""COMPUTED_VALUE"""),1073.0)</f>
        <v>1073</v>
      </c>
      <c r="E5746" s="9"/>
    </row>
    <row r="5747">
      <c r="A5747" s="11">
        <f>IFERROR(__xludf.DUMMYFUNCTION("""COMPUTED_VALUE"""),2021.0)</f>
        <v>2021</v>
      </c>
      <c r="B5747" s="11">
        <f>IFERROR(__xludf.DUMMYFUNCTION("""COMPUTED_VALUE"""),8.0)</f>
        <v>8</v>
      </c>
      <c r="C5747" s="11">
        <f>IFERROR(__xludf.DUMMYFUNCTION("""COMPUTED_VALUE"""),92320.0)</f>
        <v>92320</v>
      </c>
      <c r="D5747" s="11">
        <f>IFERROR(__xludf.DUMMYFUNCTION("""COMPUTED_VALUE"""),1921.0)</f>
        <v>1921</v>
      </c>
      <c r="E5747" s="9"/>
    </row>
    <row r="5748">
      <c r="A5748" s="11">
        <f>IFERROR(__xludf.DUMMYFUNCTION("""COMPUTED_VALUE"""),2021.0)</f>
        <v>2021</v>
      </c>
      <c r="B5748" s="11">
        <f>IFERROR(__xludf.DUMMYFUNCTION("""COMPUTED_VALUE"""),11.0)</f>
        <v>11</v>
      </c>
      <c r="C5748" s="11">
        <f>IFERROR(__xludf.DUMMYFUNCTION("""COMPUTED_VALUE"""),109985.0)</f>
        <v>109985</v>
      </c>
      <c r="D5748" s="11">
        <f>IFERROR(__xludf.DUMMYFUNCTION("""COMPUTED_VALUE"""),169.0)</f>
        <v>169</v>
      </c>
      <c r="E5748" s="9"/>
    </row>
    <row r="5749">
      <c r="A5749" s="11">
        <f>IFERROR(__xludf.DUMMYFUNCTION("""COMPUTED_VALUE"""),2021.0)</f>
        <v>2021</v>
      </c>
      <c r="B5749" s="11">
        <f>IFERROR(__xludf.DUMMYFUNCTION("""COMPUTED_VALUE"""),10.0)</f>
        <v>10</v>
      </c>
      <c r="C5749" s="11">
        <f>IFERROR(__xludf.DUMMYFUNCTION("""COMPUTED_VALUE"""),110415.0)</f>
        <v>110415</v>
      </c>
      <c r="D5749" s="11">
        <f>IFERROR(__xludf.DUMMYFUNCTION("""COMPUTED_VALUE"""),509.0)</f>
        <v>509</v>
      </c>
      <c r="E5749" s="9"/>
    </row>
    <row r="5750">
      <c r="A5750" s="11">
        <f>IFERROR(__xludf.DUMMYFUNCTION("""COMPUTED_VALUE"""),2021.0)</f>
        <v>2021</v>
      </c>
      <c r="B5750" s="11">
        <f>IFERROR(__xludf.DUMMYFUNCTION("""COMPUTED_VALUE"""),10.0)</f>
        <v>10</v>
      </c>
      <c r="C5750" s="11">
        <f>IFERROR(__xludf.DUMMYFUNCTION("""COMPUTED_VALUE"""),101325.0)</f>
        <v>101325</v>
      </c>
      <c r="D5750" s="11">
        <f>IFERROR(__xludf.DUMMYFUNCTION("""COMPUTED_VALUE"""),963.0)</f>
        <v>963</v>
      </c>
      <c r="E5750" s="9"/>
    </row>
    <row r="5751">
      <c r="A5751" s="11">
        <f>IFERROR(__xludf.DUMMYFUNCTION("""COMPUTED_VALUE"""),2021.0)</f>
        <v>2021</v>
      </c>
      <c r="B5751" s="11">
        <f>IFERROR(__xludf.DUMMYFUNCTION("""COMPUTED_VALUE"""),11.0)</f>
        <v>11</v>
      </c>
      <c r="C5751" s="11">
        <f>IFERROR(__xludf.DUMMYFUNCTION("""COMPUTED_VALUE"""),133904.0)</f>
        <v>133904</v>
      </c>
      <c r="D5751" s="11">
        <f>IFERROR(__xludf.DUMMYFUNCTION("""COMPUTED_VALUE"""),902.0)</f>
        <v>902</v>
      </c>
      <c r="E5751" s="9"/>
    </row>
    <row r="5752">
      <c r="A5752" s="11">
        <f>IFERROR(__xludf.DUMMYFUNCTION("""COMPUTED_VALUE"""),2021.0)</f>
        <v>2021</v>
      </c>
      <c r="B5752" s="11">
        <f>IFERROR(__xludf.DUMMYFUNCTION("""COMPUTED_VALUE"""),8.0)</f>
        <v>8</v>
      </c>
      <c r="C5752" s="11">
        <f>IFERROR(__xludf.DUMMYFUNCTION("""COMPUTED_VALUE"""),91357.0)</f>
        <v>91357</v>
      </c>
      <c r="D5752" s="11">
        <f>IFERROR(__xludf.DUMMYFUNCTION("""COMPUTED_VALUE"""),1085.0)</f>
        <v>1085</v>
      </c>
      <c r="E5752" s="9"/>
    </row>
    <row r="5753">
      <c r="A5753" s="11">
        <f>IFERROR(__xludf.DUMMYFUNCTION("""COMPUTED_VALUE"""),2021.0)</f>
        <v>2021</v>
      </c>
      <c r="B5753" s="11">
        <f>IFERROR(__xludf.DUMMYFUNCTION("""COMPUTED_VALUE"""),9.0)</f>
        <v>9</v>
      </c>
      <c r="C5753" s="11">
        <f>IFERROR(__xludf.DUMMYFUNCTION("""COMPUTED_VALUE"""),92330.0)</f>
        <v>92330</v>
      </c>
      <c r="D5753" s="11">
        <f>IFERROR(__xludf.DUMMYFUNCTION("""COMPUTED_VALUE"""),1366.0)</f>
        <v>1366</v>
      </c>
      <c r="E5753" s="9"/>
    </row>
    <row r="5754">
      <c r="A5754" s="11">
        <f>IFERROR(__xludf.DUMMYFUNCTION("""COMPUTED_VALUE"""),2021.0)</f>
        <v>2021</v>
      </c>
      <c r="B5754" s="11">
        <f>IFERROR(__xludf.DUMMYFUNCTION("""COMPUTED_VALUE"""),10.0)</f>
        <v>10</v>
      </c>
      <c r="C5754" s="11">
        <f>IFERROR(__xludf.DUMMYFUNCTION("""COMPUTED_VALUE"""),128409.0)</f>
        <v>128409</v>
      </c>
      <c r="D5754" s="11">
        <f>IFERROR(__xludf.DUMMYFUNCTION("""COMPUTED_VALUE"""),755.0)</f>
        <v>755</v>
      </c>
      <c r="E5754" s="9"/>
    </row>
    <row r="5755">
      <c r="A5755" s="11">
        <f>IFERROR(__xludf.DUMMYFUNCTION("""COMPUTED_VALUE"""),2021.0)</f>
        <v>2021</v>
      </c>
      <c r="B5755" s="11">
        <f>IFERROR(__xludf.DUMMYFUNCTION("""COMPUTED_VALUE"""),10.0)</f>
        <v>10</v>
      </c>
      <c r="C5755" s="11">
        <f>IFERROR(__xludf.DUMMYFUNCTION("""COMPUTED_VALUE"""),124704.0)</f>
        <v>124704</v>
      </c>
      <c r="D5755" s="11">
        <f>IFERROR(__xludf.DUMMYFUNCTION("""COMPUTED_VALUE"""),1784.0)</f>
        <v>1784</v>
      </c>
      <c r="E5755" s="9"/>
    </row>
    <row r="5756">
      <c r="A5756" s="11">
        <f>IFERROR(__xludf.DUMMYFUNCTION("""COMPUTED_VALUE"""),2021.0)</f>
        <v>2021</v>
      </c>
      <c r="B5756" s="11">
        <f>IFERROR(__xludf.DUMMYFUNCTION("""COMPUTED_VALUE"""),11.0)</f>
        <v>11</v>
      </c>
      <c r="C5756" s="11">
        <f>IFERROR(__xludf.DUMMYFUNCTION("""COMPUTED_VALUE"""),122252.0)</f>
        <v>122252</v>
      </c>
      <c r="D5756" s="11">
        <f>IFERROR(__xludf.DUMMYFUNCTION("""COMPUTED_VALUE"""),259.0)</f>
        <v>259</v>
      </c>
      <c r="E5756" s="9"/>
    </row>
    <row r="5757">
      <c r="A5757" s="11">
        <f>IFERROR(__xludf.DUMMYFUNCTION("""COMPUTED_VALUE"""),2021.0)</f>
        <v>2021</v>
      </c>
      <c r="B5757" s="11">
        <f>IFERROR(__xludf.DUMMYFUNCTION("""COMPUTED_VALUE"""),8.0)</f>
        <v>8</v>
      </c>
      <c r="C5757" s="11">
        <f>IFERROR(__xludf.DUMMYFUNCTION("""COMPUTED_VALUE"""),85159.0)</f>
        <v>85159</v>
      </c>
      <c r="D5757" s="11">
        <f>IFERROR(__xludf.DUMMYFUNCTION("""COMPUTED_VALUE"""),1915.0)</f>
        <v>1915</v>
      </c>
      <c r="E5757" s="9"/>
    </row>
    <row r="5758">
      <c r="A5758" s="11">
        <f>IFERROR(__xludf.DUMMYFUNCTION("""COMPUTED_VALUE"""),2021.0)</f>
        <v>2021</v>
      </c>
      <c r="B5758" s="11">
        <f>IFERROR(__xludf.DUMMYFUNCTION("""COMPUTED_VALUE"""),10.0)</f>
        <v>10</v>
      </c>
      <c r="C5758" s="11">
        <f>IFERROR(__xludf.DUMMYFUNCTION("""COMPUTED_VALUE"""),103604.0)</f>
        <v>103604</v>
      </c>
      <c r="D5758" s="11">
        <f>IFERROR(__xludf.DUMMYFUNCTION("""COMPUTED_VALUE"""),103.0)</f>
        <v>103</v>
      </c>
      <c r="E5758" s="9"/>
    </row>
    <row r="5759">
      <c r="A5759" s="11">
        <f>IFERROR(__xludf.DUMMYFUNCTION("""COMPUTED_VALUE"""),2021.0)</f>
        <v>2021</v>
      </c>
      <c r="B5759" s="11">
        <f>IFERROR(__xludf.DUMMYFUNCTION("""COMPUTED_VALUE"""),9.0)</f>
        <v>9</v>
      </c>
      <c r="C5759" s="11">
        <f>IFERROR(__xludf.DUMMYFUNCTION("""COMPUTED_VALUE"""),27845.0)</f>
        <v>27845</v>
      </c>
      <c r="D5759" s="11">
        <f>IFERROR(__xludf.DUMMYFUNCTION("""COMPUTED_VALUE"""),311.0)</f>
        <v>311</v>
      </c>
      <c r="E5759" s="9"/>
    </row>
    <row r="5760">
      <c r="A5760" s="11">
        <f>IFERROR(__xludf.DUMMYFUNCTION("""COMPUTED_VALUE"""),2021.0)</f>
        <v>2021</v>
      </c>
      <c r="B5760" s="11">
        <f>IFERROR(__xludf.DUMMYFUNCTION("""COMPUTED_VALUE"""),11.0)</f>
        <v>11</v>
      </c>
      <c r="C5760" s="11">
        <f>IFERROR(__xludf.DUMMYFUNCTION("""COMPUTED_VALUE"""),11666.0)</f>
        <v>11666</v>
      </c>
      <c r="D5760" s="11">
        <f>IFERROR(__xludf.DUMMYFUNCTION("""COMPUTED_VALUE"""),1139.0)</f>
        <v>1139</v>
      </c>
      <c r="E5760" s="9"/>
    </row>
    <row r="5761">
      <c r="A5761" s="11">
        <f>IFERROR(__xludf.DUMMYFUNCTION("""COMPUTED_VALUE"""),2021.0)</f>
        <v>2021</v>
      </c>
      <c r="B5761" s="11">
        <f>IFERROR(__xludf.DUMMYFUNCTION("""COMPUTED_VALUE"""),8.0)</f>
        <v>8</v>
      </c>
      <c r="C5761" s="11">
        <f>IFERROR(__xludf.DUMMYFUNCTION("""COMPUTED_VALUE"""),127016.0)</f>
        <v>127016</v>
      </c>
      <c r="D5761" s="11">
        <f>IFERROR(__xludf.DUMMYFUNCTION("""COMPUTED_VALUE"""),1747.0)</f>
        <v>1747</v>
      </c>
      <c r="E5761" s="9"/>
    </row>
    <row r="5762">
      <c r="A5762" s="11">
        <f>IFERROR(__xludf.DUMMYFUNCTION("""COMPUTED_VALUE"""),2021.0)</f>
        <v>2021</v>
      </c>
      <c r="B5762" s="11">
        <f>IFERROR(__xludf.DUMMYFUNCTION("""COMPUTED_VALUE"""),8.0)</f>
        <v>8</v>
      </c>
      <c r="C5762" s="11">
        <f>IFERROR(__xludf.DUMMYFUNCTION("""COMPUTED_VALUE"""),2046.0)</f>
        <v>2046</v>
      </c>
      <c r="D5762" s="11">
        <f>IFERROR(__xludf.DUMMYFUNCTION("""COMPUTED_VALUE"""),309.0)</f>
        <v>309</v>
      </c>
      <c r="E5762" s="9"/>
    </row>
    <row r="5763">
      <c r="A5763" s="11">
        <f>IFERROR(__xludf.DUMMYFUNCTION("""COMPUTED_VALUE"""),2021.0)</f>
        <v>2021</v>
      </c>
      <c r="B5763" s="11">
        <f>IFERROR(__xludf.DUMMYFUNCTION("""COMPUTED_VALUE"""),11.0)</f>
        <v>11</v>
      </c>
      <c r="C5763" s="11">
        <f>IFERROR(__xludf.DUMMYFUNCTION("""COMPUTED_VALUE"""),66998.0)</f>
        <v>66998</v>
      </c>
      <c r="D5763" s="11">
        <f>IFERROR(__xludf.DUMMYFUNCTION("""COMPUTED_VALUE"""),1915.0)</f>
        <v>1915</v>
      </c>
      <c r="E5763" s="9"/>
    </row>
    <row r="5764">
      <c r="A5764" s="11">
        <f>IFERROR(__xludf.DUMMYFUNCTION("""COMPUTED_VALUE"""),2021.0)</f>
        <v>2021</v>
      </c>
      <c r="B5764" s="11">
        <f>IFERROR(__xludf.DUMMYFUNCTION("""COMPUTED_VALUE"""),9.0)</f>
        <v>9</v>
      </c>
      <c r="C5764" s="11">
        <f>IFERROR(__xludf.DUMMYFUNCTION("""COMPUTED_VALUE"""),103626.0)</f>
        <v>103626</v>
      </c>
      <c r="D5764" s="11">
        <f>IFERROR(__xludf.DUMMYFUNCTION("""COMPUTED_VALUE"""),1427.0)</f>
        <v>1427</v>
      </c>
      <c r="E5764" s="9"/>
    </row>
    <row r="5765">
      <c r="A5765" s="11">
        <f>IFERROR(__xludf.DUMMYFUNCTION("""COMPUTED_VALUE"""),2021.0)</f>
        <v>2021</v>
      </c>
      <c r="B5765" s="11">
        <f>IFERROR(__xludf.DUMMYFUNCTION("""COMPUTED_VALUE"""),9.0)</f>
        <v>9</v>
      </c>
      <c r="C5765" s="11">
        <f>IFERROR(__xludf.DUMMYFUNCTION("""COMPUTED_VALUE"""),103603.0)</f>
        <v>103603</v>
      </c>
      <c r="D5765" s="11">
        <f>IFERROR(__xludf.DUMMYFUNCTION("""COMPUTED_VALUE"""),982.0)</f>
        <v>982</v>
      </c>
      <c r="E5765" s="9"/>
    </row>
    <row r="5766">
      <c r="A5766" s="11">
        <f>IFERROR(__xludf.DUMMYFUNCTION("""COMPUTED_VALUE"""),2021.0)</f>
        <v>2021</v>
      </c>
      <c r="B5766" s="11">
        <f>IFERROR(__xludf.DUMMYFUNCTION("""COMPUTED_VALUE"""),11.0)</f>
        <v>11</v>
      </c>
      <c r="C5766" s="11">
        <f>IFERROR(__xludf.DUMMYFUNCTION("""COMPUTED_VALUE"""),85156.0)</f>
        <v>85156</v>
      </c>
      <c r="D5766" s="11">
        <f>IFERROR(__xludf.DUMMYFUNCTION("""COMPUTED_VALUE"""),1152.0)</f>
        <v>1152</v>
      </c>
      <c r="E5766" s="9"/>
    </row>
    <row r="5767">
      <c r="A5767" s="11">
        <f>IFERROR(__xludf.DUMMYFUNCTION("""COMPUTED_VALUE"""),2021.0)</f>
        <v>2021</v>
      </c>
      <c r="B5767" s="11">
        <f>IFERROR(__xludf.DUMMYFUNCTION("""COMPUTED_VALUE"""),11.0)</f>
        <v>11</v>
      </c>
      <c r="C5767" s="11">
        <f>IFERROR(__xludf.DUMMYFUNCTION("""COMPUTED_VALUE"""),8118.0)</f>
        <v>8118</v>
      </c>
      <c r="D5767" s="11">
        <f>IFERROR(__xludf.DUMMYFUNCTION("""COMPUTED_VALUE"""),923.0)</f>
        <v>923</v>
      </c>
      <c r="E5767" s="9"/>
    </row>
    <row r="5768">
      <c r="A5768" s="11">
        <f>IFERROR(__xludf.DUMMYFUNCTION("""COMPUTED_VALUE"""),2021.0)</f>
        <v>2021</v>
      </c>
      <c r="B5768" s="11">
        <f>IFERROR(__xludf.DUMMYFUNCTION("""COMPUTED_VALUE"""),8.0)</f>
        <v>8</v>
      </c>
      <c r="C5768" s="11">
        <f>IFERROR(__xludf.DUMMYFUNCTION("""COMPUTED_VALUE"""),109984.0)</f>
        <v>109984</v>
      </c>
      <c r="D5768" s="11">
        <f>IFERROR(__xludf.DUMMYFUNCTION("""COMPUTED_VALUE"""),1841.0)</f>
        <v>1841</v>
      </c>
      <c r="E5768" s="9"/>
    </row>
    <row r="5769">
      <c r="A5769" s="11">
        <f>IFERROR(__xludf.DUMMYFUNCTION("""COMPUTED_VALUE"""),2021.0)</f>
        <v>2021</v>
      </c>
      <c r="B5769" s="11">
        <f>IFERROR(__xludf.DUMMYFUNCTION("""COMPUTED_VALUE"""),10.0)</f>
        <v>10</v>
      </c>
      <c r="C5769" s="11">
        <f>IFERROR(__xludf.DUMMYFUNCTION("""COMPUTED_VALUE"""),92134.0)</f>
        <v>92134</v>
      </c>
      <c r="D5769" s="11">
        <f>IFERROR(__xludf.DUMMYFUNCTION("""COMPUTED_VALUE"""),591.0)</f>
        <v>591</v>
      </c>
      <c r="E5769" s="9"/>
    </row>
    <row r="5770">
      <c r="A5770" s="11">
        <f>IFERROR(__xludf.DUMMYFUNCTION("""COMPUTED_VALUE"""),2021.0)</f>
        <v>2021</v>
      </c>
      <c r="B5770" s="11">
        <f>IFERROR(__xludf.DUMMYFUNCTION("""COMPUTED_VALUE"""),9.0)</f>
        <v>9</v>
      </c>
      <c r="C5770" s="11">
        <f>IFERROR(__xludf.DUMMYFUNCTION("""COMPUTED_VALUE"""),129420.0)</f>
        <v>129420</v>
      </c>
      <c r="D5770" s="11">
        <f>IFERROR(__xludf.DUMMYFUNCTION("""COMPUTED_VALUE"""),1765.0)</f>
        <v>1765</v>
      </c>
      <c r="E5770" s="9"/>
    </row>
    <row r="5771">
      <c r="A5771" s="11">
        <f>IFERROR(__xludf.DUMMYFUNCTION("""COMPUTED_VALUE"""),2021.0)</f>
        <v>2021</v>
      </c>
      <c r="B5771" s="11">
        <f>IFERROR(__xludf.DUMMYFUNCTION("""COMPUTED_VALUE"""),10.0)</f>
        <v>10</v>
      </c>
      <c r="C5771" s="11">
        <f>IFERROR(__xludf.DUMMYFUNCTION("""COMPUTED_VALUE"""),111010.0)</f>
        <v>111010</v>
      </c>
      <c r="D5771" s="11">
        <f>IFERROR(__xludf.DUMMYFUNCTION("""COMPUTED_VALUE"""),766.0)</f>
        <v>766</v>
      </c>
      <c r="E5771" s="9"/>
    </row>
    <row r="5772">
      <c r="A5772" s="11">
        <f>IFERROR(__xludf.DUMMYFUNCTION("""COMPUTED_VALUE"""),2021.0)</f>
        <v>2021</v>
      </c>
      <c r="B5772" s="11">
        <f>IFERROR(__xludf.DUMMYFUNCTION("""COMPUTED_VALUE"""),8.0)</f>
        <v>8</v>
      </c>
      <c r="C5772" s="11">
        <f>IFERROR(__xludf.DUMMYFUNCTION("""COMPUTED_VALUE"""),46771.0)</f>
        <v>46771</v>
      </c>
      <c r="D5772" s="11">
        <f>IFERROR(__xludf.DUMMYFUNCTION("""COMPUTED_VALUE"""),1452.0)</f>
        <v>1452</v>
      </c>
      <c r="E5772" s="9"/>
    </row>
    <row r="5773">
      <c r="A5773" s="11">
        <f>IFERROR(__xludf.DUMMYFUNCTION("""COMPUTED_VALUE"""),2021.0)</f>
        <v>2021</v>
      </c>
      <c r="B5773" s="11">
        <f>IFERROR(__xludf.DUMMYFUNCTION("""COMPUTED_VALUE"""),11.0)</f>
        <v>11</v>
      </c>
      <c r="C5773" s="11">
        <f>IFERROR(__xludf.DUMMYFUNCTION("""COMPUTED_VALUE"""),88396.0)</f>
        <v>88396</v>
      </c>
      <c r="D5773" s="11">
        <f>IFERROR(__xludf.DUMMYFUNCTION("""COMPUTED_VALUE"""),96.0)</f>
        <v>96</v>
      </c>
      <c r="E5773" s="9"/>
    </row>
    <row r="5774">
      <c r="A5774" s="11">
        <f>IFERROR(__xludf.DUMMYFUNCTION("""COMPUTED_VALUE"""),2021.0)</f>
        <v>2021</v>
      </c>
      <c r="B5774" s="11">
        <f>IFERROR(__xludf.DUMMYFUNCTION("""COMPUTED_VALUE"""),8.0)</f>
        <v>8</v>
      </c>
      <c r="C5774" s="11">
        <f>IFERROR(__xludf.DUMMYFUNCTION("""COMPUTED_VALUE"""),88188.0)</f>
        <v>88188</v>
      </c>
      <c r="D5774" s="11">
        <f>IFERROR(__xludf.DUMMYFUNCTION("""COMPUTED_VALUE"""),1464.0)</f>
        <v>1464</v>
      </c>
      <c r="E5774" s="9"/>
    </row>
    <row r="5775">
      <c r="A5775" s="11">
        <f>IFERROR(__xludf.DUMMYFUNCTION("""COMPUTED_VALUE"""),2021.0)</f>
        <v>2021</v>
      </c>
      <c r="B5775" s="11">
        <f>IFERROR(__xludf.DUMMYFUNCTION("""COMPUTED_VALUE"""),8.0)</f>
        <v>8</v>
      </c>
      <c r="C5775" s="11">
        <f>IFERROR(__xludf.DUMMYFUNCTION("""COMPUTED_VALUE"""),129373.0)</f>
        <v>129373</v>
      </c>
      <c r="D5775" s="11">
        <f>IFERROR(__xludf.DUMMYFUNCTION("""COMPUTED_VALUE"""),32.0)</f>
        <v>32</v>
      </c>
      <c r="E5775" s="9"/>
    </row>
    <row r="5776">
      <c r="A5776" s="11">
        <f>IFERROR(__xludf.DUMMYFUNCTION("""COMPUTED_VALUE"""),2021.0)</f>
        <v>2021</v>
      </c>
      <c r="B5776" s="11">
        <f>IFERROR(__xludf.DUMMYFUNCTION("""COMPUTED_VALUE"""),9.0)</f>
        <v>9</v>
      </c>
      <c r="C5776" s="11">
        <f>IFERROR(__xludf.DUMMYFUNCTION("""COMPUTED_VALUE"""),103625.0)</f>
        <v>103625</v>
      </c>
      <c r="D5776" s="11">
        <f>IFERROR(__xludf.DUMMYFUNCTION("""COMPUTED_VALUE"""),1756.0)</f>
        <v>1756</v>
      </c>
      <c r="E5776" s="9"/>
    </row>
    <row r="5777">
      <c r="A5777" s="11">
        <f>IFERROR(__xludf.DUMMYFUNCTION("""COMPUTED_VALUE"""),2021.0)</f>
        <v>2021</v>
      </c>
      <c r="B5777" s="11">
        <f>IFERROR(__xludf.DUMMYFUNCTION("""COMPUTED_VALUE"""),9.0)</f>
        <v>9</v>
      </c>
      <c r="C5777" s="11">
        <f>IFERROR(__xludf.DUMMYFUNCTION("""COMPUTED_VALUE"""),109332.0)</f>
        <v>109332</v>
      </c>
      <c r="D5777" s="11">
        <f>IFERROR(__xludf.DUMMYFUNCTION("""COMPUTED_VALUE"""),881.0)</f>
        <v>881</v>
      </c>
      <c r="E5777" s="9"/>
    </row>
    <row r="5778">
      <c r="A5778" s="11">
        <f>IFERROR(__xludf.DUMMYFUNCTION("""COMPUTED_VALUE"""),2021.0)</f>
        <v>2021</v>
      </c>
      <c r="B5778" s="11">
        <f>IFERROR(__xludf.DUMMYFUNCTION("""COMPUTED_VALUE"""),10.0)</f>
        <v>10</v>
      </c>
      <c r="C5778" s="11">
        <f>IFERROR(__xludf.DUMMYFUNCTION("""COMPUTED_VALUE"""),92327.0)</f>
        <v>92327</v>
      </c>
      <c r="D5778" s="11">
        <f>IFERROR(__xludf.DUMMYFUNCTION("""COMPUTED_VALUE"""),1241.0)</f>
        <v>1241</v>
      </c>
      <c r="E5778" s="9"/>
    </row>
    <row r="5779">
      <c r="A5779" s="11">
        <f>IFERROR(__xludf.DUMMYFUNCTION("""COMPUTED_VALUE"""),2021.0)</f>
        <v>2021</v>
      </c>
      <c r="B5779" s="11">
        <f>IFERROR(__xludf.DUMMYFUNCTION("""COMPUTED_VALUE"""),10.0)</f>
        <v>10</v>
      </c>
      <c r="C5779" s="11">
        <f>IFERROR(__xludf.DUMMYFUNCTION("""COMPUTED_VALUE"""),80699.0)</f>
        <v>80699</v>
      </c>
      <c r="D5779" s="11">
        <f>IFERROR(__xludf.DUMMYFUNCTION("""COMPUTED_VALUE"""),126.0)</f>
        <v>126</v>
      </c>
      <c r="E5779" s="9"/>
    </row>
    <row r="5780">
      <c r="A5780" s="11">
        <f>IFERROR(__xludf.DUMMYFUNCTION("""COMPUTED_VALUE"""),2021.0)</f>
        <v>2021</v>
      </c>
      <c r="B5780" s="11">
        <f>IFERROR(__xludf.DUMMYFUNCTION("""COMPUTED_VALUE"""),10.0)</f>
        <v>10</v>
      </c>
      <c r="C5780" s="11">
        <f>IFERROR(__xludf.DUMMYFUNCTION("""COMPUTED_VALUE"""),101043.0)</f>
        <v>101043</v>
      </c>
      <c r="D5780" s="11">
        <f>IFERROR(__xludf.DUMMYFUNCTION("""COMPUTED_VALUE"""),1271.0)</f>
        <v>1271</v>
      </c>
      <c r="E5780" s="9"/>
    </row>
    <row r="5781">
      <c r="A5781" s="11">
        <f>IFERROR(__xludf.DUMMYFUNCTION("""COMPUTED_VALUE"""),2021.0)</f>
        <v>2021</v>
      </c>
      <c r="B5781" s="11">
        <f>IFERROR(__xludf.DUMMYFUNCTION("""COMPUTED_VALUE"""),10.0)</f>
        <v>10</v>
      </c>
      <c r="C5781" s="11">
        <f>IFERROR(__xludf.DUMMYFUNCTION("""COMPUTED_VALUE"""),46760.0)</f>
        <v>46760</v>
      </c>
      <c r="D5781" s="11">
        <f>IFERROR(__xludf.DUMMYFUNCTION("""COMPUTED_VALUE"""),1465.0)</f>
        <v>1465</v>
      </c>
      <c r="E5781" s="9"/>
    </row>
    <row r="5782">
      <c r="A5782" s="11">
        <f>IFERROR(__xludf.DUMMYFUNCTION("""COMPUTED_VALUE"""),2021.0)</f>
        <v>2021</v>
      </c>
      <c r="B5782" s="11">
        <f>IFERROR(__xludf.DUMMYFUNCTION("""COMPUTED_VALUE"""),11.0)</f>
        <v>11</v>
      </c>
      <c r="C5782" s="11">
        <f>IFERROR(__xludf.DUMMYFUNCTION("""COMPUTED_VALUE"""),109966.0)</f>
        <v>109966</v>
      </c>
      <c r="D5782" s="11">
        <f>IFERROR(__xludf.DUMMYFUNCTION("""COMPUTED_VALUE"""),1923.0)</f>
        <v>1923</v>
      </c>
      <c r="E5782" s="9"/>
    </row>
    <row r="5783">
      <c r="A5783" s="11">
        <f>IFERROR(__xludf.DUMMYFUNCTION("""COMPUTED_VALUE"""),2021.0)</f>
        <v>2021</v>
      </c>
      <c r="B5783" s="11">
        <f>IFERROR(__xludf.DUMMYFUNCTION("""COMPUTED_VALUE"""),11.0)</f>
        <v>11</v>
      </c>
      <c r="C5783" s="11">
        <f>IFERROR(__xludf.DUMMYFUNCTION("""COMPUTED_VALUE"""),128408.0)</f>
        <v>128408</v>
      </c>
      <c r="D5783" s="11">
        <f>IFERROR(__xludf.DUMMYFUNCTION("""COMPUTED_VALUE"""),463.0)</f>
        <v>463</v>
      </c>
      <c r="E5783" s="9"/>
    </row>
    <row r="5784">
      <c r="A5784" s="11">
        <f>IFERROR(__xludf.DUMMYFUNCTION("""COMPUTED_VALUE"""),2021.0)</f>
        <v>2021</v>
      </c>
      <c r="B5784" s="11">
        <f>IFERROR(__xludf.DUMMYFUNCTION("""COMPUTED_VALUE"""),9.0)</f>
        <v>9</v>
      </c>
      <c r="C5784" s="11">
        <f>IFERROR(__xludf.DUMMYFUNCTION("""COMPUTED_VALUE"""),81128.0)</f>
        <v>81128</v>
      </c>
      <c r="D5784" s="11">
        <f>IFERROR(__xludf.DUMMYFUNCTION("""COMPUTED_VALUE"""),1754.0)</f>
        <v>1754</v>
      </c>
      <c r="E5784" s="9"/>
    </row>
    <row r="5785">
      <c r="A5785" s="11">
        <f>IFERROR(__xludf.DUMMYFUNCTION("""COMPUTED_VALUE"""),2021.0)</f>
        <v>2021</v>
      </c>
      <c r="B5785" s="11">
        <f>IFERROR(__xludf.DUMMYFUNCTION("""COMPUTED_VALUE"""),11.0)</f>
        <v>11</v>
      </c>
      <c r="C5785" s="11">
        <f>IFERROR(__xludf.DUMMYFUNCTION("""COMPUTED_VALUE"""),45571.0)</f>
        <v>45571</v>
      </c>
      <c r="D5785" s="11">
        <f>IFERROR(__xludf.DUMMYFUNCTION("""COMPUTED_VALUE"""),24.0)</f>
        <v>24</v>
      </c>
      <c r="E5785" s="9"/>
    </row>
    <row r="5786">
      <c r="A5786" s="11">
        <f>IFERROR(__xludf.DUMMYFUNCTION("""COMPUTED_VALUE"""),2021.0)</f>
        <v>2021</v>
      </c>
      <c r="B5786" s="11">
        <f>IFERROR(__xludf.DUMMYFUNCTION("""COMPUTED_VALUE"""),11.0)</f>
        <v>11</v>
      </c>
      <c r="C5786" s="11">
        <f>IFERROR(__xludf.DUMMYFUNCTION("""COMPUTED_VALUE"""),44612.0)</f>
        <v>44612</v>
      </c>
      <c r="D5786" s="11">
        <f>IFERROR(__xludf.DUMMYFUNCTION("""COMPUTED_VALUE"""),431.0)</f>
        <v>431</v>
      </c>
      <c r="E5786" s="9"/>
    </row>
    <row r="5787">
      <c r="A5787" s="11">
        <f>IFERROR(__xludf.DUMMYFUNCTION("""COMPUTED_VALUE"""),2021.0)</f>
        <v>2021</v>
      </c>
      <c r="B5787" s="11">
        <f>IFERROR(__xludf.DUMMYFUNCTION("""COMPUTED_VALUE"""),8.0)</f>
        <v>8</v>
      </c>
      <c r="C5787" s="11">
        <f>IFERROR(__xludf.DUMMYFUNCTION("""COMPUTED_VALUE"""),124684.0)</f>
        <v>124684</v>
      </c>
      <c r="D5787" s="11">
        <f>IFERROR(__xludf.DUMMYFUNCTION("""COMPUTED_VALUE"""),1197.0)</f>
        <v>1197</v>
      </c>
      <c r="E5787" s="9"/>
    </row>
    <row r="5788">
      <c r="A5788" s="11">
        <f>IFERROR(__xludf.DUMMYFUNCTION("""COMPUTED_VALUE"""),2021.0)</f>
        <v>2021</v>
      </c>
      <c r="B5788" s="11">
        <f>IFERROR(__xludf.DUMMYFUNCTION("""COMPUTED_VALUE"""),11.0)</f>
        <v>11</v>
      </c>
      <c r="C5788" s="11">
        <f>IFERROR(__xludf.DUMMYFUNCTION("""COMPUTED_VALUE"""),112365.0)</f>
        <v>112365</v>
      </c>
      <c r="D5788" s="11">
        <f>IFERROR(__xludf.DUMMYFUNCTION("""COMPUTED_VALUE"""),1492.0)</f>
        <v>1492</v>
      </c>
      <c r="E5788" s="9"/>
    </row>
    <row r="5789">
      <c r="A5789" s="11">
        <f>IFERROR(__xludf.DUMMYFUNCTION("""COMPUTED_VALUE"""),2021.0)</f>
        <v>2021</v>
      </c>
      <c r="B5789" s="11">
        <f>IFERROR(__xludf.DUMMYFUNCTION("""COMPUTED_VALUE"""),9.0)</f>
        <v>9</v>
      </c>
      <c r="C5789" s="11">
        <f>IFERROR(__xludf.DUMMYFUNCTION("""COMPUTED_VALUE"""),41038.0)</f>
        <v>41038</v>
      </c>
      <c r="D5789" s="11">
        <f>IFERROR(__xludf.DUMMYFUNCTION("""COMPUTED_VALUE"""),1141.0)</f>
        <v>1141</v>
      </c>
      <c r="E5789" s="9"/>
    </row>
    <row r="5790">
      <c r="A5790" s="11">
        <f>IFERROR(__xludf.DUMMYFUNCTION("""COMPUTED_VALUE"""),2021.0)</f>
        <v>2021</v>
      </c>
      <c r="B5790" s="11">
        <f>IFERROR(__xludf.DUMMYFUNCTION("""COMPUTED_VALUE"""),10.0)</f>
        <v>10</v>
      </c>
      <c r="C5790" s="11">
        <f>IFERROR(__xludf.DUMMYFUNCTION("""COMPUTED_VALUE"""),87761.0)</f>
        <v>87761</v>
      </c>
      <c r="D5790" s="11">
        <f>IFERROR(__xludf.DUMMYFUNCTION("""COMPUTED_VALUE"""),1101.0)</f>
        <v>1101</v>
      </c>
      <c r="E5790" s="9"/>
    </row>
    <row r="5791">
      <c r="A5791" s="11">
        <f>IFERROR(__xludf.DUMMYFUNCTION("""COMPUTED_VALUE"""),2021.0)</f>
        <v>2021</v>
      </c>
      <c r="B5791" s="11">
        <f>IFERROR(__xludf.DUMMYFUNCTION("""COMPUTED_VALUE"""),8.0)</f>
        <v>8</v>
      </c>
      <c r="C5791" s="11">
        <f>IFERROR(__xludf.DUMMYFUNCTION("""COMPUTED_VALUE"""),106590.0)</f>
        <v>106590</v>
      </c>
      <c r="D5791" s="11">
        <f>IFERROR(__xludf.DUMMYFUNCTION("""COMPUTED_VALUE"""),135.0)</f>
        <v>135</v>
      </c>
      <c r="E5791" s="9"/>
    </row>
    <row r="5792">
      <c r="A5792" s="11">
        <f>IFERROR(__xludf.DUMMYFUNCTION("""COMPUTED_VALUE"""),2021.0)</f>
        <v>2021</v>
      </c>
      <c r="B5792" s="11">
        <f>IFERROR(__xludf.DUMMYFUNCTION("""COMPUTED_VALUE"""),8.0)</f>
        <v>8</v>
      </c>
      <c r="C5792" s="11">
        <f>IFERROR(__xludf.DUMMYFUNCTION("""COMPUTED_VALUE"""),85734.0)</f>
        <v>85734</v>
      </c>
      <c r="D5792" s="11">
        <f>IFERROR(__xludf.DUMMYFUNCTION("""COMPUTED_VALUE"""),889.0)</f>
        <v>889</v>
      </c>
      <c r="E5792" s="9"/>
    </row>
    <row r="5793">
      <c r="A5793" s="11">
        <f>IFERROR(__xludf.DUMMYFUNCTION("""COMPUTED_VALUE"""),2021.0)</f>
        <v>2021</v>
      </c>
      <c r="B5793" s="11">
        <f>IFERROR(__xludf.DUMMYFUNCTION("""COMPUTED_VALUE"""),8.0)</f>
        <v>8</v>
      </c>
      <c r="C5793" s="11">
        <f>IFERROR(__xludf.DUMMYFUNCTION("""COMPUTED_VALUE"""),122511.0)</f>
        <v>122511</v>
      </c>
      <c r="D5793" s="11">
        <f>IFERROR(__xludf.DUMMYFUNCTION("""COMPUTED_VALUE"""),1354.0)</f>
        <v>1354</v>
      </c>
      <c r="E5793" s="9"/>
    </row>
    <row r="5794">
      <c r="A5794" s="11">
        <f>IFERROR(__xludf.DUMMYFUNCTION("""COMPUTED_VALUE"""),2021.0)</f>
        <v>2021</v>
      </c>
      <c r="B5794" s="11">
        <f>IFERROR(__xludf.DUMMYFUNCTION("""COMPUTED_VALUE"""),10.0)</f>
        <v>10</v>
      </c>
      <c r="C5794" s="11">
        <f>IFERROR(__xludf.DUMMYFUNCTION("""COMPUTED_VALUE"""),2335.0)</f>
        <v>2335</v>
      </c>
      <c r="D5794" s="11">
        <f>IFERROR(__xludf.DUMMYFUNCTION("""COMPUTED_VALUE"""),342.0)</f>
        <v>342</v>
      </c>
      <c r="E5794" s="9"/>
    </row>
    <row r="5795">
      <c r="A5795" s="11">
        <f>IFERROR(__xludf.DUMMYFUNCTION("""COMPUTED_VALUE"""),2021.0)</f>
        <v>2021</v>
      </c>
      <c r="B5795" s="11">
        <f>IFERROR(__xludf.DUMMYFUNCTION("""COMPUTED_VALUE"""),10.0)</f>
        <v>10</v>
      </c>
      <c r="C5795" s="11">
        <f>IFERROR(__xludf.DUMMYFUNCTION("""COMPUTED_VALUE"""),2339.0)</f>
        <v>2339</v>
      </c>
      <c r="D5795" s="11">
        <f>IFERROR(__xludf.DUMMYFUNCTION("""COMPUTED_VALUE"""),669.0)</f>
        <v>669</v>
      </c>
      <c r="E5795" s="9"/>
    </row>
    <row r="5796">
      <c r="A5796" s="11">
        <f>IFERROR(__xludf.DUMMYFUNCTION("""COMPUTED_VALUE"""),2021.0)</f>
        <v>2021</v>
      </c>
      <c r="B5796" s="11">
        <f>IFERROR(__xludf.DUMMYFUNCTION("""COMPUTED_VALUE"""),11.0)</f>
        <v>11</v>
      </c>
      <c r="C5796" s="11">
        <f>IFERROR(__xludf.DUMMYFUNCTION("""COMPUTED_VALUE"""),108468.0)</f>
        <v>108468</v>
      </c>
      <c r="D5796" s="11">
        <f>IFERROR(__xludf.DUMMYFUNCTION("""COMPUTED_VALUE"""),486.0)</f>
        <v>486</v>
      </c>
      <c r="E5796" s="9"/>
    </row>
    <row r="5797">
      <c r="A5797" s="11">
        <f>IFERROR(__xludf.DUMMYFUNCTION("""COMPUTED_VALUE"""),2021.0)</f>
        <v>2021</v>
      </c>
      <c r="B5797" s="11">
        <f>IFERROR(__xludf.DUMMYFUNCTION("""COMPUTED_VALUE"""),8.0)</f>
        <v>8</v>
      </c>
      <c r="C5797" s="11">
        <f>IFERROR(__xludf.DUMMYFUNCTION("""COMPUTED_VALUE"""),3439.0)</f>
        <v>3439</v>
      </c>
      <c r="D5797" s="11">
        <f>IFERROR(__xludf.DUMMYFUNCTION("""COMPUTED_VALUE"""),1516.0)</f>
        <v>1516</v>
      </c>
      <c r="E5797" s="9"/>
    </row>
    <row r="5798">
      <c r="A5798" s="11">
        <f>IFERROR(__xludf.DUMMYFUNCTION("""COMPUTED_VALUE"""),2021.0)</f>
        <v>2021</v>
      </c>
      <c r="B5798" s="11">
        <f>IFERROR(__xludf.DUMMYFUNCTION("""COMPUTED_VALUE"""),8.0)</f>
        <v>8</v>
      </c>
      <c r="C5798" s="11">
        <f>IFERROR(__xludf.DUMMYFUNCTION("""COMPUTED_VALUE"""),2044.0)</f>
        <v>2044</v>
      </c>
      <c r="D5798" s="11">
        <f>IFERROR(__xludf.DUMMYFUNCTION("""COMPUTED_VALUE"""),1408.0)</f>
        <v>1408</v>
      </c>
      <c r="E5798" s="9"/>
    </row>
    <row r="5799">
      <c r="A5799" s="11">
        <f>IFERROR(__xludf.DUMMYFUNCTION("""COMPUTED_VALUE"""),2021.0)</f>
        <v>2021</v>
      </c>
      <c r="B5799" s="11">
        <f>IFERROR(__xludf.DUMMYFUNCTION("""COMPUTED_VALUE"""),11.0)</f>
        <v>11</v>
      </c>
      <c r="C5799" s="11">
        <f>IFERROR(__xludf.DUMMYFUNCTION("""COMPUTED_VALUE"""),188354.0)</f>
        <v>188354</v>
      </c>
      <c r="D5799" s="11">
        <f>IFERROR(__xludf.DUMMYFUNCTION("""COMPUTED_VALUE"""),125.0)</f>
        <v>125</v>
      </c>
      <c r="E5799" s="9"/>
    </row>
    <row r="5800">
      <c r="A5800" s="11">
        <f>IFERROR(__xludf.DUMMYFUNCTION("""COMPUTED_VALUE"""),2021.0)</f>
        <v>2021</v>
      </c>
      <c r="B5800" s="11">
        <f>IFERROR(__xludf.DUMMYFUNCTION("""COMPUTED_VALUE"""),8.0)</f>
        <v>8</v>
      </c>
      <c r="C5800" s="11">
        <f>IFERROR(__xludf.DUMMYFUNCTION("""COMPUTED_VALUE"""),27848.0)</f>
        <v>27848</v>
      </c>
      <c r="D5800" s="11">
        <f>IFERROR(__xludf.DUMMYFUNCTION("""COMPUTED_VALUE"""),380.0)</f>
        <v>380</v>
      </c>
      <c r="E5800" s="9"/>
    </row>
    <row r="5801">
      <c r="A5801" s="11">
        <f>IFERROR(__xludf.DUMMYFUNCTION("""COMPUTED_VALUE"""),2021.0)</f>
        <v>2021</v>
      </c>
      <c r="B5801" s="11">
        <f>IFERROR(__xludf.DUMMYFUNCTION("""COMPUTED_VALUE"""),9.0)</f>
        <v>9</v>
      </c>
      <c r="C5801" s="11">
        <f>IFERROR(__xludf.DUMMYFUNCTION("""COMPUTED_VALUE"""),45642.0)</f>
        <v>45642</v>
      </c>
      <c r="D5801" s="11">
        <f>IFERROR(__xludf.DUMMYFUNCTION("""COMPUTED_VALUE"""),666.0)</f>
        <v>666</v>
      </c>
      <c r="E5801" s="9"/>
    </row>
    <row r="5802">
      <c r="A5802" s="11">
        <f>IFERROR(__xludf.DUMMYFUNCTION("""COMPUTED_VALUE"""),2021.0)</f>
        <v>2021</v>
      </c>
      <c r="B5802" s="11">
        <f>IFERROR(__xludf.DUMMYFUNCTION("""COMPUTED_VALUE"""),8.0)</f>
        <v>8</v>
      </c>
      <c r="C5802" s="11">
        <f>IFERROR(__xludf.DUMMYFUNCTION("""COMPUTED_VALUE"""),79815.0)</f>
        <v>79815</v>
      </c>
      <c r="D5802" s="11">
        <f>IFERROR(__xludf.DUMMYFUNCTION("""COMPUTED_VALUE"""),1127.0)</f>
        <v>1127</v>
      </c>
      <c r="E5802" s="9"/>
    </row>
    <row r="5803">
      <c r="A5803" s="11">
        <f>IFERROR(__xludf.DUMMYFUNCTION("""COMPUTED_VALUE"""),2021.0)</f>
        <v>2021</v>
      </c>
      <c r="B5803" s="11">
        <f>IFERROR(__xludf.DUMMYFUNCTION("""COMPUTED_VALUE"""),11.0)</f>
        <v>11</v>
      </c>
      <c r="C5803" s="11">
        <f>IFERROR(__xludf.DUMMYFUNCTION("""COMPUTED_VALUE"""),87643.0)</f>
        <v>87643</v>
      </c>
      <c r="D5803" s="11">
        <f>IFERROR(__xludf.DUMMYFUNCTION("""COMPUTED_VALUE"""),865.0)</f>
        <v>865</v>
      </c>
      <c r="E5803" s="9"/>
    </row>
    <row r="5804">
      <c r="A5804" s="11">
        <f>IFERROR(__xludf.DUMMYFUNCTION("""COMPUTED_VALUE"""),2021.0)</f>
        <v>2021</v>
      </c>
      <c r="B5804" s="11">
        <f>IFERROR(__xludf.DUMMYFUNCTION("""COMPUTED_VALUE"""),11.0)</f>
        <v>11</v>
      </c>
      <c r="C5804" s="11">
        <f>IFERROR(__xludf.DUMMYFUNCTION("""COMPUTED_VALUE"""),30501.0)</f>
        <v>30501</v>
      </c>
      <c r="D5804" s="11">
        <f>IFERROR(__xludf.DUMMYFUNCTION("""COMPUTED_VALUE"""),867.0)</f>
        <v>867</v>
      </c>
      <c r="E5804" s="9"/>
    </row>
    <row r="5805">
      <c r="A5805" s="11">
        <f>IFERROR(__xludf.DUMMYFUNCTION("""COMPUTED_VALUE"""),2021.0)</f>
        <v>2021</v>
      </c>
      <c r="B5805" s="11">
        <f>IFERROR(__xludf.DUMMYFUNCTION("""COMPUTED_VALUE"""),10.0)</f>
        <v>10</v>
      </c>
      <c r="C5805" s="11">
        <f>IFERROR(__xludf.DUMMYFUNCTION("""COMPUTED_VALUE"""),118198.0)</f>
        <v>118198</v>
      </c>
      <c r="D5805" s="11">
        <f>IFERROR(__xludf.DUMMYFUNCTION("""COMPUTED_VALUE"""),1110.0)</f>
        <v>1110</v>
      </c>
      <c r="E5805" s="9"/>
    </row>
    <row r="5806">
      <c r="A5806" s="11">
        <f>IFERROR(__xludf.DUMMYFUNCTION("""COMPUTED_VALUE"""),2021.0)</f>
        <v>2021</v>
      </c>
      <c r="B5806" s="11">
        <f>IFERROR(__xludf.DUMMYFUNCTION("""COMPUTED_VALUE"""),11.0)</f>
        <v>11</v>
      </c>
      <c r="C5806" s="11">
        <f>IFERROR(__xludf.DUMMYFUNCTION("""COMPUTED_VALUE"""),4891.0)</f>
        <v>4891</v>
      </c>
      <c r="D5806" s="11">
        <f>IFERROR(__xludf.DUMMYFUNCTION("""COMPUTED_VALUE"""),1316.0)</f>
        <v>1316</v>
      </c>
      <c r="E5806" s="9"/>
    </row>
    <row r="5807">
      <c r="A5807" s="11">
        <f>IFERROR(__xludf.DUMMYFUNCTION("""COMPUTED_VALUE"""),2021.0)</f>
        <v>2021</v>
      </c>
      <c r="B5807" s="11">
        <f>IFERROR(__xludf.DUMMYFUNCTION("""COMPUTED_VALUE"""),9.0)</f>
        <v>9</v>
      </c>
      <c r="C5807" s="11">
        <f>IFERROR(__xludf.DUMMYFUNCTION("""COMPUTED_VALUE"""),23050.0)</f>
        <v>23050</v>
      </c>
      <c r="D5807" s="11">
        <f>IFERROR(__xludf.DUMMYFUNCTION("""COMPUTED_VALUE"""),1421.0)</f>
        <v>1421</v>
      </c>
      <c r="E5807" s="9"/>
    </row>
    <row r="5808">
      <c r="A5808" s="11">
        <f>IFERROR(__xludf.DUMMYFUNCTION("""COMPUTED_VALUE"""),2021.0)</f>
        <v>2021</v>
      </c>
      <c r="B5808" s="11">
        <f>IFERROR(__xludf.DUMMYFUNCTION("""COMPUTED_VALUE"""),11.0)</f>
        <v>11</v>
      </c>
      <c r="C5808" s="11">
        <f>IFERROR(__xludf.DUMMYFUNCTION("""COMPUTED_VALUE"""),94612.0)</f>
        <v>94612</v>
      </c>
      <c r="D5808" s="11">
        <f>IFERROR(__xludf.DUMMYFUNCTION("""COMPUTED_VALUE"""),178.0)</f>
        <v>178</v>
      </c>
      <c r="E5808" s="9"/>
    </row>
    <row r="5809">
      <c r="A5809" s="11">
        <f>IFERROR(__xludf.DUMMYFUNCTION("""COMPUTED_VALUE"""),2021.0)</f>
        <v>2021</v>
      </c>
      <c r="B5809" s="11">
        <f>IFERROR(__xludf.DUMMYFUNCTION("""COMPUTED_VALUE"""),11.0)</f>
        <v>11</v>
      </c>
      <c r="C5809" s="11">
        <f>IFERROR(__xludf.DUMMYFUNCTION("""COMPUTED_VALUE"""),109983.0)</f>
        <v>109983</v>
      </c>
      <c r="D5809" s="11">
        <f>IFERROR(__xludf.DUMMYFUNCTION("""COMPUTED_VALUE"""),1920.0)</f>
        <v>1920</v>
      </c>
      <c r="E5809" s="9"/>
    </row>
    <row r="5810">
      <c r="A5810" s="11">
        <f>IFERROR(__xludf.DUMMYFUNCTION("""COMPUTED_VALUE"""),2021.0)</f>
        <v>2021</v>
      </c>
      <c r="B5810" s="11">
        <f>IFERROR(__xludf.DUMMYFUNCTION("""COMPUTED_VALUE"""),8.0)</f>
        <v>8</v>
      </c>
      <c r="C5810" s="11">
        <f>IFERROR(__xludf.DUMMYFUNCTION("""COMPUTED_VALUE"""),110854.0)</f>
        <v>110854</v>
      </c>
      <c r="D5810" s="11">
        <f>IFERROR(__xludf.DUMMYFUNCTION("""COMPUTED_VALUE"""),921.0)</f>
        <v>921</v>
      </c>
      <c r="E5810" s="9"/>
    </row>
    <row r="5811">
      <c r="A5811" s="11">
        <f>IFERROR(__xludf.DUMMYFUNCTION("""COMPUTED_VALUE"""),2021.0)</f>
        <v>2021</v>
      </c>
      <c r="B5811" s="11">
        <f>IFERROR(__xludf.DUMMYFUNCTION("""COMPUTED_VALUE"""),11.0)</f>
        <v>11</v>
      </c>
      <c r="C5811" s="11">
        <f>IFERROR(__xludf.DUMMYFUNCTION("""COMPUTED_VALUE"""),110414.0)</f>
        <v>110414</v>
      </c>
      <c r="D5811" s="11">
        <f>IFERROR(__xludf.DUMMYFUNCTION("""COMPUTED_VALUE"""),1458.0)</f>
        <v>1458</v>
      </c>
      <c r="E5811" s="9"/>
    </row>
    <row r="5812">
      <c r="A5812" s="11">
        <f>IFERROR(__xludf.DUMMYFUNCTION("""COMPUTED_VALUE"""),2021.0)</f>
        <v>2021</v>
      </c>
      <c r="B5812" s="11">
        <f>IFERROR(__xludf.DUMMYFUNCTION("""COMPUTED_VALUE"""),10.0)</f>
        <v>10</v>
      </c>
      <c r="C5812" s="11">
        <f>IFERROR(__xludf.DUMMYFUNCTION("""COMPUTED_VALUE"""),103631.0)</f>
        <v>103631</v>
      </c>
      <c r="D5812" s="11">
        <f>IFERROR(__xludf.DUMMYFUNCTION("""COMPUTED_VALUE"""),233.0)</f>
        <v>233</v>
      </c>
      <c r="E5812" s="9"/>
    </row>
    <row r="5813">
      <c r="A5813" s="11">
        <f>IFERROR(__xludf.DUMMYFUNCTION("""COMPUTED_VALUE"""),2021.0)</f>
        <v>2021</v>
      </c>
      <c r="B5813" s="11">
        <f>IFERROR(__xludf.DUMMYFUNCTION("""COMPUTED_VALUE"""),8.0)</f>
        <v>8</v>
      </c>
      <c r="C5813" s="11">
        <f>IFERROR(__xludf.DUMMYFUNCTION("""COMPUTED_VALUE"""),111009.0)</f>
        <v>111009</v>
      </c>
      <c r="D5813" s="11">
        <f>IFERROR(__xludf.DUMMYFUNCTION("""COMPUTED_VALUE"""),1324.0)</f>
        <v>1324</v>
      </c>
      <c r="E5813" s="9"/>
    </row>
    <row r="5814">
      <c r="A5814" s="11">
        <f>IFERROR(__xludf.DUMMYFUNCTION("""COMPUTED_VALUE"""),2021.0)</f>
        <v>2021</v>
      </c>
      <c r="B5814" s="11">
        <f>IFERROR(__xludf.DUMMYFUNCTION("""COMPUTED_VALUE"""),8.0)</f>
        <v>8</v>
      </c>
      <c r="C5814" s="11">
        <f>IFERROR(__xludf.DUMMYFUNCTION("""COMPUTED_VALUE"""),109213.0)</f>
        <v>109213</v>
      </c>
      <c r="D5814" s="11">
        <f>IFERROR(__xludf.DUMMYFUNCTION("""COMPUTED_VALUE"""),1133.0)</f>
        <v>1133</v>
      </c>
      <c r="E5814" s="9"/>
    </row>
    <row r="5815">
      <c r="A5815" s="11">
        <f>IFERROR(__xludf.DUMMYFUNCTION("""COMPUTED_VALUE"""),2021.0)</f>
        <v>2021</v>
      </c>
      <c r="B5815" s="11">
        <f>IFERROR(__xludf.DUMMYFUNCTION("""COMPUTED_VALUE"""),8.0)</f>
        <v>8</v>
      </c>
      <c r="C5815" s="11">
        <f>IFERROR(__xludf.DUMMYFUNCTION("""COMPUTED_VALUE"""),103847.0)</f>
        <v>103847</v>
      </c>
      <c r="D5815" s="11">
        <f>IFERROR(__xludf.DUMMYFUNCTION("""COMPUTED_VALUE"""),267.0)</f>
        <v>267</v>
      </c>
      <c r="E5815" s="9"/>
    </row>
    <row r="5816">
      <c r="A5816" s="11">
        <f>IFERROR(__xludf.DUMMYFUNCTION("""COMPUTED_VALUE"""),2021.0)</f>
        <v>2021</v>
      </c>
      <c r="B5816" s="11">
        <f>IFERROR(__xludf.DUMMYFUNCTION("""COMPUTED_VALUE"""),8.0)</f>
        <v>8</v>
      </c>
      <c r="C5816" s="11">
        <f>IFERROR(__xludf.DUMMYFUNCTION("""COMPUTED_VALUE"""),96156.0)</f>
        <v>96156</v>
      </c>
      <c r="D5816" s="11">
        <f>IFERROR(__xludf.DUMMYFUNCTION("""COMPUTED_VALUE"""),528.0)</f>
        <v>528</v>
      </c>
      <c r="E5816" s="9"/>
    </row>
    <row r="5817">
      <c r="A5817" s="11">
        <f>IFERROR(__xludf.DUMMYFUNCTION("""COMPUTED_VALUE"""),2021.0)</f>
        <v>2021</v>
      </c>
      <c r="B5817" s="11">
        <f>IFERROR(__xludf.DUMMYFUNCTION("""COMPUTED_VALUE"""),9.0)</f>
        <v>9</v>
      </c>
      <c r="C5817" s="11">
        <f>IFERROR(__xludf.DUMMYFUNCTION("""COMPUTED_VALUE"""),4887.0)</f>
        <v>4887</v>
      </c>
      <c r="D5817" s="11">
        <f>IFERROR(__xludf.DUMMYFUNCTION("""COMPUTED_VALUE"""),1068.0)</f>
        <v>1068</v>
      </c>
      <c r="E5817" s="9"/>
    </row>
    <row r="5818">
      <c r="A5818" s="11">
        <f>IFERROR(__xludf.DUMMYFUNCTION("""COMPUTED_VALUE"""),2021.0)</f>
        <v>2021</v>
      </c>
      <c r="B5818" s="11">
        <f>IFERROR(__xludf.DUMMYFUNCTION("""COMPUTED_VALUE"""),10.0)</f>
        <v>10</v>
      </c>
      <c r="C5818" s="11">
        <f>IFERROR(__xludf.DUMMYFUNCTION("""COMPUTED_VALUE"""),92146.0)</f>
        <v>92146</v>
      </c>
      <c r="D5818" s="11">
        <f>IFERROR(__xludf.DUMMYFUNCTION("""COMPUTED_VALUE"""),839.0)</f>
        <v>839</v>
      </c>
      <c r="E5818" s="9"/>
    </row>
    <row r="5819">
      <c r="A5819" s="11">
        <f>IFERROR(__xludf.DUMMYFUNCTION("""COMPUTED_VALUE"""),2021.0)</f>
        <v>2021</v>
      </c>
      <c r="B5819" s="11">
        <f>IFERROR(__xludf.DUMMYFUNCTION("""COMPUTED_VALUE"""),9.0)</f>
        <v>9</v>
      </c>
      <c r="C5819" s="11">
        <f>IFERROR(__xludf.DUMMYFUNCTION("""COMPUTED_VALUE"""),122248.0)</f>
        <v>122248</v>
      </c>
      <c r="D5819" s="11">
        <f>IFERROR(__xludf.DUMMYFUNCTION("""COMPUTED_VALUE"""),1540.0)</f>
        <v>1540</v>
      </c>
      <c r="E5819" s="9"/>
    </row>
    <row r="5820">
      <c r="A5820" s="11">
        <f>IFERROR(__xludf.DUMMYFUNCTION("""COMPUTED_VALUE"""),2021.0)</f>
        <v>2021</v>
      </c>
      <c r="B5820" s="11">
        <f>IFERROR(__xludf.DUMMYFUNCTION("""COMPUTED_VALUE"""),8.0)</f>
        <v>8</v>
      </c>
      <c r="C5820" s="11">
        <f>IFERROR(__xludf.DUMMYFUNCTION("""COMPUTED_VALUE"""),122251.0)</f>
        <v>122251</v>
      </c>
      <c r="D5820" s="11">
        <f>IFERROR(__xludf.DUMMYFUNCTION("""COMPUTED_VALUE"""),1390.0)</f>
        <v>1390</v>
      </c>
      <c r="E5820" s="9"/>
    </row>
    <row r="5821">
      <c r="A5821" s="11">
        <f>IFERROR(__xludf.DUMMYFUNCTION("""COMPUTED_VALUE"""),2021.0)</f>
        <v>2021</v>
      </c>
      <c r="B5821" s="11">
        <f>IFERROR(__xludf.DUMMYFUNCTION("""COMPUTED_VALUE"""),9.0)</f>
        <v>9</v>
      </c>
      <c r="C5821" s="11">
        <f>IFERROR(__xludf.DUMMYFUNCTION("""COMPUTED_VALUE"""),103638.0)</f>
        <v>103638</v>
      </c>
      <c r="D5821" s="11">
        <f>IFERROR(__xludf.DUMMYFUNCTION("""COMPUTED_VALUE"""),1706.0)</f>
        <v>1706</v>
      </c>
      <c r="E5821" s="9"/>
    </row>
    <row r="5822">
      <c r="A5822" s="11">
        <f>IFERROR(__xludf.DUMMYFUNCTION("""COMPUTED_VALUE"""),2021.0)</f>
        <v>2021</v>
      </c>
      <c r="B5822" s="11">
        <f>IFERROR(__xludf.DUMMYFUNCTION("""COMPUTED_VALUE"""),8.0)</f>
        <v>8</v>
      </c>
      <c r="C5822" s="11">
        <f>IFERROR(__xludf.DUMMYFUNCTION("""COMPUTED_VALUE"""),111655.0)</f>
        <v>111655</v>
      </c>
      <c r="D5822" s="11">
        <f>IFERROR(__xludf.DUMMYFUNCTION("""COMPUTED_VALUE"""),1285.0)</f>
        <v>1285</v>
      </c>
      <c r="E5822" s="9"/>
    </row>
    <row r="5823">
      <c r="A5823" s="11">
        <f>IFERROR(__xludf.DUMMYFUNCTION("""COMPUTED_VALUE"""),2021.0)</f>
        <v>2021</v>
      </c>
      <c r="B5823" s="11">
        <f>IFERROR(__xludf.DUMMYFUNCTION("""COMPUTED_VALUE"""),9.0)</f>
        <v>9</v>
      </c>
      <c r="C5823" s="11">
        <f>IFERROR(__xludf.DUMMYFUNCTION("""COMPUTED_VALUE"""),84201.0)</f>
        <v>84201</v>
      </c>
      <c r="D5823" s="11">
        <f>IFERROR(__xludf.DUMMYFUNCTION("""COMPUTED_VALUE"""),346.0)</f>
        <v>346</v>
      </c>
      <c r="E5823" s="9"/>
    </row>
    <row r="5824">
      <c r="A5824" s="11">
        <f>IFERROR(__xludf.DUMMYFUNCTION("""COMPUTED_VALUE"""),2021.0)</f>
        <v>2021</v>
      </c>
      <c r="B5824" s="11">
        <f>IFERROR(__xludf.DUMMYFUNCTION("""COMPUTED_VALUE"""),9.0)</f>
        <v>9</v>
      </c>
      <c r="C5824" s="11">
        <f>IFERROR(__xludf.DUMMYFUNCTION("""COMPUTED_VALUE"""),80697.0)</f>
        <v>80697</v>
      </c>
      <c r="D5824" s="11">
        <f>IFERROR(__xludf.DUMMYFUNCTION("""COMPUTED_VALUE"""),1836.0)</f>
        <v>1836</v>
      </c>
      <c r="E5824" s="9"/>
    </row>
    <row r="5825">
      <c r="A5825" s="11">
        <f>IFERROR(__xludf.DUMMYFUNCTION("""COMPUTED_VALUE"""),2021.0)</f>
        <v>2021</v>
      </c>
      <c r="B5825" s="11">
        <f>IFERROR(__xludf.DUMMYFUNCTION("""COMPUTED_VALUE"""),9.0)</f>
        <v>9</v>
      </c>
      <c r="C5825" s="11">
        <f>IFERROR(__xludf.DUMMYFUNCTION("""COMPUTED_VALUE"""),117394.0)</f>
        <v>117394</v>
      </c>
      <c r="D5825" s="11">
        <f>IFERROR(__xludf.DUMMYFUNCTION("""COMPUTED_VALUE"""),963.0)</f>
        <v>963</v>
      </c>
      <c r="E5825" s="9"/>
    </row>
    <row r="5826">
      <c r="A5826" s="11">
        <f>IFERROR(__xludf.DUMMYFUNCTION("""COMPUTED_VALUE"""),2021.0)</f>
        <v>2021</v>
      </c>
      <c r="B5826" s="11">
        <f>IFERROR(__xludf.DUMMYFUNCTION("""COMPUTED_VALUE"""),9.0)</f>
        <v>9</v>
      </c>
      <c r="C5826" s="11">
        <f>IFERROR(__xludf.DUMMYFUNCTION("""COMPUTED_VALUE"""),103636.0)</f>
        <v>103636</v>
      </c>
      <c r="D5826" s="11">
        <f>IFERROR(__xludf.DUMMYFUNCTION("""COMPUTED_VALUE"""),236.0)</f>
        <v>236</v>
      </c>
      <c r="E5826" s="9"/>
    </row>
    <row r="5827">
      <c r="A5827" s="11">
        <f>IFERROR(__xludf.DUMMYFUNCTION("""COMPUTED_VALUE"""),2021.0)</f>
        <v>2021</v>
      </c>
      <c r="B5827" s="11">
        <f>IFERROR(__xludf.DUMMYFUNCTION("""COMPUTED_VALUE"""),9.0)</f>
        <v>9</v>
      </c>
      <c r="C5827" s="11">
        <f>IFERROR(__xludf.DUMMYFUNCTION("""COMPUTED_VALUE"""),67001.0)</f>
        <v>67001</v>
      </c>
      <c r="D5827" s="11">
        <f>IFERROR(__xludf.DUMMYFUNCTION("""COMPUTED_VALUE"""),123.0)</f>
        <v>123</v>
      </c>
      <c r="E5827" s="9"/>
    </row>
    <row r="5828">
      <c r="A5828" s="11">
        <f>IFERROR(__xludf.DUMMYFUNCTION("""COMPUTED_VALUE"""),2021.0)</f>
        <v>2021</v>
      </c>
      <c r="B5828" s="11">
        <f>IFERROR(__xludf.DUMMYFUNCTION("""COMPUTED_VALUE"""),10.0)</f>
        <v>10</v>
      </c>
      <c r="C5828" s="11">
        <f>IFERROR(__xludf.DUMMYFUNCTION("""COMPUTED_VALUE"""),2148.0)</f>
        <v>2148</v>
      </c>
      <c r="D5828" s="11">
        <f>IFERROR(__xludf.DUMMYFUNCTION("""COMPUTED_VALUE"""),1279.0)</f>
        <v>1279</v>
      </c>
      <c r="E5828" s="9"/>
    </row>
    <row r="5829">
      <c r="A5829" s="11">
        <f>IFERROR(__xludf.DUMMYFUNCTION("""COMPUTED_VALUE"""),2021.0)</f>
        <v>2021</v>
      </c>
      <c r="B5829" s="11">
        <f>IFERROR(__xludf.DUMMYFUNCTION("""COMPUTED_VALUE"""),9.0)</f>
        <v>9</v>
      </c>
      <c r="C5829" s="11">
        <f>IFERROR(__xludf.DUMMYFUNCTION("""COMPUTED_VALUE"""),111672.0)</f>
        <v>111672</v>
      </c>
      <c r="D5829" s="11">
        <f>IFERROR(__xludf.DUMMYFUNCTION("""COMPUTED_VALUE"""),867.0)</f>
        <v>867</v>
      </c>
      <c r="E5829" s="9"/>
    </row>
    <row r="5830">
      <c r="A5830" s="11">
        <f>IFERROR(__xludf.DUMMYFUNCTION("""COMPUTED_VALUE"""),2021.0)</f>
        <v>2021</v>
      </c>
      <c r="B5830" s="11">
        <f>IFERROR(__xludf.DUMMYFUNCTION("""COMPUTED_VALUE"""),10.0)</f>
        <v>10</v>
      </c>
      <c r="C5830" s="11">
        <f>IFERROR(__xludf.DUMMYFUNCTION("""COMPUTED_VALUE"""),80696.0)</f>
        <v>80696</v>
      </c>
      <c r="D5830" s="11">
        <f>IFERROR(__xludf.DUMMYFUNCTION("""COMPUTED_VALUE"""),19.0)</f>
        <v>19</v>
      </c>
      <c r="E5830" s="9"/>
    </row>
    <row r="5831">
      <c r="A5831" s="11">
        <f>IFERROR(__xludf.DUMMYFUNCTION("""COMPUTED_VALUE"""),2021.0)</f>
        <v>2021</v>
      </c>
      <c r="B5831" s="11">
        <f>IFERROR(__xludf.DUMMYFUNCTION("""COMPUTED_VALUE"""),9.0)</f>
        <v>9</v>
      </c>
      <c r="C5831" s="11">
        <f>IFERROR(__xludf.DUMMYFUNCTION("""COMPUTED_VALUE"""),96853.0)</f>
        <v>96853</v>
      </c>
      <c r="D5831" s="11">
        <f>IFERROR(__xludf.DUMMYFUNCTION("""COMPUTED_VALUE"""),1689.0)</f>
        <v>1689</v>
      </c>
      <c r="E5831" s="9"/>
    </row>
    <row r="5832">
      <c r="A5832" s="11">
        <f>IFERROR(__xludf.DUMMYFUNCTION("""COMPUTED_VALUE"""),2021.0)</f>
        <v>2021</v>
      </c>
      <c r="B5832" s="11">
        <f>IFERROR(__xludf.DUMMYFUNCTION("""COMPUTED_VALUE"""),10.0)</f>
        <v>10</v>
      </c>
      <c r="C5832" s="11">
        <f>IFERROR(__xludf.DUMMYFUNCTION("""COMPUTED_VALUE"""),117388.0)</f>
        <v>117388</v>
      </c>
      <c r="D5832" s="11">
        <f>IFERROR(__xludf.DUMMYFUNCTION("""COMPUTED_VALUE"""),539.0)</f>
        <v>539</v>
      </c>
      <c r="E5832" s="9"/>
    </row>
    <row r="5833">
      <c r="A5833" s="11">
        <f>IFERROR(__xludf.DUMMYFUNCTION("""COMPUTED_VALUE"""),2021.0)</f>
        <v>2021</v>
      </c>
      <c r="B5833" s="11">
        <f>IFERROR(__xludf.DUMMYFUNCTION("""COMPUTED_VALUE"""),11.0)</f>
        <v>11</v>
      </c>
      <c r="C5833" s="11">
        <f>IFERROR(__xludf.DUMMYFUNCTION("""COMPUTED_VALUE"""),109971.0)</f>
        <v>109971</v>
      </c>
      <c r="D5833" s="11">
        <f>IFERROR(__xludf.DUMMYFUNCTION("""COMPUTED_VALUE"""),1215.0)</f>
        <v>1215</v>
      </c>
      <c r="E5833" s="9"/>
    </row>
    <row r="5834">
      <c r="A5834" s="11">
        <f>IFERROR(__xludf.DUMMYFUNCTION("""COMPUTED_VALUE"""),2021.0)</f>
        <v>2021</v>
      </c>
      <c r="B5834" s="11">
        <f>IFERROR(__xludf.DUMMYFUNCTION("""COMPUTED_VALUE"""),8.0)</f>
        <v>8</v>
      </c>
      <c r="C5834" s="11">
        <f>IFERROR(__xludf.DUMMYFUNCTION("""COMPUTED_VALUE"""),122247.0)</f>
        <v>122247</v>
      </c>
      <c r="D5834" s="11">
        <f>IFERROR(__xludf.DUMMYFUNCTION("""COMPUTED_VALUE"""),164.0)</f>
        <v>164</v>
      </c>
      <c r="E5834" s="9"/>
    </row>
    <row r="5835">
      <c r="A5835" s="11">
        <f>IFERROR(__xludf.DUMMYFUNCTION("""COMPUTED_VALUE"""),2021.0)</f>
        <v>2021</v>
      </c>
      <c r="B5835" s="11">
        <f>IFERROR(__xludf.DUMMYFUNCTION("""COMPUTED_VALUE"""),8.0)</f>
        <v>8</v>
      </c>
      <c r="C5835" s="11">
        <f>IFERROR(__xludf.DUMMYFUNCTION("""COMPUTED_VALUE"""),103635.0)</f>
        <v>103635</v>
      </c>
      <c r="D5835" s="11">
        <f>IFERROR(__xludf.DUMMYFUNCTION("""COMPUTED_VALUE"""),1309.0)</f>
        <v>1309</v>
      </c>
      <c r="E5835" s="9"/>
    </row>
    <row r="5836">
      <c r="A5836" s="11">
        <f>IFERROR(__xludf.DUMMYFUNCTION("""COMPUTED_VALUE"""),2021.0)</f>
        <v>2021</v>
      </c>
      <c r="B5836" s="11">
        <f>IFERROR(__xludf.DUMMYFUNCTION("""COMPUTED_VALUE"""),10.0)</f>
        <v>10</v>
      </c>
      <c r="C5836" s="11">
        <f>IFERROR(__xludf.DUMMYFUNCTION("""COMPUTED_VALUE"""),122295.0)</f>
        <v>122295</v>
      </c>
      <c r="D5836" s="11">
        <f>IFERROR(__xludf.DUMMYFUNCTION("""COMPUTED_VALUE"""),691.0)</f>
        <v>691</v>
      </c>
      <c r="E5836" s="9"/>
    </row>
    <row r="5837">
      <c r="A5837" s="11">
        <f>IFERROR(__xludf.DUMMYFUNCTION("""COMPUTED_VALUE"""),2021.0)</f>
        <v>2021</v>
      </c>
      <c r="B5837" s="11">
        <f>IFERROR(__xludf.DUMMYFUNCTION("""COMPUTED_VALUE"""),8.0)</f>
        <v>8</v>
      </c>
      <c r="C5837" s="11">
        <f>IFERROR(__xludf.DUMMYFUNCTION("""COMPUTED_VALUE"""),118351.0)</f>
        <v>118351</v>
      </c>
      <c r="D5837" s="11">
        <f>IFERROR(__xludf.DUMMYFUNCTION("""COMPUTED_VALUE"""),1059.0)</f>
        <v>1059</v>
      </c>
      <c r="E5837" s="9"/>
    </row>
    <row r="5838">
      <c r="A5838" s="11">
        <f>IFERROR(__xludf.DUMMYFUNCTION("""COMPUTED_VALUE"""),2021.0)</f>
        <v>2021</v>
      </c>
      <c r="B5838" s="11">
        <f>IFERROR(__xludf.DUMMYFUNCTION("""COMPUTED_VALUE"""),11.0)</f>
        <v>11</v>
      </c>
      <c r="C5838" s="11">
        <f>IFERROR(__xludf.DUMMYFUNCTION("""COMPUTED_VALUE"""),91624.0)</f>
        <v>91624</v>
      </c>
      <c r="D5838" s="11">
        <f>IFERROR(__xludf.DUMMYFUNCTION("""COMPUTED_VALUE"""),1829.0)</f>
        <v>1829</v>
      </c>
      <c r="E5838" s="9"/>
    </row>
    <row r="5839">
      <c r="A5839" s="11">
        <f>IFERROR(__xludf.DUMMYFUNCTION("""COMPUTED_VALUE"""),2021.0)</f>
        <v>2021</v>
      </c>
      <c r="B5839" s="11">
        <f>IFERROR(__xludf.DUMMYFUNCTION("""COMPUTED_VALUE"""),8.0)</f>
        <v>8</v>
      </c>
      <c r="C5839" s="11">
        <f>IFERROR(__xludf.DUMMYFUNCTION("""COMPUTED_VALUE"""),27765.0)</f>
        <v>27765</v>
      </c>
      <c r="D5839" s="11">
        <f>IFERROR(__xludf.DUMMYFUNCTION("""COMPUTED_VALUE"""),1238.0)</f>
        <v>1238</v>
      </c>
      <c r="E5839" s="9"/>
    </row>
    <row r="5840">
      <c r="A5840" s="11">
        <f>IFERROR(__xludf.DUMMYFUNCTION("""COMPUTED_VALUE"""),2021.0)</f>
        <v>2021</v>
      </c>
      <c r="B5840" s="11">
        <f>IFERROR(__xludf.DUMMYFUNCTION("""COMPUTED_VALUE"""),10.0)</f>
        <v>10</v>
      </c>
      <c r="C5840" s="11">
        <f>IFERROR(__xludf.DUMMYFUNCTION("""COMPUTED_VALUE"""),26313.0)</f>
        <v>26313</v>
      </c>
      <c r="D5840" s="11">
        <f>IFERROR(__xludf.DUMMYFUNCTION("""COMPUTED_VALUE"""),747.0)</f>
        <v>747</v>
      </c>
      <c r="E5840" s="9"/>
    </row>
    <row r="5841">
      <c r="A5841" s="11">
        <f>IFERROR(__xludf.DUMMYFUNCTION("""COMPUTED_VALUE"""),2021.0)</f>
        <v>2021</v>
      </c>
      <c r="B5841" s="11">
        <f>IFERROR(__xludf.DUMMYFUNCTION("""COMPUTED_VALUE"""),8.0)</f>
        <v>8</v>
      </c>
      <c r="C5841" s="11">
        <f>IFERROR(__xludf.DUMMYFUNCTION("""COMPUTED_VALUE"""),26314.0)</f>
        <v>26314</v>
      </c>
      <c r="D5841" s="11">
        <f>IFERROR(__xludf.DUMMYFUNCTION("""COMPUTED_VALUE"""),1434.0)</f>
        <v>1434</v>
      </c>
      <c r="E5841" s="9"/>
    </row>
    <row r="5842">
      <c r="A5842" s="11">
        <f>IFERROR(__xludf.DUMMYFUNCTION("""COMPUTED_VALUE"""),2021.0)</f>
        <v>2021</v>
      </c>
      <c r="B5842" s="11">
        <f>IFERROR(__xludf.DUMMYFUNCTION("""COMPUTED_VALUE"""),11.0)</f>
        <v>11</v>
      </c>
      <c r="C5842" s="11">
        <f>IFERROR(__xludf.DUMMYFUNCTION("""COMPUTED_VALUE"""),91626.0)</f>
        <v>91626</v>
      </c>
      <c r="D5842" s="11">
        <f>IFERROR(__xludf.DUMMYFUNCTION("""COMPUTED_VALUE"""),112.0)</f>
        <v>112</v>
      </c>
      <c r="E5842" s="9"/>
    </row>
    <row r="5843">
      <c r="A5843" s="11">
        <f>IFERROR(__xludf.DUMMYFUNCTION("""COMPUTED_VALUE"""),2021.0)</f>
        <v>2021</v>
      </c>
      <c r="B5843" s="11">
        <f>IFERROR(__xludf.DUMMYFUNCTION("""COMPUTED_VALUE"""),8.0)</f>
        <v>8</v>
      </c>
      <c r="C5843" s="11">
        <f>IFERROR(__xludf.DUMMYFUNCTION("""COMPUTED_VALUE"""),112264.0)</f>
        <v>112264</v>
      </c>
      <c r="D5843" s="11">
        <f>IFERROR(__xludf.DUMMYFUNCTION("""COMPUTED_VALUE"""),1432.0)</f>
        <v>1432</v>
      </c>
      <c r="E5843" s="9"/>
    </row>
    <row r="5844">
      <c r="A5844" s="11">
        <f>IFERROR(__xludf.DUMMYFUNCTION("""COMPUTED_VALUE"""),2021.0)</f>
        <v>2021</v>
      </c>
      <c r="B5844" s="11">
        <f>IFERROR(__xludf.DUMMYFUNCTION("""COMPUTED_VALUE"""),9.0)</f>
        <v>9</v>
      </c>
      <c r="C5844" s="11">
        <f>IFERROR(__xludf.DUMMYFUNCTION("""COMPUTED_VALUE"""),27764.0)</f>
        <v>27764</v>
      </c>
      <c r="D5844" s="11">
        <f>IFERROR(__xludf.DUMMYFUNCTION("""COMPUTED_VALUE"""),853.0)</f>
        <v>853</v>
      </c>
      <c r="E5844" s="9"/>
    </row>
    <row r="5845">
      <c r="A5845" s="11">
        <f>IFERROR(__xludf.DUMMYFUNCTION("""COMPUTED_VALUE"""),2021.0)</f>
        <v>2021</v>
      </c>
      <c r="B5845" s="11">
        <f>IFERROR(__xludf.DUMMYFUNCTION("""COMPUTED_VALUE"""),9.0)</f>
        <v>9</v>
      </c>
      <c r="C5845" s="11">
        <f>IFERROR(__xludf.DUMMYFUNCTION("""COMPUTED_VALUE"""),92653.0)</f>
        <v>92653</v>
      </c>
      <c r="D5845" s="11">
        <f>IFERROR(__xludf.DUMMYFUNCTION("""COMPUTED_VALUE"""),1195.0)</f>
        <v>1195</v>
      </c>
      <c r="E5845" s="9"/>
    </row>
    <row r="5846">
      <c r="A5846" s="11">
        <f>IFERROR(__xludf.DUMMYFUNCTION("""COMPUTED_VALUE"""),2021.0)</f>
        <v>2021</v>
      </c>
      <c r="B5846" s="11">
        <f>IFERROR(__xludf.DUMMYFUNCTION("""COMPUTED_VALUE"""),11.0)</f>
        <v>11</v>
      </c>
      <c r="C5846" s="11">
        <f>IFERROR(__xludf.DUMMYFUNCTION("""COMPUTED_VALUE"""),117990.0)</f>
        <v>117990</v>
      </c>
      <c r="D5846" s="11">
        <f>IFERROR(__xludf.DUMMYFUNCTION("""COMPUTED_VALUE"""),1350.0)</f>
        <v>1350</v>
      </c>
      <c r="E5846" s="9"/>
    </row>
    <row r="5847">
      <c r="A5847" s="11">
        <f>IFERROR(__xludf.DUMMYFUNCTION("""COMPUTED_VALUE"""),2021.0)</f>
        <v>2021</v>
      </c>
      <c r="B5847" s="11">
        <f>IFERROR(__xludf.DUMMYFUNCTION("""COMPUTED_VALUE"""),8.0)</f>
        <v>8</v>
      </c>
      <c r="C5847" s="11">
        <f>IFERROR(__xludf.DUMMYFUNCTION("""COMPUTED_VALUE"""),92651.0)</f>
        <v>92651</v>
      </c>
      <c r="D5847" s="11">
        <f>IFERROR(__xludf.DUMMYFUNCTION("""COMPUTED_VALUE"""),1210.0)</f>
        <v>1210</v>
      </c>
      <c r="E5847" s="9"/>
    </row>
    <row r="5848">
      <c r="A5848" s="11">
        <f>IFERROR(__xludf.DUMMYFUNCTION("""COMPUTED_VALUE"""),2021.0)</f>
        <v>2021</v>
      </c>
      <c r="B5848" s="11">
        <f>IFERROR(__xludf.DUMMYFUNCTION("""COMPUTED_VALUE"""),10.0)</f>
        <v>10</v>
      </c>
      <c r="C5848" s="11">
        <f>IFERROR(__xludf.DUMMYFUNCTION("""COMPUTED_VALUE"""),104143.0)</f>
        <v>104143</v>
      </c>
      <c r="D5848" s="11">
        <f>IFERROR(__xludf.DUMMYFUNCTION("""COMPUTED_VALUE"""),1144.0)</f>
        <v>1144</v>
      </c>
      <c r="E5848" s="9"/>
    </row>
    <row r="5849">
      <c r="A5849" s="11">
        <f>IFERROR(__xludf.DUMMYFUNCTION("""COMPUTED_VALUE"""),2021.0)</f>
        <v>2021</v>
      </c>
      <c r="B5849" s="11">
        <f>IFERROR(__xludf.DUMMYFUNCTION("""COMPUTED_VALUE"""),10.0)</f>
        <v>10</v>
      </c>
      <c r="C5849" s="11">
        <f>IFERROR(__xludf.DUMMYFUNCTION("""COMPUTED_VALUE"""),48641.0)</f>
        <v>48641</v>
      </c>
      <c r="D5849" s="11">
        <f>IFERROR(__xludf.DUMMYFUNCTION("""COMPUTED_VALUE"""),1917.0)</f>
        <v>1917</v>
      </c>
      <c r="E5849" s="9"/>
    </row>
    <row r="5850">
      <c r="A5850" s="11">
        <f>IFERROR(__xludf.DUMMYFUNCTION("""COMPUTED_VALUE"""),2021.0)</f>
        <v>2021</v>
      </c>
      <c r="B5850" s="11">
        <f>IFERROR(__xludf.DUMMYFUNCTION("""COMPUTED_VALUE"""),10.0)</f>
        <v>10</v>
      </c>
      <c r="C5850" s="11">
        <f>IFERROR(__xludf.DUMMYFUNCTION("""COMPUTED_VALUE"""),47543.0)</f>
        <v>47543</v>
      </c>
      <c r="D5850" s="11">
        <f>IFERROR(__xludf.DUMMYFUNCTION("""COMPUTED_VALUE"""),1052.0)</f>
        <v>1052</v>
      </c>
      <c r="E5850" s="9"/>
    </row>
    <row r="5851">
      <c r="A5851" s="11">
        <f>IFERROR(__xludf.DUMMYFUNCTION("""COMPUTED_VALUE"""),2021.0)</f>
        <v>2021</v>
      </c>
      <c r="B5851" s="11">
        <f>IFERROR(__xludf.DUMMYFUNCTION("""COMPUTED_VALUE"""),8.0)</f>
        <v>8</v>
      </c>
      <c r="C5851" s="11">
        <f>IFERROR(__xludf.DUMMYFUNCTION("""COMPUTED_VALUE"""),117045.0)</f>
        <v>117045</v>
      </c>
      <c r="D5851" s="11">
        <f>IFERROR(__xludf.DUMMYFUNCTION("""COMPUTED_VALUE"""),668.0)</f>
        <v>668</v>
      </c>
      <c r="E5851" s="9"/>
    </row>
    <row r="5852">
      <c r="A5852" s="11">
        <f>IFERROR(__xludf.DUMMYFUNCTION("""COMPUTED_VALUE"""),2021.0)</f>
        <v>2021</v>
      </c>
      <c r="B5852" s="11">
        <f>IFERROR(__xludf.DUMMYFUNCTION("""COMPUTED_VALUE"""),11.0)</f>
        <v>11</v>
      </c>
      <c r="C5852" s="11">
        <f>IFERROR(__xludf.DUMMYFUNCTION("""COMPUTED_VALUE"""),109276.0)</f>
        <v>109276</v>
      </c>
      <c r="D5852" s="11">
        <f>IFERROR(__xludf.DUMMYFUNCTION("""COMPUTED_VALUE"""),528.0)</f>
        <v>528</v>
      </c>
      <c r="E5852" s="9"/>
    </row>
    <row r="5853">
      <c r="A5853" s="11">
        <f>IFERROR(__xludf.DUMMYFUNCTION("""COMPUTED_VALUE"""),2021.0)</f>
        <v>2021</v>
      </c>
      <c r="B5853" s="11">
        <f>IFERROR(__xludf.DUMMYFUNCTION("""COMPUTED_VALUE"""),8.0)</f>
        <v>8</v>
      </c>
      <c r="C5853" s="11">
        <f>IFERROR(__xludf.DUMMYFUNCTION("""COMPUTED_VALUE"""),117040.0)</f>
        <v>117040</v>
      </c>
      <c r="D5853" s="11">
        <f>IFERROR(__xludf.DUMMYFUNCTION("""COMPUTED_VALUE"""),845.0)</f>
        <v>845</v>
      </c>
      <c r="E5853" s="9"/>
    </row>
    <row r="5854">
      <c r="A5854" s="11">
        <f>IFERROR(__xludf.DUMMYFUNCTION("""COMPUTED_VALUE"""),2021.0)</f>
        <v>2021</v>
      </c>
      <c r="B5854" s="11">
        <f>IFERROR(__xludf.DUMMYFUNCTION("""COMPUTED_VALUE"""),11.0)</f>
        <v>11</v>
      </c>
      <c r="C5854" s="11">
        <f>IFERROR(__xludf.DUMMYFUNCTION("""COMPUTED_VALUE"""),108485.0)</f>
        <v>108485</v>
      </c>
      <c r="D5854" s="11">
        <f>IFERROR(__xludf.DUMMYFUNCTION("""COMPUTED_VALUE"""),119.0)</f>
        <v>119</v>
      </c>
      <c r="E5854" s="9"/>
    </row>
    <row r="5855">
      <c r="A5855" s="11">
        <f>IFERROR(__xludf.DUMMYFUNCTION("""COMPUTED_VALUE"""),2021.0)</f>
        <v>2021</v>
      </c>
      <c r="B5855" s="11">
        <f>IFERROR(__xludf.DUMMYFUNCTION("""COMPUTED_VALUE"""),10.0)</f>
        <v>10</v>
      </c>
      <c r="C5855" s="11">
        <f>IFERROR(__xludf.DUMMYFUNCTION("""COMPUTED_VALUE"""),80095.0)</f>
        <v>80095</v>
      </c>
      <c r="D5855" s="11">
        <f>IFERROR(__xludf.DUMMYFUNCTION("""COMPUTED_VALUE"""),385.0)</f>
        <v>385</v>
      </c>
      <c r="E5855" s="9"/>
    </row>
    <row r="5856">
      <c r="A5856" s="11">
        <f>IFERROR(__xludf.DUMMYFUNCTION("""COMPUTED_VALUE"""),2021.0)</f>
        <v>2021</v>
      </c>
      <c r="B5856" s="11">
        <f>IFERROR(__xludf.DUMMYFUNCTION("""COMPUTED_VALUE"""),10.0)</f>
        <v>10</v>
      </c>
      <c r="C5856" s="11">
        <f>IFERROR(__xludf.DUMMYFUNCTION("""COMPUTED_VALUE"""),117044.0)</f>
        <v>117044</v>
      </c>
      <c r="D5856" s="11">
        <f>IFERROR(__xludf.DUMMYFUNCTION("""COMPUTED_VALUE"""),1411.0)</f>
        <v>1411</v>
      </c>
      <c r="E5856" s="9"/>
    </row>
    <row r="5857">
      <c r="A5857" s="11">
        <f>IFERROR(__xludf.DUMMYFUNCTION("""COMPUTED_VALUE"""),2021.0)</f>
        <v>2021</v>
      </c>
      <c r="B5857" s="11">
        <f>IFERROR(__xludf.DUMMYFUNCTION("""COMPUTED_VALUE"""),10.0)</f>
        <v>10</v>
      </c>
      <c r="C5857" s="11">
        <f>IFERROR(__xludf.DUMMYFUNCTION("""COMPUTED_VALUE"""),69279.0)</f>
        <v>69279</v>
      </c>
      <c r="D5857" s="11">
        <f>IFERROR(__xludf.DUMMYFUNCTION("""COMPUTED_VALUE"""),35.0)</f>
        <v>35</v>
      </c>
      <c r="E5857" s="9"/>
    </row>
    <row r="5858">
      <c r="A5858" s="11">
        <f>IFERROR(__xludf.DUMMYFUNCTION("""COMPUTED_VALUE"""),2021.0)</f>
        <v>2021</v>
      </c>
      <c r="B5858" s="11">
        <f>IFERROR(__xludf.DUMMYFUNCTION("""COMPUTED_VALUE"""),11.0)</f>
        <v>11</v>
      </c>
      <c r="C5858" s="11">
        <f>IFERROR(__xludf.DUMMYFUNCTION("""COMPUTED_VALUE"""),48642.0)</f>
        <v>48642</v>
      </c>
      <c r="D5858" s="11">
        <f>IFERROR(__xludf.DUMMYFUNCTION("""COMPUTED_VALUE"""),872.0)</f>
        <v>872</v>
      </c>
      <c r="E5858" s="9"/>
    </row>
    <row r="5859">
      <c r="A5859" s="11">
        <f>IFERROR(__xludf.DUMMYFUNCTION("""COMPUTED_VALUE"""),2021.0)</f>
        <v>2021</v>
      </c>
      <c r="B5859" s="11">
        <f>IFERROR(__xludf.DUMMYFUNCTION("""COMPUTED_VALUE"""),9.0)</f>
        <v>9</v>
      </c>
      <c r="C5859" s="11">
        <f>IFERROR(__xludf.DUMMYFUNCTION("""COMPUTED_VALUE"""),117569.0)</f>
        <v>117569</v>
      </c>
      <c r="D5859" s="11">
        <f>IFERROR(__xludf.DUMMYFUNCTION("""COMPUTED_VALUE"""),1720.0)</f>
        <v>1720</v>
      </c>
      <c r="E5859" s="9"/>
    </row>
    <row r="5860">
      <c r="A5860" s="11">
        <f>IFERROR(__xludf.DUMMYFUNCTION("""COMPUTED_VALUE"""),2021.0)</f>
        <v>2021</v>
      </c>
      <c r="B5860" s="11">
        <f>IFERROR(__xludf.DUMMYFUNCTION("""COMPUTED_VALUE"""),9.0)</f>
        <v>9</v>
      </c>
      <c r="C5860" s="11">
        <f>IFERROR(__xludf.DUMMYFUNCTION("""COMPUTED_VALUE"""),83590.0)</f>
        <v>83590</v>
      </c>
      <c r="D5860" s="11">
        <f>IFERROR(__xludf.DUMMYFUNCTION("""COMPUTED_VALUE"""),1878.0)</f>
        <v>1878</v>
      </c>
      <c r="E5860" s="9"/>
    </row>
    <row r="5861">
      <c r="A5861" s="11">
        <f>IFERROR(__xludf.DUMMYFUNCTION("""COMPUTED_VALUE"""),2021.0)</f>
        <v>2021</v>
      </c>
      <c r="B5861" s="11">
        <f>IFERROR(__xludf.DUMMYFUNCTION("""COMPUTED_VALUE"""),10.0)</f>
        <v>10</v>
      </c>
      <c r="C5861" s="11">
        <f>IFERROR(__xludf.DUMMYFUNCTION("""COMPUTED_VALUE"""),117566.0)</f>
        <v>117566</v>
      </c>
      <c r="D5861" s="11">
        <f>IFERROR(__xludf.DUMMYFUNCTION("""COMPUTED_VALUE"""),962.0)</f>
        <v>962</v>
      </c>
      <c r="E5861" s="9"/>
    </row>
    <row r="5862">
      <c r="A5862" s="11">
        <f>IFERROR(__xludf.DUMMYFUNCTION("""COMPUTED_VALUE"""),2021.0)</f>
        <v>2021</v>
      </c>
      <c r="B5862" s="11">
        <f>IFERROR(__xludf.DUMMYFUNCTION("""COMPUTED_VALUE"""),8.0)</f>
        <v>8</v>
      </c>
      <c r="C5862" s="11">
        <f>IFERROR(__xludf.DUMMYFUNCTION("""COMPUTED_VALUE"""),116391.0)</f>
        <v>116391</v>
      </c>
      <c r="D5862" s="11">
        <f>IFERROR(__xludf.DUMMYFUNCTION("""COMPUTED_VALUE"""),352.0)</f>
        <v>352</v>
      </c>
      <c r="E5862" s="9"/>
    </row>
    <row r="5863">
      <c r="A5863" s="11">
        <f>IFERROR(__xludf.DUMMYFUNCTION("""COMPUTED_VALUE"""),2021.0)</f>
        <v>2021</v>
      </c>
      <c r="B5863" s="11">
        <f>IFERROR(__xludf.DUMMYFUNCTION("""COMPUTED_VALUE"""),9.0)</f>
        <v>9</v>
      </c>
      <c r="C5863" s="11">
        <f>IFERROR(__xludf.DUMMYFUNCTION("""COMPUTED_VALUE"""),47388.0)</f>
        <v>47388</v>
      </c>
      <c r="D5863" s="11">
        <f>IFERROR(__xludf.DUMMYFUNCTION("""COMPUTED_VALUE"""),766.0)</f>
        <v>766</v>
      </c>
      <c r="E5863" s="9"/>
    </row>
    <row r="5864">
      <c r="A5864" s="11">
        <f>IFERROR(__xludf.DUMMYFUNCTION("""COMPUTED_VALUE"""),2021.0)</f>
        <v>2021</v>
      </c>
      <c r="B5864" s="11">
        <f>IFERROR(__xludf.DUMMYFUNCTION("""COMPUTED_VALUE"""),10.0)</f>
        <v>10</v>
      </c>
      <c r="C5864" s="11">
        <f>IFERROR(__xludf.DUMMYFUNCTION("""COMPUTED_VALUE"""),117567.0)</f>
        <v>117567</v>
      </c>
      <c r="D5864" s="11">
        <f>IFERROR(__xludf.DUMMYFUNCTION("""COMPUTED_VALUE"""),399.0)</f>
        <v>399</v>
      </c>
      <c r="E5864" s="9"/>
    </row>
    <row r="5865">
      <c r="A5865" s="11">
        <f>IFERROR(__xludf.DUMMYFUNCTION("""COMPUTED_VALUE"""),2021.0)</f>
        <v>2021</v>
      </c>
      <c r="B5865" s="11">
        <f>IFERROR(__xludf.DUMMYFUNCTION("""COMPUTED_VALUE"""),8.0)</f>
        <v>8</v>
      </c>
      <c r="C5865" s="11">
        <f>IFERROR(__xludf.DUMMYFUNCTION("""COMPUTED_VALUE"""),104319.0)</f>
        <v>104319</v>
      </c>
      <c r="D5865" s="11">
        <f>IFERROR(__xludf.DUMMYFUNCTION("""COMPUTED_VALUE"""),684.0)</f>
        <v>684</v>
      </c>
      <c r="E5865" s="9"/>
    </row>
    <row r="5866">
      <c r="A5866" s="11">
        <f>IFERROR(__xludf.DUMMYFUNCTION("""COMPUTED_VALUE"""),2021.0)</f>
        <v>2021</v>
      </c>
      <c r="B5866" s="11">
        <f>IFERROR(__xludf.DUMMYFUNCTION("""COMPUTED_VALUE"""),8.0)</f>
        <v>8</v>
      </c>
      <c r="C5866" s="11">
        <f>IFERROR(__xludf.DUMMYFUNCTION("""COMPUTED_VALUE"""),120399.0)</f>
        <v>120399</v>
      </c>
      <c r="D5866" s="11">
        <f>IFERROR(__xludf.DUMMYFUNCTION("""COMPUTED_VALUE"""),108.0)</f>
        <v>108</v>
      </c>
      <c r="E5866" s="9"/>
    </row>
    <row r="5867">
      <c r="A5867" s="11">
        <f>IFERROR(__xludf.DUMMYFUNCTION("""COMPUTED_VALUE"""),2021.0)</f>
        <v>2021</v>
      </c>
      <c r="B5867" s="11">
        <f>IFERROR(__xludf.DUMMYFUNCTION("""COMPUTED_VALUE"""),10.0)</f>
        <v>10</v>
      </c>
      <c r="C5867" s="11">
        <f>IFERROR(__xludf.DUMMYFUNCTION("""COMPUTED_VALUE"""),47389.0)</f>
        <v>47389</v>
      </c>
      <c r="D5867" s="11">
        <f>IFERROR(__xludf.DUMMYFUNCTION("""COMPUTED_VALUE"""),1799.0)</f>
        <v>1799</v>
      </c>
      <c r="E5867" s="9"/>
    </row>
    <row r="5868">
      <c r="A5868" s="11">
        <f>IFERROR(__xludf.DUMMYFUNCTION("""COMPUTED_VALUE"""),2021.0)</f>
        <v>2021</v>
      </c>
      <c r="B5868" s="11">
        <f>IFERROR(__xludf.DUMMYFUNCTION("""COMPUTED_VALUE"""),10.0)</f>
        <v>10</v>
      </c>
      <c r="C5868" s="11">
        <f>IFERROR(__xludf.DUMMYFUNCTION("""COMPUTED_VALUE"""),47384.0)</f>
        <v>47384</v>
      </c>
      <c r="D5868" s="11">
        <f>IFERROR(__xludf.DUMMYFUNCTION("""COMPUTED_VALUE"""),499.0)</f>
        <v>499</v>
      </c>
      <c r="E5868" s="9"/>
    </row>
    <row r="5869">
      <c r="A5869" s="11">
        <f>IFERROR(__xludf.DUMMYFUNCTION("""COMPUTED_VALUE"""),2021.0)</f>
        <v>2021</v>
      </c>
      <c r="B5869" s="11">
        <f>IFERROR(__xludf.DUMMYFUNCTION("""COMPUTED_VALUE"""),10.0)</f>
        <v>10</v>
      </c>
      <c r="C5869" s="11">
        <f>IFERROR(__xludf.DUMMYFUNCTION("""COMPUTED_VALUE"""),117568.0)</f>
        <v>117568</v>
      </c>
      <c r="D5869" s="11">
        <f>IFERROR(__xludf.DUMMYFUNCTION("""COMPUTED_VALUE"""),1315.0)</f>
        <v>1315</v>
      </c>
      <c r="E5869" s="9"/>
    </row>
    <row r="5870">
      <c r="A5870" s="11">
        <f>IFERROR(__xludf.DUMMYFUNCTION("""COMPUTED_VALUE"""),2021.0)</f>
        <v>2021</v>
      </c>
      <c r="B5870" s="11">
        <f>IFERROR(__xludf.DUMMYFUNCTION("""COMPUTED_VALUE"""),11.0)</f>
        <v>11</v>
      </c>
      <c r="C5870" s="11">
        <f>IFERROR(__xludf.DUMMYFUNCTION("""COMPUTED_VALUE"""),80233.0)</f>
        <v>80233</v>
      </c>
      <c r="D5870" s="11">
        <f>IFERROR(__xludf.DUMMYFUNCTION("""COMPUTED_VALUE"""),774.0)</f>
        <v>774</v>
      </c>
      <c r="E5870" s="9"/>
    </row>
    <row r="5871">
      <c r="A5871" s="11">
        <f>IFERROR(__xludf.DUMMYFUNCTION("""COMPUTED_VALUE"""),2021.0)</f>
        <v>2021</v>
      </c>
      <c r="B5871" s="11">
        <f>IFERROR(__xludf.DUMMYFUNCTION("""COMPUTED_VALUE"""),8.0)</f>
        <v>8</v>
      </c>
      <c r="C5871" s="11">
        <f>IFERROR(__xludf.DUMMYFUNCTION("""COMPUTED_VALUE"""),120396.0)</f>
        <v>120396</v>
      </c>
      <c r="D5871" s="11">
        <f>IFERROR(__xludf.DUMMYFUNCTION("""COMPUTED_VALUE"""),1760.0)</f>
        <v>1760</v>
      </c>
      <c r="E5871" s="9"/>
    </row>
    <row r="5872">
      <c r="A5872" s="11">
        <f>IFERROR(__xludf.DUMMYFUNCTION("""COMPUTED_VALUE"""),2021.0)</f>
        <v>2021</v>
      </c>
      <c r="B5872" s="11">
        <f>IFERROR(__xludf.DUMMYFUNCTION("""COMPUTED_VALUE"""),8.0)</f>
        <v>8</v>
      </c>
      <c r="C5872" s="11">
        <f>IFERROR(__xludf.DUMMYFUNCTION("""COMPUTED_VALUE"""),47386.0)</f>
        <v>47386</v>
      </c>
      <c r="D5872" s="11">
        <f>IFERROR(__xludf.DUMMYFUNCTION("""COMPUTED_VALUE"""),1904.0)</f>
        <v>1904</v>
      </c>
      <c r="E5872" s="9"/>
    </row>
    <row r="5873">
      <c r="A5873" s="11">
        <f>IFERROR(__xludf.DUMMYFUNCTION("""COMPUTED_VALUE"""),2021.0)</f>
        <v>2021</v>
      </c>
      <c r="B5873" s="11">
        <f>IFERROR(__xludf.DUMMYFUNCTION("""COMPUTED_VALUE"""),9.0)</f>
        <v>9</v>
      </c>
      <c r="C5873" s="11">
        <f>IFERROR(__xludf.DUMMYFUNCTION("""COMPUTED_VALUE"""),110294.0)</f>
        <v>110294</v>
      </c>
      <c r="D5873" s="11">
        <f>IFERROR(__xludf.DUMMYFUNCTION("""COMPUTED_VALUE"""),819.0)</f>
        <v>819</v>
      </c>
      <c r="E5873" s="9"/>
    </row>
    <row r="5874">
      <c r="A5874" s="11">
        <f>IFERROR(__xludf.DUMMYFUNCTION("""COMPUTED_VALUE"""),2021.0)</f>
        <v>2021</v>
      </c>
      <c r="B5874" s="11">
        <f>IFERROR(__xludf.DUMMYFUNCTION("""COMPUTED_VALUE"""),9.0)</f>
        <v>9</v>
      </c>
      <c r="C5874" s="11">
        <f>IFERROR(__xludf.DUMMYFUNCTION("""COMPUTED_VALUE"""),47374.0)</f>
        <v>47374</v>
      </c>
      <c r="D5874" s="11">
        <f>IFERROR(__xludf.DUMMYFUNCTION("""COMPUTED_VALUE"""),1124.0)</f>
        <v>1124</v>
      </c>
      <c r="E5874" s="9"/>
    </row>
    <row r="5875">
      <c r="A5875" s="11">
        <f>IFERROR(__xludf.DUMMYFUNCTION("""COMPUTED_VALUE"""),2021.0)</f>
        <v>2021</v>
      </c>
      <c r="B5875" s="11">
        <f>IFERROR(__xludf.DUMMYFUNCTION("""COMPUTED_VALUE"""),10.0)</f>
        <v>10</v>
      </c>
      <c r="C5875" s="11">
        <f>IFERROR(__xludf.DUMMYFUNCTION("""COMPUTED_VALUE"""),115586.0)</f>
        <v>115586</v>
      </c>
      <c r="D5875" s="11">
        <f>IFERROR(__xludf.DUMMYFUNCTION("""COMPUTED_VALUE"""),310.0)</f>
        <v>310</v>
      </c>
      <c r="E5875" s="9"/>
    </row>
    <row r="5876">
      <c r="A5876" s="11">
        <f>IFERROR(__xludf.DUMMYFUNCTION("""COMPUTED_VALUE"""),2021.0)</f>
        <v>2021</v>
      </c>
      <c r="B5876" s="11">
        <f>IFERROR(__xludf.DUMMYFUNCTION("""COMPUTED_VALUE"""),8.0)</f>
        <v>8</v>
      </c>
      <c r="C5876" s="11">
        <f>IFERROR(__xludf.DUMMYFUNCTION("""COMPUTED_VALUE"""),112736.0)</f>
        <v>112736</v>
      </c>
      <c r="D5876" s="11">
        <f>IFERROR(__xludf.DUMMYFUNCTION("""COMPUTED_VALUE"""),228.0)</f>
        <v>228</v>
      </c>
      <c r="E5876" s="9"/>
    </row>
    <row r="5877">
      <c r="A5877" s="11">
        <f>IFERROR(__xludf.DUMMYFUNCTION("""COMPUTED_VALUE"""),2021.0)</f>
        <v>2021</v>
      </c>
      <c r="B5877" s="11">
        <f>IFERROR(__xludf.DUMMYFUNCTION("""COMPUTED_VALUE"""),8.0)</f>
        <v>8</v>
      </c>
      <c r="C5877" s="11">
        <f>IFERROR(__xludf.DUMMYFUNCTION("""COMPUTED_VALUE"""),80234.0)</f>
        <v>80234</v>
      </c>
      <c r="D5877" s="11">
        <f>IFERROR(__xludf.DUMMYFUNCTION("""COMPUTED_VALUE"""),979.0)</f>
        <v>979</v>
      </c>
      <c r="E5877" s="9"/>
    </row>
    <row r="5878">
      <c r="A5878" s="11">
        <f>IFERROR(__xludf.DUMMYFUNCTION("""COMPUTED_VALUE"""),2021.0)</f>
        <v>2021</v>
      </c>
      <c r="B5878" s="11">
        <f>IFERROR(__xludf.DUMMYFUNCTION("""COMPUTED_VALUE"""),8.0)</f>
        <v>8</v>
      </c>
      <c r="C5878" s="11">
        <f>IFERROR(__xludf.DUMMYFUNCTION("""COMPUTED_VALUE"""),92426.0)</f>
        <v>92426</v>
      </c>
      <c r="D5878" s="11">
        <f>IFERROR(__xludf.DUMMYFUNCTION("""COMPUTED_VALUE"""),431.0)</f>
        <v>431</v>
      </c>
      <c r="E5878" s="9"/>
    </row>
    <row r="5879">
      <c r="A5879" s="11">
        <f>IFERROR(__xludf.DUMMYFUNCTION("""COMPUTED_VALUE"""),2021.0)</f>
        <v>2021</v>
      </c>
      <c r="B5879" s="11">
        <f>IFERROR(__xludf.DUMMYFUNCTION("""COMPUTED_VALUE"""),10.0)</f>
        <v>10</v>
      </c>
      <c r="C5879" s="11">
        <f>IFERROR(__xludf.DUMMYFUNCTION("""COMPUTED_VALUE"""),92429.0)</f>
        <v>92429</v>
      </c>
      <c r="D5879" s="11">
        <f>IFERROR(__xludf.DUMMYFUNCTION("""COMPUTED_VALUE"""),1596.0)</f>
        <v>1596</v>
      </c>
      <c r="E5879" s="9"/>
    </row>
    <row r="5880">
      <c r="A5880" s="11">
        <f>IFERROR(__xludf.DUMMYFUNCTION("""COMPUTED_VALUE"""),2021.0)</f>
        <v>2021</v>
      </c>
      <c r="B5880" s="11">
        <f>IFERROR(__xludf.DUMMYFUNCTION("""COMPUTED_VALUE"""),8.0)</f>
        <v>8</v>
      </c>
      <c r="C5880" s="11">
        <f>IFERROR(__xludf.DUMMYFUNCTION("""COMPUTED_VALUE"""),117572.0)</f>
        <v>117572</v>
      </c>
      <c r="D5880" s="11">
        <f>IFERROR(__xludf.DUMMYFUNCTION("""COMPUTED_VALUE"""),1226.0)</f>
        <v>1226</v>
      </c>
      <c r="E5880" s="9"/>
    </row>
    <row r="5881">
      <c r="A5881" s="11">
        <f>IFERROR(__xludf.DUMMYFUNCTION("""COMPUTED_VALUE"""),2021.0)</f>
        <v>2021</v>
      </c>
      <c r="B5881" s="11">
        <f>IFERROR(__xludf.DUMMYFUNCTION("""COMPUTED_VALUE"""),9.0)</f>
        <v>9</v>
      </c>
      <c r="C5881" s="11">
        <f>IFERROR(__xludf.DUMMYFUNCTION("""COMPUTED_VALUE"""),110982.0)</f>
        <v>110982</v>
      </c>
      <c r="D5881" s="11">
        <f>IFERROR(__xludf.DUMMYFUNCTION("""COMPUTED_VALUE"""),750.0)</f>
        <v>750</v>
      </c>
      <c r="E5881" s="9"/>
    </row>
    <row r="5882">
      <c r="A5882" s="11">
        <f>IFERROR(__xludf.DUMMYFUNCTION("""COMPUTED_VALUE"""),2021.0)</f>
        <v>2021</v>
      </c>
      <c r="B5882" s="11">
        <f>IFERROR(__xludf.DUMMYFUNCTION("""COMPUTED_VALUE"""),11.0)</f>
        <v>11</v>
      </c>
      <c r="C5882" s="11">
        <f>IFERROR(__xludf.DUMMYFUNCTION("""COMPUTED_VALUE"""),92442.0)</f>
        <v>92442</v>
      </c>
      <c r="D5882" s="11">
        <f>IFERROR(__xludf.DUMMYFUNCTION("""COMPUTED_VALUE"""),15.0)</f>
        <v>15</v>
      </c>
      <c r="E5882" s="9"/>
    </row>
    <row r="5883">
      <c r="A5883" s="11">
        <f>IFERROR(__xludf.DUMMYFUNCTION("""COMPUTED_VALUE"""),2021.0)</f>
        <v>2021</v>
      </c>
      <c r="B5883" s="11">
        <f>IFERROR(__xludf.DUMMYFUNCTION("""COMPUTED_VALUE"""),8.0)</f>
        <v>8</v>
      </c>
      <c r="C5883" s="11">
        <f>IFERROR(__xludf.DUMMYFUNCTION("""COMPUTED_VALUE"""),83591.0)</f>
        <v>83591</v>
      </c>
      <c r="D5883" s="11">
        <f>IFERROR(__xludf.DUMMYFUNCTION("""COMPUTED_VALUE"""),33.0)</f>
        <v>33</v>
      </c>
      <c r="E5883" s="9"/>
    </row>
    <row r="5884">
      <c r="A5884" s="11">
        <f>IFERROR(__xludf.DUMMYFUNCTION("""COMPUTED_VALUE"""),2021.0)</f>
        <v>2021</v>
      </c>
      <c r="B5884" s="11">
        <f>IFERROR(__xludf.DUMMYFUNCTION("""COMPUTED_VALUE"""),8.0)</f>
        <v>8</v>
      </c>
      <c r="C5884" s="11">
        <f>IFERROR(__xludf.DUMMYFUNCTION("""COMPUTED_VALUE"""),104318.0)</f>
        <v>104318</v>
      </c>
      <c r="D5884" s="11">
        <f>IFERROR(__xludf.DUMMYFUNCTION("""COMPUTED_VALUE"""),1652.0)</f>
        <v>1652</v>
      </c>
      <c r="E5884" s="9"/>
    </row>
    <row r="5885">
      <c r="A5885" s="11">
        <f>IFERROR(__xludf.DUMMYFUNCTION("""COMPUTED_VALUE"""),2021.0)</f>
        <v>2021</v>
      </c>
      <c r="B5885" s="11">
        <f>IFERROR(__xludf.DUMMYFUNCTION("""COMPUTED_VALUE"""),10.0)</f>
        <v>10</v>
      </c>
      <c r="C5885" s="11">
        <f>IFERROR(__xludf.DUMMYFUNCTION("""COMPUTED_VALUE"""),112740.0)</f>
        <v>112740</v>
      </c>
      <c r="D5885" s="11">
        <f>IFERROR(__xludf.DUMMYFUNCTION("""COMPUTED_VALUE"""),888.0)</f>
        <v>888</v>
      </c>
      <c r="E5885" s="9"/>
    </row>
    <row r="5886">
      <c r="A5886" s="11">
        <f>IFERROR(__xludf.DUMMYFUNCTION("""COMPUTED_VALUE"""),2021.0)</f>
        <v>2021</v>
      </c>
      <c r="B5886" s="11">
        <f>IFERROR(__xludf.DUMMYFUNCTION("""COMPUTED_VALUE"""),10.0)</f>
        <v>10</v>
      </c>
      <c r="C5886" s="11">
        <f>IFERROR(__xludf.DUMMYFUNCTION("""COMPUTED_VALUE"""),117570.0)</f>
        <v>117570</v>
      </c>
      <c r="D5886" s="11">
        <f>IFERROR(__xludf.DUMMYFUNCTION("""COMPUTED_VALUE"""),1200.0)</f>
        <v>1200</v>
      </c>
      <c r="E5886" s="9"/>
    </row>
    <row r="5887">
      <c r="A5887" s="11">
        <f>IFERROR(__xludf.DUMMYFUNCTION("""COMPUTED_VALUE"""),2021.0)</f>
        <v>2021</v>
      </c>
      <c r="B5887" s="11">
        <f>IFERROR(__xludf.DUMMYFUNCTION("""COMPUTED_VALUE"""),9.0)</f>
        <v>9</v>
      </c>
      <c r="C5887" s="11">
        <f>IFERROR(__xludf.DUMMYFUNCTION("""COMPUTED_VALUE"""),115584.0)</f>
        <v>115584</v>
      </c>
      <c r="D5887" s="11">
        <f>IFERROR(__xludf.DUMMYFUNCTION("""COMPUTED_VALUE"""),690.0)</f>
        <v>690</v>
      </c>
      <c r="E5887" s="9"/>
    </row>
    <row r="5888">
      <c r="A5888" s="11">
        <f>IFERROR(__xludf.DUMMYFUNCTION("""COMPUTED_VALUE"""),2021.0)</f>
        <v>2021</v>
      </c>
      <c r="B5888" s="11">
        <f>IFERROR(__xludf.DUMMYFUNCTION("""COMPUTED_VALUE"""),10.0)</f>
        <v>10</v>
      </c>
      <c r="C5888" s="11">
        <f>IFERROR(__xludf.DUMMYFUNCTION("""COMPUTED_VALUE"""),47629.0)</f>
        <v>47629</v>
      </c>
      <c r="D5888" s="11">
        <f>IFERROR(__xludf.DUMMYFUNCTION("""COMPUTED_VALUE"""),736.0)</f>
        <v>736</v>
      </c>
      <c r="E5888" s="9"/>
    </row>
    <row r="5889">
      <c r="A5889" s="11">
        <f>IFERROR(__xludf.DUMMYFUNCTION("""COMPUTED_VALUE"""),2021.0)</f>
        <v>2021</v>
      </c>
      <c r="B5889" s="11">
        <f>IFERROR(__xludf.DUMMYFUNCTION("""COMPUTED_VALUE"""),9.0)</f>
        <v>9</v>
      </c>
      <c r="C5889" s="11">
        <f>IFERROR(__xludf.DUMMYFUNCTION("""COMPUTED_VALUE"""),116389.0)</f>
        <v>116389</v>
      </c>
      <c r="D5889" s="11">
        <f>IFERROR(__xludf.DUMMYFUNCTION("""COMPUTED_VALUE"""),1251.0)</f>
        <v>1251</v>
      </c>
      <c r="E5889" s="9"/>
    </row>
    <row r="5890">
      <c r="A5890" s="11">
        <f>IFERROR(__xludf.DUMMYFUNCTION("""COMPUTED_VALUE"""),2021.0)</f>
        <v>2021</v>
      </c>
      <c r="B5890" s="11">
        <f>IFERROR(__xludf.DUMMYFUNCTION("""COMPUTED_VALUE"""),9.0)</f>
        <v>9</v>
      </c>
      <c r="C5890" s="11">
        <f>IFERROR(__xludf.DUMMYFUNCTION("""COMPUTED_VALUE"""),117573.0)</f>
        <v>117573</v>
      </c>
      <c r="D5890" s="11">
        <f>IFERROR(__xludf.DUMMYFUNCTION("""COMPUTED_VALUE"""),469.0)</f>
        <v>469</v>
      </c>
      <c r="E5890" s="9"/>
    </row>
    <row r="5891">
      <c r="A5891" s="11">
        <f>IFERROR(__xludf.DUMMYFUNCTION("""COMPUTED_VALUE"""),2021.0)</f>
        <v>2021</v>
      </c>
      <c r="B5891" s="11">
        <f>IFERROR(__xludf.DUMMYFUNCTION("""COMPUTED_VALUE"""),9.0)</f>
        <v>9</v>
      </c>
      <c r="C5891" s="11">
        <f>IFERROR(__xludf.DUMMYFUNCTION("""COMPUTED_VALUE"""),47638.0)</f>
        <v>47638</v>
      </c>
      <c r="D5891" s="11">
        <f>IFERROR(__xludf.DUMMYFUNCTION("""COMPUTED_VALUE"""),1660.0)</f>
        <v>1660</v>
      </c>
      <c r="E5891" s="9"/>
    </row>
    <row r="5892">
      <c r="A5892" s="11">
        <f>IFERROR(__xludf.DUMMYFUNCTION("""COMPUTED_VALUE"""),2021.0)</f>
        <v>2021</v>
      </c>
      <c r="B5892" s="11">
        <f>IFERROR(__xludf.DUMMYFUNCTION("""COMPUTED_VALUE"""),11.0)</f>
        <v>11</v>
      </c>
      <c r="C5892" s="11">
        <f>IFERROR(__xludf.DUMMYFUNCTION("""COMPUTED_VALUE"""),110219.0)</f>
        <v>110219</v>
      </c>
      <c r="D5892" s="11">
        <f>IFERROR(__xludf.DUMMYFUNCTION("""COMPUTED_VALUE"""),32.0)</f>
        <v>32</v>
      </c>
      <c r="E5892" s="9"/>
    </row>
    <row r="5893">
      <c r="A5893" s="11">
        <f>IFERROR(__xludf.DUMMYFUNCTION("""COMPUTED_VALUE"""),2021.0)</f>
        <v>2021</v>
      </c>
      <c r="B5893" s="11">
        <f>IFERROR(__xludf.DUMMYFUNCTION("""COMPUTED_VALUE"""),9.0)</f>
        <v>9</v>
      </c>
      <c r="C5893" s="11">
        <f>IFERROR(__xludf.DUMMYFUNCTION("""COMPUTED_VALUE"""),116851.0)</f>
        <v>116851</v>
      </c>
      <c r="D5893" s="11">
        <f>IFERROR(__xludf.DUMMYFUNCTION("""COMPUTED_VALUE"""),82.0)</f>
        <v>82</v>
      </c>
      <c r="E5893" s="9"/>
    </row>
    <row r="5894">
      <c r="A5894" s="11">
        <f>IFERROR(__xludf.DUMMYFUNCTION("""COMPUTED_VALUE"""),2021.0)</f>
        <v>2021</v>
      </c>
      <c r="B5894" s="11">
        <f>IFERROR(__xludf.DUMMYFUNCTION("""COMPUTED_VALUE"""),11.0)</f>
        <v>11</v>
      </c>
      <c r="C5894" s="11">
        <f>IFERROR(__xludf.DUMMYFUNCTION("""COMPUTED_VALUE"""),122737.0)</f>
        <v>122737</v>
      </c>
      <c r="D5894" s="11">
        <f>IFERROR(__xludf.DUMMYFUNCTION("""COMPUTED_VALUE"""),216.0)</f>
        <v>216</v>
      </c>
      <c r="E5894" s="9"/>
    </row>
    <row r="5895">
      <c r="A5895" s="11">
        <f>IFERROR(__xludf.DUMMYFUNCTION("""COMPUTED_VALUE"""),2021.0)</f>
        <v>2021</v>
      </c>
      <c r="B5895" s="11">
        <f>IFERROR(__xludf.DUMMYFUNCTION("""COMPUTED_VALUE"""),9.0)</f>
        <v>9</v>
      </c>
      <c r="C5895" s="11">
        <f>IFERROR(__xludf.DUMMYFUNCTION("""COMPUTED_VALUE"""),110226.0)</f>
        <v>110226</v>
      </c>
      <c r="D5895" s="11">
        <f>IFERROR(__xludf.DUMMYFUNCTION("""COMPUTED_VALUE"""),179.0)</f>
        <v>179</v>
      </c>
      <c r="E5895" s="9"/>
    </row>
    <row r="5896">
      <c r="A5896" s="11">
        <f>IFERROR(__xludf.DUMMYFUNCTION("""COMPUTED_VALUE"""),2021.0)</f>
        <v>2021</v>
      </c>
      <c r="B5896" s="11">
        <f>IFERROR(__xludf.DUMMYFUNCTION("""COMPUTED_VALUE"""),10.0)</f>
        <v>10</v>
      </c>
      <c r="C5896" s="11">
        <f>IFERROR(__xludf.DUMMYFUNCTION("""COMPUTED_VALUE"""),115773.0)</f>
        <v>115773</v>
      </c>
      <c r="D5896" s="11">
        <f>IFERROR(__xludf.DUMMYFUNCTION("""COMPUTED_VALUE"""),1158.0)</f>
        <v>1158</v>
      </c>
      <c r="E5896" s="9"/>
    </row>
    <row r="5897">
      <c r="A5897" s="11">
        <f>IFERROR(__xludf.DUMMYFUNCTION("""COMPUTED_VALUE"""),2021.0)</f>
        <v>2021</v>
      </c>
      <c r="B5897" s="11">
        <f>IFERROR(__xludf.DUMMYFUNCTION("""COMPUTED_VALUE"""),10.0)</f>
        <v>10</v>
      </c>
      <c r="C5897" s="11">
        <f>IFERROR(__xludf.DUMMYFUNCTION("""COMPUTED_VALUE"""),109580.0)</f>
        <v>109580</v>
      </c>
      <c r="D5897" s="11">
        <f>IFERROR(__xludf.DUMMYFUNCTION("""COMPUTED_VALUE"""),898.0)</f>
        <v>898</v>
      </c>
      <c r="E5897" s="9"/>
    </row>
    <row r="5898">
      <c r="A5898" s="11">
        <f>IFERROR(__xludf.DUMMYFUNCTION("""COMPUTED_VALUE"""),2021.0)</f>
        <v>2021</v>
      </c>
      <c r="B5898" s="11">
        <f>IFERROR(__xludf.DUMMYFUNCTION("""COMPUTED_VALUE"""),8.0)</f>
        <v>8</v>
      </c>
      <c r="C5898" s="11">
        <f>IFERROR(__xludf.DUMMYFUNCTION("""COMPUTED_VALUE"""),114255.0)</f>
        <v>114255</v>
      </c>
      <c r="D5898" s="11">
        <f>IFERROR(__xludf.DUMMYFUNCTION("""COMPUTED_VALUE"""),827.0)</f>
        <v>827</v>
      </c>
      <c r="E5898" s="9"/>
    </row>
    <row r="5899">
      <c r="A5899" s="11">
        <f>IFERROR(__xludf.DUMMYFUNCTION("""COMPUTED_VALUE"""),2021.0)</f>
        <v>2021</v>
      </c>
      <c r="B5899" s="11">
        <f>IFERROR(__xludf.DUMMYFUNCTION("""COMPUTED_VALUE"""),11.0)</f>
        <v>11</v>
      </c>
      <c r="C5899" s="11">
        <f>IFERROR(__xludf.DUMMYFUNCTION("""COMPUTED_VALUE"""),122745.0)</f>
        <v>122745</v>
      </c>
      <c r="D5899" s="11">
        <f>IFERROR(__xludf.DUMMYFUNCTION("""COMPUTED_VALUE"""),1830.0)</f>
        <v>1830</v>
      </c>
      <c r="E5899" s="9"/>
    </row>
    <row r="5900">
      <c r="A5900" s="11">
        <f>IFERROR(__xludf.DUMMYFUNCTION("""COMPUTED_VALUE"""),2021.0)</f>
        <v>2021</v>
      </c>
      <c r="B5900" s="11">
        <f>IFERROR(__xludf.DUMMYFUNCTION("""COMPUTED_VALUE"""),11.0)</f>
        <v>11</v>
      </c>
      <c r="C5900" s="11">
        <f>IFERROR(__xludf.DUMMYFUNCTION("""COMPUTED_VALUE"""),116873.0)</f>
        <v>116873</v>
      </c>
      <c r="D5900" s="11">
        <f>IFERROR(__xludf.DUMMYFUNCTION("""COMPUTED_VALUE"""),1369.0)</f>
        <v>1369</v>
      </c>
      <c r="E5900" s="9"/>
    </row>
    <row r="5901">
      <c r="A5901" s="11">
        <f>IFERROR(__xludf.DUMMYFUNCTION("""COMPUTED_VALUE"""),2021.0)</f>
        <v>2021</v>
      </c>
      <c r="B5901" s="11">
        <f>IFERROR(__xludf.DUMMYFUNCTION("""COMPUTED_VALUE"""),11.0)</f>
        <v>11</v>
      </c>
      <c r="C5901" s="11">
        <f>IFERROR(__xludf.DUMMYFUNCTION("""COMPUTED_VALUE"""),110228.0)</f>
        <v>110228</v>
      </c>
      <c r="D5901" s="11">
        <f>IFERROR(__xludf.DUMMYFUNCTION("""COMPUTED_VALUE"""),1311.0)</f>
        <v>1311</v>
      </c>
      <c r="E5901" s="9"/>
    </row>
    <row r="5902">
      <c r="A5902" s="11"/>
      <c r="B5902" s="11"/>
      <c r="C5902" s="11"/>
      <c r="D5902" s="11"/>
    </row>
    <row r="5903">
      <c r="A5903" s="11"/>
      <c r="B5903" s="11"/>
      <c r="C5903" s="11"/>
      <c r="D5903" s="11"/>
    </row>
    <row r="5904">
      <c r="A5904" s="11"/>
      <c r="B5904" s="11"/>
      <c r="C5904" s="11"/>
      <c r="D5904" s="11"/>
    </row>
    <row r="5905">
      <c r="A5905" s="11"/>
      <c r="B5905" s="11"/>
      <c r="C5905" s="11"/>
      <c r="D5905" s="11"/>
    </row>
    <row r="5906">
      <c r="A5906" s="11"/>
      <c r="B5906" s="11"/>
      <c r="C5906" s="11"/>
      <c r="D5906" s="11"/>
    </row>
    <row r="5907">
      <c r="A5907" s="11"/>
      <c r="B5907" s="11"/>
      <c r="C5907" s="11"/>
      <c r="D5907" s="11"/>
    </row>
    <row r="5908">
      <c r="A5908" s="11"/>
      <c r="B5908" s="11"/>
      <c r="C5908" s="11"/>
      <c r="D5908" s="11"/>
    </row>
    <row r="5909">
      <c r="A5909" s="11"/>
      <c r="B5909" s="11"/>
      <c r="C5909" s="11"/>
      <c r="D5909" s="11"/>
    </row>
    <row r="5910">
      <c r="A5910" s="11"/>
      <c r="B5910" s="11"/>
      <c r="C5910" s="11"/>
      <c r="D5910" s="11"/>
    </row>
    <row r="5911">
      <c r="A5911" s="11"/>
      <c r="B5911" s="11"/>
      <c r="C5911" s="11"/>
      <c r="D5911" s="11"/>
    </row>
    <row r="5912">
      <c r="A5912" s="11"/>
      <c r="B5912" s="11"/>
      <c r="C5912" s="11"/>
      <c r="D5912" s="11"/>
    </row>
    <row r="5913">
      <c r="A5913" s="11"/>
      <c r="B5913" s="11"/>
      <c r="C5913" s="11"/>
      <c r="D5913" s="11"/>
    </row>
    <row r="5914">
      <c r="A5914" s="11"/>
      <c r="B5914" s="11"/>
      <c r="C5914" s="11"/>
      <c r="D5914" s="11"/>
    </row>
    <row r="5915">
      <c r="A5915" s="11"/>
      <c r="B5915" s="11"/>
      <c r="C5915" s="11"/>
      <c r="D5915" s="11"/>
    </row>
    <row r="5916">
      <c r="A5916" s="11"/>
      <c r="B5916" s="11"/>
      <c r="C5916" s="11"/>
      <c r="D5916" s="11"/>
    </row>
    <row r="5917">
      <c r="A5917" s="11"/>
      <c r="B5917" s="11"/>
      <c r="C5917" s="11"/>
      <c r="D5917" s="11"/>
    </row>
    <row r="5918">
      <c r="A5918" s="11"/>
      <c r="B5918" s="11"/>
      <c r="C5918" s="11"/>
      <c r="D5918" s="11"/>
    </row>
    <row r="5919">
      <c r="A5919" s="11"/>
      <c r="B5919" s="11"/>
      <c r="C5919" s="11"/>
      <c r="D5919" s="11"/>
    </row>
    <row r="5920">
      <c r="A5920" s="11"/>
      <c r="B5920" s="11"/>
      <c r="C5920" s="11"/>
      <c r="D5920" s="11"/>
    </row>
    <row r="5921">
      <c r="A5921" s="11"/>
      <c r="B5921" s="11"/>
      <c r="C5921" s="11"/>
      <c r="D5921" s="11"/>
    </row>
    <row r="5922">
      <c r="A5922" s="11"/>
      <c r="B5922" s="11"/>
      <c r="C5922" s="11"/>
      <c r="D5922" s="11"/>
    </row>
    <row r="5923">
      <c r="A5923" s="11"/>
      <c r="B5923" s="11"/>
      <c r="C5923" s="11"/>
      <c r="D5923" s="11"/>
    </row>
    <row r="5924">
      <c r="A5924" s="11"/>
      <c r="B5924" s="11"/>
      <c r="C5924" s="11"/>
      <c r="D5924" s="11"/>
    </row>
    <row r="5925">
      <c r="A5925" s="11"/>
      <c r="B5925" s="11"/>
      <c r="C5925" s="11"/>
      <c r="D5925" s="11"/>
    </row>
    <row r="5926">
      <c r="A5926" s="11"/>
      <c r="B5926" s="11"/>
      <c r="C5926" s="11"/>
      <c r="D5926" s="11"/>
    </row>
    <row r="5927">
      <c r="A5927" s="11"/>
      <c r="B5927" s="11"/>
      <c r="C5927" s="11"/>
      <c r="D5927" s="11"/>
    </row>
    <row r="5928">
      <c r="A5928" s="11"/>
      <c r="B5928" s="11"/>
      <c r="C5928" s="11"/>
      <c r="D5928" s="11"/>
    </row>
    <row r="5929">
      <c r="A5929" s="11"/>
      <c r="B5929" s="11"/>
      <c r="C5929" s="11"/>
      <c r="D5929" s="11"/>
    </row>
    <row r="5930">
      <c r="A5930" s="11"/>
      <c r="B5930" s="11"/>
      <c r="C5930" s="11"/>
      <c r="D5930" s="11"/>
    </row>
    <row r="5931">
      <c r="A5931" s="11"/>
      <c r="B5931" s="11"/>
      <c r="C5931" s="11"/>
      <c r="D5931" s="11"/>
    </row>
    <row r="5932">
      <c r="A5932" s="11"/>
      <c r="B5932" s="11"/>
      <c r="C5932" s="11"/>
      <c r="D5932" s="11"/>
    </row>
    <row r="5933">
      <c r="A5933" s="11"/>
      <c r="B5933" s="11"/>
      <c r="C5933" s="11"/>
      <c r="D5933" s="11"/>
    </row>
    <row r="5934">
      <c r="A5934" s="11"/>
      <c r="B5934" s="11"/>
      <c r="C5934" s="11"/>
      <c r="D5934" s="11"/>
    </row>
    <row r="5935">
      <c r="A5935" s="11"/>
      <c r="B5935" s="11"/>
      <c r="C5935" s="11"/>
      <c r="D5935" s="11"/>
    </row>
    <row r="5936">
      <c r="A5936" s="11"/>
      <c r="B5936" s="11"/>
      <c r="C5936" s="11"/>
      <c r="D5936" s="11"/>
    </row>
    <row r="5937">
      <c r="A5937" s="11"/>
      <c r="B5937" s="11"/>
      <c r="C5937" s="11"/>
      <c r="D5937" s="11"/>
    </row>
    <row r="5938">
      <c r="A5938" s="11"/>
      <c r="B5938" s="11"/>
      <c r="C5938" s="11"/>
      <c r="D5938" s="11"/>
    </row>
    <row r="5939">
      <c r="A5939" s="11"/>
      <c r="B5939" s="11"/>
      <c r="C5939" s="11"/>
      <c r="D5939" s="11"/>
    </row>
    <row r="5940">
      <c r="A5940" s="11"/>
      <c r="B5940" s="11"/>
      <c r="C5940" s="11"/>
      <c r="D5940" s="11"/>
    </row>
    <row r="5941">
      <c r="A5941" s="11"/>
      <c r="B5941" s="11"/>
      <c r="C5941" s="11"/>
      <c r="D5941" s="11"/>
    </row>
    <row r="5942">
      <c r="A5942" s="11"/>
      <c r="B5942" s="11"/>
      <c r="C5942" s="11"/>
      <c r="D5942" s="11"/>
    </row>
    <row r="5943">
      <c r="A5943" s="11"/>
      <c r="B5943" s="11"/>
      <c r="C5943" s="11"/>
      <c r="D5943" s="11"/>
    </row>
    <row r="5944">
      <c r="A5944" s="11"/>
      <c r="B5944" s="11"/>
      <c r="C5944" s="11"/>
      <c r="D5944" s="11"/>
    </row>
    <row r="5945">
      <c r="A5945" s="11"/>
      <c r="B5945" s="11"/>
      <c r="C5945" s="11"/>
      <c r="D5945" s="11"/>
    </row>
    <row r="5946">
      <c r="A5946" s="11"/>
      <c r="B5946" s="11"/>
      <c r="C5946" s="11"/>
      <c r="D5946" s="11"/>
    </row>
    <row r="5947">
      <c r="A5947" s="11"/>
      <c r="B5947" s="11"/>
      <c r="C5947" s="11"/>
      <c r="D5947" s="11"/>
    </row>
    <row r="5948">
      <c r="A5948" s="11"/>
      <c r="B5948" s="11"/>
      <c r="C5948" s="11"/>
      <c r="D5948" s="11"/>
    </row>
    <row r="5949">
      <c r="A5949" s="11"/>
      <c r="B5949" s="11"/>
      <c r="C5949" s="11"/>
      <c r="D5949" s="11"/>
    </row>
    <row r="5950">
      <c r="A5950" s="11"/>
      <c r="B5950" s="11"/>
      <c r="C5950" s="11"/>
      <c r="D5950" s="11"/>
    </row>
    <row r="5951">
      <c r="A5951" s="11"/>
      <c r="B5951" s="11"/>
      <c r="C5951" s="11"/>
      <c r="D5951" s="11"/>
    </row>
    <row r="5952">
      <c r="A5952" s="11"/>
      <c r="B5952" s="11"/>
      <c r="C5952" s="11"/>
      <c r="D5952" s="11"/>
    </row>
    <row r="5953">
      <c r="A5953" s="11"/>
      <c r="B5953" s="11"/>
      <c r="C5953" s="11"/>
      <c r="D5953" s="11"/>
    </row>
    <row r="5954">
      <c r="A5954" s="11"/>
      <c r="B5954" s="11"/>
      <c r="C5954" s="11"/>
      <c r="D5954" s="11"/>
    </row>
    <row r="5955">
      <c r="A5955" s="11"/>
      <c r="B5955" s="11"/>
      <c r="C5955" s="11"/>
      <c r="D5955" s="11"/>
    </row>
    <row r="5956">
      <c r="A5956" s="11"/>
      <c r="B5956" s="11"/>
      <c r="C5956" s="11"/>
      <c r="D5956" s="11"/>
    </row>
    <row r="5957">
      <c r="A5957" s="11"/>
      <c r="B5957" s="11"/>
      <c r="C5957" s="11"/>
      <c r="D5957" s="11"/>
    </row>
    <row r="5958">
      <c r="A5958" s="11"/>
      <c r="B5958" s="11"/>
      <c r="C5958" s="11"/>
      <c r="D5958" s="11"/>
    </row>
    <row r="5959">
      <c r="A5959" s="11"/>
      <c r="B5959" s="11"/>
      <c r="C5959" s="11"/>
      <c r="D5959" s="11"/>
    </row>
    <row r="5960">
      <c r="A5960" s="11"/>
      <c r="B5960" s="11"/>
      <c r="C5960" s="11"/>
      <c r="D5960" s="11"/>
    </row>
    <row r="5961">
      <c r="A5961" s="11"/>
      <c r="B5961" s="11"/>
      <c r="C5961" s="11"/>
      <c r="D5961" s="11"/>
    </row>
    <row r="5962">
      <c r="A5962" s="11"/>
      <c r="B5962" s="11"/>
      <c r="C5962" s="11"/>
      <c r="D5962" s="11"/>
    </row>
    <row r="5963">
      <c r="A5963" s="11"/>
      <c r="B5963" s="11"/>
      <c r="C5963" s="11"/>
      <c r="D5963" s="11"/>
    </row>
    <row r="5964">
      <c r="A5964" s="11"/>
      <c r="B5964" s="11"/>
      <c r="C5964" s="11"/>
      <c r="D5964" s="11"/>
    </row>
    <row r="5965">
      <c r="A5965" s="11"/>
      <c r="B5965" s="11"/>
      <c r="C5965" s="11"/>
      <c r="D5965" s="11"/>
    </row>
    <row r="5966">
      <c r="A5966" s="11"/>
      <c r="B5966" s="11"/>
      <c r="C5966" s="11"/>
      <c r="D5966" s="11"/>
    </row>
    <row r="5967">
      <c r="A5967" s="11"/>
      <c r="B5967" s="11"/>
      <c r="C5967" s="11"/>
      <c r="D5967" s="11"/>
    </row>
    <row r="5968">
      <c r="A5968" s="11"/>
      <c r="B5968" s="11"/>
      <c r="C5968" s="11"/>
      <c r="D5968" s="11"/>
    </row>
    <row r="5969">
      <c r="A5969" s="11"/>
      <c r="B5969" s="11"/>
      <c r="C5969" s="11"/>
      <c r="D5969" s="11"/>
    </row>
    <row r="5970">
      <c r="A5970" s="11"/>
      <c r="B5970" s="11"/>
      <c r="C5970" s="11"/>
      <c r="D5970" s="11"/>
    </row>
    <row r="5971">
      <c r="A5971" s="11"/>
      <c r="B5971" s="11"/>
      <c r="C5971" s="11"/>
      <c r="D5971" s="11"/>
    </row>
    <row r="5972">
      <c r="A5972" s="11"/>
      <c r="B5972" s="11"/>
      <c r="C5972" s="11"/>
      <c r="D5972" s="11"/>
    </row>
    <row r="5973">
      <c r="A5973" s="11"/>
      <c r="B5973" s="11"/>
      <c r="C5973" s="11"/>
      <c r="D5973" s="11"/>
    </row>
    <row r="5974">
      <c r="A5974" s="11"/>
      <c r="B5974" s="11"/>
      <c r="C5974" s="11"/>
      <c r="D5974" s="11"/>
    </row>
    <row r="5975">
      <c r="A5975" s="11"/>
      <c r="B5975" s="11"/>
      <c r="C5975" s="11"/>
      <c r="D5975" s="11"/>
    </row>
    <row r="5976">
      <c r="A5976" s="11"/>
      <c r="B5976" s="11"/>
      <c r="C5976" s="11"/>
      <c r="D5976" s="11"/>
    </row>
    <row r="5977">
      <c r="A5977" s="11"/>
      <c r="B5977" s="11"/>
      <c r="C5977" s="11"/>
      <c r="D5977" s="11"/>
    </row>
    <row r="5978">
      <c r="A5978" s="11"/>
      <c r="B5978" s="11"/>
      <c r="C5978" s="11"/>
      <c r="D5978" s="11"/>
    </row>
    <row r="5979">
      <c r="A5979" s="11"/>
      <c r="B5979" s="11"/>
      <c r="C5979" s="11"/>
      <c r="D5979" s="11"/>
    </row>
    <row r="5980">
      <c r="A5980" s="11"/>
      <c r="B5980" s="11"/>
      <c r="C5980" s="11"/>
      <c r="D5980" s="11"/>
    </row>
    <row r="5981">
      <c r="A5981" s="11"/>
      <c r="B5981" s="11"/>
      <c r="C5981" s="11"/>
      <c r="D5981" s="11"/>
    </row>
    <row r="5982">
      <c r="A5982" s="11"/>
      <c r="B5982" s="11"/>
      <c r="C5982" s="11"/>
      <c r="D5982" s="11"/>
    </row>
    <row r="5983">
      <c r="A5983" s="11"/>
      <c r="B5983" s="11"/>
      <c r="C5983" s="11"/>
      <c r="D5983" s="11"/>
    </row>
    <row r="5984">
      <c r="A5984" s="11"/>
      <c r="B5984" s="11"/>
      <c r="C5984" s="11"/>
      <c r="D5984" s="11"/>
    </row>
    <row r="5985">
      <c r="A5985" s="11"/>
      <c r="B5985" s="11"/>
      <c r="C5985" s="11"/>
      <c r="D5985" s="11"/>
    </row>
    <row r="5986">
      <c r="A5986" s="11"/>
      <c r="B5986" s="11"/>
      <c r="C5986" s="11"/>
      <c r="D5986" s="11"/>
    </row>
    <row r="5987">
      <c r="A5987" s="11"/>
      <c r="B5987" s="11"/>
      <c r="C5987" s="11"/>
      <c r="D5987" s="11"/>
    </row>
    <row r="5988">
      <c r="A5988" s="11"/>
      <c r="B5988" s="11"/>
      <c r="C5988" s="11"/>
      <c r="D5988" s="11"/>
    </row>
    <row r="5989">
      <c r="A5989" s="11"/>
      <c r="B5989" s="11"/>
      <c r="C5989" s="11"/>
      <c r="D5989" s="11"/>
    </row>
    <row r="5990">
      <c r="A5990" s="11"/>
      <c r="B5990" s="11"/>
      <c r="C5990" s="11"/>
      <c r="D5990" s="11"/>
    </row>
    <row r="5991">
      <c r="A5991" s="11"/>
      <c r="B5991" s="11"/>
      <c r="C5991" s="11"/>
      <c r="D5991" s="11"/>
    </row>
    <row r="5992">
      <c r="A5992" s="11"/>
      <c r="B5992" s="11"/>
      <c r="C5992" s="11"/>
      <c r="D5992" s="11"/>
    </row>
    <row r="5993">
      <c r="A5993" s="11"/>
      <c r="B5993" s="11"/>
      <c r="C5993" s="11"/>
      <c r="D5993" s="11"/>
    </row>
    <row r="5994">
      <c r="A5994" s="11"/>
      <c r="B5994" s="11"/>
      <c r="C5994" s="11"/>
      <c r="D5994" s="11"/>
    </row>
    <row r="5995">
      <c r="A5995" s="11"/>
      <c r="B5995" s="11"/>
      <c r="C5995" s="11"/>
      <c r="D5995" s="11"/>
    </row>
    <row r="5996">
      <c r="A5996" s="11"/>
      <c r="B5996" s="11"/>
      <c r="C5996" s="11"/>
      <c r="D5996" s="11"/>
    </row>
    <row r="5997">
      <c r="A5997" s="11"/>
      <c r="B5997" s="11"/>
      <c r="C5997" s="11"/>
      <c r="D5997" s="11"/>
    </row>
    <row r="5998">
      <c r="A5998" s="11"/>
      <c r="B5998" s="11"/>
      <c r="C5998" s="11"/>
      <c r="D5998" s="11"/>
    </row>
    <row r="5999">
      <c r="A5999" s="11"/>
      <c r="B5999" s="11"/>
      <c r="C5999" s="11"/>
      <c r="D5999" s="11"/>
    </row>
    <row r="6000">
      <c r="A6000" s="11"/>
      <c r="B6000" s="11"/>
      <c r="C6000" s="11"/>
      <c r="D6000" s="11"/>
    </row>
    <row r="6001">
      <c r="A6001" s="11"/>
      <c r="B6001" s="11"/>
      <c r="C6001" s="11"/>
      <c r="D6001" s="11"/>
    </row>
    <row r="6002">
      <c r="A6002" s="11"/>
      <c r="B6002" s="11"/>
      <c r="C6002" s="11"/>
      <c r="D6002" s="11"/>
    </row>
    <row r="6003">
      <c r="A6003" s="11"/>
      <c r="B6003" s="11"/>
      <c r="C6003" s="11"/>
      <c r="D6003" s="11"/>
    </row>
    <row r="6004">
      <c r="A6004" s="11"/>
      <c r="B6004" s="11"/>
      <c r="C6004" s="11"/>
      <c r="D6004" s="11"/>
    </row>
    <row r="6005">
      <c r="A6005" s="11"/>
      <c r="B6005" s="11"/>
      <c r="C6005" s="11"/>
      <c r="D6005" s="11"/>
    </row>
    <row r="6006">
      <c r="A6006" s="11"/>
      <c r="B6006" s="11"/>
      <c r="C6006" s="11"/>
      <c r="D6006" s="11"/>
    </row>
    <row r="6007">
      <c r="A6007" s="11"/>
      <c r="B6007" s="11"/>
      <c r="C6007" s="11"/>
      <c r="D6007" s="11"/>
    </row>
    <row r="6008">
      <c r="A6008" s="11"/>
      <c r="B6008" s="11"/>
      <c r="C6008" s="11"/>
      <c r="D6008" s="11"/>
    </row>
    <row r="6009">
      <c r="A6009" s="11"/>
      <c r="B6009" s="11"/>
      <c r="C6009" s="11"/>
      <c r="D6009" s="11"/>
    </row>
    <row r="6010">
      <c r="A6010" s="11"/>
      <c r="B6010" s="11"/>
      <c r="C6010" s="11"/>
      <c r="D6010" s="11"/>
    </row>
    <row r="6011">
      <c r="A6011" s="11"/>
      <c r="B6011" s="11"/>
      <c r="C6011" s="11"/>
      <c r="D6011" s="11"/>
    </row>
    <row r="6012">
      <c r="A6012" s="11"/>
      <c r="B6012" s="11"/>
      <c r="C6012" s="11"/>
      <c r="D6012" s="11"/>
    </row>
    <row r="6013">
      <c r="A6013" s="11"/>
      <c r="B6013" s="11"/>
      <c r="C6013" s="11"/>
      <c r="D6013" s="11"/>
    </row>
    <row r="6014">
      <c r="A6014" s="11"/>
      <c r="B6014" s="11"/>
      <c r="C6014" s="11"/>
      <c r="D6014" s="11"/>
    </row>
    <row r="6015">
      <c r="A6015" s="11"/>
      <c r="B6015" s="11"/>
      <c r="C6015" s="11"/>
      <c r="D6015" s="11"/>
    </row>
    <row r="6016">
      <c r="A6016" s="11"/>
      <c r="B6016" s="11"/>
      <c r="C6016" s="11"/>
      <c r="D6016" s="11"/>
    </row>
    <row r="6017">
      <c r="A6017" s="11"/>
      <c r="B6017" s="11"/>
      <c r="C6017" s="11"/>
      <c r="D6017" s="11"/>
    </row>
    <row r="6018">
      <c r="A6018" s="11"/>
      <c r="B6018" s="11"/>
      <c r="C6018" s="11"/>
      <c r="D6018" s="11"/>
    </row>
    <row r="6019">
      <c r="A6019" s="11"/>
      <c r="B6019" s="11"/>
      <c r="C6019" s="11"/>
      <c r="D6019" s="11"/>
    </row>
    <row r="6020">
      <c r="A6020" s="11"/>
      <c r="B6020" s="11"/>
      <c r="C6020" s="11"/>
      <c r="D6020" s="11"/>
    </row>
    <row r="6021">
      <c r="A6021" s="11"/>
      <c r="B6021" s="11"/>
      <c r="C6021" s="11"/>
      <c r="D6021" s="11"/>
    </row>
    <row r="6022">
      <c r="A6022" s="11"/>
      <c r="B6022" s="11"/>
      <c r="C6022" s="11"/>
      <c r="D6022" s="11"/>
    </row>
    <row r="6023">
      <c r="A6023" s="11"/>
      <c r="B6023" s="11"/>
      <c r="C6023" s="11"/>
      <c r="D6023" s="11"/>
    </row>
    <row r="6024">
      <c r="A6024" s="11"/>
      <c r="B6024" s="11"/>
      <c r="C6024" s="11"/>
      <c r="D6024" s="11"/>
    </row>
    <row r="6025">
      <c r="A6025" s="11"/>
      <c r="B6025" s="11"/>
      <c r="C6025" s="11"/>
      <c r="D6025" s="11"/>
    </row>
    <row r="6026">
      <c r="A6026" s="11"/>
      <c r="B6026" s="11"/>
      <c r="C6026" s="11"/>
      <c r="D6026" s="11"/>
    </row>
    <row r="6027">
      <c r="A6027" s="11"/>
      <c r="B6027" s="11"/>
      <c r="C6027" s="11"/>
      <c r="D6027" s="11"/>
    </row>
    <row r="6028">
      <c r="A6028" s="11"/>
      <c r="B6028" s="11"/>
      <c r="C6028" s="11"/>
      <c r="D6028" s="11"/>
    </row>
    <row r="6029">
      <c r="A6029" s="11"/>
      <c r="B6029" s="11"/>
      <c r="C6029" s="11"/>
      <c r="D6029" s="11"/>
    </row>
    <row r="6030">
      <c r="A6030" s="11"/>
      <c r="B6030" s="11"/>
      <c r="C6030" s="11"/>
      <c r="D6030" s="11"/>
    </row>
    <row r="6031">
      <c r="A6031" s="11"/>
      <c r="B6031" s="11"/>
      <c r="C6031" s="11"/>
      <c r="D6031" s="11"/>
    </row>
    <row r="6032">
      <c r="A6032" s="11"/>
      <c r="B6032" s="11"/>
      <c r="C6032" s="11"/>
      <c r="D6032" s="11"/>
    </row>
    <row r="6033">
      <c r="A6033" s="11"/>
      <c r="B6033" s="11"/>
      <c r="C6033" s="11"/>
      <c r="D6033" s="11"/>
    </row>
    <row r="6034">
      <c r="A6034" s="11"/>
      <c r="B6034" s="11"/>
      <c r="C6034" s="11"/>
      <c r="D6034" s="11"/>
    </row>
    <row r="6035">
      <c r="A6035" s="11"/>
      <c r="B6035" s="11"/>
      <c r="C6035" s="11"/>
      <c r="D6035" s="11"/>
    </row>
    <row r="6036">
      <c r="A6036" s="11"/>
      <c r="B6036" s="11"/>
      <c r="C6036" s="11"/>
      <c r="D6036" s="11"/>
    </row>
    <row r="6037">
      <c r="A6037" s="11"/>
      <c r="B6037" s="11"/>
      <c r="C6037" s="11"/>
      <c r="D6037" s="11"/>
    </row>
    <row r="6038">
      <c r="A6038" s="11"/>
      <c r="B6038" s="11"/>
      <c r="C6038" s="11"/>
      <c r="D6038" s="11"/>
    </row>
    <row r="6039">
      <c r="A6039" s="11"/>
      <c r="B6039" s="11"/>
      <c r="C6039" s="11"/>
      <c r="D6039" s="11"/>
    </row>
    <row r="6040">
      <c r="A6040" s="11"/>
      <c r="B6040" s="11"/>
      <c r="C6040" s="11"/>
      <c r="D6040" s="11"/>
    </row>
    <row r="6041">
      <c r="A6041" s="11"/>
      <c r="B6041" s="11"/>
      <c r="C6041" s="11"/>
      <c r="D6041" s="11"/>
    </row>
    <row r="6042">
      <c r="A6042" s="11"/>
      <c r="B6042" s="11"/>
      <c r="C6042" s="11"/>
      <c r="D6042" s="11"/>
    </row>
    <row r="6043">
      <c r="A6043" s="11"/>
      <c r="B6043" s="11"/>
      <c r="C6043" s="11"/>
      <c r="D6043" s="11"/>
    </row>
    <row r="6044">
      <c r="A6044" s="11"/>
      <c r="B6044" s="11"/>
      <c r="C6044" s="11"/>
      <c r="D6044" s="11"/>
    </row>
    <row r="6045">
      <c r="A6045" s="11"/>
      <c r="B6045" s="11"/>
      <c r="C6045" s="11"/>
      <c r="D6045" s="11"/>
    </row>
    <row r="6046">
      <c r="A6046" s="11"/>
      <c r="B6046" s="11"/>
      <c r="C6046" s="11"/>
      <c r="D6046" s="11"/>
    </row>
    <row r="6047">
      <c r="A6047" s="11"/>
      <c r="B6047" s="11"/>
      <c r="C6047" s="11"/>
      <c r="D6047" s="11"/>
    </row>
    <row r="6048">
      <c r="A6048" s="11"/>
      <c r="B6048" s="11"/>
      <c r="C6048" s="11"/>
      <c r="D6048" s="11"/>
    </row>
    <row r="6049">
      <c r="A6049" s="11"/>
      <c r="B6049" s="11"/>
      <c r="C6049" s="11"/>
      <c r="D6049" s="11"/>
    </row>
    <row r="6050">
      <c r="A6050" s="11"/>
      <c r="B6050" s="11"/>
      <c r="C6050" s="11"/>
      <c r="D6050" s="11"/>
    </row>
    <row r="6051">
      <c r="A6051" s="11"/>
      <c r="B6051" s="11"/>
      <c r="C6051" s="11"/>
      <c r="D6051" s="11"/>
    </row>
    <row r="6052">
      <c r="A6052" s="11"/>
      <c r="B6052" s="11"/>
      <c r="C6052" s="11"/>
      <c r="D6052" s="11"/>
    </row>
    <row r="6053">
      <c r="A6053" s="11"/>
      <c r="B6053" s="11"/>
      <c r="C6053" s="11"/>
      <c r="D6053" s="11"/>
    </row>
    <row r="6054">
      <c r="A6054" s="11"/>
      <c r="B6054" s="11"/>
      <c r="C6054" s="11"/>
      <c r="D6054" s="11"/>
    </row>
    <row r="6055">
      <c r="A6055" s="11"/>
      <c r="B6055" s="11"/>
      <c r="C6055" s="11"/>
      <c r="D6055" s="11"/>
    </row>
    <row r="6056">
      <c r="A6056" s="11"/>
      <c r="B6056" s="11"/>
      <c r="C6056" s="11"/>
      <c r="D6056" s="11"/>
    </row>
    <row r="6057">
      <c r="A6057" s="11"/>
      <c r="B6057" s="11"/>
      <c r="C6057" s="11"/>
      <c r="D6057" s="11"/>
    </row>
    <row r="6058">
      <c r="A6058" s="11"/>
      <c r="B6058" s="11"/>
      <c r="C6058" s="11"/>
      <c r="D6058" s="11"/>
    </row>
    <row r="6059">
      <c r="A6059" s="11"/>
      <c r="B6059" s="11"/>
      <c r="C6059" s="11"/>
      <c r="D6059" s="11"/>
    </row>
    <row r="6060">
      <c r="A6060" s="11"/>
      <c r="B6060" s="11"/>
      <c r="C6060" s="11"/>
      <c r="D6060" s="11"/>
    </row>
    <row r="6061">
      <c r="A6061" s="11"/>
      <c r="B6061" s="11"/>
      <c r="C6061" s="11"/>
      <c r="D6061" s="11"/>
    </row>
    <row r="6062">
      <c r="A6062" s="11"/>
      <c r="B6062" s="11"/>
      <c r="C6062" s="11"/>
      <c r="D6062" s="11"/>
    </row>
    <row r="6063">
      <c r="A6063" s="11"/>
      <c r="B6063" s="11"/>
      <c r="C6063" s="11"/>
      <c r="D6063" s="11"/>
    </row>
    <row r="6064">
      <c r="A6064" s="11"/>
      <c r="B6064" s="11"/>
      <c r="C6064" s="11"/>
      <c r="D6064" s="11"/>
    </row>
    <row r="6065">
      <c r="A6065" s="11"/>
      <c r="B6065" s="11"/>
      <c r="C6065" s="11"/>
      <c r="D6065" s="11"/>
    </row>
    <row r="6066">
      <c r="A6066" s="11"/>
      <c r="B6066" s="11"/>
      <c r="C6066" s="11"/>
      <c r="D6066" s="11"/>
    </row>
    <row r="6067">
      <c r="A6067" s="11"/>
      <c r="B6067" s="11"/>
      <c r="C6067" s="11"/>
      <c r="D6067" s="11"/>
    </row>
    <row r="6068">
      <c r="A6068" s="11"/>
      <c r="B6068" s="11"/>
      <c r="C6068" s="11"/>
      <c r="D6068" s="11"/>
    </row>
    <row r="6069">
      <c r="A6069" s="11"/>
      <c r="B6069" s="11"/>
      <c r="C6069" s="11"/>
      <c r="D6069" s="11"/>
    </row>
    <row r="6070">
      <c r="A6070" s="11"/>
      <c r="B6070" s="11"/>
      <c r="C6070" s="11"/>
      <c r="D6070" s="11"/>
    </row>
    <row r="6071">
      <c r="A6071" s="11"/>
      <c r="B6071" s="11"/>
      <c r="C6071" s="11"/>
      <c r="D6071" s="11"/>
    </row>
    <row r="6072">
      <c r="A6072" s="11"/>
      <c r="B6072" s="11"/>
      <c r="C6072" s="11"/>
      <c r="D6072" s="11"/>
    </row>
    <row r="6073">
      <c r="A6073" s="11"/>
      <c r="B6073" s="11"/>
      <c r="C6073" s="11"/>
      <c r="D6073" s="11"/>
    </row>
    <row r="6074">
      <c r="A6074" s="11"/>
      <c r="B6074" s="11"/>
      <c r="C6074" s="11"/>
      <c r="D6074" s="11"/>
    </row>
    <row r="6075">
      <c r="A6075" s="11"/>
      <c r="B6075" s="11"/>
      <c r="C6075" s="11"/>
      <c r="D6075" s="11"/>
    </row>
    <row r="6076">
      <c r="A6076" s="11"/>
      <c r="B6076" s="11"/>
      <c r="C6076" s="11"/>
      <c r="D6076" s="11"/>
    </row>
    <row r="6077">
      <c r="A6077" s="11"/>
      <c r="B6077" s="11"/>
      <c r="C6077" s="11"/>
      <c r="D6077" s="11"/>
    </row>
    <row r="6078">
      <c r="A6078" s="11"/>
      <c r="B6078" s="11"/>
      <c r="C6078" s="11"/>
      <c r="D6078" s="11"/>
    </row>
    <row r="6079">
      <c r="A6079" s="11"/>
      <c r="B6079" s="11"/>
      <c r="C6079" s="11"/>
      <c r="D6079" s="11"/>
    </row>
    <row r="6080">
      <c r="A6080" s="11"/>
      <c r="B6080" s="11"/>
      <c r="C6080" s="11"/>
      <c r="D6080" s="11"/>
    </row>
    <row r="6081">
      <c r="A6081" s="11"/>
      <c r="B6081" s="11"/>
      <c r="C6081" s="11"/>
      <c r="D6081" s="11"/>
    </row>
    <row r="6082">
      <c r="A6082" s="11"/>
      <c r="B6082" s="11"/>
      <c r="C6082" s="11"/>
      <c r="D6082" s="11"/>
    </row>
    <row r="6083">
      <c r="A6083" s="11"/>
      <c r="B6083" s="11"/>
      <c r="C6083" s="11"/>
      <c r="D6083" s="11"/>
    </row>
    <row r="6084">
      <c r="A6084" s="11"/>
      <c r="B6084" s="11"/>
      <c r="C6084" s="11"/>
      <c r="D6084" s="11"/>
    </row>
    <row r="6085">
      <c r="A6085" s="11"/>
      <c r="B6085" s="11"/>
      <c r="C6085" s="11"/>
      <c r="D6085" s="11"/>
    </row>
    <row r="6086">
      <c r="A6086" s="11"/>
      <c r="B6086" s="11"/>
      <c r="C6086" s="11"/>
      <c r="D6086" s="11"/>
    </row>
    <row r="6087">
      <c r="A6087" s="11"/>
      <c r="B6087" s="11"/>
      <c r="C6087" s="11"/>
      <c r="D6087" s="11"/>
    </row>
    <row r="6088">
      <c r="A6088" s="11"/>
      <c r="B6088" s="11"/>
      <c r="C6088" s="11"/>
      <c r="D6088" s="11"/>
    </row>
    <row r="6089">
      <c r="A6089" s="11"/>
      <c r="B6089" s="11"/>
      <c r="C6089" s="11"/>
      <c r="D6089" s="11"/>
    </row>
    <row r="6090">
      <c r="A6090" s="11"/>
      <c r="B6090" s="11"/>
      <c r="C6090" s="11"/>
      <c r="D6090" s="11"/>
    </row>
    <row r="6091">
      <c r="A6091" s="11"/>
      <c r="B6091" s="11"/>
      <c r="C6091" s="11"/>
      <c r="D6091" s="11"/>
    </row>
    <row r="6092">
      <c r="A6092" s="11"/>
      <c r="B6092" s="11"/>
      <c r="C6092" s="11"/>
      <c r="D6092" s="11"/>
    </row>
    <row r="6093">
      <c r="A6093" s="11"/>
      <c r="B6093" s="11"/>
      <c r="C6093" s="11"/>
      <c r="D6093" s="11"/>
    </row>
    <row r="6094">
      <c r="A6094" s="11"/>
      <c r="B6094" s="11"/>
      <c r="C6094" s="11"/>
      <c r="D6094" s="11"/>
    </row>
    <row r="6095">
      <c r="A6095" s="11"/>
      <c r="B6095" s="11"/>
      <c r="C6095" s="11"/>
      <c r="D6095" s="11"/>
    </row>
    <row r="6096">
      <c r="A6096" s="11"/>
      <c r="B6096" s="11"/>
      <c r="C6096" s="11"/>
      <c r="D6096" s="11"/>
    </row>
    <row r="6097">
      <c r="A6097" s="11"/>
      <c r="B6097" s="11"/>
      <c r="C6097" s="11"/>
      <c r="D6097" s="11"/>
    </row>
    <row r="6098">
      <c r="A6098" s="11"/>
      <c r="B6098" s="11"/>
      <c r="C6098" s="11"/>
      <c r="D6098" s="11"/>
    </row>
    <row r="6099">
      <c r="A6099" s="11"/>
      <c r="B6099" s="11"/>
      <c r="C6099" s="11"/>
      <c r="D6099" s="11"/>
    </row>
    <row r="6100">
      <c r="A6100" s="11"/>
      <c r="B6100" s="11"/>
      <c r="C6100" s="11"/>
      <c r="D6100" s="11"/>
    </row>
    <row r="6101">
      <c r="A6101" s="11"/>
      <c r="B6101" s="11"/>
      <c r="C6101" s="11"/>
      <c r="D6101" s="11"/>
    </row>
    <row r="6102">
      <c r="A6102" s="11"/>
      <c r="B6102" s="11"/>
      <c r="C6102" s="11"/>
      <c r="D6102" s="11"/>
    </row>
    <row r="6103">
      <c r="A6103" s="11"/>
      <c r="B6103" s="11"/>
      <c r="C6103" s="11"/>
      <c r="D6103" s="11"/>
    </row>
    <row r="6104">
      <c r="A6104" s="11"/>
      <c r="B6104" s="11"/>
      <c r="C6104" s="11"/>
      <c r="D6104" s="11"/>
    </row>
    <row r="6105">
      <c r="A6105" s="11"/>
      <c r="B6105" s="11"/>
      <c r="C6105" s="11"/>
      <c r="D6105" s="11"/>
    </row>
    <row r="6106">
      <c r="A6106" s="11"/>
      <c r="B6106" s="11"/>
      <c r="C6106" s="11"/>
      <c r="D6106" s="11"/>
    </row>
    <row r="6107">
      <c r="A6107" s="11"/>
      <c r="B6107" s="11"/>
      <c r="C6107" s="11"/>
      <c r="D6107" s="11"/>
    </row>
    <row r="6108">
      <c r="A6108" s="11"/>
      <c r="B6108" s="11"/>
      <c r="C6108" s="11"/>
      <c r="D6108" s="11"/>
    </row>
    <row r="6109">
      <c r="A6109" s="11"/>
      <c r="B6109" s="11"/>
      <c r="C6109" s="11"/>
      <c r="D6109" s="11"/>
    </row>
    <row r="6110">
      <c r="A6110" s="11"/>
      <c r="B6110" s="11"/>
      <c r="C6110" s="11"/>
      <c r="D6110" s="11"/>
    </row>
    <row r="6111">
      <c r="A6111" s="11"/>
      <c r="B6111" s="11"/>
      <c r="C6111" s="11"/>
      <c r="D6111" s="11"/>
    </row>
    <row r="6112">
      <c r="A6112" s="11"/>
      <c r="B6112" s="11"/>
      <c r="C6112" s="11"/>
      <c r="D6112" s="11"/>
    </row>
    <row r="6113">
      <c r="A6113" s="11"/>
      <c r="B6113" s="11"/>
      <c r="C6113" s="11"/>
      <c r="D6113" s="11"/>
    </row>
    <row r="6114">
      <c r="A6114" s="11"/>
      <c r="B6114" s="11"/>
      <c r="C6114" s="11"/>
      <c r="D6114" s="11"/>
    </row>
    <row r="6115">
      <c r="A6115" s="11"/>
      <c r="B6115" s="11"/>
      <c r="C6115" s="11"/>
      <c r="D6115" s="11"/>
    </row>
    <row r="6116">
      <c r="A6116" s="11"/>
      <c r="B6116" s="11"/>
      <c r="C6116" s="11"/>
      <c r="D6116" s="11"/>
    </row>
    <row r="6117">
      <c r="A6117" s="11"/>
      <c r="B6117" s="11"/>
      <c r="C6117" s="11"/>
      <c r="D6117" s="11"/>
    </row>
    <row r="6118">
      <c r="A6118" s="11"/>
      <c r="B6118" s="11"/>
      <c r="C6118" s="11"/>
      <c r="D6118" s="11"/>
    </row>
    <row r="6119">
      <c r="A6119" s="11"/>
      <c r="B6119" s="11"/>
      <c r="C6119" s="11"/>
      <c r="D6119" s="11"/>
    </row>
    <row r="6120">
      <c r="A6120" s="11"/>
      <c r="B6120" s="11"/>
      <c r="C6120" s="11"/>
      <c r="D6120" s="11"/>
    </row>
    <row r="6121">
      <c r="A6121" s="11"/>
      <c r="B6121" s="11"/>
      <c r="C6121" s="11"/>
      <c r="D6121" s="11"/>
    </row>
    <row r="6122">
      <c r="A6122" s="11"/>
      <c r="B6122" s="11"/>
      <c r="C6122" s="11"/>
      <c r="D6122" s="11"/>
    </row>
    <row r="6123">
      <c r="A6123" s="11"/>
      <c r="B6123" s="11"/>
      <c r="C6123" s="11"/>
      <c r="D6123" s="11"/>
    </row>
    <row r="6124">
      <c r="A6124" s="11"/>
      <c r="B6124" s="11"/>
      <c r="C6124" s="11"/>
      <c r="D6124" s="11"/>
    </row>
    <row r="6125">
      <c r="A6125" s="11"/>
      <c r="B6125" s="11"/>
      <c r="C6125" s="11"/>
      <c r="D6125" s="11"/>
    </row>
    <row r="6126">
      <c r="A6126" s="11"/>
      <c r="B6126" s="11"/>
      <c r="C6126" s="11"/>
      <c r="D6126" s="11"/>
    </row>
    <row r="6127">
      <c r="A6127" s="11"/>
      <c r="B6127" s="11"/>
      <c r="C6127" s="11"/>
      <c r="D6127" s="11"/>
    </row>
    <row r="6128">
      <c r="A6128" s="11"/>
      <c r="B6128" s="11"/>
      <c r="C6128" s="11"/>
      <c r="D6128" s="11"/>
    </row>
    <row r="6129">
      <c r="A6129" s="11"/>
      <c r="B6129" s="11"/>
      <c r="C6129" s="11"/>
      <c r="D6129" s="11"/>
    </row>
    <row r="6130">
      <c r="A6130" s="11"/>
      <c r="B6130" s="11"/>
      <c r="C6130" s="11"/>
      <c r="D6130" s="11"/>
    </row>
    <row r="6131">
      <c r="A6131" s="11"/>
      <c r="B6131" s="11"/>
      <c r="C6131" s="11"/>
      <c r="D6131" s="11"/>
    </row>
    <row r="6132">
      <c r="A6132" s="11"/>
      <c r="B6132" s="11"/>
      <c r="C6132" s="11"/>
      <c r="D6132" s="11"/>
    </row>
    <row r="6133">
      <c r="A6133" s="11"/>
      <c r="B6133" s="11"/>
      <c r="C6133" s="11"/>
      <c r="D6133" s="11"/>
    </row>
    <row r="6134">
      <c r="A6134" s="11"/>
      <c r="B6134" s="11"/>
      <c r="C6134" s="11"/>
      <c r="D6134" s="11"/>
    </row>
    <row r="6135">
      <c r="A6135" s="11"/>
      <c r="B6135" s="11"/>
      <c r="C6135" s="11"/>
      <c r="D6135" s="11"/>
    </row>
    <row r="6136">
      <c r="A6136" s="11"/>
      <c r="B6136" s="11"/>
      <c r="C6136" s="11"/>
      <c r="D6136" s="11"/>
    </row>
    <row r="6137">
      <c r="A6137" s="11"/>
      <c r="B6137" s="11"/>
      <c r="C6137" s="11"/>
      <c r="D6137" s="11"/>
    </row>
    <row r="6138">
      <c r="A6138" s="11"/>
      <c r="B6138" s="11"/>
      <c r="C6138" s="11"/>
      <c r="D6138" s="11"/>
    </row>
    <row r="6139">
      <c r="A6139" s="11"/>
      <c r="B6139" s="11"/>
      <c r="C6139" s="11"/>
      <c r="D6139" s="11"/>
    </row>
    <row r="6140">
      <c r="A6140" s="11"/>
      <c r="B6140" s="11"/>
      <c r="C6140" s="11"/>
      <c r="D6140" s="11"/>
    </row>
    <row r="6141">
      <c r="A6141" s="11"/>
      <c r="B6141" s="11"/>
      <c r="C6141" s="11"/>
      <c r="D6141" s="11"/>
    </row>
    <row r="6142">
      <c r="A6142" s="11"/>
      <c r="B6142" s="11"/>
      <c r="C6142" s="11"/>
      <c r="D6142" s="11"/>
    </row>
    <row r="6143">
      <c r="A6143" s="11"/>
      <c r="B6143" s="11"/>
      <c r="C6143" s="11"/>
      <c r="D6143" s="11"/>
    </row>
    <row r="6144">
      <c r="A6144" s="11"/>
      <c r="B6144" s="11"/>
      <c r="C6144" s="11"/>
      <c r="D6144" s="11"/>
    </row>
    <row r="6145">
      <c r="A6145" s="11"/>
      <c r="B6145" s="11"/>
      <c r="C6145" s="11"/>
      <c r="D6145" s="11"/>
    </row>
    <row r="6146">
      <c r="A6146" s="11"/>
      <c r="B6146" s="11"/>
      <c r="C6146" s="11"/>
      <c r="D6146" s="11"/>
    </row>
    <row r="6147">
      <c r="A6147" s="11"/>
      <c r="B6147" s="11"/>
      <c r="C6147" s="11"/>
      <c r="D6147" s="11"/>
    </row>
    <row r="6148">
      <c r="A6148" s="11"/>
      <c r="B6148" s="11"/>
      <c r="C6148" s="11"/>
      <c r="D6148" s="11"/>
    </row>
    <row r="6149">
      <c r="A6149" s="11"/>
      <c r="B6149" s="11"/>
      <c r="C6149" s="11"/>
      <c r="D6149" s="11"/>
    </row>
    <row r="6150">
      <c r="A6150" s="11"/>
      <c r="B6150" s="11"/>
      <c r="C6150" s="11"/>
      <c r="D6150" s="11"/>
    </row>
    <row r="6151">
      <c r="A6151" s="11"/>
      <c r="B6151" s="11"/>
      <c r="C6151" s="11"/>
      <c r="D6151" s="11"/>
    </row>
    <row r="6152">
      <c r="A6152" s="11"/>
      <c r="B6152" s="11"/>
      <c r="C6152" s="11"/>
      <c r="D6152" s="11"/>
    </row>
    <row r="6153">
      <c r="A6153" s="11"/>
      <c r="B6153" s="11"/>
      <c r="C6153" s="11"/>
      <c r="D6153" s="11"/>
    </row>
    <row r="6154">
      <c r="A6154" s="11"/>
      <c r="B6154" s="11"/>
      <c r="C6154" s="11"/>
      <c r="D6154" s="11"/>
    </row>
    <row r="6155">
      <c r="A6155" s="11"/>
      <c r="B6155" s="11"/>
      <c r="C6155" s="11"/>
      <c r="D6155" s="11"/>
    </row>
    <row r="6156">
      <c r="A6156" s="11"/>
      <c r="B6156" s="11"/>
      <c r="C6156" s="11"/>
      <c r="D6156" s="11"/>
    </row>
    <row r="6157">
      <c r="A6157" s="11"/>
      <c r="B6157" s="11"/>
      <c r="C6157" s="11"/>
      <c r="D6157" s="11"/>
    </row>
    <row r="6158">
      <c r="A6158" s="11"/>
      <c r="B6158" s="11"/>
      <c r="C6158" s="11"/>
      <c r="D6158" s="11"/>
    </row>
    <row r="6159">
      <c r="A6159" s="11"/>
      <c r="B6159" s="11"/>
      <c r="C6159" s="11"/>
      <c r="D6159" s="11"/>
    </row>
    <row r="6160">
      <c r="A6160" s="11"/>
      <c r="B6160" s="11"/>
      <c r="C6160" s="11"/>
      <c r="D6160" s="11"/>
    </row>
    <row r="6161">
      <c r="A6161" s="11"/>
      <c r="B6161" s="11"/>
      <c r="C6161" s="11"/>
      <c r="D6161" s="11"/>
    </row>
    <row r="6162">
      <c r="A6162" s="11"/>
      <c r="B6162" s="11"/>
      <c r="C6162" s="11"/>
      <c r="D6162" s="11"/>
    </row>
    <row r="6163">
      <c r="A6163" s="11"/>
      <c r="B6163" s="11"/>
      <c r="C6163" s="11"/>
      <c r="D6163" s="11"/>
    </row>
    <row r="6164">
      <c r="A6164" s="11"/>
      <c r="B6164" s="11"/>
      <c r="C6164" s="11"/>
      <c r="D6164" s="11"/>
    </row>
    <row r="6165">
      <c r="A6165" s="11"/>
      <c r="B6165" s="11"/>
      <c r="C6165" s="11"/>
      <c r="D6165" s="11"/>
    </row>
    <row r="6166">
      <c r="A6166" s="11"/>
      <c r="B6166" s="11"/>
      <c r="C6166" s="11"/>
      <c r="D6166" s="11"/>
    </row>
    <row r="6167">
      <c r="A6167" s="11"/>
      <c r="B6167" s="11"/>
      <c r="C6167" s="11"/>
      <c r="D6167" s="11"/>
    </row>
    <row r="6168">
      <c r="A6168" s="11"/>
      <c r="B6168" s="11"/>
      <c r="C6168" s="11"/>
      <c r="D6168" s="11"/>
    </row>
    <row r="6169">
      <c r="A6169" s="11"/>
      <c r="B6169" s="11"/>
      <c r="C6169" s="11"/>
      <c r="D6169" s="11"/>
    </row>
    <row r="6170">
      <c r="A6170" s="11"/>
      <c r="B6170" s="11"/>
      <c r="C6170" s="11"/>
      <c r="D6170" s="11"/>
    </row>
    <row r="6171">
      <c r="A6171" s="11"/>
      <c r="B6171" s="11"/>
      <c r="C6171" s="11"/>
      <c r="D6171" s="11"/>
    </row>
    <row r="6172">
      <c r="A6172" s="11"/>
      <c r="B6172" s="11"/>
      <c r="C6172" s="11"/>
      <c r="D6172" s="11"/>
    </row>
    <row r="6173">
      <c r="A6173" s="11"/>
      <c r="B6173" s="11"/>
      <c r="C6173" s="11"/>
      <c r="D6173" s="11"/>
    </row>
    <row r="6174">
      <c r="A6174" s="11"/>
      <c r="B6174" s="11"/>
      <c r="C6174" s="11"/>
      <c r="D6174" s="11"/>
    </row>
    <row r="6175">
      <c r="A6175" s="11"/>
      <c r="B6175" s="11"/>
      <c r="C6175" s="11"/>
      <c r="D6175" s="11"/>
    </row>
    <row r="6176">
      <c r="A6176" s="11"/>
      <c r="B6176" s="11"/>
      <c r="C6176" s="11"/>
      <c r="D6176" s="11"/>
    </row>
    <row r="6177">
      <c r="A6177" s="11"/>
      <c r="B6177" s="11"/>
      <c r="C6177" s="11"/>
      <c r="D6177" s="11"/>
    </row>
    <row r="6178">
      <c r="A6178" s="11"/>
      <c r="B6178" s="11"/>
      <c r="C6178" s="11"/>
      <c r="D6178" s="11"/>
    </row>
    <row r="6179">
      <c r="A6179" s="11"/>
      <c r="B6179" s="11"/>
      <c r="C6179" s="11"/>
      <c r="D6179" s="11"/>
    </row>
    <row r="6180">
      <c r="A6180" s="11"/>
      <c r="B6180" s="11"/>
      <c r="C6180" s="11"/>
      <c r="D6180" s="11"/>
    </row>
    <row r="6181">
      <c r="A6181" s="11"/>
      <c r="B6181" s="11"/>
      <c r="C6181" s="11"/>
      <c r="D6181" s="11"/>
    </row>
    <row r="6182">
      <c r="A6182" s="11"/>
      <c r="B6182" s="11"/>
      <c r="C6182" s="11"/>
      <c r="D6182" s="11"/>
    </row>
    <row r="6183">
      <c r="A6183" s="11"/>
      <c r="B6183" s="11"/>
      <c r="C6183" s="11"/>
      <c r="D6183" s="11"/>
    </row>
    <row r="6184">
      <c r="A6184" s="11"/>
      <c r="B6184" s="11"/>
      <c r="C6184" s="11"/>
      <c r="D6184" s="11"/>
    </row>
    <row r="6185">
      <c r="A6185" s="11"/>
      <c r="B6185" s="11"/>
      <c r="C6185" s="11"/>
      <c r="D6185" s="11"/>
    </row>
    <row r="6186">
      <c r="A6186" s="11"/>
      <c r="B6186" s="11"/>
      <c r="C6186" s="11"/>
      <c r="D6186" s="11"/>
    </row>
    <row r="6187">
      <c r="A6187" s="11"/>
      <c r="B6187" s="11"/>
      <c r="C6187" s="11"/>
      <c r="D6187" s="11"/>
    </row>
    <row r="6188">
      <c r="A6188" s="11"/>
      <c r="B6188" s="11"/>
      <c r="C6188" s="11"/>
      <c r="D6188" s="11"/>
    </row>
    <row r="6189">
      <c r="A6189" s="11"/>
      <c r="B6189" s="11"/>
      <c r="C6189" s="11"/>
      <c r="D6189" s="11"/>
    </row>
    <row r="6190">
      <c r="A6190" s="11"/>
      <c r="B6190" s="11"/>
      <c r="C6190" s="11"/>
      <c r="D6190" s="11"/>
    </row>
    <row r="6191">
      <c r="A6191" s="11"/>
      <c r="B6191" s="11"/>
      <c r="C6191" s="11"/>
      <c r="D6191" s="11"/>
    </row>
    <row r="6192">
      <c r="A6192" s="11"/>
      <c r="B6192" s="11"/>
      <c r="C6192" s="11"/>
      <c r="D6192" s="11"/>
    </row>
    <row r="6193">
      <c r="A6193" s="11"/>
      <c r="B6193" s="11"/>
      <c r="C6193" s="11"/>
      <c r="D6193" s="11"/>
    </row>
    <row r="6194">
      <c r="A6194" s="11"/>
      <c r="B6194" s="11"/>
      <c r="C6194" s="11"/>
      <c r="D6194" s="11"/>
    </row>
    <row r="6195">
      <c r="A6195" s="11"/>
      <c r="B6195" s="11"/>
      <c r="C6195" s="11"/>
      <c r="D6195" s="11"/>
    </row>
    <row r="6196">
      <c r="A6196" s="11"/>
      <c r="B6196" s="11"/>
      <c r="C6196" s="11"/>
      <c r="D6196" s="11"/>
    </row>
    <row r="6197">
      <c r="A6197" s="11"/>
      <c r="B6197" s="11"/>
      <c r="C6197" s="11"/>
      <c r="D6197" s="11"/>
    </row>
    <row r="6198">
      <c r="A6198" s="11"/>
      <c r="B6198" s="11"/>
      <c r="C6198" s="11"/>
      <c r="D6198" s="11"/>
    </row>
    <row r="6199">
      <c r="A6199" s="11"/>
      <c r="B6199" s="11"/>
      <c r="C6199" s="11"/>
      <c r="D6199" s="11"/>
    </row>
    <row r="6200">
      <c r="A6200" s="11"/>
      <c r="B6200" s="11"/>
      <c r="C6200" s="11"/>
      <c r="D6200" s="11"/>
    </row>
    <row r="6201">
      <c r="A6201" s="11"/>
      <c r="B6201" s="11"/>
      <c r="C6201" s="11"/>
      <c r="D6201" s="11"/>
    </row>
    <row r="6202">
      <c r="A6202" s="11"/>
      <c r="B6202" s="11"/>
      <c r="C6202" s="11"/>
      <c r="D6202" s="11"/>
    </row>
    <row r="6203">
      <c r="A6203" s="11"/>
      <c r="B6203" s="11"/>
      <c r="C6203" s="11"/>
      <c r="D6203" s="11"/>
    </row>
    <row r="6204">
      <c r="A6204" s="11"/>
      <c r="B6204" s="11"/>
      <c r="C6204" s="11"/>
      <c r="D6204" s="11"/>
    </row>
    <row r="6205">
      <c r="A6205" s="11"/>
      <c r="B6205" s="11"/>
      <c r="C6205" s="11"/>
      <c r="D6205" s="11"/>
    </row>
    <row r="6206">
      <c r="A6206" s="11"/>
      <c r="B6206" s="11"/>
      <c r="C6206" s="11"/>
      <c r="D6206" s="11"/>
    </row>
    <row r="6207">
      <c r="A6207" s="11"/>
      <c r="B6207" s="11"/>
      <c r="C6207" s="11"/>
      <c r="D6207" s="11"/>
    </row>
    <row r="6208">
      <c r="A6208" s="11"/>
      <c r="B6208" s="11"/>
      <c r="C6208" s="11"/>
      <c r="D6208" s="11"/>
    </row>
    <row r="6209">
      <c r="A6209" s="11"/>
      <c r="B6209" s="11"/>
      <c r="C6209" s="11"/>
      <c r="D6209" s="11"/>
    </row>
    <row r="6210">
      <c r="A6210" s="11"/>
      <c r="B6210" s="11"/>
      <c r="C6210" s="11"/>
      <c r="D6210" s="11"/>
    </row>
    <row r="6211">
      <c r="A6211" s="11"/>
      <c r="B6211" s="11"/>
      <c r="C6211" s="11"/>
      <c r="D6211" s="11"/>
    </row>
    <row r="6212">
      <c r="A6212" s="11"/>
      <c r="B6212" s="11"/>
      <c r="C6212" s="11"/>
      <c r="D6212" s="11"/>
    </row>
    <row r="6213">
      <c r="A6213" s="11"/>
      <c r="B6213" s="11"/>
      <c r="C6213" s="11"/>
      <c r="D6213" s="11"/>
    </row>
    <row r="6214">
      <c r="A6214" s="11"/>
      <c r="B6214" s="11"/>
      <c r="C6214" s="11"/>
      <c r="D6214" s="11"/>
    </row>
    <row r="6215">
      <c r="A6215" s="11"/>
      <c r="B6215" s="11"/>
      <c r="C6215" s="11"/>
      <c r="D6215" s="11"/>
    </row>
    <row r="6216">
      <c r="A6216" s="11"/>
      <c r="B6216" s="11"/>
      <c r="C6216" s="11"/>
      <c r="D6216" s="11"/>
    </row>
    <row r="6217">
      <c r="A6217" s="11"/>
      <c r="B6217" s="11"/>
      <c r="C6217" s="11"/>
      <c r="D6217" s="11"/>
    </row>
    <row r="6218">
      <c r="A6218" s="11"/>
      <c r="B6218" s="11"/>
      <c r="C6218" s="11"/>
      <c r="D6218" s="11"/>
    </row>
    <row r="6219">
      <c r="A6219" s="11"/>
      <c r="B6219" s="11"/>
      <c r="C6219" s="11"/>
      <c r="D6219" s="11"/>
    </row>
    <row r="6220">
      <c r="A6220" s="11"/>
      <c r="B6220" s="11"/>
      <c r="C6220" s="11"/>
      <c r="D6220" s="11"/>
    </row>
    <row r="6221">
      <c r="A6221" s="11"/>
      <c r="B6221" s="11"/>
      <c r="C6221" s="11"/>
      <c r="D6221" s="11"/>
    </row>
    <row r="6222">
      <c r="A6222" s="11"/>
      <c r="B6222" s="11"/>
      <c r="C6222" s="11"/>
      <c r="D6222" s="11"/>
    </row>
    <row r="6223">
      <c r="A6223" s="11"/>
      <c r="B6223" s="11"/>
      <c r="C6223" s="11"/>
      <c r="D6223" s="11"/>
    </row>
    <row r="6224">
      <c r="A6224" s="11"/>
      <c r="B6224" s="11"/>
      <c r="C6224" s="11"/>
      <c r="D6224" s="11"/>
    </row>
    <row r="6225">
      <c r="A6225" s="11"/>
      <c r="B6225" s="11"/>
      <c r="C6225" s="11"/>
      <c r="D6225" s="11"/>
    </row>
    <row r="6226">
      <c r="A6226" s="11"/>
      <c r="B6226" s="11"/>
      <c r="C6226" s="11"/>
      <c r="D6226" s="11"/>
    </row>
    <row r="6227">
      <c r="A6227" s="11"/>
      <c r="B6227" s="11"/>
      <c r="C6227" s="11"/>
      <c r="D6227" s="11"/>
    </row>
    <row r="6228">
      <c r="A6228" s="11"/>
      <c r="B6228" s="11"/>
      <c r="C6228" s="11"/>
      <c r="D6228" s="11"/>
    </row>
    <row r="6229">
      <c r="A6229" s="11"/>
      <c r="B6229" s="11"/>
      <c r="C6229" s="11"/>
      <c r="D6229" s="11"/>
    </row>
    <row r="6230">
      <c r="A6230" s="11"/>
      <c r="B6230" s="11"/>
      <c r="C6230" s="11"/>
      <c r="D6230" s="11"/>
    </row>
    <row r="6231">
      <c r="A6231" s="11"/>
      <c r="B6231" s="11"/>
      <c r="C6231" s="11"/>
      <c r="D6231" s="11"/>
    </row>
    <row r="6232">
      <c r="A6232" s="11"/>
      <c r="B6232" s="11"/>
      <c r="C6232" s="11"/>
      <c r="D6232" s="11"/>
    </row>
    <row r="6233">
      <c r="A6233" s="11"/>
      <c r="B6233" s="11"/>
      <c r="C6233" s="11"/>
      <c r="D6233" s="11"/>
    </row>
    <row r="6234">
      <c r="A6234" s="11"/>
      <c r="B6234" s="11"/>
      <c r="C6234" s="11"/>
      <c r="D6234" s="11"/>
    </row>
    <row r="6235">
      <c r="A6235" s="11"/>
      <c r="B6235" s="11"/>
      <c r="C6235" s="11"/>
      <c r="D6235" s="11"/>
    </row>
    <row r="6236">
      <c r="A6236" s="11"/>
      <c r="B6236" s="11"/>
      <c r="C6236" s="11"/>
      <c r="D6236" s="11"/>
    </row>
    <row r="6237">
      <c r="A6237" s="11"/>
      <c r="B6237" s="11"/>
      <c r="C6237" s="11"/>
      <c r="D6237" s="11"/>
    </row>
    <row r="6238">
      <c r="A6238" s="11"/>
      <c r="B6238" s="11"/>
      <c r="C6238" s="11"/>
      <c r="D6238" s="11"/>
    </row>
    <row r="6239">
      <c r="A6239" s="11"/>
      <c r="B6239" s="11"/>
      <c r="C6239" s="11"/>
      <c r="D6239" s="11"/>
    </row>
    <row r="6240">
      <c r="A6240" s="11"/>
      <c r="B6240" s="11"/>
      <c r="C6240" s="11"/>
      <c r="D6240" s="11"/>
    </row>
    <row r="6241">
      <c r="A6241" s="11"/>
      <c r="B6241" s="11"/>
      <c r="C6241" s="11"/>
      <c r="D6241" s="11"/>
    </row>
    <row r="6242">
      <c r="A6242" s="11"/>
      <c r="B6242" s="11"/>
      <c r="C6242" s="11"/>
      <c r="D6242" s="11"/>
    </row>
    <row r="6243">
      <c r="A6243" s="11"/>
      <c r="B6243" s="11"/>
      <c r="C6243" s="11"/>
      <c r="D6243" s="11"/>
    </row>
    <row r="6244">
      <c r="A6244" s="11"/>
      <c r="B6244" s="11"/>
      <c r="C6244" s="11"/>
      <c r="D6244" s="11"/>
    </row>
    <row r="6245">
      <c r="A6245" s="11"/>
      <c r="B6245" s="11"/>
      <c r="C6245" s="11"/>
      <c r="D6245" s="11"/>
    </row>
    <row r="6246">
      <c r="A6246" s="11"/>
      <c r="B6246" s="11"/>
      <c r="C6246" s="11"/>
      <c r="D6246" s="11"/>
    </row>
    <row r="6247">
      <c r="A6247" s="11"/>
      <c r="B6247" s="11"/>
      <c r="C6247" s="11"/>
      <c r="D6247" s="11"/>
    </row>
    <row r="6248">
      <c r="A6248" s="11"/>
      <c r="B6248" s="11"/>
      <c r="C6248" s="11"/>
      <c r="D6248" s="11"/>
    </row>
    <row r="6249">
      <c r="A6249" s="11"/>
      <c r="B6249" s="11"/>
      <c r="C6249" s="11"/>
      <c r="D6249" s="11"/>
    </row>
    <row r="6250">
      <c r="A6250" s="11"/>
      <c r="B6250" s="11"/>
      <c r="C6250" s="11"/>
      <c r="D6250" s="11"/>
    </row>
    <row r="6251">
      <c r="A6251" s="11"/>
      <c r="B6251" s="11"/>
      <c r="C6251" s="11"/>
      <c r="D6251" s="11"/>
    </row>
    <row r="6252">
      <c r="A6252" s="11"/>
      <c r="B6252" s="11"/>
      <c r="C6252" s="11"/>
      <c r="D6252" s="11"/>
    </row>
    <row r="6253">
      <c r="A6253" s="11"/>
      <c r="B6253" s="11"/>
      <c r="C6253" s="11"/>
      <c r="D6253" s="11"/>
    </row>
    <row r="6254">
      <c r="A6254" s="11"/>
      <c r="B6254" s="11"/>
      <c r="C6254" s="11"/>
      <c r="D6254" s="11"/>
    </row>
    <row r="6255">
      <c r="A6255" s="11"/>
      <c r="B6255" s="11"/>
      <c r="C6255" s="11"/>
      <c r="D6255" s="11"/>
    </row>
    <row r="6256">
      <c r="A6256" s="11"/>
      <c r="B6256" s="11"/>
      <c r="C6256" s="11"/>
      <c r="D6256" s="11"/>
    </row>
    <row r="6257">
      <c r="A6257" s="11"/>
      <c r="B6257" s="11"/>
      <c r="C6257" s="11"/>
      <c r="D6257" s="11"/>
    </row>
    <row r="6258">
      <c r="A6258" s="11"/>
      <c r="B6258" s="11"/>
      <c r="C6258" s="11"/>
      <c r="D6258" s="11"/>
    </row>
    <row r="6259">
      <c r="A6259" s="11"/>
      <c r="B6259" s="11"/>
      <c r="C6259" s="11"/>
      <c r="D6259" s="11"/>
    </row>
    <row r="6260">
      <c r="A6260" s="11"/>
      <c r="B6260" s="11"/>
      <c r="C6260" s="11"/>
      <c r="D6260" s="11"/>
    </row>
    <row r="6261">
      <c r="A6261" s="11"/>
      <c r="B6261" s="11"/>
      <c r="C6261" s="11"/>
      <c r="D6261" s="11"/>
    </row>
    <row r="6262">
      <c r="A6262" s="11"/>
      <c r="B6262" s="11"/>
      <c r="C6262" s="11"/>
      <c r="D6262" s="11"/>
    </row>
    <row r="6263">
      <c r="A6263" s="11"/>
      <c r="B6263" s="11"/>
      <c r="C6263" s="11"/>
      <c r="D6263" s="11"/>
    </row>
    <row r="6264">
      <c r="A6264" s="11"/>
      <c r="B6264" s="11"/>
      <c r="C6264" s="11"/>
      <c r="D6264" s="11"/>
    </row>
    <row r="6265">
      <c r="A6265" s="11"/>
      <c r="B6265" s="11"/>
      <c r="C6265" s="11"/>
      <c r="D6265" s="11"/>
    </row>
    <row r="6266">
      <c r="A6266" s="11"/>
      <c r="B6266" s="11"/>
      <c r="C6266" s="11"/>
      <c r="D6266" s="11"/>
    </row>
    <row r="6267">
      <c r="A6267" s="11"/>
      <c r="B6267" s="11"/>
      <c r="C6267" s="11"/>
      <c r="D6267" s="11"/>
    </row>
    <row r="6268">
      <c r="A6268" s="11"/>
      <c r="B6268" s="11"/>
      <c r="C6268" s="11"/>
      <c r="D6268" s="11"/>
    </row>
    <row r="6269">
      <c r="A6269" s="11"/>
      <c r="B6269" s="11"/>
      <c r="C6269" s="11"/>
      <c r="D6269" s="11"/>
    </row>
    <row r="6270">
      <c r="A6270" s="11"/>
      <c r="B6270" s="11"/>
      <c r="C6270" s="11"/>
      <c r="D6270" s="11"/>
    </row>
    <row r="6271">
      <c r="A6271" s="11"/>
      <c r="B6271" s="11"/>
      <c r="C6271" s="11"/>
      <c r="D6271" s="11"/>
    </row>
    <row r="6272">
      <c r="A6272" s="11"/>
      <c r="B6272" s="11"/>
      <c r="C6272" s="11"/>
      <c r="D6272" s="11"/>
    </row>
    <row r="6273">
      <c r="A6273" s="11"/>
      <c r="B6273" s="11"/>
      <c r="C6273" s="11"/>
      <c r="D6273" s="11"/>
    </row>
    <row r="6274">
      <c r="A6274" s="11"/>
      <c r="B6274" s="11"/>
      <c r="C6274" s="11"/>
      <c r="D6274" s="11"/>
    </row>
    <row r="6275">
      <c r="A6275" s="11"/>
      <c r="B6275" s="11"/>
      <c r="C6275" s="11"/>
      <c r="D6275" s="11"/>
    </row>
    <row r="6276">
      <c r="A6276" s="11"/>
      <c r="B6276" s="11"/>
      <c r="C6276" s="11"/>
      <c r="D6276" s="11"/>
    </row>
    <row r="6277">
      <c r="A6277" s="11"/>
      <c r="B6277" s="11"/>
      <c r="C6277" s="11"/>
      <c r="D6277" s="11"/>
    </row>
    <row r="6278">
      <c r="A6278" s="11"/>
      <c r="B6278" s="11"/>
      <c r="C6278" s="11"/>
      <c r="D6278" s="11"/>
    </row>
    <row r="6279">
      <c r="A6279" s="11"/>
      <c r="B6279" s="11"/>
      <c r="C6279" s="11"/>
      <c r="D6279" s="11"/>
    </row>
    <row r="6280">
      <c r="A6280" s="11"/>
      <c r="B6280" s="11"/>
      <c r="C6280" s="11"/>
      <c r="D6280" s="11"/>
    </row>
    <row r="6281">
      <c r="A6281" s="11"/>
      <c r="B6281" s="11"/>
      <c r="C6281" s="11"/>
      <c r="D6281" s="11"/>
    </row>
    <row r="6282">
      <c r="A6282" s="11"/>
      <c r="B6282" s="11"/>
      <c r="C6282" s="11"/>
      <c r="D6282" s="11"/>
    </row>
    <row r="6283">
      <c r="A6283" s="11"/>
      <c r="B6283" s="11"/>
      <c r="C6283" s="11"/>
      <c r="D6283" s="11"/>
    </row>
    <row r="6284">
      <c r="A6284" s="11"/>
      <c r="B6284" s="11"/>
      <c r="C6284" s="11"/>
      <c r="D6284" s="11"/>
    </row>
    <row r="6285">
      <c r="A6285" s="11"/>
      <c r="B6285" s="11"/>
      <c r="C6285" s="11"/>
      <c r="D6285" s="11"/>
    </row>
    <row r="6286">
      <c r="A6286" s="11"/>
      <c r="B6286" s="11"/>
      <c r="C6286" s="11"/>
      <c r="D6286" s="11"/>
    </row>
    <row r="6287">
      <c r="A6287" s="11"/>
      <c r="B6287" s="11"/>
      <c r="C6287" s="11"/>
      <c r="D6287" s="11"/>
    </row>
    <row r="6288">
      <c r="A6288" s="11"/>
      <c r="B6288" s="11"/>
      <c r="C6288" s="11"/>
      <c r="D6288" s="11"/>
    </row>
    <row r="6289">
      <c r="A6289" s="11"/>
      <c r="B6289" s="11"/>
      <c r="C6289" s="11"/>
      <c r="D6289" s="11"/>
    </row>
    <row r="6290">
      <c r="A6290" s="11"/>
      <c r="B6290" s="11"/>
      <c r="C6290" s="11"/>
      <c r="D6290" s="11"/>
    </row>
    <row r="6291">
      <c r="A6291" s="11"/>
      <c r="B6291" s="11"/>
      <c r="C6291" s="11"/>
      <c r="D6291" s="11"/>
    </row>
    <row r="6292">
      <c r="A6292" s="11"/>
      <c r="B6292" s="11"/>
      <c r="C6292" s="11"/>
      <c r="D6292" s="11"/>
    </row>
    <row r="6293">
      <c r="A6293" s="11"/>
      <c r="B6293" s="11"/>
      <c r="C6293" s="11"/>
      <c r="D6293" s="11"/>
    </row>
    <row r="6294">
      <c r="A6294" s="11"/>
      <c r="B6294" s="11"/>
      <c r="C6294" s="11"/>
      <c r="D6294" s="11"/>
    </row>
    <row r="6295">
      <c r="A6295" s="11"/>
      <c r="B6295" s="11"/>
      <c r="C6295" s="11"/>
      <c r="D6295" s="11"/>
    </row>
    <row r="6296">
      <c r="A6296" s="11"/>
      <c r="B6296" s="11"/>
      <c r="C6296" s="11"/>
      <c r="D6296" s="11"/>
    </row>
    <row r="6297">
      <c r="A6297" s="11"/>
      <c r="B6297" s="11"/>
      <c r="C6297" s="11"/>
      <c r="D6297" s="11"/>
    </row>
    <row r="6298">
      <c r="A6298" s="11"/>
      <c r="B6298" s="11"/>
      <c r="C6298" s="11"/>
      <c r="D6298" s="11"/>
    </row>
    <row r="6299">
      <c r="A6299" s="11"/>
      <c r="B6299" s="11"/>
      <c r="C6299" s="11"/>
      <c r="D6299" s="11"/>
    </row>
    <row r="6300">
      <c r="A6300" s="11"/>
      <c r="B6300" s="11"/>
      <c r="C6300" s="11"/>
      <c r="D6300" s="11"/>
    </row>
    <row r="6301">
      <c r="A6301" s="11"/>
      <c r="B6301" s="11"/>
      <c r="C6301" s="11"/>
      <c r="D6301" s="11"/>
    </row>
    <row r="6302">
      <c r="A6302" s="11"/>
      <c r="B6302" s="11"/>
      <c r="C6302" s="11"/>
      <c r="D6302" s="11"/>
    </row>
    <row r="6303">
      <c r="A6303" s="11"/>
      <c r="B6303" s="11"/>
      <c r="C6303" s="11"/>
      <c r="D6303" s="11"/>
    </row>
    <row r="6304">
      <c r="A6304" s="11"/>
      <c r="B6304" s="11"/>
      <c r="C6304" s="11"/>
      <c r="D6304" s="11"/>
    </row>
    <row r="6305">
      <c r="A6305" s="11"/>
      <c r="B6305" s="11"/>
      <c r="C6305" s="11"/>
      <c r="D6305" s="11"/>
    </row>
    <row r="6306">
      <c r="A6306" s="11"/>
      <c r="B6306" s="11"/>
      <c r="C6306" s="11"/>
      <c r="D6306" s="11"/>
    </row>
    <row r="6307">
      <c r="A6307" s="11"/>
      <c r="B6307" s="11"/>
      <c r="C6307" s="11"/>
      <c r="D6307" s="11"/>
    </row>
    <row r="6308">
      <c r="A6308" s="11"/>
      <c r="B6308" s="11"/>
      <c r="C6308" s="11"/>
      <c r="D6308" s="11"/>
    </row>
    <row r="6309">
      <c r="A6309" s="11"/>
      <c r="B6309" s="11"/>
      <c r="C6309" s="11"/>
      <c r="D6309" s="11"/>
    </row>
    <row r="6310">
      <c r="A6310" s="11"/>
      <c r="B6310" s="11"/>
      <c r="C6310" s="11"/>
      <c r="D6310" s="11"/>
    </row>
    <row r="6311">
      <c r="A6311" s="11"/>
      <c r="B6311" s="11"/>
      <c r="C6311" s="11"/>
      <c r="D6311" s="11"/>
    </row>
    <row r="6312">
      <c r="A6312" s="11"/>
      <c r="B6312" s="11"/>
      <c r="C6312" s="11"/>
      <c r="D6312" s="11"/>
    </row>
    <row r="6313">
      <c r="A6313" s="11"/>
      <c r="B6313" s="11"/>
      <c r="C6313" s="11"/>
      <c r="D6313" s="11"/>
    </row>
    <row r="6314">
      <c r="A6314" s="11"/>
      <c r="B6314" s="11"/>
      <c r="C6314" s="11"/>
      <c r="D6314" s="11"/>
    </row>
    <row r="6315">
      <c r="A6315" s="11"/>
      <c r="B6315" s="11"/>
      <c r="C6315" s="11"/>
      <c r="D6315" s="11"/>
    </row>
    <row r="6316">
      <c r="A6316" s="11"/>
      <c r="B6316" s="11"/>
      <c r="C6316" s="11"/>
      <c r="D6316" s="11"/>
    </row>
    <row r="6317">
      <c r="A6317" s="11"/>
      <c r="B6317" s="11"/>
      <c r="C6317" s="11"/>
      <c r="D6317" s="11"/>
    </row>
    <row r="6318">
      <c r="A6318" s="11"/>
      <c r="B6318" s="11"/>
      <c r="C6318" s="11"/>
      <c r="D6318" s="11"/>
    </row>
    <row r="6319">
      <c r="A6319" s="11"/>
      <c r="B6319" s="11"/>
      <c r="C6319" s="11"/>
      <c r="D6319" s="11"/>
    </row>
    <row r="6320">
      <c r="A6320" s="11"/>
      <c r="B6320" s="11"/>
      <c r="C6320" s="11"/>
      <c r="D6320" s="11"/>
    </row>
    <row r="6321">
      <c r="A6321" s="11"/>
      <c r="B6321" s="11"/>
      <c r="C6321" s="11"/>
      <c r="D6321" s="11"/>
    </row>
    <row r="6322">
      <c r="A6322" s="11"/>
      <c r="B6322" s="11"/>
      <c r="C6322" s="11"/>
      <c r="D6322" s="11"/>
    </row>
    <row r="6323">
      <c r="A6323" s="11"/>
      <c r="B6323" s="11"/>
      <c r="C6323" s="11"/>
      <c r="D6323" s="11"/>
    </row>
    <row r="6324">
      <c r="A6324" s="11"/>
      <c r="B6324" s="11"/>
      <c r="C6324" s="11"/>
      <c r="D6324" s="11"/>
    </row>
    <row r="6325">
      <c r="A6325" s="11"/>
      <c r="B6325" s="11"/>
      <c r="C6325" s="11"/>
      <c r="D6325" s="11"/>
    </row>
    <row r="6326">
      <c r="A6326" s="11"/>
      <c r="B6326" s="11"/>
      <c r="C6326" s="11"/>
      <c r="D6326" s="11"/>
    </row>
    <row r="6327">
      <c r="A6327" s="11"/>
      <c r="B6327" s="11"/>
      <c r="C6327" s="11"/>
      <c r="D6327" s="11"/>
    </row>
    <row r="6328">
      <c r="A6328" s="11"/>
      <c r="B6328" s="11"/>
      <c r="C6328" s="11"/>
      <c r="D6328" s="11"/>
    </row>
    <row r="6329">
      <c r="A6329" s="11"/>
      <c r="B6329" s="11"/>
      <c r="C6329" s="11"/>
      <c r="D6329" s="11"/>
    </row>
    <row r="6330">
      <c r="A6330" s="11"/>
      <c r="B6330" s="11"/>
      <c r="C6330" s="11"/>
      <c r="D6330" s="11"/>
    </row>
    <row r="6331">
      <c r="A6331" s="11"/>
      <c r="B6331" s="11"/>
      <c r="C6331" s="11"/>
      <c r="D6331" s="11"/>
    </row>
    <row r="6332">
      <c r="A6332" s="11"/>
      <c r="B6332" s="11"/>
      <c r="C6332" s="11"/>
      <c r="D6332" s="11"/>
    </row>
    <row r="6333">
      <c r="A6333" s="11"/>
      <c r="B6333" s="11"/>
      <c r="C6333" s="11"/>
      <c r="D6333" s="11"/>
    </row>
    <row r="6334">
      <c r="A6334" s="11"/>
      <c r="B6334" s="11"/>
      <c r="C6334" s="11"/>
      <c r="D6334" s="11"/>
    </row>
    <row r="6335">
      <c r="A6335" s="11"/>
      <c r="B6335" s="11"/>
      <c r="C6335" s="11"/>
      <c r="D6335" s="11"/>
    </row>
    <row r="6336">
      <c r="A6336" s="11"/>
      <c r="B6336" s="11"/>
      <c r="C6336" s="11"/>
      <c r="D6336" s="11"/>
    </row>
    <row r="6337">
      <c r="A6337" s="11"/>
      <c r="B6337" s="11"/>
      <c r="C6337" s="11"/>
      <c r="D6337" s="11"/>
    </row>
    <row r="6338">
      <c r="A6338" s="11"/>
      <c r="B6338" s="11"/>
      <c r="C6338" s="11"/>
      <c r="D6338" s="11"/>
    </row>
    <row r="6339">
      <c r="A6339" s="11"/>
      <c r="B6339" s="11"/>
      <c r="C6339" s="11"/>
      <c r="D6339" s="11"/>
    </row>
    <row r="6340">
      <c r="A6340" s="11"/>
      <c r="B6340" s="11"/>
      <c r="C6340" s="11"/>
      <c r="D6340" s="11"/>
    </row>
    <row r="6341">
      <c r="A6341" s="11"/>
      <c r="B6341" s="11"/>
      <c r="C6341" s="11"/>
      <c r="D6341" s="11"/>
    </row>
    <row r="6342">
      <c r="A6342" s="11"/>
      <c r="B6342" s="11"/>
      <c r="C6342" s="11"/>
      <c r="D6342" s="11"/>
    </row>
    <row r="6343">
      <c r="A6343" s="11"/>
      <c r="B6343" s="11"/>
      <c r="C6343" s="11"/>
      <c r="D6343" s="11"/>
    </row>
    <row r="6344">
      <c r="A6344" s="11"/>
      <c r="B6344" s="11"/>
      <c r="C6344" s="11"/>
      <c r="D6344" s="11"/>
    </row>
    <row r="6345">
      <c r="A6345" s="11"/>
      <c r="B6345" s="11"/>
      <c r="C6345" s="11"/>
      <c r="D6345" s="11"/>
    </row>
    <row r="6346">
      <c r="A6346" s="11"/>
      <c r="B6346" s="11"/>
      <c r="C6346" s="11"/>
      <c r="D6346" s="11"/>
    </row>
    <row r="6347">
      <c r="A6347" s="11"/>
      <c r="B6347" s="11"/>
      <c r="C6347" s="11"/>
      <c r="D6347" s="11"/>
    </row>
    <row r="6348">
      <c r="A6348" s="11"/>
      <c r="B6348" s="11"/>
      <c r="C6348" s="11"/>
      <c r="D6348" s="11"/>
    </row>
    <row r="6349">
      <c r="A6349" s="11"/>
      <c r="B6349" s="11"/>
      <c r="C6349" s="11"/>
      <c r="D6349" s="11"/>
    </row>
    <row r="6350">
      <c r="A6350" s="11"/>
      <c r="B6350" s="11"/>
      <c r="C6350" s="11"/>
      <c r="D6350" s="11"/>
    </row>
    <row r="6351">
      <c r="A6351" s="11"/>
      <c r="B6351" s="11"/>
      <c r="C6351" s="11"/>
      <c r="D6351" s="11"/>
    </row>
    <row r="6352">
      <c r="A6352" s="11"/>
      <c r="B6352" s="11"/>
      <c r="C6352" s="11"/>
      <c r="D6352" s="11"/>
    </row>
    <row r="6353">
      <c r="A6353" s="11"/>
      <c r="B6353" s="11"/>
      <c r="C6353" s="11"/>
      <c r="D6353" s="11"/>
    </row>
    <row r="6354">
      <c r="A6354" s="11"/>
      <c r="B6354" s="11"/>
      <c r="C6354" s="11"/>
      <c r="D6354" s="11"/>
    </row>
    <row r="6355">
      <c r="A6355" s="11"/>
      <c r="B6355" s="11"/>
      <c r="C6355" s="11"/>
      <c r="D6355" s="11"/>
    </row>
    <row r="6356">
      <c r="A6356" s="11"/>
      <c r="B6356" s="11"/>
      <c r="C6356" s="11"/>
      <c r="D6356" s="11"/>
    </row>
    <row r="6357">
      <c r="A6357" s="11"/>
      <c r="B6357" s="11"/>
      <c r="C6357" s="11"/>
      <c r="D6357" s="11"/>
    </row>
    <row r="6358">
      <c r="A6358" s="11"/>
      <c r="B6358" s="11"/>
      <c r="C6358" s="11"/>
      <c r="D6358" s="11"/>
    </row>
    <row r="6359">
      <c r="A6359" s="11"/>
      <c r="B6359" s="11"/>
      <c r="C6359" s="11"/>
      <c r="D6359" s="11"/>
    </row>
    <row r="6360">
      <c r="A6360" s="11"/>
      <c r="B6360" s="11"/>
      <c r="C6360" s="11"/>
      <c r="D6360" s="11"/>
    </row>
    <row r="6361">
      <c r="A6361" s="11"/>
      <c r="B6361" s="11"/>
      <c r="C6361" s="11"/>
      <c r="D6361" s="11"/>
    </row>
    <row r="6362">
      <c r="A6362" s="11"/>
      <c r="B6362" s="11"/>
      <c r="C6362" s="11"/>
      <c r="D6362" s="11"/>
    </row>
    <row r="6363">
      <c r="A6363" s="11"/>
      <c r="B6363" s="11"/>
      <c r="C6363" s="11"/>
      <c r="D6363" s="11"/>
    </row>
    <row r="6364">
      <c r="A6364" s="11"/>
      <c r="B6364" s="11"/>
      <c r="C6364" s="11"/>
      <c r="D6364" s="11"/>
    </row>
    <row r="6365">
      <c r="A6365" s="11"/>
      <c r="B6365" s="11"/>
      <c r="C6365" s="11"/>
      <c r="D6365" s="11"/>
    </row>
    <row r="6366">
      <c r="A6366" s="11"/>
      <c r="B6366" s="11"/>
      <c r="C6366" s="11"/>
      <c r="D6366" s="11"/>
    </row>
    <row r="6367">
      <c r="A6367" s="11"/>
      <c r="B6367" s="11"/>
      <c r="C6367" s="11"/>
      <c r="D6367" s="11"/>
    </row>
    <row r="6368">
      <c r="A6368" s="11"/>
      <c r="B6368" s="11"/>
      <c r="C6368" s="11"/>
      <c r="D6368" s="11"/>
    </row>
    <row r="6369">
      <c r="A6369" s="11"/>
      <c r="B6369" s="11"/>
      <c r="C6369" s="11"/>
      <c r="D6369" s="11"/>
    </row>
    <row r="6370">
      <c r="A6370" s="11"/>
      <c r="B6370" s="11"/>
      <c r="C6370" s="11"/>
      <c r="D6370" s="11"/>
    </row>
    <row r="6371">
      <c r="A6371" s="11"/>
      <c r="B6371" s="11"/>
      <c r="C6371" s="11"/>
      <c r="D6371" s="11"/>
    </row>
    <row r="6372">
      <c r="A6372" s="11"/>
      <c r="B6372" s="11"/>
      <c r="C6372" s="11"/>
      <c r="D6372" s="11"/>
    </row>
    <row r="6373">
      <c r="A6373" s="11"/>
      <c r="B6373" s="11"/>
      <c r="C6373" s="11"/>
      <c r="D6373" s="11"/>
    </row>
    <row r="6374">
      <c r="A6374" s="11"/>
      <c r="B6374" s="11"/>
      <c r="C6374" s="11"/>
      <c r="D6374" s="11"/>
    </row>
    <row r="6375">
      <c r="A6375" s="11"/>
      <c r="B6375" s="11"/>
      <c r="C6375" s="11"/>
      <c r="D6375" s="11"/>
    </row>
    <row r="6376">
      <c r="A6376" s="11"/>
      <c r="B6376" s="11"/>
      <c r="C6376" s="11"/>
      <c r="D6376" s="11"/>
    </row>
    <row r="6377">
      <c r="A6377" s="11"/>
      <c r="B6377" s="11"/>
      <c r="C6377" s="11"/>
      <c r="D6377" s="11"/>
    </row>
    <row r="6378">
      <c r="A6378" s="11"/>
      <c r="B6378" s="11"/>
      <c r="C6378" s="11"/>
      <c r="D6378" s="11"/>
    </row>
    <row r="6379">
      <c r="A6379" s="11"/>
      <c r="B6379" s="11"/>
      <c r="C6379" s="11"/>
      <c r="D6379" s="11"/>
    </row>
    <row r="6380">
      <c r="A6380" s="11"/>
      <c r="B6380" s="11"/>
      <c r="C6380" s="11"/>
      <c r="D6380" s="11"/>
    </row>
    <row r="6381">
      <c r="A6381" s="11"/>
      <c r="B6381" s="11"/>
      <c r="C6381" s="11"/>
      <c r="D6381" s="11"/>
    </row>
    <row r="6382">
      <c r="A6382" s="11"/>
      <c r="B6382" s="11"/>
      <c r="C6382" s="11"/>
      <c r="D6382" s="11"/>
    </row>
    <row r="6383">
      <c r="A6383" s="11"/>
      <c r="B6383" s="11"/>
      <c r="C6383" s="11"/>
      <c r="D6383" s="11"/>
    </row>
    <row r="6384">
      <c r="A6384" s="11"/>
      <c r="B6384" s="11"/>
      <c r="C6384" s="11"/>
      <c r="D6384" s="11"/>
    </row>
    <row r="6385">
      <c r="A6385" s="11"/>
      <c r="B6385" s="11"/>
      <c r="C6385" s="11"/>
      <c r="D6385" s="11"/>
    </row>
    <row r="6386">
      <c r="A6386" s="11"/>
      <c r="B6386" s="11"/>
      <c r="C6386" s="11"/>
      <c r="D6386" s="11"/>
    </row>
    <row r="6387">
      <c r="A6387" s="11"/>
      <c r="B6387" s="11"/>
      <c r="C6387" s="11"/>
      <c r="D6387" s="11"/>
    </row>
    <row r="6388">
      <c r="A6388" s="11"/>
      <c r="B6388" s="11"/>
      <c r="C6388" s="11"/>
      <c r="D6388" s="11"/>
    </row>
    <row r="6389">
      <c r="A6389" s="11"/>
      <c r="B6389" s="11"/>
      <c r="C6389" s="11"/>
      <c r="D6389" s="11"/>
    </row>
    <row r="6390">
      <c r="A6390" s="11"/>
      <c r="B6390" s="11"/>
      <c r="C6390" s="11"/>
      <c r="D6390" s="11"/>
    </row>
    <row r="6391">
      <c r="A6391" s="11"/>
      <c r="B6391" s="11"/>
      <c r="C6391" s="11"/>
      <c r="D6391" s="11"/>
    </row>
    <row r="6392">
      <c r="A6392" s="11"/>
      <c r="B6392" s="11"/>
      <c r="C6392" s="11"/>
      <c r="D6392" s="11"/>
    </row>
    <row r="6393">
      <c r="A6393" s="11"/>
      <c r="B6393" s="11"/>
      <c r="C6393" s="11"/>
      <c r="D6393" s="11"/>
    </row>
    <row r="6394">
      <c r="A6394" s="11"/>
      <c r="B6394" s="11"/>
      <c r="C6394" s="11"/>
      <c r="D6394" s="11"/>
    </row>
    <row r="6395">
      <c r="A6395" s="11"/>
      <c r="B6395" s="11"/>
      <c r="C6395" s="11"/>
      <c r="D6395" s="11"/>
    </row>
    <row r="6396">
      <c r="A6396" s="11"/>
      <c r="B6396" s="11"/>
      <c r="C6396" s="11"/>
      <c r="D6396" s="11"/>
    </row>
    <row r="6397">
      <c r="A6397" s="11"/>
      <c r="B6397" s="11"/>
      <c r="C6397" s="11"/>
      <c r="D6397" s="11"/>
    </row>
    <row r="6398">
      <c r="A6398" s="11"/>
      <c r="B6398" s="11"/>
      <c r="C6398" s="11"/>
      <c r="D6398" s="11"/>
    </row>
    <row r="6399">
      <c r="A6399" s="11"/>
      <c r="B6399" s="11"/>
      <c r="C6399" s="11"/>
      <c r="D6399" s="11"/>
    </row>
    <row r="6400">
      <c r="A6400" s="11"/>
      <c r="B6400" s="11"/>
      <c r="C6400" s="11"/>
      <c r="D6400" s="11"/>
    </row>
    <row r="6401">
      <c r="A6401" s="11"/>
      <c r="B6401" s="11"/>
      <c r="C6401" s="11"/>
      <c r="D6401" s="11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75"/>
    <col customWidth="1" min="2" max="2" width="17.13"/>
    <col customWidth="1" min="3" max="3" width="21.13"/>
    <col customWidth="1" min="4" max="4" width="22.38"/>
    <col customWidth="1" min="5" max="5" width="36.13"/>
    <col customWidth="1" min="6" max="6" width="11.13"/>
    <col customWidth="1" min="7" max="7" width="26.5"/>
    <col customWidth="1" min="8" max="8" width="14.5"/>
    <col customWidth="1" min="10" max="10" width="27.25"/>
  </cols>
  <sheetData>
    <row r="1">
      <c r="A1" s="13" t="s">
        <v>0</v>
      </c>
      <c r="B1" s="14" t="s">
        <v>1</v>
      </c>
      <c r="C1" s="14" t="s">
        <v>2</v>
      </c>
      <c r="D1" s="14" t="s">
        <v>3</v>
      </c>
      <c r="E1" s="14" t="s">
        <v>647</v>
      </c>
      <c r="F1" s="15" t="s">
        <v>648</v>
      </c>
      <c r="G1" s="15" t="s">
        <v>649</v>
      </c>
      <c r="H1" s="15" t="s">
        <v>650</v>
      </c>
      <c r="I1" s="16" t="s">
        <v>651</v>
      </c>
      <c r="J1" s="17" t="s">
        <v>652</v>
      </c>
      <c r="K1" s="18" t="s">
        <v>653</v>
      </c>
      <c r="L1" s="14" t="s">
        <v>654</v>
      </c>
    </row>
    <row r="2">
      <c r="A2" s="19">
        <v>112463.0</v>
      </c>
      <c r="B2" s="20" t="str">
        <f t="array" ref="B2">xlookup($A2,product!$A:$A,product!B:B)</f>
        <v>Maison</v>
      </c>
      <c r="C2" s="20" t="str">
        <f t="array" ref="C2">xlookup($A2,product!$A:$A,product!C:C)</f>
        <v>Mode</v>
      </c>
      <c r="D2" s="20" t="str">
        <f t="array" ref="D2">xlookup($A2,product!$A:$A,product!D:D)</f>
        <v>Bagagerie</v>
      </c>
      <c r="E2" s="4" t="str">
        <f t="shared" ref="E2:E5901" si="1">A2&amp;"-"&amp;C2&amp;"-"&amp;D2</f>
        <v>112463-Mode-Bagagerie</v>
      </c>
      <c r="F2" s="4">
        <v>0.0</v>
      </c>
      <c r="G2" s="4">
        <v>326.0</v>
      </c>
      <c r="H2" s="4">
        <v>326.0</v>
      </c>
      <c r="I2" s="21">
        <f t="array" ref="I2">XLOOKUP($A2,product!A:A,product!E:E)</f>
        <v>4.22</v>
      </c>
      <c r="J2" s="4">
        <f t="shared" ref="J2:J5901" si="2">I2*H2</f>
        <v>1375.72</v>
      </c>
      <c r="K2" s="22">
        <f t="shared" ref="K2:K5901" si="3">if(J2&lt;=0,0,1)</f>
        <v>1</v>
      </c>
      <c r="L2" s="4">
        <f t="shared" ref="L2:L5901" si="4">1</f>
        <v>1</v>
      </c>
    </row>
    <row r="3">
      <c r="A3" s="23">
        <v>112481.0</v>
      </c>
      <c r="B3" s="24" t="str">
        <f t="array" ref="B3">xlookup($A3,product!$A:$A,product!B:B)</f>
        <v>Maison</v>
      </c>
      <c r="C3" s="24" t="str">
        <f t="array" ref="C3">xlookup($A3,product!$A:$A,product!C:C)</f>
        <v>Mode</v>
      </c>
      <c r="D3" s="24" t="str">
        <f t="array" ref="D3">xlookup($A3,product!$A:$A,product!D:D)</f>
        <v>Bagagerie</v>
      </c>
      <c r="E3" s="25" t="str">
        <f t="shared" si="1"/>
        <v>112481-Mode-Bagagerie</v>
      </c>
      <c r="F3" s="25">
        <v>0.0</v>
      </c>
      <c r="G3" s="25">
        <v>0.0</v>
      </c>
      <c r="H3" s="25">
        <v>0.0</v>
      </c>
      <c r="I3" s="26">
        <f t="array" ref="I3">XLOOKUP($A3,product!A:A,product!E:E)</f>
        <v>5.99</v>
      </c>
      <c r="J3" s="25">
        <f t="shared" si="2"/>
        <v>0</v>
      </c>
      <c r="K3" s="27">
        <f t="shared" si="3"/>
        <v>0</v>
      </c>
      <c r="L3" s="25">
        <f t="shared" si="4"/>
        <v>1</v>
      </c>
    </row>
    <row r="4">
      <c r="A4" s="19">
        <v>13346.0</v>
      </c>
      <c r="B4" s="20" t="str">
        <f t="array" ref="B4">xlookup($A4,product!$A:$A,product!B:B)</f>
        <v>Maison</v>
      </c>
      <c r="C4" s="20" t="str">
        <f t="array" ref="C4">xlookup($A4,product!$A:$A,product!C:C)</f>
        <v>Mode</v>
      </c>
      <c r="D4" s="20" t="str">
        <f t="array" ref="D4">xlookup($A4,product!$A:$A,product!D:D)</f>
        <v>Bagagerie</v>
      </c>
      <c r="E4" s="4" t="str">
        <f t="shared" si="1"/>
        <v>13346-Mode-Bagagerie</v>
      </c>
      <c r="F4" s="4">
        <v>1.0</v>
      </c>
      <c r="G4" s="4">
        <v>100.0</v>
      </c>
      <c r="H4" s="4">
        <v>100.0</v>
      </c>
      <c r="I4" s="21">
        <f t="array" ref="I4">XLOOKUP($A4,product!A:A,product!E:E)</f>
        <v>2.39</v>
      </c>
      <c r="J4" s="4">
        <f t="shared" si="2"/>
        <v>239</v>
      </c>
      <c r="K4" s="22">
        <f t="shared" si="3"/>
        <v>1</v>
      </c>
      <c r="L4" s="4">
        <f t="shared" si="4"/>
        <v>1</v>
      </c>
    </row>
    <row r="5">
      <c r="A5" s="23">
        <v>112454.0</v>
      </c>
      <c r="B5" s="24" t="str">
        <f t="array" ref="B5">xlookup($A5,product!$A:$A,product!B:B)</f>
        <v>Maison</v>
      </c>
      <c r="C5" s="24" t="str">
        <f t="array" ref="C5">xlookup($A5,product!$A:$A,product!C:C)</f>
        <v>Mode</v>
      </c>
      <c r="D5" s="24" t="str">
        <f t="array" ref="D5">xlookup($A5,product!$A:$A,product!D:D)</f>
        <v>Bagagerie</v>
      </c>
      <c r="E5" s="25" t="str">
        <f t="shared" si="1"/>
        <v>112454-Mode-Bagagerie</v>
      </c>
      <c r="F5" s="25">
        <v>0.0</v>
      </c>
      <c r="G5" s="25">
        <v>278.0</v>
      </c>
      <c r="H5" s="25">
        <v>269.0</v>
      </c>
      <c r="I5" s="26">
        <f t="array" ref="I5">XLOOKUP($A5,product!A:A,product!E:E)</f>
        <v>1.11</v>
      </c>
      <c r="J5" s="25">
        <f t="shared" si="2"/>
        <v>298.59</v>
      </c>
      <c r="K5" s="27">
        <f t="shared" si="3"/>
        <v>1</v>
      </c>
      <c r="L5" s="25">
        <f t="shared" si="4"/>
        <v>1</v>
      </c>
    </row>
    <row r="6">
      <c r="A6" s="19">
        <v>112461.0</v>
      </c>
      <c r="B6" s="20" t="str">
        <f t="array" ref="B6">xlookup($A6,product!$A:$A,product!B:B)</f>
        <v>Maison</v>
      </c>
      <c r="C6" s="20" t="str">
        <f t="array" ref="C6">xlookup($A6,product!$A:$A,product!C:C)</f>
        <v>Mode</v>
      </c>
      <c r="D6" s="20" t="str">
        <f t="array" ref="D6">xlookup($A6,product!$A:$A,product!D:D)</f>
        <v>Bagagerie</v>
      </c>
      <c r="E6" s="4" t="str">
        <f t="shared" si="1"/>
        <v>112461-Mode-Bagagerie</v>
      </c>
      <c r="F6" s="4">
        <v>0.0</v>
      </c>
      <c r="G6" s="4">
        <v>980.0</v>
      </c>
      <c r="H6" s="4">
        <v>476.0</v>
      </c>
      <c r="I6" s="21">
        <f t="array" ref="I6">XLOOKUP($A6,product!A:A,product!E:E)</f>
        <v>1.17</v>
      </c>
      <c r="J6" s="4">
        <f t="shared" si="2"/>
        <v>556.92</v>
      </c>
      <c r="K6" s="22">
        <f t="shared" si="3"/>
        <v>1</v>
      </c>
      <c r="L6" s="4">
        <f t="shared" si="4"/>
        <v>1</v>
      </c>
    </row>
    <row r="7">
      <c r="A7" s="23">
        <v>106532.0</v>
      </c>
      <c r="B7" s="24" t="str">
        <f t="array" ref="B7">xlookup($A7,product!$A:$A,product!B:B)</f>
        <v>Maison</v>
      </c>
      <c r="C7" s="24" t="str">
        <f t="array" ref="C7">xlookup($A7,product!$A:$A,product!C:C)</f>
        <v>Mode</v>
      </c>
      <c r="D7" s="24" t="str">
        <f t="array" ref="D7">xlookup($A7,product!$A:$A,product!D:D)</f>
        <v>Mode Bébé 0-36 mois</v>
      </c>
      <c r="E7" s="25" t="str">
        <f t="shared" si="1"/>
        <v>106532-Mode-Mode Bébé 0-36 mois</v>
      </c>
      <c r="F7" s="25">
        <v>0.0</v>
      </c>
      <c r="G7" s="25">
        <v>44.0</v>
      </c>
      <c r="H7" s="25">
        <v>44.0</v>
      </c>
      <c r="I7" s="26">
        <f t="array" ref="I7">XLOOKUP($A7,product!A:A,product!E:E)</f>
        <v>8.75</v>
      </c>
      <c r="J7" s="25">
        <f t="shared" si="2"/>
        <v>385</v>
      </c>
      <c r="K7" s="27">
        <f t="shared" si="3"/>
        <v>1</v>
      </c>
      <c r="L7" s="25">
        <f t="shared" si="4"/>
        <v>1</v>
      </c>
    </row>
    <row r="8">
      <c r="A8" s="19">
        <v>121135.0</v>
      </c>
      <c r="B8" s="20" t="str">
        <f t="array" ref="B8">xlookup($A8,product!$A:$A,product!B:B)</f>
        <v>Maison</v>
      </c>
      <c r="C8" s="20" t="str">
        <f t="array" ref="C8">xlookup($A8,product!$A:$A,product!C:C)</f>
        <v>Mode</v>
      </c>
      <c r="D8" s="20" t="str">
        <f t="array" ref="D8">xlookup($A8,product!$A:$A,product!D:D)</f>
        <v>Mode Bébé 0-36 mois</v>
      </c>
      <c r="E8" s="4" t="str">
        <f t="shared" si="1"/>
        <v>121135-Mode-Mode Bébé 0-36 mois</v>
      </c>
      <c r="F8" s="4">
        <v>1.0</v>
      </c>
      <c r="G8" s="4">
        <v>48.0</v>
      </c>
      <c r="H8" s="4">
        <v>40.0</v>
      </c>
      <c r="I8" s="21">
        <f t="array" ref="I8">XLOOKUP($A8,product!A:A,product!E:E)</f>
        <v>8.75</v>
      </c>
      <c r="J8" s="4">
        <f t="shared" si="2"/>
        <v>350</v>
      </c>
      <c r="K8" s="22">
        <f t="shared" si="3"/>
        <v>1</v>
      </c>
      <c r="L8" s="4">
        <f t="shared" si="4"/>
        <v>1</v>
      </c>
    </row>
    <row r="9">
      <c r="A9" s="23">
        <v>128362.0</v>
      </c>
      <c r="B9" s="24" t="str">
        <f t="array" ref="B9">xlookup($A9,product!$A:$A,product!B:B)</f>
        <v>Boisson</v>
      </c>
      <c r="C9" s="24" t="str">
        <f t="array" ref="C9">xlookup($A9,product!$A:$A,product!C:C)</f>
        <v>Soda</v>
      </c>
      <c r="D9" s="24" t="str">
        <f t="array" ref="D9">xlookup($A9,product!$A:$A,product!D:D)</f>
        <v>Cola bio</v>
      </c>
      <c r="E9" s="25" t="str">
        <f t="shared" si="1"/>
        <v>128362-Soda-Cola bio</v>
      </c>
      <c r="F9" s="25">
        <v>1.0</v>
      </c>
      <c r="G9" s="25">
        <v>258.0</v>
      </c>
      <c r="H9" s="25">
        <v>100.0</v>
      </c>
      <c r="I9" s="26">
        <f t="array" ref="I9">XLOOKUP($A9,product!A:A,product!E:E)</f>
        <v>4.74</v>
      </c>
      <c r="J9" s="25">
        <f t="shared" si="2"/>
        <v>474</v>
      </c>
      <c r="K9" s="27">
        <f t="shared" si="3"/>
        <v>1</v>
      </c>
      <c r="L9" s="25">
        <f t="shared" si="4"/>
        <v>1</v>
      </c>
    </row>
    <row r="10">
      <c r="A10" s="19">
        <v>71200.0</v>
      </c>
      <c r="B10" s="20" t="str">
        <f t="array" ref="B10">xlookup($A10,product!$A:$A,product!B:B)</f>
        <v>Boisson</v>
      </c>
      <c r="C10" s="20" t="str">
        <f t="array" ref="C10">xlookup($A10,product!$A:$A,product!C:C)</f>
        <v>Soda</v>
      </c>
      <c r="D10" s="20" t="str">
        <f t="array" ref="D10">xlookup($A10,product!$A:$A,product!D:D)</f>
        <v>Limonade bio</v>
      </c>
      <c r="E10" s="4" t="str">
        <f t="shared" si="1"/>
        <v>71200-Soda-Limonade bio</v>
      </c>
      <c r="F10" s="4">
        <v>0.0</v>
      </c>
      <c r="G10" s="4">
        <v>165.0</v>
      </c>
      <c r="H10" s="4">
        <v>153.0</v>
      </c>
      <c r="I10" s="21">
        <f t="array" ref="I10">XLOOKUP($A10,product!A:A,product!E:E)</f>
        <v>1.92</v>
      </c>
      <c r="J10" s="4">
        <f t="shared" si="2"/>
        <v>293.76</v>
      </c>
      <c r="K10" s="22">
        <f t="shared" si="3"/>
        <v>1</v>
      </c>
      <c r="L10" s="4">
        <f t="shared" si="4"/>
        <v>1</v>
      </c>
    </row>
    <row r="11">
      <c r="A11" s="23">
        <v>19812.0</v>
      </c>
      <c r="B11" s="24" t="str">
        <f t="array" ref="B11">xlookup($A11,product!$A:$A,product!B:B)</f>
        <v>Boisson</v>
      </c>
      <c r="C11" s="24" t="str">
        <f t="array" ref="C11">xlookup($A11,product!$A:$A,product!C:C)</f>
        <v>Soda</v>
      </c>
      <c r="D11" s="24" t="str">
        <f t="array" ref="D11">xlookup($A11,product!$A:$A,product!D:D)</f>
        <v>Limonade bio</v>
      </c>
      <c r="E11" s="25" t="str">
        <f t="shared" si="1"/>
        <v>19812-Soda-Limonade bio</v>
      </c>
      <c r="F11" s="25">
        <v>0.0</v>
      </c>
      <c r="G11" s="25">
        <v>507.0</v>
      </c>
      <c r="H11" s="25">
        <v>407.0</v>
      </c>
      <c r="I11" s="26">
        <f t="array" ref="I11">XLOOKUP($A11,product!A:A,product!E:E)</f>
        <v>1.92</v>
      </c>
      <c r="J11" s="25">
        <f t="shared" si="2"/>
        <v>781.44</v>
      </c>
      <c r="K11" s="27">
        <f t="shared" si="3"/>
        <v>1</v>
      </c>
      <c r="L11" s="25">
        <f t="shared" si="4"/>
        <v>1</v>
      </c>
    </row>
    <row r="12">
      <c r="A12" s="19">
        <v>122259.0</v>
      </c>
      <c r="B12" s="20" t="str">
        <f t="array" ref="B12">xlookup($A12,product!$A:$A,product!B:B)</f>
        <v>Boisson</v>
      </c>
      <c r="C12" s="20" t="str">
        <f t="array" ref="C12">xlookup($A12,product!$A:$A,product!C:C)</f>
        <v>Soda</v>
      </c>
      <c r="D12" s="20" t="str">
        <f t="array" ref="D12">xlookup($A12,product!$A:$A,product!D:D)</f>
        <v>Boisson gazeuse</v>
      </c>
      <c r="E12" s="4" t="str">
        <f t="shared" si="1"/>
        <v>122259-Soda-Boisson gazeuse</v>
      </c>
      <c r="F12" s="4">
        <v>1.0</v>
      </c>
      <c r="G12" s="4">
        <v>100.0</v>
      </c>
      <c r="H12" s="4">
        <v>100.0</v>
      </c>
      <c r="I12" s="21">
        <f t="array" ref="I12">XLOOKUP($A12,product!A:A,product!E:E)</f>
        <v>2.79</v>
      </c>
      <c r="J12" s="4">
        <f t="shared" si="2"/>
        <v>279</v>
      </c>
      <c r="K12" s="22">
        <f t="shared" si="3"/>
        <v>1</v>
      </c>
      <c r="L12" s="4">
        <f t="shared" si="4"/>
        <v>1</v>
      </c>
    </row>
    <row r="13">
      <c r="A13" s="23">
        <v>199526.0</v>
      </c>
      <c r="B13" s="24" t="str">
        <f t="array" ref="B13">xlookup($A13,product!$A:$A,product!B:B)</f>
        <v>Boisson</v>
      </c>
      <c r="C13" s="24" t="str">
        <f t="array" ref="C13">xlookup($A13,product!$A:$A,product!C:C)</f>
        <v>Soda</v>
      </c>
      <c r="D13" s="24" t="str">
        <f t="array" ref="D13">xlookup($A13,product!$A:$A,product!D:D)</f>
        <v>Boisson gazeuse</v>
      </c>
      <c r="E13" s="25" t="str">
        <f t="shared" si="1"/>
        <v>199526-Soda-Boisson gazeuse</v>
      </c>
      <c r="F13" s="25">
        <v>0.0</v>
      </c>
      <c r="G13" s="25">
        <v>69.0</v>
      </c>
      <c r="H13" s="25">
        <v>66.0</v>
      </c>
      <c r="I13" s="26">
        <f t="array" ref="I13">XLOOKUP($A13,product!A:A,product!E:E)</f>
        <v>1.59</v>
      </c>
      <c r="J13" s="25">
        <f t="shared" si="2"/>
        <v>104.94</v>
      </c>
      <c r="K13" s="27">
        <f t="shared" si="3"/>
        <v>1</v>
      </c>
      <c r="L13" s="25">
        <f t="shared" si="4"/>
        <v>1</v>
      </c>
    </row>
    <row r="14">
      <c r="A14" s="19">
        <v>140581.0</v>
      </c>
      <c r="B14" s="20" t="str">
        <f t="array" ref="B14">xlookup($A14,product!$A:$A,product!B:B)</f>
        <v>Boisson</v>
      </c>
      <c r="C14" s="20" t="str">
        <f t="array" ref="C14">xlookup($A14,product!$A:$A,product!C:C)</f>
        <v>Soda</v>
      </c>
      <c r="D14" s="20" t="str">
        <f t="array" ref="D14">xlookup($A14,product!$A:$A,product!D:D)</f>
        <v>Boisson gazeuse</v>
      </c>
      <c r="E14" s="4" t="str">
        <f t="shared" si="1"/>
        <v>140581-Soda-Boisson gazeuse</v>
      </c>
      <c r="F14" s="4">
        <v>0.0</v>
      </c>
      <c r="G14" s="4">
        <v>21.0</v>
      </c>
      <c r="H14" s="4">
        <v>13.0</v>
      </c>
      <c r="I14" s="21">
        <f t="array" ref="I14">XLOOKUP($A14,product!A:A,product!E:E)</f>
        <v>3.91</v>
      </c>
      <c r="J14" s="4">
        <f t="shared" si="2"/>
        <v>50.83</v>
      </c>
      <c r="K14" s="22">
        <f t="shared" si="3"/>
        <v>1</v>
      </c>
      <c r="L14" s="4">
        <f t="shared" si="4"/>
        <v>1</v>
      </c>
    </row>
    <row r="15">
      <c r="A15" s="23">
        <v>118383.0</v>
      </c>
      <c r="B15" s="24" t="str">
        <f t="array" ref="B15">xlookup($A15,product!$A:$A,product!B:B)</f>
        <v>Boisson</v>
      </c>
      <c r="C15" s="24" t="str">
        <f t="array" ref="C15">xlookup($A15,product!$A:$A,product!C:C)</f>
        <v>Soda</v>
      </c>
      <c r="D15" s="24" t="str">
        <f t="array" ref="D15">xlookup($A15,product!$A:$A,product!D:D)</f>
        <v>Boisson gazeuse</v>
      </c>
      <c r="E15" s="25" t="str">
        <f t="shared" si="1"/>
        <v>118383-Soda-Boisson gazeuse</v>
      </c>
      <c r="F15" s="25">
        <v>0.0</v>
      </c>
      <c r="G15" s="25">
        <v>245.0</v>
      </c>
      <c r="H15" s="25">
        <v>245.0</v>
      </c>
      <c r="I15" s="26">
        <f t="array" ref="I15">XLOOKUP($A15,product!A:A,product!E:E)</f>
        <v>1.27</v>
      </c>
      <c r="J15" s="25">
        <f t="shared" si="2"/>
        <v>311.15</v>
      </c>
      <c r="K15" s="27">
        <f t="shared" si="3"/>
        <v>1</v>
      </c>
      <c r="L15" s="25">
        <f t="shared" si="4"/>
        <v>1</v>
      </c>
    </row>
    <row r="16">
      <c r="A16" s="19">
        <v>122262.0</v>
      </c>
      <c r="B16" s="20" t="str">
        <f t="array" ref="B16">xlookup($A16,product!$A:$A,product!B:B)</f>
        <v>Boisson</v>
      </c>
      <c r="C16" s="20" t="str">
        <f t="array" ref="C16">xlookup($A16,product!$A:$A,product!C:C)</f>
        <v>Soda</v>
      </c>
      <c r="D16" s="20" t="str">
        <f t="array" ref="D16">xlookup($A16,product!$A:$A,product!D:D)</f>
        <v>Boisson gazeuse</v>
      </c>
      <c r="E16" s="4" t="str">
        <f t="shared" si="1"/>
        <v>122262-Soda-Boisson gazeuse</v>
      </c>
      <c r="F16" s="4">
        <v>0.0</v>
      </c>
      <c r="G16" s="4">
        <v>309.0</v>
      </c>
      <c r="H16" s="4">
        <v>309.0</v>
      </c>
      <c r="I16" s="21">
        <f t="array" ref="I16">XLOOKUP($A16,product!A:A,product!E:E)</f>
        <v>2.79</v>
      </c>
      <c r="J16" s="4">
        <f t="shared" si="2"/>
        <v>862.11</v>
      </c>
      <c r="K16" s="22">
        <f t="shared" si="3"/>
        <v>1</v>
      </c>
      <c r="L16" s="4">
        <f t="shared" si="4"/>
        <v>1</v>
      </c>
    </row>
    <row r="17">
      <c r="A17" s="23">
        <v>141879.0</v>
      </c>
      <c r="B17" s="24" t="str">
        <f t="array" ref="B17">xlookup($A17,product!$A:$A,product!B:B)</f>
        <v>Boisson</v>
      </c>
      <c r="C17" s="24" t="str">
        <f t="array" ref="C17">xlookup($A17,product!$A:$A,product!C:C)</f>
        <v>Soda</v>
      </c>
      <c r="D17" s="24" t="str">
        <f t="array" ref="D17">xlookup($A17,product!$A:$A,product!D:D)</f>
        <v>Boisson gazeuse</v>
      </c>
      <c r="E17" s="25" t="str">
        <f t="shared" si="1"/>
        <v>141879-Soda-Boisson gazeuse</v>
      </c>
      <c r="F17" s="25">
        <v>0.0</v>
      </c>
      <c r="G17" s="25">
        <v>20.0</v>
      </c>
      <c r="H17" s="25">
        <v>20.0</v>
      </c>
      <c r="I17" s="26">
        <f t="array" ref="I17">XLOOKUP($A17,product!A:A,product!E:E)</f>
        <v>2.18</v>
      </c>
      <c r="J17" s="25">
        <f t="shared" si="2"/>
        <v>43.6</v>
      </c>
      <c r="K17" s="27">
        <f t="shared" si="3"/>
        <v>1</v>
      </c>
      <c r="L17" s="25">
        <f t="shared" si="4"/>
        <v>1</v>
      </c>
    </row>
    <row r="18">
      <c r="A18" s="19">
        <v>19826.0</v>
      </c>
      <c r="B18" s="20" t="str">
        <f t="array" ref="B18">xlookup($A18,product!$A:$A,product!B:B)</f>
        <v>Boisson</v>
      </c>
      <c r="C18" s="20" t="str">
        <f t="array" ref="C18">xlookup($A18,product!$A:$A,product!C:C)</f>
        <v>Café</v>
      </c>
      <c r="D18" s="20" t="str">
        <f t="array" ref="D18">xlookup($A18,product!$A:$A,product!D:D)</f>
        <v>Café moulu</v>
      </c>
      <c r="E18" s="4" t="str">
        <f t="shared" si="1"/>
        <v>19826-Café-Café moulu</v>
      </c>
      <c r="F18" s="4">
        <v>0.0</v>
      </c>
      <c r="G18" s="4">
        <v>197.0</v>
      </c>
      <c r="H18" s="4">
        <v>97.0</v>
      </c>
      <c r="I18" s="21">
        <f t="array" ref="I18">XLOOKUP($A18,product!A:A,product!E:E)</f>
        <v>2.69</v>
      </c>
      <c r="J18" s="4">
        <f t="shared" si="2"/>
        <v>260.93</v>
      </c>
      <c r="K18" s="22">
        <f t="shared" si="3"/>
        <v>1</v>
      </c>
      <c r="L18" s="4">
        <f t="shared" si="4"/>
        <v>1</v>
      </c>
    </row>
    <row r="19">
      <c r="A19" s="23">
        <v>93039.0</v>
      </c>
      <c r="B19" s="24" t="str">
        <f t="array" ref="B19">xlookup($A19,product!$A:$A,product!B:B)</f>
        <v>Boisson</v>
      </c>
      <c r="C19" s="24" t="str">
        <f t="array" ref="C19">xlookup($A19,product!$A:$A,product!C:C)</f>
        <v>Café</v>
      </c>
      <c r="D19" s="24" t="str">
        <f t="array" ref="D19">xlookup($A19,product!$A:$A,product!D:D)</f>
        <v>Café moulu</v>
      </c>
      <c r="E19" s="25" t="str">
        <f t="shared" si="1"/>
        <v>93039-Café-Café moulu</v>
      </c>
      <c r="F19" s="25">
        <v>0.0</v>
      </c>
      <c r="G19" s="25">
        <v>53.0</v>
      </c>
      <c r="H19" s="25">
        <v>53.0</v>
      </c>
      <c r="I19" s="26">
        <f t="array" ref="I19">XLOOKUP($A19,product!A:A,product!E:E)</f>
        <v>3.02</v>
      </c>
      <c r="J19" s="25">
        <f t="shared" si="2"/>
        <v>160.06</v>
      </c>
      <c r="K19" s="27">
        <f t="shared" si="3"/>
        <v>1</v>
      </c>
      <c r="L19" s="25">
        <f t="shared" si="4"/>
        <v>1</v>
      </c>
    </row>
    <row r="20">
      <c r="A20" s="19">
        <v>128213.0</v>
      </c>
      <c r="B20" s="20" t="str">
        <f t="array" ref="B20">xlookup($A20,product!$A:$A,product!B:B)</f>
        <v>Boisson</v>
      </c>
      <c r="C20" s="20" t="str">
        <f t="array" ref="C20">xlookup($A20,product!$A:$A,product!C:C)</f>
        <v>Café</v>
      </c>
      <c r="D20" s="20" t="str">
        <f t="array" ref="D20">xlookup($A20,product!$A:$A,product!D:D)</f>
        <v>Café moulu</v>
      </c>
      <c r="E20" s="4" t="str">
        <f t="shared" si="1"/>
        <v>128213-Café-Café moulu</v>
      </c>
      <c r="F20" s="4">
        <v>0.0</v>
      </c>
      <c r="G20" s="4">
        <v>300.0</v>
      </c>
      <c r="H20" s="4">
        <v>153.0</v>
      </c>
      <c r="I20" s="21">
        <f t="array" ref="I20">XLOOKUP($A20,product!A:A,product!E:E)</f>
        <v>4.51</v>
      </c>
      <c r="J20" s="4">
        <f t="shared" si="2"/>
        <v>690.03</v>
      </c>
      <c r="K20" s="22">
        <f t="shared" si="3"/>
        <v>1</v>
      </c>
      <c r="L20" s="4">
        <f t="shared" si="4"/>
        <v>1</v>
      </c>
    </row>
    <row r="21">
      <c r="A21" s="23">
        <v>83797.0</v>
      </c>
      <c r="B21" s="24" t="str">
        <f t="array" ref="B21">xlookup($A21,product!$A:$A,product!B:B)</f>
        <v>Boisson</v>
      </c>
      <c r="C21" s="24" t="str">
        <f t="array" ref="C21">xlookup($A21,product!$A:$A,product!C:C)</f>
        <v>Café</v>
      </c>
      <c r="D21" s="24" t="str">
        <f t="array" ref="D21">xlookup($A21,product!$A:$A,product!D:D)</f>
        <v>Café moulu</v>
      </c>
      <c r="E21" s="25" t="str">
        <f t="shared" si="1"/>
        <v>83797-Café-Café moulu</v>
      </c>
      <c r="F21" s="25">
        <v>0.0</v>
      </c>
      <c r="G21" s="25">
        <v>59.0</v>
      </c>
      <c r="H21" s="25">
        <v>59.0</v>
      </c>
      <c r="I21" s="26">
        <f t="array" ref="I21">XLOOKUP($A21,product!A:A,product!E:E)</f>
        <v>5.92</v>
      </c>
      <c r="J21" s="25">
        <f t="shared" si="2"/>
        <v>349.28</v>
      </c>
      <c r="K21" s="27">
        <f t="shared" si="3"/>
        <v>1</v>
      </c>
      <c r="L21" s="25">
        <f t="shared" si="4"/>
        <v>1</v>
      </c>
    </row>
    <row r="22">
      <c r="A22" s="19">
        <v>19831.0</v>
      </c>
      <c r="B22" s="20" t="str">
        <f t="array" ref="B22">xlookup($A22,product!$A:$A,product!B:B)</f>
        <v>Boisson</v>
      </c>
      <c r="C22" s="20" t="str">
        <f t="array" ref="C22">xlookup($A22,product!$A:$A,product!C:C)</f>
        <v>Café</v>
      </c>
      <c r="D22" s="20" t="str">
        <f t="array" ref="D22">xlookup($A22,product!$A:$A,product!D:D)</f>
        <v>Café moulu</v>
      </c>
      <c r="E22" s="4" t="str">
        <f t="shared" si="1"/>
        <v>19831-Café-Café moulu</v>
      </c>
      <c r="F22" s="4">
        <v>0.0</v>
      </c>
      <c r="G22" s="4">
        <v>198.0</v>
      </c>
      <c r="H22" s="4">
        <v>143.0</v>
      </c>
      <c r="I22" s="21">
        <f t="array" ref="I22">XLOOKUP($A22,product!A:A,product!E:E)</f>
        <v>3.75</v>
      </c>
      <c r="J22" s="4">
        <f t="shared" si="2"/>
        <v>536.25</v>
      </c>
      <c r="K22" s="22">
        <f t="shared" si="3"/>
        <v>1</v>
      </c>
      <c r="L22" s="4">
        <f t="shared" si="4"/>
        <v>1</v>
      </c>
    </row>
    <row r="23">
      <c r="A23" s="23">
        <v>93025.0</v>
      </c>
      <c r="B23" s="24" t="str">
        <f t="array" ref="B23">xlookup($A23,product!$A:$A,product!B:B)</f>
        <v>Boisson</v>
      </c>
      <c r="C23" s="24" t="str">
        <f t="array" ref="C23">xlookup($A23,product!$A:$A,product!C:C)</f>
        <v>Café</v>
      </c>
      <c r="D23" s="24" t="str">
        <f t="array" ref="D23">xlookup($A23,product!$A:$A,product!D:D)</f>
        <v>Café moulu</v>
      </c>
      <c r="E23" s="25" t="str">
        <f t="shared" si="1"/>
        <v>93025-Café-Café moulu</v>
      </c>
      <c r="F23" s="25">
        <v>0.0</v>
      </c>
      <c r="G23" s="25">
        <v>325.0</v>
      </c>
      <c r="H23" s="25">
        <v>325.0</v>
      </c>
      <c r="I23" s="26">
        <f t="array" ref="I23">XLOOKUP($A23,product!A:A,product!E:E)</f>
        <v>2.3</v>
      </c>
      <c r="J23" s="25">
        <f t="shared" si="2"/>
        <v>747.5</v>
      </c>
      <c r="K23" s="27">
        <f t="shared" si="3"/>
        <v>1</v>
      </c>
      <c r="L23" s="25">
        <f t="shared" si="4"/>
        <v>1</v>
      </c>
    </row>
    <row r="24">
      <c r="A24" s="19">
        <v>81624.0</v>
      </c>
      <c r="B24" s="20" t="str">
        <f t="array" ref="B24">xlookup($A24,product!$A:$A,product!B:B)</f>
        <v>Boisson</v>
      </c>
      <c r="C24" s="20" t="str">
        <f t="array" ref="C24">xlookup($A24,product!$A:$A,product!C:C)</f>
        <v>Café</v>
      </c>
      <c r="D24" s="20" t="str">
        <f t="array" ref="D24">xlookup($A24,product!$A:$A,product!D:D)</f>
        <v>Café moulu</v>
      </c>
      <c r="E24" s="4" t="str">
        <f t="shared" si="1"/>
        <v>81624-Café-Café moulu</v>
      </c>
      <c r="F24" s="4">
        <v>1.0</v>
      </c>
      <c r="G24" s="4">
        <v>100.0</v>
      </c>
      <c r="H24" s="4">
        <v>100.0</v>
      </c>
      <c r="I24" s="21">
        <f t="array" ref="I24">XLOOKUP($A24,product!A:A,product!E:E)</f>
        <v>7.24</v>
      </c>
      <c r="J24" s="4">
        <f t="shared" si="2"/>
        <v>724</v>
      </c>
      <c r="K24" s="22">
        <f t="shared" si="3"/>
        <v>1</v>
      </c>
      <c r="L24" s="4">
        <f t="shared" si="4"/>
        <v>1</v>
      </c>
    </row>
    <row r="25">
      <c r="A25" s="23">
        <v>92913.0</v>
      </c>
      <c r="B25" s="24" t="str">
        <f t="array" ref="B25">xlookup($A25,product!$A:$A,product!B:B)</f>
        <v>Boisson</v>
      </c>
      <c r="C25" s="24" t="str">
        <f t="array" ref="C25">xlookup($A25,product!$A:$A,product!C:C)</f>
        <v>Café</v>
      </c>
      <c r="D25" s="24" t="str">
        <f t="array" ref="D25">xlookup($A25,product!$A:$A,product!D:D)</f>
        <v>Café moulu</v>
      </c>
      <c r="E25" s="25" t="str">
        <f t="shared" si="1"/>
        <v>92913-Café-Café moulu</v>
      </c>
      <c r="F25" s="25">
        <v>0.0</v>
      </c>
      <c r="G25" s="25">
        <v>100.0</v>
      </c>
      <c r="H25" s="25">
        <v>100.0</v>
      </c>
      <c r="I25" s="26">
        <f t="array" ref="I25">XLOOKUP($A25,product!A:A,product!E:E)</f>
        <v>6.8</v>
      </c>
      <c r="J25" s="25">
        <f t="shared" si="2"/>
        <v>680</v>
      </c>
      <c r="K25" s="27">
        <f t="shared" si="3"/>
        <v>1</v>
      </c>
      <c r="L25" s="25">
        <f t="shared" si="4"/>
        <v>1</v>
      </c>
    </row>
    <row r="26">
      <c r="A26" s="19">
        <v>126983.0</v>
      </c>
      <c r="B26" s="20" t="str">
        <f t="array" ref="B26">xlookup($A26,product!$A:$A,product!B:B)</f>
        <v>Boisson</v>
      </c>
      <c r="C26" s="20" t="str">
        <f t="array" ref="C26">xlookup($A26,product!$A:$A,product!C:C)</f>
        <v>Café</v>
      </c>
      <c r="D26" s="20" t="str">
        <f t="array" ref="D26">xlookup($A26,product!$A:$A,product!D:D)</f>
        <v>Café moulu</v>
      </c>
      <c r="E26" s="4" t="str">
        <f t="shared" si="1"/>
        <v>126983-Café-Café moulu</v>
      </c>
      <c r="F26" s="4">
        <v>0.0</v>
      </c>
      <c r="G26" s="4">
        <v>195.0</v>
      </c>
      <c r="H26" s="4">
        <v>79.0</v>
      </c>
      <c r="I26" s="21">
        <f t="array" ref="I26">XLOOKUP($A26,product!A:A,product!E:E)</f>
        <v>2.92</v>
      </c>
      <c r="J26" s="4">
        <f t="shared" si="2"/>
        <v>230.68</v>
      </c>
      <c r="K26" s="22">
        <f t="shared" si="3"/>
        <v>1</v>
      </c>
      <c r="L26" s="4">
        <f t="shared" si="4"/>
        <v>1</v>
      </c>
    </row>
    <row r="27">
      <c r="A27" s="23">
        <v>118226.0</v>
      </c>
      <c r="B27" s="24" t="str">
        <f t="array" ref="B27">xlookup($A27,product!$A:$A,product!B:B)</f>
        <v>Boisson</v>
      </c>
      <c r="C27" s="24" t="str">
        <f t="array" ref="C27">xlookup($A27,product!$A:$A,product!C:C)</f>
        <v>Café</v>
      </c>
      <c r="D27" s="24" t="str">
        <f t="array" ref="D27">xlookup($A27,product!$A:$A,product!D:D)</f>
        <v>Café moulu</v>
      </c>
      <c r="E27" s="25" t="str">
        <f t="shared" si="1"/>
        <v>118226-Café-Café moulu</v>
      </c>
      <c r="F27" s="25">
        <v>0.0</v>
      </c>
      <c r="G27" s="25">
        <v>150.0</v>
      </c>
      <c r="H27" s="25">
        <v>150.0</v>
      </c>
      <c r="I27" s="26">
        <f t="array" ref="I27">XLOOKUP($A27,product!A:A,product!E:E)</f>
        <v>1.71</v>
      </c>
      <c r="J27" s="25">
        <f t="shared" si="2"/>
        <v>256.5</v>
      </c>
      <c r="K27" s="27">
        <f t="shared" si="3"/>
        <v>1</v>
      </c>
      <c r="L27" s="25">
        <f t="shared" si="4"/>
        <v>1</v>
      </c>
    </row>
    <row r="28">
      <c r="A28" s="19">
        <v>48618.0</v>
      </c>
      <c r="B28" s="20" t="str">
        <f t="array" ref="B28">xlookup($A28,product!$A:$A,product!B:B)</f>
        <v>Boisson</v>
      </c>
      <c r="C28" s="20" t="str">
        <f t="array" ref="C28">xlookup($A28,product!$A:$A,product!C:C)</f>
        <v>Café</v>
      </c>
      <c r="D28" s="20" t="str">
        <f t="array" ref="D28">xlookup($A28,product!$A:$A,product!D:D)</f>
        <v>Café moulu</v>
      </c>
      <c r="E28" s="4" t="str">
        <f t="shared" si="1"/>
        <v>48618-Café-Café moulu</v>
      </c>
      <c r="F28" s="4">
        <v>1.0</v>
      </c>
      <c r="G28" s="4">
        <v>100.0</v>
      </c>
      <c r="H28" s="4">
        <v>100.0</v>
      </c>
      <c r="I28" s="21">
        <f t="array" ref="I28">XLOOKUP($A28,product!A:A,product!E:E)</f>
        <v>2.14</v>
      </c>
      <c r="J28" s="4">
        <f t="shared" si="2"/>
        <v>214</v>
      </c>
      <c r="K28" s="22">
        <f t="shared" si="3"/>
        <v>1</v>
      </c>
      <c r="L28" s="4">
        <f t="shared" si="4"/>
        <v>1</v>
      </c>
    </row>
    <row r="29">
      <c r="A29" s="23">
        <v>93037.0</v>
      </c>
      <c r="B29" s="24" t="str">
        <f t="array" ref="B29">xlookup($A29,product!$A:$A,product!B:B)</f>
        <v>Boisson</v>
      </c>
      <c r="C29" s="24" t="str">
        <f t="array" ref="C29">xlookup($A29,product!$A:$A,product!C:C)</f>
        <v>Café</v>
      </c>
      <c r="D29" s="24" t="str">
        <f t="array" ref="D29">xlookup($A29,product!$A:$A,product!D:D)</f>
        <v>Café moulu</v>
      </c>
      <c r="E29" s="25" t="str">
        <f t="shared" si="1"/>
        <v>93037-Café-Café moulu</v>
      </c>
      <c r="F29" s="25">
        <v>0.0</v>
      </c>
      <c r="G29" s="25">
        <v>620.0</v>
      </c>
      <c r="H29" s="25">
        <v>620.0</v>
      </c>
      <c r="I29" s="26">
        <f t="array" ref="I29">XLOOKUP($A29,product!A:A,product!E:E)</f>
        <v>3.16</v>
      </c>
      <c r="J29" s="25">
        <f t="shared" si="2"/>
        <v>1959.2</v>
      </c>
      <c r="K29" s="27">
        <f t="shared" si="3"/>
        <v>1</v>
      </c>
      <c r="L29" s="25">
        <f t="shared" si="4"/>
        <v>1</v>
      </c>
    </row>
    <row r="30">
      <c r="A30" s="19">
        <v>126984.0</v>
      </c>
      <c r="B30" s="20" t="str">
        <f t="array" ref="B30">xlookup($A30,product!$A:$A,product!B:B)</f>
        <v>Boisson</v>
      </c>
      <c r="C30" s="20" t="str">
        <f t="array" ref="C30">xlookup($A30,product!$A:$A,product!C:C)</f>
        <v>Café</v>
      </c>
      <c r="D30" s="20" t="str">
        <f t="array" ref="D30">xlookup($A30,product!$A:$A,product!D:D)</f>
        <v>Café moulu</v>
      </c>
      <c r="E30" s="4" t="str">
        <f t="shared" si="1"/>
        <v>126984-Café-Café moulu</v>
      </c>
      <c r="F30" s="4">
        <v>0.0</v>
      </c>
      <c r="G30" s="4">
        <v>26.0</v>
      </c>
      <c r="H30" s="4">
        <v>6.0</v>
      </c>
      <c r="I30" s="21">
        <f t="array" ref="I30">XLOOKUP($A30,product!A:A,product!E:E)</f>
        <v>1.95</v>
      </c>
      <c r="J30" s="4">
        <f t="shared" si="2"/>
        <v>11.7</v>
      </c>
      <c r="K30" s="22">
        <f t="shared" si="3"/>
        <v>1</v>
      </c>
      <c r="L30" s="4">
        <f t="shared" si="4"/>
        <v>1</v>
      </c>
    </row>
    <row r="31">
      <c r="A31" s="23">
        <v>47393.0</v>
      </c>
      <c r="B31" s="24" t="str">
        <f t="array" ref="B31">xlookup($A31,product!$A:$A,product!B:B)</f>
        <v>Boisson</v>
      </c>
      <c r="C31" s="24" t="str">
        <f t="array" ref="C31">xlookup($A31,product!$A:$A,product!C:C)</f>
        <v>Café</v>
      </c>
      <c r="D31" s="24" t="str">
        <f t="array" ref="D31">xlookup($A31,product!$A:$A,product!D:D)</f>
        <v>Café moulu</v>
      </c>
      <c r="E31" s="25" t="str">
        <f t="shared" si="1"/>
        <v>47393-Café-Café moulu</v>
      </c>
      <c r="F31" s="25">
        <v>0.0</v>
      </c>
      <c r="G31" s="25">
        <v>980.0</v>
      </c>
      <c r="H31" s="25">
        <v>608.0</v>
      </c>
      <c r="I31" s="26">
        <f t="array" ref="I31">XLOOKUP($A31,product!A:A,product!E:E)</f>
        <v>2.82</v>
      </c>
      <c r="J31" s="25">
        <f t="shared" si="2"/>
        <v>1714.56</v>
      </c>
      <c r="K31" s="27">
        <f t="shared" si="3"/>
        <v>1</v>
      </c>
      <c r="L31" s="25">
        <f t="shared" si="4"/>
        <v>1</v>
      </c>
    </row>
    <row r="32">
      <c r="A32" s="19">
        <v>128214.0</v>
      </c>
      <c r="B32" s="20" t="str">
        <f t="array" ref="B32">xlookup($A32,product!$A:$A,product!B:B)</f>
        <v>Boisson</v>
      </c>
      <c r="C32" s="20" t="str">
        <f t="array" ref="C32">xlookup($A32,product!$A:$A,product!C:C)</f>
        <v>Café</v>
      </c>
      <c r="D32" s="20" t="str">
        <f t="array" ref="D32">xlookup($A32,product!$A:$A,product!D:D)</f>
        <v>Café moulu</v>
      </c>
      <c r="E32" s="4" t="str">
        <f t="shared" si="1"/>
        <v>128214-Café-Café moulu</v>
      </c>
      <c r="F32" s="4">
        <v>0.0</v>
      </c>
      <c r="G32" s="4">
        <v>83.0</v>
      </c>
      <c r="H32" s="4">
        <v>83.0</v>
      </c>
      <c r="I32" s="21">
        <f t="array" ref="I32">XLOOKUP($A32,product!A:A,product!E:E)</f>
        <v>4.51</v>
      </c>
      <c r="J32" s="4">
        <f t="shared" si="2"/>
        <v>374.33</v>
      </c>
      <c r="K32" s="22">
        <f t="shared" si="3"/>
        <v>1</v>
      </c>
      <c r="L32" s="4">
        <f t="shared" si="4"/>
        <v>1</v>
      </c>
    </row>
    <row r="33">
      <c r="A33" s="23">
        <v>83802.0</v>
      </c>
      <c r="B33" s="24" t="str">
        <f t="array" ref="B33">xlookup($A33,product!$A:$A,product!B:B)</f>
        <v>Boisson</v>
      </c>
      <c r="C33" s="24" t="str">
        <f t="array" ref="C33">xlookup($A33,product!$A:$A,product!C:C)</f>
        <v>Café</v>
      </c>
      <c r="D33" s="24" t="str">
        <f t="array" ref="D33">xlookup($A33,product!$A:$A,product!D:D)</f>
        <v>Café moulu</v>
      </c>
      <c r="E33" s="25" t="str">
        <f t="shared" si="1"/>
        <v>83802-Café-Café moulu</v>
      </c>
      <c r="F33" s="25">
        <v>0.0</v>
      </c>
      <c r="G33" s="25">
        <v>48.0</v>
      </c>
      <c r="H33" s="25">
        <v>36.0</v>
      </c>
      <c r="I33" s="26">
        <f t="array" ref="I33">XLOOKUP($A33,product!A:A,product!E:E)</f>
        <v>3.27</v>
      </c>
      <c r="J33" s="25">
        <f t="shared" si="2"/>
        <v>117.72</v>
      </c>
      <c r="K33" s="27">
        <f t="shared" si="3"/>
        <v>1</v>
      </c>
      <c r="L33" s="25">
        <f t="shared" si="4"/>
        <v>1</v>
      </c>
    </row>
    <row r="34">
      <c r="A34" s="19">
        <v>48625.0</v>
      </c>
      <c r="B34" s="20" t="str">
        <f t="array" ref="B34">xlookup($A34,product!$A:$A,product!B:B)</f>
        <v>Boisson</v>
      </c>
      <c r="C34" s="20" t="str">
        <f t="array" ref="C34">xlookup($A34,product!$A:$A,product!C:C)</f>
        <v>Café</v>
      </c>
      <c r="D34" s="20" t="str">
        <f t="array" ref="D34">xlookup($A34,product!$A:$A,product!D:D)</f>
        <v>Café moulu</v>
      </c>
      <c r="E34" s="4" t="str">
        <f t="shared" si="1"/>
        <v>48625-Café-Café moulu</v>
      </c>
      <c r="F34" s="4">
        <v>1.0</v>
      </c>
      <c r="G34" s="4">
        <v>100.0</v>
      </c>
      <c r="H34" s="4">
        <v>100.0</v>
      </c>
      <c r="I34" s="21">
        <f t="array" ref="I34">XLOOKUP($A34,product!A:A,product!E:E)</f>
        <v>4.17</v>
      </c>
      <c r="J34" s="4">
        <f t="shared" si="2"/>
        <v>417</v>
      </c>
      <c r="K34" s="22">
        <f t="shared" si="3"/>
        <v>1</v>
      </c>
      <c r="L34" s="4">
        <f t="shared" si="4"/>
        <v>1</v>
      </c>
    </row>
    <row r="35">
      <c r="A35" s="23">
        <v>83602.0</v>
      </c>
      <c r="B35" s="24" t="str">
        <f t="array" ref="B35">xlookup($A35,product!$A:$A,product!B:B)</f>
        <v>Boisson</v>
      </c>
      <c r="C35" s="24" t="str">
        <f t="array" ref="C35">xlookup($A35,product!$A:$A,product!C:C)</f>
        <v>Café</v>
      </c>
      <c r="D35" s="24" t="str">
        <f t="array" ref="D35">xlookup($A35,product!$A:$A,product!D:D)</f>
        <v>Café moulu</v>
      </c>
      <c r="E35" s="25" t="str">
        <f t="shared" si="1"/>
        <v>83602-Café-Café moulu</v>
      </c>
      <c r="F35" s="25">
        <v>0.0</v>
      </c>
      <c r="G35" s="25">
        <v>68.0</v>
      </c>
      <c r="H35" s="25">
        <v>68.0</v>
      </c>
      <c r="I35" s="26">
        <f t="array" ref="I35">XLOOKUP($A35,product!A:A,product!E:E)</f>
        <v>12.25</v>
      </c>
      <c r="J35" s="25">
        <f t="shared" si="2"/>
        <v>833</v>
      </c>
      <c r="K35" s="27">
        <f t="shared" si="3"/>
        <v>1</v>
      </c>
      <c r="L35" s="25">
        <f t="shared" si="4"/>
        <v>1</v>
      </c>
    </row>
    <row r="36">
      <c r="A36" s="19">
        <v>98867.0</v>
      </c>
      <c r="B36" s="20" t="str">
        <f t="array" ref="B36">xlookup($A36,product!$A:$A,product!B:B)</f>
        <v>Boisson</v>
      </c>
      <c r="C36" s="20" t="str">
        <f t="array" ref="C36">xlookup($A36,product!$A:$A,product!C:C)</f>
        <v>Café</v>
      </c>
      <c r="D36" s="20" t="str">
        <f t="array" ref="D36">xlookup($A36,product!$A:$A,product!D:D)</f>
        <v>Café soluble</v>
      </c>
      <c r="E36" s="4" t="str">
        <f t="shared" si="1"/>
        <v>98867-Café-Café soluble</v>
      </c>
      <c r="F36" s="4">
        <v>0.0</v>
      </c>
      <c r="G36" s="4">
        <v>175.0</v>
      </c>
      <c r="H36" s="4">
        <v>175.0</v>
      </c>
      <c r="I36" s="21">
        <f t="array" ref="I36">XLOOKUP($A36,product!A:A,product!E:E)</f>
        <v>4.16</v>
      </c>
      <c r="J36" s="4">
        <f t="shared" si="2"/>
        <v>728</v>
      </c>
      <c r="K36" s="22">
        <f t="shared" si="3"/>
        <v>1</v>
      </c>
      <c r="L36" s="4">
        <f t="shared" si="4"/>
        <v>1</v>
      </c>
    </row>
    <row r="37">
      <c r="A37" s="23">
        <v>127042.0</v>
      </c>
      <c r="B37" s="24" t="str">
        <f t="array" ref="B37">xlookup($A37,product!$A:$A,product!B:B)</f>
        <v>Boisson</v>
      </c>
      <c r="C37" s="24" t="str">
        <f t="array" ref="C37">xlookup($A37,product!$A:$A,product!C:C)</f>
        <v>Café</v>
      </c>
      <c r="D37" s="24" t="str">
        <f t="array" ref="D37">xlookup($A37,product!$A:$A,product!D:D)</f>
        <v>Café soluble</v>
      </c>
      <c r="E37" s="25" t="str">
        <f t="shared" si="1"/>
        <v>127042-Café-Café soluble</v>
      </c>
      <c r="F37" s="25">
        <v>0.0</v>
      </c>
      <c r="G37" s="25">
        <v>430.0</v>
      </c>
      <c r="H37" s="25">
        <v>430.0</v>
      </c>
      <c r="I37" s="26">
        <f t="array" ref="I37">XLOOKUP($A37,product!A:A,product!E:E)</f>
        <v>4.12</v>
      </c>
      <c r="J37" s="25">
        <f t="shared" si="2"/>
        <v>1771.6</v>
      </c>
      <c r="K37" s="27">
        <f t="shared" si="3"/>
        <v>1</v>
      </c>
      <c r="L37" s="25">
        <f t="shared" si="4"/>
        <v>1</v>
      </c>
    </row>
    <row r="38">
      <c r="A38" s="19">
        <v>127241.0</v>
      </c>
      <c r="B38" s="20" t="str">
        <f t="array" ref="B38">xlookup($A38,product!$A:$A,product!B:B)</f>
        <v>Boisson</v>
      </c>
      <c r="C38" s="20" t="str">
        <f t="array" ref="C38">xlookup($A38,product!$A:$A,product!C:C)</f>
        <v>Café</v>
      </c>
      <c r="D38" s="20" t="str">
        <f t="array" ref="D38">xlookup($A38,product!$A:$A,product!D:D)</f>
        <v>Café en grains</v>
      </c>
      <c r="E38" s="4" t="str">
        <f t="shared" si="1"/>
        <v>127241-Café-Café en grains</v>
      </c>
      <c r="F38" s="4">
        <v>0.0</v>
      </c>
      <c r="G38" s="4">
        <v>83.0</v>
      </c>
      <c r="H38" s="4">
        <v>83.0</v>
      </c>
      <c r="I38" s="21">
        <f t="array" ref="I38">XLOOKUP($A38,product!A:A,product!E:E)</f>
        <v>12.33</v>
      </c>
      <c r="J38" s="4">
        <f t="shared" si="2"/>
        <v>1023.39</v>
      </c>
      <c r="K38" s="22">
        <f t="shared" si="3"/>
        <v>1</v>
      </c>
      <c r="L38" s="4">
        <f t="shared" si="4"/>
        <v>1</v>
      </c>
    </row>
    <row r="39">
      <c r="A39" s="23">
        <v>118220.0</v>
      </c>
      <c r="B39" s="24" t="str">
        <f t="array" ref="B39">xlookup($A39,product!$A:$A,product!B:B)</f>
        <v>Boisson</v>
      </c>
      <c r="C39" s="24" t="str">
        <f t="array" ref="C39">xlookup($A39,product!$A:$A,product!C:C)</f>
        <v>Café</v>
      </c>
      <c r="D39" s="24" t="str">
        <f t="array" ref="D39">xlookup($A39,product!$A:$A,product!D:D)</f>
        <v>Café en grains</v>
      </c>
      <c r="E39" s="25" t="str">
        <f t="shared" si="1"/>
        <v>118220-Café-Café en grains</v>
      </c>
      <c r="F39" s="25">
        <v>0.0</v>
      </c>
      <c r="G39" s="25">
        <v>37.0</v>
      </c>
      <c r="H39" s="25">
        <v>37.0</v>
      </c>
      <c r="I39" s="26">
        <f t="array" ref="I39">XLOOKUP($A39,product!A:A,product!E:E)</f>
        <v>8.75</v>
      </c>
      <c r="J39" s="25">
        <f t="shared" si="2"/>
        <v>323.75</v>
      </c>
      <c r="K39" s="27">
        <f t="shared" si="3"/>
        <v>1</v>
      </c>
      <c r="L39" s="25">
        <f t="shared" si="4"/>
        <v>1</v>
      </c>
    </row>
    <row r="40">
      <c r="A40" s="19">
        <v>128216.0</v>
      </c>
      <c r="B40" s="20" t="str">
        <f t="array" ref="B40">xlookup($A40,product!$A:$A,product!B:B)</f>
        <v>Boisson</v>
      </c>
      <c r="C40" s="20" t="str">
        <f t="array" ref="C40">xlookup($A40,product!$A:$A,product!C:C)</f>
        <v>Café</v>
      </c>
      <c r="D40" s="20" t="str">
        <f t="array" ref="D40">xlookup($A40,product!$A:$A,product!D:D)</f>
        <v>Café en grains</v>
      </c>
      <c r="E40" s="4" t="str">
        <f t="shared" si="1"/>
        <v>128216-Café-Café en grains</v>
      </c>
      <c r="F40" s="4">
        <v>0.0</v>
      </c>
      <c r="G40" s="4">
        <v>131.0</v>
      </c>
      <c r="H40" s="4">
        <v>131.0</v>
      </c>
      <c r="I40" s="21">
        <f t="array" ref="I40">XLOOKUP($A40,product!A:A,product!E:E)</f>
        <v>12.01</v>
      </c>
      <c r="J40" s="4">
        <f t="shared" si="2"/>
        <v>1573.31</v>
      </c>
      <c r="K40" s="22">
        <f t="shared" si="3"/>
        <v>1</v>
      </c>
      <c r="L40" s="4">
        <f t="shared" si="4"/>
        <v>1</v>
      </c>
    </row>
    <row r="41">
      <c r="A41" s="23">
        <v>93049.0</v>
      </c>
      <c r="B41" s="24" t="str">
        <f t="array" ref="B41">xlookup($A41,product!$A:$A,product!B:B)</f>
        <v>Boisson</v>
      </c>
      <c r="C41" s="24" t="str">
        <f t="array" ref="C41">xlookup($A41,product!$A:$A,product!C:C)</f>
        <v>Café</v>
      </c>
      <c r="D41" s="24" t="str">
        <f t="array" ref="D41">xlookup($A41,product!$A:$A,product!D:D)</f>
        <v>Café en grains</v>
      </c>
      <c r="E41" s="25" t="str">
        <f t="shared" si="1"/>
        <v>93049-Café-Café en grains</v>
      </c>
      <c r="F41" s="25">
        <v>0.0</v>
      </c>
      <c r="G41" s="25">
        <v>26.0</v>
      </c>
      <c r="H41" s="25">
        <v>26.0</v>
      </c>
      <c r="I41" s="26">
        <f t="array" ref="I41">XLOOKUP($A41,product!A:A,product!E:E)</f>
        <v>11.18</v>
      </c>
      <c r="J41" s="25">
        <f t="shared" si="2"/>
        <v>290.68</v>
      </c>
      <c r="K41" s="27">
        <f t="shared" si="3"/>
        <v>1</v>
      </c>
      <c r="L41" s="25">
        <f t="shared" si="4"/>
        <v>1</v>
      </c>
    </row>
    <row r="42">
      <c r="A42" s="19">
        <v>118216.0</v>
      </c>
      <c r="B42" s="20" t="str">
        <f t="array" ref="B42">xlookup($A42,product!$A:$A,product!B:B)</f>
        <v>Boisson</v>
      </c>
      <c r="C42" s="20" t="str">
        <f t="array" ref="C42">xlookup($A42,product!$A:$A,product!C:C)</f>
        <v>Café</v>
      </c>
      <c r="D42" s="20" t="str">
        <f t="array" ref="D42">xlookup($A42,product!$A:$A,product!D:D)</f>
        <v>Café en grains</v>
      </c>
      <c r="E42" s="4" t="str">
        <f t="shared" si="1"/>
        <v>118216-Café-Café en grains</v>
      </c>
      <c r="F42" s="4">
        <v>0.0</v>
      </c>
      <c r="G42" s="4">
        <v>0.0</v>
      </c>
      <c r="H42" s="4">
        <v>0.0</v>
      </c>
      <c r="I42" s="21">
        <f t="array" ref="I42">XLOOKUP($A42,product!A:A,product!E:E)</f>
        <v>6.58</v>
      </c>
      <c r="J42" s="4">
        <f t="shared" si="2"/>
        <v>0</v>
      </c>
      <c r="K42" s="22">
        <f t="shared" si="3"/>
        <v>0</v>
      </c>
      <c r="L42" s="4">
        <f t="shared" si="4"/>
        <v>1</v>
      </c>
    </row>
    <row r="43">
      <c r="A43" s="23">
        <v>118221.0</v>
      </c>
      <c r="B43" s="24" t="str">
        <f t="array" ref="B43">xlookup($A43,product!$A:$A,product!B:B)</f>
        <v>Boisson</v>
      </c>
      <c r="C43" s="24" t="str">
        <f t="array" ref="C43">xlookup($A43,product!$A:$A,product!C:C)</f>
        <v>Café</v>
      </c>
      <c r="D43" s="24" t="str">
        <f t="array" ref="D43">xlookup($A43,product!$A:$A,product!D:D)</f>
        <v>Café en grains</v>
      </c>
      <c r="E43" s="25" t="str">
        <f t="shared" si="1"/>
        <v>118221-Café-Café en grains</v>
      </c>
      <c r="F43" s="25">
        <v>1.0</v>
      </c>
      <c r="G43" s="25">
        <v>100.0</v>
      </c>
      <c r="H43" s="25">
        <v>100.0</v>
      </c>
      <c r="I43" s="26">
        <f t="array" ref="I43">XLOOKUP($A43,product!A:A,product!E:E)</f>
        <v>7.41</v>
      </c>
      <c r="J43" s="25">
        <f t="shared" si="2"/>
        <v>741</v>
      </c>
      <c r="K43" s="27">
        <f t="shared" si="3"/>
        <v>1</v>
      </c>
      <c r="L43" s="25">
        <f t="shared" si="4"/>
        <v>1</v>
      </c>
    </row>
    <row r="44">
      <c r="A44" s="19">
        <v>92900.0</v>
      </c>
      <c r="B44" s="20" t="str">
        <f t="array" ref="B44">xlookup($A44,product!$A:$A,product!B:B)</f>
        <v>Boisson</v>
      </c>
      <c r="C44" s="20" t="str">
        <f t="array" ref="C44">xlookup($A44,product!$A:$A,product!C:C)</f>
        <v>Café</v>
      </c>
      <c r="D44" s="20" t="str">
        <f t="array" ref="D44">xlookup($A44,product!$A:$A,product!D:D)</f>
        <v>Café en grains</v>
      </c>
      <c r="E44" s="4" t="str">
        <f t="shared" si="1"/>
        <v>92900-Café-Café en grains</v>
      </c>
      <c r="F44" s="4">
        <v>0.0</v>
      </c>
      <c r="G44" s="4">
        <v>165.0</v>
      </c>
      <c r="H44" s="4">
        <v>129.0</v>
      </c>
      <c r="I44" s="21">
        <f t="array" ref="I44">XLOOKUP($A44,product!A:A,product!E:E)</f>
        <v>6.22</v>
      </c>
      <c r="J44" s="4">
        <f t="shared" si="2"/>
        <v>802.38</v>
      </c>
      <c r="K44" s="22">
        <f t="shared" si="3"/>
        <v>1</v>
      </c>
      <c r="L44" s="4">
        <f t="shared" si="4"/>
        <v>1</v>
      </c>
    </row>
    <row r="45">
      <c r="A45" s="23">
        <v>118215.0</v>
      </c>
      <c r="B45" s="24" t="str">
        <f t="array" ref="B45">xlookup($A45,product!$A:$A,product!B:B)</f>
        <v>Boisson</v>
      </c>
      <c r="C45" s="24" t="str">
        <f t="array" ref="C45">xlookup($A45,product!$A:$A,product!C:C)</f>
        <v>Café</v>
      </c>
      <c r="D45" s="24" t="str">
        <f t="array" ref="D45">xlookup($A45,product!$A:$A,product!D:D)</f>
        <v>Café en grains</v>
      </c>
      <c r="E45" s="25" t="str">
        <f t="shared" si="1"/>
        <v>118215-Café-Café en grains</v>
      </c>
      <c r="F45" s="25">
        <v>1.0</v>
      </c>
      <c r="G45" s="25">
        <v>107.0</v>
      </c>
      <c r="H45" s="25">
        <v>49.0</v>
      </c>
      <c r="I45" s="26">
        <f t="array" ref="I45">XLOOKUP($A45,product!A:A,product!E:E)</f>
        <v>10.49</v>
      </c>
      <c r="J45" s="25">
        <f t="shared" si="2"/>
        <v>514.01</v>
      </c>
      <c r="K45" s="27">
        <f t="shared" si="3"/>
        <v>1</v>
      </c>
      <c r="L45" s="25">
        <f t="shared" si="4"/>
        <v>1</v>
      </c>
    </row>
    <row r="46">
      <c r="A46" s="19">
        <v>19832.0</v>
      </c>
      <c r="B46" s="20" t="str">
        <f t="array" ref="B46">xlookup($A46,product!$A:$A,product!B:B)</f>
        <v>Boisson</v>
      </c>
      <c r="C46" s="20" t="str">
        <f t="array" ref="C46">xlookup($A46,product!$A:$A,product!C:C)</f>
        <v>Café</v>
      </c>
      <c r="D46" s="20" t="str">
        <f t="array" ref="D46">xlookup($A46,product!$A:$A,product!D:D)</f>
        <v>Café en grains</v>
      </c>
      <c r="E46" s="4" t="str">
        <f t="shared" si="1"/>
        <v>19832-Café-Café en grains</v>
      </c>
      <c r="F46" s="4">
        <v>1.0</v>
      </c>
      <c r="G46" s="4">
        <v>612.0</v>
      </c>
      <c r="H46" s="4">
        <v>575.0</v>
      </c>
      <c r="I46" s="21">
        <f t="array" ref="I46">XLOOKUP($A46,product!A:A,product!E:E)</f>
        <v>7.24</v>
      </c>
      <c r="J46" s="4">
        <f t="shared" si="2"/>
        <v>4163</v>
      </c>
      <c r="K46" s="22">
        <f t="shared" si="3"/>
        <v>1</v>
      </c>
      <c r="L46" s="4">
        <f t="shared" si="4"/>
        <v>1</v>
      </c>
    </row>
    <row r="47">
      <c r="A47" s="23">
        <v>93071.0</v>
      </c>
      <c r="B47" s="24" t="str">
        <f t="array" ref="B47">xlookup($A47,product!$A:$A,product!B:B)</f>
        <v>Boisson</v>
      </c>
      <c r="C47" s="24" t="str">
        <f t="array" ref="C47">xlookup($A47,product!$A:$A,product!C:C)</f>
        <v>Café</v>
      </c>
      <c r="D47" s="24" t="str">
        <f t="array" ref="D47">xlookup($A47,product!$A:$A,product!D:D)</f>
        <v>Café en grains</v>
      </c>
      <c r="E47" s="25" t="str">
        <f t="shared" si="1"/>
        <v>93071-Café-Café en grains</v>
      </c>
      <c r="F47" s="25">
        <v>1.0</v>
      </c>
      <c r="G47" s="25">
        <v>198.0</v>
      </c>
      <c r="H47" s="25">
        <v>19.0</v>
      </c>
      <c r="I47" s="26">
        <f t="array" ref="I47">XLOOKUP($A47,product!A:A,product!E:E)</f>
        <v>10.93</v>
      </c>
      <c r="J47" s="25">
        <f t="shared" si="2"/>
        <v>207.67</v>
      </c>
      <c r="K47" s="27">
        <f t="shared" si="3"/>
        <v>1</v>
      </c>
      <c r="L47" s="25">
        <f t="shared" si="4"/>
        <v>1</v>
      </c>
    </row>
    <row r="48">
      <c r="A48" s="19">
        <v>122395.0</v>
      </c>
      <c r="B48" s="20" t="str">
        <f t="array" ref="B48">xlookup($A48,product!$A:$A,product!B:B)</f>
        <v>Boisson</v>
      </c>
      <c r="C48" s="20" t="str">
        <f t="array" ref="C48">xlookup($A48,product!$A:$A,product!C:C)</f>
        <v>Café</v>
      </c>
      <c r="D48" s="20" t="str">
        <f t="array" ref="D48">xlookup($A48,product!$A:$A,product!D:D)</f>
        <v>Café en grains</v>
      </c>
      <c r="E48" s="4" t="str">
        <f t="shared" si="1"/>
        <v>122395-Café-Café en grains</v>
      </c>
      <c r="F48" s="4">
        <v>1.0</v>
      </c>
      <c r="G48" s="4">
        <v>83.0</v>
      </c>
      <c r="H48" s="4">
        <v>2.0</v>
      </c>
      <c r="I48" s="21">
        <f t="array" ref="I48">XLOOKUP($A48,product!A:A,product!E:E)</f>
        <v>11.4</v>
      </c>
      <c r="J48" s="4">
        <f t="shared" si="2"/>
        <v>22.8</v>
      </c>
      <c r="K48" s="22">
        <f t="shared" si="3"/>
        <v>1</v>
      </c>
      <c r="L48" s="4">
        <f t="shared" si="4"/>
        <v>1</v>
      </c>
    </row>
    <row r="49">
      <c r="A49" s="23">
        <v>116946.0</v>
      </c>
      <c r="B49" s="24" t="str">
        <f t="array" ref="B49">xlookup($A49,product!$A:$A,product!B:B)</f>
        <v>Boisson</v>
      </c>
      <c r="C49" s="24" t="str">
        <f t="array" ref="C49">xlookup($A49,product!$A:$A,product!C:C)</f>
        <v>Café</v>
      </c>
      <c r="D49" s="24" t="str">
        <f t="array" ref="D49">xlookup($A49,product!$A:$A,product!D:D)</f>
        <v>Café en grains</v>
      </c>
      <c r="E49" s="25" t="str">
        <f t="shared" si="1"/>
        <v>116946-Café-Café en grains</v>
      </c>
      <c r="F49" s="25">
        <v>1.0</v>
      </c>
      <c r="G49" s="25">
        <v>146.0</v>
      </c>
      <c r="H49" s="25">
        <v>86.0</v>
      </c>
      <c r="I49" s="26">
        <f t="array" ref="I49">XLOOKUP($A49,product!A:A,product!E:E)</f>
        <v>8.82</v>
      </c>
      <c r="J49" s="25">
        <f t="shared" si="2"/>
        <v>758.52</v>
      </c>
      <c r="K49" s="27">
        <f t="shared" si="3"/>
        <v>1</v>
      </c>
      <c r="L49" s="25">
        <f t="shared" si="4"/>
        <v>1</v>
      </c>
    </row>
    <row r="50">
      <c r="A50" s="19">
        <v>97538.0</v>
      </c>
      <c r="B50" s="20" t="str">
        <f t="array" ref="B50">xlookup($A50,product!$A:$A,product!B:B)</f>
        <v>Boisson</v>
      </c>
      <c r="C50" s="20" t="str">
        <f t="array" ref="C50">xlookup($A50,product!$A:$A,product!C:C)</f>
        <v>Café</v>
      </c>
      <c r="D50" s="20" t="str">
        <f t="array" ref="D50">xlookup($A50,product!$A:$A,product!D:D)</f>
        <v>Café en grains</v>
      </c>
      <c r="E50" s="4" t="str">
        <f t="shared" si="1"/>
        <v>97538-Café-Café en grains</v>
      </c>
      <c r="F50" s="4">
        <v>1.0</v>
      </c>
      <c r="G50" s="4">
        <v>143.0</v>
      </c>
      <c r="H50" s="4">
        <v>87.0</v>
      </c>
      <c r="I50" s="21">
        <f t="array" ref="I50">XLOOKUP($A50,product!A:A,product!E:E)</f>
        <v>6.91</v>
      </c>
      <c r="J50" s="4">
        <f t="shared" si="2"/>
        <v>601.17</v>
      </c>
      <c r="K50" s="22">
        <f t="shared" si="3"/>
        <v>1</v>
      </c>
      <c r="L50" s="4">
        <f t="shared" si="4"/>
        <v>1</v>
      </c>
    </row>
    <row r="51">
      <c r="A51" s="23">
        <v>127238.0</v>
      </c>
      <c r="B51" s="24" t="str">
        <f t="array" ref="B51">xlookup($A51,product!$A:$A,product!B:B)</f>
        <v>Boisson</v>
      </c>
      <c r="C51" s="24" t="str">
        <f t="array" ref="C51">xlookup($A51,product!$A:$A,product!C:C)</f>
        <v>Café</v>
      </c>
      <c r="D51" s="24" t="str">
        <f t="array" ref="D51">xlookup($A51,product!$A:$A,product!D:D)</f>
        <v>Café en grains</v>
      </c>
      <c r="E51" s="25" t="str">
        <f t="shared" si="1"/>
        <v>127238-Café-Café en grains</v>
      </c>
      <c r="F51" s="25">
        <v>1.0</v>
      </c>
      <c r="G51" s="25">
        <v>158.0</v>
      </c>
      <c r="H51" s="25">
        <v>95.0</v>
      </c>
      <c r="I51" s="26">
        <f t="array" ref="I51">XLOOKUP($A51,product!A:A,product!E:E)</f>
        <v>8.96</v>
      </c>
      <c r="J51" s="25">
        <f t="shared" si="2"/>
        <v>851.2</v>
      </c>
      <c r="K51" s="27">
        <f t="shared" si="3"/>
        <v>1</v>
      </c>
      <c r="L51" s="25">
        <f t="shared" si="4"/>
        <v>1</v>
      </c>
    </row>
    <row r="52">
      <c r="A52" s="19">
        <v>81646.0</v>
      </c>
      <c r="B52" s="20" t="str">
        <f t="array" ref="B52">xlookup($A52,product!$A:$A,product!B:B)</f>
        <v>Boisson</v>
      </c>
      <c r="C52" s="20" t="str">
        <f t="array" ref="C52">xlookup($A52,product!$A:$A,product!C:C)</f>
        <v>Café</v>
      </c>
      <c r="D52" s="20" t="str">
        <f t="array" ref="D52">xlookup($A52,product!$A:$A,product!D:D)</f>
        <v>Café en grains</v>
      </c>
      <c r="E52" s="4" t="str">
        <f t="shared" si="1"/>
        <v>81646-Café-Café en grains</v>
      </c>
      <c r="F52" s="4">
        <v>1.0</v>
      </c>
      <c r="G52" s="4">
        <v>389.0</v>
      </c>
      <c r="H52" s="4">
        <v>155.0</v>
      </c>
      <c r="I52" s="21">
        <f t="array" ref="I52">XLOOKUP($A52,product!A:A,product!E:E)</f>
        <v>8.34</v>
      </c>
      <c r="J52" s="4">
        <f t="shared" si="2"/>
        <v>1292.7</v>
      </c>
      <c r="K52" s="22">
        <f t="shared" si="3"/>
        <v>1</v>
      </c>
      <c r="L52" s="4">
        <f t="shared" si="4"/>
        <v>1</v>
      </c>
    </row>
    <row r="53">
      <c r="A53" s="23">
        <v>81643.0</v>
      </c>
      <c r="B53" s="24" t="str">
        <f t="array" ref="B53">xlookup($A53,product!$A:$A,product!B:B)</f>
        <v>Boisson</v>
      </c>
      <c r="C53" s="24" t="str">
        <f t="array" ref="C53">xlookup($A53,product!$A:$A,product!C:C)</f>
        <v>Café</v>
      </c>
      <c r="D53" s="24" t="str">
        <f t="array" ref="D53">xlookup($A53,product!$A:$A,product!D:D)</f>
        <v>Café en grains</v>
      </c>
      <c r="E53" s="25" t="str">
        <f t="shared" si="1"/>
        <v>81643-Café-Café en grains</v>
      </c>
      <c r="F53" s="25">
        <v>1.0</v>
      </c>
      <c r="G53" s="25">
        <v>934.0</v>
      </c>
      <c r="H53" s="25">
        <v>303.0</v>
      </c>
      <c r="I53" s="26">
        <f t="array" ref="I53">XLOOKUP($A53,product!A:A,product!E:E)</f>
        <v>8.69</v>
      </c>
      <c r="J53" s="25">
        <f t="shared" si="2"/>
        <v>2633.07</v>
      </c>
      <c r="K53" s="27">
        <f t="shared" si="3"/>
        <v>1</v>
      </c>
      <c r="L53" s="25">
        <f t="shared" si="4"/>
        <v>1</v>
      </c>
    </row>
    <row r="54">
      <c r="A54" s="19">
        <v>128215.0</v>
      </c>
      <c r="B54" s="20" t="str">
        <f t="array" ref="B54">xlookup($A54,product!$A:$A,product!B:B)</f>
        <v>Boisson</v>
      </c>
      <c r="C54" s="20" t="str">
        <f t="array" ref="C54">xlookup($A54,product!$A:$A,product!C:C)</f>
        <v>Café</v>
      </c>
      <c r="D54" s="20" t="str">
        <f t="array" ref="D54">xlookup($A54,product!$A:$A,product!D:D)</f>
        <v>Café en grains</v>
      </c>
      <c r="E54" s="4" t="str">
        <f t="shared" si="1"/>
        <v>128215-Café-Café en grains</v>
      </c>
      <c r="F54" s="4">
        <v>1.0</v>
      </c>
      <c r="G54" s="4">
        <v>394.0</v>
      </c>
      <c r="H54" s="4">
        <v>246.0</v>
      </c>
      <c r="I54" s="21">
        <f t="array" ref="I54">XLOOKUP($A54,product!A:A,product!E:E)</f>
        <v>11.64</v>
      </c>
      <c r="J54" s="4">
        <f t="shared" si="2"/>
        <v>2863.44</v>
      </c>
      <c r="K54" s="22">
        <f t="shared" si="3"/>
        <v>1</v>
      </c>
      <c r="L54" s="4">
        <f t="shared" si="4"/>
        <v>1</v>
      </c>
    </row>
    <row r="55">
      <c r="A55" s="23">
        <v>108022.0</v>
      </c>
      <c r="B55" s="24" t="str">
        <f t="array" ref="B55">xlookup($A55,product!$A:$A,product!B:B)</f>
        <v>Boisson</v>
      </c>
      <c r="C55" s="24" t="str">
        <f t="array" ref="C55">xlookup($A55,product!$A:$A,product!C:C)</f>
        <v>Café</v>
      </c>
      <c r="D55" s="24" t="str">
        <f t="array" ref="D55">xlookup($A55,product!$A:$A,product!D:D)</f>
        <v>Café en grains</v>
      </c>
      <c r="E55" s="25" t="str">
        <f t="shared" si="1"/>
        <v>108022-Café-Café en grains</v>
      </c>
      <c r="F55" s="25">
        <v>1.0</v>
      </c>
      <c r="G55" s="25">
        <v>442.0</v>
      </c>
      <c r="H55" s="25">
        <v>277.0</v>
      </c>
      <c r="I55" s="26">
        <f t="array" ref="I55">XLOOKUP($A55,product!A:A,product!E:E)</f>
        <v>6.9</v>
      </c>
      <c r="J55" s="25">
        <f t="shared" si="2"/>
        <v>1911.3</v>
      </c>
      <c r="K55" s="27">
        <f t="shared" si="3"/>
        <v>1</v>
      </c>
      <c r="L55" s="25">
        <f t="shared" si="4"/>
        <v>1</v>
      </c>
    </row>
    <row r="56">
      <c r="A56" s="19">
        <v>81647.0</v>
      </c>
      <c r="B56" s="20" t="str">
        <f t="array" ref="B56">xlookup($A56,product!$A:$A,product!B:B)</f>
        <v>Boisson</v>
      </c>
      <c r="C56" s="20" t="str">
        <f t="array" ref="C56">xlookup($A56,product!$A:$A,product!C:C)</f>
        <v>Café</v>
      </c>
      <c r="D56" s="20" t="str">
        <f t="array" ref="D56">xlookup($A56,product!$A:$A,product!D:D)</f>
        <v>Café en grains</v>
      </c>
      <c r="E56" s="4" t="str">
        <f t="shared" si="1"/>
        <v>81647-Café-Café en grains</v>
      </c>
      <c r="F56" s="4">
        <v>0.0</v>
      </c>
      <c r="G56" s="4">
        <v>556.0</v>
      </c>
      <c r="H56" s="4">
        <v>231.0</v>
      </c>
      <c r="I56" s="21">
        <f t="array" ref="I56">XLOOKUP($A56,product!A:A,product!E:E)</f>
        <v>8.69</v>
      </c>
      <c r="J56" s="4">
        <f t="shared" si="2"/>
        <v>2007.39</v>
      </c>
      <c r="K56" s="22">
        <f t="shared" si="3"/>
        <v>1</v>
      </c>
      <c r="L56" s="4">
        <f t="shared" si="4"/>
        <v>1</v>
      </c>
    </row>
    <row r="57">
      <c r="A57" s="23">
        <v>83603.0</v>
      </c>
      <c r="B57" s="24" t="str">
        <f t="array" ref="B57">xlookup($A57,product!$A:$A,product!B:B)</f>
        <v>Boisson</v>
      </c>
      <c r="C57" s="24" t="str">
        <f t="array" ref="C57">xlookup($A57,product!$A:$A,product!C:C)</f>
        <v>Café</v>
      </c>
      <c r="D57" s="24" t="str">
        <f t="array" ref="D57">xlookup($A57,product!$A:$A,product!D:D)</f>
        <v>Café en grains</v>
      </c>
      <c r="E57" s="25" t="str">
        <f t="shared" si="1"/>
        <v>83603-Café-Café en grains</v>
      </c>
      <c r="F57" s="25">
        <v>1.0</v>
      </c>
      <c r="G57" s="25">
        <v>878.0</v>
      </c>
      <c r="H57" s="25">
        <v>106.0</v>
      </c>
      <c r="I57" s="26">
        <f t="array" ref="I57">XLOOKUP($A57,product!A:A,product!E:E)</f>
        <v>12.25</v>
      </c>
      <c r="J57" s="25">
        <f t="shared" si="2"/>
        <v>1298.5</v>
      </c>
      <c r="K57" s="27">
        <f t="shared" si="3"/>
        <v>1</v>
      </c>
      <c r="L57" s="25">
        <f t="shared" si="4"/>
        <v>1</v>
      </c>
    </row>
    <row r="58">
      <c r="A58" s="19">
        <v>118219.0</v>
      </c>
      <c r="B58" s="20" t="str">
        <f t="array" ref="B58">xlookup($A58,product!$A:$A,product!B:B)</f>
        <v>Boisson</v>
      </c>
      <c r="C58" s="20" t="str">
        <f t="array" ref="C58">xlookup($A58,product!$A:$A,product!C:C)</f>
        <v>Café</v>
      </c>
      <c r="D58" s="20" t="str">
        <f t="array" ref="D58">xlookup($A58,product!$A:$A,product!D:D)</f>
        <v>Café en grains</v>
      </c>
      <c r="E58" s="4" t="str">
        <f t="shared" si="1"/>
        <v>118219-Café-Café en grains</v>
      </c>
      <c r="F58" s="4">
        <v>1.0</v>
      </c>
      <c r="G58" s="4">
        <v>402.0</v>
      </c>
      <c r="H58" s="4">
        <v>210.0</v>
      </c>
      <c r="I58" s="21">
        <f t="array" ref="I58">XLOOKUP($A58,product!A:A,product!E:E)</f>
        <v>8.75</v>
      </c>
      <c r="J58" s="4">
        <f t="shared" si="2"/>
        <v>1837.5</v>
      </c>
      <c r="K58" s="22">
        <f t="shared" si="3"/>
        <v>1</v>
      </c>
      <c r="L58" s="4">
        <f t="shared" si="4"/>
        <v>1</v>
      </c>
    </row>
    <row r="59">
      <c r="A59" s="23">
        <v>120952.0</v>
      </c>
      <c r="B59" s="24" t="str">
        <f t="array" ref="B59">xlookup($A59,product!$A:$A,product!B:B)</f>
        <v>Boisson</v>
      </c>
      <c r="C59" s="24" t="str">
        <f t="array" ref="C59">xlookup($A59,product!$A:$A,product!C:C)</f>
        <v>Café</v>
      </c>
      <c r="D59" s="24" t="str">
        <f t="array" ref="D59">xlookup($A59,product!$A:$A,product!D:D)</f>
        <v>Café décaféiné</v>
      </c>
      <c r="E59" s="25" t="str">
        <f t="shared" si="1"/>
        <v>120952-Café-Café décaféiné</v>
      </c>
      <c r="F59" s="25">
        <v>1.0</v>
      </c>
      <c r="G59" s="25">
        <v>145.0</v>
      </c>
      <c r="H59" s="25">
        <v>84.0</v>
      </c>
      <c r="I59" s="26">
        <f t="array" ref="I59">XLOOKUP($A59,product!A:A,product!E:E)</f>
        <v>2.89</v>
      </c>
      <c r="J59" s="25">
        <f t="shared" si="2"/>
        <v>242.76</v>
      </c>
      <c r="K59" s="27">
        <f t="shared" si="3"/>
        <v>1</v>
      </c>
      <c r="L59" s="25">
        <f t="shared" si="4"/>
        <v>1</v>
      </c>
    </row>
    <row r="60">
      <c r="A60" s="19">
        <v>81658.0</v>
      </c>
      <c r="B60" s="20" t="str">
        <f t="array" ref="B60">xlookup($A60,product!$A:$A,product!B:B)</f>
        <v>Boisson</v>
      </c>
      <c r="C60" s="20" t="str">
        <f t="array" ref="C60">xlookup($A60,product!$A:$A,product!C:C)</f>
        <v>Café</v>
      </c>
      <c r="D60" s="20" t="str">
        <f t="array" ref="D60">xlookup($A60,product!$A:$A,product!D:D)</f>
        <v>Café décaféiné</v>
      </c>
      <c r="E60" s="4" t="str">
        <f t="shared" si="1"/>
        <v>81658-Café-Café décaféiné</v>
      </c>
      <c r="F60" s="4">
        <v>1.0</v>
      </c>
      <c r="G60" s="4">
        <v>669.0</v>
      </c>
      <c r="H60" s="4">
        <v>41.0</v>
      </c>
      <c r="I60" s="21">
        <f t="array" ref="I60">XLOOKUP($A60,product!A:A,product!E:E)</f>
        <v>5.37</v>
      </c>
      <c r="J60" s="4">
        <f t="shared" si="2"/>
        <v>220.17</v>
      </c>
      <c r="K60" s="22">
        <f t="shared" si="3"/>
        <v>1</v>
      </c>
      <c r="L60" s="4">
        <f t="shared" si="4"/>
        <v>1</v>
      </c>
    </row>
    <row r="61">
      <c r="A61" s="23">
        <v>93047.0</v>
      </c>
      <c r="B61" s="24" t="str">
        <f t="array" ref="B61">xlookup($A61,product!$A:$A,product!B:B)</f>
        <v>Boisson</v>
      </c>
      <c r="C61" s="24" t="str">
        <f t="array" ref="C61">xlookup($A61,product!$A:$A,product!C:C)</f>
        <v>Café</v>
      </c>
      <c r="D61" s="24" t="str">
        <f t="array" ref="D61">xlookup($A61,product!$A:$A,product!D:D)</f>
        <v>Café décaféiné</v>
      </c>
      <c r="E61" s="25" t="str">
        <f t="shared" si="1"/>
        <v>93047-Café-Café décaféiné</v>
      </c>
      <c r="F61" s="25">
        <v>0.0</v>
      </c>
      <c r="G61" s="25">
        <v>508.0</v>
      </c>
      <c r="H61" s="25">
        <v>296.0</v>
      </c>
      <c r="I61" s="26">
        <f t="array" ref="I61">XLOOKUP($A61,product!A:A,product!E:E)</f>
        <v>3.4</v>
      </c>
      <c r="J61" s="25">
        <f t="shared" si="2"/>
        <v>1006.4</v>
      </c>
      <c r="K61" s="27">
        <f t="shared" si="3"/>
        <v>1</v>
      </c>
      <c r="L61" s="25">
        <f t="shared" si="4"/>
        <v>1</v>
      </c>
    </row>
    <row r="62">
      <c r="A62" s="19">
        <v>83807.0</v>
      </c>
      <c r="B62" s="20" t="str">
        <f t="array" ref="B62">xlookup($A62,product!$A:$A,product!B:B)</f>
        <v>Boisson</v>
      </c>
      <c r="C62" s="20" t="str">
        <f t="array" ref="C62">xlookup($A62,product!$A:$A,product!C:C)</f>
        <v>Café</v>
      </c>
      <c r="D62" s="20" t="str">
        <f t="array" ref="D62">xlookup($A62,product!$A:$A,product!D:D)</f>
        <v>Café décaféiné</v>
      </c>
      <c r="E62" s="4" t="str">
        <f t="shared" si="1"/>
        <v>83807-Café-Café décaféiné</v>
      </c>
      <c r="F62" s="4">
        <v>1.0</v>
      </c>
      <c r="G62" s="4">
        <v>603.0</v>
      </c>
      <c r="H62" s="4">
        <v>325.0</v>
      </c>
      <c r="I62" s="21">
        <f t="array" ref="I62">XLOOKUP($A62,product!A:A,product!E:E)</f>
        <v>3.88</v>
      </c>
      <c r="J62" s="4">
        <f t="shared" si="2"/>
        <v>1261</v>
      </c>
      <c r="K62" s="22">
        <f t="shared" si="3"/>
        <v>1</v>
      </c>
      <c r="L62" s="4">
        <f t="shared" si="4"/>
        <v>1</v>
      </c>
    </row>
    <row r="63">
      <c r="A63" s="23">
        <v>92915.0</v>
      </c>
      <c r="B63" s="24" t="str">
        <f t="array" ref="B63">xlookup($A63,product!$A:$A,product!B:B)</f>
        <v>Boisson</v>
      </c>
      <c r="C63" s="24" t="str">
        <f t="array" ref="C63">xlookup($A63,product!$A:$A,product!C:C)</f>
        <v>Café</v>
      </c>
      <c r="D63" s="24" t="str">
        <f t="array" ref="D63">xlookup($A63,product!$A:$A,product!D:D)</f>
        <v>Café décaféiné</v>
      </c>
      <c r="E63" s="25" t="str">
        <f t="shared" si="1"/>
        <v>92915-Café-Café décaféiné</v>
      </c>
      <c r="F63" s="25">
        <v>0.0</v>
      </c>
      <c r="G63" s="25">
        <v>842.0</v>
      </c>
      <c r="H63" s="25">
        <v>563.0</v>
      </c>
      <c r="I63" s="26">
        <f t="array" ref="I63">XLOOKUP($A63,product!A:A,product!E:E)</f>
        <v>6.22</v>
      </c>
      <c r="J63" s="25">
        <f t="shared" si="2"/>
        <v>3501.86</v>
      </c>
      <c r="K63" s="27">
        <f t="shared" si="3"/>
        <v>1</v>
      </c>
      <c r="L63" s="25">
        <f t="shared" si="4"/>
        <v>1</v>
      </c>
    </row>
    <row r="64">
      <c r="A64" s="19">
        <v>81653.0</v>
      </c>
      <c r="B64" s="20" t="str">
        <f t="array" ref="B64">xlookup($A64,product!$A:$A,product!B:B)</f>
        <v>Boisson</v>
      </c>
      <c r="C64" s="20" t="str">
        <f t="array" ref="C64">xlookup($A64,product!$A:$A,product!C:C)</f>
        <v>Café</v>
      </c>
      <c r="D64" s="20" t="str">
        <f t="array" ref="D64">xlookup($A64,product!$A:$A,product!D:D)</f>
        <v>Café décaféiné</v>
      </c>
      <c r="E64" s="4" t="str">
        <f t="shared" si="1"/>
        <v>81653-Café-Café décaféiné</v>
      </c>
      <c r="F64" s="4">
        <v>0.0</v>
      </c>
      <c r="G64" s="4">
        <v>65.0</v>
      </c>
      <c r="H64" s="4">
        <v>31.0</v>
      </c>
      <c r="I64" s="21">
        <f t="array" ref="I64">XLOOKUP($A64,product!A:A,product!E:E)</f>
        <v>4.13</v>
      </c>
      <c r="J64" s="4">
        <f t="shared" si="2"/>
        <v>128.03</v>
      </c>
      <c r="K64" s="22">
        <f t="shared" si="3"/>
        <v>1</v>
      </c>
      <c r="L64" s="4">
        <f t="shared" si="4"/>
        <v>1</v>
      </c>
    </row>
    <row r="65">
      <c r="A65" s="23">
        <v>81618.0</v>
      </c>
      <c r="B65" s="24" t="str">
        <f t="array" ref="B65">xlookup($A65,product!$A:$A,product!B:B)</f>
        <v>Boisson</v>
      </c>
      <c r="C65" s="24" t="str">
        <f t="array" ref="C65">xlookup($A65,product!$A:$A,product!C:C)</f>
        <v>Café</v>
      </c>
      <c r="D65" s="24" t="str">
        <f t="array" ref="D65">xlookup($A65,product!$A:$A,product!D:D)</f>
        <v>Café décaféiné</v>
      </c>
      <c r="E65" s="25" t="str">
        <f t="shared" si="1"/>
        <v>81618-Café-Café décaféiné</v>
      </c>
      <c r="F65" s="25">
        <v>1.0</v>
      </c>
      <c r="G65" s="25">
        <v>111.0</v>
      </c>
      <c r="H65" s="25">
        <v>33.0</v>
      </c>
      <c r="I65" s="26">
        <f t="array" ref="I65">XLOOKUP($A65,product!A:A,product!E:E)</f>
        <v>3.55</v>
      </c>
      <c r="J65" s="25">
        <f t="shared" si="2"/>
        <v>117.15</v>
      </c>
      <c r="K65" s="27">
        <f t="shared" si="3"/>
        <v>1</v>
      </c>
      <c r="L65" s="25">
        <f t="shared" si="4"/>
        <v>1</v>
      </c>
    </row>
    <row r="66">
      <c r="A66" s="19">
        <v>118241.0</v>
      </c>
      <c r="B66" s="20" t="str">
        <f t="array" ref="B66">xlookup($A66,product!$A:$A,product!B:B)</f>
        <v>Boisson</v>
      </c>
      <c r="C66" s="20" t="str">
        <f t="array" ref="C66">xlookup($A66,product!$A:$A,product!C:C)</f>
        <v>Café</v>
      </c>
      <c r="D66" s="20" t="str">
        <f t="array" ref="D66">xlookup($A66,product!$A:$A,product!D:D)</f>
        <v>Dosettes compatible Senséo ®</v>
      </c>
      <c r="E66" s="4" t="str">
        <f t="shared" si="1"/>
        <v>118241-Café-Dosettes compatible Senséo ®</v>
      </c>
      <c r="F66" s="4">
        <v>1.0</v>
      </c>
      <c r="G66" s="4">
        <v>893.0</v>
      </c>
      <c r="H66" s="4">
        <v>1.0</v>
      </c>
      <c r="I66" s="21">
        <f t="array" ref="I66">XLOOKUP($A66,product!A:A,product!E:E)</f>
        <v>2.36</v>
      </c>
      <c r="J66" s="4">
        <f t="shared" si="2"/>
        <v>2.36</v>
      </c>
      <c r="K66" s="22">
        <f t="shared" si="3"/>
        <v>1</v>
      </c>
      <c r="L66" s="4">
        <f t="shared" si="4"/>
        <v>1</v>
      </c>
    </row>
    <row r="67">
      <c r="A67" s="23">
        <v>48634.0</v>
      </c>
      <c r="B67" s="24" t="str">
        <f t="array" ref="B67">xlookup($A67,product!$A:$A,product!B:B)</f>
        <v>Boisson</v>
      </c>
      <c r="C67" s="24" t="str">
        <f t="array" ref="C67">xlookup($A67,product!$A:$A,product!C:C)</f>
        <v>Café</v>
      </c>
      <c r="D67" s="24" t="str">
        <f t="array" ref="D67">xlookup($A67,product!$A:$A,product!D:D)</f>
        <v>Dosettes compatible Senséo ®</v>
      </c>
      <c r="E67" s="25" t="str">
        <f t="shared" si="1"/>
        <v>48634-Café-Dosettes compatible Senséo ®</v>
      </c>
      <c r="F67" s="25">
        <v>1.0</v>
      </c>
      <c r="G67" s="25">
        <v>835.0</v>
      </c>
      <c r="H67" s="25">
        <v>181.0</v>
      </c>
      <c r="I67" s="26">
        <f t="array" ref="I67">XLOOKUP($A67,product!A:A,product!E:E)</f>
        <v>3.16</v>
      </c>
      <c r="J67" s="25">
        <f t="shared" si="2"/>
        <v>571.96</v>
      </c>
      <c r="K67" s="27">
        <f t="shared" si="3"/>
        <v>1</v>
      </c>
      <c r="L67" s="25">
        <f t="shared" si="4"/>
        <v>1</v>
      </c>
    </row>
    <row r="68">
      <c r="A68" s="19">
        <v>48636.0</v>
      </c>
      <c r="B68" s="20" t="str">
        <f t="array" ref="B68">xlookup($A68,product!$A:$A,product!B:B)</f>
        <v>Boisson</v>
      </c>
      <c r="C68" s="20" t="str">
        <f t="array" ref="C68">xlookup($A68,product!$A:$A,product!C:C)</f>
        <v>Café</v>
      </c>
      <c r="D68" s="20" t="str">
        <f t="array" ref="D68">xlookup($A68,product!$A:$A,product!D:D)</f>
        <v>Dosettes compatible Senséo ®</v>
      </c>
      <c r="E68" s="4" t="str">
        <f t="shared" si="1"/>
        <v>48636-Café-Dosettes compatible Senséo ®</v>
      </c>
      <c r="F68" s="4">
        <v>1.0</v>
      </c>
      <c r="G68" s="4">
        <v>31.0</v>
      </c>
      <c r="H68" s="4">
        <v>8.0</v>
      </c>
      <c r="I68" s="21">
        <f t="array" ref="I68">XLOOKUP($A68,product!A:A,product!E:E)</f>
        <v>3.21</v>
      </c>
      <c r="J68" s="4">
        <f t="shared" si="2"/>
        <v>25.68</v>
      </c>
      <c r="K68" s="22">
        <f t="shared" si="3"/>
        <v>1</v>
      </c>
      <c r="L68" s="4">
        <f t="shared" si="4"/>
        <v>1</v>
      </c>
    </row>
    <row r="69">
      <c r="A69" s="23">
        <v>48629.0</v>
      </c>
      <c r="B69" s="24" t="str">
        <f t="array" ref="B69">xlookup($A69,product!$A:$A,product!B:B)</f>
        <v>Boisson</v>
      </c>
      <c r="C69" s="24" t="str">
        <f t="array" ref="C69">xlookup($A69,product!$A:$A,product!C:C)</f>
        <v>Café</v>
      </c>
      <c r="D69" s="24" t="str">
        <f t="array" ref="D69">xlookup($A69,product!$A:$A,product!D:D)</f>
        <v>Dosettes compatible Senséo ®</v>
      </c>
      <c r="E69" s="25" t="str">
        <f t="shared" si="1"/>
        <v>48629-Café-Dosettes compatible Senséo ®</v>
      </c>
      <c r="F69" s="25">
        <v>1.0</v>
      </c>
      <c r="G69" s="25">
        <v>928.0</v>
      </c>
      <c r="H69" s="25">
        <v>630.0</v>
      </c>
      <c r="I69" s="26">
        <f t="array" ref="I69">XLOOKUP($A69,product!A:A,product!E:E)</f>
        <v>2.38</v>
      </c>
      <c r="J69" s="25">
        <f t="shared" si="2"/>
        <v>1499.4</v>
      </c>
      <c r="K69" s="27">
        <f t="shared" si="3"/>
        <v>1</v>
      </c>
      <c r="L69" s="25">
        <f t="shared" si="4"/>
        <v>1</v>
      </c>
    </row>
    <row r="70">
      <c r="A70" s="19">
        <v>47400.0</v>
      </c>
      <c r="B70" s="20" t="str">
        <f t="array" ref="B70">xlookup($A70,product!$A:$A,product!B:B)</f>
        <v>Boisson</v>
      </c>
      <c r="C70" s="20" t="str">
        <f t="array" ref="C70">xlookup($A70,product!$A:$A,product!C:C)</f>
        <v>Café</v>
      </c>
      <c r="D70" s="20" t="str">
        <f t="array" ref="D70">xlookup($A70,product!$A:$A,product!D:D)</f>
        <v>Dosettes compatible Senséo ®</v>
      </c>
      <c r="E70" s="4" t="str">
        <f t="shared" si="1"/>
        <v>47400-Café-Dosettes compatible Senséo ®</v>
      </c>
      <c r="F70" s="4">
        <v>1.0</v>
      </c>
      <c r="G70" s="4">
        <v>870.0</v>
      </c>
      <c r="H70" s="4">
        <v>397.0</v>
      </c>
      <c r="I70" s="21">
        <f t="array" ref="I70">XLOOKUP($A70,product!A:A,product!E:E)</f>
        <v>2.25</v>
      </c>
      <c r="J70" s="4">
        <f t="shared" si="2"/>
        <v>893.25</v>
      </c>
      <c r="K70" s="22">
        <f t="shared" si="3"/>
        <v>1</v>
      </c>
      <c r="L70" s="4">
        <f t="shared" si="4"/>
        <v>1</v>
      </c>
    </row>
    <row r="71">
      <c r="A71" s="23">
        <v>111237.0</v>
      </c>
      <c r="B71" s="24" t="str">
        <f t="array" ref="B71">xlookup($A71,product!$A:$A,product!B:B)</f>
        <v>Boisson</v>
      </c>
      <c r="C71" s="24" t="str">
        <f t="array" ref="C71">xlookup($A71,product!$A:$A,product!C:C)</f>
        <v>Café</v>
      </c>
      <c r="D71" s="24" t="str">
        <f t="array" ref="D71">xlookup($A71,product!$A:$A,product!D:D)</f>
        <v>Dosettes compatible Senséo ®</v>
      </c>
      <c r="E71" s="25" t="str">
        <f t="shared" si="1"/>
        <v>111237-Café-Dosettes compatible Senséo ®</v>
      </c>
      <c r="F71" s="25">
        <v>0.0</v>
      </c>
      <c r="G71" s="25">
        <v>428.0</v>
      </c>
      <c r="H71" s="25">
        <v>123.0</v>
      </c>
      <c r="I71" s="26">
        <f t="array" ref="I71">XLOOKUP($A71,product!A:A,product!E:E)</f>
        <v>3.97</v>
      </c>
      <c r="J71" s="25">
        <f t="shared" si="2"/>
        <v>488.31</v>
      </c>
      <c r="K71" s="27">
        <f t="shared" si="3"/>
        <v>1</v>
      </c>
      <c r="L71" s="25">
        <f t="shared" si="4"/>
        <v>1</v>
      </c>
    </row>
    <row r="72">
      <c r="A72" s="19">
        <v>18042.0</v>
      </c>
      <c r="B72" s="20" t="str">
        <f t="array" ref="B72">xlookup($A72,product!$A:$A,product!B:B)</f>
        <v>Boisson</v>
      </c>
      <c r="C72" s="20" t="str">
        <f t="array" ref="C72">xlookup($A72,product!$A:$A,product!C:C)</f>
        <v>Café</v>
      </c>
      <c r="D72" s="20" t="str">
        <f t="array" ref="D72">xlookup($A72,product!$A:$A,product!D:D)</f>
        <v>Substituts de café, chicorée</v>
      </c>
      <c r="E72" s="4" t="str">
        <f t="shared" si="1"/>
        <v>18042-Café-Substituts de café, chicorée</v>
      </c>
      <c r="F72" s="4">
        <v>0.0</v>
      </c>
      <c r="G72" s="4">
        <v>247.0</v>
      </c>
      <c r="H72" s="4">
        <v>228.0</v>
      </c>
      <c r="I72" s="21">
        <f t="array" ref="I72">XLOOKUP($A72,product!A:A,product!E:E)</f>
        <v>3.46</v>
      </c>
      <c r="J72" s="4">
        <f t="shared" si="2"/>
        <v>788.88</v>
      </c>
      <c r="K72" s="22">
        <f t="shared" si="3"/>
        <v>1</v>
      </c>
      <c r="L72" s="4">
        <f t="shared" si="4"/>
        <v>1</v>
      </c>
    </row>
    <row r="73">
      <c r="A73" s="23">
        <v>114978.0</v>
      </c>
      <c r="B73" s="24" t="str">
        <f t="array" ref="B73">xlookup($A73,product!$A:$A,product!B:B)</f>
        <v>Boisson</v>
      </c>
      <c r="C73" s="24" t="str">
        <f t="array" ref="C73">xlookup($A73,product!$A:$A,product!C:C)</f>
        <v>Café</v>
      </c>
      <c r="D73" s="24" t="str">
        <f t="array" ref="D73">xlookup($A73,product!$A:$A,product!D:D)</f>
        <v>Substituts de café, chicorée</v>
      </c>
      <c r="E73" s="25" t="str">
        <f t="shared" si="1"/>
        <v>114978-Café-Substituts de café, chicorée</v>
      </c>
      <c r="F73" s="25">
        <v>0.0</v>
      </c>
      <c r="G73" s="25">
        <v>295.0</v>
      </c>
      <c r="H73" s="25">
        <v>260.0</v>
      </c>
      <c r="I73" s="26">
        <f t="array" ref="I73">XLOOKUP($A73,product!A:A,product!E:E)</f>
        <v>4.44</v>
      </c>
      <c r="J73" s="25">
        <f t="shared" si="2"/>
        <v>1154.4</v>
      </c>
      <c r="K73" s="27">
        <f t="shared" si="3"/>
        <v>1</v>
      </c>
      <c r="L73" s="25">
        <f t="shared" si="4"/>
        <v>1</v>
      </c>
    </row>
    <row r="74">
      <c r="A74" s="19">
        <v>82980.0</v>
      </c>
      <c r="B74" s="20" t="str">
        <f t="array" ref="B74">xlookup($A74,product!$A:$A,product!B:B)</f>
        <v>Boisson</v>
      </c>
      <c r="C74" s="20" t="str">
        <f t="array" ref="C74">xlookup($A74,product!$A:$A,product!C:C)</f>
        <v>Café</v>
      </c>
      <c r="D74" s="20" t="str">
        <f t="array" ref="D74">xlookup($A74,product!$A:$A,product!D:D)</f>
        <v>Substituts de café, chicorée</v>
      </c>
      <c r="E74" s="4" t="str">
        <f t="shared" si="1"/>
        <v>82980-Café-Substituts de café, chicorée</v>
      </c>
      <c r="F74" s="4">
        <v>1.0</v>
      </c>
      <c r="G74" s="4">
        <v>336.0</v>
      </c>
      <c r="H74" s="4">
        <v>155.0</v>
      </c>
      <c r="I74" s="21">
        <f t="array" ref="I74">XLOOKUP($A74,product!A:A,product!E:E)</f>
        <v>2.5</v>
      </c>
      <c r="J74" s="4">
        <f t="shared" si="2"/>
        <v>387.5</v>
      </c>
      <c r="K74" s="22">
        <f t="shared" si="3"/>
        <v>1</v>
      </c>
      <c r="L74" s="4">
        <f t="shared" si="4"/>
        <v>1</v>
      </c>
    </row>
    <row r="75">
      <c r="A75" s="23">
        <v>83093.0</v>
      </c>
      <c r="B75" s="24" t="str">
        <f t="array" ref="B75">xlookup($A75,product!$A:$A,product!B:B)</f>
        <v>Boisson</v>
      </c>
      <c r="C75" s="24" t="str">
        <f t="array" ref="C75">xlookup($A75,product!$A:$A,product!C:C)</f>
        <v>Café</v>
      </c>
      <c r="D75" s="24" t="str">
        <f t="array" ref="D75">xlookup($A75,product!$A:$A,product!D:D)</f>
        <v>Substituts de café, chicorée</v>
      </c>
      <c r="E75" s="25" t="str">
        <f t="shared" si="1"/>
        <v>83093-Café-Substituts de café, chicorée</v>
      </c>
      <c r="F75" s="25">
        <v>0.0</v>
      </c>
      <c r="G75" s="25">
        <v>452.0</v>
      </c>
      <c r="H75" s="25">
        <v>394.0</v>
      </c>
      <c r="I75" s="26">
        <f t="array" ref="I75">XLOOKUP($A75,product!A:A,product!E:E)</f>
        <v>4.21</v>
      </c>
      <c r="J75" s="25">
        <f t="shared" si="2"/>
        <v>1658.74</v>
      </c>
      <c r="K75" s="27">
        <f t="shared" si="3"/>
        <v>1</v>
      </c>
      <c r="L75" s="25">
        <f t="shared" si="4"/>
        <v>1</v>
      </c>
    </row>
    <row r="76">
      <c r="A76" s="19">
        <v>18134.0</v>
      </c>
      <c r="B76" s="20" t="str">
        <f t="array" ref="B76">xlookup($A76,product!$A:$A,product!B:B)</f>
        <v>Boisson</v>
      </c>
      <c r="C76" s="20" t="str">
        <f t="array" ref="C76">xlookup($A76,product!$A:$A,product!C:C)</f>
        <v>Café</v>
      </c>
      <c r="D76" s="20" t="str">
        <f t="array" ref="D76">xlookup($A76,product!$A:$A,product!D:D)</f>
        <v>Substituts de café, chicorée</v>
      </c>
      <c r="E76" s="4" t="str">
        <f t="shared" si="1"/>
        <v>18134-Café-Substituts de café, chicorée</v>
      </c>
      <c r="F76" s="4">
        <v>0.0</v>
      </c>
      <c r="G76" s="4">
        <v>510.0</v>
      </c>
      <c r="H76" s="4">
        <v>395.0</v>
      </c>
      <c r="I76" s="21">
        <f t="array" ref="I76">XLOOKUP($A76,product!A:A,product!E:E)</f>
        <v>4.11</v>
      </c>
      <c r="J76" s="4">
        <f t="shared" si="2"/>
        <v>1623.45</v>
      </c>
      <c r="K76" s="22">
        <f t="shared" si="3"/>
        <v>1</v>
      </c>
      <c r="L76" s="4">
        <f t="shared" si="4"/>
        <v>1</v>
      </c>
    </row>
    <row r="77">
      <c r="A77" s="23">
        <v>107857.0</v>
      </c>
      <c r="B77" s="24" t="str">
        <f t="array" ref="B77">xlookup($A77,product!$A:$A,product!B:B)</f>
        <v>Boisson</v>
      </c>
      <c r="C77" s="24" t="str">
        <f t="array" ref="C77">xlookup($A77,product!$A:$A,product!C:C)</f>
        <v>Café</v>
      </c>
      <c r="D77" s="24" t="str">
        <f t="array" ref="D77">xlookup($A77,product!$A:$A,product!D:D)</f>
        <v>Substituts de café, chicorée</v>
      </c>
      <c r="E77" s="25" t="str">
        <f t="shared" si="1"/>
        <v>107857-Café-Substituts de café, chicorée</v>
      </c>
      <c r="F77" s="25">
        <v>0.0</v>
      </c>
      <c r="G77" s="25">
        <v>662.0</v>
      </c>
      <c r="H77" s="25">
        <v>336.0</v>
      </c>
      <c r="I77" s="26">
        <f t="array" ref="I77">XLOOKUP($A77,product!A:A,product!E:E)</f>
        <v>3.83</v>
      </c>
      <c r="J77" s="25">
        <f t="shared" si="2"/>
        <v>1286.88</v>
      </c>
      <c r="K77" s="27">
        <f t="shared" si="3"/>
        <v>1</v>
      </c>
      <c r="L77" s="25">
        <f t="shared" si="4"/>
        <v>1</v>
      </c>
    </row>
    <row r="78">
      <c r="A78" s="19">
        <v>18136.0</v>
      </c>
      <c r="B78" s="20" t="str">
        <f t="array" ref="B78">xlookup($A78,product!$A:$A,product!B:B)</f>
        <v>Boisson</v>
      </c>
      <c r="C78" s="20" t="str">
        <f t="array" ref="C78">xlookup($A78,product!$A:$A,product!C:C)</f>
        <v>Café</v>
      </c>
      <c r="D78" s="20" t="str">
        <f t="array" ref="D78">xlookup($A78,product!$A:$A,product!D:D)</f>
        <v>Substituts de café, chicorée</v>
      </c>
      <c r="E78" s="4" t="str">
        <f t="shared" si="1"/>
        <v>18136-Café-Substituts de café, chicorée</v>
      </c>
      <c r="F78" s="4">
        <v>1.0</v>
      </c>
      <c r="G78" s="4">
        <v>848.0</v>
      </c>
      <c r="H78" s="4">
        <v>807.0</v>
      </c>
      <c r="I78" s="21">
        <f t="array" ref="I78">XLOOKUP($A78,product!A:A,product!E:E)</f>
        <v>5.46</v>
      </c>
      <c r="J78" s="4">
        <f t="shared" si="2"/>
        <v>4406.22</v>
      </c>
      <c r="K78" s="22">
        <f t="shared" si="3"/>
        <v>1</v>
      </c>
      <c r="L78" s="4">
        <f t="shared" si="4"/>
        <v>1</v>
      </c>
    </row>
    <row r="79">
      <c r="A79" s="23">
        <v>69138.0</v>
      </c>
      <c r="B79" s="24" t="str">
        <f t="array" ref="B79">xlookup($A79,product!$A:$A,product!B:B)</f>
        <v>Boisson</v>
      </c>
      <c r="C79" s="24" t="str">
        <f t="array" ref="C79">xlookup($A79,product!$A:$A,product!C:C)</f>
        <v>Café</v>
      </c>
      <c r="D79" s="24" t="str">
        <f t="array" ref="D79">xlookup($A79,product!$A:$A,product!D:D)</f>
        <v>Substituts de café, chicorée</v>
      </c>
      <c r="E79" s="25" t="str">
        <f t="shared" si="1"/>
        <v>69138-Café-Substituts de café, chicorée</v>
      </c>
      <c r="F79" s="25">
        <v>1.0</v>
      </c>
      <c r="G79" s="25">
        <v>40.0</v>
      </c>
      <c r="H79" s="25">
        <v>25.0</v>
      </c>
      <c r="I79" s="26">
        <f t="array" ref="I79">XLOOKUP($A79,product!A:A,product!E:E)</f>
        <v>5.31</v>
      </c>
      <c r="J79" s="25">
        <f t="shared" si="2"/>
        <v>132.75</v>
      </c>
      <c r="K79" s="27">
        <f t="shared" si="3"/>
        <v>1</v>
      </c>
      <c r="L79" s="25">
        <f t="shared" si="4"/>
        <v>1</v>
      </c>
    </row>
    <row r="80">
      <c r="A80" s="19">
        <v>74828.0</v>
      </c>
      <c r="B80" s="20" t="str">
        <f t="array" ref="B80">xlookup($A80,product!$A:$A,product!B:B)</f>
        <v>Boisson</v>
      </c>
      <c r="C80" s="20" t="str">
        <f t="array" ref="C80">xlookup($A80,product!$A:$A,product!C:C)</f>
        <v>Café</v>
      </c>
      <c r="D80" s="20" t="str">
        <f t="array" ref="D80">xlookup($A80,product!$A:$A,product!D:D)</f>
        <v>Substituts de café, chicorée</v>
      </c>
      <c r="E80" s="4" t="str">
        <f t="shared" si="1"/>
        <v>74828-Café-Substituts de café, chicorée</v>
      </c>
      <c r="F80" s="4">
        <v>0.0</v>
      </c>
      <c r="G80" s="4">
        <v>664.0</v>
      </c>
      <c r="H80" s="4">
        <v>622.0</v>
      </c>
      <c r="I80" s="21">
        <f t="array" ref="I80">XLOOKUP($A80,product!A:A,product!E:E)</f>
        <v>4.59</v>
      </c>
      <c r="J80" s="4">
        <f t="shared" si="2"/>
        <v>2854.98</v>
      </c>
      <c r="K80" s="22">
        <f t="shared" si="3"/>
        <v>1</v>
      </c>
      <c r="L80" s="4">
        <f t="shared" si="4"/>
        <v>1</v>
      </c>
    </row>
    <row r="81">
      <c r="A81" s="23">
        <v>74884.0</v>
      </c>
      <c r="B81" s="24" t="str">
        <f t="array" ref="B81">xlookup($A81,product!$A:$A,product!B:B)</f>
        <v>Boisson</v>
      </c>
      <c r="C81" s="24" t="str">
        <f t="array" ref="C81">xlookup($A81,product!$A:$A,product!C:C)</f>
        <v>Café</v>
      </c>
      <c r="D81" s="24" t="str">
        <f t="array" ref="D81">xlookup($A81,product!$A:$A,product!D:D)</f>
        <v>Substituts de café, chicorée</v>
      </c>
      <c r="E81" s="25" t="str">
        <f t="shared" si="1"/>
        <v>74884-Café-Substituts de café, chicorée</v>
      </c>
      <c r="F81" s="25">
        <v>1.0</v>
      </c>
      <c r="G81" s="25">
        <v>6.0</v>
      </c>
      <c r="H81" s="25">
        <v>6.0</v>
      </c>
      <c r="I81" s="26">
        <f t="array" ref="I81">XLOOKUP($A81,product!A:A,product!E:E)</f>
        <v>5.02</v>
      </c>
      <c r="J81" s="25">
        <f t="shared" si="2"/>
        <v>30.12</v>
      </c>
      <c r="K81" s="27">
        <f t="shared" si="3"/>
        <v>1</v>
      </c>
      <c r="L81" s="25">
        <f t="shared" si="4"/>
        <v>1</v>
      </c>
    </row>
    <row r="82">
      <c r="A82" s="19">
        <v>127232.0</v>
      </c>
      <c r="B82" s="20" t="str">
        <f t="array" ref="B82">xlookup($A82,product!$A:$A,product!B:B)</f>
        <v>Boisson</v>
      </c>
      <c r="C82" s="20" t="str">
        <f t="array" ref="C82">xlookup($A82,product!$A:$A,product!C:C)</f>
        <v>Café</v>
      </c>
      <c r="D82" s="20" t="str">
        <f t="array" ref="D82">xlookup($A82,product!$A:$A,product!D:D)</f>
        <v>Substituts de café, chicorée</v>
      </c>
      <c r="E82" s="4" t="str">
        <f t="shared" si="1"/>
        <v>127232-Café-Substituts de café, chicorée</v>
      </c>
      <c r="F82" s="4">
        <v>1.0</v>
      </c>
      <c r="G82" s="4">
        <v>715.0</v>
      </c>
      <c r="H82" s="4">
        <v>657.0</v>
      </c>
      <c r="I82" s="21">
        <f t="array" ref="I82">XLOOKUP($A82,product!A:A,product!E:E)</f>
        <v>3.12</v>
      </c>
      <c r="J82" s="4">
        <f t="shared" si="2"/>
        <v>2049.84</v>
      </c>
      <c r="K82" s="22">
        <f t="shared" si="3"/>
        <v>1</v>
      </c>
      <c r="L82" s="4">
        <f t="shared" si="4"/>
        <v>1</v>
      </c>
    </row>
    <row r="83">
      <c r="A83" s="23">
        <v>82979.0</v>
      </c>
      <c r="B83" s="24" t="str">
        <f t="array" ref="B83">xlookup($A83,product!$A:$A,product!B:B)</f>
        <v>Boisson</v>
      </c>
      <c r="C83" s="24" t="str">
        <f t="array" ref="C83">xlookup($A83,product!$A:$A,product!C:C)</f>
        <v>Café</v>
      </c>
      <c r="D83" s="24" t="str">
        <f t="array" ref="D83">xlookup($A83,product!$A:$A,product!D:D)</f>
        <v>Substituts de café, chicorée</v>
      </c>
      <c r="E83" s="25" t="str">
        <f t="shared" si="1"/>
        <v>82979-Café-Substituts de café, chicorée</v>
      </c>
      <c r="F83" s="25">
        <v>1.0</v>
      </c>
      <c r="G83" s="25">
        <v>764.0</v>
      </c>
      <c r="H83" s="25">
        <v>714.0</v>
      </c>
      <c r="I83" s="26">
        <f t="array" ref="I83">XLOOKUP($A83,product!A:A,product!E:E)</f>
        <v>1.92</v>
      </c>
      <c r="J83" s="25">
        <f t="shared" si="2"/>
        <v>1370.88</v>
      </c>
      <c r="K83" s="27">
        <f t="shared" si="3"/>
        <v>1</v>
      </c>
      <c r="L83" s="25">
        <f t="shared" si="4"/>
        <v>1</v>
      </c>
    </row>
    <row r="84">
      <c r="A84" s="19">
        <v>18138.0</v>
      </c>
      <c r="B84" s="20" t="str">
        <f t="array" ref="B84">xlookup($A84,product!$A:$A,product!B:B)</f>
        <v>Boisson</v>
      </c>
      <c r="C84" s="20" t="str">
        <f t="array" ref="C84">xlookup($A84,product!$A:$A,product!C:C)</f>
        <v>Café</v>
      </c>
      <c r="D84" s="20" t="str">
        <f t="array" ref="D84">xlookup($A84,product!$A:$A,product!D:D)</f>
        <v>Substituts de café, chicorée</v>
      </c>
      <c r="E84" s="4" t="str">
        <f t="shared" si="1"/>
        <v>18138-Café-Substituts de café, chicorée</v>
      </c>
      <c r="F84" s="4">
        <v>0.0</v>
      </c>
      <c r="G84" s="4">
        <v>561.0</v>
      </c>
      <c r="H84" s="4">
        <v>347.0</v>
      </c>
      <c r="I84" s="21">
        <f t="array" ref="I84">XLOOKUP($A84,product!A:A,product!E:E)</f>
        <v>5.97</v>
      </c>
      <c r="J84" s="4">
        <f t="shared" si="2"/>
        <v>2071.59</v>
      </c>
      <c r="K84" s="22">
        <f t="shared" si="3"/>
        <v>1</v>
      </c>
      <c r="L84" s="4">
        <f t="shared" si="4"/>
        <v>1</v>
      </c>
    </row>
    <row r="85">
      <c r="A85" s="23">
        <v>127003.0</v>
      </c>
      <c r="B85" s="24" t="str">
        <f t="array" ref="B85">xlookup($A85,product!$A:$A,product!B:B)</f>
        <v>Boisson</v>
      </c>
      <c r="C85" s="24" t="str">
        <f t="array" ref="C85">xlookup($A85,product!$A:$A,product!C:C)</f>
        <v>Café</v>
      </c>
      <c r="D85" s="24" t="str">
        <f t="array" ref="D85">xlookup($A85,product!$A:$A,product!D:D)</f>
        <v>Capsules compatible Nespresso ®</v>
      </c>
      <c r="E85" s="25" t="str">
        <f t="shared" si="1"/>
        <v>127003-Café-Capsules compatible Nespresso ®</v>
      </c>
      <c r="F85" s="25">
        <v>0.0</v>
      </c>
      <c r="G85" s="25">
        <v>753.0</v>
      </c>
      <c r="H85" s="25">
        <v>393.0</v>
      </c>
      <c r="I85" s="26">
        <f t="array" ref="I85">XLOOKUP($A85,product!A:A,product!E:E)</f>
        <v>3.54</v>
      </c>
      <c r="J85" s="25">
        <f t="shared" si="2"/>
        <v>1391.22</v>
      </c>
      <c r="K85" s="27">
        <f t="shared" si="3"/>
        <v>1</v>
      </c>
      <c r="L85" s="25">
        <f t="shared" si="4"/>
        <v>1</v>
      </c>
    </row>
    <row r="86">
      <c r="A86" s="19">
        <v>6036.0</v>
      </c>
      <c r="B86" s="20" t="str">
        <f t="array" ref="B86">xlookup($A86,product!$A:$A,product!B:B)</f>
        <v>Boisson</v>
      </c>
      <c r="C86" s="20" t="str">
        <f t="array" ref="C86">xlookup($A86,product!$A:$A,product!C:C)</f>
        <v>Sirop</v>
      </c>
      <c r="D86" s="20" t="str">
        <f t="array" ref="D86">xlookup($A86,product!$A:$A,product!D:D)</f>
        <v/>
      </c>
      <c r="E86" s="4" t="str">
        <f t="shared" si="1"/>
        <v>6036-Sirop-</v>
      </c>
      <c r="F86" s="4">
        <v>1.0</v>
      </c>
      <c r="G86" s="4">
        <v>447.0</v>
      </c>
      <c r="H86" s="4">
        <v>438.0</v>
      </c>
      <c r="I86" s="21">
        <f t="array" ref="I86">XLOOKUP($A86,product!A:A,product!E:E)</f>
        <v>3.94</v>
      </c>
      <c r="J86" s="4">
        <f t="shared" si="2"/>
        <v>1725.72</v>
      </c>
      <c r="K86" s="22">
        <f t="shared" si="3"/>
        <v>1</v>
      </c>
      <c r="L86" s="4">
        <f t="shared" si="4"/>
        <v>1</v>
      </c>
    </row>
    <row r="87">
      <c r="A87" s="23">
        <v>6046.0</v>
      </c>
      <c r="B87" s="24" t="str">
        <f t="array" ref="B87">xlookup($A87,product!$A:$A,product!B:B)</f>
        <v>Boisson</v>
      </c>
      <c r="C87" s="24" t="str">
        <f t="array" ref="C87">xlookup($A87,product!$A:$A,product!C:C)</f>
        <v>Sirop</v>
      </c>
      <c r="D87" s="24" t="str">
        <f t="array" ref="D87">xlookup($A87,product!$A:$A,product!D:D)</f>
        <v/>
      </c>
      <c r="E87" s="25" t="str">
        <f t="shared" si="1"/>
        <v>6046-Sirop-</v>
      </c>
      <c r="F87" s="25">
        <v>0.0</v>
      </c>
      <c r="G87" s="25">
        <v>737.0</v>
      </c>
      <c r="H87" s="25">
        <v>321.0</v>
      </c>
      <c r="I87" s="26">
        <f t="array" ref="I87">XLOOKUP($A87,product!A:A,product!E:E)</f>
        <v>5.08</v>
      </c>
      <c r="J87" s="25">
        <f t="shared" si="2"/>
        <v>1630.68</v>
      </c>
      <c r="K87" s="27">
        <f t="shared" si="3"/>
        <v>1</v>
      </c>
      <c r="L87" s="25">
        <f t="shared" si="4"/>
        <v>1</v>
      </c>
    </row>
    <row r="88">
      <c r="A88" s="19">
        <v>6037.0</v>
      </c>
      <c r="B88" s="20" t="str">
        <f t="array" ref="B88">xlookup($A88,product!$A:$A,product!B:B)</f>
        <v>Boisson</v>
      </c>
      <c r="C88" s="20" t="str">
        <f t="array" ref="C88">xlookup($A88,product!$A:$A,product!C:C)</f>
        <v>Sirop</v>
      </c>
      <c r="D88" s="20" t="str">
        <f t="array" ref="D88">xlookup($A88,product!$A:$A,product!D:D)</f>
        <v/>
      </c>
      <c r="E88" s="4" t="str">
        <f t="shared" si="1"/>
        <v>6037-Sirop-</v>
      </c>
      <c r="F88" s="4">
        <v>0.0</v>
      </c>
      <c r="G88" s="4">
        <v>276.0</v>
      </c>
      <c r="H88" s="4">
        <v>231.0</v>
      </c>
      <c r="I88" s="21">
        <f t="array" ref="I88">XLOOKUP($A88,product!A:A,product!E:E)</f>
        <v>4.39</v>
      </c>
      <c r="J88" s="4">
        <f t="shared" si="2"/>
        <v>1014.09</v>
      </c>
      <c r="K88" s="22">
        <f t="shared" si="3"/>
        <v>1</v>
      </c>
      <c r="L88" s="4">
        <f t="shared" si="4"/>
        <v>1</v>
      </c>
    </row>
    <row r="89">
      <c r="A89" s="23">
        <v>6026.0</v>
      </c>
      <c r="B89" s="24" t="str">
        <f t="array" ref="B89">xlookup($A89,product!$A:$A,product!B:B)</f>
        <v>Boisson</v>
      </c>
      <c r="C89" s="24" t="str">
        <f t="array" ref="C89">xlookup($A89,product!$A:$A,product!C:C)</f>
        <v>Sirop</v>
      </c>
      <c r="D89" s="24" t="str">
        <f t="array" ref="D89">xlookup($A89,product!$A:$A,product!D:D)</f>
        <v/>
      </c>
      <c r="E89" s="25" t="str">
        <f t="shared" si="1"/>
        <v>6026-Sirop-</v>
      </c>
      <c r="F89" s="25">
        <v>1.0</v>
      </c>
      <c r="G89" s="25">
        <v>131.0</v>
      </c>
      <c r="H89" s="25">
        <v>27.0</v>
      </c>
      <c r="I89" s="26">
        <f t="array" ref="I89">XLOOKUP($A89,product!A:A,product!E:E)</f>
        <v>3.49</v>
      </c>
      <c r="J89" s="25">
        <f t="shared" si="2"/>
        <v>94.23</v>
      </c>
      <c r="K89" s="27">
        <f t="shared" si="3"/>
        <v>1</v>
      </c>
      <c r="L89" s="25">
        <f t="shared" si="4"/>
        <v>1</v>
      </c>
    </row>
    <row r="90">
      <c r="A90" s="19">
        <v>47431.0</v>
      </c>
      <c r="B90" s="20" t="str">
        <f t="array" ref="B90">xlookup($A90,product!$A:$A,product!B:B)</f>
        <v>Boisson</v>
      </c>
      <c r="C90" s="20" t="str">
        <f t="array" ref="C90">xlookup($A90,product!$A:$A,product!C:C)</f>
        <v>Sirop</v>
      </c>
      <c r="D90" s="20" t="str">
        <f t="array" ref="D90">xlookup($A90,product!$A:$A,product!D:D)</f>
        <v/>
      </c>
      <c r="E90" s="4" t="str">
        <f t="shared" si="1"/>
        <v>47431-Sirop-</v>
      </c>
      <c r="F90" s="4">
        <v>0.0</v>
      </c>
      <c r="G90" s="4">
        <v>100.0</v>
      </c>
      <c r="H90" s="4">
        <v>7.0</v>
      </c>
      <c r="I90" s="21">
        <f t="array" ref="I90">XLOOKUP($A90,product!A:A,product!E:E)</f>
        <v>3.4</v>
      </c>
      <c r="J90" s="4">
        <f t="shared" si="2"/>
        <v>23.8</v>
      </c>
      <c r="K90" s="22">
        <f t="shared" si="3"/>
        <v>1</v>
      </c>
      <c r="L90" s="4">
        <f t="shared" si="4"/>
        <v>1</v>
      </c>
    </row>
    <row r="91">
      <c r="A91" s="23">
        <v>82914.0</v>
      </c>
      <c r="B91" s="24" t="str">
        <f t="array" ref="B91">xlookup($A91,product!$A:$A,product!B:B)</f>
        <v>Boisson</v>
      </c>
      <c r="C91" s="24" t="str">
        <f t="array" ref="C91">xlookup($A91,product!$A:$A,product!C:C)</f>
        <v>Sirop</v>
      </c>
      <c r="D91" s="24" t="str">
        <f t="array" ref="D91">xlookup($A91,product!$A:$A,product!D:D)</f>
        <v/>
      </c>
      <c r="E91" s="25" t="str">
        <f t="shared" si="1"/>
        <v>82914-Sirop-</v>
      </c>
      <c r="F91" s="25">
        <v>1.0</v>
      </c>
      <c r="G91" s="25">
        <v>475.0</v>
      </c>
      <c r="H91" s="25">
        <v>337.0</v>
      </c>
      <c r="I91" s="26">
        <f t="array" ref="I91">XLOOKUP($A91,product!A:A,product!E:E)</f>
        <v>4.39</v>
      </c>
      <c r="J91" s="25">
        <f t="shared" si="2"/>
        <v>1479.43</v>
      </c>
      <c r="K91" s="27">
        <f t="shared" si="3"/>
        <v>1</v>
      </c>
      <c r="L91" s="25">
        <f t="shared" si="4"/>
        <v>1</v>
      </c>
    </row>
    <row r="92">
      <c r="A92" s="19">
        <v>6044.0</v>
      </c>
      <c r="B92" s="20" t="str">
        <f t="array" ref="B92">xlookup($A92,product!$A:$A,product!B:B)</f>
        <v>Boisson</v>
      </c>
      <c r="C92" s="20" t="str">
        <f t="array" ref="C92">xlookup($A92,product!$A:$A,product!C:C)</f>
        <v>Sirop</v>
      </c>
      <c r="D92" s="20" t="str">
        <f t="array" ref="D92">xlookup($A92,product!$A:$A,product!D:D)</f>
        <v/>
      </c>
      <c r="E92" s="4" t="str">
        <f t="shared" si="1"/>
        <v>6044-Sirop-</v>
      </c>
      <c r="F92" s="4">
        <v>1.0</v>
      </c>
      <c r="G92" s="4">
        <v>197.0</v>
      </c>
      <c r="H92" s="4">
        <v>167.0</v>
      </c>
      <c r="I92" s="21">
        <f t="array" ref="I92">XLOOKUP($A92,product!A:A,product!E:E)</f>
        <v>5.25</v>
      </c>
      <c r="J92" s="4">
        <f t="shared" si="2"/>
        <v>876.75</v>
      </c>
      <c r="K92" s="22">
        <f t="shared" si="3"/>
        <v>1</v>
      </c>
      <c r="L92" s="4">
        <f t="shared" si="4"/>
        <v>1</v>
      </c>
    </row>
    <row r="93">
      <c r="A93" s="23">
        <v>82913.0</v>
      </c>
      <c r="B93" s="24" t="str">
        <f t="array" ref="B93">xlookup($A93,product!$A:$A,product!B:B)</f>
        <v>Boisson</v>
      </c>
      <c r="C93" s="24" t="str">
        <f t="array" ref="C93">xlookup($A93,product!$A:$A,product!C:C)</f>
        <v>Sirop</v>
      </c>
      <c r="D93" s="24" t="str">
        <f t="array" ref="D93">xlookup($A93,product!$A:$A,product!D:D)</f>
        <v/>
      </c>
      <c r="E93" s="25" t="str">
        <f t="shared" si="1"/>
        <v>82913-Sirop-</v>
      </c>
      <c r="F93" s="25">
        <v>1.0</v>
      </c>
      <c r="G93" s="25">
        <v>192.0</v>
      </c>
      <c r="H93" s="25">
        <v>114.0</v>
      </c>
      <c r="I93" s="26">
        <f t="array" ref="I93">XLOOKUP($A93,product!A:A,product!E:E)</f>
        <v>4.19</v>
      </c>
      <c r="J93" s="25">
        <f t="shared" si="2"/>
        <v>477.66</v>
      </c>
      <c r="K93" s="27">
        <f t="shared" si="3"/>
        <v>1</v>
      </c>
      <c r="L93" s="25">
        <f t="shared" si="4"/>
        <v>1</v>
      </c>
    </row>
    <row r="94">
      <c r="A94" s="19">
        <v>82922.0</v>
      </c>
      <c r="B94" s="20" t="str">
        <f t="array" ref="B94">xlookup($A94,product!$A:$A,product!B:B)</f>
        <v>Boisson</v>
      </c>
      <c r="C94" s="20" t="str">
        <f t="array" ref="C94">xlookup($A94,product!$A:$A,product!C:C)</f>
        <v>Sirop</v>
      </c>
      <c r="D94" s="20" t="str">
        <f t="array" ref="D94">xlookup($A94,product!$A:$A,product!D:D)</f>
        <v/>
      </c>
      <c r="E94" s="4" t="str">
        <f t="shared" si="1"/>
        <v>82922-Sirop-</v>
      </c>
      <c r="F94" s="4">
        <v>1.0</v>
      </c>
      <c r="G94" s="4">
        <v>766.0</v>
      </c>
      <c r="H94" s="4">
        <v>105.0</v>
      </c>
      <c r="I94" s="21">
        <f t="array" ref="I94">XLOOKUP($A94,product!A:A,product!E:E)</f>
        <v>4.6</v>
      </c>
      <c r="J94" s="4">
        <f t="shared" si="2"/>
        <v>483</v>
      </c>
      <c r="K94" s="22">
        <f t="shared" si="3"/>
        <v>1</v>
      </c>
      <c r="L94" s="4">
        <f t="shared" si="4"/>
        <v>1</v>
      </c>
    </row>
    <row r="95">
      <c r="A95" s="23">
        <v>6045.0</v>
      </c>
      <c r="B95" s="24" t="str">
        <f t="array" ref="B95">xlookup($A95,product!$A:$A,product!B:B)</f>
        <v>Boisson</v>
      </c>
      <c r="C95" s="24" t="str">
        <f t="array" ref="C95">xlookup($A95,product!$A:$A,product!C:C)</f>
        <v>Sirop</v>
      </c>
      <c r="D95" s="24" t="str">
        <f t="array" ref="D95">xlookup($A95,product!$A:$A,product!D:D)</f>
        <v/>
      </c>
      <c r="E95" s="25" t="str">
        <f t="shared" si="1"/>
        <v>6045-Sirop-</v>
      </c>
      <c r="F95" s="25">
        <v>1.0</v>
      </c>
      <c r="G95" s="25">
        <v>1.0</v>
      </c>
      <c r="H95" s="25">
        <v>1.0</v>
      </c>
      <c r="I95" s="26">
        <f t="array" ref="I95">XLOOKUP($A95,product!A:A,product!E:E)</f>
        <v>5.08</v>
      </c>
      <c r="J95" s="25">
        <f t="shared" si="2"/>
        <v>5.08</v>
      </c>
      <c r="K95" s="27">
        <f t="shared" si="3"/>
        <v>1</v>
      </c>
      <c r="L95" s="25">
        <f t="shared" si="4"/>
        <v>1</v>
      </c>
    </row>
    <row r="96">
      <c r="A96" s="19">
        <v>6027.0</v>
      </c>
      <c r="B96" s="20" t="str">
        <f t="array" ref="B96">xlookup($A96,product!$A:$A,product!B:B)</f>
        <v>Boisson</v>
      </c>
      <c r="C96" s="20" t="str">
        <f t="array" ref="C96">xlookup($A96,product!$A:$A,product!C:C)</f>
        <v>Sirop</v>
      </c>
      <c r="D96" s="20" t="str">
        <f t="array" ref="D96">xlookup($A96,product!$A:$A,product!D:D)</f>
        <v/>
      </c>
      <c r="E96" s="4" t="str">
        <f t="shared" si="1"/>
        <v>6027-Sirop-</v>
      </c>
      <c r="F96" s="4">
        <v>0.0</v>
      </c>
      <c r="G96" s="4">
        <v>272.0</v>
      </c>
      <c r="H96" s="4">
        <v>168.0</v>
      </c>
      <c r="I96" s="21">
        <f t="array" ref="I96">XLOOKUP($A96,product!A:A,product!E:E)</f>
        <v>3.4</v>
      </c>
      <c r="J96" s="4">
        <f t="shared" si="2"/>
        <v>571.2</v>
      </c>
      <c r="K96" s="22">
        <f t="shared" si="3"/>
        <v>1</v>
      </c>
      <c r="L96" s="4">
        <f t="shared" si="4"/>
        <v>1</v>
      </c>
    </row>
    <row r="97">
      <c r="A97" s="23">
        <v>97088.0</v>
      </c>
      <c r="B97" s="24" t="str">
        <f t="array" ref="B97">xlookup($A97,product!$A:$A,product!B:B)</f>
        <v>Boisson</v>
      </c>
      <c r="C97" s="24" t="str">
        <f t="array" ref="C97">xlookup($A97,product!$A:$A,product!C:C)</f>
        <v>Alcool</v>
      </c>
      <c r="D97" s="24" t="str">
        <f t="array" ref="D97">xlookup($A97,product!$A:$A,product!D:D)</f>
        <v>Cidres Bio</v>
      </c>
      <c r="E97" s="25" t="str">
        <f t="shared" si="1"/>
        <v>97088-Alcool-Cidres Bio</v>
      </c>
      <c r="F97" s="25">
        <v>1.0</v>
      </c>
      <c r="G97" s="25">
        <v>366.0</v>
      </c>
      <c r="H97" s="25">
        <v>298.0</v>
      </c>
      <c r="I97" s="26">
        <f t="array" ref="I97">XLOOKUP($A97,product!A:A,product!E:E)</f>
        <v>2.47</v>
      </c>
      <c r="J97" s="25">
        <f t="shared" si="2"/>
        <v>736.06</v>
      </c>
      <c r="K97" s="27">
        <f t="shared" si="3"/>
        <v>1</v>
      </c>
      <c r="L97" s="25">
        <f t="shared" si="4"/>
        <v>1</v>
      </c>
    </row>
    <row r="98">
      <c r="A98" s="19">
        <v>122235.0</v>
      </c>
      <c r="B98" s="20" t="str">
        <f t="array" ref="B98">xlookup($A98,product!$A:$A,product!B:B)</f>
        <v>Boisson</v>
      </c>
      <c r="C98" s="20" t="str">
        <f t="array" ref="C98">xlookup($A98,product!$A:$A,product!C:C)</f>
        <v>Alcool</v>
      </c>
      <c r="D98" s="20" t="str">
        <f t="array" ref="D98">xlookup($A98,product!$A:$A,product!D:D)</f>
        <v>Spiritueux bio</v>
      </c>
      <c r="E98" s="4" t="str">
        <f t="shared" si="1"/>
        <v>122235-Alcool-Spiritueux bio</v>
      </c>
      <c r="F98" s="4">
        <v>1.0</v>
      </c>
      <c r="G98" s="4">
        <v>941.0</v>
      </c>
      <c r="H98" s="4">
        <v>126.0</v>
      </c>
      <c r="I98" s="21">
        <f t="array" ref="I98">XLOOKUP($A98,product!A:A,product!E:E)</f>
        <v>12.77</v>
      </c>
      <c r="J98" s="4">
        <f t="shared" si="2"/>
        <v>1609.02</v>
      </c>
      <c r="K98" s="22">
        <f t="shared" si="3"/>
        <v>1</v>
      </c>
      <c r="L98" s="4">
        <f t="shared" si="4"/>
        <v>1</v>
      </c>
    </row>
    <row r="99">
      <c r="A99" s="23">
        <v>119887.0</v>
      </c>
      <c r="B99" s="24" t="str">
        <f t="array" ref="B99">xlookup($A99,product!$A:$A,product!B:B)</f>
        <v>Boisson</v>
      </c>
      <c r="C99" s="24" t="str">
        <f t="array" ref="C99">xlookup($A99,product!$A:$A,product!C:C)</f>
        <v>Alcool</v>
      </c>
      <c r="D99" s="24" t="str">
        <f t="array" ref="D99">xlookup($A99,product!$A:$A,product!D:D)</f>
        <v>Spiritueux bio</v>
      </c>
      <c r="E99" s="25" t="str">
        <f t="shared" si="1"/>
        <v>119887-Alcool-Spiritueux bio</v>
      </c>
      <c r="F99" s="25">
        <v>1.0</v>
      </c>
      <c r="G99" s="25">
        <v>743.0</v>
      </c>
      <c r="H99" s="25">
        <v>505.0</v>
      </c>
      <c r="I99" s="26">
        <f t="array" ref="I99">XLOOKUP($A99,product!A:A,product!E:E)</f>
        <v>18.28</v>
      </c>
      <c r="J99" s="25">
        <f t="shared" si="2"/>
        <v>9231.4</v>
      </c>
      <c r="K99" s="27">
        <f t="shared" si="3"/>
        <v>1</v>
      </c>
      <c r="L99" s="25">
        <f t="shared" si="4"/>
        <v>1</v>
      </c>
    </row>
    <row r="100">
      <c r="A100" s="19">
        <v>97980.0</v>
      </c>
      <c r="B100" s="20" t="str">
        <f t="array" ref="B100">xlookup($A100,product!$A:$A,product!B:B)</f>
        <v>Boisson</v>
      </c>
      <c r="C100" s="20" t="str">
        <f t="array" ref="C100">xlookup($A100,product!$A:$A,product!C:C)</f>
        <v>Alcool</v>
      </c>
      <c r="D100" s="20" t="str">
        <f t="array" ref="D100">xlookup($A100,product!$A:$A,product!D:D)</f>
        <v>Boisson Apéritif bio</v>
      </c>
      <c r="E100" s="4" t="str">
        <f t="shared" si="1"/>
        <v>97980-Alcool-Boisson Apéritif bio</v>
      </c>
      <c r="F100" s="4">
        <v>0.0</v>
      </c>
      <c r="G100" s="4">
        <v>367.0</v>
      </c>
      <c r="H100" s="4">
        <v>345.0</v>
      </c>
      <c r="I100" s="21">
        <f t="array" ref="I100">XLOOKUP($A100,product!A:A,product!E:E)</f>
        <v>13.23</v>
      </c>
      <c r="J100" s="4">
        <f t="shared" si="2"/>
        <v>4564.35</v>
      </c>
      <c r="K100" s="22">
        <f t="shared" si="3"/>
        <v>1</v>
      </c>
      <c r="L100" s="4">
        <f t="shared" si="4"/>
        <v>1</v>
      </c>
    </row>
    <row r="101">
      <c r="A101" s="23">
        <v>119876.0</v>
      </c>
      <c r="B101" s="24" t="str">
        <f t="array" ref="B101">xlookup($A101,product!$A:$A,product!B:B)</f>
        <v>Boisson</v>
      </c>
      <c r="C101" s="24" t="str">
        <f t="array" ref="C101">xlookup($A101,product!$A:$A,product!C:C)</f>
        <v>Alcool</v>
      </c>
      <c r="D101" s="24" t="str">
        <f t="array" ref="D101">xlookup($A101,product!$A:$A,product!D:D)</f>
        <v>Boisson Apéritif bio</v>
      </c>
      <c r="E101" s="25" t="str">
        <f t="shared" si="1"/>
        <v>119876-Alcool-Boisson Apéritif bio</v>
      </c>
      <c r="F101" s="25">
        <v>0.0</v>
      </c>
      <c r="G101" s="25">
        <v>742.0</v>
      </c>
      <c r="H101" s="25">
        <v>441.0</v>
      </c>
      <c r="I101" s="26">
        <f t="array" ref="I101">XLOOKUP($A101,product!A:A,product!E:E)</f>
        <v>14.76</v>
      </c>
      <c r="J101" s="25">
        <f t="shared" si="2"/>
        <v>6509.16</v>
      </c>
      <c r="K101" s="27">
        <f t="shared" si="3"/>
        <v>1</v>
      </c>
      <c r="L101" s="25">
        <f t="shared" si="4"/>
        <v>1</v>
      </c>
    </row>
    <row r="102">
      <c r="A102" s="19">
        <v>119881.0</v>
      </c>
      <c r="B102" s="20" t="str">
        <f t="array" ref="B102">xlookup($A102,product!$A:$A,product!B:B)</f>
        <v>Boisson</v>
      </c>
      <c r="C102" s="20" t="str">
        <f t="array" ref="C102">xlookup($A102,product!$A:$A,product!C:C)</f>
        <v>Alcool</v>
      </c>
      <c r="D102" s="20" t="str">
        <f t="array" ref="D102">xlookup($A102,product!$A:$A,product!D:D)</f>
        <v>Boisson Apéritif bio</v>
      </c>
      <c r="E102" s="4" t="str">
        <f t="shared" si="1"/>
        <v>119881-Alcool-Boisson Apéritif bio</v>
      </c>
      <c r="F102" s="4">
        <v>0.0</v>
      </c>
      <c r="G102" s="4">
        <v>771.0</v>
      </c>
      <c r="H102" s="4">
        <v>97.0</v>
      </c>
      <c r="I102" s="21">
        <f t="array" ref="I102">XLOOKUP($A102,product!A:A,product!E:E)</f>
        <v>14.08</v>
      </c>
      <c r="J102" s="4">
        <f t="shared" si="2"/>
        <v>1365.76</v>
      </c>
      <c r="K102" s="22">
        <f t="shared" si="3"/>
        <v>1</v>
      </c>
      <c r="L102" s="4">
        <f t="shared" si="4"/>
        <v>1</v>
      </c>
    </row>
    <row r="103">
      <c r="A103" s="23">
        <v>26127.0</v>
      </c>
      <c r="B103" s="24" t="str">
        <f t="array" ref="B103">xlookup($A103,product!$A:$A,product!B:B)</f>
        <v>Boisson</v>
      </c>
      <c r="C103" s="24" t="str">
        <f t="array" ref="C103">xlookup($A103,product!$A:$A,product!C:C)</f>
        <v>Bière</v>
      </c>
      <c r="D103" s="24" t="str">
        <f t="array" ref="D103">xlookup($A103,product!$A:$A,product!D:D)</f>
        <v>Bière blonde</v>
      </c>
      <c r="E103" s="25" t="str">
        <f t="shared" si="1"/>
        <v>26127-Bière-Bière blonde</v>
      </c>
      <c r="F103" s="25">
        <v>0.0</v>
      </c>
      <c r="G103" s="25">
        <v>949.0</v>
      </c>
      <c r="H103" s="25">
        <v>223.0</v>
      </c>
      <c r="I103" s="26">
        <f t="array" ref="I103">XLOOKUP($A103,product!A:A,product!E:E)</f>
        <v>1.25</v>
      </c>
      <c r="J103" s="25">
        <f t="shared" si="2"/>
        <v>278.75</v>
      </c>
      <c r="K103" s="27">
        <f t="shared" si="3"/>
        <v>1</v>
      </c>
      <c r="L103" s="25">
        <f t="shared" si="4"/>
        <v>1</v>
      </c>
    </row>
    <row r="104">
      <c r="A104" s="19">
        <v>87365.0</v>
      </c>
      <c r="B104" s="20" t="str">
        <f t="array" ref="B104">xlookup($A104,product!$A:$A,product!B:B)</f>
        <v>Boisson</v>
      </c>
      <c r="C104" s="20" t="str">
        <f t="array" ref="C104">xlookup($A104,product!$A:$A,product!C:C)</f>
        <v>Bière</v>
      </c>
      <c r="D104" s="20" t="str">
        <f t="array" ref="D104">xlookup($A104,product!$A:$A,product!D:D)</f>
        <v>Bière blonde</v>
      </c>
      <c r="E104" s="4" t="str">
        <f t="shared" si="1"/>
        <v>87365-Bière-Bière blonde</v>
      </c>
      <c r="F104" s="4">
        <v>1.0</v>
      </c>
      <c r="G104" s="4">
        <v>699.0</v>
      </c>
      <c r="H104" s="4">
        <v>413.0</v>
      </c>
      <c r="I104" s="21">
        <f t="array" ref="I104">XLOOKUP($A104,product!A:A,product!E:E)</f>
        <v>3.05</v>
      </c>
      <c r="J104" s="4">
        <f t="shared" si="2"/>
        <v>1259.65</v>
      </c>
      <c r="K104" s="22">
        <f t="shared" si="3"/>
        <v>1</v>
      </c>
      <c r="L104" s="4">
        <f t="shared" si="4"/>
        <v>1</v>
      </c>
    </row>
    <row r="105">
      <c r="A105" s="23">
        <v>87381.0</v>
      </c>
      <c r="B105" s="24" t="str">
        <f t="array" ref="B105">xlookup($A105,product!$A:$A,product!B:B)</f>
        <v>Boisson</v>
      </c>
      <c r="C105" s="24" t="str">
        <f t="array" ref="C105">xlookup($A105,product!$A:$A,product!C:C)</f>
        <v>Bière</v>
      </c>
      <c r="D105" s="24" t="str">
        <f t="array" ref="D105">xlookup($A105,product!$A:$A,product!D:D)</f>
        <v>Bière blonde</v>
      </c>
      <c r="E105" s="25" t="str">
        <f t="shared" si="1"/>
        <v>87381-Bière-Bière blonde</v>
      </c>
      <c r="F105" s="25">
        <v>0.0</v>
      </c>
      <c r="G105" s="25">
        <v>91.0</v>
      </c>
      <c r="H105" s="25">
        <v>45.0</v>
      </c>
      <c r="I105" s="26">
        <f t="array" ref="I105">XLOOKUP($A105,product!A:A,product!E:E)</f>
        <v>1.44</v>
      </c>
      <c r="J105" s="25">
        <f t="shared" si="2"/>
        <v>64.8</v>
      </c>
      <c r="K105" s="27">
        <f t="shared" si="3"/>
        <v>1</v>
      </c>
      <c r="L105" s="25">
        <f t="shared" si="4"/>
        <v>1</v>
      </c>
    </row>
    <row r="106">
      <c r="A106" s="19">
        <v>122828.0</v>
      </c>
      <c r="B106" s="20" t="str">
        <f t="array" ref="B106">xlookup($A106,product!$A:$A,product!B:B)</f>
        <v>Boisson</v>
      </c>
      <c r="C106" s="20" t="str">
        <f t="array" ref="C106">xlookup($A106,product!$A:$A,product!C:C)</f>
        <v>Bière</v>
      </c>
      <c r="D106" s="20" t="str">
        <f t="array" ref="D106">xlookup($A106,product!$A:$A,product!D:D)</f>
        <v>Bière blonde</v>
      </c>
      <c r="E106" s="4" t="str">
        <f t="shared" si="1"/>
        <v>122828-Bière-Bière blonde</v>
      </c>
      <c r="F106" s="4">
        <v>1.0</v>
      </c>
      <c r="G106" s="4">
        <v>91.0</v>
      </c>
      <c r="H106" s="4">
        <v>52.0</v>
      </c>
      <c r="I106" s="21">
        <f t="array" ref="I106">XLOOKUP($A106,product!A:A,product!E:E)</f>
        <v>1.37</v>
      </c>
      <c r="J106" s="4">
        <f t="shared" si="2"/>
        <v>71.24</v>
      </c>
      <c r="K106" s="22">
        <f t="shared" si="3"/>
        <v>1</v>
      </c>
      <c r="L106" s="4">
        <f t="shared" si="4"/>
        <v>1</v>
      </c>
    </row>
    <row r="107">
      <c r="A107" s="23">
        <v>73841.0</v>
      </c>
      <c r="B107" s="24" t="str">
        <f t="array" ref="B107">xlookup($A107,product!$A:$A,product!B:B)</f>
        <v>Boisson</v>
      </c>
      <c r="C107" s="24" t="str">
        <f t="array" ref="C107">xlookup($A107,product!$A:$A,product!C:C)</f>
        <v>Bière</v>
      </c>
      <c r="D107" s="24" t="str">
        <f t="array" ref="D107">xlookup($A107,product!$A:$A,product!D:D)</f>
        <v>Bière blonde</v>
      </c>
      <c r="E107" s="25" t="str">
        <f t="shared" si="1"/>
        <v>73841-Bière-Bière blonde</v>
      </c>
      <c r="F107" s="25">
        <v>1.0</v>
      </c>
      <c r="G107" s="25">
        <v>359.0</v>
      </c>
      <c r="H107" s="25">
        <v>42.0</v>
      </c>
      <c r="I107" s="26">
        <f t="array" ref="I107">XLOOKUP($A107,product!A:A,product!E:E)</f>
        <v>1.25</v>
      </c>
      <c r="J107" s="25">
        <f t="shared" si="2"/>
        <v>52.5</v>
      </c>
      <c r="K107" s="27">
        <f t="shared" si="3"/>
        <v>1</v>
      </c>
      <c r="L107" s="25">
        <f t="shared" si="4"/>
        <v>1</v>
      </c>
    </row>
    <row r="108">
      <c r="A108" s="19">
        <v>73838.0</v>
      </c>
      <c r="B108" s="20" t="str">
        <f t="array" ref="B108">xlookup($A108,product!$A:$A,product!B:B)</f>
        <v>Boisson</v>
      </c>
      <c r="C108" s="20" t="str">
        <f t="array" ref="C108">xlookup($A108,product!$A:$A,product!C:C)</f>
        <v>Bière</v>
      </c>
      <c r="D108" s="20" t="str">
        <f t="array" ref="D108">xlookup($A108,product!$A:$A,product!D:D)</f>
        <v>Bière ambrée</v>
      </c>
      <c r="E108" s="4" t="str">
        <f t="shared" si="1"/>
        <v>73838-Bière-Bière ambrée</v>
      </c>
      <c r="F108" s="4">
        <v>1.0</v>
      </c>
      <c r="G108" s="4">
        <v>382.0</v>
      </c>
      <c r="H108" s="4">
        <v>9.0</v>
      </c>
      <c r="I108" s="21">
        <f t="array" ref="I108">XLOOKUP($A108,product!A:A,product!E:E)</f>
        <v>1.25</v>
      </c>
      <c r="J108" s="4">
        <f t="shared" si="2"/>
        <v>11.25</v>
      </c>
      <c r="K108" s="22">
        <f t="shared" si="3"/>
        <v>1</v>
      </c>
      <c r="L108" s="4">
        <f t="shared" si="4"/>
        <v>1</v>
      </c>
    </row>
    <row r="109">
      <c r="A109" s="23">
        <v>87372.0</v>
      </c>
      <c r="B109" s="24" t="str">
        <f t="array" ref="B109">xlookup($A109,product!$A:$A,product!B:B)</f>
        <v>Boisson</v>
      </c>
      <c r="C109" s="24" t="str">
        <f t="array" ref="C109">xlookup($A109,product!$A:$A,product!C:C)</f>
        <v>Bière</v>
      </c>
      <c r="D109" s="24" t="str">
        <f t="array" ref="D109">xlookup($A109,product!$A:$A,product!D:D)</f>
        <v>Bière blanche</v>
      </c>
      <c r="E109" s="25" t="str">
        <f t="shared" si="1"/>
        <v>87372-Bière-Bière blanche</v>
      </c>
      <c r="F109" s="25">
        <v>0.0</v>
      </c>
      <c r="G109" s="25">
        <v>549.0</v>
      </c>
      <c r="H109" s="25">
        <v>502.0</v>
      </c>
      <c r="I109" s="26">
        <f t="array" ref="I109">XLOOKUP($A109,product!A:A,product!E:E)</f>
        <v>3.37</v>
      </c>
      <c r="J109" s="25">
        <f t="shared" si="2"/>
        <v>1691.74</v>
      </c>
      <c r="K109" s="27">
        <f t="shared" si="3"/>
        <v>1</v>
      </c>
      <c r="L109" s="25">
        <f t="shared" si="4"/>
        <v>1</v>
      </c>
    </row>
    <row r="110">
      <c r="A110" s="19">
        <v>87383.0</v>
      </c>
      <c r="B110" s="20" t="str">
        <f t="array" ref="B110">xlookup($A110,product!$A:$A,product!B:B)</f>
        <v>Boisson</v>
      </c>
      <c r="C110" s="20" t="str">
        <f t="array" ref="C110">xlookup($A110,product!$A:$A,product!C:C)</f>
        <v>Bière</v>
      </c>
      <c r="D110" s="20" t="str">
        <f t="array" ref="D110">xlookup($A110,product!$A:$A,product!D:D)</f>
        <v>Bière blanche</v>
      </c>
      <c r="E110" s="4" t="str">
        <f t="shared" si="1"/>
        <v>87383-Bière-Bière blanche</v>
      </c>
      <c r="F110" s="4">
        <v>1.0</v>
      </c>
      <c r="G110" s="4">
        <v>723.0</v>
      </c>
      <c r="H110" s="4">
        <v>60.0</v>
      </c>
      <c r="I110" s="21">
        <f t="array" ref="I110">XLOOKUP($A110,product!A:A,product!E:E)</f>
        <v>3.5</v>
      </c>
      <c r="J110" s="4">
        <f t="shared" si="2"/>
        <v>210</v>
      </c>
      <c r="K110" s="22">
        <f t="shared" si="3"/>
        <v>1</v>
      </c>
      <c r="L110" s="4">
        <f t="shared" si="4"/>
        <v>1</v>
      </c>
    </row>
    <row r="111">
      <c r="A111" s="23">
        <v>49068.0</v>
      </c>
      <c r="B111" s="24" t="str">
        <f t="array" ref="B111">xlookup($A111,product!$A:$A,product!B:B)</f>
        <v>Boisson</v>
      </c>
      <c r="C111" s="24" t="str">
        <f t="array" ref="C111">xlookup($A111,product!$A:$A,product!C:C)</f>
        <v>Bière</v>
      </c>
      <c r="D111" s="24" t="str">
        <f t="array" ref="D111">xlookup($A111,product!$A:$A,product!D:D)</f>
        <v>Coffret de Bière</v>
      </c>
      <c r="E111" s="25" t="str">
        <f t="shared" si="1"/>
        <v>49068-Bière-Coffret de Bière</v>
      </c>
      <c r="F111" s="25">
        <v>1.0</v>
      </c>
      <c r="G111" s="25">
        <v>929.0</v>
      </c>
      <c r="H111" s="25">
        <v>26.0</v>
      </c>
      <c r="I111" s="26">
        <f t="array" ref="I111">XLOOKUP($A111,product!A:A,product!E:E)</f>
        <v>6.95</v>
      </c>
      <c r="J111" s="25">
        <f t="shared" si="2"/>
        <v>180.7</v>
      </c>
      <c r="K111" s="27">
        <f t="shared" si="3"/>
        <v>1</v>
      </c>
      <c r="L111" s="25">
        <f t="shared" si="4"/>
        <v>1</v>
      </c>
    </row>
    <row r="112">
      <c r="A112" s="19">
        <v>26130.0</v>
      </c>
      <c r="B112" s="20" t="str">
        <f t="array" ref="B112">xlookup($A112,product!$A:$A,product!B:B)</f>
        <v>Boisson</v>
      </c>
      <c r="C112" s="20" t="str">
        <f t="array" ref="C112">xlookup($A112,product!$A:$A,product!C:C)</f>
        <v>Bière</v>
      </c>
      <c r="D112" s="20" t="str">
        <f t="array" ref="D112">xlookup($A112,product!$A:$A,product!D:D)</f>
        <v>Bière sans alcool</v>
      </c>
      <c r="E112" s="4" t="str">
        <f t="shared" si="1"/>
        <v>26130-Bière-Bière sans alcool</v>
      </c>
      <c r="F112" s="4">
        <v>1.0</v>
      </c>
      <c r="G112" s="4">
        <v>201.0</v>
      </c>
      <c r="H112" s="4">
        <v>139.0</v>
      </c>
      <c r="I112" s="21">
        <f t="array" ref="I112">XLOOKUP($A112,product!A:A,product!E:E)</f>
        <v>1.25</v>
      </c>
      <c r="J112" s="4">
        <f t="shared" si="2"/>
        <v>173.75</v>
      </c>
      <c r="K112" s="22">
        <f t="shared" si="3"/>
        <v>1</v>
      </c>
      <c r="L112" s="4">
        <f t="shared" si="4"/>
        <v>1</v>
      </c>
    </row>
    <row r="113">
      <c r="A113" s="23">
        <v>111493.0</v>
      </c>
      <c r="B113" s="24" t="str">
        <f t="array" ref="B113">xlookup($A113,product!$A:$A,product!B:B)</f>
        <v>Boisson</v>
      </c>
      <c r="C113" s="24" t="str">
        <f t="array" ref="C113">xlookup($A113,product!$A:$A,product!C:C)</f>
        <v>Bière</v>
      </c>
      <c r="D113" s="24" t="str">
        <f t="array" ref="D113">xlookup($A113,product!$A:$A,product!D:D)</f>
        <v>Bière sans gluten</v>
      </c>
      <c r="E113" s="25" t="str">
        <f t="shared" si="1"/>
        <v>111493-Bière-Bière sans gluten</v>
      </c>
      <c r="F113" s="25">
        <v>0.0</v>
      </c>
      <c r="G113" s="25">
        <v>207.0</v>
      </c>
      <c r="H113" s="25">
        <v>139.0</v>
      </c>
      <c r="I113" s="26">
        <f t="array" ref="I113">XLOOKUP($A113,product!A:A,product!E:E)</f>
        <v>2.85</v>
      </c>
      <c r="J113" s="25">
        <f t="shared" si="2"/>
        <v>396.15</v>
      </c>
      <c r="K113" s="27">
        <f t="shared" si="3"/>
        <v>1</v>
      </c>
      <c r="L113" s="25">
        <f t="shared" si="4"/>
        <v>1</v>
      </c>
    </row>
    <row r="114">
      <c r="A114" s="19">
        <v>98395.0</v>
      </c>
      <c r="B114" s="20" t="str">
        <f t="array" ref="B114">xlookup($A114,product!$A:$A,product!B:B)</f>
        <v>Boisson</v>
      </c>
      <c r="C114" s="20" t="str">
        <f t="array" ref="C114">xlookup($A114,product!$A:$A,product!C:C)</f>
        <v>Bière</v>
      </c>
      <c r="D114" s="20" t="str">
        <f t="array" ref="D114">xlookup($A114,product!$A:$A,product!D:D)</f>
        <v>Bière sans gluten</v>
      </c>
      <c r="E114" s="4" t="str">
        <f t="shared" si="1"/>
        <v>98395-Bière-Bière sans gluten</v>
      </c>
      <c r="F114" s="4">
        <v>1.0</v>
      </c>
      <c r="G114" s="4">
        <v>601.0</v>
      </c>
      <c r="H114" s="4">
        <v>47.0</v>
      </c>
      <c r="I114" s="21">
        <f t="array" ref="I114">XLOOKUP($A114,product!A:A,product!E:E)</f>
        <v>1.37</v>
      </c>
      <c r="J114" s="4">
        <f t="shared" si="2"/>
        <v>64.39</v>
      </c>
      <c r="K114" s="22">
        <f t="shared" si="3"/>
        <v>1</v>
      </c>
      <c r="L114" s="4">
        <f t="shared" si="4"/>
        <v>1</v>
      </c>
    </row>
    <row r="115">
      <c r="A115" s="23">
        <v>98396.0</v>
      </c>
      <c r="B115" s="24" t="str">
        <f t="array" ref="B115">xlookup($A115,product!$A:$A,product!B:B)</f>
        <v>Boisson</v>
      </c>
      <c r="C115" s="24" t="str">
        <f t="array" ref="C115">xlookup($A115,product!$A:$A,product!C:C)</f>
        <v>Bière</v>
      </c>
      <c r="D115" s="24" t="str">
        <f t="array" ref="D115">xlookup($A115,product!$A:$A,product!D:D)</f>
        <v>Bière sans gluten</v>
      </c>
      <c r="E115" s="25" t="str">
        <f t="shared" si="1"/>
        <v>98396-Bière-Bière sans gluten</v>
      </c>
      <c r="F115" s="25">
        <v>1.0</v>
      </c>
      <c r="G115" s="25">
        <v>568.0</v>
      </c>
      <c r="H115" s="25">
        <v>79.0</v>
      </c>
      <c r="I115" s="26">
        <f t="array" ref="I115">XLOOKUP($A115,product!A:A,product!E:E)</f>
        <v>1.44</v>
      </c>
      <c r="J115" s="25">
        <f t="shared" si="2"/>
        <v>113.76</v>
      </c>
      <c r="K115" s="27">
        <f t="shared" si="3"/>
        <v>1</v>
      </c>
      <c r="L115" s="25">
        <f t="shared" si="4"/>
        <v>1</v>
      </c>
    </row>
    <row r="116">
      <c r="A116" s="19">
        <v>98394.0</v>
      </c>
      <c r="B116" s="20" t="str">
        <f t="array" ref="B116">xlookup($A116,product!$A:$A,product!B:B)</f>
        <v>Boisson</v>
      </c>
      <c r="C116" s="20" t="str">
        <f t="array" ref="C116">xlookup($A116,product!$A:$A,product!C:C)</f>
        <v>Bière</v>
      </c>
      <c r="D116" s="20" t="str">
        <f t="array" ref="D116">xlookup($A116,product!$A:$A,product!D:D)</f>
        <v>Bière sans gluten</v>
      </c>
      <c r="E116" s="4" t="str">
        <f t="shared" si="1"/>
        <v>98394-Bière-Bière sans gluten</v>
      </c>
      <c r="F116" s="4">
        <v>1.0</v>
      </c>
      <c r="G116" s="4">
        <v>417.0</v>
      </c>
      <c r="H116" s="4">
        <v>409.0</v>
      </c>
      <c r="I116" s="21">
        <f t="array" ref="I116">XLOOKUP($A116,product!A:A,product!E:E)</f>
        <v>1.37</v>
      </c>
      <c r="J116" s="4">
        <f t="shared" si="2"/>
        <v>560.33</v>
      </c>
      <c r="K116" s="22">
        <f t="shared" si="3"/>
        <v>1</v>
      </c>
      <c r="L116" s="4">
        <f t="shared" si="4"/>
        <v>1</v>
      </c>
    </row>
    <row r="117">
      <c r="A117" s="23">
        <v>98397.0</v>
      </c>
      <c r="B117" s="24" t="str">
        <f t="array" ref="B117">xlookup($A117,product!$A:$A,product!B:B)</f>
        <v>Boisson</v>
      </c>
      <c r="C117" s="24" t="str">
        <f t="array" ref="C117">xlookup($A117,product!$A:$A,product!C:C)</f>
        <v>Bière</v>
      </c>
      <c r="D117" s="24" t="str">
        <f t="array" ref="D117">xlookup($A117,product!$A:$A,product!D:D)</f>
        <v>Bière sans gluten</v>
      </c>
      <c r="E117" s="25" t="str">
        <f t="shared" si="1"/>
        <v>98397-Bière-Bière sans gluten</v>
      </c>
      <c r="F117" s="25">
        <v>1.0</v>
      </c>
      <c r="G117" s="25">
        <v>246.0</v>
      </c>
      <c r="H117" s="25">
        <v>78.0</v>
      </c>
      <c r="I117" s="26">
        <f t="array" ref="I117">XLOOKUP($A117,product!A:A,product!E:E)</f>
        <v>1.44</v>
      </c>
      <c r="J117" s="25">
        <f t="shared" si="2"/>
        <v>112.32</v>
      </c>
      <c r="K117" s="27">
        <f t="shared" si="3"/>
        <v>1</v>
      </c>
      <c r="L117" s="25">
        <f t="shared" si="4"/>
        <v>1</v>
      </c>
    </row>
    <row r="118">
      <c r="A118" s="19">
        <v>111489.0</v>
      </c>
      <c r="B118" s="20" t="str">
        <f t="array" ref="B118">xlookup($A118,product!$A:$A,product!B:B)</f>
        <v>Boisson</v>
      </c>
      <c r="C118" s="20" t="str">
        <f t="array" ref="C118">xlookup($A118,product!$A:$A,product!C:C)</f>
        <v>Bière</v>
      </c>
      <c r="D118" s="20" t="str">
        <f t="array" ref="D118">xlookup($A118,product!$A:$A,product!D:D)</f>
        <v>Bière sans gluten</v>
      </c>
      <c r="E118" s="4" t="str">
        <f t="shared" si="1"/>
        <v>111489-Bière-Bière sans gluten</v>
      </c>
      <c r="F118" s="4">
        <v>1.0</v>
      </c>
      <c r="G118" s="4">
        <v>46.0</v>
      </c>
      <c r="H118" s="4">
        <v>39.0</v>
      </c>
      <c r="I118" s="21">
        <f t="array" ref="I118">XLOOKUP($A118,product!A:A,product!E:E)</f>
        <v>1.37</v>
      </c>
      <c r="J118" s="4">
        <f t="shared" si="2"/>
        <v>53.43</v>
      </c>
      <c r="K118" s="22">
        <f t="shared" si="3"/>
        <v>1</v>
      </c>
      <c r="L118" s="4">
        <f t="shared" si="4"/>
        <v>1</v>
      </c>
    </row>
    <row r="119">
      <c r="A119" s="23">
        <v>98393.0</v>
      </c>
      <c r="B119" s="24" t="str">
        <f t="array" ref="B119">xlookup($A119,product!$A:$A,product!B:B)</f>
        <v>Boisson</v>
      </c>
      <c r="C119" s="24" t="str">
        <f t="array" ref="C119">xlookup($A119,product!$A:$A,product!C:C)</f>
        <v>Bière</v>
      </c>
      <c r="D119" s="24" t="str">
        <f t="array" ref="D119">xlookup($A119,product!$A:$A,product!D:D)</f>
        <v>Bière sans gluten</v>
      </c>
      <c r="E119" s="25" t="str">
        <f t="shared" si="1"/>
        <v>98393-Bière-Bière sans gluten</v>
      </c>
      <c r="F119" s="25">
        <v>0.0</v>
      </c>
      <c r="G119" s="25">
        <v>694.0</v>
      </c>
      <c r="H119" s="25">
        <v>118.0</v>
      </c>
      <c r="I119" s="26">
        <f t="array" ref="I119">XLOOKUP($A119,product!A:A,product!E:E)</f>
        <v>1.34</v>
      </c>
      <c r="J119" s="25">
        <f t="shared" si="2"/>
        <v>158.12</v>
      </c>
      <c r="K119" s="27">
        <f t="shared" si="3"/>
        <v>1</v>
      </c>
      <c r="L119" s="25">
        <f t="shared" si="4"/>
        <v>1</v>
      </c>
    </row>
    <row r="120">
      <c r="A120" s="19">
        <v>10933.0</v>
      </c>
      <c r="B120" s="20" t="str">
        <f t="array" ref="B120">xlookup($A120,product!$A:$A,product!B:B)</f>
        <v>Extérieur</v>
      </c>
      <c r="C120" s="20" t="str">
        <f t="array" ref="C120">xlookup($A120,product!$A:$A,product!C:C)</f>
        <v>Jardin</v>
      </c>
      <c r="D120" s="20" t="str">
        <f t="array" ref="D120">xlookup($A120,product!$A:$A,product!D:D)</f>
        <v>Récupérateur d'eau</v>
      </c>
      <c r="E120" s="4" t="str">
        <f t="shared" si="1"/>
        <v>10933-Jardin-Récupérateur d'eau</v>
      </c>
      <c r="F120" s="4">
        <v>0.0</v>
      </c>
      <c r="G120" s="4">
        <v>635.0</v>
      </c>
      <c r="H120" s="4">
        <v>144.0</v>
      </c>
      <c r="I120" s="21">
        <f t="array" ref="I120">XLOOKUP($A120,product!A:A,product!E:E)</f>
        <v>13.77</v>
      </c>
      <c r="J120" s="4">
        <f t="shared" si="2"/>
        <v>1982.88</v>
      </c>
      <c r="K120" s="22">
        <f t="shared" si="3"/>
        <v>1</v>
      </c>
      <c r="L120" s="4">
        <f t="shared" si="4"/>
        <v>1</v>
      </c>
    </row>
    <row r="121">
      <c r="A121" s="23">
        <v>111994.0</v>
      </c>
      <c r="B121" s="24" t="str">
        <f t="array" ref="B121">xlookup($A121,product!$A:$A,product!B:B)</f>
        <v>Extérieur</v>
      </c>
      <c r="C121" s="24" t="str">
        <f t="array" ref="C121">xlookup($A121,product!$A:$A,product!C:C)</f>
        <v>Jardin</v>
      </c>
      <c r="D121" s="24" t="str">
        <f t="array" ref="D121">xlookup($A121,product!$A:$A,product!D:D)</f>
        <v>Potagers d'intérieur et graines</v>
      </c>
      <c r="E121" s="25" t="str">
        <f t="shared" si="1"/>
        <v>111994-Jardin-Potagers d'intérieur et graines</v>
      </c>
      <c r="F121" s="25">
        <v>0.0</v>
      </c>
      <c r="G121" s="25">
        <v>853.0</v>
      </c>
      <c r="H121" s="25">
        <v>713.0</v>
      </c>
      <c r="I121" s="26">
        <f t="array" ref="I121">XLOOKUP($A121,product!A:A,product!E:E)</f>
        <v>4.83</v>
      </c>
      <c r="J121" s="25">
        <f t="shared" si="2"/>
        <v>3443.79</v>
      </c>
      <c r="K121" s="27">
        <f t="shared" si="3"/>
        <v>1</v>
      </c>
      <c r="L121" s="25">
        <f t="shared" si="4"/>
        <v>1</v>
      </c>
    </row>
    <row r="122">
      <c r="A122" s="19">
        <v>101637.0</v>
      </c>
      <c r="B122" s="20" t="str">
        <f t="array" ref="B122">xlookup($A122,product!$A:$A,product!B:B)</f>
        <v>Extérieur</v>
      </c>
      <c r="C122" s="20" t="str">
        <f t="array" ref="C122">xlookup($A122,product!$A:$A,product!C:C)</f>
        <v>Jardin</v>
      </c>
      <c r="D122" s="20" t="str">
        <f t="array" ref="D122">xlookup($A122,product!$A:$A,product!D:D)</f>
        <v>Potagers d'intérieur et graines</v>
      </c>
      <c r="E122" s="4" t="str">
        <f t="shared" si="1"/>
        <v>101637-Jardin-Potagers d'intérieur et graines</v>
      </c>
      <c r="F122" s="4">
        <v>1.0</v>
      </c>
      <c r="G122" s="4">
        <v>243.0</v>
      </c>
      <c r="H122" s="4">
        <v>97.0</v>
      </c>
      <c r="I122" s="21">
        <f t="array" ref="I122">XLOOKUP($A122,product!A:A,product!E:E)</f>
        <v>4.83</v>
      </c>
      <c r="J122" s="4">
        <f t="shared" si="2"/>
        <v>468.51</v>
      </c>
      <c r="K122" s="22">
        <f t="shared" si="3"/>
        <v>1</v>
      </c>
      <c r="L122" s="4">
        <f t="shared" si="4"/>
        <v>1</v>
      </c>
    </row>
    <row r="123">
      <c r="A123" s="23">
        <v>111996.0</v>
      </c>
      <c r="B123" s="24" t="str">
        <f t="array" ref="B123">xlookup($A123,product!$A:$A,product!B:B)</f>
        <v>Extérieur</v>
      </c>
      <c r="C123" s="24" t="str">
        <f t="array" ref="C123">xlookup($A123,product!$A:$A,product!C:C)</f>
        <v>Jardin</v>
      </c>
      <c r="D123" s="24" t="str">
        <f t="array" ref="D123">xlookup($A123,product!$A:$A,product!D:D)</f>
        <v>Potagers d'intérieur et graines</v>
      </c>
      <c r="E123" s="25" t="str">
        <f t="shared" si="1"/>
        <v>111996-Jardin-Potagers d'intérieur et graines</v>
      </c>
      <c r="F123" s="25">
        <v>0.0</v>
      </c>
      <c r="G123" s="25">
        <v>508.0</v>
      </c>
      <c r="H123" s="25">
        <v>317.0</v>
      </c>
      <c r="I123" s="26">
        <f t="array" ref="I123">XLOOKUP($A123,product!A:A,product!E:E)</f>
        <v>4.83</v>
      </c>
      <c r="J123" s="25">
        <f t="shared" si="2"/>
        <v>1531.11</v>
      </c>
      <c r="K123" s="27">
        <f t="shared" si="3"/>
        <v>1</v>
      </c>
      <c r="L123" s="25">
        <f t="shared" si="4"/>
        <v>1</v>
      </c>
    </row>
    <row r="124">
      <c r="A124" s="19">
        <v>120886.0</v>
      </c>
      <c r="B124" s="20" t="str">
        <f t="array" ref="B124">xlookup($A124,product!$A:$A,product!B:B)</f>
        <v>Maison</v>
      </c>
      <c r="C124" s="20" t="str">
        <f t="array" ref="C124">xlookup($A124,product!$A:$A,product!C:C)</f>
        <v>Livres</v>
      </c>
      <c r="D124" s="20" t="str">
        <f t="array" ref="D124">xlookup($A124,product!$A:$A,product!D:D)</f>
        <v>Livres Cuisine</v>
      </c>
      <c r="E124" s="4" t="str">
        <f t="shared" si="1"/>
        <v>120886-Livres-Livres Cuisine</v>
      </c>
      <c r="F124" s="4">
        <v>0.0</v>
      </c>
      <c r="G124" s="4">
        <v>629.0</v>
      </c>
      <c r="H124" s="4">
        <v>554.0</v>
      </c>
      <c r="I124" s="21">
        <f t="array" ref="I124">XLOOKUP($A124,product!A:A,product!E:E)</f>
        <v>12.79</v>
      </c>
      <c r="J124" s="4">
        <f t="shared" si="2"/>
        <v>7085.66</v>
      </c>
      <c r="K124" s="22">
        <f t="shared" si="3"/>
        <v>1</v>
      </c>
      <c r="L124" s="4">
        <f t="shared" si="4"/>
        <v>1</v>
      </c>
    </row>
    <row r="125">
      <c r="A125" s="23">
        <v>85058.0</v>
      </c>
      <c r="B125" s="24" t="str">
        <f t="array" ref="B125">xlookup($A125,product!$A:$A,product!B:B)</f>
        <v>Maison</v>
      </c>
      <c r="C125" s="24" t="str">
        <f t="array" ref="C125">xlookup($A125,product!$A:$A,product!C:C)</f>
        <v>Livres</v>
      </c>
      <c r="D125" s="24" t="str">
        <f t="array" ref="D125">xlookup($A125,product!$A:$A,product!D:D)</f>
        <v>Livres Entretien</v>
      </c>
      <c r="E125" s="25" t="str">
        <f t="shared" si="1"/>
        <v>85058-Livres-Livres Entretien</v>
      </c>
      <c r="F125" s="25">
        <v>0.0</v>
      </c>
      <c r="G125" s="25">
        <v>386.0</v>
      </c>
      <c r="H125" s="25">
        <v>365.0</v>
      </c>
      <c r="I125" s="26">
        <f t="array" ref="I125">XLOOKUP($A125,product!A:A,product!E:E)</f>
        <v>9.78</v>
      </c>
      <c r="J125" s="25">
        <f t="shared" si="2"/>
        <v>3569.7</v>
      </c>
      <c r="K125" s="27">
        <f t="shared" si="3"/>
        <v>1</v>
      </c>
      <c r="L125" s="25">
        <f t="shared" si="4"/>
        <v>1</v>
      </c>
    </row>
    <row r="126">
      <c r="A126" s="19">
        <v>27380.0</v>
      </c>
      <c r="B126" s="20" t="str">
        <f t="array" ref="B126">xlookup($A126,product!$A:$A,product!B:B)</f>
        <v>Maison</v>
      </c>
      <c r="C126" s="20" t="str">
        <f t="array" ref="C126">xlookup($A126,product!$A:$A,product!C:C)</f>
        <v>Cuisson</v>
      </c>
      <c r="D126" s="20" t="str">
        <f t="array" ref="D126">xlookup($A126,product!$A:$A,product!D:D)</f>
        <v>Poêle</v>
      </c>
      <c r="E126" s="4" t="str">
        <f t="shared" si="1"/>
        <v>27380-Cuisson-Poêle</v>
      </c>
      <c r="F126" s="4">
        <v>1.0</v>
      </c>
      <c r="G126" s="4">
        <v>141.0</v>
      </c>
      <c r="H126" s="4">
        <v>49.0</v>
      </c>
      <c r="I126" s="21">
        <f t="array" ref="I126">XLOOKUP($A126,product!A:A,product!E:E)</f>
        <v>15</v>
      </c>
      <c r="J126" s="4">
        <f t="shared" si="2"/>
        <v>735</v>
      </c>
      <c r="K126" s="22">
        <f t="shared" si="3"/>
        <v>1</v>
      </c>
      <c r="L126" s="4">
        <f t="shared" si="4"/>
        <v>1</v>
      </c>
    </row>
    <row r="127">
      <c r="A127" s="23">
        <v>117204.0</v>
      </c>
      <c r="B127" s="24" t="str">
        <f t="array" ref="B127">xlookup($A127,product!$A:$A,product!B:B)</f>
        <v>Maison</v>
      </c>
      <c r="C127" s="24" t="str">
        <f t="array" ref="C127">xlookup($A127,product!$A:$A,product!C:C)</f>
        <v>Cuisson</v>
      </c>
      <c r="D127" s="24" t="str">
        <f t="array" ref="D127">xlookup($A127,product!$A:$A,product!D:D)</f>
        <v>Poêle</v>
      </c>
      <c r="E127" s="25" t="str">
        <f t="shared" si="1"/>
        <v>117204-Cuisson-Poêle</v>
      </c>
      <c r="F127" s="25">
        <v>0.0</v>
      </c>
      <c r="G127" s="25">
        <v>60.0</v>
      </c>
      <c r="H127" s="25">
        <v>8.0</v>
      </c>
      <c r="I127" s="26">
        <f t="array" ref="I127">XLOOKUP($A127,product!A:A,product!E:E)</f>
        <v>12.19</v>
      </c>
      <c r="J127" s="25">
        <f t="shared" si="2"/>
        <v>97.52</v>
      </c>
      <c r="K127" s="27">
        <f t="shared" si="3"/>
        <v>1</v>
      </c>
      <c r="L127" s="25">
        <f t="shared" si="4"/>
        <v>1</v>
      </c>
    </row>
    <row r="128">
      <c r="A128" s="19">
        <v>45484.0</v>
      </c>
      <c r="B128" s="20" t="str">
        <f t="array" ref="B128">xlookup($A128,product!$A:$A,product!B:B)</f>
        <v>Maison</v>
      </c>
      <c r="C128" s="20" t="str">
        <f t="array" ref="C128">xlookup($A128,product!$A:$A,product!C:C)</f>
        <v>Cuisson</v>
      </c>
      <c r="D128" s="20" t="str">
        <f t="array" ref="D128">xlookup($A128,product!$A:$A,product!D:D)</f>
        <v>Poêle</v>
      </c>
      <c r="E128" s="4" t="str">
        <f t="shared" si="1"/>
        <v>45484-Cuisson-Poêle</v>
      </c>
      <c r="F128" s="4">
        <v>1.0</v>
      </c>
      <c r="G128" s="4">
        <v>860.0</v>
      </c>
      <c r="H128" s="4">
        <v>177.0</v>
      </c>
      <c r="I128" s="21">
        <f t="array" ref="I128">XLOOKUP($A128,product!A:A,product!E:E)</f>
        <v>14.52</v>
      </c>
      <c r="J128" s="4">
        <f t="shared" si="2"/>
        <v>2570.04</v>
      </c>
      <c r="K128" s="22">
        <f t="shared" si="3"/>
        <v>1</v>
      </c>
      <c r="L128" s="4">
        <f t="shared" si="4"/>
        <v>1</v>
      </c>
    </row>
    <row r="129">
      <c r="A129" s="23">
        <v>27382.0</v>
      </c>
      <c r="B129" s="24" t="str">
        <f t="array" ref="B129">xlookup($A129,product!$A:$A,product!B:B)</f>
        <v>Maison</v>
      </c>
      <c r="C129" s="24" t="str">
        <f t="array" ref="C129">xlookup($A129,product!$A:$A,product!C:C)</f>
        <v>Cuisson</v>
      </c>
      <c r="D129" s="24" t="str">
        <f t="array" ref="D129">xlookup($A129,product!$A:$A,product!D:D)</f>
        <v>Poêle</v>
      </c>
      <c r="E129" s="25" t="str">
        <f t="shared" si="1"/>
        <v>27382-Cuisson-Poêle</v>
      </c>
      <c r="F129" s="25">
        <v>0.0</v>
      </c>
      <c r="G129" s="25">
        <v>937.0</v>
      </c>
      <c r="H129" s="25">
        <v>252.0</v>
      </c>
      <c r="I129" s="26">
        <f t="array" ref="I129">XLOOKUP($A129,product!A:A,product!E:E)</f>
        <v>21.75</v>
      </c>
      <c r="J129" s="25">
        <f t="shared" si="2"/>
        <v>5481</v>
      </c>
      <c r="K129" s="27">
        <f t="shared" si="3"/>
        <v>1</v>
      </c>
      <c r="L129" s="25">
        <f t="shared" si="4"/>
        <v>1</v>
      </c>
    </row>
    <row r="130">
      <c r="A130" s="19">
        <v>45491.0</v>
      </c>
      <c r="B130" s="20" t="str">
        <f t="array" ref="B130">xlookup($A130,product!$A:$A,product!B:B)</f>
        <v>Maison</v>
      </c>
      <c r="C130" s="20" t="str">
        <f t="array" ref="C130">xlookup($A130,product!$A:$A,product!C:C)</f>
        <v>Cuisson</v>
      </c>
      <c r="D130" s="20" t="str">
        <f t="array" ref="D130">xlookup($A130,product!$A:$A,product!D:D)</f>
        <v>Poêle</v>
      </c>
      <c r="E130" s="4" t="str">
        <f t="shared" si="1"/>
        <v>45491-Cuisson-Poêle</v>
      </c>
      <c r="F130" s="4">
        <v>0.0</v>
      </c>
      <c r="G130" s="4">
        <v>266.0</v>
      </c>
      <c r="H130" s="4">
        <v>243.0</v>
      </c>
      <c r="I130" s="21">
        <f t="array" ref="I130">XLOOKUP($A130,product!A:A,product!E:E)</f>
        <v>19.87</v>
      </c>
      <c r="J130" s="4">
        <f t="shared" si="2"/>
        <v>4828.41</v>
      </c>
      <c r="K130" s="22">
        <f t="shared" si="3"/>
        <v>1</v>
      </c>
      <c r="L130" s="4">
        <f t="shared" si="4"/>
        <v>1</v>
      </c>
    </row>
    <row r="131">
      <c r="A131" s="23">
        <v>11631.0</v>
      </c>
      <c r="B131" s="24" t="str">
        <f t="array" ref="B131">xlookup($A131,product!$A:$A,product!B:B)</f>
        <v>Maison</v>
      </c>
      <c r="C131" s="24" t="str">
        <f t="array" ref="C131">xlookup($A131,product!$A:$A,product!C:C)</f>
        <v>Cuisson</v>
      </c>
      <c r="D131" s="24" t="str">
        <f t="array" ref="D131">xlookup($A131,product!$A:$A,product!D:D)</f>
        <v>Poêle</v>
      </c>
      <c r="E131" s="25" t="str">
        <f t="shared" si="1"/>
        <v>11631-Cuisson-Poêle</v>
      </c>
      <c r="F131" s="25">
        <v>0.0</v>
      </c>
      <c r="G131" s="25">
        <v>806.0</v>
      </c>
      <c r="H131" s="25">
        <v>503.0</v>
      </c>
      <c r="I131" s="26">
        <f t="array" ref="I131">XLOOKUP($A131,product!A:A,product!E:E)</f>
        <v>28.71</v>
      </c>
      <c r="J131" s="25">
        <f t="shared" si="2"/>
        <v>14441.13</v>
      </c>
      <c r="K131" s="27">
        <f t="shared" si="3"/>
        <v>1</v>
      </c>
      <c r="L131" s="25">
        <f t="shared" si="4"/>
        <v>1</v>
      </c>
    </row>
    <row r="132">
      <c r="A132" s="19">
        <v>11630.0</v>
      </c>
      <c r="B132" s="20" t="str">
        <f t="array" ref="B132">xlookup($A132,product!$A:$A,product!B:B)</f>
        <v>Maison</v>
      </c>
      <c r="C132" s="20" t="str">
        <f t="array" ref="C132">xlookup($A132,product!$A:$A,product!C:C)</f>
        <v>Cuisson</v>
      </c>
      <c r="D132" s="20" t="str">
        <f t="array" ref="D132">xlookup($A132,product!$A:$A,product!D:D)</f>
        <v>Poêle</v>
      </c>
      <c r="E132" s="4" t="str">
        <f t="shared" si="1"/>
        <v>11630-Cuisson-Poêle</v>
      </c>
      <c r="F132" s="4">
        <v>1.0</v>
      </c>
      <c r="G132" s="4">
        <v>481.0</v>
      </c>
      <c r="H132" s="4">
        <v>221.0</v>
      </c>
      <c r="I132" s="21">
        <f t="array" ref="I132">XLOOKUP($A132,product!A:A,product!E:E)</f>
        <v>21.94</v>
      </c>
      <c r="J132" s="4">
        <f t="shared" si="2"/>
        <v>4848.74</v>
      </c>
      <c r="K132" s="22">
        <f t="shared" si="3"/>
        <v>1</v>
      </c>
      <c r="L132" s="4">
        <f t="shared" si="4"/>
        <v>1</v>
      </c>
    </row>
    <row r="133">
      <c r="A133" s="23">
        <v>11634.0</v>
      </c>
      <c r="B133" s="24" t="str">
        <f t="array" ref="B133">xlookup($A133,product!$A:$A,product!B:B)</f>
        <v>Maison</v>
      </c>
      <c r="C133" s="24" t="str">
        <f t="array" ref="C133">xlookup($A133,product!$A:$A,product!C:C)</f>
        <v>Cuisson</v>
      </c>
      <c r="D133" s="24" t="str">
        <f t="array" ref="D133">xlookup($A133,product!$A:$A,product!D:D)</f>
        <v>Casserole</v>
      </c>
      <c r="E133" s="25" t="str">
        <f t="shared" si="1"/>
        <v>11634-Cuisson-Casserole</v>
      </c>
      <c r="F133" s="25">
        <v>0.0</v>
      </c>
      <c r="G133" s="25">
        <v>684.0</v>
      </c>
      <c r="H133" s="25">
        <v>201.0</v>
      </c>
      <c r="I133" s="26">
        <f t="array" ref="I133">XLOOKUP($A133,product!A:A,product!E:E)</f>
        <v>6.37</v>
      </c>
      <c r="J133" s="25">
        <f t="shared" si="2"/>
        <v>1280.37</v>
      </c>
      <c r="K133" s="27">
        <f t="shared" si="3"/>
        <v>1</v>
      </c>
      <c r="L133" s="25">
        <f t="shared" si="4"/>
        <v>1</v>
      </c>
    </row>
    <row r="134">
      <c r="A134" s="19">
        <v>11635.0</v>
      </c>
      <c r="B134" s="20" t="str">
        <f t="array" ref="B134">xlookup($A134,product!$A:$A,product!B:B)</f>
        <v>Maison</v>
      </c>
      <c r="C134" s="20" t="str">
        <f t="array" ref="C134">xlookup($A134,product!$A:$A,product!C:C)</f>
        <v>Cuisson</v>
      </c>
      <c r="D134" s="20" t="str">
        <f t="array" ref="D134">xlookup($A134,product!$A:$A,product!D:D)</f>
        <v>Casserole</v>
      </c>
      <c r="E134" s="4" t="str">
        <f t="shared" si="1"/>
        <v>11635-Cuisson-Casserole</v>
      </c>
      <c r="F134" s="4">
        <v>0.0</v>
      </c>
      <c r="G134" s="4">
        <v>320.0</v>
      </c>
      <c r="H134" s="4">
        <v>198.0</v>
      </c>
      <c r="I134" s="21">
        <f t="array" ref="I134">XLOOKUP($A134,product!A:A,product!E:E)</f>
        <v>6.88</v>
      </c>
      <c r="J134" s="4">
        <f t="shared" si="2"/>
        <v>1362.24</v>
      </c>
      <c r="K134" s="22">
        <f t="shared" si="3"/>
        <v>1</v>
      </c>
      <c r="L134" s="4">
        <f t="shared" si="4"/>
        <v>1</v>
      </c>
    </row>
    <row r="135">
      <c r="A135" s="23">
        <v>114776.0</v>
      </c>
      <c r="B135" s="24" t="str">
        <f t="array" ref="B135">xlookup($A135,product!$A:$A,product!B:B)</f>
        <v>Maison</v>
      </c>
      <c r="C135" s="24" t="str">
        <f t="array" ref="C135">xlookup($A135,product!$A:$A,product!C:C)</f>
        <v>Cuisson</v>
      </c>
      <c r="D135" s="24" t="str">
        <f t="array" ref="D135">xlookup($A135,product!$A:$A,product!D:D)</f>
        <v>Sauteuse, Wok</v>
      </c>
      <c r="E135" s="25" t="str">
        <f t="shared" si="1"/>
        <v>114776-Cuisson-Sauteuse, Wok</v>
      </c>
      <c r="F135" s="25">
        <v>0.0</v>
      </c>
      <c r="G135" s="25">
        <v>138.0</v>
      </c>
      <c r="H135" s="25">
        <v>120.0</v>
      </c>
      <c r="I135" s="26">
        <f t="array" ref="I135">XLOOKUP($A135,product!A:A,product!E:E)</f>
        <v>13.39</v>
      </c>
      <c r="J135" s="25">
        <f t="shared" si="2"/>
        <v>1606.8</v>
      </c>
      <c r="K135" s="27">
        <f t="shared" si="3"/>
        <v>1</v>
      </c>
      <c r="L135" s="25">
        <f t="shared" si="4"/>
        <v>1</v>
      </c>
    </row>
    <row r="136">
      <c r="A136" s="19">
        <v>76762.0</v>
      </c>
      <c r="B136" s="20" t="str">
        <f t="array" ref="B136">xlookup($A136,product!$A:$A,product!B:B)</f>
        <v>Maison</v>
      </c>
      <c r="C136" s="20" t="str">
        <f t="array" ref="C136">xlookup($A136,product!$A:$A,product!C:C)</f>
        <v>Cuisson</v>
      </c>
      <c r="D136" s="20" t="str">
        <f t="array" ref="D136">xlookup($A136,product!$A:$A,product!D:D)</f>
        <v>Batteries de cuisine</v>
      </c>
      <c r="E136" s="4" t="str">
        <f t="shared" si="1"/>
        <v>76762-Cuisson-Batteries de cuisine</v>
      </c>
      <c r="F136" s="4">
        <v>1.0</v>
      </c>
      <c r="G136" s="4">
        <v>577.0</v>
      </c>
      <c r="H136" s="4">
        <v>233.0</v>
      </c>
      <c r="I136" s="21">
        <f t="array" ref="I136">XLOOKUP($A136,product!A:A,product!E:E)</f>
        <v>46.41</v>
      </c>
      <c r="J136" s="4">
        <f t="shared" si="2"/>
        <v>10813.53</v>
      </c>
      <c r="K136" s="22">
        <f t="shared" si="3"/>
        <v>1</v>
      </c>
      <c r="L136" s="4">
        <f t="shared" si="4"/>
        <v>1</v>
      </c>
    </row>
    <row r="137">
      <c r="A137" s="23">
        <v>181194.0</v>
      </c>
      <c r="B137" s="24" t="str">
        <f t="array" ref="B137">xlookup($A137,product!$A:$A,product!B:B)</f>
        <v>Extérieur</v>
      </c>
      <c r="C137" s="24" t="str">
        <f t="array" ref="C137">xlookup($A137,product!$A:$A,product!C:C)</f>
        <v>Gourdes</v>
      </c>
      <c r="D137" s="24" t="str">
        <f t="array" ref="D137">xlookup($A137,product!$A:$A,product!D:D)</f>
        <v>Gourdes filtrantes</v>
      </c>
      <c r="E137" s="25" t="str">
        <f t="shared" si="1"/>
        <v>181194-Gourdes-Gourdes filtrantes</v>
      </c>
      <c r="F137" s="25">
        <v>0.0</v>
      </c>
      <c r="G137" s="25">
        <v>750.0</v>
      </c>
      <c r="H137" s="25">
        <v>318.0</v>
      </c>
      <c r="I137" s="26">
        <f t="array" ref="I137">XLOOKUP($A137,product!A:A,product!E:E)</f>
        <v>22.05</v>
      </c>
      <c r="J137" s="25">
        <f t="shared" si="2"/>
        <v>7011.9</v>
      </c>
      <c r="K137" s="27">
        <f t="shared" si="3"/>
        <v>1</v>
      </c>
      <c r="L137" s="25">
        <f t="shared" si="4"/>
        <v>1</v>
      </c>
    </row>
    <row r="138">
      <c r="A138" s="19">
        <v>164637.0</v>
      </c>
      <c r="B138" s="20" t="str">
        <f t="array" ref="B138">xlookup($A138,product!$A:$A,product!B:B)</f>
        <v>Extérieur</v>
      </c>
      <c r="C138" s="20" t="str">
        <f t="array" ref="C138">xlookup($A138,product!$A:$A,product!C:C)</f>
        <v>Gourdes</v>
      </c>
      <c r="D138" s="20" t="str">
        <f t="array" ref="D138">xlookup($A138,product!$A:$A,product!D:D)</f>
        <v>Gourdes isothermes</v>
      </c>
      <c r="E138" s="4" t="str">
        <f t="shared" si="1"/>
        <v>164637-Gourdes-Gourdes isothermes</v>
      </c>
      <c r="F138" s="4">
        <v>0.0</v>
      </c>
      <c r="G138" s="4">
        <v>590.0</v>
      </c>
      <c r="H138" s="4">
        <v>19.0</v>
      </c>
      <c r="I138" s="21">
        <f t="array" ref="I138">XLOOKUP($A138,product!A:A,product!E:E)</f>
        <v>16.03</v>
      </c>
      <c r="J138" s="4">
        <f t="shared" si="2"/>
        <v>304.57</v>
      </c>
      <c r="K138" s="22">
        <f t="shared" si="3"/>
        <v>1</v>
      </c>
      <c r="L138" s="4">
        <f t="shared" si="4"/>
        <v>1</v>
      </c>
    </row>
    <row r="139">
      <c r="A139" s="23">
        <v>164636.0</v>
      </c>
      <c r="B139" s="24" t="str">
        <f t="array" ref="B139">xlookup($A139,product!$A:$A,product!B:B)</f>
        <v>Extérieur</v>
      </c>
      <c r="C139" s="24" t="str">
        <f t="array" ref="C139">xlookup($A139,product!$A:$A,product!C:C)</f>
        <v>Gourdes</v>
      </c>
      <c r="D139" s="24" t="str">
        <f t="array" ref="D139">xlookup($A139,product!$A:$A,product!D:D)</f>
        <v>Gourdes isothermes</v>
      </c>
      <c r="E139" s="25" t="str">
        <f t="shared" si="1"/>
        <v>164636-Gourdes-Gourdes isothermes</v>
      </c>
      <c r="F139" s="25">
        <v>0.0</v>
      </c>
      <c r="G139" s="25">
        <v>701.0</v>
      </c>
      <c r="H139" s="25">
        <v>125.0</v>
      </c>
      <c r="I139" s="26">
        <f t="array" ref="I139">XLOOKUP($A139,product!A:A,product!E:E)</f>
        <v>16.03</v>
      </c>
      <c r="J139" s="25">
        <f t="shared" si="2"/>
        <v>2003.75</v>
      </c>
      <c r="K139" s="27">
        <f t="shared" si="3"/>
        <v>1</v>
      </c>
      <c r="L139" s="25">
        <f t="shared" si="4"/>
        <v>1</v>
      </c>
    </row>
    <row r="140">
      <c r="A140" s="19">
        <v>164639.0</v>
      </c>
      <c r="B140" s="20" t="str">
        <f t="array" ref="B140">xlookup($A140,product!$A:$A,product!B:B)</f>
        <v>Extérieur</v>
      </c>
      <c r="C140" s="20" t="str">
        <f t="array" ref="C140">xlookup($A140,product!$A:$A,product!C:C)</f>
        <v>Gourdes</v>
      </c>
      <c r="D140" s="20" t="str">
        <f t="array" ref="D140">xlookup($A140,product!$A:$A,product!D:D)</f>
        <v>Gourdes isothermes</v>
      </c>
      <c r="E140" s="4" t="str">
        <f t="shared" si="1"/>
        <v>164639-Gourdes-Gourdes isothermes</v>
      </c>
      <c r="F140" s="4">
        <v>0.0</v>
      </c>
      <c r="G140" s="4">
        <v>115.0</v>
      </c>
      <c r="H140" s="4">
        <v>58.0</v>
      </c>
      <c r="I140" s="21">
        <f t="array" ref="I140">XLOOKUP($A140,product!A:A,product!E:E)</f>
        <v>16.03</v>
      </c>
      <c r="J140" s="4">
        <f t="shared" si="2"/>
        <v>929.74</v>
      </c>
      <c r="K140" s="22">
        <f t="shared" si="3"/>
        <v>1</v>
      </c>
      <c r="L140" s="4">
        <f t="shared" si="4"/>
        <v>1</v>
      </c>
    </row>
    <row r="141">
      <c r="A141" s="23">
        <v>85251.0</v>
      </c>
      <c r="B141" s="24" t="str">
        <f t="array" ref="B141">xlookup($A141,product!$A:$A,product!B:B)</f>
        <v>Extérieur</v>
      </c>
      <c r="C141" s="24" t="str">
        <f t="array" ref="C141">xlookup($A141,product!$A:$A,product!C:C)</f>
        <v>Gourdes</v>
      </c>
      <c r="D141" s="24" t="str">
        <f t="array" ref="D141">xlookup($A141,product!$A:$A,product!D:D)</f>
        <v>Gourdes isothermes</v>
      </c>
      <c r="E141" s="25" t="str">
        <f t="shared" si="1"/>
        <v>85251-Gourdes-Gourdes isothermes</v>
      </c>
      <c r="F141" s="25">
        <v>1.0</v>
      </c>
      <c r="G141" s="25">
        <v>12.0</v>
      </c>
      <c r="H141" s="25">
        <v>6.0</v>
      </c>
      <c r="I141" s="26">
        <f t="array" ref="I141">XLOOKUP($A141,product!A:A,product!E:E)</f>
        <v>12.57</v>
      </c>
      <c r="J141" s="25">
        <f t="shared" si="2"/>
        <v>75.42</v>
      </c>
      <c r="K141" s="27">
        <f t="shared" si="3"/>
        <v>1</v>
      </c>
      <c r="L141" s="25">
        <f t="shared" si="4"/>
        <v>1</v>
      </c>
    </row>
    <row r="142">
      <c r="A142" s="19">
        <v>113532.0</v>
      </c>
      <c r="B142" s="20" t="str">
        <f t="array" ref="B142">xlookup($A142,product!$A:$A,product!B:B)</f>
        <v>Extérieur</v>
      </c>
      <c r="C142" s="20" t="str">
        <f t="array" ref="C142">xlookup($A142,product!$A:$A,product!C:C)</f>
        <v>Gourdes</v>
      </c>
      <c r="D142" s="20" t="str">
        <f t="array" ref="D142">xlookup($A142,product!$A:$A,product!D:D)</f>
        <v>Gourdes isothermes</v>
      </c>
      <c r="E142" s="4" t="str">
        <f t="shared" si="1"/>
        <v>113532-Gourdes-Gourdes isothermes</v>
      </c>
      <c r="F142" s="4">
        <v>1.0</v>
      </c>
      <c r="G142" s="4">
        <v>823.0</v>
      </c>
      <c r="H142" s="4">
        <v>151.0</v>
      </c>
      <c r="I142" s="21">
        <f t="array" ref="I142">XLOOKUP($A142,product!A:A,product!E:E)</f>
        <v>15.17</v>
      </c>
      <c r="J142" s="4">
        <f t="shared" si="2"/>
        <v>2290.67</v>
      </c>
      <c r="K142" s="22">
        <f t="shared" si="3"/>
        <v>1</v>
      </c>
      <c r="L142" s="4">
        <f t="shared" si="4"/>
        <v>1</v>
      </c>
    </row>
    <row r="143">
      <c r="A143" s="23">
        <v>82501.0</v>
      </c>
      <c r="B143" s="24" t="str">
        <f t="array" ref="B143">xlookup($A143,product!$A:$A,product!B:B)</f>
        <v>Extérieur</v>
      </c>
      <c r="C143" s="24" t="str">
        <f t="array" ref="C143">xlookup($A143,product!$A:$A,product!C:C)</f>
        <v>Gourdes</v>
      </c>
      <c r="D143" s="24" t="str">
        <f t="array" ref="D143">xlookup($A143,product!$A:$A,product!D:D)</f>
        <v>Gourdes isothermes</v>
      </c>
      <c r="E143" s="25" t="str">
        <f t="shared" si="1"/>
        <v>82501-Gourdes-Gourdes isothermes</v>
      </c>
      <c r="F143" s="25">
        <v>0.0</v>
      </c>
      <c r="G143" s="25">
        <v>107.0</v>
      </c>
      <c r="H143" s="25">
        <v>15.0</v>
      </c>
      <c r="I143" s="26">
        <f t="array" ref="I143">XLOOKUP($A143,product!A:A,product!E:E)</f>
        <v>10.83</v>
      </c>
      <c r="J143" s="25">
        <f t="shared" si="2"/>
        <v>162.45</v>
      </c>
      <c r="K143" s="27">
        <f t="shared" si="3"/>
        <v>1</v>
      </c>
      <c r="L143" s="25">
        <f t="shared" si="4"/>
        <v>1</v>
      </c>
    </row>
    <row r="144">
      <c r="A144" s="19">
        <v>121287.0</v>
      </c>
      <c r="B144" s="20" t="str">
        <f t="array" ref="B144">xlookup($A144,product!$A:$A,product!B:B)</f>
        <v>Extérieur</v>
      </c>
      <c r="C144" s="20" t="str">
        <f t="array" ref="C144">xlookup($A144,product!$A:$A,product!C:C)</f>
        <v>Gourdes</v>
      </c>
      <c r="D144" s="20" t="str">
        <f t="array" ref="D144">xlookup($A144,product!$A:$A,product!D:D)</f>
        <v>Gourdes isothermes</v>
      </c>
      <c r="E144" s="4" t="str">
        <f t="shared" si="1"/>
        <v>121287-Gourdes-Gourdes isothermes</v>
      </c>
      <c r="F144" s="4">
        <v>0.0</v>
      </c>
      <c r="G144" s="4">
        <v>17.0</v>
      </c>
      <c r="H144" s="4">
        <v>15.0</v>
      </c>
      <c r="I144" s="21">
        <f t="array" ref="I144">XLOOKUP($A144,product!A:A,product!E:E)</f>
        <v>16.03</v>
      </c>
      <c r="J144" s="4">
        <f t="shared" si="2"/>
        <v>240.45</v>
      </c>
      <c r="K144" s="22">
        <f t="shared" si="3"/>
        <v>1</v>
      </c>
      <c r="L144" s="4">
        <f t="shared" si="4"/>
        <v>1</v>
      </c>
    </row>
    <row r="145">
      <c r="A145" s="23">
        <v>113559.0</v>
      </c>
      <c r="B145" s="24" t="str">
        <f t="array" ref="B145">xlookup($A145,product!$A:$A,product!B:B)</f>
        <v>Extérieur</v>
      </c>
      <c r="C145" s="24" t="str">
        <f t="array" ref="C145">xlookup($A145,product!$A:$A,product!C:C)</f>
        <v>Gourdes</v>
      </c>
      <c r="D145" s="24" t="str">
        <f t="array" ref="D145">xlookup($A145,product!$A:$A,product!D:D)</f>
        <v>Gourdes isothermes</v>
      </c>
      <c r="E145" s="25" t="str">
        <f t="shared" si="1"/>
        <v>113559-Gourdes-Gourdes isothermes</v>
      </c>
      <c r="F145" s="25">
        <v>0.0</v>
      </c>
      <c r="G145" s="25">
        <v>358.0</v>
      </c>
      <c r="H145" s="25">
        <v>328.0</v>
      </c>
      <c r="I145" s="26">
        <f t="array" ref="I145">XLOOKUP($A145,product!A:A,product!E:E)</f>
        <v>8.67</v>
      </c>
      <c r="J145" s="25">
        <f t="shared" si="2"/>
        <v>2843.76</v>
      </c>
      <c r="K145" s="27">
        <f t="shared" si="3"/>
        <v>1</v>
      </c>
      <c r="L145" s="25">
        <f t="shared" si="4"/>
        <v>1</v>
      </c>
    </row>
    <row r="146">
      <c r="A146" s="19">
        <v>85252.0</v>
      </c>
      <c r="B146" s="20" t="str">
        <f t="array" ref="B146">xlookup($A146,product!$A:$A,product!B:B)</f>
        <v>Extérieur</v>
      </c>
      <c r="C146" s="20" t="str">
        <f t="array" ref="C146">xlookup($A146,product!$A:$A,product!C:C)</f>
        <v>Gourdes</v>
      </c>
      <c r="D146" s="20" t="str">
        <f t="array" ref="D146">xlookup($A146,product!$A:$A,product!D:D)</f>
        <v>Gourdes isothermes</v>
      </c>
      <c r="E146" s="4" t="str">
        <f t="shared" si="1"/>
        <v>85252-Gourdes-Gourdes isothermes</v>
      </c>
      <c r="F146" s="4">
        <v>1.0</v>
      </c>
      <c r="G146" s="4">
        <v>927.0</v>
      </c>
      <c r="H146" s="4">
        <v>753.0</v>
      </c>
      <c r="I146" s="21">
        <f t="array" ref="I146">XLOOKUP($A146,product!A:A,product!E:E)</f>
        <v>12.57</v>
      </c>
      <c r="J146" s="4">
        <f t="shared" si="2"/>
        <v>9465.21</v>
      </c>
      <c r="K146" s="22">
        <f t="shared" si="3"/>
        <v>1</v>
      </c>
      <c r="L146" s="4">
        <f t="shared" si="4"/>
        <v>1</v>
      </c>
    </row>
    <row r="147">
      <c r="A147" s="23">
        <v>82507.0</v>
      </c>
      <c r="B147" s="24" t="str">
        <f t="array" ref="B147">xlookup($A147,product!$A:$A,product!B:B)</f>
        <v>Extérieur</v>
      </c>
      <c r="C147" s="24" t="str">
        <f t="array" ref="C147">xlookup($A147,product!$A:$A,product!C:C)</f>
        <v>Gourdes</v>
      </c>
      <c r="D147" s="24" t="str">
        <f t="array" ref="D147">xlookup($A147,product!$A:$A,product!D:D)</f>
        <v>Gourdes isothermes</v>
      </c>
      <c r="E147" s="25" t="str">
        <f t="shared" si="1"/>
        <v>82507-Gourdes-Gourdes isothermes</v>
      </c>
      <c r="F147" s="25">
        <v>0.0</v>
      </c>
      <c r="G147" s="25">
        <v>851.0</v>
      </c>
      <c r="H147" s="25">
        <v>565.0</v>
      </c>
      <c r="I147" s="26">
        <f t="array" ref="I147">XLOOKUP($A147,product!A:A,product!E:E)</f>
        <v>12.57</v>
      </c>
      <c r="J147" s="25">
        <f t="shared" si="2"/>
        <v>7102.05</v>
      </c>
      <c r="K147" s="27">
        <f t="shared" si="3"/>
        <v>1</v>
      </c>
      <c r="L147" s="25">
        <f t="shared" si="4"/>
        <v>1</v>
      </c>
    </row>
    <row r="148">
      <c r="A148" s="19">
        <v>109625.0</v>
      </c>
      <c r="B148" s="20" t="str">
        <f t="array" ref="B148">xlookup($A148,product!$A:$A,product!B:B)</f>
        <v>Extérieur</v>
      </c>
      <c r="C148" s="20" t="str">
        <f t="array" ref="C148">xlookup($A148,product!$A:$A,product!C:C)</f>
        <v>Gourdes</v>
      </c>
      <c r="D148" s="20" t="str">
        <f t="array" ref="D148">xlookup($A148,product!$A:$A,product!D:D)</f>
        <v>Gourdes isothermes</v>
      </c>
      <c r="E148" s="4" t="str">
        <f t="shared" si="1"/>
        <v>109625-Gourdes-Gourdes isothermes</v>
      </c>
      <c r="F148" s="4">
        <v>1.0</v>
      </c>
      <c r="G148" s="4">
        <v>8.0</v>
      </c>
      <c r="H148" s="4">
        <v>3.0</v>
      </c>
      <c r="I148" s="21">
        <f t="array" ref="I148">XLOOKUP($A148,product!A:A,product!E:E)</f>
        <v>11.26</v>
      </c>
      <c r="J148" s="4">
        <f t="shared" si="2"/>
        <v>33.78</v>
      </c>
      <c r="K148" s="22">
        <f t="shared" si="3"/>
        <v>1</v>
      </c>
      <c r="L148" s="4">
        <f t="shared" si="4"/>
        <v>1</v>
      </c>
    </row>
    <row r="149">
      <c r="A149" s="23">
        <v>110864.0</v>
      </c>
      <c r="B149" s="24" t="str">
        <f t="array" ref="B149">xlookup($A149,product!$A:$A,product!B:B)</f>
        <v>Extérieur</v>
      </c>
      <c r="C149" s="24" t="str">
        <f t="array" ref="C149">xlookup($A149,product!$A:$A,product!C:C)</f>
        <v>Gourdes</v>
      </c>
      <c r="D149" s="24" t="str">
        <f t="array" ref="D149">xlookup($A149,product!$A:$A,product!D:D)</f>
        <v>Gourdes pour enfant</v>
      </c>
      <c r="E149" s="25" t="str">
        <f t="shared" si="1"/>
        <v>110864-Gourdes-Gourdes pour enfant</v>
      </c>
      <c r="F149" s="25">
        <v>0.0</v>
      </c>
      <c r="G149" s="25">
        <v>257.0</v>
      </c>
      <c r="H149" s="25">
        <v>93.0</v>
      </c>
      <c r="I149" s="26">
        <f t="array" ref="I149">XLOOKUP($A149,product!A:A,product!E:E)</f>
        <v>14.29</v>
      </c>
      <c r="J149" s="25">
        <f t="shared" si="2"/>
        <v>1328.97</v>
      </c>
      <c r="K149" s="27">
        <f t="shared" si="3"/>
        <v>1</v>
      </c>
      <c r="L149" s="25">
        <f t="shared" si="4"/>
        <v>1</v>
      </c>
    </row>
    <row r="150">
      <c r="A150" s="19">
        <v>138916.0</v>
      </c>
      <c r="B150" s="20" t="str">
        <f t="array" ref="B150">xlookup($A150,product!$A:$A,product!B:B)</f>
        <v>Extérieur</v>
      </c>
      <c r="C150" s="20" t="str">
        <f t="array" ref="C150">xlookup($A150,product!$A:$A,product!C:C)</f>
        <v>Gourdes</v>
      </c>
      <c r="D150" s="20" t="str">
        <f t="array" ref="D150">xlookup($A150,product!$A:$A,product!D:D)</f>
        <v>Gourdes pour enfant</v>
      </c>
      <c r="E150" s="4" t="str">
        <f t="shared" si="1"/>
        <v>138916-Gourdes-Gourdes pour enfant</v>
      </c>
      <c r="F150" s="4">
        <v>0.0</v>
      </c>
      <c r="G150" s="4">
        <v>584.0</v>
      </c>
      <c r="H150" s="4">
        <v>464.0</v>
      </c>
      <c r="I150" s="21">
        <f t="array" ref="I150">XLOOKUP($A150,product!A:A,product!E:E)</f>
        <v>7.97</v>
      </c>
      <c r="J150" s="4">
        <f t="shared" si="2"/>
        <v>3698.08</v>
      </c>
      <c r="K150" s="22">
        <f t="shared" si="3"/>
        <v>1</v>
      </c>
      <c r="L150" s="4">
        <f t="shared" si="4"/>
        <v>1</v>
      </c>
    </row>
    <row r="151">
      <c r="A151" s="23">
        <v>121076.0</v>
      </c>
      <c r="B151" s="24" t="str">
        <f t="array" ref="B151">xlookup($A151,product!$A:$A,product!B:B)</f>
        <v>Extérieur</v>
      </c>
      <c r="C151" s="24" t="str">
        <f t="array" ref="C151">xlookup($A151,product!$A:$A,product!C:C)</f>
        <v>Gourdes</v>
      </c>
      <c r="D151" s="24" t="str">
        <f t="array" ref="D151">xlookup($A151,product!$A:$A,product!D:D)</f>
        <v>Gourdes pour enfant</v>
      </c>
      <c r="E151" s="25" t="str">
        <f t="shared" si="1"/>
        <v>121076-Gourdes-Gourdes pour enfant</v>
      </c>
      <c r="F151" s="25">
        <v>1.0</v>
      </c>
      <c r="G151" s="25">
        <v>311.0</v>
      </c>
      <c r="H151" s="25">
        <v>80.0</v>
      </c>
      <c r="I151" s="26">
        <f t="array" ref="I151">XLOOKUP($A151,product!A:A,product!E:E)</f>
        <v>9.4</v>
      </c>
      <c r="J151" s="25">
        <f t="shared" si="2"/>
        <v>752</v>
      </c>
      <c r="K151" s="27">
        <f t="shared" si="3"/>
        <v>1</v>
      </c>
      <c r="L151" s="25">
        <f t="shared" si="4"/>
        <v>1</v>
      </c>
    </row>
    <row r="152">
      <c r="A152" s="19">
        <v>121077.0</v>
      </c>
      <c r="B152" s="20" t="str">
        <f t="array" ref="B152">xlookup($A152,product!$A:$A,product!B:B)</f>
        <v>Extérieur</v>
      </c>
      <c r="C152" s="20" t="str">
        <f t="array" ref="C152">xlookup($A152,product!$A:$A,product!C:C)</f>
        <v>Gourdes</v>
      </c>
      <c r="D152" s="20" t="str">
        <f t="array" ref="D152">xlookup($A152,product!$A:$A,product!D:D)</f>
        <v>Gourdes pour enfant</v>
      </c>
      <c r="E152" s="4" t="str">
        <f t="shared" si="1"/>
        <v>121077-Gourdes-Gourdes pour enfant</v>
      </c>
      <c r="F152" s="4">
        <v>1.0</v>
      </c>
      <c r="G152" s="4">
        <v>147.0</v>
      </c>
      <c r="H152" s="4">
        <v>83.0</v>
      </c>
      <c r="I152" s="21">
        <f t="array" ref="I152">XLOOKUP($A152,product!A:A,product!E:E)</f>
        <v>9.4</v>
      </c>
      <c r="J152" s="4">
        <f t="shared" si="2"/>
        <v>780.2</v>
      </c>
      <c r="K152" s="22">
        <f t="shared" si="3"/>
        <v>1</v>
      </c>
      <c r="L152" s="4">
        <f t="shared" si="4"/>
        <v>1</v>
      </c>
    </row>
    <row r="153">
      <c r="A153" s="23">
        <v>116631.0</v>
      </c>
      <c r="B153" s="24" t="str">
        <f t="array" ref="B153">xlookup($A153,product!$A:$A,product!B:B)</f>
        <v>Extérieur</v>
      </c>
      <c r="C153" s="24" t="str">
        <f t="array" ref="C153">xlookup($A153,product!$A:$A,product!C:C)</f>
        <v>Gourdes</v>
      </c>
      <c r="D153" s="24" t="str">
        <f t="array" ref="D153">xlookup($A153,product!$A:$A,product!D:D)</f>
        <v>Gourdes pour enfant</v>
      </c>
      <c r="E153" s="25" t="str">
        <f t="shared" si="1"/>
        <v>116631-Gourdes-Gourdes pour enfant</v>
      </c>
      <c r="F153" s="25">
        <v>0.0</v>
      </c>
      <c r="G153" s="25">
        <v>450.0</v>
      </c>
      <c r="H153" s="25">
        <v>69.0</v>
      </c>
      <c r="I153" s="26">
        <f t="array" ref="I153">XLOOKUP($A153,product!A:A,product!E:E)</f>
        <v>7.97</v>
      </c>
      <c r="J153" s="25">
        <f t="shared" si="2"/>
        <v>549.93</v>
      </c>
      <c r="K153" s="27">
        <f t="shared" si="3"/>
        <v>1</v>
      </c>
      <c r="L153" s="25">
        <f t="shared" si="4"/>
        <v>1</v>
      </c>
    </row>
    <row r="154">
      <c r="A154" s="19">
        <v>147263.0</v>
      </c>
      <c r="B154" s="20" t="str">
        <f t="array" ref="B154">xlookup($A154,product!$A:$A,product!B:B)</f>
        <v>Extérieur</v>
      </c>
      <c r="C154" s="20" t="str">
        <f t="array" ref="C154">xlookup($A154,product!$A:$A,product!C:C)</f>
        <v>Gourdes</v>
      </c>
      <c r="D154" s="20" t="str">
        <f t="array" ref="D154">xlookup($A154,product!$A:$A,product!D:D)</f>
        <v>Gourdes pour enfant</v>
      </c>
      <c r="E154" s="4" t="str">
        <f t="shared" si="1"/>
        <v>147263-Gourdes-Gourdes pour enfant</v>
      </c>
      <c r="F154" s="4">
        <v>0.0</v>
      </c>
      <c r="G154" s="4">
        <v>38.0</v>
      </c>
      <c r="H154" s="4">
        <v>14.0</v>
      </c>
      <c r="I154" s="21">
        <f t="array" ref="I154">XLOOKUP($A154,product!A:A,product!E:E)</f>
        <v>9.38</v>
      </c>
      <c r="J154" s="4">
        <f t="shared" si="2"/>
        <v>131.32</v>
      </c>
      <c r="K154" s="22">
        <f t="shared" si="3"/>
        <v>1</v>
      </c>
      <c r="L154" s="4">
        <f t="shared" si="4"/>
        <v>1</v>
      </c>
    </row>
    <row r="155">
      <c r="A155" s="23">
        <v>108763.0</v>
      </c>
      <c r="B155" s="24" t="str">
        <f t="array" ref="B155">xlookup($A155,product!$A:$A,product!B:B)</f>
        <v>Extérieur</v>
      </c>
      <c r="C155" s="24" t="str">
        <f t="array" ref="C155">xlookup($A155,product!$A:$A,product!C:C)</f>
        <v>Gourdes</v>
      </c>
      <c r="D155" s="24" t="str">
        <f t="array" ref="D155">xlookup($A155,product!$A:$A,product!D:D)</f>
        <v>Gourdes simple paroi</v>
      </c>
      <c r="E155" s="25" t="str">
        <f t="shared" si="1"/>
        <v>108763-Gourdes-Gourdes simple paroi</v>
      </c>
      <c r="F155" s="25">
        <v>0.0</v>
      </c>
      <c r="G155" s="25">
        <v>633.0</v>
      </c>
      <c r="H155" s="25">
        <v>41.0</v>
      </c>
      <c r="I155" s="26">
        <f t="array" ref="I155">XLOOKUP($A155,product!A:A,product!E:E)</f>
        <v>10.4</v>
      </c>
      <c r="J155" s="25">
        <f t="shared" si="2"/>
        <v>426.4</v>
      </c>
      <c r="K155" s="27">
        <f t="shared" si="3"/>
        <v>1</v>
      </c>
      <c r="L155" s="25">
        <f t="shared" si="4"/>
        <v>1</v>
      </c>
    </row>
    <row r="156">
      <c r="A156" s="19">
        <v>116593.0</v>
      </c>
      <c r="B156" s="20" t="str">
        <f t="array" ref="B156">xlookup($A156,product!$A:$A,product!B:B)</f>
        <v>Extérieur</v>
      </c>
      <c r="C156" s="20" t="str">
        <f t="array" ref="C156">xlookup($A156,product!$A:$A,product!C:C)</f>
        <v>Gourdes</v>
      </c>
      <c r="D156" s="20" t="str">
        <f t="array" ref="D156">xlookup($A156,product!$A:$A,product!D:D)</f>
        <v>Gourdes simple paroi</v>
      </c>
      <c r="E156" s="4" t="str">
        <f t="shared" si="1"/>
        <v>116593-Gourdes-Gourdes simple paroi</v>
      </c>
      <c r="F156" s="4">
        <v>1.0</v>
      </c>
      <c r="G156" s="4">
        <v>269.0</v>
      </c>
      <c r="H156" s="4">
        <v>259.0</v>
      </c>
      <c r="I156" s="21">
        <f t="array" ref="I156">XLOOKUP($A156,product!A:A,product!E:E)</f>
        <v>13.37</v>
      </c>
      <c r="J156" s="4">
        <f t="shared" si="2"/>
        <v>3462.83</v>
      </c>
      <c r="K156" s="22">
        <f t="shared" si="3"/>
        <v>1</v>
      </c>
      <c r="L156" s="4">
        <f t="shared" si="4"/>
        <v>1</v>
      </c>
    </row>
    <row r="157">
      <c r="A157" s="23">
        <v>116613.0</v>
      </c>
      <c r="B157" s="24" t="str">
        <f t="array" ref="B157">xlookup($A157,product!$A:$A,product!B:B)</f>
        <v>Extérieur</v>
      </c>
      <c r="C157" s="24" t="str">
        <f t="array" ref="C157">xlookup($A157,product!$A:$A,product!C:C)</f>
        <v>Gourdes</v>
      </c>
      <c r="D157" s="24" t="str">
        <f t="array" ref="D157">xlookup($A157,product!$A:$A,product!D:D)</f>
        <v>Gourdes simple paroi</v>
      </c>
      <c r="E157" s="25" t="str">
        <f t="shared" si="1"/>
        <v>116613-Gourdes-Gourdes simple paroi</v>
      </c>
      <c r="F157" s="25">
        <v>0.0</v>
      </c>
      <c r="G157" s="25">
        <v>730.0</v>
      </c>
      <c r="H157" s="25">
        <v>428.0</v>
      </c>
      <c r="I157" s="26">
        <f t="array" ref="I157">XLOOKUP($A157,product!A:A,product!E:E)</f>
        <v>6.33</v>
      </c>
      <c r="J157" s="25">
        <f t="shared" si="2"/>
        <v>2709.24</v>
      </c>
      <c r="K157" s="27">
        <f t="shared" si="3"/>
        <v>1</v>
      </c>
      <c r="L157" s="25">
        <f t="shared" si="4"/>
        <v>1</v>
      </c>
    </row>
    <row r="158">
      <c r="A158" s="19">
        <v>102476.0</v>
      </c>
      <c r="B158" s="20" t="str">
        <f t="array" ref="B158">xlookup($A158,product!$A:$A,product!B:B)</f>
        <v>Extérieur</v>
      </c>
      <c r="C158" s="20" t="str">
        <f t="array" ref="C158">xlookup($A158,product!$A:$A,product!C:C)</f>
        <v>Gourdes</v>
      </c>
      <c r="D158" s="20" t="str">
        <f t="array" ref="D158">xlookup($A158,product!$A:$A,product!D:D)</f>
        <v>Gourdes simple paroi</v>
      </c>
      <c r="E158" s="4" t="str">
        <f t="shared" si="1"/>
        <v>102476-Gourdes-Gourdes simple paroi</v>
      </c>
      <c r="F158" s="4">
        <v>0.0</v>
      </c>
      <c r="G158" s="4">
        <v>266.0</v>
      </c>
      <c r="H158" s="4">
        <v>200.0</v>
      </c>
      <c r="I158" s="21">
        <f t="array" ref="I158">XLOOKUP($A158,product!A:A,product!E:E)</f>
        <v>9.85</v>
      </c>
      <c r="J158" s="4">
        <f t="shared" si="2"/>
        <v>1970</v>
      </c>
      <c r="K158" s="22">
        <f t="shared" si="3"/>
        <v>1</v>
      </c>
      <c r="L158" s="4">
        <f t="shared" si="4"/>
        <v>1</v>
      </c>
    </row>
    <row r="159">
      <c r="A159" s="23">
        <v>190030.0</v>
      </c>
      <c r="B159" s="24" t="str">
        <f t="array" ref="B159">xlookup($A159,product!$A:$A,product!B:B)</f>
        <v>Extérieur</v>
      </c>
      <c r="C159" s="24" t="str">
        <f t="array" ref="C159">xlookup($A159,product!$A:$A,product!C:C)</f>
        <v>Gourdes</v>
      </c>
      <c r="D159" s="24" t="str">
        <f t="array" ref="D159">xlookup($A159,product!$A:$A,product!D:D)</f>
        <v>Gourdes simple paroi</v>
      </c>
      <c r="E159" s="25" t="str">
        <f t="shared" si="1"/>
        <v>190030-Gourdes-Gourdes simple paroi</v>
      </c>
      <c r="F159" s="25">
        <v>0.0</v>
      </c>
      <c r="G159" s="25">
        <v>113.0</v>
      </c>
      <c r="H159" s="25">
        <v>7.0</v>
      </c>
      <c r="I159" s="26">
        <f t="array" ref="I159">XLOOKUP($A159,product!A:A,product!E:E)</f>
        <v>10.7</v>
      </c>
      <c r="J159" s="25">
        <f t="shared" si="2"/>
        <v>74.9</v>
      </c>
      <c r="K159" s="27">
        <f t="shared" si="3"/>
        <v>1</v>
      </c>
      <c r="L159" s="25">
        <f t="shared" si="4"/>
        <v>1</v>
      </c>
    </row>
    <row r="160">
      <c r="A160" s="19">
        <v>113845.0</v>
      </c>
      <c r="B160" s="20" t="str">
        <f t="array" ref="B160">xlookup($A160,product!$A:$A,product!B:B)</f>
        <v>Extérieur</v>
      </c>
      <c r="C160" s="20" t="str">
        <f t="array" ref="C160">xlookup($A160,product!$A:$A,product!C:C)</f>
        <v>Gourdes</v>
      </c>
      <c r="D160" s="20" t="str">
        <f t="array" ref="D160">xlookup($A160,product!$A:$A,product!D:D)</f>
        <v>Gourdes simple paroi</v>
      </c>
      <c r="E160" s="4" t="str">
        <f t="shared" si="1"/>
        <v>113845-Gourdes-Gourdes simple paroi</v>
      </c>
      <c r="F160" s="4">
        <v>1.0</v>
      </c>
      <c r="G160" s="4">
        <v>479.0</v>
      </c>
      <c r="H160" s="4">
        <v>103.0</v>
      </c>
      <c r="I160" s="21">
        <f t="array" ref="I160">XLOOKUP($A160,product!A:A,product!E:E)</f>
        <v>8.24</v>
      </c>
      <c r="J160" s="4">
        <f t="shared" si="2"/>
        <v>848.72</v>
      </c>
      <c r="K160" s="22">
        <f t="shared" si="3"/>
        <v>1</v>
      </c>
      <c r="L160" s="4">
        <f t="shared" si="4"/>
        <v>1</v>
      </c>
    </row>
    <row r="161">
      <c r="A161" s="23">
        <v>77824.0</v>
      </c>
      <c r="B161" s="24" t="str">
        <f t="array" ref="B161">xlookup($A161,product!$A:$A,product!B:B)</f>
        <v>Maison</v>
      </c>
      <c r="C161" s="24" t="str">
        <f t="array" ref="C161">xlookup($A161,product!$A:$A,product!C:C)</f>
        <v>Literie</v>
      </c>
      <c r="D161" s="24" t="str">
        <f t="array" ref="D161">xlookup($A161,product!$A:$A,product!D:D)</f>
        <v>Oreiller, traversin</v>
      </c>
      <c r="E161" s="25" t="str">
        <f t="shared" si="1"/>
        <v>77824-Literie-Oreiller, traversin</v>
      </c>
      <c r="F161" s="25">
        <v>0.0</v>
      </c>
      <c r="G161" s="25">
        <v>779.0</v>
      </c>
      <c r="H161" s="25">
        <v>771.0</v>
      </c>
      <c r="I161" s="26">
        <f t="array" ref="I161">XLOOKUP($A161,product!A:A,product!E:E)</f>
        <v>13.43</v>
      </c>
      <c r="J161" s="25">
        <f t="shared" si="2"/>
        <v>10354.53</v>
      </c>
      <c r="K161" s="27">
        <f t="shared" si="3"/>
        <v>1</v>
      </c>
      <c r="L161" s="25">
        <f t="shared" si="4"/>
        <v>1</v>
      </c>
    </row>
    <row r="162">
      <c r="A162" s="19">
        <v>85888.0</v>
      </c>
      <c r="B162" s="20" t="str">
        <f t="array" ref="B162">xlookup($A162,product!$A:$A,product!B:B)</f>
        <v>Maison</v>
      </c>
      <c r="C162" s="20" t="str">
        <f t="array" ref="C162">xlookup($A162,product!$A:$A,product!C:C)</f>
        <v>Literie</v>
      </c>
      <c r="D162" s="20" t="str">
        <f t="array" ref="D162">xlookup($A162,product!$A:$A,product!D:D)</f>
        <v>Oreiller, traversin</v>
      </c>
      <c r="E162" s="4" t="str">
        <f t="shared" si="1"/>
        <v>85888-Literie-Oreiller, traversin</v>
      </c>
      <c r="F162" s="4">
        <v>1.0</v>
      </c>
      <c r="G162" s="4">
        <v>331.0</v>
      </c>
      <c r="H162" s="4">
        <v>321.0</v>
      </c>
      <c r="I162" s="21">
        <f t="array" ref="I162">XLOOKUP($A162,product!A:A,product!E:E)</f>
        <v>6.32</v>
      </c>
      <c r="J162" s="4">
        <f t="shared" si="2"/>
        <v>2028.72</v>
      </c>
      <c r="K162" s="22">
        <f t="shared" si="3"/>
        <v>1</v>
      </c>
      <c r="L162" s="4">
        <f t="shared" si="4"/>
        <v>1</v>
      </c>
    </row>
    <row r="163">
      <c r="A163" s="23">
        <v>85890.0</v>
      </c>
      <c r="B163" s="24" t="str">
        <f t="array" ref="B163">xlookup($A163,product!$A:$A,product!B:B)</f>
        <v>Maison</v>
      </c>
      <c r="C163" s="24" t="str">
        <f t="array" ref="C163">xlookup($A163,product!$A:$A,product!C:C)</f>
        <v>Literie</v>
      </c>
      <c r="D163" s="24" t="str">
        <f t="array" ref="D163">xlookup($A163,product!$A:$A,product!D:D)</f>
        <v>Oreiller, traversin</v>
      </c>
      <c r="E163" s="25" t="str">
        <f t="shared" si="1"/>
        <v>85890-Literie-Oreiller, traversin</v>
      </c>
      <c r="F163" s="25">
        <v>1.0</v>
      </c>
      <c r="G163" s="25">
        <v>604.0</v>
      </c>
      <c r="H163" s="25">
        <v>515.0</v>
      </c>
      <c r="I163" s="26">
        <f t="array" ref="I163">XLOOKUP($A163,product!A:A,product!E:E)</f>
        <v>4.77</v>
      </c>
      <c r="J163" s="25">
        <f t="shared" si="2"/>
        <v>2456.55</v>
      </c>
      <c r="K163" s="27">
        <f t="shared" si="3"/>
        <v>1</v>
      </c>
      <c r="L163" s="25">
        <f t="shared" si="4"/>
        <v>1</v>
      </c>
    </row>
    <row r="164">
      <c r="A164" s="19">
        <v>83727.0</v>
      </c>
      <c r="B164" s="20" t="str">
        <f t="array" ref="B164">xlookup($A164,product!$A:$A,product!B:B)</f>
        <v>Maison</v>
      </c>
      <c r="C164" s="20" t="str">
        <f t="array" ref="C164">xlookup($A164,product!$A:$A,product!C:C)</f>
        <v>Literie</v>
      </c>
      <c r="D164" s="20" t="str">
        <f t="array" ref="D164">xlookup($A164,product!$A:$A,product!D:D)</f>
        <v>Oreiller, traversin</v>
      </c>
      <c r="E164" s="4" t="str">
        <f t="shared" si="1"/>
        <v>83727-Literie-Oreiller, traversin</v>
      </c>
      <c r="F164" s="4">
        <v>1.0</v>
      </c>
      <c r="G164" s="4">
        <v>209.0</v>
      </c>
      <c r="H164" s="4">
        <v>33.0</v>
      </c>
      <c r="I164" s="21">
        <f t="array" ref="I164">XLOOKUP($A164,product!A:A,product!E:E)</f>
        <v>32.75</v>
      </c>
      <c r="J164" s="4">
        <f t="shared" si="2"/>
        <v>1080.75</v>
      </c>
      <c r="K164" s="22">
        <f t="shared" si="3"/>
        <v>1</v>
      </c>
      <c r="L164" s="4">
        <f t="shared" si="4"/>
        <v>1</v>
      </c>
    </row>
    <row r="165">
      <c r="A165" s="23">
        <v>85887.0</v>
      </c>
      <c r="B165" s="24" t="str">
        <f t="array" ref="B165">xlookup($A165,product!$A:$A,product!B:B)</f>
        <v>Maison</v>
      </c>
      <c r="C165" s="24" t="str">
        <f t="array" ref="C165">xlookup($A165,product!$A:$A,product!C:C)</f>
        <v>Literie</v>
      </c>
      <c r="D165" s="24" t="str">
        <f t="array" ref="D165">xlookup($A165,product!$A:$A,product!D:D)</f>
        <v>Oreiller, traversin</v>
      </c>
      <c r="E165" s="25" t="str">
        <f t="shared" si="1"/>
        <v>85887-Literie-Oreiller, traversin</v>
      </c>
      <c r="F165" s="25">
        <v>0.0</v>
      </c>
      <c r="G165" s="25">
        <v>470.0</v>
      </c>
      <c r="H165" s="25">
        <v>331.0</v>
      </c>
      <c r="I165" s="26">
        <f t="array" ref="I165">XLOOKUP($A165,product!A:A,product!E:E)</f>
        <v>5.03</v>
      </c>
      <c r="J165" s="25">
        <f t="shared" si="2"/>
        <v>1664.93</v>
      </c>
      <c r="K165" s="27">
        <f t="shared" si="3"/>
        <v>1</v>
      </c>
      <c r="L165" s="25">
        <f t="shared" si="4"/>
        <v>1</v>
      </c>
    </row>
    <row r="166">
      <c r="A166" s="19">
        <v>77823.0</v>
      </c>
      <c r="B166" s="20" t="str">
        <f t="array" ref="B166">xlookup($A166,product!$A:$A,product!B:B)</f>
        <v>Maison</v>
      </c>
      <c r="C166" s="20" t="str">
        <f t="array" ref="C166">xlookup($A166,product!$A:$A,product!C:C)</f>
        <v>Literie</v>
      </c>
      <c r="D166" s="20" t="str">
        <f t="array" ref="D166">xlookup($A166,product!$A:$A,product!D:D)</f>
        <v>Oreiller, traversin</v>
      </c>
      <c r="E166" s="4" t="str">
        <f t="shared" si="1"/>
        <v>77823-Literie-Oreiller, traversin</v>
      </c>
      <c r="F166" s="4">
        <v>1.0</v>
      </c>
      <c r="G166" s="4">
        <v>718.0</v>
      </c>
      <c r="H166" s="4">
        <v>219.0</v>
      </c>
      <c r="I166" s="21">
        <f t="array" ref="I166">XLOOKUP($A166,product!A:A,product!E:E)</f>
        <v>12.13</v>
      </c>
      <c r="J166" s="4">
        <f t="shared" si="2"/>
        <v>2656.47</v>
      </c>
      <c r="K166" s="22">
        <f t="shared" si="3"/>
        <v>1</v>
      </c>
      <c r="L166" s="4">
        <f t="shared" si="4"/>
        <v>1</v>
      </c>
    </row>
    <row r="167">
      <c r="A167" s="23">
        <v>86753.0</v>
      </c>
      <c r="B167" s="24" t="str">
        <f t="array" ref="B167">xlookup($A167,product!$A:$A,product!B:B)</f>
        <v>Maison</v>
      </c>
      <c r="C167" s="24" t="str">
        <f t="array" ref="C167">xlookup($A167,product!$A:$A,product!C:C)</f>
        <v>Literie</v>
      </c>
      <c r="D167" s="24" t="str">
        <f t="array" ref="D167">xlookup($A167,product!$A:$A,product!D:D)</f>
        <v>Protège-matelas, alèse</v>
      </c>
      <c r="E167" s="25" t="str">
        <f t="shared" si="1"/>
        <v>86753-Literie-Protège-matelas, alèse</v>
      </c>
      <c r="F167" s="25">
        <v>1.0</v>
      </c>
      <c r="G167" s="25">
        <v>813.0</v>
      </c>
      <c r="H167" s="25">
        <v>513.0</v>
      </c>
      <c r="I167" s="26">
        <f t="array" ref="I167">XLOOKUP($A167,product!A:A,product!E:E)</f>
        <v>5.4</v>
      </c>
      <c r="J167" s="25">
        <f t="shared" si="2"/>
        <v>2770.2</v>
      </c>
      <c r="K167" s="27">
        <f t="shared" si="3"/>
        <v>1</v>
      </c>
      <c r="L167" s="25">
        <f t="shared" si="4"/>
        <v>1</v>
      </c>
    </row>
    <row r="168">
      <c r="A168" s="19">
        <v>145102.0</v>
      </c>
      <c r="B168" s="20" t="str">
        <f t="array" ref="B168">xlookup($A168,product!$A:$A,product!B:B)</f>
        <v>Maison</v>
      </c>
      <c r="C168" s="20" t="str">
        <f t="array" ref="C168">xlookup($A168,product!$A:$A,product!C:C)</f>
        <v>Literie</v>
      </c>
      <c r="D168" s="20" t="str">
        <f t="array" ref="D168">xlookup($A168,product!$A:$A,product!D:D)</f>
        <v>Protège-matelas, alèse</v>
      </c>
      <c r="E168" s="4" t="str">
        <f t="shared" si="1"/>
        <v>145102-Literie-Protège-matelas, alèse</v>
      </c>
      <c r="F168" s="4">
        <v>0.0</v>
      </c>
      <c r="G168" s="4">
        <v>626.0</v>
      </c>
      <c r="H168" s="4">
        <v>462.0</v>
      </c>
      <c r="I168" s="21">
        <f t="array" ref="I168">XLOOKUP($A168,product!A:A,product!E:E)</f>
        <v>14.1</v>
      </c>
      <c r="J168" s="4">
        <f t="shared" si="2"/>
        <v>6514.2</v>
      </c>
      <c r="K168" s="22">
        <f t="shared" si="3"/>
        <v>1</v>
      </c>
      <c r="L168" s="4">
        <f t="shared" si="4"/>
        <v>1</v>
      </c>
    </row>
    <row r="169">
      <c r="A169" s="23">
        <v>78717.0</v>
      </c>
      <c r="B169" s="24" t="str">
        <f t="array" ref="B169">xlookup($A169,product!$A:$A,product!B:B)</f>
        <v>Santé &amp; Bien-être</v>
      </c>
      <c r="C169" s="24" t="str">
        <f t="array" ref="C169">xlookup($A169,product!$A:$A,product!C:C)</f>
        <v>Minceur</v>
      </c>
      <c r="D169" s="24" t="str">
        <f t="array" ref="D169">xlookup($A169,product!$A:$A,product!D:D)</f>
        <v>Coupe-faim</v>
      </c>
      <c r="E169" s="25" t="str">
        <f t="shared" si="1"/>
        <v>78717-Minceur-Coupe-faim</v>
      </c>
      <c r="F169" s="25">
        <v>1.0</v>
      </c>
      <c r="G169" s="25">
        <v>415.0</v>
      </c>
      <c r="H169" s="25">
        <v>365.0</v>
      </c>
      <c r="I169" s="26">
        <f t="array" ref="I169">XLOOKUP($A169,product!A:A,product!E:E)</f>
        <v>12.52</v>
      </c>
      <c r="J169" s="25">
        <f t="shared" si="2"/>
        <v>4569.8</v>
      </c>
      <c r="K169" s="27">
        <f t="shared" si="3"/>
        <v>1</v>
      </c>
      <c r="L169" s="25">
        <f t="shared" si="4"/>
        <v>1</v>
      </c>
    </row>
    <row r="170">
      <c r="A170" s="19">
        <v>82777.0</v>
      </c>
      <c r="B170" s="20" t="str">
        <f t="array" ref="B170">xlookup($A170,product!$A:$A,product!B:B)</f>
        <v>Santé &amp; Bien-être</v>
      </c>
      <c r="C170" s="20" t="str">
        <f t="array" ref="C170">xlookup($A170,product!$A:$A,product!C:C)</f>
        <v>Minceur</v>
      </c>
      <c r="D170" s="20" t="str">
        <f t="array" ref="D170">xlookup($A170,product!$A:$A,product!D:D)</f>
        <v>Coupe-faim</v>
      </c>
      <c r="E170" s="4" t="str">
        <f t="shared" si="1"/>
        <v>82777-Minceur-Coupe-faim</v>
      </c>
      <c r="F170" s="4">
        <v>1.0</v>
      </c>
      <c r="G170" s="4">
        <v>708.0</v>
      </c>
      <c r="H170" s="4">
        <v>679.0</v>
      </c>
      <c r="I170" s="21">
        <f t="array" ref="I170">XLOOKUP($A170,product!A:A,product!E:E)</f>
        <v>9.09</v>
      </c>
      <c r="J170" s="4">
        <f t="shared" si="2"/>
        <v>6172.11</v>
      </c>
      <c r="K170" s="22">
        <f t="shared" si="3"/>
        <v>1</v>
      </c>
      <c r="L170" s="4">
        <f t="shared" si="4"/>
        <v>1</v>
      </c>
    </row>
    <row r="171">
      <c r="A171" s="23">
        <v>120341.0</v>
      </c>
      <c r="B171" s="24" t="str">
        <f t="array" ref="B171">xlookup($A171,product!$A:$A,product!B:B)</f>
        <v>Santé &amp; Bien-être</v>
      </c>
      <c r="C171" s="24" t="str">
        <f t="array" ref="C171">xlookup($A171,product!$A:$A,product!C:C)</f>
        <v>Minceur</v>
      </c>
      <c r="D171" s="24" t="str">
        <f t="array" ref="D171">xlookup($A171,product!$A:$A,product!D:D)</f>
        <v>Elimination</v>
      </c>
      <c r="E171" s="25" t="str">
        <f t="shared" si="1"/>
        <v>120341-Minceur-Elimination</v>
      </c>
      <c r="F171" s="25">
        <v>1.0</v>
      </c>
      <c r="G171" s="25">
        <v>418.0</v>
      </c>
      <c r="H171" s="25">
        <v>124.0</v>
      </c>
      <c r="I171" s="26">
        <f t="array" ref="I171">XLOOKUP($A171,product!A:A,product!E:E)</f>
        <v>2.07</v>
      </c>
      <c r="J171" s="25">
        <f t="shared" si="2"/>
        <v>256.68</v>
      </c>
      <c r="K171" s="27">
        <f t="shared" si="3"/>
        <v>1</v>
      </c>
      <c r="L171" s="25">
        <f t="shared" si="4"/>
        <v>1</v>
      </c>
    </row>
    <row r="172">
      <c r="A172" s="19">
        <v>110344.0</v>
      </c>
      <c r="B172" s="20" t="str">
        <f t="array" ref="B172">xlookup($A172,product!$A:$A,product!B:B)</f>
        <v>Santé &amp; Bien-être</v>
      </c>
      <c r="C172" s="20" t="str">
        <f t="array" ref="C172">xlookup($A172,product!$A:$A,product!C:C)</f>
        <v>Minceur</v>
      </c>
      <c r="D172" s="20" t="str">
        <f t="array" ref="D172">xlookup($A172,product!$A:$A,product!D:D)</f>
        <v>Elimination</v>
      </c>
      <c r="E172" s="4" t="str">
        <f t="shared" si="1"/>
        <v>110344-Minceur-Elimination</v>
      </c>
      <c r="F172" s="4">
        <v>0.0</v>
      </c>
      <c r="G172" s="4">
        <v>51.0</v>
      </c>
      <c r="H172" s="4">
        <v>2.0</v>
      </c>
      <c r="I172" s="21">
        <f t="array" ref="I172">XLOOKUP($A172,product!A:A,product!E:E)</f>
        <v>7.23</v>
      </c>
      <c r="J172" s="4">
        <f t="shared" si="2"/>
        <v>14.46</v>
      </c>
      <c r="K172" s="22">
        <f t="shared" si="3"/>
        <v>1</v>
      </c>
      <c r="L172" s="4">
        <f t="shared" si="4"/>
        <v>1</v>
      </c>
    </row>
    <row r="173">
      <c r="A173" s="23">
        <v>120233.0</v>
      </c>
      <c r="B173" s="24" t="str">
        <f t="array" ref="B173">xlookup($A173,product!$A:$A,product!B:B)</f>
        <v>Santé &amp; Bien-être</v>
      </c>
      <c r="C173" s="24" t="str">
        <f t="array" ref="C173">xlookup($A173,product!$A:$A,product!C:C)</f>
        <v>Minceur</v>
      </c>
      <c r="D173" s="24" t="str">
        <f t="array" ref="D173">xlookup($A173,product!$A:$A,product!D:D)</f>
        <v>Elimination</v>
      </c>
      <c r="E173" s="25" t="str">
        <f t="shared" si="1"/>
        <v>120233-Minceur-Elimination</v>
      </c>
      <c r="F173" s="25">
        <v>0.0</v>
      </c>
      <c r="G173" s="25">
        <v>507.0</v>
      </c>
      <c r="H173" s="25">
        <v>162.0</v>
      </c>
      <c r="I173" s="26">
        <f t="array" ref="I173">XLOOKUP($A173,product!A:A,product!E:E)</f>
        <v>7.81</v>
      </c>
      <c r="J173" s="25">
        <f t="shared" si="2"/>
        <v>1265.22</v>
      </c>
      <c r="K173" s="27">
        <f t="shared" si="3"/>
        <v>1</v>
      </c>
      <c r="L173" s="25">
        <f t="shared" si="4"/>
        <v>1</v>
      </c>
    </row>
    <row r="174">
      <c r="A174" s="19">
        <v>117579.0</v>
      </c>
      <c r="B174" s="20" t="str">
        <f t="array" ref="B174">xlookup($A174,product!$A:$A,product!B:B)</f>
        <v>Santé &amp; Bien-être</v>
      </c>
      <c r="C174" s="20" t="str">
        <f t="array" ref="C174">xlookup($A174,product!$A:$A,product!C:C)</f>
        <v>Minceur</v>
      </c>
      <c r="D174" s="20" t="str">
        <f t="array" ref="D174">xlookup($A174,product!$A:$A,product!D:D)</f>
        <v>Elimination</v>
      </c>
      <c r="E174" s="4" t="str">
        <f t="shared" si="1"/>
        <v>117579-Minceur-Elimination</v>
      </c>
      <c r="F174" s="4">
        <v>0.0</v>
      </c>
      <c r="G174" s="4">
        <v>960.0</v>
      </c>
      <c r="H174" s="4">
        <v>862.0</v>
      </c>
      <c r="I174" s="21">
        <f t="array" ref="I174">XLOOKUP($A174,product!A:A,product!E:E)</f>
        <v>13.24</v>
      </c>
      <c r="J174" s="4">
        <f t="shared" si="2"/>
        <v>11412.88</v>
      </c>
      <c r="K174" s="22">
        <f t="shared" si="3"/>
        <v>1</v>
      </c>
      <c r="L174" s="4">
        <f t="shared" si="4"/>
        <v>1</v>
      </c>
    </row>
    <row r="175">
      <c r="A175" s="23">
        <v>21066.0</v>
      </c>
      <c r="B175" s="24" t="str">
        <f t="array" ref="B175">xlookup($A175,product!$A:$A,product!B:B)</f>
        <v>Santé &amp; Bien-être</v>
      </c>
      <c r="C175" s="24" t="str">
        <f t="array" ref="C175">xlookup($A175,product!$A:$A,product!C:C)</f>
        <v>Minceur</v>
      </c>
      <c r="D175" s="24" t="str">
        <f t="array" ref="D175">xlookup($A175,product!$A:$A,product!D:D)</f>
        <v>Elimination</v>
      </c>
      <c r="E175" s="25" t="str">
        <f t="shared" si="1"/>
        <v>21066-Minceur-Elimination</v>
      </c>
      <c r="F175" s="25">
        <v>1.0</v>
      </c>
      <c r="G175" s="25">
        <v>621.0</v>
      </c>
      <c r="H175" s="25">
        <v>16.0</v>
      </c>
      <c r="I175" s="26">
        <f t="array" ref="I175">XLOOKUP($A175,product!A:A,product!E:E)</f>
        <v>4.87</v>
      </c>
      <c r="J175" s="25">
        <f t="shared" si="2"/>
        <v>77.92</v>
      </c>
      <c r="K175" s="27">
        <f t="shared" si="3"/>
        <v>1</v>
      </c>
      <c r="L175" s="25">
        <f t="shared" si="4"/>
        <v>1</v>
      </c>
    </row>
    <row r="176">
      <c r="A176" s="19">
        <v>117583.0</v>
      </c>
      <c r="B176" s="20" t="str">
        <f t="array" ref="B176">xlookup($A176,product!$A:$A,product!B:B)</f>
        <v>Santé &amp; Bien-être</v>
      </c>
      <c r="C176" s="20" t="str">
        <f t="array" ref="C176">xlookup($A176,product!$A:$A,product!C:C)</f>
        <v>Minceur</v>
      </c>
      <c r="D176" s="20" t="str">
        <f t="array" ref="D176">xlookup($A176,product!$A:$A,product!D:D)</f>
        <v>Elimination</v>
      </c>
      <c r="E176" s="4" t="str">
        <f t="shared" si="1"/>
        <v>117583-Minceur-Elimination</v>
      </c>
      <c r="F176" s="4">
        <v>0.0</v>
      </c>
      <c r="G176" s="4">
        <v>233.0</v>
      </c>
      <c r="H176" s="4">
        <v>156.0</v>
      </c>
      <c r="I176" s="21">
        <f t="array" ref="I176">XLOOKUP($A176,product!A:A,product!E:E)</f>
        <v>14.97</v>
      </c>
      <c r="J176" s="4">
        <f t="shared" si="2"/>
        <v>2335.32</v>
      </c>
      <c r="K176" s="22">
        <f t="shared" si="3"/>
        <v>1</v>
      </c>
      <c r="L176" s="4">
        <f t="shared" si="4"/>
        <v>1</v>
      </c>
    </row>
    <row r="177">
      <c r="A177" s="23">
        <v>71107.0</v>
      </c>
      <c r="B177" s="24" t="str">
        <f t="array" ref="B177">xlookup($A177,product!$A:$A,product!B:B)</f>
        <v>Santé &amp; Bien-être</v>
      </c>
      <c r="C177" s="24" t="str">
        <f t="array" ref="C177">xlookup($A177,product!$A:$A,product!C:C)</f>
        <v>Minceur</v>
      </c>
      <c r="D177" s="24" t="str">
        <f t="array" ref="D177">xlookup($A177,product!$A:$A,product!D:D)</f>
        <v>Détox minceur</v>
      </c>
      <c r="E177" s="25" t="str">
        <f t="shared" si="1"/>
        <v>71107-Minceur-Détox minceur</v>
      </c>
      <c r="F177" s="25">
        <v>1.0</v>
      </c>
      <c r="G177" s="25">
        <v>360.0</v>
      </c>
      <c r="H177" s="25">
        <v>181.0</v>
      </c>
      <c r="I177" s="26">
        <f t="array" ref="I177">XLOOKUP($A177,product!A:A,product!E:E)</f>
        <v>6.93</v>
      </c>
      <c r="J177" s="25">
        <f t="shared" si="2"/>
        <v>1254.33</v>
      </c>
      <c r="K177" s="27">
        <f t="shared" si="3"/>
        <v>1</v>
      </c>
      <c r="L177" s="25">
        <f t="shared" si="4"/>
        <v>1</v>
      </c>
    </row>
    <row r="178">
      <c r="A178" s="19">
        <v>104168.0</v>
      </c>
      <c r="B178" s="20" t="str">
        <f t="array" ref="B178">xlookup($A178,product!$A:$A,product!B:B)</f>
        <v>Santé &amp; Bien-être</v>
      </c>
      <c r="C178" s="20" t="str">
        <f t="array" ref="C178">xlookup($A178,product!$A:$A,product!C:C)</f>
        <v>Minceur</v>
      </c>
      <c r="D178" s="20" t="str">
        <f t="array" ref="D178">xlookup($A178,product!$A:$A,product!D:D)</f>
        <v>Détox minceur</v>
      </c>
      <c r="E178" s="4" t="str">
        <f t="shared" si="1"/>
        <v>104168-Minceur-Détox minceur</v>
      </c>
      <c r="F178" s="4">
        <v>0.0</v>
      </c>
      <c r="G178" s="4">
        <v>54.0</v>
      </c>
      <c r="H178" s="4">
        <v>42.0</v>
      </c>
      <c r="I178" s="21">
        <f t="array" ref="I178">XLOOKUP($A178,product!A:A,product!E:E)</f>
        <v>6.23</v>
      </c>
      <c r="J178" s="4">
        <f t="shared" si="2"/>
        <v>261.66</v>
      </c>
      <c r="K178" s="22">
        <f t="shared" si="3"/>
        <v>1</v>
      </c>
      <c r="L178" s="4">
        <f t="shared" si="4"/>
        <v>1</v>
      </c>
    </row>
    <row r="179">
      <c r="A179" s="23">
        <v>88913.0</v>
      </c>
      <c r="B179" s="24" t="str">
        <f t="array" ref="B179">xlookup($A179,product!$A:$A,product!B:B)</f>
        <v>Santé &amp; Bien-être</v>
      </c>
      <c r="C179" s="24" t="str">
        <f t="array" ref="C179">xlookup($A179,product!$A:$A,product!C:C)</f>
        <v>Minceur</v>
      </c>
      <c r="D179" s="24" t="str">
        <f t="array" ref="D179">xlookup($A179,product!$A:$A,product!D:D)</f>
        <v>Détox minceur</v>
      </c>
      <c r="E179" s="25" t="str">
        <f t="shared" si="1"/>
        <v>88913-Minceur-Détox minceur</v>
      </c>
      <c r="F179" s="25">
        <v>0.0</v>
      </c>
      <c r="G179" s="25">
        <v>408.0</v>
      </c>
      <c r="H179" s="25">
        <v>174.0</v>
      </c>
      <c r="I179" s="26">
        <f t="array" ref="I179">XLOOKUP($A179,product!A:A,product!E:E)</f>
        <v>5.63</v>
      </c>
      <c r="J179" s="25">
        <f t="shared" si="2"/>
        <v>979.62</v>
      </c>
      <c r="K179" s="27">
        <f t="shared" si="3"/>
        <v>1</v>
      </c>
      <c r="L179" s="25">
        <f t="shared" si="4"/>
        <v>1</v>
      </c>
    </row>
    <row r="180">
      <c r="A180" s="19">
        <v>108160.0</v>
      </c>
      <c r="B180" s="20" t="str">
        <f t="array" ref="B180">xlookup($A180,product!$A:$A,product!B:B)</f>
        <v>Santé &amp; Bien-être</v>
      </c>
      <c r="C180" s="20" t="str">
        <f t="array" ref="C180">xlookup($A180,product!$A:$A,product!C:C)</f>
        <v>Minceur</v>
      </c>
      <c r="D180" s="20" t="str">
        <f t="array" ref="D180">xlookup($A180,product!$A:$A,product!D:D)</f>
        <v>Détox minceur</v>
      </c>
      <c r="E180" s="4" t="str">
        <f t="shared" si="1"/>
        <v>108160-Minceur-Détox minceur</v>
      </c>
      <c r="F180" s="4">
        <v>0.0</v>
      </c>
      <c r="G180" s="4">
        <v>6.0</v>
      </c>
      <c r="H180" s="4">
        <v>5.0</v>
      </c>
      <c r="I180" s="21">
        <f t="array" ref="I180">XLOOKUP($A180,product!A:A,product!E:E)</f>
        <v>6.01</v>
      </c>
      <c r="J180" s="4">
        <f t="shared" si="2"/>
        <v>30.05</v>
      </c>
      <c r="K180" s="22">
        <f t="shared" si="3"/>
        <v>1</v>
      </c>
      <c r="L180" s="4">
        <f t="shared" si="4"/>
        <v>1</v>
      </c>
    </row>
    <row r="181">
      <c r="A181" s="23">
        <v>128377.0</v>
      </c>
      <c r="B181" s="24" t="str">
        <f t="array" ref="B181">xlookup($A181,product!$A:$A,product!B:B)</f>
        <v>Santé &amp; Bien-être</v>
      </c>
      <c r="C181" s="24" t="str">
        <f t="array" ref="C181">xlookup($A181,product!$A:$A,product!C:C)</f>
        <v>Minceur</v>
      </c>
      <c r="D181" s="24" t="str">
        <f t="array" ref="D181">xlookup($A181,product!$A:$A,product!D:D)</f>
        <v>Détox minceur</v>
      </c>
      <c r="E181" s="25" t="str">
        <f t="shared" si="1"/>
        <v>128377-Minceur-Détox minceur</v>
      </c>
      <c r="F181" s="25">
        <v>1.0</v>
      </c>
      <c r="G181" s="25">
        <v>398.0</v>
      </c>
      <c r="H181" s="25">
        <v>204.0</v>
      </c>
      <c r="I181" s="26">
        <f t="array" ref="I181">XLOOKUP($A181,product!A:A,product!E:E)</f>
        <v>3.28</v>
      </c>
      <c r="J181" s="25">
        <f t="shared" si="2"/>
        <v>669.12</v>
      </c>
      <c r="K181" s="27">
        <f t="shared" si="3"/>
        <v>1</v>
      </c>
      <c r="L181" s="25">
        <f t="shared" si="4"/>
        <v>1</v>
      </c>
    </row>
    <row r="182">
      <c r="A182" s="19">
        <v>108533.0</v>
      </c>
      <c r="B182" s="20" t="str">
        <f t="array" ref="B182">xlookup($A182,product!$A:$A,product!B:B)</f>
        <v>Santé &amp; Bien-être</v>
      </c>
      <c r="C182" s="20" t="str">
        <f t="array" ref="C182">xlookup($A182,product!$A:$A,product!C:C)</f>
        <v>Minceur</v>
      </c>
      <c r="D182" s="20" t="str">
        <f t="array" ref="D182">xlookup($A182,product!$A:$A,product!D:D)</f>
        <v>Détox minceur</v>
      </c>
      <c r="E182" s="4" t="str">
        <f t="shared" si="1"/>
        <v>108533-Minceur-Détox minceur</v>
      </c>
      <c r="F182" s="4">
        <v>1.0</v>
      </c>
      <c r="G182" s="4">
        <v>94.0</v>
      </c>
      <c r="H182" s="4">
        <v>15.0</v>
      </c>
      <c r="I182" s="21">
        <f t="array" ref="I182">XLOOKUP($A182,product!A:A,product!E:E)</f>
        <v>14.19</v>
      </c>
      <c r="J182" s="4">
        <f t="shared" si="2"/>
        <v>212.85</v>
      </c>
      <c r="K182" s="22">
        <f t="shared" si="3"/>
        <v>1</v>
      </c>
      <c r="L182" s="4">
        <f t="shared" si="4"/>
        <v>1</v>
      </c>
    </row>
    <row r="183">
      <c r="A183" s="23">
        <v>116392.0</v>
      </c>
      <c r="B183" s="24" t="str">
        <f t="array" ref="B183">xlookup($A183,product!$A:$A,product!B:B)</f>
        <v>Santé &amp; Bien-être</v>
      </c>
      <c r="C183" s="24" t="str">
        <f t="array" ref="C183">xlookup($A183,product!$A:$A,product!C:C)</f>
        <v>Minceur</v>
      </c>
      <c r="D183" s="24" t="str">
        <f t="array" ref="D183">xlookup($A183,product!$A:$A,product!D:D)</f>
        <v>Détox minceur</v>
      </c>
      <c r="E183" s="25" t="str">
        <f t="shared" si="1"/>
        <v>116392-Minceur-Détox minceur</v>
      </c>
      <c r="F183" s="25">
        <v>0.0</v>
      </c>
      <c r="G183" s="25">
        <v>298.0</v>
      </c>
      <c r="H183" s="25">
        <v>10.0</v>
      </c>
      <c r="I183" s="26">
        <f t="array" ref="I183">XLOOKUP($A183,product!A:A,product!E:E)</f>
        <v>8.2</v>
      </c>
      <c r="J183" s="25">
        <f t="shared" si="2"/>
        <v>82</v>
      </c>
      <c r="K183" s="27">
        <f t="shared" si="3"/>
        <v>1</v>
      </c>
      <c r="L183" s="25">
        <f t="shared" si="4"/>
        <v>1</v>
      </c>
    </row>
    <row r="184">
      <c r="A184" s="19">
        <v>110328.0</v>
      </c>
      <c r="B184" s="20" t="str">
        <f t="array" ref="B184">xlookup($A184,product!$A:$A,product!B:B)</f>
        <v>Santé &amp; Bien-être</v>
      </c>
      <c r="C184" s="20" t="str">
        <f t="array" ref="C184">xlookup($A184,product!$A:$A,product!C:C)</f>
        <v>Minceur</v>
      </c>
      <c r="D184" s="20" t="str">
        <f t="array" ref="D184">xlookup($A184,product!$A:$A,product!D:D)</f>
        <v>Détox minceur</v>
      </c>
      <c r="E184" s="4" t="str">
        <f t="shared" si="1"/>
        <v>110328-Minceur-Détox minceur</v>
      </c>
      <c r="F184" s="4">
        <v>0.0</v>
      </c>
      <c r="G184" s="4">
        <v>976.0</v>
      </c>
      <c r="H184" s="4">
        <v>503.0</v>
      </c>
      <c r="I184" s="21">
        <f t="array" ref="I184">XLOOKUP($A184,product!A:A,product!E:E)</f>
        <v>5.12</v>
      </c>
      <c r="J184" s="4">
        <f t="shared" si="2"/>
        <v>2575.36</v>
      </c>
      <c r="K184" s="22">
        <f t="shared" si="3"/>
        <v>1</v>
      </c>
      <c r="L184" s="4">
        <f t="shared" si="4"/>
        <v>1</v>
      </c>
    </row>
    <row r="185">
      <c r="A185" s="23">
        <v>101445.0</v>
      </c>
      <c r="B185" s="24" t="str">
        <f t="array" ref="B185">xlookup($A185,product!$A:$A,product!B:B)</f>
        <v>Santé &amp; Bien-être</v>
      </c>
      <c r="C185" s="24" t="str">
        <f t="array" ref="C185">xlookup($A185,product!$A:$A,product!C:C)</f>
        <v>Minceur</v>
      </c>
      <c r="D185" s="24" t="str">
        <f t="array" ref="D185">xlookup($A185,product!$A:$A,product!D:D)</f>
        <v>Détox minceur</v>
      </c>
      <c r="E185" s="25" t="str">
        <f t="shared" si="1"/>
        <v>101445-Minceur-Détox minceur</v>
      </c>
      <c r="F185" s="25">
        <v>0.0</v>
      </c>
      <c r="G185" s="25">
        <v>465.0</v>
      </c>
      <c r="H185" s="25">
        <v>390.0</v>
      </c>
      <c r="I185" s="26">
        <f t="array" ref="I185">XLOOKUP($A185,product!A:A,product!E:E)</f>
        <v>6.79</v>
      </c>
      <c r="J185" s="25">
        <f t="shared" si="2"/>
        <v>2648.1</v>
      </c>
      <c r="K185" s="27">
        <f t="shared" si="3"/>
        <v>1</v>
      </c>
      <c r="L185" s="25">
        <f t="shared" si="4"/>
        <v>1</v>
      </c>
    </row>
    <row r="186">
      <c r="A186" s="19">
        <v>117599.0</v>
      </c>
      <c r="B186" s="20" t="str">
        <f t="array" ref="B186">xlookup($A186,product!$A:$A,product!B:B)</f>
        <v>Santé &amp; Bien-être</v>
      </c>
      <c r="C186" s="20" t="str">
        <f t="array" ref="C186">xlookup($A186,product!$A:$A,product!C:C)</f>
        <v>Minceur</v>
      </c>
      <c r="D186" s="20" t="str">
        <f t="array" ref="D186">xlookup($A186,product!$A:$A,product!D:D)</f>
        <v>Beauté du corps</v>
      </c>
      <c r="E186" s="4" t="str">
        <f t="shared" si="1"/>
        <v>117599-Minceur-Beauté du corps</v>
      </c>
      <c r="F186" s="4">
        <v>1.0</v>
      </c>
      <c r="G186" s="4">
        <v>676.0</v>
      </c>
      <c r="H186" s="4">
        <v>543.0</v>
      </c>
      <c r="I186" s="21">
        <f t="array" ref="I186">XLOOKUP($A186,product!A:A,product!E:E)</f>
        <v>13.24</v>
      </c>
      <c r="J186" s="4">
        <f t="shared" si="2"/>
        <v>7189.32</v>
      </c>
      <c r="K186" s="22">
        <f t="shared" si="3"/>
        <v>1</v>
      </c>
      <c r="L186" s="4">
        <f t="shared" si="4"/>
        <v>1</v>
      </c>
    </row>
    <row r="187">
      <c r="A187" s="23">
        <v>5508.0</v>
      </c>
      <c r="B187" s="24" t="str">
        <f t="array" ref="B187">xlookup($A187,product!$A:$A,product!B:B)</f>
        <v>Epicerie salée</v>
      </c>
      <c r="C187" s="24" t="str">
        <f t="array" ref="C187">xlookup($A187,product!$A:$A,product!C:C)</f>
        <v>Riz bio</v>
      </c>
      <c r="D187" s="24" t="str">
        <f t="array" ref="D187">xlookup($A187,product!$A:$A,product!D:D)</f>
        <v>Riz rond</v>
      </c>
      <c r="E187" s="25" t="str">
        <f t="shared" si="1"/>
        <v>5508-Riz bio-Riz rond</v>
      </c>
      <c r="F187" s="25">
        <v>0.0</v>
      </c>
      <c r="G187" s="25">
        <v>560.0</v>
      </c>
      <c r="H187" s="25">
        <v>556.0</v>
      </c>
      <c r="I187" s="26">
        <f t="array" ref="I187">XLOOKUP($A187,product!A:A,product!E:E)</f>
        <v>2.72</v>
      </c>
      <c r="J187" s="25">
        <f t="shared" si="2"/>
        <v>1512.32</v>
      </c>
      <c r="K187" s="27">
        <f t="shared" si="3"/>
        <v>1</v>
      </c>
      <c r="L187" s="25">
        <f t="shared" si="4"/>
        <v>1</v>
      </c>
    </row>
    <row r="188">
      <c r="A188" s="19">
        <v>91241.0</v>
      </c>
      <c r="B188" s="20" t="str">
        <f t="array" ref="B188">xlookup($A188,product!$A:$A,product!B:B)</f>
        <v>Epicerie salée</v>
      </c>
      <c r="C188" s="20" t="str">
        <f t="array" ref="C188">xlookup($A188,product!$A:$A,product!C:C)</f>
        <v>Riz bio</v>
      </c>
      <c r="D188" s="20" t="str">
        <f t="array" ref="D188">xlookup($A188,product!$A:$A,product!D:D)</f>
        <v>Riz rond</v>
      </c>
      <c r="E188" s="4" t="str">
        <f t="shared" si="1"/>
        <v>91241-Riz bio-Riz rond</v>
      </c>
      <c r="F188" s="4">
        <v>1.0</v>
      </c>
      <c r="G188" s="4">
        <v>50.0</v>
      </c>
      <c r="H188" s="4">
        <v>40.0</v>
      </c>
      <c r="I188" s="21">
        <f t="array" ref="I188">XLOOKUP($A188,product!A:A,product!E:E)</f>
        <v>6.14</v>
      </c>
      <c r="J188" s="4">
        <f t="shared" si="2"/>
        <v>245.6</v>
      </c>
      <c r="K188" s="22">
        <f t="shared" si="3"/>
        <v>1</v>
      </c>
      <c r="L188" s="4">
        <f t="shared" si="4"/>
        <v>1</v>
      </c>
    </row>
    <row r="189">
      <c r="A189" s="23">
        <v>5507.0</v>
      </c>
      <c r="B189" s="24" t="str">
        <f t="array" ref="B189">xlookup($A189,product!$A:$A,product!B:B)</f>
        <v>Epicerie salée</v>
      </c>
      <c r="C189" s="24" t="str">
        <f t="array" ref="C189">xlookup($A189,product!$A:$A,product!C:C)</f>
        <v>Riz bio</v>
      </c>
      <c r="D189" s="24" t="str">
        <f t="array" ref="D189">xlookup($A189,product!$A:$A,product!D:D)</f>
        <v>Riz rond</v>
      </c>
      <c r="E189" s="25" t="str">
        <f t="shared" si="1"/>
        <v>5507-Riz bio-Riz rond</v>
      </c>
      <c r="F189" s="25">
        <v>1.0</v>
      </c>
      <c r="G189" s="25">
        <v>209.0</v>
      </c>
      <c r="H189" s="25">
        <v>198.0</v>
      </c>
      <c r="I189" s="26">
        <f t="array" ref="I189">XLOOKUP($A189,product!A:A,product!E:E)</f>
        <v>2.63</v>
      </c>
      <c r="J189" s="25">
        <f t="shared" si="2"/>
        <v>520.74</v>
      </c>
      <c r="K189" s="27">
        <f t="shared" si="3"/>
        <v>1</v>
      </c>
      <c r="L189" s="25">
        <f t="shared" si="4"/>
        <v>1</v>
      </c>
    </row>
    <row r="190">
      <c r="A190" s="19">
        <v>110575.0</v>
      </c>
      <c r="B190" s="20" t="str">
        <f t="array" ref="B190">xlookup($A190,product!$A:$A,product!B:B)</f>
        <v>Epicerie salée</v>
      </c>
      <c r="C190" s="20" t="str">
        <f t="array" ref="C190">xlookup($A190,product!$A:$A,product!C:C)</f>
        <v>Riz bio</v>
      </c>
      <c r="D190" s="20" t="str">
        <f t="array" ref="D190">xlookup($A190,product!$A:$A,product!D:D)</f>
        <v>Riz rond</v>
      </c>
      <c r="E190" s="4" t="str">
        <f t="shared" si="1"/>
        <v>110575-Riz bio-Riz rond</v>
      </c>
      <c r="F190" s="4">
        <v>1.0</v>
      </c>
      <c r="G190" s="4">
        <v>866.0</v>
      </c>
      <c r="H190" s="4">
        <v>36.0</v>
      </c>
      <c r="I190" s="21">
        <f t="array" ref="I190">XLOOKUP($A190,product!A:A,product!E:E)</f>
        <v>1.12</v>
      </c>
      <c r="J190" s="4">
        <f t="shared" si="2"/>
        <v>40.32</v>
      </c>
      <c r="K190" s="22">
        <f t="shared" si="3"/>
        <v>1</v>
      </c>
      <c r="L190" s="4">
        <f t="shared" si="4"/>
        <v>1</v>
      </c>
    </row>
    <row r="191">
      <c r="A191" s="23">
        <v>6156.0</v>
      </c>
      <c r="B191" s="24" t="str">
        <f t="array" ref="B191">xlookup($A191,product!$A:$A,product!B:B)</f>
        <v>Epicerie salée</v>
      </c>
      <c r="C191" s="24" t="str">
        <f t="array" ref="C191">xlookup($A191,product!$A:$A,product!C:C)</f>
        <v>Riz bio</v>
      </c>
      <c r="D191" s="24" t="str">
        <f t="array" ref="D191">xlookup($A191,product!$A:$A,product!D:D)</f>
        <v>Riz rond</v>
      </c>
      <c r="E191" s="25" t="str">
        <f t="shared" si="1"/>
        <v>6156-Riz bio-Riz rond</v>
      </c>
      <c r="F191" s="25">
        <v>0.0</v>
      </c>
      <c r="G191" s="25">
        <v>93.0</v>
      </c>
      <c r="H191" s="25">
        <v>72.0</v>
      </c>
      <c r="I191" s="26">
        <f t="array" ref="I191">XLOOKUP($A191,product!A:A,product!E:E)</f>
        <v>3.12</v>
      </c>
      <c r="J191" s="25">
        <f t="shared" si="2"/>
        <v>224.64</v>
      </c>
      <c r="K191" s="27">
        <f t="shared" si="3"/>
        <v>1</v>
      </c>
      <c r="L191" s="25">
        <f t="shared" si="4"/>
        <v>1</v>
      </c>
    </row>
    <row r="192">
      <c r="A192" s="19">
        <v>91239.0</v>
      </c>
      <c r="B192" s="20" t="str">
        <f t="array" ref="B192">xlookup($A192,product!$A:$A,product!B:B)</f>
        <v>Epicerie salée</v>
      </c>
      <c r="C192" s="20" t="str">
        <f t="array" ref="C192">xlookup($A192,product!$A:$A,product!C:C)</f>
        <v>Riz bio</v>
      </c>
      <c r="D192" s="20" t="str">
        <f t="array" ref="D192">xlookup($A192,product!$A:$A,product!D:D)</f>
        <v>Riz rond</v>
      </c>
      <c r="E192" s="4" t="str">
        <f t="shared" si="1"/>
        <v>91239-Riz bio-Riz rond</v>
      </c>
      <c r="F192" s="4">
        <v>0.0</v>
      </c>
      <c r="G192" s="4">
        <v>846.0</v>
      </c>
      <c r="H192" s="4">
        <v>14.0</v>
      </c>
      <c r="I192" s="21">
        <f t="array" ref="I192">XLOOKUP($A192,product!A:A,product!E:E)</f>
        <v>2.2</v>
      </c>
      <c r="J192" s="4">
        <f t="shared" si="2"/>
        <v>30.8</v>
      </c>
      <c r="K192" s="22">
        <f t="shared" si="3"/>
        <v>1</v>
      </c>
      <c r="L192" s="4">
        <f t="shared" si="4"/>
        <v>1</v>
      </c>
    </row>
    <row r="193">
      <c r="A193" s="23">
        <v>77361.0</v>
      </c>
      <c r="B193" s="24" t="str">
        <f t="array" ref="B193">xlookup($A193,product!$A:$A,product!B:B)</f>
        <v>Epicerie salée</v>
      </c>
      <c r="C193" s="24" t="str">
        <f t="array" ref="C193">xlookup($A193,product!$A:$A,product!C:C)</f>
        <v>Riz bio</v>
      </c>
      <c r="D193" s="24" t="str">
        <f t="array" ref="D193">xlookup($A193,product!$A:$A,product!D:D)</f>
        <v>Riz rond</v>
      </c>
      <c r="E193" s="25" t="str">
        <f t="shared" si="1"/>
        <v>77361-Riz bio-Riz rond</v>
      </c>
      <c r="F193" s="25">
        <v>0.0</v>
      </c>
      <c r="G193" s="25">
        <v>529.0</v>
      </c>
      <c r="H193" s="25">
        <v>24.0</v>
      </c>
      <c r="I193" s="26">
        <f t="array" ref="I193">XLOOKUP($A193,product!A:A,product!E:E)</f>
        <v>2.23</v>
      </c>
      <c r="J193" s="25">
        <f t="shared" si="2"/>
        <v>53.52</v>
      </c>
      <c r="K193" s="27">
        <f t="shared" si="3"/>
        <v>1</v>
      </c>
      <c r="L193" s="25">
        <f t="shared" si="4"/>
        <v>1</v>
      </c>
    </row>
    <row r="194">
      <c r="A194" s="19">
        <v>77363.0</v>
      </c>
      <c r="B194" s="20" t="str">
        <f t="array" ref="B194">xlookup($A194,product!$A:$A,product!B:B)</f>
        <v>Epicerie salée</v>
      </c>
      <c r="C194" s="20" t="str">
        <f t="array" ref="C194">xlookup($A194,product!$A:$A,product!C:C)</f>
        <v>Riz bio</v>
      </c>
      <c r="D194" s="20" t="str">
        <f t="array" ref="D194">xlookup($A194,product!$A:$A,product!D:D)</f>
        <v>Riz rond</v>
      </c>
      <c r="E194" s="4" t="str">
        <f t="shared" si="1"/>
        <v>77363-Riz bio-Riz rond</v>
      </c>
      <c r="F194" s="4">
        <v>0.0</v>
      </c>
      <c r="G194" s="4">
        <v>221.0</v>
      </c>
      <c r="H194" s="4">
        <v>171.0</v>
      </c>
      <c r="I194" s="21">
        <f t="array" ref="I194">XLOOKUP($A194,product!A:A,product!E:E)</f>
        <v>2.52</v>
      </c>
      <c r="J194" s="4">
        <f t="shared" si="2"/>
        <v>430.92</v>
      </c>
      <c r="K194" s="22">
        <f t="shared" si="3"/>
        <v>1</v>
      </c>
      <c r="L194" s="4">
        <f t="shared" si="4"/>
        <v>1</v>
      </c>
    </row>
    <row r="195">
      <c r="A195" s="23">
        <v>124679.0</v>
      </c>
      <c r="B195" s="24" t="str">
        <f t="array" ref="B195">xlookup($A195,product!$A:$A,product!B:B)</f>
        <v>Epicerie salée</v>
      </c>
      <c r="C195" s="24" t="str">
        <f t="array" ref="C195">xlookup($A195,product!$A:$A,product!C:C)</f>
        <v>Riz bio</v>
      </c>
      <c r="D195" s="24" t="str">
        <f t="array" ref="D195">xlookup($A195,product!$A:$A,product!D:D)</f>
        <v>Riz parfumé</v>
      </c>
      <c r="E195" s="25" t="str">
        <f t="shared" si="1"/>
        <v>124679-Riz bio-Riz parfumé</v>
      </c>
      <c r="F195" s="25">
        <v>0.0</v>
      </c>
      <c r="G195" s="25">
        <v>685.0</v>
      </c>
      <c r="H195" s="25">
        <v>53.0</v>
      </c>
      <c r="I195" s="26">
        <f t="array" ref="I195">XLOOKUP($A195,product!A:A,product!E:E)</f>
        <v>2.23</v>
      </c>
      <c r="J195" s="25">
        <f t="shared" si="2"/>
        <v>118.19</v>
      </c>
      <c r="K195" s="27">
        <f t="shared" si="3"/>
        <v>1</v>
      </c>
      <c r="L195" s="25">
        <f t="shared" si="4"/>
        <v>1</v>
      </c>
    </row>
    <row r="196">
      <c r="A196" s="19">
        <v>89558.0</v>
      </c>
      <c r="B196" s="20" t="str">
        <f t="array" ref="B196">xlookup($A196,product!$A:$A,product!B:B)</f>
        <v>Epicerie salée</v>
      </c>
      <c r="C196" s="20" t="str">
        <f t="array" ref="C196">xlookup($A196,product!$A:$A,product!C:C)</f>
        <v>Riz bio</v>
      </c>
      <c r="D196" s="20" t="str">
        <f t="array" ref="D196">xlookup($A196,product!$A:$A,product!D:D)</f>
        <v>Riz parfumé</v>
      </c>
      <c r="E196" s="4" t="str">
        <f t="shared" si="1"/>
        <v>89558-Riz bio-Riz parfumé</v>
      </c>
      <c r="F196" s="4">
        <v>1.0</v>
      </c>
      <c r="G196" s="4">
        <v>58.0</v>
      </c>
      <c r="H196" s="4">
        <v>8.0</v>
      </c>
      <c r="I196" s="21">
        <f t="array" ref="I196">XLOOKUP($A196,product!A:A,product!E:E)</f>
        <v>2.61</v>
      </c>
      <c r="J196" s="4">
        <f t="shared" si="2"/>
        <v>20.88</v>
      </c>
      <c r="K196" s="22">
        <f t="shared" si="3"/>
        <v>1</v>
      </c>
      <c r="L196" s="4">
        <f t="shared" si="4"/>
        <v>1</v>
      </c>
    </row>
    <row r="197">
      <c r="A197" s="23">
        <v>91235.0</v>
      </c>
      <c r="B197" s="24" t="str">
        <f t="array" ref="B197">xlookup($A197,product!$A:$A,product!B:B)</f>
        <v>Epicerie salée</v>
      </c>
      <c r="C197" s="24" t="str">
        <f t="array" ref="C197">xlookup($A197,product!$A:$A,product!C:C)</f>
        <v>Riz bio</v>
      </c>
      <c r="D197" s="24" t="str">
        <f t="array" ref="D197">xlookup($A197,product!$A:$A,product!D:D)</f>
        <v>Riz long grain</v>
      </c>
      <c r="E197" s="25" t="str">
        <f t="shared" si="1"/>
        <v>91235-Riz bio-Riz long grain</v>
      </c>
      <c r="F197" s="25">
        <v>1.0</v>
      </c>
      <c r="G197" s="25">
        <v>790.0</v>
      </c>
      <c r="H197" s="25">
        <v>546.0</v>
      </c>
      <c r="I197" s="26">
        <f t="array" ref="I197">XLOOKUP($A197,product!A:A,product!E:E)</f>
        <v>5.86</v>
      </c>
      <c r="J197" s="25">
        <f t="shared" si="2"/>
        <v>3199.56</v>
      </c>
      <c r="K197" s="27">
        <f t="shared" si="3"/>
        <v>1</v>
      </c>
      <c r="L197" s="25">
        <f t="shared" si="4"/>
        <v>1</v>
      </c>
    </row>
    <row r="198">
      <c r="A198" s="19">
        <v>5519.0</v>
      </c>
      <c r="B198" s="20" t="str">
        <f t="array" ref="B198">xlookup($A198,product!$A:$A,product!B:B)</f>
        <v>Epicerie salée</v>
      </c>
      <c r="C198" s="20" t="str">
        <f t="array" ref="C198">xlookup($A198,product!$A:$A,product!C:C)</f>
        <v>Riz bio</v>
      </c>
      <c r="D198" s="20" t="str">
        <f t="array" ref="D198">xlookup($A198,product!$A:$A,product!D:D)</f>
        <v>Riz long grain</v>
      </c>
      <c r="E198" s="4" t="str">
        <f t="shared" si="1"/>
        <v>5519-Riz bio-Riz long grain</v>
      </c>
      <c r="F198" s="4">
        <v>1.0</v>
      </c>
      <c r="G198" s="4">
        <v>146.0</v>
      </c>
      <c r="H198" s="4">
        <v>48.0</v>
      </c>
      <c r="I198" s="21">
        <f t="array" ref="I198">XLOOKUP($A198,product!A:A,product!E:E)</f>
        <v>2.76</v>
      </c>
      <c r="J198" s="4">
        <f t="shared" si="2"/>
        <v>132.48</v>
      </c>
      <c r="K198" s="22">
        <f t="shared" si="3"/>
        <v>1</v>
      </c>
      <c r="L198" s="4">
        <f t="shared" si="4"/>
        <v>1</v>
      </c>
    </row>
    <row r="199">
      <c r="A199" s="23">
        <v>87278.0</v>
      </c>
      <c r="B199" s="24" t="str">
        <f t="array" ref="B199">xlookup($A199,product!$A:$A,product!B:B)</f>
        <v>Epicerie salée</v>
      </c>
      <c r="C199" s="24" t="str">
        <f t="array" ref="C199">xlookup($A199,product!$A:$A,product!C:C)</f>
        <v>Riz bio</v>
      </c>
      <c r="D199" s="24" t="str">
        <f t="array" ref="D199">xlookup($A199,product!$A:$A,product!D:D)</f>
        <v>Riz long grain</v>
      </c>
      <c r="E199" s="25" t="str">
        <f t="shared" si="1"/>
        <v>87278-Riz bio-Riz long grain</v>
      </c>
      <c r="F199" s="25">
        <v>1.0</v>
      </c>
      <c r="G199" s="25">
        <v>225.0</v>
      </c>
      <c r="H199" s="25">
        <v>119.0</v>
      </c>
      <c r="I199" s="26">
        <f t="array" ref="I199">XLOOKUP($A199,product!A:A,product!E:E)</f>
        <v>2.95</v>
      </c>
      <c r="J199" s="25">
        <f t="shared" si="2"/>
        <v>351.05</v>
      </c>
      <c r="K199" s="27">
        <f t="shared" si="3"/>
        <v>1</v>
      </c>
      <c r="L199" s="25">
        <f t="shared" si="4"/>
        <v>1</v>
      </c>
    </row>
    <row r="200">
      <c r="A200" s="19">
        <v>77326.0</v>
      </c>
      <c r="B200" s="20" t="str">
        <f t="array" ref="B200">xlookup($A200,product!$A:$A,product!B:B)</f>
        <v>Epicerie salée</v>
      </c>
      <c r="C200" s="20" t="str">
        <f t="array" ref="C200">xlookup($A200,product!$A:$A,product!C:C)</f>
        <v>Riz bio</v>
      </c>
      <c r="D200" s="20" t="str">
        <f t="array" ref="D200">xlookup($A200,product!$A:$A,product!D:D)</f>
        <v>Riz long grain</v>
      </c>
      <c r="E200" s="4" t="str">
        <f t="shared" si="1"/>
        <v>77326-Riz bio-Riz long grain</v>
      </c>
      <c r="F200" s="4">
        <v>0.0</v>
      </c>
      <c r="G200" s="4">
        <v>592.0</v>
      </c>
      <c r="H200" s="4">
        <v>371.0</v>
      </c>
      <c r="I200" s="21">
        <f t="array" ref="I200">XLOOKUP($A200,product!A:A,product!E:E)</f>
        <v>2</v>
      </c>
      <c r="J200" s="4">
        <f t="shared" si="2"/>
        <v>742</v>
      </c>
      <c r="K200" s="22">
        <f t="shared" si="3"/>
        <v>1</v>
      </c>
      <c r="L200" s="4">
        <f t="shared" si="4"/>
        <v>1</v>
      </c>
    </row>
    <row r="201">
      <c r="A201" s="23">
        <v>6158.0</v>
      </c>
      <c r="B201" s="24" t="str">
        <f t="array" ref="B201">xlookup($A201,product!$A:$A,product!B:B)</f>
        <v>Epicerie salée</v>
      </c>
      <c r="C201" s="24" t="str">
        <f t="array" ref="C201">xlookup($A201,product!$A:$A,product!C:C)</f>
        <v>Riz bio</v>
      </c>
      <c r="D201" s="24" t="str">
        <f t="array" ref="D201">xlookup($A201,product!$A:$A,product!D:D)</f>
        <v>Riz long grain</v>
      </c>
      <c r="E201" s="25" t="str">
        <f t="shared" si="1"/>
        <v>6158-Riz bio-Riz long grain</v>
      </c>
      <c r="F201" s="25">
        <v>0.0</v>
      </c>
      <c r="G201" s="25">
        <v>953.0</v>
      </c>
      <c r="H201" s="25">
        <v>738.0</v>
      </c>
      <c r="I201" s="26">
        <f t="array" ref="I201">XLOOKUP($A201,product!A:A,product!E:E)</f>
        <v>3.17</v>
      </c>
      <c r="J201" s="25">
        <f t="shared" si="2"/>
        <v>2339.46</v>
      </c>
      <c r="K201" s="27">
        <f t="shared" si="3"/>
        <v>1</v>
      </c>
      <c r="L201" s="25">
        <f t="shared" si="4"/>
        <v>1</v>
      </c>
    </row>
    <row r="202">
      <c r="A202" s="19">
        <v>77338.0</v>
      </c>
      <c r="B202" s="20" t="str">
        <f t="array" ref="B202">xlookup($A202,product!$A:$A,product!B:B)</f>
        <v>Epicerie salée</v>
      </c>
      <c r="C202" s="20" t="str">
        <f t="array" ref="C202">xlookup($A202,product!$A:$A,product!C:C)</f>
        <v>Riz bio</v>
      </c>
      <c r="D202" s="20" t="str">
        <f t="array" ref="D202">xlookup($A202,product!$A:$A,product!D:D)</f>
        <v>Riz long grain</v>
      </c>
      <c r="E202" s="4" t="str">
        <f t="shared" si="1"/>
        <v>77338-Riz bio-Riz long grain</v>
      </c>
      <c r="F202" s="4">
        <v>0.0</v>
      </c>
      <c r="G202" s="4">
        <v>130.0</v>
      </c>
      <c r="H202" s="4">
        <v>0.0</v>
      </c>
      <c r="I202" s="21">
        <f t="array" ref="I202">XLOOKUP($A202,product!A:A,product!E:E)</f>
        <v>2.64</v>
      </c>
      <c r="J202" s="4">
        <f t="shared" si="2"/>
        <v>0</v>
      </c>
      <c r="K202" s="22">
        <f t="shared" si="3"/>
        <v>0</v>
      </c>
      <c r="L202" s="4">
        <f t="shared" si="4"/>
        <v>1</v>
      </c>
    </row>
    <row r="203">
      <c r="A203" s="23">
        <v>159220.0</v>
      </c>
      <c r="B203" s="24" t="str">
        <f t="array" ref="B203">xlookup($A203,product!$A:$A,product!B:B)</f>
        <v>Epicerie salée</v>
      </c>
      <c r="C203" s="24" t="str">
        <f t="array" ref="C203">xlookup($A203,product!$A:$A,product!C:C)</f>
        <v>Riz bio</v>
      </c>
      <c r="D203" s="24" t="str">
        <f t="array" ref="D203">xlookup($A203,product!$A:$A,product!D:D)</f>
        <v>Riz long grain</v>
      </c>
      <c r="E203" s="25" t="str">
        <f t="shared" si="1"/>
        <v>159220-Riz bio-Riz long grain</v>
      </c>
      <c r="F203" s="25">
        <v>0.0</v>
      </c>
      <c r="G203" s="25">
        <v>894.0</v>
      </c>
      <c r="H203" s="25">
        <v>237.0</v>
      </c>
      <c r="I203" s="26">
        <f t="array" ref="I203">XLOOKUP($A203,product!A:A,product!E:E)</f>
        <v>0.7</v>
      </c>
      <c r="J203" s="25">
        <f t="shared" si="2"/>
        <v>165.9</v>
      </c>
      <c r="K203" s="27">
        <f t="shared" si="3"/>
        <v>1</v>
      </c>
      <c r="L203" s="25">
        <f t="shared" si="4"/>
        <v>1</v>
      </c>
    </row>
    <row r="204">
      <c r="A204" s="19">
        <v>5521.0</v>
      </c>
      <c r="B204" s="20" t="str">
        <f t="array" ref="B204">xlookup($A204,product!$A:$A,product!B:B)</f>
        <v>Epicerie salée</v>
      </c>
      <c r="C204" s="20" t="str">
        <f t="array" ref="C204">xlookup($A204,product!$A:$A,product!C:C)</f>
        <v>Riz bio</v>
      </c>
      <c r="D204" s="20" t="str">
        <f t="array" ref="D204">xlookup($A204,product!$A:$A,product!D:D)</f>
        <v>Riz long grain</v>
      </c>
      <c r="E204" s="4" t="str">
        <f t="shared" si="1"/>
        <v>5521-Riz bio-Riz long grain</v>
      </c>
      <c r="F204" s="4">
        <v>1.0</v>
      </c>
      <c r="G204" s="4">
        <v>183.0</v>
      </c>
      <c r="H204" s="4">
        <v>42.0</v>
      </c>
      <c r="I204" s="21">
        <f t="array" ref="I204">XLOOKUP($A204,product!A:A,product!E:E)</f>
        <v>3.09</v>
      </c>
      <c r="J204" s="4">
        <f t="shared" si="2"/>
        <v>129.78</v>
      </c>
      <c r="K204" s="22">
        <f t="shared" si="3"/>
        <v>1</v>
      </c>
      <c r="L204" s="4">
        <f t="shared" si="4"/>
        <v>1</v>
      </c>
    </row>
    <row r="205">
      <c r="A205" s="23">
        <v>91225.0</v>
      </c>
      <c r="B205" s="24" t="str">
        <f t="array" ref="B205">xlookup($A205,product!$A:$A,product!B:B)</f>
        <v>Epicerie salée</v>
      </c>
      <c r="C205" s="24" t="str">
        <f t="array" ref="C205">xlookup($A205,product!$A:$A,product!C:C)</f>
        <v>Riz bio</v>
      </c>
      <c r="D205" s="24" t="str">
        <f t="array" ref="D205">xlookup($A205,product!$A:$A,product!D:D)</f>
        <v>Riz long grain</v>
      </c>
      <c r="E205" s="25" t="str">
        <f t="shared" si="1"/>
        <v>91225-Riz bio-Riz long grain</v>
      </c>
      <c r="F205" s="25">
        <v>1.0</v>
      </c>
      <c r="G205" s="25">
        <v>291.0</v>
      </c>
      <c r="H205" s="25">
        <v>274.0</v>
      </c>
      <c r="I205" s="26">
        <f t="array" ref="I205">XLOOKUP($A205,product!A:A,product!E:E)</f>
        <v>5.86</v>
      </c>
      <c r="J205" s="25">
        <f t="shared" si="2"/>
        <v>1605.64</v>
      </c>
      <c r="K205" s="27">
        <f t="shared" si="3"/>
        <v>1</v>
      </c>
      <c r="L205" s="25">
        <f t="shared" si="4"/>
        <v>1</v>
      </c>
    </row>
    <row r="206">
      <c r="A206" s="19">
        <v>5520.0</v>
      </c>
      <c r="B206" s="20" t="str">
        <f t="array" ref="B206">xlookup($A206,product!$A:$A,product!B:B)</f>
        <v>Epicerie salée</v>
      </c>
      <c r="C206" s="20" t="str">
        <f t="array" ref="C206">xlookup($A206,product!$A:$A,product!C:C)</f>
        <v>Riz bio</v>
      </c>
      <c r="D206" s="20" t="str">
        <f t="array" ref="D206">xlookup($A206,product!$A:$A,product!D:D)</f>
        <v>Riz long grain</v>
      </c>
      <c r="E206" s="4" t="str">
        <f t="shared" si="1"/>
        <v>5520-Riz bio-Riz long grain</v>
      </c>
      <c r="F206" s="4">
        <v>1.0</v>
      </c>
      <c r="G206" s="4">
        <v>848.0</v>
      </c>
      <c r="H206" s="4">
        <v>524.0</v>
      </c>
      <c r="I206" s="21">
        <f t="array" ref="I206">XLOOKUP($A206,product!A:A,product!E:E)</f>
        <v>1.89</v>
      </c>
      <c r="J206" s="4">
        <f t="shared" si="2"/>
        <v>990.36</v>
      </c>
      <c r="K206" s="22">
        <f t="shared" si="3"/>
        <v>1</v>
      </c>
      <c r="L206" s="4">
        <f t="shared" si="4"/>
        <v>1</v>
      </c>
    </row>
    <row r="207">
      <c r="A207" s="23">
        <v>87285.0</v>
      </c>
      <c r="B207" s="24" t="str">
        <f t="array" ref="B207">xlookup($A207,product!$A:$A,product!B:B)</f>
        <v>Epicerie salée</v>
      </c>
      <c r="C207" s="24" t="str">
        <f t="array" ref="C207">xlookup($A207,product!$A:$A,product!C:C)</f>
        <v>Riz bio</v>
      </c>
      <c r="D207" s="24" t="str">
        <f t="array" ref="D207">xlookup($A207,product!$A:$A,product!D:D)</f>
        <v>Riz long grain</v>
      </c>
      <c r="E207" s="25" t="str">
        <f t="shared" si="1"/>
        <v>87285-Riz bio-Riz long grain</v>
      </c>
      <c r="F207" s="25">
        <v>0.0</v>
      </c>
      <c r="G207" s="25">
        <v>722.0</v>
      </c>
      <c r="H207" s="25">
        <v>221.0</v>
      </c>
      <c r="I207" s="26">
        <f t="array" ref="I207">XLOOKUP($A207,product!A:A,product!E:E)</f>
        <v>1.38</v>
      </c>
      <c r="J207" s="25">
        <f t="shared" si="2"/>
        <v>304.98</v>
      </c>
      <c r="K207" s="27">
        <f t="shared" si="3"/>
        <v>1</v>
      </c>
      <c r="L207" s="25">
        <f t="shared" si="4"/>
        <v>1</v>
      </c>
    </row>
    <row r="208">
      <c r="A208" s="19">
        <v>72862.0</v>
      </c>
      <c r="B208" s="20" t="str">
        <f t="array" ref="B208">xlookup($A208,product!$A:$A,product!B:B)</f>
        <v>Epicerie salée</v>
      </c>
      <c r="C208" s="20" t="str">
        <f t="array" ref="C208">xlookup($A208,product!$A:$A,product!C:C)</f>
        <v>Riz bio</v>
      </c>
      <c r="D208" s="20" t="str">
        <f t="array" ref="D208">xlookup($A208,product!$A:$A,product!D:D)</f>
        <v>Riz cuisson rapide</v>
      </c>
      <c r="E208" s="4" t="str">
        <f t="shared" si="1"/>
        <v>72862-Riz bio-Riz cuisson rapide</v>
      </c>
      <c r="F208" s="4">
        <v>1.0</v>
      </c>
      <c r="G208" s="4">
        <v>277.0</v>
      </c>
      <c r="H208" s="4">
        <v>214.0</v>
      </c>
      <c r="I208" s="21">
        <f t="array" ref="I208">XLOOKUP($A208,product!A:A,product!E:E)</f>
        <v>4.16</v>
      </c>
      <c r="J208" s="4">
        <f t="shared" si="2"/>
        <v>890.24</v>
      </c>
      <c r="K208" s="22">
        <f t="shared" si="3"/>
        <v>1</v>
      </c>
      <c r="L208" s="4">
        <f t="shared" si="4"/>
        <v>1</v>
      </c>
    </row>
    <row r="209">
      <c r="A209" s="23">
        <v>109474.0</v>
      </c>
      <c r="B209" s="24" t="str">
        <f t="array" ref="B209">xlookup($A209,product!$A:$A,product!B:B)</f>
        <v>Epicerie salée</v>
      </c>
      <c r="C209" s="24" t="str">
        <f t="array" ref="C209">xlookup($A209,product!$A:$A,product!C:C)</f>
        <v>Riz bio</v>
      </c>
      <c r="D209" s="24" t="str">
        <f t="array" ref="D209">xlookup($A209,product!$A:$A,product!D:D)</f>
        <v>Riz cuisson rapide</v>
      </c>
      <c r="E209" s="25" t="str">
        <f t="shared" si="1"/>
        <v>109474-Riz bio-Riz cuisson rapide</v>
      </c>
      <c r="F209" s="25">
        <v>1.0</v>
      </c>
      <c r="G209" s="25">
        <v>553.0</v>
      </c>
      <c r="H209" s="25">
        <v>372.0</v>
      </c>
      <c r="I209" s="26">
        <f t="array" ref="I209">XLOOKUP($A209,product!A:A,product!E:E)</f>
        <v>2.11</v>
      </c>
      <c r="J209" s="25">
        <f t="shared" si="2"/>
        <v>784.92</v>
      </c>
      <c r="K209" s="27">
        <f t="shared" si="3"/>
        <v>1</v>
      </c>
      <c r="L209" s="25">
        <f t="shared" si="4"/>
        <v>1</v>
      </c>
    </row>
    <row r="210">
      <c r="A210" s="19">
        <v>45834.0</v>
      </c>
      <c r="B210" s="20" t="str">
        <f t="array" ref="B210">xlookup($A210,product!$A:$A,product!B:B)</f>
        <v>Epicerie salée</v>
      </c>
      <c r="C210" s="20" t="str">
        <f t="array" ref="C210">xlookup($A210,product!$A:$A,product!C:C)</f>
        <v>Riz bio</v>
      </c>
      <c r="D210" s="20" t="str">
        <f t="array" ref="D210">xlookup($A210,product!$A:$A,product!D:D)</f>
        <v>Riz cuisson rapide</v>
      </c>
      <c r="E210" s="4" t="str">
        <f t="shared" si="1"/>
        <v>45834-Riz bio-Riz cuisson rapide</v>
      </c>
      <c r="F210" s="4">
        <v>1.0</v>
      </c>
      <c r="G210" s="4">
        <v>51.0</v>
      </c>
      <c r="H210" s="4">
        <v>36.0</v>
      </c>
      <c r="I210" s="21">
        <f t="array" ref="I210">XLOOKUP($A210,product!A:A,product!E:E)</f>
        <v>2.39</v>
      </c>
      <c r="J210" s="4">
        <f t="shared" si="2"/>
        <v>86.04</v>
      </c>
      <c r="K210" s="22">
        <f t="shared" si="3"/>
        <v>1</v>
      </c>
      <c r="L210" s="4">
        <f t="shared" si="4"/>
        <v>1</v>
      </c>
    </row>
    <row r="211">
      <c r="A211" s="23">
        <v>45885.0</v>
      </c>
      <c r="B211" s="24" t="str">
        <f t="array" ref="B211">xlookup($A211,product!$A:$A,product!B:B)</f>
        <v>Epicerie salée</v>
      </c>
      <c r="C211" s="24" t="str">
        <f t="array" ref="C211">xlookup($A211,product!$A:$A,product!C:C)</f>
        <v>Riz bio</v>
      </c>
      <c r="D211" s="24" t="str">
        <f t="array" ref="D211">xlookup($A211,product!$A:$A,product!D:D)</f>
        <v>Risotto, riz japonais</v>
      </c>
      <c r="E211" s="25" t="str">
        <f t="shared" si="1"/>
        <v>45885-Riz bio-Risotto, riz japonais</v>
      </c>
      <c r="F211" s="25">
        <v>0.0</v>
      </c>
      <c r="G211" s="25">
        <v>800.0</v>
      </c>
      <c r="H211" s="25">
        <v>406.0</v>
      </c>
      <c r="I211" s="26">
        <f t="array" ref="I211">XLOOKUP($A211,product!A:A,product!E:E)</f>
        <v>2.28</v>
      </c>
      <c r="J211" s="25">
        <f t="shared" si="2"/>
        <v>925.68</v>
      </c>
      <c r="K211" s="27">
        <f t="shared" si="3"/>
        <v>1</v>
      </c>
      <c r="L211" s="25">
        <f t="shared" si="4"/>
        <v>1</v>
      </c>
    </row>
    <row r="212">
      <c r="A212" s="19">
        <v>77360.0</v>
      </c>
      <c r="B212" s="20" t="str">
        <f t="array" ref="B212">xlookup($A212,product!$A:$A,product!B:B)</f>
        <v>Epicerie salée</v>
      </c>
      <c r="C212" s="20" t="str">
        <f t="array" ref="C212">xlookup($A212,product!$A:$A,product!C:C)</f>
        <v>Riz bio</v>
      </c>
      <c r="D212" s="20" t="str">
        <f t="array" ref="D212">xlookup($A212,product!$A:$A,product!D:D)</f>
        <v>Risotto, riz japonais</v>
      </c>
      <c r="E212" s="4" t="str">
        <f t="shared" si="1"/>
        <v>77360-Riz bio-Risotto, riz japonais</v>
      </c>
      <c r="F212" s="4">
        <v>1.0</v>
      </c>
      <c r="G212" s="4">
        <v>646.0</v>
      </c>
      <c r="H212" s="4">
        <v>572.0</v>
      </c>
      <c r="I212" s="21">
        <f t="array" ref="I212">XLOOKUP($A212,product!A:A,product!E:E)</f>
        <v>1.81</v>
      </c>
      <c r="J212" s="4">
        <f t="shared" si="2"/>
        <v>1035.32</v>
      </c>
      <c r="K212" s="22">
        <f t="shared" si="3"/>
        <v>1</v>
      </c>
      <c r="L212" s="4">
        <f t="shared" si="4"/>
        <v>1</v>
      </c>
    </row>
    <row r="213">
      <c r="A213" s="23">
        <v>89787.0</v>
      </c>
      <c r="B213" s="24" t="str">
        <f t="array" ref="B213">xlookup($A213,product!$A:$A,product!B:B)</f>
        <v>Epicerie salée</v>
      </c>
      <c r="C213" s="24" t="str">
        <f t="array" ref="C213">xlookup($A213,product!$A:$A,product!C:C)</f>
        <v>Riz bio</v>
      </c>
      <c r="D213" s="24" t="str">
        <f t="array" ref="D213">xlookup($A213,product!$A:$A,product!D:D)</f>
        <v>Risotto, riz japonais</v>
      </c>
      <c r="E213" s="25" t="str">
        <f t="shared" si="1"/>
        <v>89787-Riz bio-Risotto, riz japonais</v>
      </c>
      <c r="F213" s="25">
        <v>1.0</v>
      </c>
      <c r="G213" s="25">
        <v>828.0</v>
      </c>
      <c r="H213" s="25">
        <v>94.0</v>
      </c>
      <c r="I213" s="26">
        <f t="array" ref="I213">XLOOKUP($A213,product!A:A,product!E:E)</f>
        <v>1.95</v>
      </c>
      <c r="J213" s="25">
        <f t="shared" si="2"/>
        <v>183.3</v>
      </c>
      <c r="K213" s="27">
        <f t="shared" si="3"/>
        <v>1</v>
      </c>
      <c r="L213" s="25">
        <f t="shared" si="4"/>
        <v>1</v>
      </c>
    </row>
    <row r="214">
      <c r="A214" s="19">
        <v>5531.0</v>
      </c>
      <c r="B214" s="20" t="str">
        <f t="array" ref="B214">xlookup($A214,product!$A:$A,product!B:B)</f>
        <v>Epicerie salée</v>
      </c>
      <c r="C214" s="20" t="str">
        <f t="array" ref="C214">xlookup($A214,product!$A:$A,product!C:C)</f>
        <v>Riz bio</v>
      </c>
      <c r="D214" s="20" t="str">
        <f t="array" ref="D214">xlookup($A214,product!$A:$A,product!D:D)</f>
        <v>Risotto, riz japonais</v>
      </c>
      <c r="E214" s="4" t="str">
        <f t="shared" si="1"/>
        <v>5531-Riz bio-Risotto, riz japonais</v>
      </c>
      <c r="F214" s="4">
        <v>0.0</v>
      </c>
      <c r="G214" s="4">
        <v>617.0</v>
      </c>
      <c r="H214" s="4">
        <v>231.0</v>
      </c>
      <c r="I214" s="21">
        <f t="array" ref="I214">XLOOKUP($A214,product!A:A,product!E:E)</f>
        <v>1.88</v>
      </c>
      <c r="J214" s="4">
        <f t="shared" si="2"/>
        <v>434.28</v>
      </c>
      <c r="K214" s="22">
        <f t="shared" si="3"/>
        <v>1</v>
      </c>
      <c r="L214" s="4">
        <f t="shared" si="4"/>
        <v>1</v>
      </c>
    </row>
    <row r="215">
      <c r="A215" s="23">
        <v>72826.0</v>
      </c>
      <c r="B215" s="24" t="str">
        <f t="array" ref="B215">xlookup($A215,product!$A:$A,product!B:B)</f>
        <v>Epicerie salée</v>
      </c>
      <c r="C215" s="24" t="str">
        <f t="array" ref="C215">xlookup($A215,product!$A:$A,product!C:C)</f>
        <v>Riz bio</v>
      </c>
      <c r="D215" s="24" t="str">
        <f t="array" ref="D215">xlookup($A215,product!$A:$A,product!D:D)</f>
        <v>Risotto, riz japonais</v>
      </c>
      <c r="E215" s="25" t="str">
        <f t="shared" si="1"/>
        <v>72826-Riz bio-Risotto, riz japonais</v>
      </c>
      <c r="F215" s="25">
        <v>0.0</v>
      </c>
      <c r="G215" s="25">
        <v>608.0</v>
      </c>
      <c r="H215" s="25">
        <v>511.0</v>
      </c>
      <c r="I215" s="26">
        <f t="array" ref="I215">XLOOKUP($A215,product!A:A,product!E:E)</f>
        <v>2.25</v>
      </c>
      <c r="J215" s="25">
        <f t="shared" si="2"/>
        <v>1149.75</v>
      </c>
      <c r="K215" s="27">
        <f t="shared" si="3"/>
        <v>1</v>
      </c>
      <c r="L215" s="25">
        <f t="shared" si="4"/>
        <v>1</v>
      </c>
    </row>
    <row r="216">
      <c r="A216" s="19">
        <v>91180.0</v>
      </c>
      <c r="B216" s="20" t="str">
        <f t="array" ref="B216">xlookup($A216,product!$A:$A,product!B:B)</f>
        <v>Epicerie salée</v>
      </c>
      <c r="C216" s="20" t="str">
        <f t="array" ref="C216">xlookup($A216,product!$A:$A,product!C:C)</f>
        <v>Riz bio</v>
      </c>
      <c r="D216" s="20" t="str">
        <f t="array" ref="D216">xlookup($A216,product!$A:$A,product!D:D)</f>
        <v>Risotto, riz japonais</v>
      </c>
      <c r="E216" s="4" t="str">
        <f t="shared" si="1"/>
        <v>91180-Riz bio-Risotto, riz japonais</v>
      </c>
      <c r="F216" s="4">
        <v>0.0</v>
      </c>
      <c r="G216" s="4">
        <v>442.0</v>
      </c>
      <c r="H216" s="4">
        <v>306.0</v>
      </c>
      <c r="I216" s="21">
        <f t="array" ref="I216">XLOOKUP($A216,product!A:A,product!E:E)</f>
        <v>2.04</v>
      </c>
      <c r="J216" s="4">
        <f t="shared" si="2"/>
        <v>624.24</v>
      </c>
      <c r="K216" s="22">
        <f t="shared" si="3"/>
        <v>1</v>
      </c>
      <c r="L216" s="4">
        <f t="shared" si="4"/>
        <v>1</v>
      </c>
    </row>
    <row r="217">
      <c r="A217" s="23">
        <v>58757.0</v>
      </c>
      <c r="B217" s="24" t="str">
        <f t="array" ref="B217">xlookup($A217,product!$A:$A,product!B:B)</f>
        <v>Epicerie salée</v>
      </c>
      <c r="C217" s="24" t="str">
        <f t="array" ref="C217">xlookup($A217,product!$A:$A,product!C:C)</f>
        <v>Riz bio</v>
      </c>
      <c r="D217" s="24" t="str">
        <f t="array" ref="D217">xlookup($A217,product!$A:$A,product!D:D)</f>
        <v>Risotto, riz japonais</v>
      </c>
      <c r="E217" s="25" t="str">
        <f t="shared" si="1"/>
        <v>58757-Riz bio-Risotto, riz japonais</v>
      </c>
      <c r="F217" s="25">
        <v>0.0</v>
      </c>
      <c r="G217" s="25">
        <v>165.0</v>
      </c>
      <c r="H217" s="25">
        <v>37.0</v>
      </c>
      <c r="I217" s="26">
        <f t="array" ref="I217">XLOOKUP($A217,product!A:A,product!E:E)</f>
        <v>2.14</v>
      </c>
      <c r="J217" s="25">
        <f t="shared" si="2"/>
        <v>79.18</v>
      </c>
      <c r="K217" s="27">
        <f t="shared" si="3"/>
        <v>1</v>
      </c>
      <c r="L217" s="25">
        <f t="shared" si="4"/>
        <v>1</v>
      </c>
    </row>
    <row r="218">
      <c r="A218" s="19">
        <v>87287.0</v>
      </c>
      <c r="B218" s="20" t="str">
        <f t="array" ref="B218">xlookup($A218,product!$A:$A,product!B:B)</f>
        <v>Epicerie salée</v>
      </c>
      <c r="C218" s="20" t="str">
        <f t="array" ref="C218">xlookup($A218,product!$A:$A,product!C:C)</f>
        <v>Riz bio</v>
      </c>
      <c r="D218" s="20" t="str">
        <f t="array" ref="D218">xlookup($A218,product!$A:$A,product!D:D)</f>
        <v>Risotto, riz japonais</v>
      </c>
      <c r="E218" s="4" t="str">
        <f t="shared" si="1"/>
        <v>87287-Riz bio-Risotto, riz japonais</v>
      </c>
      <c r="F218" s="4">
        <v>0.0</v>
      </c>
      <c r="G218" s="4">
        <v>835.0</v>
      </c>
      <c r="H218" s="4">
        <v>792.0</v>
      </c>
      <c r="I218" s="21">
        <f t="array" ref="I218">XLOOKUP($A218,product!A:A,product!E:E)</f>
        <v>1.42</v>
      </c>
      <c r="J218" s="4">
        <f t="shared" si="2"/>
        <v>1124.64</v>
      </c>
      <c r="K218" s="22">
        <f t="shared" si="3"/>
        <v>1</v>
      </c>
      <c r="L218" s="4">
        <f t="shared" si="4"/>
        <v>1</v>
      </c>
    </row>
    <row r="219">
      <c r="A219" s="23">
        <v>91147.0</v>
      </c>
      <c r="B219" s="24" t="str">
        <f t="array" ref="B219">xlookup($A219,product!$A:$A,product!B:B)</f>
        <v>Epicerie salée</v>
      </c>
      <c r="C219" s="24" t="str">
        <f t="array" ref="C219">xlookup($A219,product!$A:$A,product!C:C)</f>
        <v>Riz bio</v>
      </c>
      <c r="D219" s="24" t="str">
        <f t="array" ref="D219">xlookup($A219,product!$A:$A,product!D:D)</f>
        <v>Riz Basmati, Thai, Jasmin</v>
      </c>
      <c r="E219" s="25" t="str">
        <f t="shared" si="1"/>
        <v>91147-Riz bio-Riz Basmati, Thai, Jasmin</v>
      </c>
      <c r="F219" s="25">
        <v>0.0</v>
      </c>
      <c r="G219" s="25">
        <v>964.0</v>
      </c>
      <c r="H219" s="25">
        <v>66.0</v>
      </c>
      <c r="I219" s="26">
        <f t="array" ref="I219">XLOOKUP($A219,product!A:A,product!E:E)</f>
        <v>9.5</v>
      </c>
      <c r="J219" s="25">
        <f t="shared" si="2"/>
        <v>627</v>
      </c>
      <c r="K219" s="27">
        <f t="shared" si="3"/>
        <v>1</v>
      </c>
      <c r="L219" s="25">
        <f t="shared" si="4"/>
        <v>1</v>
      </c>
    </row>
    <row r="220">
      <c r="A220" s="19">
        <v>5526.0</v>
      </c>
      <c r="B220" s="20" t="str">
        <f t="array" ref="B220">xlookup($A220,product!$A:$A,product!B:B)</f>
        <v>Epicerie salée</v>
      </c>
      <c r="C220" s="20" t="str">
        <f t="array" ref="C220">xlookup($A220,product!$A:$A,product!C:C)</f>
        <v>Riz bio</v>
      </c>
      <c r="D220" s="20" t="str">
        <f t="array" ref="D220">xlookup($A220,product!$A:$A,product!D:D)</f>
        <v>Riz Basmati, Thai, Jasmin</v>
      </c>
      <c r="E220" s="4" t="str">
        <f t="shared" si="1"/>
        <v>5526-Riz bio-Riz Basmati, Thai, Jasmin</v>
      </c>
      <c r="F220" s="4">
        <v>0.0</v>
      </c>
      <c r="G220" s="4">
        <v>340.0</v>
      </c>
      <c r="H220" s="4">
        <v>310.0</v>
      </c>
      <c r="I220" s="21">
        <f t="array" ref="I220">XLOOKUP($A220,product!A:A,product!E:E)</f>
        <v>3.48</v>
      </c>
      <c r="J220" s="4">
        <f t="shared" si="2"/>
        <v>1078.8</v>
      </c>
      <c r="K220" s="22">
        <f t="shared" si="3"/>
        <v>1</v>
      </c>
      <c r="L220" s="4">
        <f t="shared" si="4"/>
        <v>1</v>
      </c>
    </row>
    <row r="221">
      <c r="A221" s="23">
        <v>77310.0</v>
      </c>
      <c r="B221" s="24" t="str">
        <f t="array" ref="B221">xlookup($A221,product!$A:$A,product!B:B)</f>
        <v>Epicerie salée</v>
      </c>
      <c r="C221" s="24" t="str">
        <f t="array" ref="C221">xlookup($A221,product!$A:$A,product!C:C)</f>
        <v>Riz bio</v>
      </c>
      <c r="D221" s="24" t="str">
        <f t="array" ref="D221">xlookup($A221,product!$A:$A,product!D:D)</f>
        <v>Riz Basmati, Thai, Jasmin</v>
      </c>
      <c r="E221" s="25" t="str">
        <f t="shared" si="1"/>
        <v>77310-Riz bio-Riz Basmati, Thai, Jasmin</v>
      </c>
      <c r="F221" s="25">
        <v>1.0</v>
      </c>
      <c r="G221" s="25">
        <v>211.0</v>
      </c>
      <c r="H221" s="25">
        <v>211.0</v>
      </c>
      <c r="I221" s="26">
        <f t="array" ref="I221">XLOOKUP($A221,product!A:A,product!E:E)</f>
        <v>3.12</v>
      </c>
      <c r="J221" s="25">
        <f t="shared" si="2"/>
        <v>658.32</v>
      </c>
      <c r="K221" s="27">
        <f t="shared" si="3"/>
        <v>1</v>
      </c>
      <c r="L221" s="25">
        <f t="shared" si="4"/>
        <v>1</v>
      </c>
    </row>
    <row r="222">
      <c r="A222" s="19">
        <v>5525.0</v>
      </c>
      <c r="B222" s="20" t="str">
        <f t="array" ref="B222">xlookup($A222,product!$A:$A,product!B:B)</f>
        <v>Epicerie salée</v>
      </c>
      <c r="C222" s="20" t="str">
        <f t="array" ref="C222">xlookup($A222,product!$A:$A,product!C:C)</f>
        <v>Riz bio</v>
      </c>
      <c r="D222" s="20" t="str">
        <f t="array" ref="D222">xlookup($A222,product!$A:$A,product!D:D)</f>
        <v>Riz Basmati, Thai, Jasmin</v>
      </c>
      <c r="E222" s="4" t="str">
        <f t="shared" si="1"/>
        <v>5525-Riz bio-Riz Basmati, Thai, Jasmin</v>
      </c>
      <c r="F222" s="4">
        <v>1.0</v>
      </c>
      <c r="G222" s="4">
        <v>159.0</v>
      </c>
      <c r="H222" s="4">
        <v>98.0</v>
      </c>
      <c r="I222" s="21">
        <f t="array" ref="I222">XLOOKUP($A222,product!A:A,product!E:E)</f>
        <v>1.99</v>
      </c>
      <c r="J222" s="4">
        <f t="shared" si="2"/>
        <v>195.02</v>
      </c>
      <c r="K222" s="22">
        <f t="shared" si="3"/>
        <v>1</v>
      </c>
      <c r="L222" s="4">
        <f t="shared" si="4"/>
        <v>1</v>
      </c>
    </row>
    <row r="223">
      <c r="A223" s="23">
        <v>5524.0</v>
      </c>
      <c r="B223" s="24" t="str">
        <f t="array" ref="B223">xlookup($A223,product!$A:$A,product!B:B)</f>
        <v>Epicerie salée</v>
      </c>
      <c r="C223" s="24" t="str">
        <f t="array" ref="C223">xlookup($A223,product!$A:$A,product!C:C)</f>
        <v>Riz bio</v>
      </c>
      <c r="D223" s="24" t="str">
        <f t="array" ref="D223">xlookup($A223,product!$A:$A,product!D:D)</f>
        <v>Riz Basmati, Thai, Jasmin</v>
      </c>
      <c r="E223" s="25" t="str">
        <f t="shared" si="1"/>
        <v>5524-Riz bio-Riz Basmati, Thai, Jasmin</v>
      </c>
      <c r="F223" s="25">
        <v>1.0</v>
      </c>
      <c r="G223" s="25">
        <v>602.0</v>
      </c>
      <c r="H223" s="25">
        <v>87.0</v>
      </c>
      <c r="I223" s="26">
        <f t="array" ref="I223">XLOOKUP($A223,product!A:A,product!E:E)</f>
        <v>3.27</v>
      </c>
      <c r="J223" s="25">
        <f t="shared" si="2"/>
        <v>284.49</v>
      </c>
      <c r="K223" s="27">
        <f t="shared" si="3"/>
        <v>1</v>
      </c>
      <c r="L223" s="25">
        <f t="shared" si="4"/>
        <v>1</v>
      </c>
    </row>
    <row r="224">
      <c r="A224" s="19">
        <v>72849.0</v>
      </c>
      <c r="B224" s="20" t="str">
        <f t="array" ref="B224">xlookup($A224,product!$A:$A,product!B:B)</f>
        <v>Epicerie salée</v>
      </c>
      <c r="C224" s="20" t="str">
        <f t="array" ref="C224">xlookup($A224,product!$A:$A,product!C:C)</f>
        <v>Riz bio</v>
      </c>
      <c r="D224" s="20" t="str">
        <f t="array" ref="D224">xlookup($A224,product!$A:$A,product!D:D)</f>
        <v>Riz Basmati, Thai, Jasmin</v>
      </c>
      <c r="E224" s="4" t="str">
        <f t="shared" si="1"/>
        <v>72849-Riz bio-Riz Basmati, Thai, Jasmin</v>
      </c>
      <c r="F224" s="4">
        <v>1.0</v>
      </c>
      <c r="G224" s="4">
        <v>27.0</v>
      </c>
      <c r="H224" s="4">
        <v>25.0</v>
      </c>
      <c r="I224" s="21">
        <f t="array" ref="I224">XLOOKUP($A224,product!A:A,product!E:E)</f>
        <v>7.25</v>
      </c>
      <c r="J224" s="4">
        <f t="shared" si="2"/>
        <v>181.25</v>
      </c>
      <c r="K224" s="22">
        <f t="shared" si="3"/>
        <v>1</v>
      </c>
      <c r="L224" s="4">
        <f t="shared" si="4"/>
        <v>1</v>
      </c>
    </row>
    <row r="225">
      <c r="A225" s="23">
        <v>77385.0</v>
      </c>
      <c r="B225" s="24" t="str">
        <f t="array" ref="B225">xlookup($A225,product!$A:$A,product!B:B)</f>
        <v>Epicerie salée</v>
      </c>
      <c r="C225" s="24" t="str">
        <f t="array" ref="C225">xlookup($A225,product!$A:$A,product!C:C)</f>
        <v>Riz bio</v>
      </c>
      <c r="D225" s="24" t="str">
        <f t="array" ref="D225">xlookup($A225,product!$A:$A,product!D:D)</f>
        <v>Riz Basmati, Thai, Jasmin</v>
      </c>
      <c r="E225" s="25" t="str">
        <f t="shared" si="1"/>
        <v>77385-Riz bio-Riz Basmati, Thai, Jasmin</v>
      </c>
      <c r="F225" s="25">
        <v>1.0</v>
      </c>
      <c r="G225" s="25">
        <v>330.0</v>
      </c>
      <c r="H225" s="25">
        <v>76.0</v>
      </c>
      <c r="I225" s="26">
        <f t="array" ref="I225">XLOOKUP($A225,product!A:A,product!E:E)</f>
        <v>1.69</v>
      </c>
      <c r="J225" s="25">
        <f t="shared" si="2"/>
        <v>128.44</v>
      </c>
      <c r="K225" s="27">
        <f t="shared" si="3"/>
        <v>1</v>
      </c>
      <c r="L225" s="25">
        <f t="shared" si="4"/>
        <v>1</v>
      </c>
    </row>
    <row r="226">
      <c r="A226" s="19">
        <v>5529.0</v>
      </c>
      <c r="B226" s="20" t="str">
        <f t="array" ref="B226">xlookup($A226,product!$A:$A,product!B:B)</f>
        <v>Epicerie salée</v>
      </c>
      <c r="C226" s="20" t="str">
        <f t="array" ref="C226">xlookup($A226,product!$A:$A,product!C:C)</f>
        <v>Riz bio</v>
      </c>
      <c r="D226" s="20" t="str">
        <f t="array" ref="D226">xlookup($A226,product!$A:$A,product!D:D)</f>
        <v>Riz Basmati, Thai, Jasmin</v>
      </c>
      <c r="E226" s="4" t="str">
        <f t="shared" si="1"/>
        <v>5529-Riz bio-Riz Basmati, Thai, Jasmin</v>
      </c>
      <c r="F226" s="4">
        <v>0.0</v>
      </c>
      <c r="G226" s="4">
        <v>780.0</v>
      </c>
      <c r="H226" s="4">
        <v>288.0</v>
      </c>
      <c r="I226" s="21">
        <f t="array" ref="I226">XLOOKUP($A226,product!A:A,product!E:E)</f>
        <v>1.89</v>
      </c>
      <c r="J226" s="4">
        <f t="shared" si="2"/>
        <v>544.32</v>
      </c>
      <c r="K226" s="22">
        <f t="shared" si="3"/>
        <v>1</v>
      </c>
      <c r="L226" s="4">
        <f t="shared" si="4"/>
        <v>1</v>
      </c>
    </row>
    <row r="227">
      <c r="A227" s="23">
        <v>45879.0</v>
      </c>
      <c r="B227" s="24" t="str">
        <f t="array" ref="B227">xlookup($A227,product!$A:$A,product!B:B)</f>
        <v>Epicerie salée</v>
      </c>
      <c r="C227" s="24" t="str">
        <f t="array" ref="C227">xlookup($A227,product!$A:$A,product!C:C)</f>
        <v>Riz bio</v>
      </c>
      <c r="D227" s="24" t="str">
        <f t="array" ref="D227">xlookup($A227,product!$A:$A,product!D:D)</f>
        <v>Riz Basmati, Thai, Jasmin</v>
      </c>
      <c r="E227" s="25" t="str">
        <f t="shared" si="1"/>
        <v>45879-Riz bio-Riz Basmati, Thai, Jasmin</v>
      </c>
      <c r="F227" s="25">
        <v>0.0</v>
      </c>
      <c r="G227" s="25">
        <v>582.0</v>
      </c>
      <c r="H227" s="25">
        <v>129.0</v>
      </c>
      <c r="I227" s="26">
        <f t="array" ref="I227">XLOOKUP($A227,product!A:A,product!E:E)</f>
        <v>2.42</v>
      </c>
      <c r="J227" s="25">
        <f t="shared" si="2"/>
        <v>312.18</v>
      </c>
      <c r="K227" s="27">
        <f t="shared" si="3"/>
        <v>1</v>
      </c>
      <c r="L227" s="25">
        <f t="shared" si="4"/>
        <v>1</v>
      </c>
    </row>
    <row r="228">
      <c r="A228" s="19">
        <v>58753.0</v>
      </c>
      <c r="B228" s="20" t="str">
        <f t="array" ref="B228">xlookup($A228,product!$A:$A,product!B:B)</f>
        <v>Epicerie salée</v>
      </c>
      <c r="C228" s="20" t="str">
        <f t="array" ref="C228">xlookup($A228,product!$A:$A,product!C:C)</f>
        <v>Riz bio</v>
      </c>
      <c r="D228" s="20" t="str">
        <f t="array" ref="D228">xlookup($A228,product!$A:$A,product!D:D)</f>
        <v>Riz Basmati, Thai, Jasmin</v>
      </c>
      <c r="E228" s="4" t="str">
        <f t="shared" si="1"/>
        <v>58753-Riz bio-Riz Basmati, Thai, Jasmin</v>
      </c>
      <c r="F228" s="4">
        <v>1.0</v>
      </c>
      <c r="G228" s="4">
        <v>772.0</v>
      </c>
      <c r="H228" s="4">
        <v>337.0</v>
      </c>
      <c r="I228" s="21">
        <f t="array" ref="I228">XLOOKUP($A228,product!A:A,product!E:E)</f>
        <v>1.98</v>
      </c>
      <c r="J228" s="4">
        <f t="shared" si="2"/>
        <v>667.26</v>
      </c>
      <c r="K228" s="22">
        <f t="shared" si="3"/>
        <v>1</v>
      </c>
      <c r="L228" s="4">
        <f t="shared" si="4"/>
        <v>1</v>
      </c>
    </row>
    <row r="229">
      <c r="A229" s="23">
        <v>77318.0</v>
      </c>
      <c r="B229" s="24" t="str">
        <f t="array" ref="B229">xlookup($A229,product!$A:$A,product!B:B)</f>
        <v>Epicerie salée</v>
      </c>
      <c r="C229" s="24" t="str">
        <f t="array" ref="C229">xlookup($A229,product!$A:$A,product!C:C)</f>
        <v>Riz bio</v>
      </c>
      <c r="D229" s="24" t="str">
        <f t="array" ref="D229">xlookup($A229,product!$A:$A,product!D:D)</f>
        <v>Riz Basmati, Thai, Jasmin</v>
      </c>
      <c r="E229" s="25" t="str">
        <f t="shared" si="1"/>
        <v>77318-Riz bio-Riz Basmati, Thai, Jasmin</v>
      </c>
      <c r="F229" s="25">
        <v>0.0</v>
      </c>
      <c r="G229" s="25">
        <v>795.0</v>
      </c>
      <c r="H229" s="25">
        <v>751.0</v>
      </c>
      <c r="I229" s="26">
        <f t="array" ref="I229">XLOOKUP($A229,product!A:A,product!E:E)</f>
        <v>1.8</v>
      </c>
      <c r="J229" s="25">
        <f t="shared" si="2"/>
        <v>1351.8</v>
      </c>
      <c r="K229" s="27">
        <f t="shared" si="3"/>
        <v>1</v>
      </c>
      <c r="L229" s="25">
        <f t="shared" si="4"/>
        <v>1</v>
      </c>
    </row>
    <row r="230">
      <c r="A230" s="19">
        <v>122091.0</v>
      </c>
      <c r="B230" s="20" t="str">
        <f t="array" ref="B230">xlookup($A230,product!$A:$A,product!B:B)</f>
        <v>Epicerie salée</v>
      </c>
      <c r="C230" s="20" t="str">
        <f t="array" ref="C230">xlookup($A230,product!$A:$A,product!C:C)</f>
        <v>Riz bio</v>
      </c>
      <c r="D230" s="20" t="str">
        <f t="array" ref="D230">xlookup($A230,product!$A:$A,product!D:D)</f>
        <v>Riz Basmati, Thai, Jasmin</v>
      </c>
      <c r="E230" s="4" t="str">
        <f t="shared" si="1"/>
        <v>122091-Riz bio-Riz Basmati, Thai, Jasmin</v>
      </c>
      <c r="F230" s="4">
        <v>1.0</v>
      </c>
      <c r="G230" s="4">
        <v>763.0</v>
      </c>
      <c r="H230" s="4">
        <v>381.0</v>
      </c>
      <c r="I230" s="21">
        <f t="array" ref="I230">XLOOKUP($A230,product!A:A,product!E:E)</f>
        <v>1.33</v>
      </c>
      <c r="J230" s="4">
        <f t="shared" si="2"/>
        <v>506.73</v>
      </c>
      <c r="K230" s="22">
        <f t="shared" si="3"/>
        <v>1</v>
      </c>
      <c r="L230" s="4">
        <f t="shared" si="4"/>
        <v>1</v>
      </c>
    </row>
    <row r="231">
      <c r="A231" s="23">
        <v>91144.0</v>
      </c>
      <c r="B231" s="24" t="str">
        <f t="array" ref="B231">xlookup($A231,product!$A:$A,product!B:B)</f>
        <v>Epicerie salée</v>
      </c>
      <c r="C231" s="24" t="str">
        <f t="array" ref="C231">xlookup($A231,product!$A:$A,product!C:C)</f>
        <v>Riz bio</v>
      </c>
      <c r="D231" s="24" t="str">
        <f t="array" ref="D231">xlookup($A231,product!$A:$A,product!D:D)</f>
        <v>Riz Basmati, Thai, Jasmin</v>
      </c>
      <c r="E231" s="25" t="str">
        <f t="shared" si="1"/>
        <v>91144-Riz bio-Riz Basmati, Thai, Jasmin</v>
      </c>
      <c r="F231" s="25">
        <v>1.0</v>
      </c>
      <c r="G231" s="25">
        <v>977.0</v>
      </c>
      <c r="H231" s="25">
        <v>805.0</v>
      </c>
      <c r="I231" s="26">
        <f t="array" ref="I231">XLOOKUP($A231,product!A:A,product!E:E)</f>
        <v>7.9</v>
      </c>
      <c r="J231" s="25">
        <f t="shared" si="2"/>
        <v>6359.5</v>
      </c>
      <c r="K231" s="27">
        <f t="shared" si="3"/>
        <v>1</v>
      </c>
      <c r="L231" s="25">
        <f t="shared" si="4"/>
        <v>1</v>
      </c>
    </row>
    <row r="232">
      <c r="A232" s="19">
        <v>79000.0</v>
      </c>
      <c r="B232" s="20" t="str">
        <f t="array" ref="B232">xlookup($A232,product!$A:$A,product!B:B)</f>
        <v>Epicerie salée</v>
      </c>
      <c r="C232" s="20" t="str">
        <f t="array" ref="C232">xlookup($A232,product!$A:$A,product!C:C)</f>
        <v>Riz bio</v>
      </c>
      <c r="D232" s="20" t="str">
        <f t="array" ref="D232">xlookup($A232,product!$A:$A,product!D:D)</f>
        <v>Riz Basmati, Thai, Jasmin</v>
      </c>
      <c r="E232" s="4" t="str">
        <f t="shared" si="1"/>
        <v>79000-Riz bio-Riz Basmati, Thai, Jasmin</v>
      </c>
      <c r="F232" s="4">
        <v>1.0</v>
      </c>
      <c r="G232" s="4">
        <v>166.0</v>
      </c>
      <c r="H232" s="4">
        <v>101.0</v>
      </c>
      <c r="I232" s="21">
        <f t="array" ref="I232">XLOOKUP($A232,product!A:A,product!E:E)</f>
        <v>2.42</v>
      </c>
      <c r="J232" s="4">
        <f t="shared" si="2"/>
        <v>244.42</v>
      </c>
      <c r="K232" s="22">
        <f t="shared" si="3"/>
        <v>1</v>
      </c>
      <c r="L232" s="4">
        <f t="shared" si="4"/>
        <v>1</v>
      </c>
    </row>
    <row r="233">
      <c r="A233" s="23">
        <v>77389.0</v>
      </c>
      <c r="B233" s="24" t="str">
        <f t="array" ref="B233">xlookup($A233,product!$A:$A,product!B:B)</f>
        <v>Epicerie salée</v>
      </c>
      <c r="C233" s="24" t="str">
        <f t="array" ref="C233">xlookup($A233,product!$A:$A,product!C:C)</f>
        <v>Riz bio</v>
      </c>
      <c r="D233" s="24" t="str">
        <f t="array" ref="D233">xlookup($A233,product!$A:$A,product!D:D)</f>
        <v>Riz Basmati, Thai, Jasmin</v>
      </c>
      <c r="E233" s="25" t="str">
        <f t="shared" si="1"/>
        <v>77389-Riz bio-Riz Basmati, Thai, Jasmin</v>
      </c>
      <c r="F233" s="25">
        <v>1.0</v>
      </c>
      <c r="G233" s="25">
        <v>191.0</v>
      </c>
      <c r="H233" s="25">
        <v>93.0</v>
      </c>
      <c r="I233" s="26">
        <f t="array" ref="I233">XLOOKUP($A233,product!A:A,product!E:E)</f>
        <v>1.57</v>
      </c>
      <c r="J233" s="25">
        <f t="shared" si="2"/>
        <v>146.01</v>
      </c>
      <c r="K233" s="27">
        <f t="shared" si="3"/>
        <v>1</v>
      </c>
      <c r="L233" s="25">
        <f t="shared" si="4"/>
        <v>1</v>
      </c>
    </row>
    <row r="234">
      <c r="A234" s="19">
        <v>72857.0</v>
      </c>
      <c r="B234" s="20" t="str">
        <f t="array" ref="B234">xlookup($A234,product!$A:$A,product!B:B)</f>
        <v>Epicerie salée</v>
      </c>
      <c r="C234" s="20" t="str">
        <f t="array" ref="C234">xlookup($A234,product!$A:$A,product!C:C)</f>
        <v>Riz bio</v>
      </c>
      <c r="D234" s="20" t="str">
        <f t="array" ref="D234">xlookup($A234,product!$A:$A,product!D:D)</f>
        <v>Riz Basmati, Thai, Jasmin</v>
      </c>
      <c r="E234" s="4" t="str">
        <f t="shared" si="1"/>
        <v>72857-Riz bio-Riz Basmati, Thai, Jasmin</v>
      </c>
      <c r="F234" s="4">
        <v>1.0</v>
      </c>
      <c r="G234" s="4">
        <v>369.0</v>
      </c>
      <c r="H234" s="4">
        <v>148.0</v>
      </c>
      <c r="I234" s="21">
        <f t="array" ref="I234">XLOOKUP($A234,product!A:A,product!E:E)</f>
        <v>6.68</v>
      </c>
      <c r="J234" s="4">
        <f t="shared" si="2"/>
        <v>988.64</v>
      </c>
      <c r="K234" s="22">
        <f t="shared" si="3"/>
        <v>1</v>
      </c>
      <c r="L234" s="4">
        <f t="shared" si="4"/>
        <v>1</v>
      </c>
    </row>
    <row r="235">
      <c r="A235" s="23">
        <v>72859.0</v>
      </c>
      <c r="B235" s="24" t="str">
        <f t="array" ref="B235">xlookup($A235,product!$A:$A,product!B:B)</f>
        <v>Epicerie salée</v>
      </c>
      <c r="C235" s="24" t="str">
        <f t="array" ref="C235">xlookup($A235,product!$A:$A,product!C:C)</f>
        <v>Riz bio</v>
      </c>
      <c r="D235" s="24" t="str">
        <f t="array" ref="D235">xlookup($A235,product!$A:$A,product!D:D)</f>
        <v>Riz Basmati, Thai, Jasmin</v>
      </c>
      <c r="E235" s="25" t="str">
        <f t="shared" si="1"/>
        <v>72859-Riz bio-Riz Basmati, Thai, Jasmin</v>
      </c>
      <c r="F235" s="25">
        <v>0.0</v>
      </c>
      <c r="G235" s="25">
        <v>354.0</v>
      </c>
      <c r="H235" s="25">
        <v>196.0</v>
      </c>
      <c r="I235" s="26">
        <f t="array" ref="I235">XLOOKUP($A235,product!A:A,product!E:E)</f>
        <v>4.4</v>
      </c>
      <c r="J235" s="25">
        <f t="shared" si="2"/>
        <v>862.4</v>
      </c>
      <c r="K235" s="27">
        <f t="shared" si="3"/>
        <v>1</v>
      </c>
      <c r="L235" s="25">
        <f t="shared" si="4"/>
        <v>1</v>
      </c>
    </row>
    <row r="236">
      <c r="A236" s="19">
        <v>91264.0</v>
      </c>
      <c r="B236" s="20" t="str">
        <f t="array" ref="B236">xlookup($A236,product!$A:$A,product!B:B)</f>
        <v>Epicerie salée</v>
      </c>
      <c r="C236" s="20" t="str">
        <f t="array" ref="C236">xlookup($A236,product!$A:$A,product!C:C)</f>
        <v>Riz bio</v>
      </c>
      <c r="D236" s="20" t="str">
        <f t="array" ref="D236">xlookup($A236,product!$A:$A,product!D:D)</f>
        <v>Riz Basmati, Thai, Jasmin</v>
      </c>
      <c r="E236" s="4" t="str">
        <f t="shared" si="1"/>
        <v>91264-Riz bio-Riz Basmati, Thai, Jasmin</v>
      </c>
      <c r="F236" s="4">
        <v>0.0</v>
      </c>
      <c r="G236" s="4">
        <v>514.0</v>
      </c>
      <c r="H236" s="4">
        <v>399.0</v>
      </c>
      <c r="I236" s="21">
        <f t="array" ref="I236">XLOOKUP($A236,product!A:A,product!E:E)</f>
        <v>1.67</v>
      </c>
      <c r="J236" s="4">
        <f t="shared" si="2"/>
        <v>666.33</v>
      </c>
      <c r="K236" s="22">
        <f t="shared" si="3"/>
        <v>1</v>
      </c>
      <c r="L236" s="4">
        <f t="shared" si="4"/>
        <v>1</v>
      </c>
    </row>
    <row r="237">
      <c r="A237" s="23">
        <v>77316.0</v>
      </c>
      <c r="B237" s="24" t="str">
        <f t="array" ref="B237">xlookup($A237,product!$A:$A,product!B:B)</f>
        <v>Epicerie salée</v>
      </c>
      <c r="C237" s="24" t="str">
        <f t="array" ref="C237">xlookup($A237,product!$A:$A,product!C:C)</f>
        <v>Riz bio</v>
      </c>
      <c r="D237" s="24" t="str">
        <f t="array" ref="D237">xlookup($A237,product!$A:$A,product!D:D)</f>
        <v>Riz Basmati, Thai, Jasmin</v>
      </c>
      <c r="E237" s="25" t="str">
        <f t="shared" si="1"/>
        <v>77316-Riz bio-Riz Basmati, Thai, Jasmin</v>
      </c>
      <c r="F237" s="25">
        <v>0.0</v>
      </c>
      <c r="G237" s="25">
        <v>56.0</v>
      </c>
      <c r="H237" s="25">
        <v>16.0</v>
      </c>
      <c r="I237" s="26">
        <f t="array" ref="I237">XLOOKUP($A237,product!A:A,product!E:E)</f>
        <v>1.66</v>
      </c>
      <c r="J237" s="25">
        <f t="shared" si="2"/>
        <v>26.56</v>
      </c>
      <c r="K237" s="27">
        <f t="shared" si="3"/>
        <v>1</v>
      </c>
      <c r="L237" s="25">
        <f t="shared" si="4"/>
        <v>1</v>
      </c>
    </row>
    <row r="238">
      <c r="A238" s="19">
        <v>110573.0</v>
      </c>
      <c r="B238" s="20" t="str">
        <f t="array" ref="B238">xlookup($A238,product!$A:$A,product!B:B)</f>
        <v>Epicerie salée</v>
      </c>
      <c r="C238" s="20" t="str">
        <f t="array" ref="C238">xlookup($A238,product!$A:$A,product!C:C)</f>
        <v>Riz bio</v>
      </c>
      <c r="D238" s="20" t="str">
        <f t="array" ref="D238">xlookup($A238,product!$A:$A,product!D:D)</f>
        <v>Riz Basmati, Thai, Jasmin</v>
      </c>
      <c r="E238" s="4" t="str">
        <f t="shared" si="1"/>
        <v>110573-Riz bio-Riz Basmati, Thai, Jasmin</v>
      </c>
      <c r="F238" s="4">
        <v>0.0</v>
      </c>
      <c r="G238" s="4">
        <v>47.0</v>
      </c>
      <c r="H238" s="4">
        <v>33.0</v>
      </c>
      <c r="I238" s="21">
        <f t="array" ref="I238">XLOOKUP($A238,product!A:A,product!E:E)</f>
        <v>1.19</v>
      </c>
      <c r="J238" s="4">
        <f t="shared" si="2"/>
        <v>39.27</v>
      </c>
      <c r="K238" s="22">
        <f t="shared" si="3"/>
        <v>1</v>
      </c>
      <c r="L238" s="4">
        <f t="shared" si="4"/>
        <v>1</v>
      </c>
    </row>
    <row r="239">
      <c r="A239" s="23">
        <v>82236.0</v>
      </c>
      <c r="B239" s="24" t="str">
        <f t="array" ref="B239">xlookup($A239,product!$A:$A,product!B:B)</f>
        <v>Epicerie salée</v>
      </c>
      <c r="C239" s="24" t="str">
        <f t="array" ref="C239">xlookup($A239,product!$A:$A,product!C:C)</f>
        <v>Riz bio</v>
      </c>
      <c r="D239" s="24" t="str">
        <f t="array" ref="D239">xlookup($A239,product!$A:$A,product!D:D)</f>
        <v>Riz Basmati, Thai, Jasmin</v>
      </c>
      <c r="E239" s="25" t="str">
        <f t="shared" si="1"/>
        <v>82236-Riz bio-Riz Basmati, Thai, Jasmin</v>
      </c>
      <c r="F239" s="25">
        <v>1.0</v>
      </c>
      <c r="G239" s="25">
        <v>194.0</v>
      </c>
      <c r="H239" s="25">
        <v>130.0</v>
      </c>
      <c r="I239" s="26">
        <f t="array" ref="I239">XLOOKUP($A239,product!A:A,product!E:E)</f>
        <v>35.49</v>
      </c>
      <c r="J239" s="25">
        <f t="shared" si="2"/>
        <v>4613.7</v>
      </c>
      <c r="K239" s="27">
        <f t="shared" si="3"/>
        <v>1</v>
      </c>
      <c r="L239" s="25">
        <f t="shared" si="4"/>
        <v>1</v>
      </c>
    </row>
    <row r="240">
      <c r="A240" s="19">
        <v>72855.0</v>
      </c>
      <c r="B240" s="20" t="str">
        <f t="array" ref="B240">xlookup($A240,product!$A:$A,product!B:B)</f>
        <v>Epicerie salée</v>
      </c>
      <c r="C240" s="20" t="str">
        <f t="array" ref="C240">xlookup($A240,product!$A:$A,product!C:C)</f>
        <v>Riz bio</v>
      </c>
      <c r="D240" s="20" t="str">
        <f t="array" ref="D240">xlookup($A240,product!$A:$A,product!D:D)</f>
        <v>Riz Basmati, Thai, Jasmin</v>
      </c>
      <c r="E240" s="4" t="str">
        <f t="shared" si="1"/>
        <v>72855-Riz bio-Riz Basmati, Thai, Jasmin</v>
      </c>
      <c r="F240" s="4">
        <v>1.0</v>
      </c>
      <c r="G240" s="4">
        <v>624.0</v>
      </c>
      <c r="H240" s="4">
        <v>330.0</v>
      </c>
      <c r="I240" s="21">
        <f t="array" ref="I240">XLOOKUP($A240,product!A:A,product!E:E)</f>
        <v>4.14</v>
      </c>
      <c r="J240" s="4">
        <f t="shared" si="2"/>
        <v>1366.2</v>
      </c>
      <c r="K240" s="22">
        <f t="shared" si="3"/>
        <v>1</v>
      </c>
      <c r="L240" s="4">
        <f t="shared" si="4"/>
        <v>1</v>
      </c>
    </row>
    <row r="241">
      <c r="A241" s="23">
        <v>77392.0</v>
      </c>
      <c r="B241" s="24" t="str">
        <f t="array" ref="B241">xlookup($A241,product!$A:$A,product!B:B)</f>
        <v>Epicerie salée</v>
      </c>
      <c r="C241" s="24" t="str">
        <f t="array" ref="C241">xlookup($A241,product!$A:$A,product!C:C)</f>
        <v>Riz bio</v>
      </c>
      <c r="D241" s="24" t="str">
        <f t="array" ref="D241">xlookup($A241,product!$A:$A,product!D:D)</f>
        <v>Riz Basmati, Thai, Jasmin</v>
      </c>
      <c r="E241" s="25" t="str">
        <f t="shared" si="1"/>
        <v>77392-Riz bio-Riz Basmati, Thai, Jasmin</v>
      </c>
      <c r="F241" s="25">
        <v>0.0</v>
      </c>
      <c r="G241" s="25">
        <v>150.0</v>
      </c>
      <c r="H241" s="25">
        <v>87.0</v>
      </c>
      <c r="I241" s="26">
        <f t="array" ref="I241">XLOOKUP($A241,product!A:A,product!E:E)</f>
        <v>1.67</v>
      </c>
      <c r="J241" s="25">
        <f t="shared" si="2"/>
        <v>145.29</v>
      </c>
      <c r="K241" s="27">
        <f t="shared" si="3"/>
        <v>1</v>
      </c>
      <c r="L241" s="25">
        <f t="shared" si="4"/>
        <v>1</v>
      </c>
    </row>
    <row r="242">
      <c r="A242" s="19">
        <v>45867.0</v>
      </c>
      <c r="B242" s="20" t="str">
        <f t="array" ref="B242">xlookup($A242,product!$A:$A,product!B:B)</f>
        <v>Epicerie salée</v>
      </c>
      <c r="C242" s="20" t="str">
        <f t="array" ref="C242">xlookup($A242,product!$A:$A,product!C:C)</f>
        <v>Riz bio</v>
      </c>
      <c r="D242" s="20" t="str">
        <f t="array" ref="D242">xlookup($A242,product!$A:$A,product!D:D)</f>
        <v>Riz Basmati, Thai, Jasmin</v>
      </c>
      <c r="E242" s="4" t="str">
        <f t="shared" si="1"/>
        <v>45867-Riz bio-Riz Basmati, Thai, Jasmin</v>
      </c>
      <c r="F242" s="4">
        <v>1.0</v>
      </c>
      <c r="G242" s="4">
        <v>657.0</v>
      </c>
      <c r="H242" s="4">
        <v>449.0</v>
      </c>
      <c r="I242" s="21">
        <f t="array" ref="I242">XLOOKUP($A242,product!A:A,product!E:E)</f>
        <v>2.27</v>
      </c>
      <c r="J242" s="4">
        <f t="shared" si="2"/>
        <v>1019.23</v>
      </c>
      <c r="K242" s="22">
        <f t="shared" si="3"/>
        <v>1</v>
      </c>
      <c r="L242" s="4">
        <f t="shared" si="4"/>
        <v>1</v>
      </c>
    </row>
    <row r="243">
      <c r="A243" s="23">
        <v>45846.0</v>
      </c>
      <c r="B243" s="24" t="str">
        <f t="array" ref="B243">xlookup($A243,product!$A:$A,product!B:B)</f>
        <v>Epicerie salée</v>
      </c>
      <c r="C243" s="24" t="str">
        <f t="array" ref="C243">xlookup($A243,product!$A:$A,product!C:C)</f>
        <v>Riz bio</v>
      </c>
      <c r="D243" s="24" t="str">
        <f t="array" ref="D243">xlookup($A243,product!$A:$A,product!D:D)</f>
        <v>Riz Basmati, Thai, Jasmin</v>
      </c>
      <c r="E243" s="25" t="str">
        <f t="shared" si="1"/>
        <v>45846-Riz bio-Riz Basmati, Thai, Jasmin</v>
      </c>
      <c r="F243" s="25">
        <v>1.0</v>
      </c>
      <c r="G243" s="25">
        <v>82.0</v>
      </c>
      <c r="H243" s="25">
        <v>5.0</v>
      </c>
      <c r="I243" s="26">
        <f t="array" ref="I243">XLOOKUP($A243,product!A:A,product!E:E)</f>
        <v>2.17</v>
      </c>
      <c r="J243" s="25">
        <f t="shared" si="2"/>
        <v>10.85</v>
      </c>
      <c r="K243" s="27">
        <f t="shared" si="3"/>
        <v>1</v>
      </c>
      <c r="L243" s="25">
        <f t="shared" si="4"/>
        <v>1</v>
      </c>
    </row>
    <row r="244">
      <c r="A244" s="19">
        <v>91265.0</v>
      </c>
      <c r="B244" s="20" t="str">
        <f t="array" ref="B244">xlookup($A244,product!$A:$A,product!B:B)</f>
        <v>Epicerie salée</v>
      </c>
      <c r="C244" s="20" t="str">
        <f t="array" ref="C244">xlookup($A244,product!$A:$A,product!C:C)</f>
        <v>Riz bio</v>
      </c>
      <c r="D244" s="20" t="str">
        <f t="array" ref="D244">xlookup($A244,product!$A:$A,product!D:D)</f>
        <v>Riz Basmati, Thai, Jasmin</v>
      </c>
      <c r="E244" s="4" t="str">
        <f t="shared" si="1"/>
        <v>91265-Riz bio-Riz Basmati, Thai, Jasmin</v>
      </c>
      <c r="F244" s="4">
        <v>0.0</v>
      </c>
      <c r="G244" s="4">
        <v>923.0</v>
      </c>
      <c r="H244" s="4">
        <v>7.0</v>
      </c>
      <c r="I244" s="21">
        <f t="array" ref="I244">XLOOKUP($A244,product!A:A,product!E:E)</f>
        <v>8.55</v>
      </c>
      <c r="J244" s="4">
        <f t="shared" si="2"/>
        <v>59.85</v>
      </c>
      <c r="K244" s="22">
        <f t="shared" si="3"/>
        <v>1</v>
      </c>
      <c r="L244" s="4">
        <f t="shared" si="4"/>
        <v>1</v>
      </c>
    </row>
    <row r="245">
      <c r="A245" s="23">
        <v>5527.0</v>
      </c>
      <c r="B245" s="24" t="str">
        <f t="array" ref="B245">xlookup($A245,product!$A:$A,product!B:B)</f>
        <v>Epicerie salée</v>
      </c>
      <c r="C245" s="24" t="str">
        <f t="array" ref="C245">xlookup($A245,product!$A:$A,product!C:C)</f>
        <v>Riz bio</v>
      </c>
      <c r="D245" s="24" t="str">
        <f t="array" ref="D245">xlookup($A245,product!$A:$A,product!D:D)</f>
        <v>Riz Basmati, Thai, Jasmin</v>
      </c>
      <c r="E245" s="25" t="str">
        <f t="shared" si="1"/>
        <v>5527-Riz bio-Riz Basmati, Thai, Jasmin</v>
      </c>
      <c r="F245" s="25">
        <v>0.0</v>
      </c>
      <c r="G245" s="25">
        <v>346.0</v>
      </c>
      <c r="H245" s="25">
        <v>168.0</v>
      </c>
      <c r="I245" s="26">
        <f t="array" ref="I245">XLOOKUP($A245,product!A:A,product!E:E)</f>
        <v>2</v>
      </c>
      <c r="J245" s="25">
        <f t="shared" si="2"/>
        <v>336</v>
      </c>
      <c r="K245" s="27">
        <f t="shared" si="3"/>
        <v>1</v>
      </c>
      <c r="L245" s="25">
        <f t="shared" si="4"/>
        <v>1</v>
      </c>
    </row>
    <row r="246">
      <c r="A246" s="19">
        <v>82249.0</v>
      </c>
      <c r="B246" s="20" t="str">
        <f t="array" ref="B246">xlookup($A246,product!$A:$A,product!B:B)</f>
        <v>Epicerie salée</v>
      </c>
      <c r="C246" s="20" t="str">
        <f t="array" ref="C246">xlookup($A246,product!$A:$A,product!C:C)</f>
        <v>Riz bio</v>
      </c>
      <c r="D246" s="20" t="str">
        <f t="array" ref="D246">xlookup($A246,product!$A:$A,product!D:D)</f>
        <v>Riz Basmati, Thai, Jasmin</v>
      </c>
      <c r="E246" s="4" t="str">
        <f t="shared" si="1"/>
        <v>82249-Riz bio-Riz Basmati, Thai, Jasmin</v>
      </c>
      <c r="F246" s="4">
        <v>1.0</v>
      </c>
      <c r="G246" s="4">
        <v>109.0</v>
      </c>
      <c r="H246" s="4">
        <v>43.0</v>
      </c>
      <c r="I246" s="21">
        <f t="array" ref="I246">XLOOKUP($A246,product!A:A,product!E:E)</f>
        <v>32.56</v>
      </c>
      <c r="J246" s="4">
        <f t="shared" si="2"/>
        <v>1400.08</v>
      </c>
      <c r="K246" s="22">
        <f t="shared" si="3"/>
        <v>1</v>
      </c>
      <c r="L246" s="4">
        <f t="shared" si="4"/>
        <v>1</v>
      </c>
    </row>
    <row r="247">
      <c r="A247" s="23">
        <v>87273.0</v>
      </c>
      <c r="B247" s="24" t="str">
        <f t="array" ref="B247">xlookup($A247,product!$A:$A,product!B:B)</f>
        <v>Epicerie salée</v>
      </c>
      <c r="C247" s="24" t="str">
        <f t="array" ref="C247">xlookup($A247,product!$A:$A,product!C:C)</f>
        <v>Riz bio</v>
      </c>
      <c r="D247" s="24" t="str">
        <f t="array" ref="D247">xlookup($A247,product!$A:$A,product!D:D)</f>
        <v>Riz rouge, riz noir, riz sauvage</v>
      </c>
      <c r="E247" s="25" t="str">
        <f t="shared" si="1"/>
        <v>87273-Riz bio-Riz rouge, riz noir, riz sauvage</v>
      </c>
      <c r="F247" s="25">
        <v>0.0</v>
      </c>
      <c r="G247" s="25">
        <v>212.0</v>
      </c>
      <c r="H247" s="25">
        <v>73.0</v>
      </c>
      <c r="I247" s="26">
        <f t="array" ref="I247">XLOOKUP($A247,product!A:A,product!E:E)</f>
        <v>1.8</v>
      </c>
      <c r="J247" s="25">
        <f t="shared" si="2"/>
        <v>131.4</v>
      </c>
      <c r="K247" s="27">
        <f t="shared" si="3"/>
        <v>1</v>
      </c>
      <c r="L247" s="25">
        <f t="shared" si="4"/>
        <v>1</v>
      </c>
    </row>
    <row r="248">
      <c r="A248" s="19">
        <v>5537.0</v>
      </c>
      <c r="B248" s="20" t="str">
        <f t="array" ref="B248">xlookup($A248,product!$A:$A,product!B:B)</f>
        <v>Epicerie salée</v>
      </c>
      <c r="C248" s="20" t="str">
        <f t="array" ref="C248">xlookup($A248,product!$A:$A,product!C:C)</f>
        <v>Riz bio</v>
      </c>
      <c r="D248" s="20" t="str">
        <f t="array" ref="D248">xlookup($A248,product!$A:$A,product!D:D)</f>
        <v>Riz rouge, riz noir, riz sauvage</v>
      </c>
      <c r="E248" s="4" t="str">
        <f t="shared" si="1"/>
        <v>5537-Riz bio-Riz rouge, riz noir, riz sauvage</v>
      </c>
      <c r="F248" s="4">
        <v>0.0</v>
      </c>
      <c r="G248" s="4">
        <v>415.0</v>
      </c>
      <c r="H248" s="4">
        <v>36.0</v>
      </c>
      <c r="I248" s="21">
        <f t="array" ref="I248">XLOOKUP($A248,product!A:A,product!E:E)</f>
        <v>1.98</v>
      </c>
      <c r="J248" s="4">
        <f t="shared" si="2"/>
        <v>71.28</v>
      </c>
      <c r="K248" s="22">
        <f t="shared" si="3"/>
        <v>1</v>
      </c>
      <c r="L248" s="4">
        <f t="shared" si="4"/>
        <v>1</v>
      </c>
    </row>
    <row r="249">
      <c r="A249" s="23">
        <v>87281.0</v>
      </c>
      <c r="B249" s="24" t="str">
        <f t="array" ref="B249">xlookup($A249,product!$A:$A,product!B:B)</f>
        <v>Epicerie salée</v>
      </c>
      <c r="C249" s="24" t="str">
        <f t="array" ref="C249">xlookup($A249,product!$A:$A,product!C:C)</f>
        <v>Riz bio</v>
      </c>
      <c r="D249" s="24" t="str">
        <f t="array" ref="D249">xlookup($A249,product!$A:$A,product!D:D)</f>
        <v>Riz rouge, riz noir, riz sauvage</v>
      </c>
      <c r="E249" s="25" t="str">
        <f t="shared" si="1"/>
        <v>87281-Riz bio-Riz rouge, riz noir, riz sauvage</v>
      </c>
      <c r="F249" s="25">
        <v>0.0</v>
      </c>
      <c r="G249" s="25">
        <v>191.0</v>
      </c>
      <c r="H249" s="25">
        <v>144.0</v>
      </c>
      <c r="I249" s="26">
        <f t="array" ref="I249">XLOOKUP($A249,product!A:A,product!E:E)</f>
        <v>1.85</v>
      </c>
      <c r="J249" s="25">
        <f t="shared" si="2"/>
        <v>266.4</v>
      </c>
      <c r="K249" s="27">
        <f t="shared" si="3"/>
        <v>1</v>
      </c>
      <c r="L249" s="25">
        <f t="shared" si="4"/>
        <v>1</v>
      </c>
    </row>
    <row r="250">
      <c r="A250" s="19">
        <v>5522.0</v>
      </c>
      <c r="B250" s="20" t="str">
        <f t="array" ref="B250">xlookup($A250,product!$A:$A,product!B:B)</f>
        <v>Epicerie salée</v>
      </c>
      <c r="C250" s="20" t="str">
        <f t="array" ref="C250">xlookup($A250,product!$A:$A,product!C:C)</f>
        <v>Riz bio</v>
      </c>
      <c r="D250" s="20" t="str">
        <f t="array" ref="D250">xlookup($A250,product!$A:$A,product!D:D)</f>
        <v>Riz rouge, riz noir, riz sauvage</v>
      </c>
      <c r="E250" s="4" t="str">
        <f t="shared" si="1"/>
        <v>5522-Riz bio-Riz rouge, riz noir, riz sauvage</v>
      </c>
      <c r="F250" s="4">
        <v>0.0</v>
      </c>
      <c r="G250" s="4">
        <v>270.0</v>
      </c>
      <c r="H250" s="4">
        <v>26.0</v>
      </c>
      <c r="I250" s="21">
        <f t="array" ref="I250">XLOOKUP($A250,product!A:A,product!E:E)</f>
        <v>2.31</v>
      </c>
      <c r="J250" s="4">
        <f t="shared" si="2"/>
        <v>60.06</v>
      </c>
      <c r="K250" s="22">
        <f t="shared" si="3"/>
        <v>1</v>
      </c>
      <c r="L250" s="4">
        <f t="shared" si="4"/>
        <v>1</v>
      </c>
    </row>
    <row r="251">
      <c r="A251" s="23">
        <v>76595.0</v>
      </c>
      <c r="B251" s="24" t="str">
        <f t="array" ref="B251">xlookup($A251,product!$A:$A,product!B:B)</f>
        <v>Epicerie salée</v>
      </c>
      <c r="C251" s="24" t="str">
        <f t="array" ref="C251">xlookup($A251,product!$A:$A,product!C:C)</f>
        <v>Riz bio</v>
      </c>
      <c r="D251" s="24" t="str">
        <f t="array" ref="D251">xlookup($A251,product!$A:$A,product!D:D)</f>
        <v>Riz rouge, riz noir, riz sauvage</v>
      </c>
      <c r="E251" s="25" t="str">
        <f t="shared" si="1"/>
        <v>76595-Riz bio-Riz rouge, riz noir, riz sauvage</v>
      </c>
      <c r="F251" s="25">
        <v>0.0</v>
      </c>
      <c r="G251" s="25">
        <v>453.0</v>
      </c>
      <c r="H251" s="25">
        <v>183.0</v>
      </c>
      <c r="I251" s="26">
        <f t="array" ref="I251">XLOOKUP($A251,product!A:A,product!E:E)</f>
        <v>2.2</v>
      </c>
      <c r="J251" s="25">
        <f t="shared" si="2"/>
        <v>402.6</v>
      </c>
      <c r="K251" s="27">
        <f t="shared" si="3"/>
        <v>1</v>
      </c>
      <c r="L251" s="25">
        <f t="shared" si="4"/>
        <v>1</v>
      </c>
    </row>
    <row r="252">
      <c r="A252" s="19">
        <v>147305.0</v>
      </c>
      <c r="B252" s="20" t="str">
        <f t="array" ref="B252">xlookup($A252,product!$A:$A,product!B:B)</f>
        <v>Epicerie salée</v>
      </c>
      <c r="C252" s="20" t="str">
        <f t="array" ref="C252">xlookup($A252,product!$A:$A,product!C:C)</f>
        <v>Riz bio</v>
      </c>
      <c r="D252" s="20" t="str">
        <f t="array" ref="D252">xlookup($A252,product!$A:$A,product!D:D)</f>
        <v>Riz rouge, riz noir, riz sauvage</v>
      </c>
      <c r="E252" s="4" t="str">
        <f t="shared" si="1"/>
        <v>147305-Riz bio-Riz rouge, riz noir, riz sauvage</v>
      </c>
      <c r="F252" s="4">
        <v>0.0</v>
      </c>
      <c r="G252" s="4">
        <v>929.0</v>
      </c>
      <c r="H252" s="4">
        <v>658.0</v>
      </c>
      <c r="I252" s="21">
        <f t="array" ref="I252">XLOOKUP($A252,product!A:A,product!E:E)</f>
        <v>1.44</v>
      </c>
      <c r="J252" s="4">
        <f t="shared" si="2"/>
        <v>947.52</v>
      </c>
      <c r="K252" s="22">
        <f t="shared" si="3"/>
        <v>1</v>
      </c>
      <c r="L252" s="4">
        <f t="shared" si="4"/>
        <v>1</v>
      </c>
    </row>
    <row r="253">
      <c r="A253" s="23">
        <v>158660.0</v>
      </c>
      <c r="B253" s="24" t="str">
        <f t="array" ref="B253">xlookup($A253,product!$A:$A,product!B:B)</f>
        <v>Epicerie salée</v>
      </c>
      <c r="C253" s="24" t="str">
        <f t="array" ref="C253">xlookup($A253,product!$A:$A,product!C:C)</f>
        <v>Riz bio</v>
      </c>
      <c r="D253" s="24" t="str">
        <f t="array" ref="D253">xlookup($A253,product!$A:$A,product!D:D)</f>
        <v>Riz rouge, riz noir, riz sauvage</v>
      </c>
      <c r="E253" s="25" t="str">
        <f t="shared" si="1"/>
        <v>158660-Riz bio-Riz rouge, riz noir, riz sauvage</v>
      </c>
      <c r="F253" s="25">
        <v>1.0</v>
      </c>
      <c r="G253" s="25">
        <v>974.0</v>
      </c>
      <c r="H253" s="25">
        <v>562.0</v>
      </c>
      <c r="I253" s="26">
        <f t="array" ref="I253">XLOOKUP($A253,product!A:A,product!E:E)</f>
        <v>1.22</v>
      </c>
      <c r="J253" s="25">
        <f t="shared" si="2"/>
        <v>685.64</v>
      </c>
      <c r="K253" s="27">
        <f t="shared" si="3"/>
        <v>1</v>
      </c>
      <c r="L253" s="25">
        <f t="shared" si="4"/>
        <v>1</v>
      </c>
    </row>
    <row r="254">
      <c r="A254" s="19">
        <v>77371.0</v>
      </c>
      <c r="B254" s="20" t="str">
        <f t="array" ref="B254">xlookup($A254,product!$A:$A,product!B:B)</f>
        <v>Epicerie salée</v>
      </c>
      <c r="C254" s="20" t="str">
        <f t="array" ref="C254">xlookup($A254,product!$A:$A,product!C:C)</f>
        <v>Riz bio</v>
      </c>
      <c r="D254" s="20" t="str">
        <f t="array" ref="D254">xlookup($A254,product!$A:$A,product!D:D)</f>
        <v>Riz rouge, riz noir, riz sauvage</v>
      </c>
      <c r="E254" s="4" t="str">
        <f t="shared" si="1"/>
        <v>77371-Riz bio-Riz rouge, riz noir, riz sauvage</v>
      </c>
      <c r="F254" s="4">
        <v>1.0</v>
      </c>
      <c r="G254" s="4">
        <v>321.0</v>
      </c>
      <c r="H254" s="4">
        <v>121.0</v>
      </c>
      <c r="I254" s="21">
        <f t="array" ref="I254">XLOOKUP($A254,product!A:A,product!E:E)</f>
        <v>3.93</v>
      </c>
      <c r="J254" s="4">
        <f t="shared" si="2"/>
        <v>475.53</v>
      </c>
      <c r="K254" s="22">
        <f t="shared" si="3"/>
        <v>1</v>
      </c>
      <c r="L254" s="4">
        <f t="shared" si="4"/>
        <v>1</v>
      </c>
    </row>
    <row r="255">
      <c r="A255" s="23">
        <v>77366.0</v>
      </c>
      <c r="B255" s="24" t="str">
        <f t="array" ref="B255">xlookup($A255,product!$A:$A,product!B:B)</f>
        <v>Epicerie salée</v>
      </c>
      <c r="C255" s="24" t="str">
        <f t="array" ref="C255">xlookup($A255,product!$A:$A,product!C:C)</f>
        <v>Riz bio</v>
      </c>
      <c r="D255" s="24" t="str">
        <f t="array" ref="D255">xlookup($A255,product!$A:$A,product!D:D)</f>
        <v>Riz rouge, riz noir, riz sauvage</v>
      </c>
      <c r="E255" s="25" t="str">
        <f t="shared" si="1"/>
        <v>77366-Riz bio-Riz rouge, riz noir, riz sauvage</v>
      </c>
      <c r="F255" s="25">
        <v>1.0</v>
      </c>
      <c r="G255" s="25">
        <v>44.0</v>
      </c>
      <c r="H255" s="25">
        <v>5.0</v>
      </c>
      <c r="I255" s="26">
        <f t="array" ref="I255">XLOOKUP($A255,product!A:A,product!E:E)</f>
        <v>1.79</v>
      </c>
      <c r="J255" s="25">
        <f t="shared" si="2"/>
        <v>8.95</v>
      </c>
      <c r="K255" s="27">
        <f t="shared" si="3"/>
        <v>1</v>
      </c>
      <c r="L255" s="25">
        <f t="shared" si="4"/>
        <v>1</v>
      </c>
    </row>
    <row r="256">
      <c r="A256" s="19">
        <v>87282.0</v>
      </c>
      <c r="B256" s="20" t="str">
        <f t="array" ref="B256">xlookup($A256,product!$A:$A,product!B:B)</f>
        <v>Epicerie salée</v>
      </c>
      <c r="C256" s="20" t="str">
        <f t="array" ref="C256">xlookup($A256,product!$A:$A,product!C:C)</f>
        <v>Riz bio</v>
      </c>
      <c r="D256" s="20" t="str">
        <f t="array" ref="D256">xlookup($A256,product!$A:$A,product!D:D)</f>
        <v>Riz rouge, riz noir, riz sauvage</v>
      </c>
      <c r="E256" s="4" t="str">
        <f t="shared" si="1"/>
        <v>87282-Riz bio-Riz rouge, riz noir, riz sauvage</v>
      </c>
      <c r="F256" s="4">
        <v>0.0</v>
      </c>
      <c r="G256" s="4">
        <v>663.0</v>
      </c>
      <c r="H256" s="4">
        <v>591.0</v>
      </c>
      <c r="I256" s="21">
        <f t="array" ref="I256">XLOOKUP($A256,product!A:A,product!E:E)</f>
        <v>1.95</v>
      </c>
      <c r="J256" s="4">
        <f t="shared" si="2"/>
        <v>1152.45</v>
      </c>
      <c r="K256" s="22">
        <f t="shared" si="3"/>
        <v>1</v>
      </c>
      <c r="L256" s="4">
        <f t="shared" si="4"/>
        <v>1</v>
      </c>
    </row>
    <row r="257">
      <c r="A257" s="23">
        <v>80402.0</v>
      </c>
      <c r="B257" s="24" t="str">
        <f t="array" ref="B257">xlookup($A257,product!$A:$A,product!B:B)</f>
        <v>Epicerie salée</v>
      </c>
      <c r="C257" s="24" t="str">
        <f t="array" ref="C257">xlookup($A257,product!$A:$A,product!C:C)</f>
        <v>Riz bio</v>
      </c>
      <c r="D257" s="24" t="str">
        <f t="array" ref="D257">xlookup($A257,product!$A:$A,product!D:D)</f>
        <v>Riz rouge, riz noir, riz sauvage</v>
      </c>
      <c r="E257" s="25" t="str">
        <f t="shared" si="1"/>
        <v>80402-Riz bio-Riz rouge, riz noir, riz sauvage</v>
      </c>
      <c r="F257" s="25">
        <v>1.0</v>
      </c>
      <c r="G257" s="25">
        <v>833.0</v>
      </c>
      <c r="H257" s="25">
        <v>234.0</v>
      </c>
      <c r="I257" s="26">
        <f t="array" ref="I257">XLOOKUP($A257,product!A:A,product!E:E)</f>
        <v>2.29</v>
      </c>
      <c r="J257" s="25">
        <f t="shared" si="2"/>
        <v>535.86</v>
      </c>
      <c r="K257" s="27">
        <f t="shared" si="3"/>
        <v>1</v>
      </c>
      <c r="L257" s="25">
        <f t="shared" si="4"/>
        <v>1</v>
      </c>
    </row>
    <row r="258">
      <c r="A258" s="19">
        <v>120504.0</v>
      </c>
      <c r="B258" s="20" t="str">
        <f t="array" ref="B258">xlookup($A258,product!$A:$A,product!B:B)</f>
        <v>Boisson</v>
      </c>
      <c r="C258" s="20" t="str">
        <f t="array" ref="C258">xlookup($A258,product!$A:$A,product!C:C)</f>
        <v>Vin Bio</v>
      </c>
      <c r="D258" s="20" t="str">
        <f t="array" ref="D258">xlookup($A258,product!$A:$A,product!D:D)</f>
        <v>Vins blancs</v>
      </c>
      <c r="E258" s="4" t="str">
        <f t="shared" si="1"/>
        <v>120504-Vin Bio-Vins blancs</v>
      </c>
      <c r="F258" s="4">
        <v>1.0</v>
      </c>
      <c r="G258" s="4">
        <v>177.0</v>
      </c>
      <c r="H258" s="4">
        <v>63.0</v>
      </c>
      <c r="I258" s="21">
        <f t="array" ref="I258">XLOOKUP($A258,product!A:A,product!E:E)</f>
        <v>4.7</v>
      </c>
      <c r="J258" s="4">
        <f t="shared" si="2"/>
        <v>296.1</v>
      </c>
      <c r="K258" s="22">
        <f t="shared" si="3"/>
        <v>1</v>
      </c>
      <c r="L258" s="4">
        <f t="shared" si="4"/>
        <v>1</v>
      </c>
    </row>
    <row r="259">
      <c r="A259" s="23">
        <v>72833.0</v>
      </c>
      <c r="B259" s="24" t="str">
        <f t="array" ref="B259">xlookup($A259,product!$A:$A,product!B:B)</f>
        <v>Boisson</v>
      </c>
      <c r="C259" s="24" t="str">
        <f t="array" ref="C259">xlookup($A259,product!$A:$A,product!C:C)</f>
        <v>Vin Bio</v>
      </c>
      <c r="D259" s="24" t="str">
        <f t="array" ref="D259">xlookup($A259,product!$A:$A,product!D:D)</f>
        <v>Vins blancs</v>
      </c>
      <c r="E259" s="25" t="str">
        <f t="shared" si="1"/>
        <v>72833-Vin Bio-Vins blancs</v>
      </c>
      <c r="F259" s="25">
        <v>1.0</v>
      </c>
      <c r="G259" s="25">
        <v>25.0</v>
      </c>
      <c r="H259" s="25">
        <v>25.0</v>
      </c>
      <c r="I259" s="26">
        <f t="array" ref="I259">XLOOKUP($A259,product!A:A,product!E:E)</f>
        <v>5.81</v>
      </c>
      <c r="J259" s="25">
        <f t="shared" si="2"/>
        <v>145.25</v>
      </c>
      <c r="K259" s="27">
        <f t="shared" si="3"/>
        <v>1</v>
      </c>
      <c r="L259" s="25">
        <f t="shared" si="4"/>
        <v>1</v>
      </c>
    </row>
    <row r="260">
      <c r="A260" s="19">
        <v>72831.0</v>
      </c>
      <c r="B260" s="20" t="str">
        <f t="array" ref="B260">xlookup($A260,product!$A:$A,product!B:B)</f>
        <v>Boisson</v>
      </c>
      <c r="C260" s="20" t="str">
        <f t="array" ref="C260">xlookup($A260,product!$A:$A,product!C:C)</f>
        <v>Vin Bio</v>
      </c>
      <c r="D260" s="20" t="str">
        <f t="array" ref="D260">xlookup($A260,product!$A:$A,product!D:D)</f>
        <v>Vins blancs</v>
      </c>
      <c r="E260" s="4" t="str">
        <f t="shared" si="1"/>
        <v>72831-Vin Bio-Vins blancs</v>
      </c>
      <c r="F260" s="4">
        <v>1.0</v>
      </c>
      <c r="G260" s="4">
        <v>190.0</v>
      </c>
      <c r="H260" s="4">
        <v>95.0</v>
      </c>
      <c r="I260" s="21">
        <f t="array" ref="I260">XLOOKUP($A260,product!A:A,product!E:E)</f>
        <v>1.92</v>
      </c>
      <c r="J260" s="4">
        <f t="shared" si="2"/>
        <v>182.4</v>
      </c>
      <c r="K260" s="22">
        <f t="shared" si="3"/>
        <v>1</v>
      </c>
      <c r="L260" s="4">
        <f t="shared" si="4"/>
        <v>1</v>
      </c>
    </row>
    <row r="261">
      <c r="A261" s="23">
        <v>112547.0</v>
      </c>
      <c r="B261" s="24" t="str">
        <f t="array" ref="B261">xlookup($A261,product!$A:$A,product!B:B)</f>
        <v>Boisson</v>
      </c>
      <c r="C261" s="24" t="str">
        <f t="array" ref="C261">xlookup($A261,product!$A:$A,product!C:C)</f>
        <v>Vin Bio</v>
      </c>
      <c r="D261" s="24" t="str">
        <f t="array" ref="D261">xlookup($A261,product!$A:$A,product!D:D)</f>
        <v>Vins blancs</v>
      </c>
      <c r="E261" s="25" t="str">
        <f t="shared" si="1"/>
        <v>112547-Vin Bio-Vins blancs</v>
      </c>
      <c r="F261" s="25">
        <v>0.0</v>
      </c>
      <c r="G261" s="25">
        <v>726.0</v>
      </c>
      <c r="H261" s="25">
        <v>76.0</v>
      </c>
      <c r="I261" s="26">
        <f t="array" ref="I261">XLOOKUP($A261,product!A:A,product!E:E)</f>
        <v>5.36</v>
      </c>
      <c r="J261" s="25">
        <f t="shared" si="2"/>
        <v>407.36</v>
      </c>
      <c r="K261" s="27">
        <f t="shared" si="3"/>
        <v>1</v>
      </c>
      <c r="L261" s="25">
        <f t="shared" si="4"/>
        <v>1</v>
      </c>
    </row>
    <row r="262">
      <c r="A262" s="19">
        <v>149598.0</v>
      </c>
      <c r="B262" s="20" t="str">
        <f t="array" ref="B262">xlookup($A262,product!$A:$A,product!B:B)</f>
        <v>Boisson</v>
      </c>
      <c r="C262" s="20" t="str">
        <f t="array" ref="C262">xlookup($A262,product!$A:$A,product!C:C)</f>
        <v>Vin Bio</v>
      </c>
      <c r="D262" s="20" t="str">
        <f t="array" ref="D262">xlookup($A262,product!$A:$A,product!D:D)</f>
        <v>Vins rosés</v>
      </c>
      <c r="E262" s="4" t="str">
        <f t="shared" si="1"/>
        <v>149598-Vin Bio-Vins rosés</v>
      </c>
      <c r="F262" s="4">
        <v>1.0</v>
      </c>
      <c r="G262" s="4">
        <v>247.0</v>
      </c>
      <c r="H262" s="4">
        <v>99.0</v>
      </c>
      <c r="I262" s="21">
        <f t="array" ref="I262">XLOOKUP($A262,product!A:A,product!E:E)</f>
        <v>4.84</v>
      </c>
      <c r="J262" s="4">
        <f t="shared" si="2"/>
        <v>479.16</v>
      </c>
      <c r="K262" s="22">
        <f t="shared" si="3"/>
        <v>1</v>
      </c>
      <c r="L262" s="4">
        <f t="shared" si="4"/>
        <v>1</v>
      </c>
    </row>
    <row r="263">
      <c r="A263" s="23">
        <v>98129.0</v>
      </c>
      <c r="B263" s="24" t="str">
        <f t="array" ref="B263">xlookup($A263,product!$A:$A,product!B:B)</f>
        <v>Boisson</v>
      </c>
      <c r="C263" s="24" t="str">
        <f t="array" ref="C263">xlookup($A263,product!$A:$A,product!C:C)</f>
        <v>Vin Bio</v>
      </c>
      <c r="D263" s="24" t="str">
        <f t="array" ref="D263">xlookup($A263,product!$A:$A,product!D:D)</f>
        <v>Vins rouges</v>
      </c>
      <c r="E263" s="25" t="str">
        <f t="shared" si="1"/>
        <v>98129-Vin Bio-Vins rouges</v>
      </c>
      <c r="F263" s="25">
        <v>0.0</v>
      </c>
      <c r="G263" s="25">
        <v>616.0</v>
      </c>
      <c r="H263" s="25">
        <v>608.0</v>
      </c>
      <c r="I263" s="26">
        <f t="array" ref="I263">XLOOKUP($A263,product!A:A,product!E:E)</f>
        <v>7.77</v>
      </c>
      <c r="J263" s="25">
        <f t="shared" si="2"/>
        <v>4724.16</v>
      </c>
      <c r="K263" s="27">
        <f t="shared" si="3"/>
        <v>1</v>
      </c>
      <c r="L263" s="25">
        <f t="shared" si="4"/>
        <v>1</v>
      </c>
    </row>
    <row r="264">
      <c r="A264" s="19">
        <v>72825.0</v>
      </c>
      <c r="B264" s="20" t="str">
        <f t="array" ref="B264">xlookup($A264,product!$A:$A,product!B:B)</f>
        <v>Boisson</v>
      </c>
      <c r="C264" s="20" t="str">
        <f t="array" ref="C264">xlookup($A264,product!$A:$A,product!C:C)</f>
        <v>Vin Bio</v>
      </c>
      <c r="D264" s="20" t="str">
        <f t="array" ref="D264">xlookup($A264,product!$A:$A,product!D:D)</f>
        <v>Vins rouges</v>
      </c>
      <c r="E264" s="4" t="str">
        <f t="shared" si="1"/>
        <v>72825-Vin Bio-Vins rouges</v>
      </c>
      <c r="F264" s="4">
        <v>0.0</v>
      </c>
      <c r="G264" s="4">
        <v>168.0</v>
      </c>
      <c r="H264" s="4">
        <v>138.0</v>
      </c>
      <c r="I264" s="21">
        <f t="array" ref="I264">XLOOKUP($A264,product!A:A,product!E:E)</f>
        <v>8.89</v>
      </c>
      <c r="J264" s="4">
        <f t="shared" si="2"/>
        <v>1226.82</v>
      </c>
      <c r="K264" s="22">
        <f t="shared" si="3"/>
        <v>1</v>
      </c>
      <c r="L264" s="4">
        <f t="shared" si="4"/>
        <v>1</v>
      </c>
    </row>
    <row r="265">
      <c r="A265" s="23">
        <v>72820.0</v>
      </c>
      <c r="B265" s="24" t="str">
        <f t="array" ref="B265">xlookup($A265,product!$A:$A,product!B:B)</f>
        <v>Boisson</v>
      </c>
      <c r="C265" s="24" t="str">
        <f t="array" ref="C265">xlookup($A265,product!$A:$A,product!C:C)</f>
        <v>Vin Bio</v>
      </c>
      <c r="D265" s="24" t="str">
        <f t="array" ref="D265">xlookup($A265,product!$A:$A,product!D:D)</f>
        <v>Vins rouges</v>
      </c>
      <c r="E265" s="25" t="str">
        <f t="shared" si="1"/>
        <v>72820-Vin Bio-Vins rouges</v>
      </c>
      <c r="F265" s="25">
        <v>1.0</v>
      </c>
      <c r="G265" s="25">
        <v>101.0</v>
      </c>
      <c r="H265" s="25">
        <v>93.0</v>
      </c>
      <c r="I265" s="26">
        <f t="array" ref="I265">XLOOKUP($A265,product!A:A,product!E:E)</f>
        <v>2.69</v>
      </c>
      <c r="J265" s="25">
        <f t="shared" si="2"/>
        <v>250.17</v>
      </c>
      <c r="K265" s="27">
        <f t="shared" si="3"/>
        <v>1</v>
      </c>
      <c r="L265" s="25">
        <f t="shared" si="4"/>
        <v>1</v>
      </c>
    </row>
    <row r="266">
      <c r="A266" s="19">
        <v>81939.0</v>
      </c>
      <c r="B266" s="20" t="str">
        <f t="array" ref="B266">xlookup($A266,product!$A:$A,product!B:B)</f>
        <v>Boisson</v>
      </c>
      <c r="C266" s="20" t="str">
        <f t="array" ref="C266">xlookup($A266,product!$A:$A,product!C:C)</f>
        <v>Vin Bio</v>
      </c>
      <c r="D266" s="20" t="str">
        <f t="array" ref="D266">xlookup($A266,product!$A:$A,product!D:D)</f>
        <v>Vins rouges</v>
      </c>
      <c r="E266" s="4" t="str">
        <f t="shared" si="1"/>
        <v>81939-Vin Bio-Vins rouges</v>
      </c>
      <c r="F266" s="4">
        <v>0.0</v>
      </c>
      <c r="G266" s="4">
        <v>134.0</v>
      </c>
      <c r="H266" s="4">
        <v>33.0</v>
      </c>
      <c r="I266" s="21">
        <f t="array" ref="I266">XLOOKUP($A266,product!A:A,product!E:E)</f>
        <v>4.42</v>
      </c>
      <c r="J266" s="4">
        <f t="shared" si="2"/>
        <v>145.86</v>
      </c>
      <c r="K266" s="22">
        <f t="shared" si="3"/>
        <v>1</v>
      </c>
      <c r="L266" s="4">
        <f t="shared" si="4"/>
        <v>1</v>
      </c>
    </row>
    <row r="267">
      <c r="A267" s="23">
        <v>114382.0</v>
      </c>
      <c r="B267" s="24" t="str">
        <f t="array" ref="B267">xlookup($A267,product!$A:$A,product!B:B)</f>
        <v>Boisson</v>
      </c>
      <c r="C267" s="24" t="str">
        <f t="array" ref="C267">xlookup($A267,product!$A:$A,product!C:C)</f>
        <v>Vin Bio</v>
      </c>
      <c r="D267" s="24" t="str">
        <f t="array" ref="D267">xlookup($A267,product!$A:$A,product!D:D)</f>
        <v>Vins rouges</v>
      </c>
      <c r="E267" s="25" t="str">
        <f t="shared" si="1"/>
        <v>114382-Vin Bio-Vins rouges</v>
      </c>
      <c r="F267" s="25">
        <v>1.0</v>
      </c>
      <c r="G267" s="25">
        <v>287.0</v>
      </c>
      <c r="H267" s="25">
        <v>190.0</v>
      </c>
      <c r="I267" s="26">
        <f t="array" ref="I267">XLOOKUP($A267,product!A:A,product!E:E)</f>
        <v>8.85</v>
      </c>
      <c r="J267" s="25">
        <f t="shared" si="2"/>
        <v>1681.5</v>
      </c>
      <c r="K267" s="27">
        <f t="shared" si="3"/>
        <v>1</v>
      </c>
      <c r="L267" s="25">
        <f t="shared" si="4"/>
        <v>1</v>
      </c>
    </row>
    <row r="268">
      <c r="A268" s="19">
        <v>111427.0</v>
      </c>
      <c r="B268" s="20" t="str">
        <f t="array" ref="B268">xlookup($A268,product!$A:$A,product!B:B)</f>
        <v>Boisson</v>
      </c>
      <c r="C268" s="20" t="str">
        <f t="array" ref="C268">xlookup($A268,product!$A:$A,product!C:C)</f>
        <v>Vin Bio</v>
      </c>
      <c r="D268" s="20" t="str">
        <f t="array" ref="D268">xlookup($A268,product!$A:$A,product!D:D)</f>
        <v>Vins rouges</v>
      </c>
      <c r="E268" s="4" t="str">
        <f t="shared" si="1"/>
        <v>111427-Vin Bio-Vins rouges</v>
      </c>
      <c r="F268" s="4">
        <v>0.0</v>
      </c>
      <c r="G268" s="4">
        <v>679.0</v>
      </c>
      <c r="H268" s="4">
        <v>259.0</v>
      </c>
      <c r="I268" s="21">
        <f t="array" ref="I268">XLOOKUP($A268,product!A:A,product!E:E)</f>
        <v>5.77</v>
      </c>
      <c r="J268" s="4">
        <f t="shared" si="2"/>
        <v>1494.43</v>
      </c>
      <c r="K268" s="22">
        <f t="shared" si="3"/>
        <v>1</v>
      </c>
      <c r="L268" s="4">
        <f t="shared" si="4"/>
        <v>1</v>
      </c>
    </row>
    <row r="269">
      <c r="A269" s="23">
        <v>81937.0</v>
      </c>
      <c r="B269" s="24" t="str">
        <f t="array" ref="B269">xlookup($A269,product!$A:$A,product!B:B)</f>
        <v>Boisson</v>
      </c>
      <c r="C269" s="24" t="str">
        <f t="array" ref="C269">xlookup($A269,product!$A:$A,product!C:C)</f>
        <v>Vin Bio</v>
      </c>
      <c r="D269" s="24" t="str">
        <f t="array" ref="D269">xlookup($A269,product!$A:$A,product!D:D)</f>
        <v>Vins rouges</v>
      </c>
      <c r="E269" s="25" t="str">
        <f t="shared" si="1"/>
        <v>81937-Vin Bio-Vins rouges</v>
      </c>
      <c r="F269" s="25">
        <v>0.0</v>
      </c>
      <c r="G269" s="25">
        <v>962.0</v>
      </c>
      <c r="H269" s="25">
        <v>511.0</v>
      </c>
      <c r="I269" s="26">
        <f t="array" ref="I269">XLOOKUP($A269,product!A:A,product!E:E)</f>
        <v>9.11</v>
      </c>
      <c r="J269" s="25">
        <f t="shared" si="2"/>
        <v>4655.21</v>
      </c>
      <c r="K269" s="27">
        <f t="shared" si="3"/>
        <v>1</v>
      </c>
      <c r="L269" s="25">
        <f t="shared" si="4"/>
        <v>1</v>
      </c>
    </row>
    <row r="270">
      <c r="A270" s="19">
        <v>72824.0</v>
      </c>
      <c r="B270" s="20" t="str">
        <f t="array" ref="B270">xlookup($A270,product!$A:$A,product!B:B)</f>
        <v>Boisson</v>
      </c>
      <c r="C270" s="20" t="str">
        <f t="array" ref="C270">xlookup($A270,product!$A:$A,product!C:C)</f>
        <v>Vin Bio</v>
      </c>
      <c r="D270" s="20" t="str">
        <f t="array" ref="D270">xlookup($A270,product!$A:$A,product!D:D)</f>
        <v>Vins rouges</v>
      </c>
      <c r="E270" s="4" t="str">
        <f t="shared" si="1"/>
        <v>72824-Vin Bio-Vins rouges</v>
      </c>
      <c r="F270" s="4">
        <v>1.0</v>
      </c>
      <c r="G270" s="4">
        <v>116.0</v>
      </c>
      <c r="H270" s="4">
        <v>100.0</v>
      </c>
      <c r="I270" s="21">
        <f t="array" ref="I270">XLOOKUP($A270,product!A:A,product!E:E)</f>
        <v>5.81</v>
      </c>
      <c r="J270" s="4">
        <f t="shared" si="2"/>
        <v>581</v>
      </c>
      <c r="K270" s="22">
        <f t="shared" si="3"/>
        <v>1</v>
      </c>
      <c r="L270" s="4">
        <f t="shared" si="4"/>
        <v>1</v>
      </c>
    </row>
    <row r="271">
      <c r="A271" s="23">
        <v>112188.0</v>
      </c>
      <c r="B271" s="24" t="str">
        <f t="array" ref="B271">xlookup($A271,product!$A:$A,product!B:B)</f>
        <v>Boisson</v>
      </c>
      <c r="C271" s="24" t="str">
        <f t="array" ref="C271">xlookup($A271,product!$A:$A,product!C:C)</f>
        <v>Vin Bio</v>
      </c>
      <c r="D271" s="24" t="str">
        <f t="array" ref="D271">xlookup($A271,product!$A:$A,product!D:D)</f>
        <v>Vins rouges</v>
      </c>
      <c r="E271" s="25" t="str">
        <f t="shared" si="1"/>
        <v>112188-Vin Bio-Vins rouges</v>
      </c>
      <c r="F271" s="25">
        <v>0.0</v>
      </c>
      <c r="G271" s="25">
        <v>61.0</v>
      </c>
      <c r="H271" s="25">
        <v>40.0</v>
      </c>
      <c r="I271" s="26">
        <f t="array" ref="I271">XLOOKUP($A271,product!A:A,product!E:E)</f>
        <v>2.35</v>
      </c>
      <c r="J271" s="25">
        <f t="shared" si="2"/>
        <v>94</v>
      </c>
      <c r="K271" s="27">
        <f t="shared" si="3"/>
        <v>1</v>
      </c>
      <c r="L271" s="25">
        <f t="shared" si="4"/>
        <v>1</v>
      </c>
    </row>
    <row r="272">
      <c r="A272" s="19">
        <v>98186.0</v>
      </c>
      <c r="B272" s="20" t="str">
        <f t="array" ref="B272">xlookup($A272,product!$A:$A,product!B:B)</f>
        <v>Boisson</v>
      </c>
      <c r="C272" s="20" t="str">
        <f t="array" ref="C272">xlookup($A272,product!$A:$A,product!C:C)</f>
        <v>Vin Bio</v>
      </c>
      <c r="D272" s="20" t="str">
        <f t="array" ref="D272">xlookup($A272,product!$A:$A,product!D:D)</f>
        <v>Vins rouges</v>
      </c>
      <c r="E272" s="4" t="str">
        <f t="shared" si="1"/>
        <v>98186-Vin Bio-Vins rouges</v>
      </c>
      <c r="F272" s="4">
        <v>1.0</v>
      </c>
      <c r="G272" s="4">
        <v>849.0</v>
      </c>
      <c r="H272" s="4">
        <v>299.0</v>
      </c>
      <c r="I272" s="21">
        <f t="array" ref="I272">XLOOKUP($A272,product!A:A,product!E:E)</f>
        <v>4.7</v>
      </c>
      <c r="J272" s="4">
        <f t="shared" si="2"/>
        <v>1405.3</v>
      </c>
      <c r="K272" s="22">
        <f t="shared" si="3"/>
        <v>1</v>
      </c>
      <c r="L272" s="4">
        <f t="shared" si="4"/>
        <v>1</v>
      </c>
    </row>
    <row r="273">
      <c r="A273" s="23">
        <v>72822.0</v>
      </c>
      <c r="B273" s="24" t="str">
        <f t="array" ref="B273">xlookup($A273,product!$A:$A,product!B:B)</f>
        <v>Boisson</v>
      </c>
      <c r="C273" s="24" t="str">
        <f t="array" ref="C273">xlookup($A273,product!$A:$A,product!C:C)</f>
        <v>Vin Bio</v>
      </c>
      <c r="D273" s="24" t="str">
        <f t="array" ref="D273">xlookup($A273,product!$A:$A,product!D:D)</f>
        <v>Vins rouges</v>
      </c>
      <c r="E273" s="25" t="str">
        <f t="shared" si="1"/>
        <v>72822-Vin Bio-Vins rouges</v>
      </c>
      <c r="F273" s="25">
        <v>0.0</v>
      </c>
      <c r="G273" s="25">
        <v>823.0</v>
      </c>
      <c r="H273" s="25">
        <v>134.0</v>
      </c>
      <c r="I273" s="26">
        <f t="array" ref="I273">XLOOKUP($A273,product!A:A,product!E:E)</f>
        <v>1.92</v>
      </c>
      <c r="J273" s="25">
        <f t="shared" si="2"/>
        <v>257.28</v>
      </c>
      <c r="K273" s="27">
        <f t="shared" si="3"/>
        <v>1</v>
      </c>
      <c r="L273" s="25">
        <f t="shared" si="4"/>
        <v>1</v>
      </c>
    </row>
    <row r="274">
      <c r="A274" s="19">
        <v>122601.0</v>
      </c>
      <c r="B274" s="20" t="str">
        <f t="array" ref="B274">xlookup($A274,product!$A:$A,product!B:B)</f>
        <v>Beauté &amp; Hygiène</v>
      </c>
      <c r="C274" s="20" t="str">
        <f t="array" ref="C274">xlookup($A274,product!$A:$A,product!C:C)</f>
        <v>Hygiène</v>
      </c>
      <c r="D274" s="20" t="str">
        <f t="array" ref="D274">xlookup($A274,product!$A:$A,product!D:D)</f>
        <v>Mouchoirs</v>
      </c>
      <c r="E274" s="4" t="str">
        <f t="shared" si="1"/>
        <v>122601-Hygiène-Mouchoirs</v>
      </c>
      <c r="F274" s="4">
        <v>0.0</v>
      </c>
      <c r="G274" s="4">
        <v>364.0</v>
      </c>
      <c r="H274" s="4">
        <v>316.0</v>
      </c>
      <c r="I274" s="21">
        <f t="array" ref="I274">XLOOKUP($A274,product!A:A,product!E:E)</f>
        <v>9.26</v>
      </c>
      <c r="J274" s="4">
        <f t="shared" si="2"/>
        <v>2926.16</v>
      </c>
      <c r="K274" s="22">
        <f t="shared" si="3"/>
        <v>1</v>
      </c>
      <c r="L274" s="4">
        <f t="shared" si="4"/>
        <v>1</v>
      </c>
    </row>
    <row r="275">
      <c r="A275" s="23">
        <v>106779.0</v>
      </c>
      <c r="B275" s="24" t="str">
        <f t="array" ref="B275">xlookup($A275,product!$A:$A,product!B:B)</f>
        <v>Beauté &amp; Hygiène</v>
      </c>
      <c r="C275" s="24" t="str">
        <f t="array" ref="C275">xlookup($A275,product!$A:$A,product!C:C)</f>
        <v>Hygiène</v>
      </c>
      <c r="D275" s="24" t="str">
        <f t="array" ref="D275">xlookup($A275,product!$A:$A,product!D:D)</f>
        <v>Mouchoirs</v>
      </c>
      <c r="E275" s="25" t="str">
        <f t="shared" si="1"/>
        <v>106779-Hygiène-Mouchoirs</v>
      </c>
      <c r="F275" s="25">
        <v>1.0</v>
      </c>
      <c r="G275" s="25">
        <v>509.0</v>
      </c>
      <c r="H275" s="25">
        <v>256.0</v>
      </c>
      <c r="I275" s="26">
        <f t="array" ref="I275">XLOOKUP($A275,product!A:A,product!E:E)</f>
        <v>0.87</v>
      </c>
      <c r="J275" s="25">
        <f t="shared" si="2"/>
        <v>222.72</v>
      </c>
      <c r="K275" s="27">
        <f t="shared" si="3"/>
        <v>1</v>
      </c>
      <c r="L275" s="25">
        <f t="shared" si="4"/>
        <v>1</v>
      </c>
    </row>
    <row r="276">
      <c r="A276" s="19">
        <v>106785.0</v>
      </c>
      <c r="B276" s="20" t="str">
        <f t="array" ref="B276">xlookup($A276,product!$A:$A,product!B:B)</f>
        <v>Beauté &amp; Hygiène</v>
      </c>
      <c r="C276" s="20" t="str">
        <f t="array" ref="C276">xlookup($A276,product!$A:$A,product!C:C)</f>
        <v>Hygiène</v>
      </c>
      <c r="D276" s="20" t="str">
        <f t="array" ref="D276">xlookup($A276,product!$A:$A,product!D:D)</f>
        <v>Mouchoirs</v>
      </c>
      <c r="E276" s="4" t="str">
        <f t="shared" si="1"/>
        <v>106785-Hygiène-Mouchoirs</v>
      </c>
      <c r="F276" s="4">
        <v>0.0</v>
      </c>
      <c r="G276" s="4">
        <v>970.0</v>
      </c>
      <c r="H276" s="4">
        <v>901.0</v>
      </c>
      <c r="I276" s="21">
        <f t="array" ref="I276">XLOOKUP($A276,product!A:A,product!E:E)</f>
        <v>0.87</v>
      </c>
      <c r="J276" s="4">
        <f t="shared" si="2"/>
        <v>783.87</v>
      </c>
      <c r="K276" s="22">
        <f t="shared" si="3"/>
        <v>1</v>
      </c>
      <c r="L276" s="4">
        <f t="shared" si="4"/>
        <v>1</v>
      </c>
    </row>
    <row r="277">
      <c r="A277" s="23">
        <v>122602.0</v>
      </c>
      <c r="B277" s="24" t="str">
        <f t="array" ref="B277">xlookup($A277,product!$A:$A,product!B:B)</f>
        <v>Beauté &amp; Hygiène</v>
      </c>
      <c r="C277" s="24" t="str">
        <f t="array" ref="C277">xlookup($A277,product!$A:$A,product!C:C)</f>
        <v>Hygiène</v>
      </c>
      <c r="D277" s="24" t="str">
        <f t="array" ref="D277">xlookup($A277,product!$A:$A,product!D:D)</f>
        <v>Mouchoirs</v>
      </c>
      <c r="E277" s="25" t="str">
        <f t="shared" si="1"/>
        <v>122602-Hygiène-Mouchoirs</v>
      </c>
      <c r="F277" s="25">
        <v>0.0</v>
      </c>
      <c r="G277" s="25">
        <v>622.0</v>
      </c>
      <c r="H277" s="25">
        <v>427.0</v>
      </c>
      <c r="I277" s="26">
        <f t="array" ref="I277">XLOOKUP($A277,product!A:A,product!E:E)</f>
        <v>9.26</v>
      </c>
      <c r="J277" s="25">
        <f t="shared" si="2"/>
        <v>3954.02</v>
      </c>
      <c r="K277" s="27">
        <f t="shared" si="3"/>
        <v>1</v>
      </c>
      <c r="L277" s="25">
        <f t="shared" si="4"/>
        <v>1</v>
      </c>
    </row>
    <row r="278">
      <c r="A278" s="19">
        <v>45574.0</v>
      </c>
      <c r="B278" s="20" t="str">
        <f t="array" ref="B278">xlookup($A278,product!$A:$A,product!B:B)</f>
        <v>Beauté &amp; Hygiène</v>
      </c>
      <c r="C278" s="20" t="str">
        <f t="array" ref="C278">xlookup($A278,product!$A:$A,product!C:C)</f>
        <v>Hygiène</v>
      </c>
      <c r="D278" s="20" t="str">
        <f t="array" ref="D278">xlookup($A278,product!$A:$A,product!D:D)</f>
        <v>Mouchoirs</v>
      </c>
      <c r="E278" s="4" t="str">
        <f t="shared" si="1"/>
        <v>45574-Hygiène-Mouchoirs</v>
      </c>
      <c r="F278" s="4">
        <v>0.0</v>
      </c>
      <c r="G278" s="4">
        <v>295.0</v>
      </c>
      <c r="H278" s="4">
        <v>158.0</v>
      </c>
      <c r="I278" s="21">
        <f t="array" ref="I278">XLOOKUP($A278,product!A:A,product!E:E)</f>
        <v>0.94</v>
      </c>
      <c r="J278" s="4">
        <f t="shared" si="2"/>
        <v>148.52</v>
      </c>
      <c r="K278" s="22">
        <f t="shared" si="3"/>
        <v>1</v>
      </c>
      <c r="L278" s="4">
        <f t="shared" si="4"/>
        <v>1</v>
      </c>
    </row>
    <row r="279">
      <c r="A279" s="23">
        <v>80808.0</v>
      </c>
      <c r="B279" s="24" t="str">
        <f t="array" ref="B279">xlookup($A279,product!$A:$A,product!B:B)</f>
        <v>Beauté &amp; Hygiène</v>
      </c>
      <c r="C279" s="24" t="str">
        <f t="array" ref="C279">xlookup($A279,product!$A:$A,product!C:C)</f>
        <v>Hygiène</v>
      </c>
      <c r="D279" s="24" t="str">
        <f t="array" ref="D279">xlookup($A279,product!$A:$A,product!D:D)</f>
        <v>Mouchoirs</v>
      </c>
      <c r="E279" s="25" t="str">
        <f t="shared" si="1"/>
        <v>80808-Hygiène-Mouchoirs</v>
      </c>
      <c r="F279" s="25">
        <v>1.0</v>
      </c>
      <c r="G279" s="25">
        <v>52.0</v>
      </c>
      <c r="H279" s="25">
        <v>7.0</v>
      </c>
      <c r="I279" s="26">
        <f t="array" ref="I279">XLOOKUP($A279,product!A:A,product!E:E)</f>
        <v>1.39</v>
      </c>
      <c r="J279" s="25">
        <f t="shared" si="2"/>
        <v>9.73</v>
      </c>
      <c r="K279" s="27">
        <f t="shared" si="3"/>
        <v>1</v>
      </c>
      <c r="L279" s="25">
        <f t="shared" si="4"/>
        <v>1</v>
      </c>
    </row>
    <row r="280">
      <c r="A280" s="19">
        <v>80802.0</v>
      </c>
      <c r="B280" s="20" t="str">
        <f t="array" ref="B280">xlookup($A280,product!$A:$A,product!B:B)</f>
        <v>Beauté &amp; Hygiène</v>
      </c>
      <c r="C280" s="20" t="str">
        <f t="array" ref="C280">xlookup($A280,product!$A:$A,product!C:C)</f>
        <v>Hygiène</v>
      </c>
      <c r="D280" s="20" t="str">
        <f t="array" ref="D280">xlookup($A280,product!$A:$A,product!D:D)</f>
        <v>Mouchoirs</v>
      </c>
      <c r="E280" s="4" t="str">
        <f t="shared" si="1"/>
        <v>80802-Hygiène-Mouchoirs</v>
      </c>
      <c r="F280" s="4">
        <v>0.0</v>
      </c>
      <c r="G280" s="4">
        <v>286.0</v>
      </c>
      <c r="H280" s="4">
        <v>233.0</v>
      </c>
      <c r="I280" s="21">
        <f t="array" ref="I280">XLOOKUP($A280,product!A:A,product!E:E)</f>
        <v>0.96</v>
      </c>
      <c r="J280" s="4">
        <f t="shared" si="2"/>
        <v>223.68</v>
      </c>
      <c r="K280" s="22">
        <f t="shared" si="3"/>
        <v>1</v>
      </c>
      <c r="L280" s="4">
        <f t="shared" si="4"/>
        <v>1</v>
      </c>
    </row>
    <row r="281">
      <c r="A281" s="23">
        <v>110385.0</v>
      </c>
      <c r="B281" s="24" t="str">
        <f t="array" ref="B281">xlookup($A281,product!$A:$A,product!B:B)</f>
        <v>Beauté &amp; Hygiène</v>
      </c>
      <c r="C281" s="24" t="str">
        <f t="array" ref="C281">xlookup($A281,product!$A:$A,product!C:C)</f>
        <v>Hygiène</v>
      </c>
      <c r="D281" s="24" t="str">
        <f t="array" ref="D281">xlookup($A281,product!$A:$A,product!D:D)</f>
        <v>Gel intime</v>
      </c>
      <c r="E281" s="25" t="str">
        <f t="shared" si="1"/>
        <v>110385-Hygiène-Gel intime</v>
      </c>
      <c r="F281" s="25">
        <v>1.0</v>
      </c>
      <c r="G281" s="25">
        <v>558.0</v>
      </c>
      <c r="H281" s="25">
        <v>326.0</v>
      </c>
      <c r="I281" s="26">
        <f t="array" ref="I281">XLOOKUP($A281,product!A:A,product!E:E)</f>
        <v>1.7</v>
      </c>
      <c r="J281" s="25">
        <f t="shared" si="2"/>
        <v>554.2</v>
      </c>
      <c r="K281" s="27">
        <f t="shared" si="3"/>
        <v>1</v>
      </c>
      <c r="L281" s="25">
        <f t="shared" si="4"/>
        <v>1</v>
      </c>
    </row>
    <row r="282">
      <c r="A282" s="19">
        <v>80633.0</v>
      </c>
      <c r="B282" s="20" t="str">
        <f t="array" ref="B282">xlookup($A282,product!$A:$A,product!B:B)</f>
        <v>Beauté &amp; Hygiène</v>
      </c>
      <c r="C282" s="20" t="str">
        <f t="array" ref="C282">xlookup($A282,product!$A:$A,product!C:C)</f>
        <v>Hygiène</v>
      </c>
      <c r="D282" s="20" t="str">
        <f t="array" ref="D282">xlookup($A282,product!$A:$A,product!D:D)</f>
        <v>Gel intime</v>
      </c>
      <c r="E282" s="4" t="str">
        <f t="shared" si="1"/>
        <v>80633-Hygiène-Gel intime</v>
      </c>
      <c r="F282" s="4">
        <v>0.0</v>
      </c>
      <c r="G282" s="4">
        <v>705.0</v>
      </c>
      <c r="H282" s="4">
        <v>374.0</v>
      </c>
      <c r="I282" s="21">
        <f t="array" ref="I282">XLOOKUP($A282,product!A:A,product!E:E)</f>
        <v>1.17</v>
      </c>
      <c r="J282" s="4">
        <f t="shared" si="2"/>
        <v>437.58</v>
      </c>
      <c r="K282" s="22">
        <f t="shared" si="3"/>
        <v>1</v>
      </c>
      <c r="L282" s="4">
        <f t="shared" si="4"/>
        <v>1</v>
      </c>
    </row>
    <row r="283">
      <c r="A283" s="23">
        <v>120700.0</v>
      </c>
      <c r="B283" s="24" t="str">
        <f t="array" ref="B283">xlookup($A283,product!$A:$A,product!B:B)</f>
        <v>Beauté &amp; Hygiène</v>
      </c>
      <c r="C283" s="24" t="str">
        <f t="array" ref="C283">xlookup($A283,product!$A:$A,product!C:C)</f>
        <v>Hygiène</v>
      </c>
      <c r="D283" s="24" t="str">
        <f t="array" ref="D283">xlookup($A283,product!$A:$A,product!D:D)</f>
        <v>Gel intime</v>
      </c>
      <c r="E283" s="25" t="str">
        <f t="shared" si="1"/>
        <v>120700-Hygiène-Gel intime</v>
      </c>
      <c r="F283" s="25">
        <v>1.0</v>
      </c>
      <c r="G283" s="25">
        <v>648.0</v>
      </c>
      <c r="H283" s="25">
        <v>349.0</v>
      </c>
      <c r="I283" s="26">
        <f t="array" ref="I283">XLOOKUP($A283,product!A:A,product!E:E)</f>
        <v>5.17</v>
      </c>
      <c r="J283" s="25">
        <f t="shared" si="2"/>
        <v>1804.33</v>
      </c>
      <c r="K283" s="27">
        <f t="shared" si="3"/>
        <v>1</v>
      </c>
      <c r="L283" s="25">
        <f t="shared" si="4"/>
        <v>1</v>
      </c>
    </row>
    <row r="284">
      <c r="A284" s="19">
        <v>112853.0</v>
      </c>
      <c r="B284" s="20" t="str">
        <f t="array" ref="B284">xlookup($A284,product!$A:$A,product!B:B)</f>
        <v>Beauté &amp; Hygiène</v>
      </c>
      <c r="C284" s="20" t="str">
        <f t="array" ref="C284">xlookup($A284,product!$A:$A,product!C:C)</f>
        <v>Hygiène</v>
      </c>
      <c r="D284" s="20" t="str">
        <f t="array" ref="D284">xlookup($A284,product!$A:$A,product!D:D)</f>
        <v>Gel intime</v>
      </c>
      <c r="E284" s="4" t="str">
        <f t="shared" si="1"/>
        <v>112853-Hygiène-Gel intime</v>
      </c>
      <c r="F284" s="4">
        <v>1.0</v>
      </c>
      <c r="G284" s="4">
        <v>282.0</v>
      </c>
      <c r="H284" s="4">
        <v>254.0</v>
      </c>
      <c r="I284" s="21">
        <f t="array" ref="I284">XLOOKUP($A284,product!A:A,product!E:E)</f>
        <v>4.79</v>
      </c>
      <c r="J284" s="4">
        <f t="shared" si="2"/>
        <v>1216.66</v>
      </c>
      <c r="K284" s="22">
        <f t="shared" si="3"/>
        <v>1</v>
      </c>
      <c r="L284" s="4">
        <f t="shared" si="4"/>
        <v>1</v>
      </c>
    </row>
    <row r="285">
      <c r="A285" s="23">
        <v>120699.0</v>
      </c>
      <c r="B285" s="24" t="str">
        <f t="array" ref="B285">xlookup($A285,product!$A:$A,product!B:B)</f>
        <v>Beauté &amp; Hygiène</v>
      </c>
      <c r="C285" s="24" t="str">
        <f t="array" ref="C285">xlookup($A285,product!$A:$A,product!C:C)</f>
        <v>Hygiène</v>
      </c>
      <c r="D285" s="24" t="str">
        <f t="array" ref="D285">xlookup($A285,product!$A:$A,product!D:D)</f>
        <v>Gel intime</v>
      </c>
      <c r="E285" s="25" t="str">
        <f t="shared" si="1"/>
        <v>120699-Hygiène-Gel intime</v>
      </c>
      <c r="F285" s="25">
        <v>0.0</v>
      </c>
      <c r="G285" s="25">
        <v>232.0</v>
      </c>
      <c r="H285" s="25">
        <v>222.0</v>
      </c>
      <c r="I285" s="26">
        <f t="array" ref="I285">XLOOKUP($A285,product!A:A,product!E:E)</f>
        <v>5.95</v>
      </c>
      <c r="J285" s="25">
        <f t="shared" si="2"/>
        <v>1320.9</v>
      </c>
      <c r="K285" s="27">
        <f t="shared" si="3"/>
        <v>1</v>
      </c>
      <c r="L285" s="25">
        <f t="shared" si="4"/>
        <v>1</v>
      </c>
    </row>
    <row r="286">
      <c r="A286" s="19">
        <v>20195.0</v>
      </c>
      <c r="B286" s="20" t="str">
        <f t="array" ref="B286">xlookup($A286,product!$A:$A,product!B:B)</f>
        <v>Beauté &amp; Hygiène</v>
      </c>
      <c r="C286" s="20" t="str">
        <f t="array" ref="C286">xlookup($A286,product!$A:$A,product!C:C)</f>
        <v>Hygiène</v>
      </c>
      <c r="D286" s="20" t="str">
        <f t="array" ref="D286">xlookup($A286,product!$A:$A,product!D:D)</f>
        <v>Gel intime</v>
      </c>
      <c r="E286" s="4" t="str">
        <f t="shared" si="1"/>
        <v>20195-Hygiène-Gel intime</v>
      </c>
      <c r="F286" s="4">
        <v>1.0</v>
      </c>
      <c r="G286" s="4">
        <v>440.0</v>
      </c>
      <c r="H286" s="4">
        <v>366.0</v>
      </c>
      <c r="I286" s="21">
        <f t="array" ref="I286">XLOOKUP($A286,product!A:A,product!E:E)</f>
        <v>6.78</v>
      </c>
      <c r="J286" s="4">
        <f t="shared" si="2"/>
        <v>2481.48</v>
      </c>
      <c r="K286" s="22">
        <f t="shared" si="3"/>
        <v>1</v>
      </c>
      <c r="L286" s="4">
        <f t="shared" si="4"/>
        <v>1</v>
      </c>
    </row>
    <row r="287">
      <c r="A287" s="23">
        <v>11422.0</v>
      </c>
      <c r="B287" s="24" t="str">
        <f t="array" ref="B287">xlookup($A287,product!$A:$A,product!B:B)</f>
        <v>Beauté &amp; Hygiène</v>
      </c>
      <c r="C287" s="24" t="str">
        <f t="array" ref="C287">xlookup($A287,product!$A:$A,product!C:C)</f>
        <v>Hygiène</v>
      </c>
      <c r="D287" s="24" t="str">
        <f t="array" ref="D287">xlookup($A287,product!$A:$A,product!D:D)</f>
        <v>Gel intime</v>
      </c>
      <c r="E287" s="25" t="str">
        <f t="shared" si="1"/>
        <v>11422-Hygiène-Gel intime</v>
      </c>
      <c r="F287" s="25">
        <v>1.0</v>
      </c>
      <c r="G287" s="25">
        <v>826.0</v>
      </c>
      <c r="H287" s="25">
        <v>58.0</v>
      </c>
      <c r="I287" s="26">
        <f t="array" ref="I287">XLOOKUP($A287,product!A:A,product!E:E)</f>
        <v>3.4</v>
      </c>
      <c r="J287" s="25">
        <f t="shared" si="2"/>
        <v>197.2</v>
      </c>
      <c r="K287" s="27">
        <f t="shared" si="3"/>
        <v>1</v>
      </c>
      <c r="L287" s="25">
        <f t="shared" si="4"/>
        <v>1</v>
      </c>
    </row>
    <row r="288">
      <c r="A288" s="19">
        <v>4492.0</v>
      </c>
      <c r="B288" s="20" t="str">
        <f t="array" ref="B288">xlookup($A288,product!$A:$A,product!B:B)</f>
        <v>Beauté &amp; Hygiène</v>
      </c>
      <c r="C288" s="20" t="str">
        <f t="array" ref="C288">xlookup($A288,product!$A:$A,product!C:C)</f>
        <v>Hygiène</v>
      </c>
      <c r="D288" s="20" t="str">
        <f t="array" ref="D288">xlookup($A288,product!$A:$A,product!D:D)</f>
        <v>Gel intime</v>
      </c>
      <c r="E288" s="4" t="str">
        <f t="shared" si="1"/>
        <v>4492-Hygiène-Gel intime</v>
      </c>
      <c r="F288" s="4">
        <v>0.0</v>
      </c>
      <c r="G288" s="4">
        <v>804.0</v>
      </c>
      <c r="H288" s="4">
        <v>563.0</v>
      </c>
      <c r="I288" s="21">
        <f t="array" ref="I288">XLOOKUP($A288,product!A:A,product!E:E)</f>
        <v>5.32</v>
      </c>
      <c r="J288" s="4">
        <f t="shared" si="2"/>
        <v>2995.16</v>
      </c>
      <c r="K288" s="22">
        <f t="shared" si="3"/>
        <v>1</v>
      </c>
      <c r="L288" s="4">
        <f t="shared" si="4"/>
        <v>1</v>
      </c>
    </row>
    <row r="289">
      <c r="A289" s="23">
        <v>4560.0</v>
      </c>
      <c r="B289" s="24" t="str">
        <f t="array" ref="B289">xlookup($A289,product!$A:$A,product!B:B)</f>
        <v>Beauté &amp; Hygiène</v>
      </c>
      <c r="C289" s="24" t="str">
        <f t="array" ref="C289">xlookup($A289,product!$A:$A,product!C:C)</f>
        <v>Hygiène</v>
      </c>
      <c r="D289" s="24" t="str">
        <f t="array" ref="D289">xlookup($A289,product!$A:$A,product!D:D)</f>
        <v>Gel intime</v>
      </c>
      <c r="E289" s="25" t="str">
        <f t="shared" si="1"/>
        <v>4560-Hygiène-Gel intime</v>
      </c>
      <c r="F289" s="25">
        <v>0.0</v>
      </c>
      <c r="G289" s="25">
        <v>535.0</v>
      </c>
      <c r="H289" s="25">
        <v>190.0</v>
      </c>
      <c r="I289" s="26">
        <f t="array" ref="I289">XLOOKUP($A289,product!A:A,product!E:E)</f>
        <v>5.26</v>
      </c>
      <c r="J289" s="25">
        <f t="shared" si="2"/>
        <v>999.4</v>
      </c>
      <c r="K289" s="27">
        <f t="shared" si="3"/>
        <v>1</v>
      </c>
      <c r="L289" s="25">
        <f t="shared" si="4"/>
        <v>1</v>
      </c>
    </row>
    <row r="290">
      <c r="A290" s="19">
        <v>110383.0</v>
      </c>
      <c r="B290" s="20" t="str">
        <f t="array" ref="B290">xlookup($A290,product!$A:$A,product!B:B)</f>
        <v>Beauté &amp; Hygiène</v>
      </c>
      <c r="C290" s="20" t="str">
        <f t="array" ref="C290">xlookup($A290,product!$A:$A,product!C:C)</f>
        <v>Hygiène</v>
      </c>
      <c r="D290" s="20" t="str">
        <f t="array" ref="D290">xlookup($A290,product!$A:$A,product!D:D)</f>
        <v>Gel intime</v>
      </c>
      <c r="E290" s="4" t="str">
        <f t="shared" si="1"/>
        <v>110383-Hygiène-Gel intime</v>
      </c>
      <c r="F290" s="4">
        <v>1.0</v>
      </c>
      <c r="G290" s="4">
        <v>500.0</v>
      </c>
      <c r="H290" s="4">
        <v>55.0</v>
      </c>
      <c r="I290" s="21">
        <f t="array" ref="I290">XLOOKUP($A290,product!A:A,product!E:E)</f>
        <v>2.32</v>
      </c>
      <c r="J290" s="4">
        <f t="shared" si="2"/>
        <v>127.6</v>
      </c>
      <c r="K290" s="22">
        <f t="shared" si="3"/>
        <v>1</v>
      </c>
      <c r="L290" s="4">
        <f t="shared" si="4"/>
        <v>1</v>
      </c>
    </row>
    <row r="291">
      <c r="A291" s="23">
        <v>112850.0</v>
      </c>
      <c r="B291" s="24" t="str">
        <f t="array" ref="B291">xlookup($A291,product!$A:$A,product!B:B)</f>
        <v>Beauté &amp; Hygiène</v>
      </c>
      <c r="C291" s="24" t="str">
        <f t="array" ref="C291">xlookup($A291,product!$A:$A,product!C:C)</f>
        <v>Hygiène</v>
      </c>
      <c r="D291" s="24" t="str">
        <f t="array" ref="D291">xlookup($A291,product!$A:$A,product!D:D)</f>
        <v>Gel intime</v>
      </c>
      <c r="E291" s="25" t="str">
        <f t="shared" si="1"/>
        <v>112850-Hygiène-Gel intime</v>
      </c>
      <c r="F291" s="25">
        <v>1.0</v>
      </c>
      <c r="G291" s="25">
        <v>390.0</v>
      </c>
      <c r="H291" s="25">
        <v>224.0</v>
      </c>
      <c r="I291" s="26">
        <f t="array" ref="I291">XLOOKUP($A291,product!A:A,product!E:E)</f>
        <v>3.58</v>
      </c>
      <c r="J291" s="25">
        <f t="shared" si="2"/>
        <v>801.92</v>
      </c>
      <c r="K291" s="27">
        <f t="shared" si="3"/>
        <v>1</v>
      </c>
      <c r="L291" s="25">
        <f t="shared" si="4"/>
        <v>1</v>
      </c>
    </row>
    <row r="292">
      <c r="A292" s="19">
        <v>120702.0</v>
      </c>
      <c r="B292" s="20" t="str">
        <f t="array" ref="B292">xlookup($A292,product!$A:$A,product!B:B)</f>
        <v>Beauté &amp; Hygiène</v>
      </c>
      <c r="C292" s="20" t="str">
        <f t="array" ref="C292">xlookup($A292,product!$A:$A,product!C:C)</f>
        <v>Hygiène</v>
      </c>
      <c r="D292" s="20" t="str">
        <f t="array" ref="D292">xlookup($A292,product!$A:$A,product!D:D)</f>
        <v>Gel intime</v>
      </c>
      <c r="E292" s="4" t="str">
        <f t="shared" si="1"/>
        <v>120702-Hygiène-Gel intime</v>
      </c>
      <c r="F292" s="4">
        <v>1.0</v>
      </c>
      <c r="G292" s="4">
        <v>169.0</v>
      </c>
      <c r="H292" s="4">
        <v>144.0</v>
      </c>
      <c r="I292" s="21">
        <f t="array" ref="I292">XLOOKUP($A292,product!A:A,product!E:E)</f>
        <v>3.42</v>
      </c>
      <c r="J292" s="4">
        <f t="shared" si="2"/>
        <v>492.48</v>
      </c>
      <c r="K292" s="22">
        <f t="shared" si="3"/>
        <v>1</v>
      </c>
      <c r="L292" s="4">
        <f t="shared" si="4"/>
        <v>1</v>
      </c>
    </row>
    <row r="293">
      <c r="A293" s="23">
        <v>91860.0</v>
      </c>
      <c r="B293" s="24" t="str">
        <f t="array" ref="B293">xlookup($A293,product!$A:$A,product!B:B)</f>
        <v>Beauté &amp; Hygiène</v>
      </c>
      <c r="C293" s="24" t="str">
        <f t="array" ref="C293">xlookup($A293,product!$A:$A,product!C:C)</f>
        <v>Hygiène</v>
      </c>
      <c r="D293" s="24" t="str">
        <f t="array" ref="D293">xlookup($A293,product!$A:$A,product!D:D)</f>
        <v>Gel intime</v>
      </c>
      <c r="E293" s="25" t="str">
        <f t="shared" si="1"/>
        <v>91860-Hygiène-Gel intime</v>
      </c>
      <c r="F293" s="25">
        <v>0.0</v>
      </c>
      <c r="G293" s="25">
        <v>873.0</v>
      </c>
      <c r="H293" s="25">
        <v>129.0</v>
      </c>
      <c r="I293" s="26">
        <f t="array" ref="I293">XLOOKUP($A293,product!A:A,product!E:E)</f>
        <v>6.06</v>
      </c>
      <c r="J293" s="25">
        <f t="shared" si="2"/>
        <v>781.74</v>
      </c>
      <c r="K293" s="27">
        <f t="shared" si="3"/>
        <v>1</v>
      </c>
      <c r="L293" s="25">
        <f t="shared" si="4"/>
        <v>1</v>
      </c>
    </row>
    <row r="294">
      <c r="A294" s="19">
        <v>9716.0</v>
      </c>
      <c r="B294" s="20" t="str">
        <f t="array" ref="B294">xlookup($A294,product!$A:$A,product!B:B)</f>
        <v>Beauté &amp; Hygiène</v>
      </c>
      <c r="C294" s="20" t="str">
        <f t="array" ref="C294">xlookup($A294,product!$A:$A,product!C:C)</f>
        <v>Hygiène</v>
      </c>
      <c r="D294" s="20" t="str">
        <f t="array" ref="D294">xlookup($A294,product!$A:$A,product!D:D)</f>
        <v>Gel intime</v>
      </c>
      <c r="E294" s="4" t="str">
        <f t="shared" si="1"/>
        <v>9716-Hygiène-Gel intime</v>
      </c>
      <c r="F294" s="4">
        <v>0.0</v>
      </c>
      <c r="G294" s="4">
        <v>263.0</v>
      </c>
      <c r="H294" s="4">
        <v>215.0</v>
      </c>
      <c r="I294" s="21">
        <f t="array" ref="I294">XLOOKUP($A294,product!A:A,product!E:E)</f>
        <v>4.9</v>
      </c>
      <c r="J294" s="4">
        <f t="shared" si="2"/>
        <v>1053.5</v>
      </c>
      <c r="K294" s="22">
        <f t="shared" si="3"/>
        <v>1</v>
      </c>
      <c r="L294" s="4">
        <f t="shared" si="4"/>
        <v>1</v>
      </c>
    </row>
    <row r="295">
      <c r="A295" s="23">
        <v>77135.0</v>
      </c>
      <c r="B295" s="24" t="str">
        <f t="array" ref="B295">xlookup($A295,product!$A:$A,product!B:B)</f>
        <v>Beauté &amp; Hygiène</v>
      </c>
      <c r="C295" s="24" t="str">
        <f t="array" ref="C295">xlookup($A295,product!$A:$A,product!C:C)</f>
        <v>Hygiène</v>
      </c>
      <c r="D295" s="24" t="str">
        <f t="array" ref="D295">xlookup($A295,product!$A:$A,product!D:D)</f>
        <v>Gel intime</v>
      </c>
      <c r="E295" s="25" t="str">
        <f t="shared" si="1"/>
        <v>77135-Hygiène-Gel intime</v>
      </c>
      <c r="F295" s="25">
        <v>0.0</v>
      </c>
      <c r="G295" s="25">
        <v>108.0</v>
      </c>
      <c r="H295" s="25">
        <v>100.0</v>
      </c>
      <c r="I295" s="26">
        <f t="array" ref="I295">XLOOKUP($A295,product!A:A,product!E:E)</f>
        <v>6.48</v>
      </c>
      <c r="J295" s="25">
        <f t="shared" si="2"/>
        <v>648</v>
      </c>
      <c r="K295" s="27">
        <f t="shared" si="3"/>
        <v>1</v>
      </c>
      <c r="L295" s="25">
        <f t="shared" si="4"/>
        <v>1</v>
      </c>
    </row>
    <row r="296">
      <c r="A296" s="19">
        <v>91857.0</v>
      </c>
      <c r="B296" s="20" t="str">
        <f t="array" ref="B296">xlookup($A296,product!$A:$A,product!B:B)</f>
        <v>Beauté &amp; Hygiène</v>
      </c>
      <c r="C296" s="20" t="str">
        <f t="array" ref="C296">xlookup($A296,product!$A:$A,product!C:C)</f>
        <v>Hygiène</v>
      </c>
      <c r="D296" s="20" t="str">
        <f t="array" ref="D296">xlookup($A296,product!$A:$A,product!D:D)</f>
        <v>Gel intime</v>
      </c>
      <c r="E296" s="4" t="str">
        <f t="shared" si="1"/>
        <v>91857-Hygiène-Gel intime</v>
      </c>
      <c r="F296" s="4">
        <v>1.0</v>
      </c>
      <c r="G296" s="4">
        <v>56.0</v>
      </c>
      <c r="H296" s="4">
        <v>18.0</v>
      </c>
      <c r="I296" s="21">
        <f t="array" ref="I296">XLOOKUP($A296,product!A:A,product!E:E)</f>
        <v>4.04</v>
      </c>
      <c r="J296" s="4">
        <f t="shared" si="2"/>
        <v>72.72</v>
      </c>
      <c r="K296" s="22">
        <f t="shared" si="3"/>
        <v>1</v>
      </c>
      <c r="L296" s="4">
        <f t="shared" si="4"/>
        <v>1</v>
      </c>
    </row>
    <row r="297">
      <c r="A297" s="23">
        <v>76429.0</v>
      </c>
      <c r="B297" s="24" t="str">
        <f t="array" ref="B297">xlookup($A297,product!$A:$A,product!B:B)</f>
        <v>Beauté &amp; Hygiène</v>
      </c>
      <c r="C297" s="24" t="str">
        <f t="array" ref="C297">xlookup($A297,product!$A:$A,product!C:C)</f>
        <v>Hygiène</v>
      </c>
      <c r="D297" s="24" t="str">
        <f t="array" ref="D297">xlookup($A297,product!$A:$A,product!D:D)</f>
        <v>Gel intime</v>
      </c>
      <c r="E297" s="25" t="str">
        <f t="shared" si="1"/>
        <v>76429-Hygiène-Gel intime</v>
      </c>
      <c r="F297" s="25">
        <v>0.0</v>
      </c>
      <c r="G297" s="25">
        <v>512.0</v>
      </c>
      <c r="H297" s="25">
        <v>377.0</v>
      </c>
      <c r="I297" s="26">
        <f t="array" ref="I297">XLOOKUP($A297,product!A:A,product!E:E)</f>
        <v>6.38</v>
      </c>
      <c r="J297" s="25">
        <f t="shared" si="2"/>
        <v>2405.26</v>
      </c>
      <c r="K297" s="27">
        <f t="shared" si="3"/>
        <v>1</v>
      </c>
      <c r="L297" s="25">
        <f t="shared" si="4"/>
        <v>1</v>
      </c>
    </row>
    <row r="298">
      <c r="A298" s="19">
        <v>122507.0</v>
      </c>
      <c r="B298" s="20" t="str">
        <f t="array" ref="B298">xlookup($A298,product!$A:$A,product!B:B)</f>
        <v>Beauté &amp; Hygiène</v>
      </c>
      <c r="C298" s="20" t="str">
        <f t="array" ref="C298">xlookup($A298,product!$A:$A,product!C:C)</f>
        <v>Hygiène</v>
      </c>
      <c r="D298" s="20" t="str">
        <f t="array" ref="D298">xlookup($A298,product!$A:$A,product!D:D)</f>
        <v>Déodorants</v>
      </c>
      <c r="E298" s="4" t="str">
        <f t="shared" si="1"/>
        <v>122507-Hygiène-Déodorants</v>
      </c>
      <c r="F298" s="4">
        <v>0.0</v>
      </c>
      <c r="G298" s="4">
        <v>771.0</v>
      </c>
      <c r="H298" s="4">
        <v>32.0</v>
      </c>
      <c r="I298" s="21">
        <f t="array" ref="I298">XLOOKUP($A298,product!A:A,product!E:E)</f>
        <v>5.44</v>
      </c>
      <c r="J298" s="4">
        <f t="shared" si="2"/>
        <v>174.08</v>
      </c>
      <c r="K298" s="22">
        <f t="shared" si="3"/>
        <v>1</v>
      </c>
      <c r="L298" s="4">
        <f t="shared" si="4"/>
        <v>1</v>
      </c>
    </row>
    <row r="299">
      <c r="A299" s="23">
        <v>77844.0</v>
      </c>
      <c r="B299" s="24" t="str">
        <f t="array" ref="B299">xlookup($A299,product!$A:$A,product!B:B)</f>
        <v>Beauté &amp; Hygiène</v>
      </c>
      <c r="C299" s="24" t="str">
        <f t="array" ref="C299">xlookup($A299,product!$A:$A,product!C:C)</f>
        <v>Hygiène</v>
      </c>
      <c r="D299" s="24" t="str">
        <f t="array" ref="D299">xlookup($A299,product!$A:$A,product!D:D)</f>
        <v>Déodorants</v>
      </c>
      <c r="E299" s="25" t="str">
        <f t="shared" si="1"/>
        <v>77844-Hygiène-Déodorants</v>
      </c>
      <c r="F299" s="25">
        <v>0.0</v>
      </c>
      <c r="G299" s="25">
        <v>338.0</v>
      </c>
      <c r="H299" s="25">
        <v>248.0</v>
      </c>
      <c r="I299" s="26">
        <f t="array" ref="I299">XLOOKUP($A299,product!A:A,product!E:E)</f>
        <v>4.42</v>
      </c>
      <c r="J299" s="25">
        <f t="shared" si="2"/>
        <v>1096.16</v>
      </c>
      <c r="K299" s="27">
        <f t="shared" si="3"/>
        <v>1</v>
      </c>
      <c r="L299" s="25">
        <f t="shared" si="4"/>
        <v>1</v>
      </c>
    </row>
    <row r="300">
      <c r="A300" s="19">
        <v>100041.0</v>
      </c>
      <c r="B300" s="20" t="str">
        <f t="array" ref="B300">xlookup($A300,product!$A:$A,product!B:B)</f>
        <v>Beauté &amp; Hygiène</v>
      </c>
      <c r="C300" s="20" t="str">
        <f t="array" ref="C300">xlookup($A300,product!$A:$A,product!C:C)</f>
        <v>Hygiène</v>
      </c>
      <c r="D300" s="20" t="str">
        <f t="array" ref="D300">xlookup($A300,product!$A:$A,product!D:D)</f>
        <v>Déodorants</v>
      </c>
      <c r="E300" s="4" t="str">
        <f t="shared" si="1"/>
        <v>100041-Hygiène-Déodorants</v>
      </c>
      <c r="F300" s="4">
        <v>0.0</v>
      </c>
      <c r="G300" s="4">
        <v>791.0</v>
      </c>
      <c r="H300" s="4">
        <v>535.0</v>
      </c>
      <c r="I300" s="21">
        <f t="array" ref="I300">XLOOKUP($A300,product!A:A,product!E:E)</f>
        <v>7.7</v>
      </c>
      <c r="J300" s="4">
        <f t="shared" si="2"/>
        <v>4119.5</v>
      </c>
      <c r="K300" s="22">
        <f t="shared" si="3"/>
        <v>1</v>
      </c>
      <c r="L300" s="4">
        <f t="shared" si="4"/>
        <v>1</v>
      </c>
    </row>
    <row r="301">
      <c r="A301" s="23">
        <v>111591.0</v>
      </c>
      <c r="B301" s="24" t="str">
        <f t="array" ref="B301">xlookup($A301,product!$A:$A,product!B:B)</f>
        <v>Beauté &amp; Hygiène</v>
      </c>
      <c r="C301" s="24" t="str">
        <f t="array" ref="C301">xlookup($A301,product!$A:$A,product!C:C)</f>
        <v>Hygiène</v>
      </c>
      <c r="D301" s="24" t="str">
        <f t="array" ref="D301">xlookup($A301,product!$A:$A,product!D:D)</f>
        <v>Déodorants</v>
      </c>
      <c r="E301" s="25" t="str">
        <f t="shared" si="1"/>
        <v>111591-Hygiène-Déodorants</v>
      </c>
      <c r="F301" s="25">
        <v>0.0</v>
      </c>
      <c r="G301" s="25">
        <v>963.0</v>
      </c>
      <c r="H301" s="25">
        <v>236.0</v>
      </c>
      <c r="I301" s="26">
        <f t="array" ref="I301">XLOOKUP($A301,product!A:A,product!E:E)</f>
        <v>5.73</v>
      </c>
      <c r="J301" s="25">
        <f t="shared" si="2"/>
        <v>1352.28</v>
      </c>
      <c r="K301" s="27">
        <f t="shared" si="3"/>
        <v>1</v>
      </c>
      <c r="L301" s="25">
        <f t="shared" si="4"/>
        <v>1</v>
      </c>
    </row>
    <row r="302">
      <c r="A302" s="19">
        <v>128329.0</v>
      </c>
      <c r="B302" s="20" t="str">
        <f t="array" ref="B302">xlookup($A302,product!$A:$A,product!B:B)</f>
        <v>Beauté &amp; Hygiène</v>
      </c>
      <c r="C302" s="20" t="str">
        <f t="array" ref="C302">xlookup($A302,product!$A:$A,product!C:C)</f>
        <v>Hygiène</v>
      </c>
      <c r="D302" s="20" t="str">
        <f t="array" ref="D302">xlookup($A302,product!$A:$A,product!D:D)</f>
        <v>Déodorants</v>
      </c>
      <c r="E302" s="4" t="str">
        <f t="shared" si="1"/>
        <v>128329-Hygiène-Déodorants</v>
      </c>
      <c r="F302" s="4">
        <v>1.0</v>
      </c>
      <c r="G302" s="4">
        <v>139.0</v>
      </c>
      <c r="H302" s="4">
        <v>134.0</v>
      </c>
      <c r="I302" s="21">
        <f t="array" ref="I302">XLOOKUP($A302,product!A:A,product!E:E)</f>
        <v>3.09</v>
      </c>
      <c r="J302" s="4">
        <f t="shared" si="2"/>
        <v>414.06</v>
      </c>
      <c r="K302" s="22">
        <f t="shared" si="3"/>
        <v>1</v>
      </c>
      <c r="L302" s="4">
        <f t="shared" si="4"/>
        <v>1</v>
      </c>
    </row>
    <row r="303">
      <c r="A303" s="23">
        <v>147268.0</v>
      </c>
      <c r="B303" s="24" t="str">
        <f t="array" ref="B303">xlookup($A303,product!$A:$A,product!B:B)</f>
        <v>Beauté &amp; Hygiène</v>
      </c>
      <c r="C303" s="24" t="str">
        <f t="array" ref="C303">xlookup($A303,product!$A:$A,product!C:C)</f>
        <v>Hygiène</v>
      </c>
      <c r="D303" s="24" t="str">
        <f t="array" ref="D303">xlookup($A303,product!$A:$A,product!D:D)</f>
        <v>Déodorants</v>
      </c>
      <c r="E303" s="25" t="str">
        <f t="shared" si="1"/>
        <v>147268-Hygiène-Déodorants</v>
      </c>
      <c r="F303" s="25">
        <v>0.0</v>
      </c>
      <c r="G303" s="25">
        <v>576.0</v>
      </c>
      <c r="H303" s="25">
        <v>364.0</v>
      </c>
      <c r="I303" s="26">
        <f t="array" ref="I303">XLOOKUP($A303,product!A:A,product!E:E)</f>
        <v>2.88</v>
      </c>
      <c r="J303" s="25">
        <f t="shared" si="2"/>
        <v>1048.32</v>
      </c>
      <c r="K303" s="27">
        <f t="shared" si="3"/>
        <v>1</v>
      </c>
      <c r="L303" s="25">
        <f t="shared" si="4"/>
        <v>1</v>
      </c>
    </row>
    <row r="304">
      <c r="A304" s="19">
        <v>48511.0</v>
      </c>
      <c r="B304" s="20" t="str">
        <f t="array" ref="B304">xlookup($A304,product!$A:$A,product!B:B)</f>
        <v>Beauté &amp; Hygiène</v>
      </c>
      <c r="C304" s="20" t="str">
        <f t="array" ref="C304">xlookup($A304,product!$A:$A,product!C:C)</f>
        <v>Hygiène</v>
      </c>
      <c r="D304" s="20" t="str">
        <f t="array" ref="D304">xlookup($A304,product!$A:$A,product!D:D)</f>
        <v>Déodorants</v>
      </c>
      <c r="E304" s="4" t="str">
        <f t="shared" si="1"/>
        <v>48511-Hygiène-Déodorants</v>
      </c>
      <c r="F304" s="4">
        <v>1.0</v>
      </c>
      <c r="G304" s="4">
        <v>880.0</v>
      </c>
      <c r="H304" s="4">
        <v>328.0</v>
      </c>
      <c r="I304" s="21">
        <f t="array" ref="I304">XLOOKUP($A304,product!A:A,product!E:E)</f>
        <v>2.88</v>
      </c>
      <c r="J304" s="4">
        <f t="shared" si="2"/>
        <v>944.64</v>
      </c>
      <c r="K304" s="22">
        <f t="shared" si="3"/>
        <v>1</v>
      </c>
      <c r="L304" s="4">
        <f t="shared" si="4"/>
        <v>1</v>
      </c>
    </row>
    <row r="305">
      <c r="A305" s="23">
        <v>100040.0</v>
      </c>
      <c r="B305" s="24" t="str">
        <f t="array" ref="B305">xlookup($A305,product!$A:$A,product!B:B)</f>
        <v>Beauté &amp; Hygiène</v>
      </c>
      <c r="C305" s="24" t="str">
        <f t="array" ref="C305">xlookup($A305,product!$A:$A,product!C:C)</f>
        <v>Hygiène</v>
      </c>
      <c r="D305" s="24" t="str">
        <f t="array" ref="D305">xlookup($A305,product!$A:$A,product!D:D)</f>
        <v>Déodorants</v>
      </c>
      <c r="E305" s="25" t="str">
        <f t="shared" si="1"/>
        <v>100040-Hygiène-Déodorants</v>
      </c>
      <c r="F305" s="25">
        <v>0.0</v>
      </c>
      <c r="G305" s="25">
        <v>718.0</v>
      </c>
      <c r="H305" s="25">
        <v>164.0</v>
      </c>
      <c r="I305" s="26">
        <f t="array" ref="I305">XLOOKUP($A305,product!A:A,product!E:E)</f>
        <v>10.34</v>
      </c>
      <c r="J305" s="25">
        <f t="shared" si="2"/>
        <v>1695.76</v>
      </c>
      <c r="K305" s="27">
        <f t="shared" si="3"/>
        <v>1</v>
      </c>
      <c r="L305" s="25">
        <f t="shared" si="4"/>
        <v>1</v>
      </c>
    </row>
    <row r="306">
      <c r="A306" s="19">
        <v>79366.0</v>
      </c>
      <c r="B306" s="20" t="str">
        <f t="array" ref="B306">xlookup($A306,product!$A:$A,product!B:B)</f>
        <v>Beauté &amp; Hygiène</v>
      </c>
      <c r="C306" s="20" t="str">
        <f t="array" ref="C306">xlookup($A306,product!$A:$A,product!C:C)</f>
        <v>Hygiène</v>
      </c>
      <c r="D306" s="20" t="str">
        <f t="array" ref="D306">xlookup($A306,product!$A:$A,product!D:D)</f>
        <v>Déodorants</v>
      </c>
      <c r="E306" s="4" t="str">
        <f t="shared" si="1"/>
        <v>79366-Hygiène-Déodorants</v>
      </c>
      <c r="F306" s="4">
        <v>0.0</v>
      </c>
      <c r="G306" s="4">
        <v>679.0</v>
      </c>
      <c r="H306" s="4">
        <v>170.0</v>
      </c>
      <c r="I306" s="21">
        <f t="array" ref="I306">XLOOKUP($A306,product!A:A,product!E:E)</f>
        <v>2.89</v>
      </c>
      <c r="J306" s="4">
        <f t="shared" si="2"/>
        <v>491.3</v>
      </c>
      <c r="K306" s="22">
        <f t="shared" si="3"/>
        <v>1</v>
      </c>
      <c r="L306" s="4">
        <f t="shared" si="4"/>
        <v>1</v>
      </c>
    </row>
    <row r="307">
      <c r="A307" s="23">
        <v>160754.0</v>
      </c>
      <c r="B307" s="24" t="str">
        <f t="array" ref="B307">xlookup($A307,product!$A:$A,product!B:B)</f>
        <v>Beauté &amp; Hygiène</v>
      </c>
      <c r="C307" s="24" t="str">
        <f t="array" ref="C307">xlookup($A307,product!$A:$A,product!C:C)</f>
        <v>Hygiène</v>
      </c>
      <c r="D307" s="24" t="str">
        <f t="array" ref="D307">xlookup($A307,product!$A:$A,product!D:D)</f>
        <v>Déodorants</v>
      </c>
      <c r="E307" s="25" t="str">
        <f t="shared" si="1"/>
        <v>160754-Hygiène-Déodorants</v>
      </c>
      <c r="F307" s="25">
        <v>1.0</v>
      </c>
      <c r="G307" s="25">
        <v>796.0</v>
      </c>
      <c r="H307" s="25">
        <v>743.0</v>
      </c>
      <c r="I307" s="26">
        <f t="array" ref="I307">XLOOKUP($A307,product!A:A,product!E:E)</f>
        <v>4.09</v>
      </c>
      <c r="J307" s="25">
        <f t="shared" si="2"/>
        <v>3038.87</v>
      </c>
      <c r="K307" s="27">
        <f t="shared" si="3"/>
        <v>1</v>
      </c>
      <c r="L307" s="25">
        <f t="shared" si="4"/>
        <v>1</v>
      </c>
    </row>
    <row r="308">
      <c r="A308" s="19">
        <v>100038.0</v>
      </c>
      <c r="B308" s="20" t="str">
        <f t="array" ref="B308">xlookup($A308,product!$A:$A,product!B:B)</f>
        <v>Beauté &amp; Hygiène</v>
      </c>
      <c r="C308" s="20" t="str">
        <f t="array" ref="C308">xlookup($A308,product!$A:$A,product!C:C)</f>
        <v>Hygiène</v>
      </c>
      <c r="D308" s="20" t="str">
        <f t="array" ref="D308">xlookup($A308,product!$A:$A,product!D:D)</f>
        <v>Déodorants</v>
      </c>
      <c r="E308" s="4" t="str">
        <f t="shared" si="1"/>
        <v>100038-Hygiène-Déodorants</v>
      </c>
      <c r="F308" s="4">
        <v>0.0</v>
      </c>
      <c r="G308" s="4">
        <v>758.0</v>
      </c>
      <c r="H308" s="4">
        <v>260.0</v>
      </c>
      <c r="I308" s="21">
        <f t="array" ref="I308">XLOOKUP($A308,product!A:A,product!E:E)</f>
        <v>8.71</v>
      </c>
      <c r="J308" s="4">
        <f t="shared" si="2"/>
        <v>2264.6</v>
      </c>
      <c r="K308" s="22">
        <f t="shared" si="3"/>
        <v>1</v>
      </c>
      <c r="L308" s="4">
        <f t="shared" si="4"/>
        <v>1</v>
      </c>
    </row>
    <row r="309">
      <c r="A309" s="23">
        <v>100035.0</v>
      </c>
      <c r="B309" s="24" t="str">
        <f t="array" ref="B309">xlookup($A309,product!$A:$A,product!B:B)</f>
        <v>Beauté &amp; Hygiène</v>
      </c>
      <c r="C309" s="24" t="str">
        <f t="array" ref="C309">xlookup($A309,product!$A:$A,product!C:C)</f>
        <v>Hygiène</v>
      </c>
      <c r="D309" s="24" t="str">
        <f t="array" ref="D309">xlookup($A309,product!$A:$A,product!D:D)</f>
        <v>Déodorants</v>
      </c>
      <c r="E309" s="25" t="str">
        <f t="shared" si="1"/>
        <v>100035-Hygiène-Déodorants</v>
      </c>
      <c r="F309" s="25">
        <v>1.0</v>
      </c>
      <c r="G309" s="25">
        <v>854.0</v>
      </c>
      <c r="H309" s="25">
        <v>437.0</v>
      </c>
      <c r="I309" s="26">
        <f t="array" ref="I309">XLOOKUP($A309,product!A:A,product!E:E)</f>
        <v>8.71</v>
      </c>
      <c r="J309" s="25">
        <f t="shared" si="2"/>
        <v>3806.27</v>
      </c>
      <c r="K309" s="27">
        <f t="shared" si="3"/>
        <v>1</v>
      </c>
      <c r="L309" s="25">
        <f t="shared" si="4"/>
        <v>1</v>
      </c>
    </row>
    <row r="310">
      <c r="A310" s="19">
        <v>29654.0</v>
      </c>
      <c r="B310" s="20" t="str">
        <f t="array" ref="B310">xlookup($A310,product!$A:$A,product!B:B)</f>
        <v>Beauté &amp; Hygiène</v>
      </c>
      <c r="C310" s="20" t="str">
        <f t="array" ref="C310">xlookup($A310,product!$A:$A,product!C:C)</f>
        <v>Hygiène</v>
      </c>
      <c r="D310" s="20" t="str">
        <f t="array" ref="D310">xlookup($A310,product!$A:$A,product!D:D)</f>
        <v>Déodorants</v>
      </c>
      <c r="E310" s="4" t="str">
        <f t="shared" si="1"/>
        <v>29654-Hygiène-Déodorants</v>
      </c>
      <c r="F310" s="4">
        <v>0.0</v>
      </c>
      <c r="G310" s="4">
        <v>51.0</v>
      </c>
      <c r="H310" s="4">
        <v>23.0</v>
      </c>
      <c r="I310" s="21">
        <f t="array" ref="I310">XLOOKUP($A310,product!A:A,product!E:E)</f>
        <v>1.17</v>
      </c>
      <c r="J310" s="4">
        <f t="shared" si="2"/>
        <v>26.91</v>
      </c>
      <c r="K310" s="22">
        <f t="shared" si="3"/>
        <v>1</v>
      </c>
      <c r="L310" s="4">
        <f t="shared" si="4"/>
        <v>1</v>
      </c>
    </row>
    <row r="311">
      <c r="A311" s="23">
        <v>107804.0</v>
      </c>
      <c r="B311" s="24" t="str">
        <f t="array" ref="B311">xlookup($A311,product!$A:$A,product!B:B)</f>
        <v>Beauté &amp; Hygiène</v>
      </c>
      <c r="C311" s="24" t="str">
        <f t="array" ref="C311">xlookup($A311,product!$A:$A,product!C:C)</f>
        <v>Hygiène</v>
      </c>
      <c r="D311" s="24" t="str">
        <f t="array" ref="D311">xlookup($A311,product!$A:$A,product!D:D)</f>
        <v>Déodorants</v>
      </c>
      <c r="E311" s="25" t="str">
        <f t="shared" si="1"/>
        <v>107804-Hygiène-Déodorants</v>
      </c>
      <c r="F311" s="25">
        <v>1.0</v>
      </c>
      <c r="G311" s="25">
        <v>354.0</v>
      </c>
      <c r="H311" s="25">
        <v>190.0</v>
      </c>
      <c r="I311" s="26">
        <f t="array" ref="I311">XLOOKUP($A311,product!A:A,product!E:E)</f>
        <v>4.33</v>
      </c>
      <c r="J311" s="25">
        <f t="shared" si="2"/>
        <v>822.7</v>
      </c>
      <c r="K311" s="27">
        <f t="shared" si="3"/>
        <v>1</v>
      </c>
      <c r="L311" s="25">
        <f t="shared" si="4"/>
        <v>1</v>
      </c>
    </row>
    <row r="312">
      <c r="A312" s="19">
        <v>75809.0</v>
      </c>
      <c r="B312" s="20" t="str">
        <f t="array" ref="B312">xlookup($A312,product!$A:$A,product!B:B)</f>
        <v>Beauté &amp; Hygiène</v>
      </c>
      <c r="C312" s="20" t="str">
        <f t="array" ref="C312">xlookup($A312,product!$A:$A,product!C:C)</f>
        <v>Hygiène</v>
      </c>
      <c r="D312" s="20" t="str">
        <f t="array" ref="D312">xlookup($A312,product!$A:$A,product!D:D)</f>
        <v>Déodorants</v>
      </c>
      <c r="E312" s="4" t="str">
        <f t="shared" si="1"/>
        <v>75809-Hygiène-Déodorants</v>
      </c>
      <c r="F312" s="4">
        <v>1.0</v>
      </c>
      <c r="G312" s="4">
        <v>974.0</v>
      </c>
      <c r="H312" s="4">
        <v>41.0</v>
      </c>
      <c r="I312" s="21">
        <f t="array" ref="I312">XLOOKUP($A312,product!A:A,product!E:E)</f>
        <v>3.6</v>
      </c>
      <c r="J312" s="4">
        <f t="shared" si="2"/>
        <v>147.6</v>
      </c>
      <c r="K312" s="22">
        <f t="shared" si="3"/>
        <v>1</v>
      </c>
      <c r="L312" s="4">
        <f t="shared" si="4"/>
        <v>1</v>
      </c>
    </row>
    <row r="313">
      <c r="A313" s="23">
        <v>128325.0</v>
      </c>
      <c r="B313" s="24" t="str">
        <f t="array" ref="B313">xlookup($A313,product!$A:$A,product!B:B)</f>
        <v>Beauté &amp; Hygiène</v>
      </c>
      <c r="C313" s="24" t="str">
        <f t="array" ref="C313">xlookup($A313,product!$A:$A,product!C:C)</f>
        <v>Hygiène</v>
      </c>
      <c r="D313" s="24" t="str">
        <f t="array" ref="D313">xlookup($A313,product!$A:$A,product!D:D)</f>
        <v>Déodorants</v>
      </c>
      <c r="E313" s="25" t="str">
        <f t="shared" si="1"/>
        <v>128325-Hygiène-Déodorants</v>
      </c>
      <c r="F313" s="25">
        <v>1.0</v>
      </c>
      <c r="G313" s="25">
        <v>868.0</v>
      </c>
      <c r="H313" s="25">
        <v>484.0</v>
      </c>
      <c r="I313" s="26">
        <f t="array" ref="I313">XLOOKUP($A313,product!A:A,product!E:E)</f>
        <v>3.09</v>
      </c>
      <c r="J313" s="25">
        <f t="shared" si="2"/>
        <v>1495.56</v>
      </c>
      <c r="K313" s="27">
        <f t="shared" si="3"/>
        <v>1</v>
      </c>
      <c r="L313" s="25">
        <f t="shared" si="4"/>
        <v>1</v>
      </c>
    </row>
    <row r="314">
      <c r="A314" s="19">
        <v>110072.0</v>
      </c>
      <c r="B314" s="20" t="str">
        <f t="array" ref="B314">xlookup($A314,product!$A:$A,product!B:B)</f>
        <v>Beauté &amp; Hygiène</v>
      </c>
      <c r="C314" s="20" t="str">
        <f t="array" ref="C314">xlookup($A314,product!$A:$A,product!C:C)</f>
        <v>Hygiène</v>
      </c>
      <c r="D314" s="20" t="str">
        <f t="array" ref="D314">xlookup($A314,product!$A:$A,product!D:D)</f>
        <v>Déodorants</v>
      </c>
      <c r="E314" s="4" t="str">
        <f t="shared" si="1"/>
        <v>110072-Hygiène-Déodorants</v>
      </c>
      <c r="F314" s="4">
        <v>1.0</v>
      </c>
      <c r="G314" s="4">
        <v>109.0</v>
      </c>
      <c r="H314" s="4">
        <v>75.0</v>
      </c>
      <c r="I314" s="21">
        <f t="array" ref="I314">XLOOKUP($A314,product!A:A,product!E:E)</f>
        <v>3.67</v>
      </c>
      <c r="J314" s="4">
        <f t="shared" si="2"/>
        <v>275.25</v>
      </c>
      <c r="K314" s="22">
        <f t="shared" si="3"/>
        <v>1</v>
      </c>
      <c r="L314" s="4">
        <f t="shared" si="4"/>
        <v>1</v>
      </c>
    </row>
    <row r="315">
      <c r="A315" s="23">
        <v>93814.0</v>
      </c>
      <c r="B315" s="24" t="str">
        <f t="array" ref="B315">xlookup($A315,product!$A:$A,product!B:B)</f>
        <v>Beauté &amp; Hygiène</v>
      </c>
      <c r="C315" s="24" t="str">
        <f t="array" ref="C315">xlookup($A315,product!$A:$A,product!C:C)</f>
        <v>Hygiène</v>
      </c>
      <c r="D315" s="24" t="str">
        <f t="array" ref="D315">xlookup($A315,product!$A:$A,product!D:D)</f>
        <v>Déodorants</v>
      </c>
      <c r="E315" s="25" t="str">
        <f t="shared" si="1"/>
        <v>93814-Hygiène-Déodorants</v>
      </c>
      <c r="F315" s="25">
        <v>1.0</v>
      </c>
      <c r="G315" s="25">
        <v>702.0</v>
      </c>
      <c r="H315" s="25">
        <v>487.0</v>
      </c>
      <c r="I315" s="26">
        <f t="array" ref="I315">XLOOKUP($A315,product!A:A,product!E:E)</f>
        <v>4.33</v>
      </c>
      <c r="J315" s="25">
        <f t="shared" si="2"/>
        <v>2108.71</v>
      </c>
      <c r="K315" s="27">
        <f t="shared" si="3"/>
        <v>1</v>
      </c>
      <c r="L315" s="25">
        <f t="shared" si="4"/>
        <v>1</v>
      </c>
    </row>
    <row r="316">
      <c r="A316" s="19">
        <v>128326.0</v>
      </c>
      <c r="B316" s="20" t="str">
        <f t="array" ref="B316">xlookup($A316,product!$A:$A,product!B:B)</f>
        <v>Beauté &amp; Hygiène</v>
      </c>
      <c r="C316" s="20" t="str">
        <f t="array" ref="C316">xlookup($A316,product!$A:$A,product!C:C)</f>
        <v>Hygiène</v>
      </c>
      <c r="D316" s="20" t="str">
        <f t="array" ref="D316">xlookup($A316,product!$A:$A,product!D:D)</f>
        <v>Déodorants</v>
      </c>
      <c r="E316" s="4" t="str">
        <f t="shared" si="1"/>
        <v>128326-Hygiène-Déodorants</v>
      </c>
      <c r="F316" s="4">
        <v>0.0</v>
      </c>
      <c r="G316" s="4">
        <v>925.0</v>
      </c>
      <c r="H316" s="4">
        <v>95.0</v>
      </c>
      <c r="I316" s="21">
        <f t="array" ref="I316">XLOOKUP($A316,product!A:A,product!E:E)</f>
        <v>3.09</v>
      </c>
      <c r="J316" s="4">
        <f t="shared" si="2"/>
        <v>293.55</v>
      </c>
      <c r="K316" s="22">
        <f t="shared" si="3"/>
        <v>1</v>
      </c>
      <c r="L316" s="4">
        <f t="shared" si="4"/>
        <v>1</v>
      </c>
    </row>
    <row r="317">
      <c r="A317" s="23">
        <v>48510.0</v>
      </c>
      <c r="B317" s="24" t="str">
        <f t="array" ref="B317">xlookup($A317,product!$A:$A,product!B:B)</f>
        <v>Beauté &amp; Hygiène</v>
      </c>
      <c r="C317" s="24" t="str">
        <f t="array" ref="C317">xlookup($A317,product!$A:$A,product!C:C)</f>
        <v>Hygiène</v>
      </c>
      <c r="D317" s="24" t="str">
        <f t="array" ref="D317">xlookup($A317,product!$A:$A,product!D:D)</f>
        <v>Déodorants</v>
      </c>
      <c r="E317" s="25" t="str">
        <f t="shared" si="1"/>
        <v>48510-Hygiène-Déodorants</v>
      </c>
      <c r="F317" s="25">
        <v>0.0</v>
      </c>
      <c r="G317" s="25">
        <v>936.0</v>
      </c>
      <c r="H317" s="25">
        <v>615.0</v>
      </c>
      <c r="I317" s="26">
        <f t="array" ref="I317">XLOOKUP($A317,product!A:A,product!E:E)</f>
        <v>2.88</v>
      </c>
      <c r="J317" s="25">
        <f t="shared" si="2"/>
        <v>1771.2</v>
      </c>
      <c r="K317" s="27">
        <f t="shared" si="3"/>
        <v>1</v>
      </c>
      <c r="L317" s="25">
        <f t="shared" si="4"/>
        <v>1</v>
      </c>
    </row>
    <row r="318">
      <c r="A318" s="19">
        <v>82463.0</v>
      </c>
      <c r="B318" s="20" t="str">
        <f t="array" ref="B318">xlookup($A318,product!$A:$A,product!B:B)</f>
        <v>Beauté &amp; Hygiène</v>
      </c>
      <c r="C318" s="20" t="str">
        <f t="array" ref="C318">xlookup($A318,product!$A:$A,product!C:C)</f>
        <v>Hygiène</v>
      </c>
      <c r="D318" s="20" t="str">
        <f t="array" ref="D318">xlookup($A318,product!$A:$A,product!D:D)</f>
        <v>Déodorants</v>
      </c>
      <c r="E318" s="4" t="str">
        <f t="shared" si="1"/>
        <v>82463-Hygiène-Déodorants</v>
      </c>
      <c r="F318" s="4">
        <v>1.0</v>
      </c>
      <c r="G318" s="4">
        <v>503.0</v>
      </c>
      <c r="H318" s="4">
        <v>200.0</v>
      </c>
      <c r="I318" s="21">
        <f t="array" ref="I318">XLOOKUP($A318,product!A:A,product!E:E)</f>
        <v>3.67</v>
      </c>
      <c r="J318" s="4">
        <f t="shared" si="2"/>
        <v>734</v>
      </c>
      <c r="K318" s="22">
        <f t="shared" si="3"/>
        <v>1</v>
      </c>
      <c r="L318" s="4">
        <f t="shared" si="4"/>
        <v>1</v>
      </c>
    </row>
    <row r="319">
      <c r="A319" s="23">
        <v>82462.0</v>
      </c>
      <c r="B319" s="24" t="str">
        <f t="array" ref="B319">xlookup($A319,product!$A:$A,product!B:B)</f>
        <v>Beauté &amp; Hygiène</v>
      </c>
      <c r="C319" s="24" t="str">
        <f t="array" ref="C319">xlookup($A319,product!$A:$A,product!C:C)</f>
        <v>Hygiène</v>
      </c>
      <c r="D319" s="24" t="str">
        <f t="array" ref="D319">xlookup($A319,product!$A:$A,product!D:D)</f>
        <v>Déodorants</v>
      </c>
      <c r="E319" s="25" t="str">
        <f t="shared" si="1"/>
        <v>82462-Hygiène-Déodorants</v>
      </c>
      <c r="F319" s="25">
        <v>1.0</v>
      </c>
      <c r="G319" s="25">
        <v>113.0</v>
      </c>
      <c r="H319" s="25">
        <v>53.0</v>
      </c>
      <c r="I319" s="26">
        <f t="array" ref="I319">XLOOKUP($A319,product!A:A,product!E:E)</f>
        <v>3.67</v>
      </c>
      <c r="J319" s="25">
        <f t="shared" si="2"/>
        <v>194.51</v>
      </c>
      <c r="K319" s="27">
        <f t="shared" si="3"/>
        <v>1</v>
      </c>
      <c r="L319" s="25">
        <f t="shared" si="4"/>
        <v>1</v>
      </c>
    </row>
    <row r="320">
      <c r="A320" s="19">
        <v>110635.0</v>
      </c>
      <c r="B320" s="20" t="str">
        <f t="array" ref="B320">xlookup($A320,product!$A:$A,product!B:B)</f>
        <v>Beauté &amp; Hygiène</v>
      </c>
      <c r="C320" s="20" t="str">
        <f t="array" ref="C320">xlookup($A320,product!$A:$A,product!C:C)</f>
        <v>Hygiène</v>
      </c>
      <c r="D320" s="20" t="str">
        <f t="array" ref="D320">xlookup($A320,product!$A:$A,product!D:D)</f>
        <v>Déodorants</v>
      </c>
      <c r="E320" s="4" t="str">
        <f t="shared" si="1"/>
        <v>110635-Hygiène-Déodorants</v>
      </c>
      <c r="F320" s="4">
        <v>0.0</v>
      </c>
      <c r="G320" s="4">
        <v>664.0</v>
      </c>
      <c r="H320" s="4">
        <v>55.0</v>
      </c>
      <c r="I320" s="21">
        <f t="array" ref="I320">XLOOKUP($A320,product!A:A,product!E:E)</f>
        <v>2.73</v>
      </c>
      <c r="J320" s="4">
        <f t="shared" si="2"/>
        <v>150.15</v>
      </c>
      <c r="K320" s="22">
        <f t="shared" si="3"/>
        <v>1</v>
      </c>
      <c r="L320" s="4">
        <f t="shared" si="4"/>
        <v>1</v>
      </c>
    </row>
    <row r="321">
      <c r="A321" s="23">
        <v>82464.0</v>
      </c>
      <c r="B321" s="24" t="str">
        <f t="array" ref="B321">xlookup($A321,product!$A:$A,product!B:B)</f>
        <v>Beauté &amp; Hygiène</v>
      </c>
      <c r="C321" s="24" t="str">
        <f t="array" ref="C321">xlookup($A321,product!$A:$A,product!C:C)</f>
        <v>Hygiène</v>
      </c>
      <c r="D321" s="24" t="str">
        <f t="array" ref="D321">xlookup($A321,product!$A:$A,product!D:D)</f>
        <v>Déodorants</v>
      </c>
      <c r="E321" s="25" t="str">
        <f t="shared" si="1"/>
        <v>82464-Hygiène-Déodorants</v>
      </c>
      <c r="F321" s="25">
        <v>1.0</v>
      </c>
      <c r="G321" s="25">
        <v>216.0</v>
      </c>
      <c r="H321" s="25">
        <v>164.0</v>
      </c>
      <c r="I321" s="26">
        <f t="array" ref="I321">XLOOKUP($A321,product!A:A,product!E:E)</f>
        <v>3.67</v>
      </c>
      <c r="J321" s="25">
        <f t="shared" si="2"/>
        <v>601.88</v>
      </c>
      <c r="K321" s="27">
        <f t="shared" si="3"/>
        <v>1</v>
      </c>
      <c r="L321" s="25">
        <f t="shared" si="4"/>
        <v>1</v>
      </c>
    </row>
    <row r="322">
      <c r="A322" s="19">
        <v>129133.0</v>
      </c>
      <c r="B322" s="20" t="str">
        <f t="array" ref="B322">xlookup($A322,product!$A:$A,product!B:B)</f>
        <v>Beauté &amp; Hygiène</v>
      </c>
      <c r="C322" s="20" t="str">
        <f t="array" ref="C322">xlookup($A322,product!$A:$A,product!C:C)</f>
        <v>Hygiène</v>
      </c>
      <c r="D322" s="20" t="str">
        <f t="array" ref="D322">xlookup($A322,product!$A:$A,product!D:D)</f>
        <v>Déodorants</v>
      </c>
      <c r="E322" s="4" t="str">
        <f t="shared" si="1"/>
        <v>129133-Hygiène-Déodorants</v>
      </c>
      <c r="F322" s="4">
        <v>0.0</v>
      </c>
      <c r="G322" s="4">
        <v>861.0</v>
      </c>
      <c r="H322" s="4">
        <v>241.0</v>
      </c>
      <c r="I322" s="21">
        <f t="array" ref="I322">XLOOKUP($A322,product!A:A,product!E:E)</f>
        <v>4.61</v>
      </c>
      <c r="J322" s="4">
        <f t="shared" si="2"/>
        <v>1111.01</v>
      </c>
      <c r="K322" s="22">
        <f t="shared" si="3"/>
        <v>1</v>
      </c>
      <c r="L322" s="4">
        <f t="shared" si="4"/>
        <v>1</v>
      </c>
    </row>
    <row r="323">
      <c r="A323" s="23">
        <v>195081.0</v>
      </c>
      <c r="B323" s="24" t="str">
        <f t="array" ref="B323">xlookup($A323,product!$A:$A,product!B:B)</f>
        <v>Beauté &amp; Hygiène</v>
      </c>
      <c r="C323" s="24" t="str">
        <f t="array" ref="C323">xlookup($A323,product!$A:$A,product!C:C)</f>
        <v>Hygiène</v>
      </c>
      <c r="D323" s="24" t="str">
        <f t="array" ref="D323">xlookup($A323,product!$A:$A,product!D:D)</f>
        <v>Déodorants</v>
      </c>
      <c r="E323" s="25" t="str">
        <f t="shared" si="1"/>
        <v>195081-Hygiène-Déodorants</v>
      </c>
      <c r="F323" s="25">
        <v>1.0</v>
      </c>
      <c r="G323" s="25">
        <v>512.0</v>
      </c>
      <c r="H323" s="25">
        <v>460.0</v>
      </c>
      <c r="I323" s="26">
        <f t="array" ref="I323">XLOOKUP($A323,product!A:A,product!E:E)</f>
        <v>4.61</v>
      </c>
      <c r="J323" s="25">
        <f t="shared" si="2"/>
        <v>2120.6</v>
      </c>
      <c r="K323" s="27">
        <f t="shared" si="3"/>
        <v>1</v>
      </c>
      <c r="L323" s="25">
        <f t="shared" si="4"/>
        <v>1</v>
      </c>
    </row>
    <row r="324">
      <c r="A324" s="19">
        <v>92669.0</v>
      </c>
      <c r="B324" s="20" t="str">
        <f t="array" ref="B324">xlookup($A324,product!$A:$A,product!B:B)</f>
        <v>Beauté &amp; Hygiène</v>
      </c>
      <c r="C324" s="20" t="str">
        <f t="array" ref="C324">xlookup($A324,product!$A:$A,product!C:C)</f>
        <v>Hygiène</v>
      </c>
      <c r="D324" s="20" t="str">
        <f t="array" ref="D324">xlookup($A324,product!$A:$A,product!D:D)</f>
        <v>Déodorants</v>
      </c>
      <c r="E324" s="4" t="str">
        <f t="shared" si="1"/>
        <v>92669-Hygiène-Déodorants</v>
      </c>
      <c r="F324" s="4">
        <v>0.0</v>
      </c>
      <c r="G324" s="4">
        <v>7.0</v>
      </c>
      <c r="H324" s="4">
        <v>7.0</v>
      </c>
      <c r="I324" s="21">
        <f t="array" ref="I324">XLOOKUP($A324,product!A:A,product!E:E)</f>
        <v>3.66</v>
      </c>
      <c r="J324" s="4">
        <f t="shared" si="2"/>
        <v>25.62</v>
      </c>
      <c r="K324" s="22">
        <f t="shared" si="3"/>
        <v>1</v>
      </c>
      <c r="L324" s="4">
        <f t="shared" si="4"/>
        <v>1</v>
      </c>
    </row>
    <row r="325">
      <c r="A325" s="23">
        <v>122089.0</v>
      </c>
      <c r="B325" s="24" t="str">
        <f t="array" ref="B325">xlookup($A325,product!$A:$A,product!B:B)</f>
        <v>Beauté &amp; Hygiène</v>
      </c>
      <c r="C325" s="24" t="str">
        <f t="array" ref="C325">xlookup($A325,product!$A:$A,product!C:C)</f>
        <v>Hygiène</v>
      </c>
      <c r="D325" s="24" t="str">
        <f t="array" ref="D325">xlookup($A325,product!$A:$A,product!D:D)</f>
        <v>Déodorants</v>
      </c>
      <c r="E325" s="25" t="str">
        <f t="shared" si="1"/>
        <v>122089-Hygiène-Déodorants</v>
      </c>
      <c r="F325" s="25">
        <v>1.0</v>
      </c>
      <c r="G325" s="25">
        <v>771.0</v>
      </c>
      <c r="H325" s="25">
        <v>6.0</v>
      </c>
      <c r="I325" s="26">
        <f t="array" ref="I325">XLOOKUP($A325,product!A:A,product!E:E)</f>
        <v>5.57</v>
      </c>
      <c r="J325" s="25">
        <f t="shared" si="2"/>
        <v>33.42</v>
      </c>
      <c r="K325" s="27">
        <f t="shared" si="3"/>
        <v>1</v>
      </c>
      <c r="L325" s="25">
        <f t="shared" si="4"/>
        <v>1</v>
      </c>
    </row>
    <row r="326">
      <c r="A326" s="19">
        <v>95927.0</v>
      </c>
      <c r="B326" s="20" t="str">
        <f t="array" ref="B326">xlookup($A326,product!$A:$A,product!B:B)</f>
        <v>Beauté &amp; Hygiène</v>
      </c>
      <c r="C326" s="20" t="str">
        <f t="array" ref="C326">xlookup($A326,product!$A:$A,product!C:C)</f>
        <v>Hygiène</v>
      </c>
      <c r="D326" s="20" t="str">
        <f t="array" ref="D326">xlookup($A326,product!$A:$A,product!D:D)</f>
        <v>Déodorants</v>
      </c>
      <c r="E326" s="4" t="str">
        <f t="shared" si="1"/>
        <v>95927-Hygiène-Déodorants</v>
      </c>
      <c r="F326" s="4">
        <v>1.0</v>
      </c>
      <c r="G326" s="4">
        <v>458.0</v>
      </c>
      <c r="H326" s="4">
        <v>156.0</v>
      </c>
      <c r="I326" s="21">
        <f t="array" ref="I326">XLOOKUP($A326,product!A:A,product!E:E)</f>
        <v>3.34</v>
      </c>
      <c r="J326" s="4">
        <f t="shared" si="2"/>
        <v>521.04</v>
      </c>
      <c r="K326" s="22">
        <f t="shared" si="3"/>
        <v>1</v>
      </c>
      <c r="L326" s="4">
        <f t="shared" si="4"/>
        <v>1</v>
      </c>
    </row>
    <row r="327">
      <c r="A327" s="23">
        <v>160756.0</v>
      </c>
      <c r="B327" s="24" t="str">
        <f t="array" ref="B327">xlookup($A327,product!$A:$A,product!B:B)</f>
        <v>Beauté &amp; Hygiène</v>
      </c>
      <c r="C327" s="24" t="str">
        <f t="array" ref="C327">xlookup($A327,product!$A:$A,product!C:C)</f>
        <v>Hygiène</v>
      </c>
      <c r="D327" s="24" t="str">
        <f t="array" ref="D327">xlookup($A327,product!$A:$A,product!D:D)</f>
        <v>Déodorants</v>
      </c>
      <c r="E327" s="25" t="str">
        <f t="shared" si="1"/>
        <v>160756-Hygiène-Déodorants</v>
      </c>
      <c r="F327" s="25">
        <v>1.0</v>
      </c>
      <c r="G327" s="25">
        <v>782.0</v>
      </c>
      <c r="H327" s="25">
        <v>316.0</v>
      </c>
      <c r="I327" s="26">
        <f t="array" ref="I327">XLOOKUP($A327,product!A:A,product!E:E)</f>
        <v>4.13</v>
      </c>
      <c r="J327" s="25">
        <f t="shared" si="2"/>
        <v>1305.08</v>
      </c>
      <c r="K327" s="27">
        <f t="shared" si="3"/>
        <v>1</v>
      </c>
      <c r="L327" s="25">
        <f t="shared" si="4"/>
        <v>1</v>
      </c>
    </row>
    <row r="328">
      <c r="A328" s="19">
        <v>147267.0</v>
      </c>
      <c r="B328" s="20" t="str">
        <f t="array" ref="B328">xlookup($A328,product!$A:$A,product!B:B)</f>
        <v>Beauté &amp; Hygiène</v>
      </c>
      <c r="C328" s="20" t="str">
        <f t="array" ref="C328">xlookup($A328,product!$A:$A,product!C:C)</f>
        <v>Hygiène</v>
      </c>
      <c r="D328" s="20" t="str">
        <f t="array" ref="D328">xlookup($A328,product!$A:$A,product!D:D)</f>
        <v>Déodorants</v>
      </c>
      <c r="E328" s="4" t="str">
        <f t="shared" si="1"/>
        <v>147267-Hygiène-Déodorants</v>
      </c>
      <c r="F328" s="4">
        <v>1.0</v>
      </c>
      <c r="G328" s="4">
        <v>575.0</v>
      </c>
      <c r="H328" s="4">
        <v>425.0</v>
      </c>
      <c r="I328" s="21">
        <f t="array" ref="I328">XLOOKUP($A328,product!A:A,product!E:E)</f>
        <v>2.88</v>
      </c>
      <c r="J328" s="4">
        <f t="shared" si="2"/>
        <v>1224</v>
      </c>
      <c r="K328" s="22">
        <f t="shared" si="3"/>
        <v>1</v>
      </c>
      <c r="L328" s="4">
        <f t="shared" si="4"/>
        <v>1</v>
      </c>
    </row>
    <row r="329">
      <c r="A329" s="23">
        <v>160747.0</v>
      </c>
      <c r="B329" s="24" t="str">
        <f t="array" ref="B329">xlookup($A329,product!$A:$A,product!B:B)</f>
        <v>Beauté &amp; Hygiène</v>
      </c>
      <c r="C329" s="24" t="str">
        <f t="array" ref="C329">xlookup($A329,product!$A:$A,product!C:C)</f>
        <v>Hygiène</v>
      </c>
      <c r="D329" s="24" t="str">
        <f t="array" ref="D329">xlookup($A329,product!$A:$A,product!D:D)</f>
        <v>Déodorants</v>
      </c>
      <c r="E329" s="25" t="str">
        <f t="shared" si="1"/>
        <v>160747-Hygiène-Déodorants</v>
      </c>
      <c r="F329" s="25">
        <v>0.0</v>
      </c>
      <c r="G329" s="25">
        <v>914.0</v>
      </c>
      <c r="H329" s="25">
        <v>888.0</v>
      </c>
      <c r="I329" s="26">
        <f t="array" ref="I329">XLOOKUP($A329,product!A:A,product!E:E)</f>
        <v>2.54</v>
      </c>
      <c r="J329" s="25">
        <f t="shared" si="2"/>
        <v>2255.52</v>
      </c>
      <c r="K329" s="27">
        <f t="shared" si="3"/>
        <v>1</v>
      </c>
      <c r="L329" s="25">
        <f t="shared" si="4"/>
        <v>1</v>
      </c>
    </row>
    <row r="330">
      <c r="A330" s="19">
        <v>79365.0</v>
      </c>
      <c r="B330" s="20" t="str">
        <f t="array" ref="B330">xlookup($A330,product!$A:$A,product!B:B)</f>
        <v>Beauté &amp; Hygiène</v>
      </c>
      <c r="C330" s="20" t="str">
        <f t="array" ref="C330">xlookup($A330,product!$A:$A,product!C:C)</f>
        <v>Hygiène</v>
      </c>
      <c r="D330" s="20" t="str">
        <f t="array" ref="D330">xlookup($A330,product!$A:$A,product!D:D)</f>
        <v>Déodorants</v>
      </c>
      <c r="E330" s="4" t="str">
        <f t="shared" si="1"/>
        <v>79365-Hygiène-Déodorants</v>
      </c>
      <c r="F330" s="4">
        <v>1.0</v>
      </c>
      <c r="G330" s="4">
        <v>159.0</v>
      </c>
      <c r="H330" s="4">
        <v>81.0</v>
      </c>
      <c r="I330" s="21">
        <f t="array" ref="I330">XLOOKUP($A330,product!A:A,product!E:E)</f>
        <v>2.89</v>
      </c>
      <c r="J330" s="4">
        <f t="shared" si="2"/>
        <v>234.09</v>
      </c>
      <c r="K330" s="22">
        <f t="shared" si="3"/>
        <v>1</v>
      </c>
      <c r="L330" s="4">
        <f t="shared" si="4"/>
        <v>1</v>
      </c>
    </row>
    <row r="331">
      <c r="A331" s="23">
        <v>110633.0</v>
      </c>
      <c r="B331" s="24" t="str">
        <f t="array" ref="B331">xlookup($A331,product!$A:$A,product!B:B)</f>
        <v>Beauté &amp; Hygiène</v>
      </c>
      <c r="C331" s="24" t="str">
        <f t="array" ref="C331">xlookup($A331,product!$A:$A,product!C:C)</f>
        <v>Hygiène</v>
      </c>
      <c r="D331" s="24" t="str">
        <f t="array" ref="D331">xlookup($A331,product!$A:$A,product!D:D)</f>
        <v>Déodorants</v>
      </c>
      <c r="E331" s="25" t="str">
        <f t="shared" si="1"/>
        <v>110633-Hygiène-Déodorants</v>
      </c>
      <c r="F331" s="25">
        <v>1.0</v>
      </c>
      <c r="G331" s="25">
        <v>313.0</v>
      </c>
      <c r="H331" s="25">
        <v>134.0</v>
      </c>
      <c r="I331" s="26">
        <f t="array" ref="I331">XLOOKUP($A331,product!A:A,product!E:E)</f>
        <v>2.73</v>
      </c>
      <c r="J331" s="25">
        <f t="shared" si="2"/>
        <v>365.82</v>
      </c>
      <c r="K331" s="27">
        <f t="shared" si="3"/>
        <v>1</v>
      </c>
      <c r="L331" s="25">
        <f t="shared" si="4"/>
        <v>1</v>
      </c>
    </row>
    <row r="332">
      <c r="A332" s="19">
        <v>160750.0</v>
      </c>
      <c r="B332" s="20" t="str">
        <f t="array" ref="B332">xlookup($A332,product!$A:$A,product!B:B)</f>
        <v>Beauté &amp; Hygiène</v>
      </c>
      <c r="C332" s="20" t="str">
        <f t="array" ref="C332">xlookup($A332,product!$A:$A,product!C:C)</f>
        <v>Hygiène</v>
      </c>
      <c r="D332" s="20" t="str">
        <f t="array" ref="D332">xlookup($A332,product!$A:$A,product!D:D)</f>
        <v>Déodorants</v>
      </c>
      <c r="E332" s="4" t="str">
        <f t="shared" si="1"/>
        <v>160750-Hygiène-Déodorants</v>
      </c>
      <c r="F332" s="4">
        <v>0.0</v>
      </c>
      <c r="G332" s="4">
        <v>573.0</v>
      </c>
      <c r="H332" s="4">
        <v>274.0</v>
      </c>
      <c r="I332" s="21">
        <f t="array" ref="I332">XLOOKUP($A332,product!A:A,product!E:E)</f>
        <v>4.09</v>
      </c>
      <c r="J332" s="4">
        <f t="shared" si="2"/>
        <v>1120.66</v>
      </c>
      <c r="K332" s="22">
        <f t="shared" si="3"/>
        <v>1</v>
      </c>
      <c r="L332" s="4">
        <f t="shared" si="4"/>
        <v>1</v>
      </c>
    </row>
    <row r="333">
      <c r="A333" s="23">
        <v>128332.0</v>
      </c>
      <c r="B333" s="24" t="str">
        <f t="array" ref="B333">xlookup($A333,product!$A:$A,product!B:B)</f>
        <v>Beauté &amp; Hygiène</v>
      </c>
      <c r="C333" s="24" t="str">
        <f t="array" ref="C333">xlookup($A333,product!$A:$A,product!C:C)</f>
        <v>Hygiène</v>
      </c>
      <c r="D333" s="24" t="str">
        <f t="array" ref="D333">xlookup($A333,product!$A:$A,product!D:D)</f>
        <v>Déodorants</v>
      </c>
      <c r="E333" s="25" t="str">
        <f t="shared" si="1"/>
        <v>128332-Hygiène-Déodorants</v>
      </c>
      <c r="F333" s="25">
        <v>1.0</v>
      </c>
      <c r="G333" s="25">
        <v>190.0</v>
      </c>
      <c r="H333" s="25">
        <v>172.0</v>
      </c>
      <c r="I333" s="26">
        <f t="array" ref="I333">XLOOKUP($A333,product!A:A,product!E:E)</f>
        <v>3.69</v>
      </c>
      <c r="J333" s="25">
        <f t="shared" si="2"/>
        <v>634.68</v>
      </c>
      <c r="K333" s="27">
        <f t="shared" si="3"/>
        <v>1</v>
      </c>
      <c r="L333" s="25">
        <f t="shared" si="4"/>
        <v>1</v>
      </c>
    </row>
    <row r="334">
      <c r="A334" s="19">
        <v>200354.0</v>
      </c>
      <c r="B334" s="20" t="str">
        <f t="array" ref="B334">xlookup($A334,product!$A:$A,product!B:B)</f>
        <v>Beauté &amp; Hygiène</v>
      </c>
      <c r="C334" s="20" t="str">
        <f t="array" ref="C334">xlookup($A334,product!$A:$A,product!C:C)</f>
        <v>Hygiène</v>
      </c>
      <c r="D334" s="20" t="str">
        <f t="array" ref="D334">xlookup($A334,product!$A:$A,product!D:D)</f>
        <v>Déodorants</v>
      </c>
      <c r="E334" s="4" t="str">
        <f t="shared" si="1"/>
        <v>200354-Hygiène-Déodorants</v>
      </c>
      <c r="F334" s="4">
        <v>1.0</v>
      </c>
      <c r="G334" s="4">
        <v>350.0</v>
      </c>
      <c r="H334" s="4">
        <v>313.0</v>
      </c>
      <c r="I334" s="21">
        <f t="array" ref="I334">XLOOKUP($A334,product!A:A,product!E:E)</f>
        <v>4.99</v>
      </c>
      <c r="J334" s="4">
        <f t="shared" si="2"/>
        <v>1561.87</v>
      </c>
      <c r="K334" s="22">
        <f t="shared" si="3"/>
        <v>1</v>
      </c>
      <c r="L334" s="4">
        <f t="shared" si="4"/>
        <v>1</v>
      </c>
    </row>
    <row r="335">
      <c r="A335" s="23">
        <v>100042.0</v>
      </c>
      <c r="B335" s="24" t="str">
        <f t="array" ref="B335">xlookup($A335,product!$A:$A,product!B:B)</f>
        <v>Beauté &amp; Hygiène</v>
      </c>
      <c r="C335" s="24" t="str">
        <f t="array" ref="C335">xlookup($A335,product!$A:$A,product!C:C)</f>
        <v>Hygiène</v>
      </c>
      <c r="D335" s="24" t="str">
        <f t="array" ref="D335">xlookup($A335,product!$A:$A,product!D:D)</f>
        <v>Déodorants</v>
      </c>
      <c r="E335" s="25" t="str">
        <f t="shared" si="1"/>
        <v>100042-Hygiène-Déodorants</v>
      </c>
      <c r="F335" s="25">
        <v>0.0</v>
      </c>
      <c r="G335" s="25">
        <v>435.0</v>
      </c>
      <c r="H335" s="25">
        <v>57.0</v>
      </c>
      <c r="I335" s="26">
        <f t="array" ref="I335">XLOOKUP($A335,product!A:A,product!E:E)</f>
        <v>7.7</v>
      </c>
      <c r="J335" s="25">
        <f t="shared" si="2"/>
        <v>438.9</v>
      </c>
      <c r="K335" s="27">
        <f t="shared" si="3"/>
        <v>1</v>
      </c>
      <c r="L335" s="25">
        <f t="shared" si="4"/>
        <v>1</v>
      </c>
    </row>
    <row r="336">
      <c r="A336" s="19">
        <v>122446.0</v>
      </c>
      <c r="B336" s="20" t="str">
        <f t="array" ref="B336">xlookup($A336,product!$A:$A,product!B:B)</f>
        <v>Beauté &amp; Hygiène</v>
      </c>
      <c r="C336" s="20" t="str">
        <f t="array" ref="C336">xlookup($A336,product!$A:$A,product!C:C)</f>
        <v>Hygiène</v>
      </c>
      <c r="D336" s="20" t="str">
        <f t="array" ref="D336">xlookup($A336,product!$A:$A,product!D:D)</f>
        <v>Déodorants</v>
      </c>
      <c r="E336" s="4" t="str">
        <f t="shared" si="1"/>
        <v>122446-Hygiène-Déodorants</v>
      </c>
      <c r="F336" s="4">
        <v>1.0</v>
      </c>
      <c r="G336" s="4">
        <v>521.0</v>
      </c>
      <c r="H336" s="4">
        <v>174.0</v>
      </c>
      <c r="I336" s="21">
        <f t="array" ref="I336">XLOOKUP($A336,product!A:A,product!E:E)</f>
        <v>3.89</v>
      </c>
      <c r="J336" s="4">
        <f t="shared" si="2"/>
        <v>676.86</v>
      </c>
      <c r="K336" s="22">
        <f t="shared" si="3"/>
        <v>1</v>
      </c>
      <c r="L336" s="4">
        <f t="shared" si="4"/>
        <v>1</v>
      </c>
    </row>
    <row r="337">
      <c r="A337" s="23">
        <v>160761.0</v>
      </c>
      <c r="B337" s="24" t="str">
        <f t="array" ref="B337">xlookup($A337,product!$A:$A,product!B:B)</f>
        <v>Beauté &amp; Hygiène</v>
      </c>
      <c r="C337" s="24" t="str">
        <f t="array" ref="C337">xlookup($A337,product!$A:$A,product!C:C)</f>
        <v>Hygiène</v>
      </c>
      <c r="D337" s="24" t="str">
        <f t="array" ref="D337">xlookup($A337,product!$A:$A,product!D:D)</f>
        <v>Déodorants</v>
      </c>
      <c r="E337" s="25" t="str">
        <f t="shared" si="1"/>
        <v>160761-Hygiène-Déodorants</v>
      </c>
      <c r="F337" s="25">
        <v>1.0</v>
      </c>
      <c r="G337" s="25">
        <v>497.0</v>
      </c>
      <c r="H337" s="25">
        <v>404.0</v>
      </c>
      <c r="I337" s="26">
        <f t="array" ref="I337">XLOOKUP($A337,product!A:A,product!E:E)</f>
        <v>4.13</v>
      </c>
      <c r="J337" s="25">
        <f t="shared" si="2"/>
        <v>1668.52</v>
      </c>
      <c r="K337" s="27">
        <f t="shared" si="3"/>
        <v>1</v>
      </c>
      <c r="L337" s="25">
        <f t="shared" si="4"/>
        <v>1</v>
      </c>
    </row>
    <row r="338">
      <c r="A338" s="19">
        <v>89503.0</v>
      </c>
      <c r="B338" s="20" t="str">
        <f t="array" ref="B338">xlookup($A338,product!$A:$A,product!B:B)</f>
        <v>Beauté &amp; Hygiène</v>
      </c>
      <c r="C338" s="20" t="str">
        <f t="array" ref="C338">xlookup($A338,product!$A:$A,product!C:C)</f>
        <v>Hygiène</v>
      </c>
      <c r="D338" s="20" t="str">
        <f t="array" ref="D338">xlookup($A338,product!$A:$A,product!D:D)</f>
        <v>Déodorants</v>
      </c>
      <c r="E338" s="4" t="str">
        <f t="shared" si="1"/>
        <v>89503-Hygiène-Déodorants</v>
      </c>
      <c r="F338" s="4">
        <v>0.0</v>
      </c>
      <c r="G338" s="4">
        <v>827.0</v>
      </c>
      <c r="H338" s="4">
        <v>666.0</v>
      </c>
      <c r="I338" s="21">
        <f t="array" ref="I338">XLOOKUP($A338,product!A:A,product!E:E)</f>
        <v>4.18</v>
      </c>
      <c r="J338" s="4">
        <f t="shared" si="2"/>
        <v>2783.88</v>
      </c>
      <c r="K338" s="22">
        <f t="shared" si="3"/>
        <v>1</v>
      </c>
      <c r="L338" s="4">
        <f t="shared" si="4"/>
        <v>1</v>
      </c>
    </row>
    <row r="339">
      <c r="A339" s="23">
        <v>160744.0</v>
      </c>
      <c r="B339" s="24" t="str">
        <f t="array" ref="B339">xlookup($A339,product!$A:$A,product!B:B)</f>
        <v>Beauté &amp; Hygiène</v>
      </c>
      <c r="C339" s="24" t="str">
        <f t="array" ref="C339">xlookup($A339,product!$A:$A,product!C:C)</f>
        <v>Hygiène</v>
      </c>
      <c r="D339" s="24" t="str">
        <f t="array" ref="D339">xlookup($A339,product!$A:$A,product!D:D)</f>
        <v>Déodorants</v>
      </c>
      <c r="E339" s="25" t="str">
        <f t="shared" si="1"/>
        <v>160744-Hygiène-Déodorants</v>
      </c>
      <c r="F339" s="25">
        <v>1.0</v>
      </c>
      <c r="G339" s="25">
        <v>386.0</v>
      </c>
      <c r="H339" s="25">
        <v>312.0</v>
      </c>
      <c r="I339" s="26">
        <f t="array" ref="I339">XLOOKUP($A339,product!A:A,product!E:E)</f>
        <v>2.54</v>
      </c>
      <c r="J339" s="25">
        <f t="shared" si="2"/>
        <v>792.48</v>
      </c>
      <c r="K339" s="27">
        <f t="shared" si="3"/>
        <v>1</v>
      </c>
      <c r="L339" s="25">
        <f t="shared" si="4"/>
        <v>1</v>
      </c>
    </row>
    <row r="340">
      <c r="A340" s="19">
        <v>111590.0</v>
      </c>
      <c r="B340" s="20" t="str">
        <f t="array" ref="B340">xlookup($A340,product!$A:$A,product!B:B)</f>
        <v>Beauté &amp; Hygiène</v>
      </c>
      <c r="C340" s="20" t="str">
        <f t="array" ref="C340">xlookup($A340,product!$A:$A,product!C:C)</f>
        <v>Hygiène</v>
      </c>
      <c r="D340" s="20" t="str">
        <f t="array" ref="D340">xlookup($A340,product!$A:$A,product!D:D)</f>
        <v>Déodorants</v>
      </c>
      <c r="E340" s="4" t="str">
        <f t="shared" si="1"/>
        <v>111590-Hygiène-Déodorants</v>
      </c>
      <c r="F340" s="4">
        <v>1.0</v>
      </c>
      <c r="G340" s="4">
        <v>31.0</v>
      </c>
      <c r="H340" s="4">
        <v>12.0</v>
      </c>
      <c r="I340" s="21">
        <f t="array" ref="I340">XLOOKUP($A340,product!A:A,product!E:E)</f>
        <v>5.73</v>
      </c>
      <c r="J340" s="4">
        <f t="shared" si="2"/>
        <v>68.76</v>
      </c>
      <c r="K340" s="22">
        <f t="shared" si="3"/>
        <v>1</v>
      </c>
      <c r="L340" s="4">
        <f t="shared" si="4"/>
        <v>1</v>
      </c>
    </row>
    <row r="341">
      <c r="A341" s="23">
        <v>110070.0</v>
      </c>
      <c r="B341" s="24" t="str">
        <f t="array" ref="B341">xlookup($A341,product!$A:$A,product!B:B)</f>
        <v>Beauté &amp; Hygiène</v>
      </c>
      <c r="C341" s="24" t="str">
        <f t="array" ref="C341">xlookup($A341,product!$A:$A,product!C:C)</f>
        <v>Hygiène</v>
      </c>
      <c r="D341" s="24" t="str">
        <f t="array" ref="D341">xlookup($A341,product!$A:$A,product!D:D)</f>
        <v>Déodorants</v>
      </c>
      <c r="E341" s="25" t="str">
        <f t="shared" si="1"/>
        <v>110070-Hygiène-Déodorants</v>
      </c>
      <c r="F341" s="25">
        <v>0.0</v>
      </c>
      <c r="G341" s="25">
        <v>533.0</v>
      </c>
      <c r="H341" s="25">
        <v>402.0</v>
      </c>
      <c r="I341" s="26">
        <f t="array" ref="I341">XLOOKUP($A341,product!A:A,product!E:E)</f>
        <v>3.67</v>
      </c>
      <c r="J341" s="25">
        <f t="shared" si="2"/>
        <v>1475.34</v>
      </c>
      <c r="K341" s="27">
        <f t="shared" si="3"/>
        <v>1</v>
      </c>
      <c r="L341" s="25">
        <f t="shared" si="4"/>
        <v>1</v>
      </c>
    </row>
    <row r="342">
      <c r="A342" s="19">
        <v>101005.0</v>
      </c>
      <c r="B342" s="20" t="str">
        <f t="array" ref="B342">xlookup($A342,product!$A:$A,product!B:B)</f>
        <v>Beauté &amp; Hygiène</v>
      </c>
      <c r="C342" s="20" t="str">
        <f t="array" ref="C342">xlookup($A342,product!$A:$A,product!C:C)</f>
        <v>Hygiène</v>
      </c>
      <c r="D342" s="20" t="str">
        <f t="array" ref="D342">xlookup($A342,product!$A:$A,product!D:D)</f>
        <v>Déodorants</v>
      </c>
      <c r="E342" s="4" t="str">
        <f t="shared" si="1"/>
        <v>101005-Hygiène-Déodorants</v>
      </c>
      <c r="F342" s="4">
        <v>1.0</v>
      </c>
      <c r="G342" s="4">
        <v>808.0</v>
      </c>
      <c r="H342" s="4">
        <v>330.0</v>
      </c>
      <c r="I342" s="21">
        <f t="array" ref="I342">XLOOKUP($A342,product!A:A,product!E:E)</f>
        <v>3.93</v>
      </c>
      <c r="J342" s="4">
        <f t="shared" si="2"/>
        <v>1296.9</v>
      </c>
      <c r="K342" s="22">
        <f t="shared" si="3"/>
        <v>1</v>
      </c>
      <c r="L342" s="4">
        <f t="shared" si="4"/>
        <v>1</v>
      </c>
    </row>
    <row r="343">
      <c r="A343" s="23">
        <v>160745.0</v>
      </c>
      <c r="B343" s="24" t="str">
        <f t="array" ref="B343">xlookup($A343,product!$A:$A,product!B:B)</f>
        <v>Beauté &amp; Hygiène</v>
      </c>
      <c r="C343" s="24" t="str">
        <f t="array" ref="C343">xlookup($A343,product!$A:$A,product!C:C)</f>
        <v>Hygiène</v>
      </c>
      <c r="D343" s="24" t="str">
        <f t="array" ref="D343">xlookup($A343,product!$A:$A,product!D:D)</f>
        <v>Déodorants</v>
      </c>
      <c r="E343" s="25" t="str">
        <f t="shared" si="1"/>
        <v>160745-Hygiène-Déodorants</v>
      </c>
      <c r="F343" s="25">
        <v>0.0</v>
      </c>
      <c r="G343" s="25">
        <v>151.0</v>
      </c>
      <c r="H343" s="25">
        <v>108.0</v>
      </c>
      <c r="I343" s="26">
        <f t="array" ref="I343">XLOOKUP($A343,product!A:A,product!E:E)</f>
        <v>2.54</v>
      </c>
      <c r="J343" s="25">
        <f t="shared" si="2"/>
        <v>274.32</v>
      </c>
      <c r="K343" s="27">
        <f t="shared" si="3"/>
        <v>1</v>
      </c>
      <c r="L343" s="25">
        <f t="shared" si="4"/>
        <v>1</v>
      </c>
    </row>
    <row r="344">
      <c r="A344" s="19">
        <v>23073.0</v>
      </c>
      <c r="B344" s="20" t="str">
        <f t="array" ref="B344">xlookup($A344,product!$A:$A,product!B:B)</f>
        <v>Beauté &amp; Hygiène</v>
      </c>
      <c r="C344" s="20" t="str">
        <f t="array" ref="C344">xlookup($A344,product!$A:$A,product!C:C)</f>
        <v>Hygiène</v>
      </c>
      <c r="D344" s="20" t="str">
        <f t="array" ref="D344">xlookup($A344,product!$A:$A,product!D:D)</f>
        <v>Déodorants</v>
      </c>
      <c r="E344" s="4" t="str">
        <f t="shared" si="1"/>
        <v>23073-Hygiène-Déodorants</v>
      </c>
      <c r="F344" s="4">
        <v>1.0</v>
      </c>
      <c r="G344" s="4">
        <v>349.0</v>
      </c>
      <c r="H344" s="4">
        <v>88.0</v>
      </c>
      <c r="I344" s="21">
        <f t="array" ref="I344">XLOOKUP($A344,product!A:A,product!E:E)</f>
        <v>4.75</v>
      </c>
      <c r="J344" s="4">
        <f t="shared" si="2"/>
        <v>418</v>
      </c>
      <c r="K344" s="22">
        <f t="shared" si="3"/>
        <v>1</v>
      </c>
      <c r="L344" s="4">
        <f t="shared" si="4"/>
        <v>1</v>
      </c>
    </row>
    <row r="345">
      <c r="A345" s="23">
        <v>70064.0</v>
      </c>
      <c r="B345" s="24" t="str">
        <f t="array" ref="B345">xlookup($A345,product!$A:$A,product!B:B)</f>
        <v>Beauté &amp; Hygiène</v>
      </c>
      <c r="C345" s="24" t="str">
        <f t="array" ref="C345">xlookup($A345,product!$A:$A,product!C:C)</f>
        <v>Hygiène</v>
      </c>
      <c r="D345" s="24" t="str">
        <f t="array" ref="D345">xlookup($A345,product!$A:$A,product!D:D)</f>
        <v>Déodorants</v>
      </c>
      <c r="E345" s="25" t="str">
        <f t="shared" si="1"/>
        <v>70064-Hygiène-Déodorants</v>
      </c>
      <c r="F345" s="25">
        <v>0.0</v>
      </c>
      <c r="G345" s="25">
        <v>769.0</v>
      </c>
      <c r="H345" s="25">
        <v>247.0</v>
      </c>
      <c r="I345" s="26">
        <f t="array" ref="I345">XLOOKUP($A345,product!A:A,product!E:E)</f>
        <v>3.56</v>
      </c>
      <c r="J345" s="25">
        <f t="shared" si="2"/>
        <v>879.32</v>
      </c>
      <c r="K345" s="27">
        <f t="shared" si="3"/>
        <v>1</v>
      </c>
      <c r="L345" s="25">
        <f t="shared" si="4"/>
        <v>1</v>
      </c>
    </row>
    <row r="346">
      <c r="A346" s="19">
        <v>129135.0</v>
      </c>
      <c r="B346" s="20" t="str">
        <f t="array" ref="B346">xlookup($A346,product!$A:$A,product!B:B)</f>
        <v>Beauté &amp; Hygiène</v>
      </c>
      <c r="C346" s="20" t="str">
        <f t="array" ref="C346">xlookup($A346,product!$A:$A,product!C:C)</f>
        <v>Hygiène</v>
      </c>
      <c r="D346" s="20" t="str">
        <f t="array" ref="D346">xlookup($A346,product!$A:$A,product!D:D)</f>
        <v>Déodorants</v>
      </c>
      <c r="E346" s="4" t="str">
        <f t="shared" si="1"/>
        <v>129135-Hygiène-Déodorants</v>
      </c>
      <c r="F346" s="4">
        <v>1.0</v>
      </c>
      <c r="G346" s="4">
        <v>941.0</v>
      </c>
      <c r="H346" s="4">
        <v>527.0</v>
      </c>
      <c r="I346" s="21">
        <f t="array" ref="I346">XLOOKUP($A346,product!A:A,product!E:E)</f>
        <v>4.61</v>
      </c>
      <c r="J346" s="4">
        <f t="shared" si="2"/>
        <v>2429.47</v>
      </c>
      <c r="K346" s="22">
        <f t="shared" si="3"/>
        <v>1</v>
      </c>
      <c r="L346" s="4">
        <f t="shared" si="4"/>
        <v>1</v>
      </c>
    </row>
    <row r="347">
      <c r="A347" s="23">
        <v>104440.0</v>
      </c>
      <c r="B347" s="24" t="str">
        <f t="array" ref="B347">xlookup($A347,product!$A:$A,product!B:B)</f>
        <v>Beauté &amp; Hygiène</v>
      </c>
      <c r="C347" s="24" t="str">
        <f t="array" ref="C347">xlookup($A347,product!$A:$A,product!C:C)</f>
        <v>Hygiène</v>
      </c>
      <c r="D347" s="24" t="str">
        <f t="array" ref="D347">xlookup($A347,product!$A:$A,product!D:D)</f>
        <v>Déodorants</v>
      </c>
      <c r="E347" s="25" t="str">
        <f t="shared" si="1"/>
        <v>104440-Hygiène-Déodorants</v>
      </c>
      <c r="F347" s="25">
        <v>0.0</v>
      </c>
      <c r="G347" s="25">
        <v>899.0</v>
      </c>
      <c r="H347" s="25">
        <v>222.0</v>
      </c>
      <c r="I347" s="26">
        <f t="array" ref="I347">XLOOKUP($A347,product!A:A,product!E:E)</f>
        <v>3.65</v>
      </c>
      <c r="J347" s="25">
        <f t="shared" si="2"/>
        <v>810.3</v>
      </c>
      <c r="K347" s="27">
        <f t="shared" si="3"/>
        <v>1</v>
      </c>
      <c r="L347" s="25">
        <f t="shared" si="4"/>
        <v>1</v>
      </c>
    </row>
    <row r="348">
      <c r="A348" s="19">
        <v>70063.0</v>
      </c>
      <c r="B348" s="20" t="str">
        <f t="array" ref="B348">xlookup($A348,product!$A:$A,product!B:B)</f>
        <v>Beauté &amp; Hygiène</v>
      </c>
      <c r="C348" s="20" t="str">
        <f t="array" ref="C348">xlookup($A348,product!$A:$A,product!C:C)</f>
        <v>Hygiène</v>
      </c>
      <c r="D348" s="20" t="str">
        <f t="array" ref="D348">xlookup($A348,product!$A:$A,product!D:D)</f>
        <v>Déodorants</v>
      </c>
      <c r="E348" s="4" t="str">
        <f t="shared" si="1"/>
        <v>70063-Hygiène-Déodorants</v>
      </c>
      <c r="F348" s="4">
        <v>1.0</v>
      </c>
      <c r="G348" s="4">
        <v>358.0</v>
      </c>
      <c r="H348" s="4">
        <v>255.0</v>
      </c>
      <c r="I348" s="21">
        <f t="array" ref="I348">XLOOKUP($A348,product!A:A,product!E:E)</f>
        <v>3.56</v>
      </c>
      <c r="J348" s="4">
        <f t="shared" si="2"/>
        <v>907.8</v>
      </c>
      <c r="K348" s="22">
        <f t="shared" si="3"/>
        <v>1</v>
      </c>
      <c r="L348" s="4">
        <f t="shared" si="4"/>
        <v>1</v>
      </c>
    </row>
    <row r="349">
      <c r="A349" s="23">
        <v>160748.0</v>
      </c>
      <c r="B349" s="24" t="str">
        <f t="array" ref="B349">xlookup($A349,product!$A:$A,product!B:B)</f>
        <v>Beauté &amp; Hygiène</v>
      </c>
      <c r="C349" s="24" t="str">
        <f t="array" ref="C349">xlookup($A349,product!$A:$A,product!C:C)</f>
        <v>Hygiène</v>
      </c>
      <c r="D349" s="24" t="str">
        <f t="array" ref="D349">xlookup($A349,product!$A:$A,product!D:D)</f>
        <v>Déodorants</v>
      </c>
      <c r="E349" s="25" t="str">
        <f t="shared" si="1"/>
        <v>160748-Hygiène-Déodorants</v>
      </c>
      <c r="F349" s="25">
        <v>1.0</v>
      </c>
      <c r="G349" s="25">
        <v>583.0</v>
      </c>
      <c r="H349" s="25">
        <v>300.0</v>
      </c>
      <c r="I349" s="26">
        <f t="array" ref="I349">XLOOKUP($A349,product!A:A,product!E:E)</f>
        <v>2.54</v>
      </c>
      <c r="J349" s="25">
        <f t="shared" si="2"/>
        <v>762</v>
      </c>
      <c r="K349" s="27">
        <f t="shared" si="3"/>
        <v>1</v>
      </c>
      <c r="L349" s="25">
        <f t="shared" si="4"/>
        <v>1</v>
      </c>
    </row>
    <row r="350">
      <c r="A350" s="19">
        <v>181242.0</v>
      </c>
      <c r="B350" s="20" t="str">
        <f t="array" ref="B350">xlookup($A350,product!$A:$A,product!B:B)</f>
        <v>Beauté &amp; Hygiène</v>
      </c>
      <c r="C350" s="20" t="str">
        <f t="array" ref="C350">xlookup($A350,product!$A:$A,product!C:C)</f>
        <v>Hygiène</v>
      </c>
      <c r="D350" s="20" t="str">
        <f t="array" ref="D350">xlookup($A350,product!$A:$A,product!D:D)</f>
        <v>Déodorants</v>
      </c>
      <c r="E350" s="4" t="str">
        <f t="shared" si="1"/>
        <v>181242-Hygiène-Déodorants</v>
      </c>
      <c r="F350" s="4">
        <v>0.0</v>
      </c>
      <c r="G350" s="4">
        <v>730.0</v>
      </c>
      <c r="H350" s="4">
        <v>723.0</v>
      </c>
      <c r="I350" s="21">
        <f t="array" ref="I350">XLOOKUP($A350,product!A:A,product!E:E)</f>
        <v>6.73</v>
      </c>
      <c r="J350" s="4">
        <f t="shared" si="2"/>
        <v>4865.79</v>
      </c>
      <c r="K350" s="22">
        <f t="shared" si="3"/>
        <v>1</v>
      </c>
      <c r="L350" s="4">
        <f t="shared" si="4"/>
        <v>1</v>
      </c>
    </row>
    <row r="351">
      <c r="A351" s="23">
        <v>200323.0</v>
      </c>
      <c r="B351" s="24" t="str">
        <f t="array" ref="B351">xlookup($A351,product!$A:$A,product!B:B)</f>
        <v>Beauté &amp; Hygiène</v>
      </c>
      <c r="C351" s="24" t="str">
        <f t="array" ref="C351">xlookup($A351,product!$A:$A,product!C:C)</f>
        <v>Hygiène</v>
      </c>
      <c r="D351" s="24" t="str">
        <f t="array" ref="D351">xlookup($A351,product!$A:$A,product!D:D)</f>
        <v>Déodorants</v>
      </c>
      <c r="E351" s="25" t="str">
        <f t="shared" si="1"/>
        <v>200323-Hygiène-Déodorants</v>
      </c>
      <c r="F351" s="25">
        <v>1.0</v>
      </c>
      <c r="G351" s="25">
        <v>450.0</v>
      </c>
      <c r="H351" s="25">
        <v>342.0</v>
      </c>
      <c r="I351" s="26">
        <f t="array" ref="I351">XLOOKUP($A351,product!A:A,product!E:E)</f>
        <v>6.65</v>
      </c>
      <c r="J351" s="25">
        <f t="shared" si="2"/>
        <v>2274.3</v>
      </c>
      <c r="K351" s="27">
        <f t="shared" si="3"/>
        <v>1</v>
      </c>
      <c r="L351" s="25">
        <f t="shared" si="4"/>
        <v>1</v>
      </c>
    </row>
    <row r="352">
      <c r="A352" s="19">
        <v>129132.0</v>
      </c>
      <c r="B352" s="20" t="str">
        <f t="array" ref="B352">xlookup($A352,product!$A:$A,product!B:B)</f>
        <v>Beauté &amp; Hygiène</v>
      </c>
      <c r="C352" s="20" t="str">
        <f t="array" ref="C352">xlookup($A352,product!$A:$A,product!C:C)</f>
        <v>Hygiène</v>
      </c>
      <c r="D352" s="20" t="str">
        <f t="array" ref="D352">xlookup($A352,product!$A:$A,product!D:D)</f>
        <v>Déodorants</v>
      </c>
      <c r="E352" s="4" t="str">
        <f t="shared" si="1"/>
        <v>129132-Hygiène-Déodorants</v>
      </c>
      <c r="F352" s="4">
        <v>1.0</v>
      </c>
      <c r="G352" s="4">
        <v>809.0</v>
      </c>
      <c r="H352" s="4">
        <v>264.0</v>
      </c>
      <c r="I352" s="21">
        <f t="array" ref="I352">XLOOKUP($A352,product!A:A,product!E:E)</f>
        <v>4.61</v>
      </c>
      <c r="J352" s="4">
        <f t="shared" si="2"/>
        <v>1217.04</v>
      </c>
      <c r="K352" s="22">
        <f t="shared" si="3"/>
        <v>1</v>
      </c>
      <c r="L352" s="4">
        <f t="shared" si="4"/>
        <v>1</v>
      </c>
    </row>
    <row r="353">
      <c r="A353" s="23">
        <v>160743.0</v>
      </c>
      <c r="B353" s="24" t="str">
        <f t="array" ref="B353">xlookup($A353,product!$A:$A,product!B:B)</f>
        <v>Beauté &amp; Hygiène</v>
      </c>
      <c r="C353" s="24" t="str">
        <f t="array" ref="C353">xlookup($A353,product!$A:$A,product!C:C)</f>
        <v>Hygiène</v>
      </c>
      <c r="D353" s="24" t="str">
        <f t="array" ref="D353">xlookup($A353,product!$A:$A,product!D:D)</f>
        <v>Déodorants</v>
      </c>
      <c r="E353" s="25" t="str">
        <f t="shared" si="1"/>
        <v>160743-Hygiène-Déodorants</v>
      </c>
      <c r="F353" s="25">
        <v>1.0</v>
      </c>
      <c r="G353" s="25">
        <v>760.0</v>
      </c>
      <c r="H353" s="25">
        <v>682.0</v>
      </c>
      <c r="I353" s="26">
        <f t="array" ref="I353">XLOOKUP($A353,product!A:A,product!E:E)</f>
        <v>2.54</v>
      </c>
      <c r="J353" s="25">
        <f t="shared" si="2"/>
        <v>1732.28</v>
      </c>
      <c r="K353" s="27">
        <f t="shared" si="3"/>
        <v>1</v>
      </c>
      <c r="L353" s="25">
        <f t="shared" si="4"/>
        <v>1</v>
      </c>
    </row>
    <row r="354">
      <c r="A354" s="19">
        <v>89610.0</v>
      </c>
      <c r="B354" s="20" t="str">
        <f t="array" ref="B354">xlookup($A354,product!$A:$A,product!B:B)</f>
        <v>Beauté &amp; Hygiène</v>
      </c>
      <c r="C354" s="20" t="str">
        <f t="array" ref="C354">xlookup($A354,product!$A:$A,product!C:C)</f>
        <v>Hygiène</v>
      </c>
      <c r="D354" s="20" t="str">
        <f t="array" ref="D354">xlookup($A354,product!$A:$A,product!D:D)</f>
        <v>Déodorants</v>
      </c>
      <c r="E354" s="4" t="str">
        <f t="shared" si="1"/>
        <v>89610-Hygiène-Déodorants</v>
      </c>
      <c r="F354" s="4">
        <v>0.0</v>
      </c>
      <c r="G354" s="4">
        <v>559.0</v>
      </c>
      <c r="H354" s="4">
        <v>283.0</v>
      </c>
      <c r="I354" s="21">
        <f t="array" ref="I354">XLOOKUP($A354,product!A:A,product!E:E)</f>
        <v>4.18</v>
      </c>
      <c r="J354" s="4">
        <f t="shared" si="2"/>
        <v>1182.94</v>
      </c>
      <c r="K354" s="22">
        <f t="shared" si="3"/>
        <v>1</v>
      </c>
      <c r="L354" s="4">
        <f t="shared" si="4"/>
        <v>1</v>
      </c>
    </row>
    <row r="355">
      <c r="A355" s="23">
        <v>112113.0</v>
      </c>
      <c r="B355" s="24" t="str">
        <f t="array" ref="B355">xlookup($A355,product!$A:$A,product!B:B)</f>
        <v>Beauté &amp; Hygiène</v>
      </c>
      <c r="C355" s="24" t="str">
        <f t="array" ref="C355">xlookup($A355,product!$A:$A,product!C:C)</f>
        <v>Hygiène</v>
      </c>
      <c r="D355" s="24" t="str">
        <f t="array" ref="D355">xlookup($A355,product!$A:$A,product!D:D)</f>
        <v>Déodorants</v>
      </c>
      <c r="E355" s="25" t="str">
        <f t="shared" si="1"/>
        <v>112113-Hygiène-Déodorants</v>
      </c>
      <c r="F355" s="25">
        <v>0.0</v>
      </c>
      <c r="G355" s="25">
        <v>593.0</v>
      </c>
      <c r="H355" s="25">
        <v>431.0</v>
      </c>
      <c r="I355" s="26">
        <f t="array" ref="I355">XLOOKUP($A355,product!A:A,product!E:E)</f>
        <v>3.57</v>
      </c>
      <c r="J355" s="25">
        <f t="shared" si="2"/>
        <v>1538.67</v>
      </c>
      <c r="K355" s="27">
        <f t="shared" si="3"/>
        <v>1</v>
      </c>
      <c r="L355" s="25">
        <f t="shared" si="4"/>
        <v>1</v>
      </c>
    </row>
    <row r="356">
      <c r="A356" s="19">
        <v>107801.0</v>
      </c>
      <c r="B356" s="20" t="str">
        <f t="array" ref="B356">xlookup($A356,product!$A:$A,product!B:B)</f>
        <v>Beauté &amp; Hygiène</v>
      </c>
      <c r="C356" s="20" t="str">
        <f t="array" ref="C356">xlookup($A356,product!$A:$A,product!C:C)</f>
        <v>Hygiène</v>
      </c>
      <c r="D356" s="20" t="str">
        <f t="array" ref="D356">xlookup($A356,product!$A:$A,product!D:D)</f>
        <v>Déodorants</v>
      </c>
      <c r="E356" s="4" t="str">
        <f t="shared" si="1"/>
        <v>107801-Hygiène-Déodorants</v>
      </c>
      <c r="F356" s="4">
        <v>0.0</v>
      </c>
      <c r="G356" s="4">
        <v>912.0</v>
      </c>
      <c r="H356" s="4">
        <v>605.0</v>
      </c>
      <c r="I356" s="21">
        <f t="array" ref="I356">XLOOKUP($A356,product!A:A,product!E:E)</f>
        <v>4.33</v>
      </c>
      <c r="J356" s="4">
        <f t="shared" si="2"/>
        <v>2619.65</v>
      </c>
      <c r="K356" s="22">
        <f t="shared" si="3"/>
        <v>1</v>
      </c>
      <c r="L356" s="4">
        <f t="shared" si="4"/>
        <v>1</v>
      </c>
    </row>
    <row r="357">
      <c r="A357" s="23">
        <v>70065.0</v>
      </c>
      <c r="B357" s="24" t="str">
        <f t="array" ref="B357">xlookup($A357,product!$A:$A,product!B:B)</f>
        <v>Beauté &amp; Hygiène</v>
      </c>
      <c r="C357" s="24" t="str">
        <f t="array" ref="C357">xlookup($A357,product!$A:$A,product!C:C)</f>
        <v>Hygiène</v>
      </c>
      <c r="D357" s="24" t="str">
        <f t="array" ref="D357">xlookup($A357,product!$A:$A,product!D:D)</f>
        <v>Déodorants</v>
      </c>
      <c r="E357" s="25" t="str">
        <f t="shared" si="1"/>
        <v>70065-Hygiène-Déodorants</v>
      </c>
      <c r="F357" s="25">
        <v>0.0</v>
      </c>
      <c r="G357" s="25">
        <v>612.0</v>
      </c>
      <c r="H357" s="25">
        <v>282.0</v>
      </c>
      <c r="I357" s="26">
        <f t="array" ref="I357">XLOOKUP($A357,product!A:A,product!E:E)</f>
        <v>3.56</v>
      </c>
      <c r="J357" s="25">
        <f t="shared" si="2"/>
        <v>1003.92</v>
      </c>
      <c r="K357" s="27">
        <f t="shared" si="3"/>
        <v>1</v>
      </c>
      <c r="L357" s="25">
        <f t="shared" si="4"/>
        <v>1</v>
      </c>
    </row>
    <row r="358">
      <c r="A358" s="19">
        <v>539.0</v>
      </c>
      <c r="B358" s="20" t="str">
        <f t="array" ref="B358">xlookup($A358,product!$A:$A,product!B:B)</f>
        <v>Beauté &amp; Hygiène</v>
      </c>
      <c r="C358" s="20" t="str">
        <f t="array" ref="C358">xlookup($A358,product!$A:$A,product!C:C)</f>
        <v>Hygiène</v>
      </c>
      <c r="D358" s="20" t="str">
        <f t="array" ref="D358">xlookup($A358,product!$A:$A,product!D:D)</f>
        <v>Cotons-tiges</v>
      </c>
      <c r="E358" s="4" t="str">
        <f t="shared" si="1"/>
        <v>539-Hygiène-Cotons-tiges</v>
      </c>
      <c r="F358" s="4">
        <v>0.0</v>
      </c>
      <c r="G358" s="4">
        <v>550.0</v>
      </c>
      <c r="H358" s="4">
        <v>154.0</v>
      </c>
      <c r="I358" s="21">
        <f t="array" ref="I358">XLOOKUP($A358,product!A:A,product!E:E)</f>
        <v>0.95</v>
      </c>
      <c r="J358" s="4">
        <f t="shared" si="2"/>
        <v>146.3</v>
      </c>
      <c r="K358" s="22">
        <f t="shared" si="3"/>
        <v>1</v>
      </c>
      <c r="L358" s="4">
        <f t="shared" si="4"/>
        <v>1</v>
      </c>
    </row>
    <row r="359">
      <c r="A359" s="23">
        <v>7857.0</v>
      </c>
      <c r="B359" s="24" t="str">
        <f t="array" ref="B359">xlookup($A359,product!$A:$A,product!B:B)</f>
        <v>Beauté &amp; Hygiène</v>
      </c>
      <c r="C359" s="24" t="str">
        <f t="array" ref="C359">xlookup($A359,product!$A:$A,product!C:C)</f>
        <v>Hygiène</v>
      </c>
      <c r="D359" s="24" t="str">
        <f t="array" ref="D359">xlookup($A359,product!$A:$A,product!D:D)</f>
        <v>Cotons-tiges</v>
      </c>
      <c r="E359" s="25" t="str">
        <f t="shared" si="1"/>
        <v>7857-Hygiène-Cotons-tiges</v>
      </c>
      <c r="F359" s="25">
        <v>1.0</v>
      </c>
      <c r="G359" s="25">
        <v>545.0</v>
      </c>
      <c r="H359" s="25">
        <v>444.0</v>
      </c>
      <c r="I359" s="26">
        <f t="array" ref="I359">XLOOKUP($A359,product!A:A,product!E:E)</f>
        <v>0.79</v>
      </c>
      <c r="J359" s="25">
        <f t="shared" si="2"/>
        <v>350.76</v>
      </c>
      <c r="K359" s="27">
        <f t="shared" si="3"/>
        <v>1</v>
      </c>
      <c r="L359" s="25">
        <f t="shared" si="4"/>
        <v>1</v>
      </c>
    </row>
    <row r="360">
      <c r="A360" s="19">
        <v>111726.0</v>
      </c>
      <c r="B360" s="20" t="str">
        <f t="array" ref="B360">xlookup($A360,product!$A:$A,product!B:B)</f>
        <v>Beauté &amp; Hygiène</v>
      </c>
      <c r="C360" s="20" t="str">
        <f t="array" ref="C360">xlookup($A360,product!$A:$A,product!C:C)</f>
        <v>Hygiène</v>
      </c>
      <c r="D360" s="20" t="str">
        <f t="array" ref="D360">xlookup($A360,product!$A:$A,product!D:D)</f>
        <v>Cotons-tiges</v>
      </c>
      <c r="E360" s="4" t="str">
        <f t="shared" si="1"/>
        <v>111726-Hygiène-Cotons-tiges</v>
      </c>
      <c r="F360" s="4">
        <v>0.0</v>
      </c>
      <c r="G360" s="4">
        <v>782.0</v>
      </c>
      <c r="H360" s="4">
        <v>0.0</v>
      </c>
      <c r="I360" s="21">
        <f t="array" ref="I360">XLOOKUP($A360,product!A:A,product!E:E)</f>
        <v>1.61</v>
      </c>
      <c r="J360" s="4">
        <f t="shared" si="2"/>
        <v>0</v>
      </c>
      <c r="K360" s="22">
        <f t="shared" si="3"/>
        <v>0</v>
      </c>
      <c r="L360" s="4">
        <f t="shared" si="4"/>
        <v>1</v>
      </c>
    </row>
    <row r="361">
      <c r="A361" s="23">
        <v>120992.0</v>
      </c>
      <c r="B361" s="24" t="str">
        <f t="array" ref="B361">xlookup($A361,product!$A:$A,product!B:B)</f>
        <v>Beauté &amp; Hygiène</v>
      </c>
      <c r="C361" s="24" t="str">
        <f t="array" ref="C361">xlookup($A361,product!$A:$A,product!C:C)</f>
        <v>Hygiène</v>
      </c>
      <c r="D361" s="24" t="str">
        <f t="array" ref="D361">xlookup($A361,product!$A:$A,product!D:D)</f>
        <v>Cotons-tiges</v>
      </c>
      <c r="E361" s="25" t="str">
        <f t="shared" si="1"/>
        <v>120992-Hygiène-Cotons-tiges</v>
      </c>
      <c r="F361" s="25">
        <v>1.0</v>
      </c>
      <c r="G361" s="25">
        <v>550.0</v>
      </c>
      <c r="H361" s="25">
        <v>415.0</v>
      </c>
      <c r="I361" s="26">
        <f t="array" ref="I361">XLOOKUP($A361,product!A:A,product!E:E)</f>
        <v>4.43</v>
      </c>
      <c r="J361" s="25">
        <f t="shared" si="2"/>
        <v>1838.45</v>
      </c>
      <c r="K361" s="27">
        <f t="shared" si="3"/>
        <v>1</v>
      </c>
      <c r="L361" s="25">
        <f t="shared" si="4"/>
        <v>1</v>
      </c>
    </row>
    <row r="362">
      <c r="A362" s="19">
        <v>158482.0</v>
      </c>
      <c r="B362" s="20" t="str">
        <f t="array" ref="B362">xlookup($A362,product!$A:$A,product!B:B)</f>
        <v>Beauté &amp; Hygiène</v>
      </c>
      <c r="C362" s="20" t="str">
        <f t="array" ref="C362">xlookup($A362,product!$A:$A,product!C:C)</f>
        <v>Hygiène</v>
      </c>
      <c r="D362" s="20" t="str">
        <f t="array" ref="D362">xlookup($A362,product!$A:$A,product!D:D)</f>
        <v>Cotons-tiges</v>
      </c>
      <c r="E362" s="4" t="str">
        <f t="shared" si="1"/>
        <v>158482-Hygiène-Cotons-tiges</v>
      </c>
      <c r="F362" s="4">
        <v>0.0</v>
      </c>
      <c r="G362" s="4">
        <v>597.0</v>
      </c>
      <c r="H362" s="4">
        <v>365.0</v>
      </c>
      <c r="I362" s="21">
        <f t="array" ref="I362">XLOOKUP($A362,product!A:A,product!E:E)</f>
        <v>2.18</v>
      </c>
      <c r="J362" s="4">
        <f t="shared" si="2"/>
        <v>795.7</v>
      </c>
      <c r="K362" s="22">
        <f t="shared" si="3"/>
        <v>1</v>
      </c>
      <c r="L362" s="4">
        <f t="shared" si="4"/>
        <v>1</v>
      </c>
    </row>
    <row r="363">
      <c r="A363" s="23">
        <v>193132.0</v>
      </c>
      <c r="B363" s="24" t="str">
        <f t="array" ref="B363">xlookup($A363,product!$A:$A,product!B:B)</f>
        <v>Beauté &amp; Hygiène</v>
      </c>
      <c r="C363" s="24" t="str">
        <f t="array" ref="C363">xlookup($A363,product!$A:$A,product!C:C)</f>
        <v>Hygiène</v>
      </c>
      <c r="D363" s="24" t="str">
        <f t="array" ref="D363">xlookup($A363,product!$A:$A,product!D:D)</f>
        <v>Cotons-tiges</v>
      </c>
      <c r="E363" s="25" t="str">
        <f t="shared" si="1"/>
        <v>193132-Hygiène-Cotons-tiges</v>
      </c>
      <c r="F363" s="25">
        <v>0.0</v>
      </c>
      <c r="G363" s="25">
        <v>468.0</v>
      </c>
      <c r="H363" s="25">
        <v>15.0</v>
      </c>
      <c r="I363" s="26">
        <f t="array" ref="I363">XLOOKUP($A363,product!A:A,product!E:E)</f>
        <v>2.61</v>
      </c>
      <c r="J363" s="25">
        <f t="shared" si="2"/>
        <v>39.15</v>
      </c>
      <c r="K363" s="27">
        <f t="shared" si="3"/>
        <v>1</v>
      </c>
      <c r="L363" s="25">
        <f t="shared" si="4"/>
        <v>1</v>
      </c>
    </row>
    <row r="364">
      <c r="A364" s="19">
        <v>118901.0</v>
      </c>
      <c r="B364" s="20" t="str">
        <f t="array" ref="B364">xlookup($A364,product!$A:$A,product!B:B)</f>
        <v>Beauté &amp; Hygiène</v>
      </c>
      <c r="C364" s="20" t="str">
        <f t="array" ref="C364">xlookup($A364,product!$A:$A,product!C:C)</f>
        <v>Hygiène</v>
      </c>
      <c r="D364" s="20" t="str">
        <f t="array" ref="D364">xlookup($A364,product!$A:$A,product!D:D)</f>
        <v>Cotons-tiges</v>
      </c>
      <c r="E364" s="4" t="str">
        <f t="shared" si="1"/>
        <v>118901-Hygiène-Cotons-tiges</v>
      </c>
      <c r="F364" s="4">
        <v>0.0</v>
      </c>
      <c r="G364" s="4">
        <v>699.0</v>
      </c>
      <c r="H364" s="4">
        <v>203.0</v>
      </c>
      <c r="I364" s="21">
        <f t="array" ref="I364">XLOOKUP($A364,product!A:A,product!E:E)</f>
        <v>1.64</v>
      </c>
      <c r="J364" s="4">
        <f t="shared" si="2"/>
        <v>332.92</v>
      </c>
      <c r="K364" s="22">
        <f t="shared" si="3"/>
        <v>1</v>
      </c>
      <c r="L364" s="4">
        <f t="shared" si="4"/>
        <v>1</v>
      </c>
    </row>
    <row r="365">
      <c r="A365" s="23">
        <v>193131.0</v>
      </c>
      <c r="B365" s="24" t="str">
        <f t="array" ref="B365">xlookup($A365,product!$A:$A,product!B:B)</f>
        <v>Beauté &amp; Hygiène</v>
      </c>
      <c r="C365" s="24" t="str">
        <f t="array" ref="C365">xlookup($A365,product!$A:$A,product!C:C)</f>
        <v>Hygiène</v>
      </c>
      <c r="D365" s="24" t="str">
        <f t="array" ref="D365">xlookup($A365,product!$A:$A,product!D:D)</f>
        <v>Cotons-tiges</v>
      </c>
      <c r="E365" s="25" t="str">
        <f t="shared" si="1"/>
        <v>193131-Hygiène-Cotons-tiges</v>
      </c>
      <c r="F365" s="25">
        <v>1.0</v>
      </c>
      <c r="G365" s="25">
        <v>712.0</v>
      </c>
      <c r="H365" s="25">
        <v>384.0</v>
      </c>
      <c r="I365" s="26">
        <f t="array" ref="I365">XLOOKUP($A365,product!A:A,product!E:E)</f>
        <v>2.61</v>
      </c>
      <c r="J365" s="25">
        <f t="shared" si="2"/>
        <v>1002.24</v>
      </c>
      <c r="K365" s="27">
        <f t="shared" si="3"/>
        <v>1</v>
      </c>
      <c r="L365" s="25">
        <f t="shared" si="4"/>
        <v>1</v>
      </c>
    </row>
    <row r="366">
      <c r="A366" s="19">
        <v>115709.0</v>
      </c>
      <c r="B366" s="20" t="str">
        <f t="array" ref="B366">xlookup($A366,product!$A:$A,product!B:B)</f>
        <v>Beauté &amp; Hygiène</v>
      </c>
      <c r="C366" s="20" t="str">
        <f t="array" ref="C366">xlookup($A366,product!$A:$A,product!C:C)</f>
        <v>Hygiène</v>
      </c>
      <c r="D366" s="20" t="str">
        <f t="array" ref="D366">xlookup($A366,product!$A:$A,product!D:D)</f>
        <v>Cotons-tiges</v>
      </c>
      <c r="E366" s="4" t="str">
        <f t="shared" si="1"/>
        <v>115709-Hygiène-Cotons-tiges</v>
      </c>
      <c r="F366" s="4">
        <v>0.0</v>
      </c>
      <c r="G366" s="4">
        <v>111.0</v>
      </c>
      <c r="H366" s="4">
        <v>89.0</v>
      </c>
      <c r="I366" s="21">
        <f t="array" ref="I366">XLOOKUP($A366,product!A:A,product!E:E)</f>
        <v>4.43</v>
      </c>
      <c r="J366" s="4">
        <f t="shared" si="2"/>
        <v>394.27</v>
      </c>
      <c r="K366" s="22">
        <f t="shared" si="3"/>
        <v>1</v>
      </c>
      <c r="L366" s="4">
        <f t="shared" si="4"/>
        <v>1</v>
      </c>
    </row>
    <row r="367">
      <c r="A367" s="23">
        <v>121619.0</v>
      </c>
      <c r="B367" s="24" t="str">
        <f t="array" ref="B367">xlookup($A367,product!$A:$A,product!B:B)</f>
        <v>Beauté &amp; Hygiène</v>
      </c>
      <c r="C367" s="24" t="str">
        <f t="array" ref="C367">xlookup($A367,product!$A:$A,product!C:C)</f>
        <v>Hygiène</v>
      </c>
      <c r="D367" s="24" t="str">
        <f t="array" ref="D367">xlookup($A367,product!$A:$A,product!D:D)</f>
        <v>Cotons-tiges</v>
      </c>
      <c r="E367" s="25" t="str">
        <f t="shared" si="1"/>
        <v>121619-Hygiène-Cotons-tiges</v>
      </c>
      <c r="F367" s="25">
        <v>0.0</v>
      </c>
      <c r="G367" s="25">
        <v>164.0</v>
      </c>
      <c r="H367" s="25">
        <v>53.0</v>
      </c>
      <c r="I367" s="26">
        <f t="array" ref="I367">XLOOKUP($A367,product!A:A,product!E:E)</f>
        <v>2.48</v>
      </c>
      <c r="J367" s="25">
        <f t="shared" si="2"/>
        <v>131.44</v>
      </c>
      <c r="K367" s="27">
        <f t="shared" si="3"/>
        <v>1</v>
      </c>
      <c r="L367" s="25">
        <f t="shared" si="4"/>
        <v>1</v>
      </c>
    </row>
    <row r="368">
      <c r="A368" s="19">
        <v>103647.0</v>
      </c>
      <c r="B368" s="20" t="str">
        <f t="array" ref="B368">xlookup($A368,product!$A:$A,product!B:B)</f>
        <v>Beauté &amp; Hygiène</v>
      </c>
      <c r="C368" s="20" t="str">
        <f t="array" ref="C368">xlookup($A368,product!$A:$A,product!C:C)</f>
        <v>Hygiène</v>
      </c>
      <c r="D368" s="20" t="str">
        <f t="array" ref="D368">xlookup($A368,product!$A:$A,product!D:D)</f>
        <v>Cotons-tiges</v>
      </c>
      <c r="E368" s="4" t="str">
        <f t="shared" si="1"/>
        <v>103647-Hygiène-Cotons-tiges</v>
      </c>
      <c r="F368" s="4">
        <v>1.0</v>
      </c>
      <c r="G368" s="4">
        <v>213.0</v>
      </c>
      <c r="H368" s="4">
        <v>162.0</v>
      </c>
      <c r="I368" s="21">
        <f t="array" ref="I368">XLOOKUP($A368,product!A:A,product!E:E)</f>
        <v>0.81</v>
      </c>
      <c r="J368" s="4">
        <f t="shared" si="2"/>
        <v>131.22</v>
      </c>
      <c r="K368" s="22">
        <f t="shared" si="3"/>
        <v>1</v>
      </c>
      <c r="L368" s="4">
        <f t="shared" si="4"/>
        <v>1</v>
      </c>
    </row>
    <row r="369">
      <c r="A369" s="23">
        <v>121616.0</v>
      </c>
      <c r="B369" s="24" t="str">
        <f t="array" ref="B369">xlookup($A369,product!$A:$A,product!B:B)</f>
        <v>Beauté &amp; Hygiène</v>
      </c>
      <c r="C369" s="24" t="str">
        <f t="array" ref="C369">xlookup($A369,product!$A:$A,product!C:C)</f>
        <v>Hygiène</v>
      </c>
      <c r="D369" s="24" t="str">
        <f t="array" ref="D369">xlookup($A369,product!$A:$A,product!D:D)</f>
        <v>Cotons-tiges</v>
      </c>
      <c r="E369" s="25" t="str">
        <f t="shared" si="1"/>
        <v>121616-Hygiène-Cotons-tiges</v>
      </c>
      <c r="F369" s="25">
        <v>1.0</v>
      </c>
      <c r="G369" s="25">
        <v>785.0</v>
      </c>
      <c r="H369" s="25">
        <v>604.0</v>
      </c>
      <c r="I369" s="26">
        <f t="array" ref="I369">XLOOKUP($A369,product!A:A,product!E:E)</f>
        <v>2.48</v>
      </c>
      <c r="J369" s="25">
        <f t="shared" si="2"/>
        <v>1497.92</v>
      </c>
      <c r="K369" s="27">
        <f t="shared" si="3"/>
        <v>1</v>
      </c>
      <c r="L369" s="25">
        <f t="shared" si="4"/>
        <v>1</v>
      </c>
    </row>
    <row r="370">
      <c r="A370" s="19">
        <v>121618.0</v>
      </c>
      <c r="B370" s="20" t="str">
        <f t="array" ref="B370">xlookup($A370,product!$A:$A,product!B:B)</f>
        <v>Beauté &amp; Hygiène</v>
      </c>
      <c r="C370" s="20" t="str">
        <f t="array" ref="C370">xlookup($A370,product!$A:$A,product!C:C)</f>
        <v>Hygiène</v>
      </c>
      <c r="D370" s="20" t="str">
        <f t="array" ref="D370">xlookup($A370,product!$A:$A,product!D:D)</f>
        <v>Cotons-tiges</v>
      </c>
      <c r="E370" s="4" t="str">
        <f t="shared" si="1"/>
        <v>121618-Hygiène-Cotons-tiges</v>
      </c>
      <c r="F370" s="4">
        <v>1.0</v>
      </c>
      <c r="G370" s="4">
        <v>544.0</v>
      </c>
      <c r="H370" s="4">
        <v>456.0</v>
      </c>
      <c r="I370" s="21">
        <f t="array" ref="I370">XLOOKUP($A370,product!A:A,product!E:E)</f>
        <v>2.48</v>
      </c>
      <c r="J370" s="4">
        <f t="shared" si="2"/>
        <v>1130.88</v>
      </c>
      <c r="K370" s="22">
        <f t="shared" si="3"/>
        <v>1</v>
      </c>
      <c r="L370" s="4">
        <f t="shared" si="4"/>
        <v>1</v>
      </c>
    </row>
    <row r="371">
      <c r="A371" s="23">
        <v>129360.0</v>
      </c>
      <c r="B371" s="24" t="str">
        <f t="array" ref="B371">xlookup($A371,product!$A:$A,product!B:B)</f>
        <v>Beauté &amp; Hygiène</v>
      </c>
      <c r="C371" s="24" t="str">
        <f t="array" ref="C371">xlookup($A371,product!$A:$A,product!C:C)</f>
        <v>Hygiène</v>
      </c>
      <c r="D371" s="24" t="str">
        <f t="array" ref="D371">xlookup($A371,product!$A:$A,product!D:D)</f>
        <v>Cotons-tiges</v>
      </c>
      <c r="E371" s="25" t="str">
        <f t="shared" si="1"/>
        <v>129360-Hygiène-Cotons-tiges</v>
      </c>
      <c r="F371" s="25">
        <v>1.0</v>
      </c>
      <c r="G371" s="25">
        <v>52.0</v>
      </c>
      <c r="H371" s="25">
        <v>46.0</v>
      </c>
      <c r="I371" s="26">
        <f t="array" ref="I371">XLOOKUP($A371,product!A:A,product!E:E)</f>
        <v>1.64</v>
      </c>
      <c r="J371" s="25">
        <f t="shared" si="2"/>
        <v>75.44</v>
      </c>
      <c r="K371" s="27">
        <f t="shared" si="3"/>
        <v>1</v>
      </c>
      <c r="L371" s="25">
        <f t="shared" si="4"/>
        <v>1</v>
      </c>
    </row>
    <row r="372">
      <c r="A372" s="19">
        <v>115708.0</v>
      </c>
      <c r="B372" s="20" t="str">
        <f t="array" ref="B372">xlookup($A372,product!$A:$A,product!B:B)</f>
        <v>Beauté &amp; Hygiène</v>
      </c>
      <c r="C372" s="20" t="str">
        <f t="array" ref="C372">xlookup($A372,product!$A:$A,product!C:C)</f>
        <v>Hygiène</v>
      </c>
      <c r="D372" s="20" t="str">
        <f t="array" ref="D372">xlookup($A372,product!$A:$A,product!D:D)</f>
        <v>Cotons-tiges</v>
      </c>
      <c r="E372" s="4" t="str">
        <f t="shared" si="1"/>
        <v>115708-Hygiène-Cotons-tiges</v>
      </c>
      <c r="F372" s="4">
        <v>0.0</v>
      </c>
      <c r="G372" s="4">
        <v>433.0</v>
      </c>
      <c r="H372" s="4">
        <v>211.0</v>
      </c>
      <c r="I372" s="21">
        <f t="array" ref="I372">XLOOKUP($A372,product!A:A,product!E:E)</f>
        <v>4.43</v>
      </c>
      <c r="J372" s="4">
        <f t="shared" si="2"/>
        <v>934.73</v>
      </c>
      <c r="K372" s="22">
        <f t="shared" si="3"/>
        <v>1</v>
      </c>
      <c r="L372" s="4">
        <f t="shared" si="4"/>
        <v>1</v>
      </c>
    </row>
    <row r="373">
      <c r="A373" s="23">
        <v>121617.0</v>
      </c>
      <c r="B373" s="24" t="str">
        <f t="array" ref="B373">xlookup($A373,product!$A:$A,product!B:B)</f>
        <v>Beauté &amp; Hygiène</v>
      </c>
      <c r="C373" s="24" t="str">
        <f t="array" ref="C373">xlookup($A373,product!$A:$A,product!C:C)</f>
        <v>Hygiène</v>
      </c>
      <c r="D373" s="24" t="str">
        <f t="array" ref="D373">xlookup($A373,product!$A:$A,product!D:D)</f>
        <v>Cotons-tiges</v>
      </c>
      <c r="E373" s="25" t="str">
        <f t="shared" si="1"/>
        <v>121617-Hygiène-Cotons-tiges</v>
      </c>
      <c r="F373" s="25">
        <v>0.0</v>
      </c>
      <c r="G373" s="25">
        <v>472.0</v>
      </c>
      <c r="H373" s="25">
        <v>334.0</v>
      </c>
      <c r="I373" s="26">
        <f t="array" ref="I373">XLOOKUP($A373,product!A:A,product!E:E)</f>
        <v>2.48</v>
      </c>
      <c r="J373" s="25">
        <f t="shared" si="2"/>
        <v>828.32</v>
      </c>
      <c r="K373" s="27">
        <f t="shared" si="3"/>
        <v>1</v>
      </c>
      <c r="L373" s="25">
        <f t="shared" si="4"/>
        <v>1</v>
      </c>
    </row>
    <row r="374">
      <c r="A374" s="19">
        <v>109540.0</v>
      </c>
      <c r="B374" s="20" t="str">
        <f t="array" ref="B374">xlookup($A374,product!$A:$A,product!B:B)</f>
        <v>Beauté &amp; Hygiène</v>
      </c>
      <c r="C374" s="20" t="str">
        <f t="array" ref="C374">xlookup($A374,product!$A:$A,product!C:C)</f>
        <v>Hygiène</v>
      </c>
      <c r="D374" s="20" t="str">
        <f t="array" ref="D374">xlookup($A374,product!$A:$A,product!D:D)</f>
        <v>Cotons-tiges</v>
      </c>
      <c r="E374" s="4" t="str">
        <f t="shared" si="1"/>
        <v>109540-Hygiène-Cotons-tiges</v>
      </c>
      <c r="F374" s="4">
        <v>0.0</v>
      </c>
      <c r="G374" s="4">
        <v>419.0</v>
      </c>
      <c r="H374" s="4">
        <v>329.0</v>
      </c>
      <c r="I374" s="21">
        <f t="array" ref="I374">XLOOKUP($A374,product!A:A,product!E:E)</f>
        <v>0.87</v>
      </c>
      <c r="J374" s="4">
        <f t="shared" si="2"/>
        <v>286.23</v>
      </c>
      <c r="K374" s="22">
        <f t="shared" si="3"/>
        <v>1</v>
      </c>
      <c r="L374" s="4">
        <f t="shared" si="4"/>
        <v>1</v>
      </c>
    </row>
    <row r="375">
      <c r="A375" s="23">
        <v>101323.0</v>
      </c>
      <c r="B375" s="24" t="str">
        <f t="array" ref="B375">xlookup($A375,product!$A:$A,product!B:B)</f>
        <v>Beauté &amp; Hygiène</v>
      </c>
      <c r="C375" s="24" t="str">
        <f t="array" ref="C375">xlookup($A375,product!$A:$A,product!C:C)</f>
        <v>Hygiène</v>
      </c>
      <c r="D375" s="24" t="str">
        <f t="array" ref="D375">xlookup($A375,product!$A:$A,product!D:D)</f>
        <v>Cotons-tiges</v>
      </c>
      <c r="E375" s="25" t="str">
        <f t="shared" si="1"/>
        <v>101323-Hygiène-Cotons-tiges</v>
      </c>
      <c r="F375" s="25">
        <v>0.0</v>
      </c>
      <c r="G375" s="25">
        <v>977.0</v>
      </c>
      <c r="H375" s="25">
        <v>965.0</v>
      </c>
      <c r="I375" s="26">
        <f t="array" ref="I375">XLOOKUP($A375,product!A:A,product!E:E)</f>
        <v>0.71</v>
      </c>
      <c r="J375" s="25">
        <f t="shared" si="2"/>
        <v>685.15</v>
      </c>
      <c r="K375" s="27">
        <f t="shared" si="3"/>
        <v>1</v>
      </c>
      <c r="L375" s="25">
        <f t="shared" si="4"/>
        <v>1</v>
      </c>
    </row>
    <row r="376">
      <c r="A376" s="19">
        <v>120991.0</v>
      </c>
      <c r="B376" s="20" t="str">
        <f t="array" ref="B376">xlookup($A376,product!$A:$A,product!B:B)</f>
        <v>Beauté &amp; Hygiène</v>
      </c>
      <c r="C376" s="20" t="str">
        <f t="array" ref="C376">xlookup($A376,product!$A:$A,product!C:C)</f>
        <v>Hygiène</v>
      </c>
      <c r="D376" s="20" t="str">
        <f t="array" ref="D376">xlookup($A376,product!$A:$A,product!D:D)</f>
        <v>Cotons-tiges</v>
      </c>
      <c r="E376" s="4" t="str">
        <f t="shared" si="1"/>
        <v>120991-Hygiène-Cotons-tiges</v>
      </c>
      <c r="F376" s="4">
        <v>0.0</v>
      </c>
      <c r="G376" s="4">
        <v>665.0</v>
      </c>
      <c r="H376" s="4">
        <v>444.0</v>
      </c>
      <c r="I376" s="21">
        <f t="array" ref="I376">XLOOKUP($A376,product!A:A,product!E:E)</f>
        <v>4.43</v>
      </c>
      <c r="J376" s="4">
        <f t="shared" si="2"/>
        <v>1966.92</v>
      </c>
      <c r="K376" s="22">
        <f t="shared" si="3"/>
        <v>1</v>
      </c>
      <c r="L376" s="4">
        <f t="shared" si="4"/>
        <v>1</v>
      </c>
    </row>
    <row r="377">
      <c r="A377" s="23">
        <v>115698.0</v>
      </c>
      <c r="B377" s="24" t="str">
        <f t="array" ref="B377">xlookup($A377,product!$A:$A,product!B:B)</f>
        <v>Beauté &amp; Hygiène</v>
      </c>
      <c r="C377" s="24" t="str">
        <f t="array" ref="C377">xlookup($A377,product!$A:$A,product!C:C)</f>
        <v>Hygiène</v>
      </c>
      <c r="D377" s="24" t="str">
        <f t="array" ref="D377">xlookup($A377,product!$A:$A,product!D:D)</f>
        <v>Cotons-tiges</v>
      </c>
      <c r="E377" s="25" t="str">
        <f t="shared" si="1"/>
        <v>115698-Hygiène-Cotons-tiges</v>
      </c>
      <c r="F377" s="25">
        <v>1.0</v>
      </c>
      <c r="G377" s="25">
        <v>654.0</v>
      </c>
      <c r="H377" s="25">
        <v>494.0</v>
      </c>
      <c r="I377" s="26">
        <f t="array" ref="I377">XLOOKUP($A377,product!A:A,product!E:E)</f>
        <v>4.43</v>
      </c>
      <c r="J377" s="25">
        <f t="shared" si="2"/>
        <v>2188.42</v>
      </c>
      <c r="K377" s="27">
        <f t="shared" si="3"/>
        <v>1</v>
      </c>
      <c r="L377" s="25">
        <f t="shared" si="4"/>
        <v>1</v>
      </c>
    </row>
    <row r="378">
      <c r="A378" s="19">
        <v>72511.0</v>
      </c>
      <c r="B378" s="20" t="str">
        <f t="array" ref="B378">xlookup($A378,product!$A:$A,product!B:B)</f>
        <v>Beauté &amp; Hygiène</v>
      </c>
      <c r="C378" s="20" t="str">
        <f t="array" ref="C378">xlookup($A378,product!$A:$A,product!C:C)</f>
        <v>Hygiène</v>
      </c>
      <c r="D378" s="20" t="str">
        <f t="array" ref="D378">xlookup($A378,product!$A:$A,product!D:D)</f>
        <v>Eponges Konjac</v>
      </c>
      <c r="E378" s="4" t="str">
        <f t="shared" si="1"/>
        <v>72511-Hygiène-Eponges Konjac</v>
      </c>
      <c r="F378" s="4">
        <v>1.0</v>
      </c>
      <c r="G378" s="4">
        <v>15.0</v>
      </c>
      <c r="H378" s="4">
        <v>6.0</v>
      </c>
      <c r="I378" s="21">
        <f t="array" ref="I378">XLOOKUP($A378,product!A:A,product!E:E)</f>
        <v>2.33</v>
      </c>
      <c r="J378" s="4">
        <f t="shared" si="2"/>
        <v>13.98</v>
      </c>
      <c r="K378" s="22">
        <f t="shared" si="3"/>
        <v>1</v>
      </c>
      <c r="L378" s="4">
        <f t="shared" si="4"/>
        <v>1</v>
      </c>
    </row>
    <row r="379">
      <c r="A379" s="23">
        <v>72512.0</v>
      </c>
      <c r="B379" s="24" t="str">
        <f t="array" ref="B379">xlookup($A379,product!$A:$A,product!B:B)</f>
        <v>Beauté &amp; Hygiène</v>
      </c>
      <c r="C379" s="24" t="str">
        <f t="array" ref="C379">xlookup($A379,product!$A:$A,product!C:C)</f>
        <v>Hygiène</v>
      </c>
      <c r="D379" s="24" t="str">
        <f t="array" ref="D379">xlookup($A379,product!$A:$A,product!D:D)</f>
        <v>Eponges Konjac</v>
      </c>
      <c r="E379" s="25" t="str">
        <f t="shared" si="1"/>
        <v>72512-Hygiène-Eponges Konjac</v>
      </c>
      <c r="F379" s="25">
        <v>1.0</v>
      </c>
      <c r="G379" s="25">
        <v>618.0</v>
      </c>
      <c r="H379" s="25">
        <v>297.0</v>
      </c>
      <c r="I379" s="26">
        <f t="array" ref="I379">XLOOKUP($A379,product!A:A,product!E:E)</f>
        <v>2.88</v>
      </c>
      <c r="J379" s="25">
        <f t="shared" si="2"/>
        <v>855.36</v>
      </c>
      <c r="K379" s="27">
        <f t="shared" si="3"/>
        <v>1</v>
      </c>
      <c r="L379" s="25">
        <f t="shared" si="4"/>
        <v>1</v>
      </c>
    </row>
    <row r="380">
      <c r="A380" s="19">
        <v>120108.0</v>
      </c>
      <c r="B380" s="20" t="str">
        <f t="array" ref="B380">xlookup($A380,product!$A:$A,product!B:B)</f>
        <v>Beauté &amp; Hygiène</v>
      </c>
      <c r="C380" s="20" t="str">
        <f t="array" ref="C380">xlookup($A380,product!$A:$A,product!C:C)</f>
        <v>Hygiène</v>
      </c>
      <c r="D380" s="20" t="str">
        <f t="array" ref="D380">xlookup($A380,product!$A:$A,product!D:D)</f>
        <v>Eponges Konjac</v>
      </c>
      <c r="E380" s="4" t="str">
        <f t="shared" si="1"/>
        <v>120108-Hygiène-Eponges Konjac</v>
      </c>
      <c r="F380" s="4">
        <v>0.0</v>
      </c>
      <c r="G380" s="4">
        <v>860.0</v>
      </c>
      <c r="H380" s="4">
        <v>20.0</v>
      </c>
      <c r="I380" s="21">
        <f t="array" ref="I380">XLOOKUP($A380,product!A:A,product!E:E)</f>
        <v>4.21</v>
      </c>
      <c r="J380" s="4">
        <f t="shared" si="2"/>
        <v>84.2</v>
      </c>
      <c r="K380" s="22">
        <f t="shared" si="3"/>
        <v>1</v>
      </c>
      <c r="L380" s="4">
        <f t="shared" si="4"/>
        <v>1</v>
      </c>
    </row>
    <row r="381">
      <c r="A381" s="23">
        <v>1636.0</v>
      </c>
      <c r="B381" s="24" t="str">
        <f t="array" ref="B381">xlookup($A381,product!$A:$A,product!B:B)</f>
        <v>Beauté &amp; Hygiène</v>
      </c>
      <c r="C381" s="24" t="str">
        <f t="array" ref="C381">xlookup($A381,product!$A:$A,product!C:C)</f>
        <v>Hygiène</v>
      </c>
      <c r="D381" s="24" t="str">
        <f t="array" ref="D381">xlookup($A381,product!$A:$A,product!D:D)</f>
        <v>Papier toilette</v>
      </c>
      <c r="E381" s="25" t="str">
        <f t="shared" si="1"/>
        <v>1636-Hygiène-Papier toilette</v>
      </c>
      <c r="F381" s="25">
        <v>1.0</v>
      </c>
      <c r="G381" s="25">
        <v>415.0</v>
      </c>
      <c r="H381" s="25">
        <v>0.0</v>
      </c>
      <c r="I381" s="26">
        <f t="array" ref="I381">XLOOKUP($A381,product!A:A,product!E:E)</f>
        <v>2.02</v>
      </c>
      <c r="J381" s="25">
        <f t="shared" si="2"/>
        <v>0</v>
      </c>
      <c r="K381" s="27">
        <f t="shared" si="3"/>
        <v>0</v>
      </c>
      <c r="L381" s="25">
        <f t="shared" si="4"/>
        <v>1</v>
      </c>
    </row>
    <row r="382">
      <c r="A382" s="19">
        <v>106767.0</v>
      </c>
      <c r="B382" s="20" t="str">
        <f t="array" ref="B382">xlookup($A382,product!$A:$A,product!B:B)</f>
        <v>Beauté &amp; Hygiène</v>
      </c>
      <c r="C382" s="20" t="str">
        <f t="array" ref="C382">xlookup($A382,product!$A:$A,product!C:C)</f>
        <v>Hygiène</v>
      </c>
      <c r="D382" s="20" t="str">
        <f t="array" ref="D382">xlookup($A382,product!$A:$A,product!D:D)</f>
        <v>Papier toilette</v>
      </c>
      <c r="E382" s="4" t="str">
        <f t="shared" si="1"/>
        <v>106767-Hygiène-Papier toilette</v>
      </c>
      <c r="F382" s="4">
        <v>0.0</v>
      </c>
      <c r="G382" s="4">
        <v>165.0</v>
      </c>
      <c r="H382" s="4">
        <v>139.0</v>
      </c>
      <c r="I382" s="21">
        <f t="array" ref="I382">XLOOKUP($A382,product!A:A,product!E:E)</f>
        <v>1.9</v>
      </c>
      <c r="J382" s="4">
        <f t="shared" si="2"/>
        <v>264.1</v>
      </c>
      <c r="K382" s="22">
        <f t="shared" si="3"/>
        <v>1</v>
      </c>
      <c r="L382" s="4">
        <f t="shared" si="4"/>
        <v>1</v>
      </c>
    </row>
    <row r="383">
      <c r="A383" s="23">
        <v>117246.0</v>
      </c>
      <c r="B383" s="24" t="str">
        <f t="array" ref="B383">xlookup($A383,product!$A:$A,product!B:B)</f>
        <v>Beauté &amp; Hygiène</v>
      </c>
      <c r="C383" s="24" t="str">
        <f t="array" ref="C383">xlookup($A383,product!$A:$A,product!C:C)</f>
        <v>Hygiène</v>
      </c>
      <c r="D383" s="24" t="str">
        <f t="array" ref="D383">xlookup($A383,product!$A:$A,product!D:D)</f>
        <v>Papier toilette</v>
      </c>
      <c r="E383" s="25" t="str">
        <f t="shared" si="1"/>
        <v>117246-Hygiène-Papier toilette</v>
      </c>
      <c r="F383" s="25">
        <v>1.0</v>
      </c>
      <c r="G383" s="25">
        <v>25.0</v>
      </c>
      <c r="H383" s="25">
        <v>13.0</v>
      </c>
      <c r="I383" s="26">
        <f t="array" ref="I383">XLOOKUP($A383,product!A:A,product!E:E)</f>
        <v>1.59</v>
      </c>
      <c r="J383" s="25">
        <f t="shared" si="2"/>
        <v>20.67</v>
      </c>
      <c r="K383" s="27">
        <f t="shared" si="3"/>
        <v>1</v>
      </c>
      <c r="L383" s="25">
        <f t="shared" si="4"/>
        <v>1</v>
      </c>
    </row>
    <row r="384">
      <c r="A384" s="19">
        <v>106758.0</v>
      </c>
      <c r="B384" s="20" t="str">
        <f t="array" ref="B384">xlookup($A384,product!$A:$A,product!B:B)</f>
        <v>Beauté &amp; Hygiène</v>
      </c>
      <c r="C384" s="20" t="str">
        <f t="array" ref="C384">xlookup($A384,product!$A:$A,product!C:C)</f>
        <v>Hygiène</v>
      </c>
      <c r="D384" s="20" t="str">
        <f t="array" ref="D384">xlookup($A384,product!$A:$A,product!D:D)</f>
        <v>Papier toilette</v>
      </c>
      <c r="E384" s="4" t="str">
        <f t="shared" si="1"/>
        <v>106758-Hygiène-Papier toilette</v>
      </c>
      <c r="F384" s="4">
        <v>1.0</v>
      </c>
      <c r="G384" s="4">
        <v>578.0</v>
      </c>
      <c r="H384" s="4">
        <v>20.0</v>
      </c>
      <c r="I384" s="21">
        <f t="array" ref="I384">XLOOKUP($A384,product!A:A,product!E:E)</f>
        <v>3.5</v>
      </c>
      <c r="J384" s="4">
        <f t="shared" si="2"/>
        <v>70</v>
      </c>
      <c r="K384" s="22">
        <f t="shared" si="3"/>
        <v>1</v>
      </c>
      <c r="L384" s="4">
        <f t="shared" si="4"/>
        <v>1</v>
      </c>
    </row>
    <row r="385">
      <c r="A385" s="23">
        <v>118150.0</v>
      </c>
      <c r="B385" s="24" t="str">
        <f t="array" ref="B385">xlookup($A385,product!$A:$A,product!B:B)</f>
        <v>Beauté &amp; Hygiène</v>
      </c>
      <c r="C385" s="24" t="str">
        <f t="array" ref="C385">xlookup($A385,product!$A:$A,product!C:C)</f>
        <v>Hygiène</v>
      </c>
      <c r="D385" s="24" t="str">
        <f t="array" ref="D385">xlookup($A385,product!$A:$A,product!D:D)</f>
        <v>Soins dentaires</v>
      </c>
      <c r="E385" s="25" t="str">
        <f t="shared" si="1"/>
        <v>118150-Hygiène-Soins dentaires</v>
      </c>
      <c r="F385" s="25">
        <v>1.0</v>
      </c>
      <c r="G385" s="25">
        <v>243.0</v>
      </c>
      <c r="H385" s="25">
        <v>130.0</v>
      </c>
      <c r="I385" s="26">
        <f t="array" ref="I385">XLOOKUP($A385,product!A:A,product!E:E)</f>
        <v>1.43</v>
      </c>
      <c r="J385" s="25">
        <f t="shared" si="2"/>
        <v>185.9</v>
      </c>
      <c r="K385" s="27">
        <f t="shared" si="3"/>
        <v>1</v>
      </c>
      <c r="L385" s="25">
        <f t="shared" si="4"/>
        <v>1</v>
      </c>
    </row>
    <row r="386">
      <c r="A386" s="19">
        <v>108896.0</v>
      </c>
      <c r="B386" s="20" t="str">
        <f t="array" ref="B386">xlookup($A386,product!$A:$A,product!B:B)</f>
        <v>Beauté &amp; Hygiène</v>
      </c>
      <c r="C386" s="20" t="str">
        <f t="array" ref="C386">xlookup($A386,product!$A:$A,product!C:C)</f>
        <v>Hygiène</v>
      </c>
      <c r="D386" s="20" t="str">
        <f t="array" ref="D386">xlookup($A386,product!$A:$A,product!D:D)</f>
        <v>Soins dentaires</v>
      </c>
      <c r="E386" s="4" t="str">
        <f t="shared" si="1"/>
        <v>108896-Hygiène-Soins dentaires</v>
      </c>
      <c r="F386" s="4">
        <v>1.0</v>
      </c>
      <c r="G386" s="4">
        <v>530.0</v>
      </c>
      <c r="H386" s="4">
        <v>217.0</v>
      </c>
      <c r="I386" s="21">
        <f t="array" ref="I386">XLOOKUP($A386,product!A:A,product!E:E)</f>
        <v>1.99</v>
      </c>
      <c r="J386" s="4">
        <f t="shared" si="2"/>
        <v>431.83</v>
      </c>
      <c r="K386" s="22">
        <f t="shared" si="3"/>
        <v>1</v>
      </c>
      <c r="L386" s="4">
        <f t="shared" si="4"/>
        <v>1</v>
      </c>
    </row>
    <row r="387">
      <c r="A387" s="23">
        <v>92566.0</v>
      </c>
      <c r="B387" s="24" t="str">
        <f t="array" ref="B387">xlookup($A387,product!$A:$A,product!B:B)</f>
        <v>Beauté &amp; Hygiène</v>
      </c>
      <c r="C387" s="24" t="str">
        <f t="array" ref="C387">xlookup($A387,product!$A:$A,product!C:C)</f>
        <v>Hygiène</v>
      </c>
      <c r="D387" s="24" t="str">
        <f t="array" ref="D387">xlookup($A387,product!$A:$A,product!D:D)</f>
        <v>Soins dentaires</v>
      </c>
      <c r="E387" s="25" t="str">
        <f t="shared" si="1"/>
        <v>92566-Hygiène-Soins dentaires</v>
      </c>
      <c r="F387" s="25">
        <v>1.0</v>
      </c>
      <c r="G387" s="25">
        <v>468.0</v>
      </c>
      <c r="H387" s="25">
        <v>147.0</v>
      </c>
      <c r="I387" s="26">
        <f t="array" ref="I387">XLOOKUP($A387,product!A:A,product!E:E)</f>
        <v>2.33</v>
      </c>
      <c r="J387" s="25">
        <f t="shared" si="2"/>
        <v>342.51</v>
      </c>
      <c r="K387" s="27">
        <f t="shared" si="3"/>
        <v>1</v>
      </c>
      <c r="L387" s="25">
        <f t="shared" si="4"/>
        <v>1</v>
      </c>
    </row>
    <row r="388">
      <c r="A388" s="19">
        <v>182195.0</v>
      </c>
      <c r="B388" s="20" t="str">
        <f t="array" ref="B388">xlookup($A388,product!$A:$A,product!B:B)</f>
        <v>Beauté &amp; Hygiène</v>
      </c>
      <c r="C388" s="20" t="str">
        <f t="array" ref="C388">xlookup($A388,product!$A:$A,product!C:C)</f>
        <v>Hygiène</v>
      </c>
      <c r="D388" s="20" t="str">
        <f t="array" ref="D388">xlookup($A388,product!$A:$A,product!D:D)</f>
        <v>Soins dentaires</v>
      </c>
      <c r="E388" s="4" t="str">
        <f t="shared" si="1"/>
        <v>182195-Hygiène-Soins dentaires</v>
      </c>
      <c r="F388" s="4">
        <v>1.0</v>
      </c>
      <c r="G388" s="4">
        <v>904.0</v>
      </c>
      <c r="H388" s="4">
        <v>177.0</v>
      </c>
      <c r="I388" s="21">
        <f t="array" ref="I388">XLOOKUP($A388,product!A:A,product!E:E)</f>
        <v>2.69</v>
      </c>
      <c r="J388" s="4">
        <f t="shared" si="2"/>
        <v>476.13</v>
      </c>
      <c r="K388" s="22">
        <f t="shared" si="3"/>
        <v>1</v>
      </c>
      <c r="L388" s="4">
        <f t="shared" si="4"/>
        <v>1</v>
      </c>
    </row>
    <row r="389">
      <c r="A389" s="23">
        <v>101560.0</v>
      </c>
      <c r="B389" s="24" t="str">
        <f t="array" ref="B389">xlookup($A389,product!$A:$A,product!B:B)</f>
        <v>Beauté &amp; Hygiène</v>
      </c>
      <c r="C389" s="24" t="str">
        <f t="array" ref="C389">xlookup($A389,product!$A:$A,product!C:C)</f>
        <v>Hygiène</v>
      </c>
      <c r="D389" s="24" t="str">
        <f t="array" ref="D389">xlookup($A389,product!$A:$A,product!D:D)</f>
        <v>Soins dentaires</v>
      </c>
      <c r="E389" s="25" t="str">
        <f t="shared" si="1"/>
        <v>101560-Hygiène-Soins dentaires</v>
      </c>
      <c r="F389" s="25">
        <v>0.0</v>
      </c>
      <c r="G389" s="25">
        <v>932.0</v>
      </c>
      <c r="H389" s="25">
        <v>238.0</v>
      </c>
      <c r="I389" s="26">
        <f t="array" ref="I389">XLOOKUP($A389,product!A:A,product!E:E)</f>
        <v>3.31</v>
      </c>
      <c r="J389" s="25">
        <f t="shared" si="2"/>
        <v>787.78</v>
      </c>
      <c r="K389" s="27">
        <f t="shared" si="3"/>
        <v>1</v>
      </c>
      <c r="L389" s="25">
        <f t="shared" si="4"/>
        <v>1</v>
      </c>
    </row>
    <row r="390">
      <c r="A390" s="19">
        <v>96067.0</v>
      </c>
      <c r="B390" s="20" t="str">
        <f t="array" ref="B390">xlookup($A390,product!$A:$A,product!B:B)</f>
        <v>Beauté &amp; Hygiène</v>
      </c>
      <c r="C390" s="20" t="str">
        <f t="array" ref="C390">xlookup($A390,product!$A:$A,product!C:C)</f>
        <v>Hygiène</v>
      </c>
      <c r="D390" s="20" t="str">
        <f t="array" ref="D390">xlookup($A390,product!$A:$A,product!D:D)</f>
        <v>Soins dentaires</v>
      </c>
      <c r="E390" s="4" t="str">
        <f t="shared" si="1"/>
        <v>96067-Hygiène-Soins dentaires</v>
      </c>
      <c r="F390" s="4">
        <v>1.0</v>
      </c>
      <c r="G390" s="4">
        <v>702.0</v>
      </c>
      <c r="H390" s="4">
        <v>549.0</v>
      </c>
      <c r="I390" s="21">
        <f t="array" ref="I390">XLOOKUP($A390,product!A:A,product!E:E)</f>
        <v>3.71</v>
      </c>
      <c r="J390" s="4">
        <f t="shared" si="2"/>
        <v>2036.79</v>
      </c>
      <c r="K390" s="22">
        <f t="shared" si="3"/>
        <v>1</v>
      </c>
      <c r="L390" s="4">
        <f t="shared" si="4"/>
        <v>1</v>
      </c>
    </row>
    <row r="391">
      <c r="A391" s="23">
        <v>47325.0</v>
      </c>
      <c r="B391" s="24" t="str">
        <f t="array" ref="B391">xlookup($A391,product!$A:$A,product!B:B)</f>
        <v>Beauté &amp; Hygiène</v>
      </c>
      <c r="C391" s="24" t="str">
        <f t="array" ref="C391">xlookup($A391,product!$A:$A,product!C:C)</f>
        <v>Hygiène</v>
      </c>
      <c r="D391" s="24" t="str">
        <f t="array" ref="D391">xlookup($A391,product!$A:$A,product!D:D)</f>
        <v>Soins dentaires</v>
      </c>
      <c r="E391" s="25" t="str">
        <f t="shared" si="1"/>
        <v>47325-Hygiène-Soins dentaires</v>
      </c>
      <c r="F391" s="25">
        <v>0.0</v>
      </c>
      <c r="G391" s="25">
        <v>145.0</v>
      </c>
      <c r="H391" s="25">
        <v>10.0</v>
      </c>
      <c r="I391" s="26">
        <f t="array" ref="I391">XLOOKUP($A391,product!A:A,product!E:E)</f>
        <v>4.24</v>
      </c>
      <c r="J391" s="25">
        <f t="shared" si="2"/>
        <v>42.4</v>
      </c>
      <c r="K391" s="27">
        <f t="shared" si="3"/>
        <v>1</v>
      </c>
      <c r="L391" s="25">
        <f t="shared" si="4"/>
        <v>1</v>
      </c>
    </row>
    <row r="392">
      <c r="A392" s="19">
        <v>109386.0</v>
      </c>
      <c r="B392" s="20" t="str">
        <f t="array" ref="B392">xlookup($A392,product!$A:$A,product!B:B)</f>
        <v>Beauté &amp; Hygiène</v>
      </c>
      <c r="C392" s="20" t="str">
        <f t="array" ref="C392">xlookup($A392,product!$A:$A,product!C:C)</f>
        <v>Hygiène</v>
      </c>
      <c r="D392" s="20" t="str">
        <f t="array" ref="D392">xlookup($A392,product!$A:$A,product!D:D)</f>
        <v>Soins dentaires</v>
      </c>
      <c r="E392" s="4" t="str">
        <f t="shared" si="1"/>
        <v>109386-Hygiène-Soins dentaires</v>
      </c>
      <c r="F392" s="4">
        <v>0.0</v>
      </c>
      <c r="G392" s="4">
        <v>205.0</v>
      </c>
      <c r="H392" s="4">
        <v>111.0</v>
      </c>
      <c r="I392" s="21">
        <f t="array" ref="I392">XLOOKUP($A392,product!A:A,product!E:E)</f>
        <v>1.76</v>
      </c>
      <c r="J392" s="4">
        <f t="shared" si="2"/>
        <v>195.36</v>
      </c>
      <c r="K392" s="22">
        <f t="shared" si="3"/>
        <v>1</v>
      </c>
      <c r="L392" s="4">
        <f t="shared" si="4"/>
        <v>1</v>
      </c>
    </row>
    <row r="393">
      <c r="A393" s="23">
        <v>118972.0</v>
      </c>
      <c r="B393" s="24" t="str">
        <f t="array" ref="B393">xlookup($A393,product!$A:$A,product!B:B)</f>
        <v>Beauté &amp; Hygiène</v>
      </c>
      <c r="C393" s="24" t="str">
        <f t="array" ref="C393">xlookup($A393,product!$A:$A,product!C:C)</f>
        <v>Hygiène</v>
      </c>
      <c r="D393" s="24" t="str">
        <f t="array" ref="D393">xlookup($A393,product!$A:$A,product!D:D)</f>
        <v>Soins dentaires</v>
      </c>
      <c r="E393" s="25" t="str">
        <f t="shared" si="1"/>
        <v>118972-Hygiène-Soins dentaires</v>
      </c>
      <c r="F393" s="25">
        <v>1.0</v>
      </c>
      <c r="G393" s="25">
        <v>712.0</v>
      </c>
      <c r="H393" s="25">
        <v>266.0</v>
      </c>
      <c r="I393" s="26">
        <f t="array" ref="I393">XLOOKUP($A393,product!A:A,product!E:E)</f>
        <v>1.28</v>
      </c>
      <c r="J393" s="25">
        <f t="shared" si="2"/>
        <v>340.48</v>
      </c>
      <c r="K393" s="27">
        <f t="shared" si="3"/>
        <v>1</v>
      </c>
      <c r="L393" s="25">
        <f t="shared" si="4"/>
        <v>1</v>
      </c>
    </row>
    <row r="394">
      <c r="A394" s="19">
        <v>100412.0</v>
      </c>
      <c r="B394" s="20" t="str">
        <f t="array" ref="B394">xlookup($A394,product!$A:$A,product!B:B)</f>
        <v>Beauté &amp; Hygiène</v>
      </c>
      <c r="C394" s="20" t="str">
        <f t="array" ref="C394">xlookup($A394,product!$A:$A,product!C:C)</f>
        <v>Hygiène</v>
      </c>
      <c r="D394" s="20" t="str">
        <f t="array" ref="D394">xlookup($A394,product!$A:$A,product!D:D)</f>
        <v>Soins dentaires</v>
      </c>
      <c r="E394" s="4" t="str">
        <f t="shared" si="1"/>
        <v>100412-Hygiène-Soins dentaires</v>
      </c>
      <c r="F394" s="4">
        <v>0.0</v>
      </c>
      <c r="G394" s="4">
        <v>258.0</v>
      </c>
      <c r="H394" s="4">
        <v>221.0</v>
      </c>
      <c r="I394" s="21">
        <f t="array" ref="I394">XLOOKUP($A394,product!A:A,product!E:E)</f>
        <v>2.29</v>
      </c>
      <c r="J394" s="4">
        <f t="shared" si="2"/>
        <v>506.09</v>
      </c>
      <c r="K394" s="22">
        <f t="shared" si="3"/>
        <v>1</v>
      </c>
      <c r="L394" s="4">
        <f t="shared" si="4"/>
        <v>1</v>
      </c>
    </row>
    <row r="395">
      <c r="A395" s="23">
        <v>73259.0</v>
      </c>
      <c r="B395" s="24" t="str">
        <f t="array" ref="B395">xlookup($A395,product!$A:$A,product!B:B)</f>
        <v>Beauté &amp; Hygiène</v>
      </c>
      <c r="C395" s="24" t="str">
        <f t="array" ref="C395">xlookup($A395,product!$A:$A,product!C:C)</f>
        <v>Hygiène</v>
      </c>
      <c r="D395" s="24" t="str">
        <f t="array" ref="D395">xlookup($A395,product!$A:$A,product!D:D)</f>
        <v>Soins dentaires</v>
      </c>
      <c r="E395" s="25" t="str">
        <f t="shared" si="1"/>
        <v>73259-Hygiène-Soins dentaires</v>
      </c>
      <c r="F395" s="25">
        <v>1.0</v>
      </c>
      <c r="G395" s="25">
        <v>78.0</v>
      </c>
      <c r="H395" s="25">
        <v>65.0</v>
      </c>
      <c r="I395" s="26">
        <f t="array" ref="I395">XLOOKUP($A395,product!A:A,product!E:E)</f>
        <v>1.26</v>
      </c>
      <c r="J395" s="25">
        <f t="shared" si="2"/>
        <v>81.9</v>
      </c>
      <c r="K395" s="27">
        <f t="shared" si="3"/>
        <v>1</v>
      </c>
      <c r="L395" s="25">
        <f t="shared" si="4"/>
        <v>1</v>
      </c>
    </row>
    <row r="396">
      <c r="A396" s="19">
        <v>116888.0</v>
      </c>
      <c r="B396" s="20" t="str">
        <f t="array" ref="B396">xlookup($A396,product!$A:$A,product!B:B)</f>
        <v>Beauté &amp; Hygiène</v>
      </c>
      <c r="C396" s="20" t="str">
        <f t="array" ref="C396">xlookup($A396,product!$A:$A,product!C:C)</f>
        <v>Hygiène</v>
      </c>
      <c r="D396" s="20" t="str">
        <f t="array" ref="D396">xlookup($A396,product!$A:$A,product!D:D)</f>
        <v>Soins dentaires</v>
      </c>
      <c r="E396" s="4" t="str">
        <f t="shared" si="1"/>
        <v>116888-Hygiène-Soins dentaires</v>
      </c>
      <c r="F396" s="4">
        <v>0.0</v>
      </c>
      <c r="G396" s="4">
        <v>448.0</v>
      </c>
      <c r="H396" s="4">
        <v>21.0</v>
      </c>
      <c r="I396" s="21">
        <f t="array" ref="I396">XLOOKUP($A396,product!A:A,product!E:E)</f>
        <v>1.31</v>
      </c>
      <c r="J396" s="4">
        <f t="shared" si="2"/>
        <v>27.51</v>
      </c>
      <c r="K396" s="22">
        <f t="shared" si="3"/>
        <v>1</v>
      </c>
      <c r="L396" s="4">
        <f t="shared" si="4"/>
        <v>1</v>
      </c>
    </row>
    <row r="397">
      <c r="A397" s="23">
        <v>102086.0</v>
      </c>
      <c r="B397" s="24" t="str">
        <f t="array" ref="B397">xlookup($A397,product!$A:$A,product!B:B)</f>
        <v>Beauté &amp; Hygiène</v>
      </c>
      <c r="C397" s="24" t="str">
        <f t="array" ref="C397">xlookup($A397,product!$A:$A,product!C:C)</f>
        <v>Hygiène</v>
      </c>
      <c r="D397" s="24" t="str">
        <f t="array" ref="D397">xlookup($A397,product!$A:$A,product!D:D)</f>
        <v>Soins dentaires</v>
      </c>
      <c r="E397" s="25" t="str">
        <f t="shared" si="1"/>
        <v>102086-Hygiène-Soins dentaires</v>
      </c>
      <c r="F397" s="25">
        <v>1.0</v>
      </c>
      <c r="G397" s="25">
        <v>639.0</v>
      </c>
      <c r="H397" s="25">
        <v>450.0</v>
      </c>
      <c r="I397" s="26">
        <f t="array" ref="I397">XLOOKUP($A397,product!A:A,product!E:E)</f>
        <v>2.4</v>
      </c>
      <c r="J397" s="25">
        <f t="shared" si="2"/>
        <v>1080</v>
      </c>
      <c r="K397" s="27">
        <f t="shared" si="3"/>
        <v>1</v>
      </c>
      <c r="L397" s="25">
        <f t="shared" si="4"/>
        <v>1</v>
      </c>
    </row>
    <row r="398">
      <c r="A398" s="19">
        <v>108892.0</v>
      </c>
      <c r="B398" s="20" t="str">
        <f t="array" ref="B398">xlookup($A398,product!$A:$A,product!B:B)</f>
        <v>Beauté &amp; Hygiène</v>
      </c>
      <c r="C398" s="20" t="str">
        <f t="array" ref="C398">xlookup($A398,product!$A:$A,product!C:C)</f>
        <v>Hygiène</v>
      </c>
      <c r="D398" s="20" t="str">
        <f t="array" ref="D398">xlookup($A398,product!$A:$A,product!D:D)</f>
        <v>Soins dentaires</v>
      </c>
      <c r="E398" s="4" t="str">
        <f t="shared" si="1"/>
        <v>108892-Hygiène-Soins dentaires</v>
      </c>
      <c r="F398" s="4">
        <v>1.0</v>
      </c>
      <c r="G398" s="4">
        <v>68.0</v>
      </c>
      <c r="H398" s="4">
        <v>35.0</v>
      </c>
      <c r="I398" s="21">
        <f t="array" ref="I398">XLOOKUP($A398,product!A:A,product!E:E)</f>
        <v>1.94</v>
      </c>
      <c r="J398" s="4">
        <f t="shared" si="2"/>
        <v>67.9</v>
      </c>
      <c r="K398" s="22">
        <f t="shared" si="3"/>
        <v>1</v>
      </c>
      <c r="L398" s="4">
        <f t="shared" si="4"/>
        <v>1</v>
      </c>
    </row>
    <row r="399">
      <c r="A399" s="23">
        <v>110935.0</v>
      </c>
      <c r="B399" s="24" t="str">
        <f t="array" ref="B399">xlookup($A399,product!$A:$A,product!B:B)</f>
        <v>Beauté &amp; Hygiène</v>
      </c>
      <c r="C399" s="24" t="str">
        <f t="array" ref="C399">xlookup($A399,product!$A:$A,product!C:C)</f>
        <v>Hygiène</v>
      </c>
      <c r="D399" s="24" t="str">
        <f t="array" ref="D399">xlookup($A399,product!$A:$A,product!D:D)</f>
        <v>Soins dentaires</v>
      </c>
      <c r="E399" s="25" t="str">
        <f t="shared" si="1"/>
        <v>110935-Hygiène-Soins dentaires</v>
      </c>
      <c r="F399" s="25">
        <v>1.0</v>
      </c>
      <c r="G399" s="25">
        <v>841.0</v>
      </c>
      <c r="H399" s="25">
        <v>663.0</v>
      </c>
      <c r="I399" s="26">
        <f t="array" ref="I399">XLOOKUP($A399,product!A:A,product!E:E)</f>
        <v>4.96</v>
      </c>
      <c r="J399" s="25">
        <f t="shared" si="2"/>
        <v>3288.48</v>
      </c>
      <c r="K399" s="27">
        <f t="shared" si="3"/>
        <v>1</v>
      </c>
      <c r="L399" s="25">
        <f t="shared" si="4"/>
        <v>1</v>
      </c>
    </row>
    <row r="400">
      <c r="A400" s="19">
        <v>103599.0</v>
      </c>
      <c r="B400" s="20" t="str">
        <f t="array" ref="B400">xlookup($A400,product!$A:$A,product!B:B)</f>
        <v>Beauté &amp; Hygiène</v>
      </c>
      <c r="C400" s="20" t="str">
        <f t="array" ref="C400">xlookup($A400,product!$A:$A,product!C:C)</f>
        <v>Hygiène</v>
      </c>
      <c r="D400" s="20" t="str">
        <f t="array" ref="D400">xlookup($A400,product!$A:$A,product!D:D)</f>
        <v>Soins dentaires</v>
      </c>
      <c r="E400" s="4" t="str">
        <f t="shared" si="1"/>
        <v>103599-Hygiène-Soins dentaires</v>
      </c>
      <c r="F400" s="4">
        <v>1.0</v>
      </c>
      <c r="G400" s="4">
        <v>70.0</v>
      </c>
      <c r="H400" s="4">
        <v>24.0</v>
      </c>
      <c r="I400" s="21">
        <f t="array" ref="I400">XLOOKUP($A400,product!A:A,product!E:E)</f>
        <v>1.3</v>
      </c>
      <c r="J400" s="4">
        <f t="shared" si="2"/>
        <v>31.2</v>
      </c>
      <c r="K400" s="22">
        <f t="shared" si="3"/>
        <v>1</v>
      </c>
      <c r="L400" s="4">
        <f t="shared" si="4"/>
        <v>1</v>
      </c>
    </row>
    <row r="401">
      <c r="A401" s="23">
        <v>108811.0</v>
      </c>
      <c r="B401" s="24" t="str">
        <f t="array" ref="B401">xlookup($A401,product!$A:$A,product!B:B)</f>
        <v>Beauté &amp; Hygiène</v>
      </c>
      <c r="C401" s="24" t="str">
        <f t="array" ref="C401">xlookup($A401,product!$A:$A,product!C:C)</f>
        <v>Hygiène</v>
      </c>
      <c r="D401" s="24" t="str">
        <f t="array" ref="D401">xlookup($A401,product!$A:$A,product!D:D)</f>
        <v>Soins dentaires</v>
      </c>
      <c r="E401" s="25" t="str">
        <f t="shared" si="1"/>
        <v>108811-Hygiène-Soins dentaires</v>
      </c>
      <c r="F401" s="25">
        <v>1.0</v>
      </c>
      <c r="G401" s="25">
        <v>853.0</v>
      </c>
      <c r="H401" s="25">
        <v>533.0</v>
      </c>
      <c r="I401" s="26">
        <f t="array" ref="I401">XLOOKUP($A401,product!A:A,product!E:E)</f>
        <v>6.34</v>
      </c>
      <c r="J401" s="25">
        <f t="shared" si="2"/>
        <v>3379.22</v>
      </c>
      <c r="K401" s="27">
        <f t="shared" si="3"/>
        <v>1</v>
      </c>
      <c r="L401" s="25">
        <f t="shared" si="4"/>
        <v>1</v>
      </c>
    </row>
    <row r="402">
      <c r="A402" s="19">
        <v>2202.0</v>
      </c>
      <c r="B402" s="20" t="str">
        <f t="array" ref="B402">xlookup($A402,product!$A:$A,product!B:B)</f>
        <v>Beauté &amp; Hygiène</v>
      </c>
      <c r="C402" s="20" t="str">
        <f t="array" ref="C402">xlookup($A402,product!$A:$A,product!C:C)</f>
        <v>Hygiène</v>
      </c>
      <c r="D402" s="20" t="str">
        <f t="array" ref="D402">xlookup($A402,product!$A:$A,product!D:D)</f>
        <v>Soins dentaires</v>
      </c>
      <c r="E402" s="4" t="str">
        <f t="shared" si="1"/>
        <v>2202-Hygiène-Soins dentaires</v>
      </c>
      <c r="F402" s="4">
        <v>1.0</v>
      </c>
      <c r="G402" s="4">
        <v>178.0</v>
      </c>
      <c r="H402" s="4">
        <v>106.0</v>
      </c>
      <c r="I402" s="21">
        <f t="array" ref="I402">XLOOKUP($A402,product!A:A,product!E:E)</f>
        <v>3.12</v>
      </c>
      <c r="J402" s="4">
        <f t="shared" si="2"/>
        <v>330.72</v>
      </c>
      <c r="K402" s="22">
        <f t="shared" si="3"/>
        <v>1</v>
      </c>
      <c r="L402" s="4">
        <f t="shared" si="4"/>
        <v>1</v>
      </c>
    </row>
    <row r="403">
      <c r="A403" s="23">
        <v>122789.0</v>
      </c>
      <c r="B403" s="24" t="str">
        <f t="array" ref="B403">xlookup($A403,product!$A:$A,product!B:B)</f>
        <v>Beauté &amp; Hygiène</v>
      </c>
      <c r="C403" s="24" t="str">
        <f t="array" ref="C403">xlookup($A403,product!$A:$A,product!C:C)</f>
        <v>Hygiène</v>
      </c>
      <c r="D403" s="24" t="str">
        <f t="array" ref="D403">xlookup($A403,product!$A:$A,product!D:D)</f>
        <v>Soins dentaires</v>
      </c>
      <c r="E403" s="25" t="str">
        <f t="shared" si="1"/>
        <v>122789-Hygiène-Soins dentaires</v>
      </c>
      <c r="F403" s="25">
        <v>1.0</v>
      </c>
      <c r="G403" s="25">
        <v>768.0</v>
      </c>
      <c r="H403" s="25">
        <v>267.0</v>
      </c>
      <c r="I403" s="26">
        <f t="array" ref="I403">XLOOKUP($A403,product!A:A,product!E:E)</f>
        <v>3.91</v>
      </c>
      <c r="J403" s="25">
        <f t="shared" si="2"/>
        <v>1043.97</v>
      </c>
      <c r="K403" s="27">
        <f t="shared" si="3"/>
        <v>1</v>
      </c>
      <c r="L403" s="25">
        <f t="shared" si="4"/>
        <v>1</v>
      </c>
    </row>
    <row r="404">
      <c r="A404" s="19">
        <v>101563.0</v>
      </c>
      <c r="B404" s="20" t="str">
        <f t="array" ref="B404">xlookup($A404,product!$A:$A,product!B:B)</f>
        <v>Beauté &amp; Hygiène</v>
      </c>
      <c r="C404" s="20" t="str">
        <f t="array" ref="C404">xlookup($A404,product!$A:$A,product!C:C)</f>
        <v>Hygiène</v>
      </c>
      <c r="D404" s="20" t="str">
        <f t="array" ref="D404">xlookup($A404,product!$A:$A,product!D:D)</f>
        <v>Soins dentaires</v>
      </c>
      <c r="E404" s="4" t="str">
        <f t="shared" si="1"/>
        <v>101563-Hygiène-Soins dentaires</v>
      </c>
      <c r="F404" s="4">
        <v>0.0</v>
      </c>
      <c r="G404" s="4">
        <v>47.0</v>
      </c>
      <c r="H404" s="4">
        <v>15.0</v>
      </c>
      <c r="I404" s="21">
        <f t="array" ref="I404">XLOOKUP($A404,product!A:A,product!E:E)</f>
        <v>1.52</v>
      </c>
      <c r="J404" s="4">
        <f t="shared" si="2"/>
        <v>22.8</v>
      </c>
      <c r="K404" s="22">
        <f t="shared" si="3"/>
        <v>1</v>
      </c>
      <c r="L404" s="4">
        <f t="shared" si="4"/>
        <v>1</v>
      </c>
    </row>
    <row r="405">
      <c r="A405" s="23">
        <v>110934.0</v>
      </c>
      <c r="B405" s="24" t="str">
        <f t="array" ref="B405">xlookup($A405,product!$A:$A,product!B:B)</f>
        <v>Beauté &amp; Hygiène</v>
      </c>
      <c r="C405" s="24" t="str">
        <f t="array" ref="C405">xlookup($A405,product!$A:$A,product!C:C)</f>
        <v>Hygiène</v>
      </c>
      <c r="D405" s="24" t="str">
        <f t="array" ref="D405">xlookup($A405,product!$A:$A,product!D:D)</f>
        <v>Soins dentaires</v>
      </c>
      <c r="E405" s="25" t="str">
        <f t="shared" si="1"/>
        <v>110934-Hygiène-Soins dentaires</v>
      </c>
      <c r="F405" s="25">
        <v>0.0</v>
      </c>
      <c r="G405" s="25">
        <v>178.0</v>
      </c>
      <c r="H405" s="25">
        <v>164.0</v>
      </c>
      <c r="I405" s="26">
        <f t="array" ref="I405">XLOOKUP($A405,product!A:A,product!E:E)</f>
        <v>4.18</v>
      </c>
      <c r="J405" s="25">
        <f t="shared" si="2"/>
        <v>685.52</v>
      </c>
      <c r="K405" s="27">
        <f t="shared" si="3"/>
        <v>1</v>
      </c>
      <c r="L405" s="25">
        <f t="shared" si="4"/>
        <v>1</v>
      </c>
    </row>
    <row r="406">
      <c r="A406" s="19">
        <v>110147.0</v>
      </c>
      <c r="B406" s="20" t="str">
        <f t="array" ref="B406">xlookup($A406,product!$A:$A,product!B:B)</f>
        <v>Beauté &amp; Hygiène</v>
      </c>
      <c r="C406" s="20" t="str">
        <f t="array" ref="C406">xlookup($A406,product!$A:$A,product!C:C)</f>
        <v>Hygiène</v>
      </c>
      <c r="D406" s="20" t="str">
        <f t="array" ref="D406">xlookup($A406,product!$A:$A,product!D:D)</f>
        <v>Soins dentaires</v>
      </c>
      <c r="E406" s="4" t="str">
        <f t="shared" si="1"/>
        <v>110147-Hygiène-Soins dentaires</v>
      </c>
      <c r="F406" s="4">
        <v>1.0</v>
      </c>
      <c r="G406" s="4">
        <v>40.0</v>
      </c>
      <c r="H406" s="4">
        <v>34.0</v>
      </c>
      <c r="I406" s="21">
        <f t="array" ref="I406">XLOOKUP($A406,product!A:A,product!E:E)</f>
        <v>1.97</v>
      </c>
      <c r="J406" s="4">
        <f t="shared" si="2"/>
        <v>66.98</v>
      </c>
      <c r="K406" s="22">
        <f t="shared" si="3"/>
        <v>1</v>
      </c>
      <c r="L406" s="4">
        <f t="shared" si="4"/>
        <v>1</v>
      </c>
    </row>
    <row r="407">
      <c r="A407" s="23">
        <v>104135.0</v>
      </c>
      <c r="B407" s="24" t="str">
        <f t="array" ref="B407">xlookup($A407,product!$A:$A,product!B:B)</f>
        <v>Beauté &amp; Hygiène</v>
      </c>
      <c r="C407" s="24" t="str">
        <f t="array" ref="C407">xlookup($A407,product!$A:$A,product!C:C)</f>
        <v>Hygiène</v>
      </c>
      <c r="D407" s="24" t="str">
        <f t="array" ref="D407">xlookup($A407,product!$A:$A,product!D:D)</f>
        <v>Soins dentaires</v>
      </c>
      <c r="E407" s="25" t="str">
        <f t="shared" si="1"/>
        <v>104135-Hygiène-Soins dentaires</v>
      </c>
      <c r="F407" s="25">
        <v>1.0</v>
      </c>
      <c r="G407" s="25">
        <v>7.0</v>
      </c>
      <c r="H407" s="25">
        <v>3.0</v>
      </c>
      <c r="I407" s="26">
        <f t="array" ref="I407">XLOOKUP($A407,product!A:A,product!E:E)</f>
        <v>2.18</v>
      </c>
      <c r="J407" s="25">
        <f t="shared" si="2"/>
        <v>6.54</v>
      </c>
      <c r="K407" s="27">
        <f t="shared" si="3"/>
        <v>1</v>
      </c>
      <c r="L407" s="25">
        <f t="shared" si="4"/>
        <v>1</v>
      </c>
    </row>
    <row r="408">
      <c r="A408" s="19">
        <v>101559.0</v>
      </c>
      <c r="B408" s="20" t="str">
        <f t="array" ref="B408">xlookup($A408,product!$A:$A,product!B:B)</f>
        <v>Beauté &amp; Hygiène</v>
      </c>
      <c r="C408" s="20" t="str">
        <f t="array" ref="C408">xlookup($A408,product!$A:$A,product!C:C)</f>
        <v>Hygiène</v>
      </c>
      <c r="D408" s="20" t="str">
        <f t="array" ref="D408">xlookup($A408,product!$A:$A,product!D:D)</f>
        <v>Soins dentaires</v>
      </c>
      <c r="E408" s="4" t="str">
        <f t="shared" si="1"/>
        <v>101559-Hygiène-Soins dentaires</v>
      </c>
      <c r="F408" s="4">
        <v>1.0</v>
      </c>
      <c r="G408" s="4">
        <v>555.0</v>
      </c>
      <c r="H408" s="4">
        <v>549.0</v>
      </c>
      <c r="I408" s="21">
        <f t="array" ref="I408">XLOOKUP($A408,product!A:A,product!E:E)</f>
        <v>3.31</v>
      </c>
      <c r="J408" s="4">
        <f t="shared" si="2"/>
        <v>1817.19</v>
      </c>
      <c r="K408" s="22">
        <f t="shared" si="3"/>
        <v>1</v>
      </c>
      <c r="L408" s="4">
        <f t="shared" si="4"/>
        <v>1</v>
      </c>
    </row>
    <row r="409">
      <c r="A409" s="23">
        <v>129340.0</v>
      </c>
      <c r="B409" s="24" t="str">
        <f t="array" ref="B409">xlookup($A409,product!$A:$A,product!B:B)</f>
        <v>Beauté &amp; Hygiène</v>
      </c>
      <c r="C409" s="24" t="str">
        <f t="array" ref="C409">xlookup($A409,product!$A:$A,product!C:C)</f>
        <v>Hygiène</v>
      </c>
      <c r="D409" s="24" t="str">
        <f t="array" ref="D409">xlookup($A409,product!$A:$A,product!D:D)</f>
        <v>Soins dentaires</v>
      </c>
      <c r="E409" s="25" t="str">
        <f t="shared" si="1"/>
        <v>129340-Hygiène-Soins dentaires</v>
      </c>
      <c r="F409" s="25">
        <v>1.0</v>
      </c>
      <c r="G409" s="25">
        <v>649.0</v>
      </c>
      <c r="H409" s="25">
        <v>407.0</v>
      </c>
      <c r="I409" s="26">
        <f t="array" ref="I409">XLOOKUP($A409,product!A:A,product!E:E)</f>
        <v>5.17</v>
      </c>
      <c r="J409" s="25">
        <f t="shared" si="2"/>
        <v>2104.19</v>
      </c>
      <c r="K409" s="27">
        <f t="shared" si="3"/>
        <v>1</v>
      </c>
      <c r="L409" s="25">
        <f t="shared" si="4"/>
        <v>1</v>
      </c>
    </row>
    <row r="410">
      <c r="A410" s="19">
        <v>103609.0</v>
      </c>
      <c r="B410" s="20" t="str">
        <f t="array" ref="B410">xlookup($A410,product!$A:$A,product!B:B)</f>
        <v>Beauté &amp; Hygiène</v>
      </c>
      <c r="C410" s="20" t="str">
        <f t="array" ref="C410">xlookup($A410,product!$A:$A,product!C:C)</f>
        <v>Hygiène</v>
      </c>
      <c r="D410" s="20" t="str">
        <f t="array" ref="D410">xlookup($A410,product!$A:$A,product!D:D)</f>
        <v>Soins dentaires</v>
      </c>
      <c r="E410" s="4" t="str">
        <f t="shared" si="1"/>
        <v>103609-Hygiène-Soins dentaires</v>
      </c>
      <c r="F410" s="4">
        <v>0.0</v>
      </c>
      <c r="G410" s="4">
        <v>180.0</v>
      </c>
      <c r="H410" s="4">
        <v>115.0</v>
      </c>
      <c r="I410" s="21">
        <f t="array" ref="I410">XLOOKUP($A410,product!A:A,product!E:E)</f>
        <v>1.45</v>
      </c>
      <c r="J410" s="4">
        <f t="shared" si="2"/>
        <v>166.75</v>
      </c>
      <c r="K410" s="22">
        <f t="shared" si="3"/>
        <v>1</v>
      </c>
      <c r="L410" s="4">
        <f t="shared" si="4"/>
        <v>1</v>
      </c>
    </row>
    <row r="411">
      <c r="A411" s="23">
        <v>122499.0</v>
      </c>
      <c r="B411" s="24" t="str">
        <f t="array" ref="B411">xlookup($A411,product!$A:$A,product!B:B)</f>
        <v>Beauté &amp; Hygiène</v>
      </c>
      <c r="C411" s="24" t="str">
        <f t="array" ref="C411">xlookup($A411,product!$A:$A,product!C:C)</f>
        <v>Hygiène</v>
      </c>
      <c r="D411" s="24" t="str">
        <f t="array" ref="D411">xlookup($A411,product!$A:$A,product!D:D)</f>
        <v>Soins dentaires</v>
      </c>
      <c r="E411" s="25" t="str">
        <f t="shared" si="1"/>
        <v>122499-Hygiène-Soins dentaires</v>
      </c>
      <c r="F411" s="25">
        <v>0.0</v>
      </c>
      <c r="G411" s="25">
        <v>456.0</v>
      </c>
      <c r="H411" s="25">
        <v>259.0</v>
      </c>
      <c r="I411" s="26">
        <f t="array" ref="I411">XLOOKUP($A411,product!A:A,product!E:E)</f>
        <v>2.56</v>
      </c>
      <c r="J411" s="25">
        <f t="shared" si="2"/>
        <v>663.04</v>
      </c>
      <c r="K411" s="27">
        <f t="shared" si="3"/>
        <v>1</v>
      </c>
      <c r="L411" s="25">
        <f t="shared" si="4"/>
        <v>1</v>
      </c>
    </row>
    <row r="412">
      <c r="A412" s="19">
        <v>117311.0</v>
      </c>
      <c r="B412" s="20" t="str">
        <f t="array" ref="B412">xlookup($A412,product!$A:$A,product!B:B)</f>
        <v>Beauté &amp; Hygiène</v>
      </c>
      <c r="C412" s="20" t="str">
        <f t="array" ref="C412">xlookup($A412,product!$A:$A,product!C:C)</f>
        <v>Hygiène</v>
      </c>
      <c r="D412" s="20" t="str">
        <f t="array" ref="D412">xlookup($A412,product!$A:$A,product!D:D)</f>
        <v>Soins dentaires</v>
      </c>
      <c r="E412" s="4" t="str">
        <f t="shared" si="1"/>
        <v>117311-Hygiène-Soins dentaires</v>
      </c>
      <c r="F412" s="4">
        <v>1.0</v>
      </c>
      <c r="G412" s="4">
        <v>888.0</v>
      </c>
      <c r="H412" s="4">
        <v>544.0</v>
      </c>
      <c r="I412" s="21">
        <f t="array" ref="I412">XLOOKUP($A412,product!A:A,product!E:E)</f>
        <v>4.42</v>
      </c>
      <c r="J412" s="4">
        <f t="shared" si="2"/>
        <v>2404.48</v>
      </c>
      <c r="K412" s="22">
        <f t="shared" si="3"/>
        <v>1</v>
      </c>
      <c r="L412" s="4">
        <f t="shared" si="4"/>
        <v>1</v>
      </c>
    </row>
    <row r="413">
      <c r="A413" s="23">
        <v>116670.0</v>
      </c>
      <c r="B413" s="24" t="str">
        <f t="array" ref="B413">xlookup($A413,product!$A:$A,product!B:B)</f>
        <v>Beauté &amp; Hygiène</v>
      </c>
      <c r="C413" s="24" t="str">
        <f t="array" ref="C413">xlookup($A413,product!$A:$A,product!C:C)</f>
        <v>Hygiène</v>
      </c>
      <c r="D413" s="24" t="str">
        <f t="array" ref="D413">xlookup($A413,product!$A:$A,product!D:D)</f>
        <v>Soins dentaires</v>
      </c>
      <c r="E413" s="25" t="str">
        <f t="shared" si="1"/>
        <v>116670-Hygiène-Soins dentaires</v>
      </c>
      <c r="F413" s="25">
        <v>1.0</v>
      </c>
      <c r="G413" s="25">
        <v>134.0</v>
      </c>
      <c r="H413" s="25">
        <v>106.0</v>
      </c>
      <c r="I413" s="26">
        <f t="array" ref="I413">XLOOKUP($A413,product!A:A,product!E:E)</f>
        <v>2.77</v>
      </c>
      <c r="J413" s="25">
        <f t="shared" si="2"/>
        <v>293.62</v>
      </c>
      <c r="K413" s="27">
        <f t="shared" si="3"/>
        <v>1</v>
      </c>
      <c r="L413" s="25">
        <f t="shared" si="4"/>
        <v>1</v>
      </c>
    </row>
    <row r="414">
      <c r="A414" s="19">
        <v>2204.0</v>
      </c>
      <c r="B414" s="20" t="str">
        <f t="array" ref="B414">xlookup($A414,product!$A:$A,product!B:B)</f>
        <v>Beauté &amp; Hygiène</v>
      </c>
      <c r="C414" s="20" t="str">
        <f t="array" ref="C414">xlookup($A414,product!$A:$A,product!C:C)</f>
        <v>Hygiène</v>
      </c>
      <c r="D414" s="20" t="str">
        <f t="array" ref="D414">xlookup($A414,product!$A:$A,product!D:D)</f>
        <v>Soins dentaires</v>
      </c>
      <c r="E414" s="4" t="str">
        <f t="shared" si="1"/>
        <v>2204-Hygiène-Soins dentaires</v>
      </c>
      <c r="F414" s="4">
        <v>1.0</v>
      </c>
      <c r="G414" s="4">
        <v>425.0</v>
      </c>
      <c r="H414" s="4">
        <v>244.0</v>
      </c>
      <c r="I414" s="21">
        <f t="array" ref="I414">XLOOKUP($A414,product!A:A,product!E:E)</f>
        <v>2.67</v>
      </c>
      <c r="J414" s="4">
        <f t="shared" si="2"/>
        <v>651.48</v>
      </c>
      <c r="K414" s="22">
        <f t="shared" si="3"/>
        <v>1</v>
      </c>
      <c r="L414" s="4">
        <f t="shared" si="4"/>
        <v>1</v>
      </c>
    </row>
    <row r="415">
      <c r="A415" s="23">
        <v>104128.0</v>
      </c>
      <c r="B415" s="24" t="str">
        <f t="array" ref="B415">xlookup($A415,product!$A:$A,product!B:B)</f>
        <v>Beauté &amp; Hygiène</v>
      </c>
      <c r="C415" s="24" t="str">
        <f t="array" ref="C415">xlookup($A415,product!$A:$A,product!C:C)</f>
        <v>Hygiène</v>
      </c>
      <c r="D415" s="24" t="str">
        <f t="array" ref="D415">xlookup($A415,product!$A:$A,product!D:D)</f>
        <v>Soins dentaires</v>
      </c>
      <c r="E415" s="25" t="str">
        <f t="shared" si="1"/>
        <v>104128-Hygiène-Soins dentaires</v>
      </c>
      <c r="F415" s="25">
        <v>1.0</v>
      </c>
      <c r="G415" s="25">
        <v>833.0</v>
      </c>
      <c r="H415" s="25">
        <v>722.0</v>
      </c>
      <c r="I415" s="26">
        <f t="array" ref="I415">XLOOKUP($A415,product!A:A,product!E:E)</f>
        <v>1.92</v>
      </c>
      <c r="J415" s="25">
        <f t="shared" si="2"/>
        <v>1386.24</v>
      </c>
      <c r="K415" s="27">
        <f t="shared" si="3"/>
        <v>1</v>
      </c>
      <c r="L415" s="25">
        <f t="shared" si="4"/>
        <v>1</v>
      </c>
    </row>
    <row r="416">
      <c r="A416" s="19">
        <v>103600.0</v>
      </c>
      <c r="B416" s="20" t="str">
        <f t="array" ref="B416">xlookup($A416,product!$A:$A,product!B:B)</f>
        <v>Beauté &amp; Hygiène</v>
      </c>
      <c r="C416" s="20" t="str">
        <f t="array" ref="C416">xlookup($A416,product!$A:$A,product!C:C)</f>
        <v>Hygiène</v>
      </c>
      <c r="D416" s="20" t="str">
        <f t="array" ref="D416">xlookup($A416,product!$A:$A,product!D:D)</f>
        <v>Soins dentaires</v>
      </c>
      <c r="E416" s="4" t="str">
        <f t="shared" si="1"/>
        <v>103600-Hygiène-Soins dentaires</v>
      </c>
      <c r="F416" s="4">
        <v>1.0</v>
      </c>
      <c r="G416" s="4">
        <v>681.0</v>
      </c>
      <c r="H416" s="4">
        <v>108.0</v>
      </c>
      <c r="I416" s="21">
        <f t="array" ref="I416">XLOOKUP($A416,product!A:A,product!E:E)</f>
        <v>1.3</v>
      </c>
      <c r="J416" s="4">
        <f t="shared" si="2"/>
        <v>140.4</v>
      </c>
      <c r="K416" s="22">
        <f t="shared" si="3"/>
        <v>1</v>
      </c>
      <c r="L416" s="4">
        <f t="shared" si="4"/>
        <v>1</v>
      </c>
    </row>
    <row r="417">
      <c r="A417" s="23">
        <v>108802.0</v>
      </c>
      <c r="B417" s="24" t="str">
        <f t="array" ref="B417">xlookup($A417,product!$A:$A,product!B:B)</f>
        <v>Beauté &amp; Hygiène</v>
      </c>
      <c r="C417" s="24" t="str">
        <f t="array" ref="C417">xlookup($A417,product!$A:$A,product!C:C)</f>
        <v>Hygiène</v>
      </c>
      <c r="D417" s="24" t="str">
        <f t="array" ref="D417">xlookup($A417,product!$A:$A,product!D:D)</f>
        <v>Soins dentaires</v>
      </c>
      <c r="E417" s="25" t="str">
        <f t="shared" si="1"/>
        <v>108802-Hygiène-Soins dentaires</v>
      </c>
      <c r="F417" s="25">
        <v>1.0</v>
      </c>
      <c r="G417" s="25">
        <v>88.0</v>
      </c>
      <c r="H417" s="25">
        <v>21.0</v>
      </c>
      <c r="I417" s="26">
        <f t="array" ref="I417">XLOOKUP($A417,product!A:A,product!E:E)</f>
        <v>1.47</v>
      </c>
      <c r="J417" s="25">
        <f t="shared" si="2"/>
        <v>30.87</v>
      </c>
      <c r="K417" s="27">
        <f t="shared" si="3"/>
        <v>1</v>
      </c>
      <c r="L417" s="25">
        <f t="shared" si="4"/>
        <v>1</v>
      </c>
    </row>
    <row r="418">
      <c r="A418" s="19">
        <v>201034.0</v>
      </c>
      <c r="B418" s="20" t="str">
        <f t="array" ref="B418">xlookup($A418,product!$A:$A,product!B:B)</f>
        <v>Beauté &amp; Hygiène</v>
      </c>
      <c r="C418" s="20" t="str">
        <f t="array" ref="C418">xlookup($A418,product!$A:$A,product!C:C)</f>
        <v>Hygiène</v>
      </c>
      <c r="D418" s="20" t="str">
        <f t="array" ref="D418">xlookup($A418,product!$A:$A,product!D:D)</f>
        <v>Soins dentaires</v>
      </c>
      <c r="E418" s="4" t="str">
        <f t="shared" si="1"/>
        <v>201034-Hygiène-Soins dentaires</v>
      </c>
      <c r="F418" s="4">
        <v>1.0</v>
      </c>
      <c r="G418" s="4">
        <v>127.0</v>
      </c>
      <c r="H418" s="4">
        <v>105.0</v>
      </c>
      <c r="I418" s="21">
        <f t="array" ref="I418">XLOOKUP($A418,product!A:A,product!E:E)</f>
        <v>3.46</v>
      </c>
      <c r="J418" s="4">
        <f t="shared" si="2"/>
        <v>363.3</v>
      </c>
      <c r="K418" s="22">
        <f t="shared" si="3"/>
        <v>1</v>
      </c>
      <c r="L418" s="4">
        <f t="shared" si="4"/>
        <v>1</v>
      </c>
    </row>
    <row r="419">
      <c r="A419" s="23">
        <v>6522.0</v>
      </c>
      <c r="B419" s="24" t="str">
        <f t="array" ref="B419">xlookup($A419,product!$A:$A,product!B:B)</f>
        <v>Beauté &amp; Hygiène</v>
      </c>
      <c r="C419" s="24" t="str">
        <f t="array" ref="C419">xlookup($A419,product!$A:$A,product!C:C)</f>
        <v>Hygiène</v>
      </c>
      <c r="D419" s="24" t="str">
        <f t="array" ref="D419">xlookup($A419,product!$A:$A,product!D:D)</f>
        <v>Soins dentaires</v>
      </c>
      <c r="E419" s="25" t="str">
        <f t="shared" si="1"/>
        <v>6522-Hygiène-Soins dentaires</v>
      </c>
      <c r="F419" s="25">
        <v>0.0</v>
      </c>
      <c r="G419" s="25">
        <v>73.0</v>
      </c>
      <c r="H419" s="25">
        <v>13.0</v>
      </c>
      <c r="I419" s="26">
        <f t="array" ref="I419">XLOOKUP($A419,product!A:A,product!E:E)</f>
        <v>2.53</v>
      </c>
      <c r="J419" s="25">
        <f t="shared" si="2"/>
        <v>32.89</v>
      </c>
      <c r="K419" s="27">
        <f t="shared" si="3"/>
        <v>1</v>
      </c>
      <c r="L419" s="25">
        <f t="shared" si="4"/>
        <v>1</v>
      </c>
    </row>
    <row r="420">
      <c r="A420" s="19">
        <v>77644.0</v>
      </c>
      <c r="B420" s="20" t="str">
        <f t="array" ref="B420">xlookup($A420,product!$A:$A,product!B:B)</f>
        <v>Beauté &amp; Hygiène</v>
      </c>
      <c r="C420" s="20" t="str">
        <f t="array" ref="C420">xlookup($A420,product!$A:$A,product!C:C)</f>
        <v>Hygiène</v>
      </c>
      <c r="D420" s="20" t="str">
        <f t="array" ref="D420">xlookup($A420,product!$A:$A,product!D:D)</f>
        <v>Soins dentaires</v>
      </c>
      <c r="E420" s="4" t="str">
        <f t="shared" si="1"/>
        <v>77644-Hygiène-Soins dentaires</v>
      </c>
      <c r="F420" s="4">
        <v>0.0</v>
      </c>
      <c r="G420" s="4">
        <v>745.0</v>
      </c>
      <c r="H420" s="4">
        <v>187.0</v>
      </c>
      <c r="I420" s="21">
        <f t="array" ref="I420">XLOOKUP($A420,product!A:A,product!E:E)</f>
        <v>3.46</v>
      </c>
      <c r="J420" s="4">
        <f t="shared" si="2"/>
        <v>647.02</v>
      </c>
      <c r="K420" s="22">
        <f t="shared" si="3"/>
        <v>1</v>
      </c>
      <c r="L420" s="4">
        <f t="shared" si="4"/>
        <v>1</v>
      </c>
    </row>
    <row r="421">
      <c r="A421" s="23">
        <v>3225.0</v>
      </c>
      <c r="B421" s="24" t="str">
        <f t="array" ref="B421">xlookup($A421,product!$A:$A,product!B:B)</f>
        <v>Beauté &amp; Hygiène</v>
      </c>
      <c r="C421" s="24" t="str">
        <f t="array" ref="C421">xlookup($A421,product!$A:$A,product!C:C)</f>
        <v>Hygiène</v>
      </c>
      <c r="D421" s="24" t="str">
        <f t="array" ref="D421">xlookup($A421,product!$A:$A,product!D:D)</f>
        <v>Soins dentaires</v>
      </c>
      <c r="E421" s="25" t="str">
        <f t="shared" si="1"/>
        <v>3225-Hygiène-Soins dentaires</v>
      </c>
      <c r="F421" s="25">
        <v>1.0</v>
      </c>
      <c r="G421" s="25">
        <v>585.0</v>
      </c>
      <c r="H421" s="25">
        <v>286.0</v>
      </c>
      <c r="I421" s="26">
        <f t="array" ref="I421">XLOOKUP($A421,product!A:A,product!E:E)</f>
        <v>2.88</v>
      </c>
      <c r="J421" s="25">
        <f t="shared" si="2"/>
        <v>823.68</v>
      </c>
      <c r="K421" s="27">
        <f t="shared" si="3"/>
        <v>1</v>
      </c>
      <c r="L421" s="25">
        <f t="shared" si="4"/>
        <v>1</v>
      </c>
    </row>
    <row r="422">
      <c r="A422" s="19">
        <v>158447.0</v>
      </c>
      <c r="B422" s="20" t="str">
        <f t="array" ref="B422">xlookup($A422,product!$A:$A,product!B:B)</f>
        <v>Beauté &amp; Hygiène</v>
      </c>
      <c r="C422" s="20" t="str">
        <f t="array" ref="C422">xlookup($A422,product!$A:$A,product!C:C)</f>
        <v>Hygiène</v>
      </c>
      <c r="D422" s="20" t="str">
        <f t="array" ref="D422">xlookup($A422,product!$A:$A,product!D:D)</f>
        <v>Soins dentaires</v>
      </c>
      <c r="E422" s="4" t="str">
        <f t="shared" si="1"/>
        <v>158447-Hygiène-Soins dentaires</v>
      </c>
      <c r="F422" s="4">
        <v>0.0</v>
      </c>
      <c r="G422" s="4">
        <v>176.0</v>
      </c>
      <c r="H422" s="4">
        <v>40.0</v>
      </c>
      <c r="I422" s="21">
        <f t="array" ref="I422">XLOOKUP($A422,product!A:A,product!E:E)</f>
        <v>4.65</v>
      </c>
      <c r="J422" s="4">
        <f t="shared" si="2"/>
        <v>186</v>
      </c>
      <c r="K422" s="22">
        <f t="shared" si="3"/>
        <v>1</v>
      </c>
      <c r="L422" s="4">
        <f t="shared" si="4"/>
        <v>1</v>
      </c>
    </row>
    <row r="423">
      <c r="A423" s="23">
        <v>9737.0</v>
      </c>
      <c r="B423" s="24" t="str">
        <f t="array" ref="B423">xlookup($A423,product!$A:$A,product!B:B)</f>
        <v>Beauté &amp; Hygiène</v>
      </c>
      <c r="C423" s="24" t="str">
        <f t="array" ref="C423">xlookup($A423,product!$A:$A,product!C:C)</f>
        <v>Hygiène</v>
      </c>
      <c r="D423" s="24" t="str">
        <f t="array" ref="D423">xlookup($A423,product!$A:$A,product!D:D)</f>
        <v>Soins dentaires</v>
      </c>
      <c r="E423" s="25" t="str">
        <f t="shared" si="1"/>
        <v>9737-Hygiène-Soins dentaires</v>
      </c>
      <c r="F423" s="25">
        <v>0.0</v>
      </c>
      <c r="G423" s="25">
        <v>852.0</v>
      </c>
      <c r="H423" s="25">
        <v>722.0</v>
      </c>
      <c r="I423" s="26">
        <f t="array" ref="I423">XLOOKUP($A423,product!A:A,product!E:E)</f>
        <v>2.67</v>
      </c>
      <c r="J423" s="25">
        <f t="shared" si="2"/>
        <v>1927.74</v>
      </c>
      <c r="K423" s="27">
        <f t="shared" si="3"/>
        <v>1</v>
      </c>
      <c r="L423" s="25">
        <f t="shared" si="4"/>
        <v>1</v>
      </c>
    </row>
    <row r="424">
      <c r="A424" s="19">
        <v>73260.0</v>
      </c>
      <c r="B424" s="20" t="str">
        <f t="array" ref="B424">xlookup($A424,product!$A:$A,product!B:B)</f>
        <v>Beauté &amp; Hygiène</v>
      </c>
      <c r="C424" s="20" t="str">
        <f t="array" ref="C424">xlookup($A424,product!$A:$A,product!C:C)</f>
        <v>Hygiène</v>
      </c>
      <c r="D424" s="20" t="str">
        <f t="array" ref="D424">xlookup($A424,product!$A:$A,product!D:D)</f>
        <v>Soins dentaires</v>
      </c>
      <c r="E424" s="4" t="str">
        <f t="shared" si="1"/>
        <v>73260-Hygiène-Soins dentaires</v>
      </c>
      <c r="F424" s="4">
        <v>1.0</v>
      </c>
      <c r="G424" s="4">
        <v>278.0</v>
      </c>
      <c r="H424" s="4">
        <v>161.0</v>
      </c>
      <c r="I424" s="21">
        <f t="array" ref="I424">XLOOKUP($A424,product!A:A,product!E:E)</f>
        <v>1.26</v>
      </c>
      <c r="J424" s="4">
        <f t="shared" si="2"/>
        <v>202.86</v>
      </c>
      <c r="K424" s="22">
        <f t="shared" si="3"/>
        <v>1</v>
      </c>
      <c r="L424" s="4">
        <f t="shared" si="4"/>
        <v>1</v>
      </c>
    </row>
    <row r="425">
      <c r="A425" s="23">
        <v>158467.0</v>
      </c>
      <c r="B425" s="24" t="str">
        <f t="array" ref="B425">xlookup($A425,product!$A:$A,product!B:B)</f>
        <v>Beauté &amp; Hygiène</v>
      </c>
      <c r="C425" s="24" t="str">
        <f t="array" ref="C425">xlookup($A425,product!$A:$A,product!C:C)</f>
        <v>Hygiène</v>
      </c>
      <c r="D425" s="24" t="str">
        <f t="array" ref="D425">xlookup($A425,product!$A:$A,product!D:D)</f>
        <v>Soins dentaires</v>
      </c>
      <c r="E425" s="25" t="str">
        <f t="shared" si="1"/>
        <v>158467-Hygiène-Soins dentaires</v>
      </c>
      <c r="F425" s="25">
        <v>1.0</v>
      </c>
      <c r="G425" s="25">
        <v>412.0</v>
      </c>
      <c r="H425" s="25">
        <v>230.0</v>
      </c>
      <c r="I425" s="26">
        <f t="array" ref="I425">XLOOKUP($A425,product!A:A,product!E:E)</f>
        <v>1.2</v>
      </c>
      <c r="J425" s="25">
        <f t="shared" si="2"/>
        <v>276</v>
      </c>
      <c r="K425" s="27">
        <f t="shared" si="3"/>
        <v>1</v>
      </c>
      <c r="L425" s="25">
        <f t="shared" si="4"/>
        <v>1</v>
      </c>
    </row>
    <row r="426">
      <c r="A426" s="19">
        <v>117319.0</v>
      </c>
      <c r="B426" s="20" t="str">
        <f t="array" ref="B426">xlookup($A426,product!$A:$A,product!B:B)</f>
        <v>Beauté &amp; Hygiène</v>
      </c>
      <c r="C426" s="20" t="str">
        <f t="array" ref="C426">xlookup($A426,product!$A:$A,product!C:C)</f>
        <v>Hygiène</v>
      </c>
      <c r="D426" s="20" t="str">
        <f t="array" ref="D426">xlookup($A426,product!$A:$A,product!D:D)</f>
        <v>Soins dentaires</v>
      </c>
      <c r="E426" s="4" t="str">
        <f t="shared" si="1"/>
        <v>117319-Hygiène-Soins dentaires</v>
      </c>
      <c r="F426" s="4">
        <v>0.0</v>
      </c>
      <c r="G426" s="4">
        <v>576.0</v>
      </c>
      <c r="H426" s="4">
        <v>485.0</v>
      </c>
      <c r="I426" s="21">
        <f t="array" ref="I426">XLOOKUP($A426,product!A:A,product!E:E)</f>
        <v>4.42</v>
      </c>
      <c r="J426" s="4">
        <f t="shared" si="2"/>
        <v>2143.7</v>
      </c>
      <c r="K426" s="22">
        <f t="shared" si="3"/>
        <v>1</v>
      </c>
      <c r="L426" s="4">
        <f t="shared" si="4"/>
        <v>1</v>
      </c>
    </row>
    <row r="427">
      <c r="A427" s="23">
        <v>108893.0</v>
      </c>
      <c r="B427" s="24" t="str">
        <f t="array" ref="B427">xlookup($A427,product!$A:$A,product!B:B)</f>
        <v>Beauté &amp; Hygiène</v>
      </c>
      <c r="C427" s="24" t="str">
        <f t="array" ref="C427">xlookup($A427,product!$A:$A,product!C:C)</f>
        <v>Hygiène</v>
      </c>
      <c r="D427" s="24" t="str">
        <f t="array" ref="D427">xlookup($A427,product!$A:$A,product!D:D)</f>
        <v>Soins dentaires</v>
      </c>
      <c r="E427" s="25" t="str">
        <f t="shared" si="1"/>
        <v>108893-Hygiène-Soins dentaires</v>
      </c>
      <c r="F427" s="25">
        <v>1.0</v>
      </c>
      <c r="G427" s="25">
        <v>183.0</v>
      </c>
      <c r="H427" s="25">
        <v>125.0</v>
      </c>
      <c r="I427" s="26">
        <f t="array" ref="I427">XLOOKUP($A427,product!A:A,product!E:E)</f>
        <v>1.94</v>
      </c>
      <c r="J427" s="25">
        <f t="shared" si="2"/>
        <v>242.5</v>
      </c>
      <c r="K427" s="27">
        <f t="shared" si="3"/>
        <v>1</v>
      </c>
      <c r="L427" s="25">
        <f t="shared" si="4"/>
        <v>1</v>
      </c>
    </row>
    <row r="428">
      <c r="A428" s="19">
        <v>111734.0</v>
      </c>
      <c r="B428" s="20" t="str">
        <f t="array" ref="B428">xlookup($A428,product!$A:$A,product!B:B)</f>
        <v>Beauté &amp; Hygiène</v>
      </c>
      <c r="C428" s="20" t="str">
        <f t="array" ref="C428">xlookup($A428,product!$A:$A,product!C:C)</f>
        <v>Hygiène</v>
      </c>
      <c r="D428" s="20" t="str">
        <f t="array" ref="D428">xlookup($A428,product!$A:$A,product!D:D)</f>
        <v>Soins dentaires</v>
      </c>
      <c r="E428" s="4" t="str">
        <f t="shared" si="1"/>
        <v>111734-Hygiène-Soins dentaires</v>
      </c>
      <c r="F428" s="4">
        <v>0.0</v>
      </c>
      <c r="G428" s="4">
        <v>520.0</v>
      </c>
      <c r="H428" s="4">
        <v>60.0</v>
      </c>
      <c r="I428" s="21">
        <f t="array" ref="I428">XLOOKUP($A428,product!A:A,product!E:E)</f>
        <v>3.93</v>
      </c>
      <c r="J428" s="4">
        <f t="shared" si="2"/>
        <v>235.8</v>
      </c>
      <c r="K428" s="22">
        <f t="shared" si="3"/>
        <v>1</v>
      </c>
      <c r="L428" s="4">
        <f t="shared" si="4"/>
        <v>1</v>
      </c>
    </row>
    <row r="429">
      <c r="A429" s="23">
        <v>96066.0</v>
      </c>
      <c r="B429" s="24" t="str">
        <f t="array" ref="B429">xlookup($A429,product!$A:$A,product!B:B)</f>
        <v>Beauté &amp; Hygiène</v>
      </c>
      <c r="C429" s="24" t="str">
        <f t="array" ref="C429">xlookup($A429,product!$A:$A,product!C:C)</f>
        <v>Hygiène</v>
      </c>
      <c r="D429" s="24" t="str">
        <f t="array" ref="D429">xlookup($A429,product!$A:$A,product!D:D)</f>
        <v>Soins dentaires</v>
      </c>
      <c r="E429" s="25" t="str">
        <f t="shared" si="1"/>
        <v>96066-Hygiène-Soins dentaires</v>
      </c>
      <c r="F429" s="25">
        <v>1.0</v>
      </c>
      <c r="G429" s="25">
        <v>257.0</v>
      </c>
      <c r="H429" s="25">
        <v>167.0</v>
      </c>
      <c r="I429" s="26">
        <f t="array" ref="I429">XLOOKUP($A429,product!A:A,product!E:E)</f>
        <v>2.77</v>
      </c>
      <c r="J429" s="25">
        <f t="shared" si="2"/>
        <v>462.59</v>
      </c>
      <c r="K429" s="27">
        <f t="shared" si="3"/>
        <v>1</v>
      </c>
      <c r="L429" s="25">
        <f t="shared" si="4"/>
        <v>1</v>
      </c>
    </row>
    <row r="430">
      <c r="A430" s="19">
        <v>3222.0</v>
      </c>
      <c r="B430" s="20" t="str">
        <f t="array" ref="B430">xlookup($A430,product!$A:$A,product!B:B)</f>
        <v>Beauté &amp; Hygiène</v>
      </c>
      <c r="C430" s="20" t="str">
        <f t="array" ref="C430">xlookup($A430,product!$A:$A,product!C:C)</f>
        <v>Hygiène</v>
      </c>
      <c r="D430" s="20" t="str">
        <f t="array" ref="D430">xlookup($A430,product!$A:$A,product!D:D)</f>
        <v>Soins dentaires</v>
      </c>
      <c r="E430" s="4" t="str">
        <f t="shared" si="1"/>
        <v>3222-Hygiène-Soins dentaires</v>
      </c>
      <c r="F430" s="4">
        <v>0.0</v>
      </c>
      <c r="G430" s="4">
        <v>617.0</v>
      </c>
      <c r="H430" s="4">
        <v>171.0</v>
      </c>
      <c r="I430" s="21">
        <f t="array" ref="I430">XLOOKUP($A430,product!A:A,product!E:E)</f>
        <v>2.49</v>
      </c>
      <c r="J430" s="4">
        <f t="shared" si="2"/>
        <v>425.79</v>
      </c>
      <c r="K430" s="22">
        <f t="shared" si="3"/>
        <v>1</v>
      </c>
      <c r="L430" s="4">
        <f t="shared" si="4"/>
        <v>1</v>
      </c>
    </row>
    <row r="431">
      <c r="A431" s="23">
        <v>117312.0</v>
      </c>
      <c r="B431" s="24" t="str">
        <f t="array" ref="B431">xlookup($A431,product!$A:$A,product!B:B)</f>
        <v>Beauté &amp; Hygiène</v>
      </c>
      <c r="C431" s="24" t="str">
        <f t="array" ref="C431">xlookup($A431,product!$A:$A,product!C:C)</f>
        <v>Hygiène</v>
      </c>
      <c r="D431" s="24" t="str">
        <f t="array" ref="D431">xlookup($A431,product!$A:$A,product!D:D)</f>
        <v>Soins dentaires</v>
      </c>
      <c r="E431" s="25" t="str">
        <f t="shared" si="1"/>
        <v>117312-Hygiène-Soins dentaires</v>
      </c>
      <c r="F431" s="25">
        <v>0.0</v>
      </c>
      <c r="G431" s="25">
        <v>126.0</v>
      </c>
      <c r="H431" s="25">
        <v>71.0</v>
      </c>
      <c r="I431" s="26">
        <f t="array" ref="I431">XLOOKUP($A431,product!A:A,product!E:E)</f>
        <v>3.57</v>
      </c>
      <c r="J431" s="25">
        <f t="shared" si="2"/>
        <v>253.47</v>
      </c>
      <c r="K431" s="27">
        <f t="shared" si="3"/>
        <v>1</v>
      </c>
      <c r="L431" s="25">
        <f t="shared" si="4"/>
        <v>1</v>
      </c>
    </row>
    <row r="432">
      <c r="A432" s="19">
        <v>104791.0</v>
      </c>
      <c r="B432" s="20" t="str">
        <f t="array" ref="B432">xlookup($A432,product!$A:$A,product!B:B)</f>
        <v>Beauté &amp; Hygiène</v>
      </c>
      <c r="C432" s="20" t="str">
        <f t="array" ref="C432">xlookup($A432,product!$A:$A,product!C:C)</f>
        <v>Hygiène</v>
      </c>
      <c r="D432" s="20" t="str">
        <f t="array" ref="D432">xlookup($A432,product!$A:$A,product!D:D)</f>
        <v>Soins dentaires</v>
      </c>
      <c r="E432" s="4" t="str">
        <f t="shared" si="1"/>
        <v>104791-Hygiène-Soins dentaires</v>
      </c>
      <c r="F432" s="4">
        <v>0.0</v>
      </c>
      <c r="G432" s="4">
        <v>146.0</v>
      </c>
      <c r="H432" s="4">
        <v>89.0</v>
      </c>
      <c r="I432" s="21">
        <f t="array" ref="I432">XLOOKUP($A432,product!A:A,product!E:E)</f>
        <v>1.98</v>
      </c>
      <c r="J432" s="4">
        <f t="shared" si="2"/>
        <v>176.22</v>
      </c>
      <c r="K432" s="22">
        <f t="shared" si="3"/>
        <v>1</v>
      </c>
      <c r="L432" s="4">
        <f t="shared" si="4"/>
        <v>1</v>
      </c>
    </row>
    <row r="433">
      <c r="A433" s="23">
        <v>10051.0</v>
      </c>
      <c r="B433" s="24" t="str">
        <f t="array" ref="B433">xlookup($A433,product!$A:$A,product!B:B)</f>
        <v>Beauté &amp; Hygiène</v>
      </c>
      <c r="C433" s="24" t="str">
        <f t="array" ref="C433">xlookup($A433,product!$A:$A,product!C:C)</f>
        <v>Hygiène</v>
      </c>
      <c r="D433" s="24" t="str">
        <f t="array" ref="D433">xlookup($A433,product!$A:$A,product!D:D)</f>
        <v>Soins dentaires</v>
      </c>
      <c r="E433" s="25" t="str">
        <f t="shared" si="1"/>
        <v>10051-Hygiène-Soins dentaires</v>
      </c>
      <c r="F433" s="25">
        <v>0.0</v>
      </c>
      <c r="G433" s="25">
        <v>482.0</v>
      </c>
      <c r="H433" s="25">
        <v>325.0</v>
      </c>
      <c r="I433" s="26">
        <f t="array" ref="I433">XLOOKUP($A433,product!A:A,product!E:E)</f>
        <v>3.25</v>
      </c>
      <c r="J433" s="25">
        <f t="shared" si="2"/>
        <v>1056.25</v>
      </c>
      <c r="K433" s="27">
        <f t="shared" si="3"/>
        <v>1</v>
      </c>
      <c r="L433" s="25">
        <f t="shared" si="4"/>
        <v>1</v>
      </c>
    </row>
    <row r="434">
      <c r="A434" s="19">
        <v>29318.0</v>
      </c>
      <c r="B434" s="20" t="str">
        <f t="array" ref="B434">xlookup($A434,product!$A:$A,product!B:B)</f>
        <v>Beauté &amp; Hygiène</v>
      </c>
      <c r="C434" s="20" t="str">
        <f t="array" ref="C434">xlookup($A434,product!$A:$A,product!C:C)</f>
        <v>Hygiène</v>
      </c>
      <c r="D434" s="20" t="str">
        <f t="array" ref="D434">xlookup($A434,product!$A:$A,product!D:D)</f>
        <v>Soins dentaires</v>
      </c>
      <c r="E434" s="4" t="str">
        <f t="shared" si="1"/>
        <v>29318-Hygiène-Soins dentaires</v>
      </c>
      <c r="F434" s="4">
        <v>1.0</v>
      </c>
      <c r="G434" s="4">
        <v>44.0</v>
      </c>
      <c r="H434" s="4">
        <v>4.0</v>
      </c>
      <c r="I434" s="21">
        <f t="array" ref="I434">XLOOKUP($A434,product!A:A,product!E:E)</f>
        <v>4.9</v>
      </c>
      <c r="J434" s="4">
        <f t="shared" si="2"/>
        <v>19.6</v>
      </c>
      <c r="K434" s="22">
        <f t="shared" si="3"/>
        <v>1</v>
      </c>
      <c r="L434" s="4">
        <f t="shared" si="4"/>
        <v>1</v>
      </c>
    </row>
    <row r="435">
      <c r="A435" s="23">
        <v>116885.0</v>
      </c>
      <c r="B435" s="24" t="str">
        <f t="array" ref="B435">xlookup($A435,product!$A:$A,product!B:B)</f>
        <v>Beauté &amp; Hygiène</v>
      </c>
      <c r="C435" s="24" t="str">
        <f t="array" ref="C435">xlookup($A435,product!$A:$A,product!C:C)</f>
        <v>Hygiène</v>
      </c>
      <c r="D435" s="24" t="str">
        <f t="array" ref="D435">xlookup($A435,product!$A:$A,product!D:D)</f>
        <v>Soins dentaires</v>
      </c>
      <c r="E435" s="25" t="str">
        <f t="shared" si="1"/>
        <v>116885-Hygiène-Soins dentaires</v>
      </c>
      <c r="F435" s="25">
        <v>1.0</v>
      </c>
      <c r="G435" s="25">
        <v>877.0</v>
      </c>
      <c r="H435" s="25">
        <v>285.0</v>
      </c>
      <c r="I435" s="26">
        <f t="array" ref="I435">XLOOKUP($A435,product!A:A,product!E:E)</f>
        <v>1.55</v>
      </c>
      <c r="J435" s="25">
        <f t="shared" si="2"/>
        <v>441.75</v>
      </c>
      <c r="K435" s="27">
        <f t="shared" si="3"/>
        <v>1</v>
      </c>
      <c r="L435" s="25">
        <f t="shared" si="4"/>
        <v>1</v>
      </c>
    </row>
    <row r="436">
      <c r="A436" s="19">
        <v>121614.0</v>
      </c>
      <c r="B436" s="20" t="str">
        <f t="array" ref="B436">xlookup($A436,product!$A:$A,product!B:B)</f>
        <v>Beauté &amp; Hygiène</v>
      </c>
      <c r="C436" s="20" t="str">
        <f t="array" ref="C436">xlookup($A436,product!$A:$A,product!C:C)</f>
        <v>Hygiène</v>
      </c>
      <c r="D436" s="20" t="str">
        <f t="array" ref="D436">xlookup($A436,product!$A:$A,product!D:D)</f>
        <v>Soins dentaires</v>
      </c>
      <c r="E436" s="4" t="str">
        <f t="shared" si="1"/>
        <v>121614-Hygiène-Soins dentaires</v>
      </c>
      <c r="F436" s="4">
        <v>0.0</v>
      </c>
      <c r="G436" s="4">
        <v>922.0</v>
      </c>
      <c r="H436" s="4">
        <v>239.0</v>
      </c>
      <c r="I436" s="21">
        <f t="array" ref="I436">XLOOKUP($A436,product!A:A,product!E:E)</f>
        <v>3.49</v>
      </c>
      <c r="J436" s="4">
        <f t="shared" si="2"/>
        <v>834.11</v>
      </c>
      <c r="K436" s="22">
        <f t="shared" si="3"/>
        <v>1</v>
      </c>
      <c r="L436" s="4">
        <f t="shared" si="4"/>
        <v>1</v>
      </c>
    </row>
    <row r="437">
      <c r="A437" s="23">
        <v>10048.0</v>
      </c>
      <c r="B437" s="24" t="str">
        <f t="array" ref="B437">xlookup($A437,product!$A:$A,product!B:B)</f>
        <v>Beauté &amp; Hygiène</v>
      </c>
      <c r="C437" s="24" t="str">
        <f t="array" ref="C437">xlookup($A437,product!$A:$A,product!C:C)</f>
        <v>Hygiène</v>
      </c>
      <c r="D437" s="24" t="str">
        <f t="array" ref="D437">xlookup($A437,product!$A:$A,product!D:D)</f>
        <v>Soins dentaires</v>
      </c>
      <c r="E437" s="25" t="str">
        <f t="shared" si="1"/>
        <v>10048-Hygiène-Soins dentaires</v>
      </c>
      <c r="F437" s="25">
        <v>0.0</v>
      </c>
      <c r="G437" s="25">
        <v>352.0</v>
      </c>
      <c r="H437" s="25">
        <v>69.0</v>
      </c>
      <c r="I437" s="26">
        <f t="array" ref="I437">XLOOKUP($A437,product!A:A,product!E:E)</f>
        <v>3.25</v>
      </c>
      <c r="J437" s="25">
        <f t="shared" si="2"/>
        <v>224.25</v>
      </c>
      <c r="K437" s="27">
        <f t="shared" si="3"/>
        <v>1</v>
      </c>
      <c r="L437" s="25">
        <f t="shared" si="4"/>
        <v>1</v>
      </c>
    </row>
    <row r="438">
      <c r="A438" s="19">
        <v>109534.0</v>
      </c>
      <c r="B438" s="20" t="str">
        <f t="array" ref="B438">xlookup($A438,product!$A:$A,product!B:B)</f>
        <v>Beauté &amp; Hygiène</v>
      </c>
      <c r="C438" s="20" t="str">
        <f t="array" ref="C438">xlookup($A438,product!$A:$A,product!C:C)</f>
        <v>Hygiène</v>
      </c>
      <c r="D438" s="20" t="str">
        <f t="array" ref="D438">xlookup($A438,product!$A:$A,product!D:D)</f>
        <v>Soins dentaires</v>
      </c>
      <c r="E438" s="4" t="str">
        <f t="shared" si="1"/>
        <v>109534-Hygiène-Soins dentaires</v>
      </c>
      <c r="F438" s="4">
        <v>0.0</v>
      </c>
      <c r="G438" s="4">
        <v>445.0</v>
      </c>
      <c r="H438" s="4">
        <v>332.0</v>
      </c>
      <c r="I438" s="21">
        <f t="array" ref="I438">XLOOKUP($A438,product!A:A,product!E:E)</f>
        <v>1.53</v>
      </c>
      <c r="J438" s="4">
        <f t="shared" si="2"/>
        <v>507.96</v>
      </c>
      <c r="K438" s="22">
        <f t="shared" si="3"/>
        <v>1</v>
      </c>
      <c r="L438" s="4">
        <f t="shared" si="4"/>
        <v>1</v>
      </c>
    </row>
    <row r="439">
      <c r="A439" s="23">
        <v>111802.0</v>
      </c>
      <c r="B439" s="24" t="str">
        <f t="array" ref="B439">xlookup($A439,product!$A:$A,product!B:B)</f>
        <v>Beauté &amp; Hygiène</v>
      </c>
      <c r="C439" s="24" t="str">
        <f t="array" ref="C439">xlookup($A439,product!$A:$A,product!C:C)</f>
        <v>Hygiène</v>
      </c>
      <c r="D439" s="24" t="str">
        <f t="array" ref="D439">xlookup($A439,product!$A:$A,product!D:D)</f>
        <v>Soins dentaires</v>
      </c>
      <c r="E439" s="25" t="str">
        <f t="shared" si="1"/>
        <v>111802-Hygiène-Soins dentaires</v>
      </c>
      <c r="F439" s="25">
        <v>0.0</v>
      </c>
      <c r="G439" s="25">
        <v>128.0</v>
      </c>
      <c r="H439" s="25">
        <v>89.0</v>
      </c>
      <c r="I439" s="26">
        <f t="array" ref="I439">XLOOKUP($A439,product!A:A,product!E:E)</f>
        <v>6.13</v>
      </c>
      <c r="J439" s="25">
        <f t="shared" si="2"/>
        <v>545.57</v>
      </c>
      <c r="K439" s="27">
        <f t="shared" si="3"/>
        <v>1</v>
      </c>
      <c r="L439" s="25">
        <f t="shared" si="4"/>
        <v>1</v>
      </c>
    </row>
    <row r="440">
      <c r="A440" s="19">
        <v>108801.0</v>
      </c>
      <c r="B440" s="20" t="str">
        <f t="array" ref="B440">xlookup($A440,product!$A:$A,product!B:B)</f>
        <v>Beauté &amp; Hygiène</v>
      </c>
      <c r="C440" s="20" t="str">
        <f t="array" ref="C440">xlookup($A440,product!$A:$A,product!C:C)</f>
        <v>Hygiène</v>
      </c>
      <c r="D440" s="20" t="str">
        <f t="array" ref="D440">xlookup($A440,product!$A:$A,product!D:D)</f>
        <v>Soins dentaires</v>
      </c>
      <c r="E440" s="4" t="str">
        <f t="shared" si="1"/>
        <v>108801-Hygiène-Soins dentaires</v>
      </c>
      <c r="F440" s="4">
        <v>0.0</v>
      </c>
      <c r="G440" s="4">
        <v>11.0</v>
      </c>
      <c r="H440" s="4">
        <v>4.0</v>
      </c>
      <c r="I440" s="21">
        <f t="array" ref="I440">XLOOKUP($A440,product!A:A,product!E:E)</f>
        <v>2.8</v>
      </c>
      <c r="J440" s="4">
        <f t="shared" si="2"/>
        <v>11.2</v>
      </c>
      <c r="K440" s="22">
        <f t="shared" si="3"/>
        <v>1</v>
      </c>
      <c r="L440" s="4">
        <f t="shared" si="4"/>
        <v>1</v>
      </c>
    </row>
    <row r="441">
      <c r="A441" s="23">
        <v>9735.0</v>
      </c>
      <c r="B441" s="24" t="str">
        <f t="array" ref="B441">xlookup($A441,product!$A:$A,product!B:B)</f>
        <v>Beauté &amp; Hygiène</v>
      </c>
      <c r="C441" s="24" t="str">
        <f t="array" ref="C441">xlookup($A441,product!$A:$A,product!C:C)</f>
        <v>Hygiène</v>
      </c>
      <c r="D441" s="24" t="str">
        <f t="array" ref="D441">xlookup($A441,product!$A:$A,product!D:D)</f>
        <v>Soins dentaires</v>
      </c>
      <c r="E441" s="25" t="str">
        <f t="shared" si="1"/>
        <v>9735-Hygiène-Soins dentaires</v>
      </c>
      <c r="F441" s="25">
        <v>0.0</v>
      </c>
      <c r="G441" s="25">
        <v>823.0</v>
      </c>
      <c r="H441" s="25">
        <v>417.0</v>
      </c>
      <c r="I441" s="26">
        <f t="array" ref="I441">XLOOKUP($A441,product!A:A,product!E:E)</f>
        <v>2.67</v>
      </c>
      <c r="J441" s="25">
        <f t="shared" si="2"/>
        <v>1113.39</v>
      </c>
      <c r="K441" s="27">
        <f t="shared" si="3"/>
        <v>1</v>
      </c>
      <c r="L441" s="25">
        <f t="shared" si="4"/>
        <v>1</v>
      </c>
    </row>
    <row r="442">
      <c r="A442" s="19">
        <v>109531.0</v>
      </c>
      <c r="B442" s="20" t="str">
        <f t="array" ref="B442">xlookup($A442,product!$A:$A,product!B:B)</f>
        <v>Beauté &amp; Hygiène</v>
      </c>
      <c r="C442" s="20" t="str">
        <f t="array" ref="C442">xlookup($A442,product!$A:$A,product!C:C)</f>
        <v>Hygiène</v>
      </c>
      <c r="D442" s="20" t="str">
        <f t="array" ref="D442">xlookup($A442,product!$A:$A,product!D:D)</f>
        <v>Soins dentaires</v>
      </c>
      <c r="E442" s="4" t="str">
        <f t="shared" si="1"/>
        <v>109531-Hygiène-Soins dentaires</v>
      </c>
      <c r="F442" s="4">
        <v>1.0</v>
      </c>
      <c r="G442" s="4">
        <v>669.0</v>
      </c>
      <c r="H442" s="4">
        <v>658.0</v>
      </c>
      <c r="I442" s="21">
        <f t="array" ref="I442">XLOOKUP($A442,product!A:A,product!E:E)</f>
        <v>1.53</v>
      </c>
      <c r="J442" s="4">
        <f t="shared" si="2"/>
        <v>1006.74</v>
      </c>
      <c r="K442" s="22">
        <f t="shared" si="3"/>
        <v>1</v>
      </c>
      <c r="L442" s="4">
        <f t="shared" si="4"/>
        <v>1</v>
      </c>
    </row>
    <row r="443">
      <c r="A443" s="23">
        <v>44533.0</v>
      </c>
      <c r="B443" s="24" t="str">
        <f t="array" ref="B443">xlookup($A443,product!$A:$A,product!B:B)</f>
        <v>Beauté &amp; Hygiène</v>
      </c>
      <c r="C443" s="24" t="str">
        <f t="array" ref="C443">xlookup($A443,product!$A:$A,product!C:C)</f>
        <v>Hygiène</v>
      </c>
      <c r="D443" s="24" t="str">
        <f t="array" ref="D443">xlookup($A443,product!$A:$A,product!D:D)</f>
        <v>Soins dentaires</v>
      </c>
      <c r="E443" s="25" t="str">
        <f t="shared" si="1"/>
        <v>44533-Hygiène-Soins dentaires</v>
      </c>
      <c r="F443" s="25">
        <v>1.0</v>
      </c>
      <c r="G443" s="25">
        <v>676.0</v>
      </c>
      <c r="H443" s="25">
        <v>548.0</v>
      </c>
      <c r="I443" s="26">
        <f t="array" ref="I443">XLOOKUP($A443,product!A:A,product!E:E)</f>
        <v>1.86</v>
      </c>
      <c r="J443" s="25">
        <f t="shared" si="2"/>
        <v>1019.28</v>
      </c>
      <c r="K443" s="27">
        <f t="shared" si="3"/>
        <v>1</v>
      </c>
      <c r="L443" s="25">
        <f t="shared" si="4"/>
        <v>1</v>
      </c>
    </row>
    <row r="444">
      <c r="A444" s="19">
        <v>158465.0</v>
      </c>
      <c r="B444" s="20" t="str">
        <f t="array" ref="B444">xlookup($A444,product!$A:$A,product!B:B)</f>
        <v>Beauté &amp; Hygiène</v>
      </c>
      <c r="C444" s="20" t="str">
        <f t="array" ref="C444">xlookup($A444,product!$A:$A,product!C:C)</f>
        <v>Hygiène</v>
      </c>
      <c r="D444" s="20" t="str">
        <f t="array" ref="D444">xlookup($A444,product!$A:$A,product!D:D)</f>
        <v>Soins dentaires</v>
      </c>
      <c r="E444" s="4" t="str">
        <f t="shared" si="1"/>
        <v>158465-Hygiène-Soins dentaires</v>
      </c>
      <c r="F444" s="4">
        <v>1.0</v>
      </c>
      <c r="G444" s="4">
        <v>467.0</v>
      </c>
      <c r="H444" s="4">
        <v>441.0</v>
      </c>
      <c r="I444" s="21">
        <f t="array" ref="I444">XLOOKUP($A444,product!A:A,product!E:E)</f>
        <v>1.92</v>
      </c>
      <c r="J444" s="4">
        <f t="shared" si="2"/>
        <v>846.72</v>
      </c>
      <c r="K444" s="22">
        <f t="shared" si="3"/>
        <v>1</v>
      </c>
      <c r="L444" s="4">
        <f t="shared" si="4"/>
        <v>1</v>
      </c>
    </row>
    <row r="445">
      <c r="A445" s="23">
        <v>79107.0</v>
      </c>
      <c r="B445" s="24" t="str">
        <f t="array" ref="B445">xlookup($A445,product!$A:$A,product!B:B)</f>
        <v>Beauté &amp; Hygiène</v>
      </c>
      <c r="C445" s="24" t="str">
        <f t="array" ref="C445">xlookup($A445,product!$A:$A,product!C:C)</f>
        <v>Hygiène</v>
      </c>
      <c r="D445" s="24" t="str">
        <f t="array" ref="D445">xlookup($A445,product!$A:$A,product!D:D)</f>
        <v>Soins dentaires</v>
      </c>
      <c r="E445" s="25" t="str">
        <f t="shared" si="1"/>
        <v>79107-Hygiène-Soins dentaires</v>
      </c>
      <c r="F445" s="25">
        <v>0.0</v>
      </c>
      <c r="G445" s="25">
        <v>728.0</v>
      </c>
      <c r="H445" s="25">
        <v>418.0</v>
      </c>
      <c r="I445" s="26">
        <f t="array" ref="I445">XLOOKUP($A445,product!A:A,product!E:E)</f>
        <v>2.32</v>
      </c>
      <c r="J445" s="25">
        <f t="shared" si="2"/>
        <v>969.76</v>
      </c>
      <c r="K445" s="27">
        <f t="shared" si="3"/>
        <v>1</v>
      </c>
      <c r="L445" s="25">
        <f t="shared" si="4"/>
        <v>1</v>
      </c>
    </row>
    <row r="446">
      <c r="A446" s="19">
        <v>78631.0</v>
      </c>
      <c r="B446" s="20" t="str">
        <f t="array" ref="B446">xlookup($A446,product!$A:$A,product!B:B)</f>
        <v>Beauté &amp; Hygiène</v>
      </c>
      <c r="C446" s="20" t="str">
        <f t="array" ref="C446">xlookup($A446,product!$A:$A,product!C:C)</f>
        <v>Hygiène</v>
      </c>
      <c r="D446" s="20" t="str">
        <f t="array" ref="D446">xlookup($A446,product!$A:$A,product!D:D)</f>
        <v>Soins dentaires</v>
      </c>
      <c r="E446" s="4" t="str">
        <f t="shared" si="1"/>
        <v>78631-Hygiène-Soins dentaires</v>
      </c>
      <c r="F446" s="4">
        <v>1.0</v>
      </c>
      <c r="G446" s="4">
        <v>857.0</v>
      </c>
      <c r="H446" s="4">
        <v>460.0</v>
      </c>
      <c r="I446" s="21">
        <f t="array" ref="I446">XLOOKUP($A446,product!A:A,product!E:E)</f>
        <v>6.98</v>
      </c>
      <c r="J446" s="4">
        <f t="shared" si="2"/>
        <v>3210.8</v>
      </c>
      <c r="K446" s="22">
        <f t="shared" si="3"/>
        <v>1</v>
      </c>
      <c r="L446" s="4">
        <f t="shared" si="4"/>
        <v>1</v>
      </c>
    </row>
    <row r="447">
      <c r="A447" s="23">
        <v>120469.0</v>
      </c>
      <c r="B447" s="24" t="str">
        <f t="array" ref="B447">xlookup($A447,product!$A:$A,product!B:B)</f>
        <v>Beauté &amp; Hygiène</v>
      </c>
      <c r="C447" s="24" t="str">
        <f t="array" ref="C447">xlookup($A447,product!$A:$A,product!C:C)</f>
        <v>Hygiène</v>
      </c>
      <c r="D447" s="24" t="str">
        <f t="array" ref="D447">xlookup($A447,product!$A:$A,product!D:D)</f>
        <v>Soins dentaires</v>
      </c>
      <c r="E447" s="25" t="str">
        <f t="shared" si="1"/>
        <v>120469-Hygiène-Soins dentaires</v>
      </c>
      <c r="F447" s="25">
        <v>1.0</v>
      </c>
      <c r="G447" s="25">
        <v>415.0</v>
      </c>
      <c r="H447" s="25">
        <v>25.0</v>
      </c>
      <c r="I447" s="26">
        <f t="array" ref="I447">XLOOKUP($A447,product!A:A,product!E:E)</f>
        <v>2.67</v>
      </c>
      <c r="J447" s="25">
        <f t="shared" si="2"/>
        <v>66.75</v>
      </c>
      <c r="K447" s="27">
        <f t="shared" si="3"/>
        <v>1</v>
      </c>
      <c r="L447" s="25">
        <f t="shared" si="4"/>
        <v>1</v>
      </c>
    </row>
    <row r="448">
      <c r="A448" s="19">
        <v>6523.0</v>
      </c>
      <c r="B448" s="20" t="str">
        <f t="array" ref="B448">xlookup($A448,product!$A:$A,product!B:B)</f>
        <v>Beauté &amp; Hygiène</v>
      </c>
      <c r="C448" s="20" t="str">
        <f t="array" ref="C448">xlookup($A448,product!$A:$A,product!C:C)</f>
        <v>Hygiène</v>
      </c>
      <c r="D448" s="20" t="str">
        <f t="array" ref="D448">xlookup($A448,product!$A:$A,product!D:D)</f>
        <v>Soins dentaires</v>
      </c>
      <c r="E448" s="4" t="str">
        <f t="shared" si="1"/>
        <v>6523-Hygiène-Soins dentaires</v>
      </c>
      <c r="F448" s="4">
        <v>0.0</v>
      </c>
      <c r="G448" s="4">
        <v>154.0</v>
      </c>
      <c r="H448" s="4">
        <v>42.0</v>
      </c>
      <c r="I448" s="21">
        <f t="array" ref="I448">XLOOKUP($A448,product!A:A,product!E:E)</f>
        <v>2.8</v>
      </c>
      <c r="J448" s="4">
        <f t="shared" si="2"/>
        <v>117.6</v>
      </c>
      <c r="K448" s="22">
        <f t="shared" si="3"/>
        <v>1</v>
      </c>
      <c r="L448" s="4">
        <f t="shared" si="4"/>
        <v>1</v>
      </c>
    </row>
    <row r="449">
      <c r="A449" s="23">
        <v>41819.0</v>
      </c>
      <c r="B449" s="24" t="str">
        <f t="array" ref="B449">xlookup($A449,product!$A:$A,product!B:B)</f>
        <v>Beauté &amp; Hygiène</v>
      </c>
      <c r="C449" s="24" t="str">
        <f t="array" ref="C449">xlookup($A449,product!$A:$A,product!C:C)</f>
        <v>Hygiène</v>
      </c>
      <c r="D449" s="24" t="str">
        <f t="array" ref="D449">xlookup($A449,product!$A:$A,product!D:D)</f>
        <v>Soins dentaires</v>
      </c>
      <c r="E449" s="25" t="str">
        <f t="shared" si="1"/>
        <v>41819-Hygiène-Soins dentaires</v>
      </c>
      <c r="F449" s="25">
        <v>1.0</v>
      </c>
      <c r="G449" s="25">
        <v>680.0</v>
      </c>
      <c r="H449" s="25">
        <v>79.0</v>
      </c>
      <c r="I449" s="26">
        <f t="array" ref="I449">XLOOKUP($A449,product!A:A,product!E:E)</f>
        <v>2.25</v>
      </c>
      <c r="J449" s="25">
        <f t="shared" si="2"/>
        <v>177.75</v>
      </c>
      <c r="K449" s="27">
        <f t="shared" si="3"/>
        <v>1</v>
      </c>
      <c r="L449" s="25">
        <f t="shared" si="4"/>
        <v>1</v>
      </c>
    </row>
    <row r="450">
      <c r="A450" s="19">
        <v>108889.0</v>
      </c>
      <c r="B450" s="20" t="str">
        <f t="array" ref="B450">xlookup($A450,product!$A:$A,product!B:B)</f>
        <v>Beauté &amp; Hygiène</v>
      </c>
      <c r="C450" s="20" t="str">
        <f t="array" ref="C450">xlookup($A450,product!$A:$A,product!C:C)</f>
        <v>Hygiène</v>
      </c>
      <c r="D450" s="20" t="str">
        <f t="array" ref="D450">xlookup($A450,product!$A:$A,product!D:D)</f>
        <v>Soins dentaires</v>
      </c>
      <c r="E450" s="4" t="str">
        <f t="shared" si="1"/>
        <v>108889-Hygiène-Soins dentaires</v>
      </c>
      <c r="F450" s="4">
        <v>1.0</v>
      </c>
      <c r="G450" s="4">
        <v>38.0</v>
      </c>
      <c r="H450" s="4">
        <v>10.0</v>
      </c>
      <c r="I450" s="21">
        <f t="array" ref="I450">XLOOKUP($A450,product!A:A,product!E:E)</f>
        <v>2.24</v>
      </c>
      <c r="J450" s="4">
        <f t="shared" si="2"/>
        <v>22.4</v>
      </c>
      <c r="K450" s="22">
        <f t="shared" si="3"/>
        <v>1</v>
      </c>
      <c r="L450" s="4">
        <f t="shared" si="4"/>
        <v>1</v>
      </c>
    </row>
    <row r="451">
      <c r="A451" s="23">
        <v>92564.0</v>
      </c>
      <c r="B451" s="24" t="str">
        <f t="array" ref="B451">xlookup($A451,product!$A:$A,product!B:B)</f>
        <v>Beauté &amp; Hygiène</v>
      </c>
      <c r="C451" s="24" t="str">
        <f t="array" ref="C451">xlookup($A451,product!$A:$A,product!C:C)</f>
        <v>Hygiène</v>
      </c>
      <c r="D451" s="24" t="str">
        <f t="array" ref="D451">xlookup($A451,product!$A:$A,product!D:D)</f>
        <v>Soins dentaires</v>
      </c>
      <c r="E451" s="25" t="str">
        <f t="shared" si="1"/>
        <v>92564-Hygiène-Soins dentaires</v>
      </c>
      <c r="F451" s="25">
        <v>0.0</v>
      </c>
      <c r="G451" s="25">
        <v>166.0</v>
      </c>
      <c r="H451" s="25">
        <v>31.0</v>
      </c>
      <c r="I451" s="26">
        <f t="array" ref="I451">XLOOKUP($A451,product!A:A,product!E:E)</f>
        <v>2.33</v>
      </c>
      <c r="J451" s="25">
        <f t="shared" si="2"/>
        <v>72.23</v>
      </c>
      <c r="K451" s="27">
        <f t="shared" si="3"/>
        <v>1</v>
      </c>
      <c r="L451" s="25">
        <f t="shared" si="4"/>
        <v>1</v>
      </c>
    </row>
    <row r="452">
      <c r="A452" s="19">
        <v>158456.0</v>
      </c>
      <c r="B452" s="20" t="str">
        <f t="array" ref="B452">xlookup($A452,product!$A:$A,product!B:B)</f>
        <v>Beauté &amp; Hygiène</v>
      </c>
      <c r="C452" s="20" t="str">
        <f t="array" ref="C452">xlookup($A452,product!$A:$A,product!C:C)</f>
        <v>Hygiène</v>
      </c>
      <c r="D452" s="20" t="str">
        <f t="array" ref="D452">xlookup($A452,product!$A:$A,product!D:D)</f>
        <v>Soins dentaires</v>
      </c>
      <c r="E452" s="4" t="str">
        <f t="shared" si="1"/>
        <v>158456-Hygiène-Soins dentaires</v>
      </c>
      <c r="F452" s="4">
        <v>0.0</v>
      </c>
      <c r="G452" s="4">
        <v>321.0</v>
      </c>
      <c r="H452" s="4">
        <v>236.0</v>
      </c>
      <c r="I452" s="21">
        <f t="array" ref="I452">XLOOKUP($A452,product!A:A,product!E:E)</f>
        <v>3.52</v>
      </c>
      <c r="J452" s="4">
        <f t="shared" si="2"/>
        <v>830.72</v>
      </c>
      <c r="K452" s="22">
        <f t="shared" si="3"/>
        <v>1</v>
      </c>
      <c r="L452" s="4">
        <f t="shared" si="4"/>
        <v>1</v>
      </c>
    </row>
    <row r="453">
      <c r="A453" s="23">
        <v>111735.0</v>
      </c>
      <c r="B453" s="24" t="str">
        <f t="array" ref="B453">xlookup($A453,product!$A:$A,product!B:B)</f>
        <v>Beauté &amp; Hygiène</v>
      </c>
      <c r="C453" s="24" t="str">
        <f t="array" ref="C453">xlookup($A453,product!$A:$A,product!C:C)</f>
        <v>Hygiène</v>
      </c>
      <c r="D453" s="24" t="str">
        <f t="array" ref="D453">xlookup($A453,product!$A:$A,product!D:D)</f>
        <v>Soins dentaires</v>
      </c>
      <c r="E453" s="25" t="str">
        <f t="shared" si="1"/>
        <v>111735-Hygiène-Soins dentaires</v>
      </c>
      <c r="F453" s="25">
        <v>1.0</v>
      </c>
      <c r="G453" s="25">
        <v>851.0</v>
      </c>
      <c r="H453" s="25">
        <v>207.0</v>
      </c>
      <c r="I453" s="26">
        <f t="array" ref="I453">XLOOKUP($A453,product!A:A,product!E:E)</f>
        <v>4.54</v>
      </c>
      <c r="J453" s="25">
        <f t="shared" si="2"/>
        <v>939.78</v>
      </c>
      <c r="K453" s="27">
        <f t="shared" si="3"/>
        <v>1</v>
      </c>
      <c r="L453" s="25">
        <f t="shared" si="4"/>
        <v>1</v>
      </c>
    </row>
    <row r="454">
      <c r="A454" s="19">
        <v>109537.0</v>
      </c>
      <c r="B454" s="20" t="str">
        <f t="array" ref="B454">xlookup($A454,product!$A:$A,product!B:B)</f>
        <v>Beauté &amp; Hygiène</v>
      </c>
      <c r="C454" s="20" t="str">
        <f t="array" ref="C454">xlookup($A454,product!$A:$A,product!C:C)</f>
        <v>Hygiène</v>
      </c>
      <c r="D454" s="20" t="str">
        <f t="array" ref="D454">xlookup($A454,product!$A:$A,product!D:D)</f>
        <v>Soins dentaires</v>
      </c>
      <c r="E454" s="4" t="str">
        <f t="shared" si="1"/>
        <v>109537-Hygiène-Soins dentaires</v>
      </c>
      <c r="F454" s="4">
        <v>0.0</v>
      </c>
      <c r="G454" s="4">
        <v>161.0</v>
      </c>
      <c r="H454" s="4">
        <v>142.0</v>
      </c>
      <c r="I454" s="21">
        <f t="array" ref="I454">XLOOKUP($A454,product!A:A,product!E:E)</f>
        <v>3.05</v>
      </c>
      <c r="J454" s="4">
        <f t="shared" si="2"/>
        <v>433.1</v>
      </c>
      <c r="K454" s="22">
        <f t="shared" si="3"/>
        <v>1</v>
      </c>
      <c r="L454" s="4">
        <f t="shared" si="4"/>
        <v>1</v>
      </c>
    </row>
    <row r="455">
      <c r="A455" s="23">
        <v>109381.0</v>
      </c>
      <c r="B455" s="24" t="str">
        <f t="array" ref="B455">xlookup($A455,product!$A:$A,product!B:B)</f>
        <v>Beauté &amp; Hygiène</v>
      </c>
      <c r="C455" s="24" t="str">
        <f t="array" ref="C455">xlookup($A455,product!$A:$A,product!C:C)</f>
        <v>Hygiène</v>
      </c>
      <c r="D455" s="24" t="str">
        <f t="array" ref="D455">xlookup($A455,product!$A:$A,product!D:D)</f>
        <v>Soins dentaires</v>
      </c>
      <c r="E455" s="25" t="str">
        <f t="shared" si="1"/>
        <v>109381-Hygiène-Soins dentaires</v>
      </c>
      <c r="F455" s="25">
        <v>0.0</v>
      </c>
      <c r="G455" s="25">
        <v>429.0</v>
      </c>
      <c r="H455" s="25">
        <v>18.0</v>
      </c>
      <c r="I455" s="26">
        <f t="array" ref="I455">XLOOKUP($A455,product!A:A,product!E:E)</f>
        <v>1.39</v>
      </c>
      <c r="J455" s="25">
        <f t="shared" si="2"/>
        <v>25.02</v>
      </c>
      <c r="K455" s="27">
        <f t="shared" si="3"/>
        <v>1</v>
      </c>
      <c r="L455" s="25">
        <f t="shared" si="4"/>
        <v>1</v>
      </c>
    </row>
    <row r="456">
      <c r="A456" s="19">
        <v>120944.0</v>
      </c>
      <c r="B456" s="20" t="str">
        <f t="array" ref="B456">xlookup($A456,product!$A:$A,product!B:B)</f>
        <v>Beauté &amp; Hygiène</v>
      </c>
      <c r="C456" s="20" t="str">
        <f t="array" ref="C456">xlookup($A456,product!$A:$A,product!C:C)</f>
        <v>Hygiène</v>
      </c>
      <c r="D456" s="20" t="str">
        <f t="array" ref="D456">xlookup($A456,product!$A:$A,product!D:D)</f>
        <v>Soins dentaires</v>
      </c>
      <c r="E456" s="4" t="str">
        <f t="shared" si="1"/>
        <v>120944-Hygiène-Soins dentaires</v>
      </c>
      <c r="F456" s="4">
        <v>0.0</v>
      </c>
      <c r="G456" s="4">
        <v>127.0</v>
      </c>
      <c r="H456" s="4">
        <v>92.0</v>
      </c>
      <c r="I456" s="21">
        <f t="array" ref="I456">XLOOKUP($A456,product!A:A,product!E:E)</f>
        <v>3.61</v>
      </c>
      <c r="J456" s="4">
        <f t="shared" si="2"/>
        <v>332.12</v>
      </c>
      <c r="K456" s="22">
        <f t="shared" si="3"/>
        <v>1</v>
      </c>
      <c r="L456" s="4">
        <f t="shared" si="4"/>
        <v>1</v>
      </c>
    </row>
    <row r="457">
      <c r="A457" s="23">
        <v>29320.0</v>
      </c>
      <c r="B457" s="24" t="str">
        <f t="array" ref="B457">xlookup($A457,product!$A:$A,product!B:B)</f>
        <v>Beauté &amp; Hygiène</v>
      </c>
      <c r="C457" s="24" t="str">
        <f t="array" ref="C457">xlookup($A457,product!$A:$A,product!C:C)</f>
        <v>Hygiène</v>
      </c>
      <c r="D457" s="24" t="str">
        <f t="array" ref="D457">xlookup($A457,product!$A:$A,product!D:D)</f>
        <v>Soins dentaires</v>
      </c>
      <c r="E457" s="25" t="str">
        <f t="shared" si="1"/>
        <v>29320-Hygiène-Soins dentaires</v>
      </c>
      <c r="F457" s="25">
        <v>1.0</v>
      </c>
      <c r="G457" s="25">
        <v>155.0</v>
      </c>
      <c r="H457" s="25">
        <v>2.0</v>
      </c>
      <c r="I457" s="26">
        <f t="array" ref="I457">XLOOKUP($A457,product!A:A,product!E:E)</f>
        <v>4.9</v>
      </c>
      <c r="J457" s="25">
        <f t="shared" si="2"/>
        <v>9.8</v>
      </c>
      <c r="K457" s="27">
        <f t="shared" si="3"/>
        <v>1</v>
      </c>
      <c r="L457" s="25">
        <f t="shared" si="4"/>
        <v>1</v>
      </c>
    </row>
    <row r="458">
      <c r="A458" s="19">
        <v>118222.0</v>
      </c>
      <c r="B458" s="20" t="str">
        <f t="array" ref="B458">xlookup($A458,product!$A:$A,product!B:B)</f>
        <v>Beauté &amp; Hygiène</v>
      </c>
      <c r="C458" s="20" t="str">
        <f t="array" ref="C458">xlookup($A458,product!$A:$A,product!C:C)</f>
        <v>Hygiène</v>
      </c>
      <c r="D458" s="20" t="str">
        <f t="array" ref="D458">xlookup($A458,product!$A:$A,product!D:D)</f>
        <v>Soins dentaires</v>
      </c>
      <c r="E458" s="4" t="str">
        <f t="shared" si="1"/>
        <v>118222-Hygiène-Soins dentaires</v>
      </c>
      <c r="F458" s="4">
        <v>1.0</v>
      </c>
      <c r="G458" s="4">
        <v>155.0</v>
      </c>
      <c r="H458" s="4">
        <v>7.0</v>
      </c>
      <c r="I458" s="21">
        <f t="array" ref="I458">XLOOKUP($A458,product!A:A,product!E:E)</f>
        <v>4.3</v>
      </c>
      <c r="J458" s="4">
        <f t="shared" si="2"/>
        <v>30.1</v>
      </c>
      <c r="K458" s="22">
        <f t="shared" si="3"/>
        <v>1</v>
      </c>
      <c r="L458" s="4">
        <f t="shared" si="4"/>
        <v>1</v>
      </c>
    </row>
    <row r="459">
      <c r="A459" s="23">
        <v>108897.0</v>
      </c>
      <c r="B459" s="24" t="str">
        <f t="array" ref="B459">xlookup($A459,product!$A:$A,product!B:B)</f>
        <v>Beauté &amp; Hygiène</v>
      </c>
      <c r="C459" s="24" t="str">
        <f t="array" ref="C459">xlookup($A459,product!$A:$A,product!C:C)</f>
        <v>Hygiène</v>
      </c>
      <c r="D459" s="24" t="str">
        <f t="array" ref="D459">xlookup($A459,product!$A:$A,product!D:D)</f>
        <v>Soins dentaires</v>
      </c>
      <c r="E459" s="25" t="str">
        <f t="shared" si="1"/>
        <v>108897-Hygiène-Soins dentaires</v>
      </c>
      <c r="F459" s="25">
        <v>1.0</v>
      </c>
      <c r="G459" s="25">
        <v>682.0</v>
      </c>
      <c r="H459" s="25">
        <v>650.0</v>
      </c>
      <c r="I459" s="26">
        <f t="array" ref="I459">XLOOKUP($A459,product!A:A,product!E:E)</f>
        <v>1.5</v>
      </c>
      <c r="J459" s="25">
        <f t="shared" si="2"/>
        <v>975</v>
      </c>
      <c r="K459" s="27">
        <f t="shared" si="3"/>
        <v>1</v>
      </c>
      <c r="L459" s="25">
        <f t="shared" si="4"/>
        <v>1</v>
      </c>
    </row>
    <row r="460">
      <c r="A460" s="19">
        <v>101565.0</v>
      </c>
      <c r="B460" s="20" t="str">
        <f t="array" ref="B460">xlookup($A460,product!$A:$A,product!B:B)</f>
        <v>Beauté &amp; Hygiène</v>
      </c>
      <c r="C460" s="20" t="str">
        <f t="array" ref="C460">xlookup($A460,product!$A:$A,product!C:C)</f>
        <v>Hygiène</v>
      </c>
      <c r="D460" s="20" t="str">
        <f t="array" ref="D460">xlookup($A460,product!$A:$A,product!D:D)</f>
        <v>Soins dentaires</v>
      </c>
      <c r="E460" s="4" t="str">
        <f t="shared" si="1"/>
        <v>101565-Hygiène-Soins dentaires</v>
      </c>
      <c r="F460" s="4">
        <v>1.0</v>
      </c>
      <c r="G460" s="4">
        <v>199.0</v>
      </c>
      <c r="H460" s="4">
        <v>107.0</v>
      </c>
      <c r="I460" s="21">
        <f t="array" ref="I460">XLOOKUP($A460,product!A:A,product!E:E)</f>
        <v>1.52</v>
      </c>
      <c r="J460" s="4">
        <f t="shared" si="2"/>
        <v>162.64</v>
      </c>
      <c r="K460" s="22">
        <f t="shared" si="3"/>
        <v>1</v>
      </c>
      <c r="L460" s="4">
        <f t="shared" si="4"/>
        <v>1</v>
      </c>
    </row>
    <row r="461">
      <c r="A461" s="23">
        <v>29319.0</v>
      </c>
      <c r="B461" s="24" t="str">
        <f t="array" ref="B461">xlookup($A461,product!$A:$A,product!B:B)</f>
        <v>Beauté &amp; Hygiène</v>
      </c>
      <c r="C461" s="24" t="str">
        <f t="array" ref="C461">xlookup($A461,product!$A:$A,product!C:C)</f>
        <v>Hygiène</v>
      </c>
      <c r="D461" s="24" t="str">
        <f t="array" ref="D461">xlookup($A461,product!$A:$A,product!D:D)</f>
        <v>Soins dentaires</v>
      </c>
      <c r="E461" s="25" t="str">
        <f t="shared" si="1"/>
        <v>29319-Hygiène-Soins dentaires</v>
      </c>
      <c r="F461" s="25">
        <v>1.0</v>
      </c>
      <c r="G461" s="25">
        <v>550.0</v>
      </c>
      <c r="H461" s="25">
        <v>424.0</v>
      </c>
      <c r="I461" s="26">
        <f t="array" ref="I461">XLOOKUP($A461,product!A:A,product!E:E)</f>
        <v>4.9</v>
      </c>
      <c r="J461" s="25">
        <f t="shared" si="2"/>
        <v>2077.6</v>
      </c>
      <c r="K461" s="27">
        <f t="shared" si="3"/>
        <v>1</v>
      </c>
      <c r="L461" s="25">
        <f t="shared" si="4"/>
        <v>1</v>
      </c>
    </row>
    <row r="462">
      <c r="A462" s="19">
        <v>96444.0</v>
      </c>
      <c r="B462" s="20" t="str">
        <f t="array" ref="B462">xlookup($A462,product!$A:$A,product!B:B)</f>
        <v>Beauté &amp; Hygiène</v>
      </c>
      <c r="C462" s="20" t="str">
        <f t="array" ref="C462">xlookup($A462,product!$A:$A,product!C:C)</f>
        <v>Hygiène</v>
      </c>
      <c r="D462" s="20" t="str">
        <f t="array" ref="D462">xlookup($A462,product!$A:$A,product!D:D)</f>
        <v>Soins dentaires</v>
      </c>
      <c r="E462" s="4" t="str">
        <f t="shared" si="1"/>
        <v>96444-Hygiène-Soins dentaires</v>
      </c>
      <c r="F462" s="4">
        <v>0.0</v>
      </c>
      <c r="G462" s="4">
        <v>625.0</v>
      </c>
      <c r="H462" s="4">
        <v>432.0</v>
      </c>
      <c r="I462" s="21">
        <f t="array" ref="I462">XLOOKUP($A462,product!A:A,product!E:E)</f>
        <v>2.77</v>
      </c>
      <c r="J462" s="4">
        <f t="shared" si="2"/>
        <v>1196.64</v>
      </c>
      <c r="K462" s="22">
        <f t="shared" si="3"/>
        <v>1</v>
      </c>
      <c r="L462" s="4">
        <f t="shared" si="4"/>
        <v>1</v>
      </c>
    </row>
    <row r="463">
      <c r="A463" s="23">
        <v>101557.0</v>
      </c>
      <c r="B463" s="24" t="str">
        <f t="array" ref="B463">xlookup($A463,product!$A:$A,product!B:B)</f>
        <v>Beauté &amp; Hygiène</v>
      </c>
      <c r="C463" s="24" t="str">
        <f t="array" ref="C463">xlookup($A463,product!$A:$A,product!C:C)</f>
        <v>Hygiène</v>
      </c>
      <c r="D463" s="24" t="str">
        <f t="array" ref="D463">xlookup($A463,product!$A:$A,product!D:D)</f>
        <v>Soins dentaires</v>
      </c>
      <c r="E463" s="25" t="str">
        <f t="shared" si="1"/>
        <v>101557-Hygiène-Soins dentaires</v>
      </c>
      <c r="F463" s="25">
        <v>1.0</v>
      </c>
      <c r="G463" s="25">
        <v>302.0</v>
      </c>
      <c r="H463" s="25">
        <v>116.0</v>
      </c>
      <c r="I463" s="26">
        <f t="array" ref="I463">XLOOKUP($A463,product!A:A,product!E:E)</f>
        <v>5.3</v>
      </c>
      <c r="J463" s="25">
        <f t="shared" si="2"/>
        <v>614.8</v>
      </c>
      <c r="K463" s="27">
        <f t="shared" si="3"/>
        <v>1</v>
      </c>
      <c r="L463" s="25">
        <f t="shared" si="4"/>
        <v>1</v>
      </c>
    </row>
    <row r="464">
      <c r="A464" s="19">
        <v>103610.0</v>
      </c>
      <c r="B464" s="20" t="str">
        <f t="array" ref="B464">xlookup($A464,product!$A:$A,product!B:B)</f>
        <v>Beauté &amp; Hygiène</v>
      </c>
      <c r="C464" s="20" t="str">
        <f t="array" ref="C464">xlookup($A464,product!$A:$A,product!C:C)</f>
        <v>Hygiène</v>
      </c>
      <c r="D464" s="20" t="str">
        <f t="array" ref="D464">xlookup($A464,product!$A:$A,product!D:D)</f>
        <v>Soins dentaires</v>
      </c>
      <c r="E464" s="4" t="str">
        <f t="shared" si="1"/>
        <v>103610-Hygiène-Soins dentaires</v>
      </c>
      <c r="F464" s="4">
        <v>1.0</v>
      </c>
      <c r="G464" s="4">
        <v>945.0</v>
      </c>
      <c r="H464" s="4">
        <v>775.0</v>
      </c>
      <c r="I464" s="21">
        <f t="array" ref="I464">XLOOKUP($A464,product!A:A,product!E:E)</f>
        <v>1.45</v>
      </c>
      <c r="J464" s="4">
        <f t="shared" si="2"/>
        <v>1123.75</v>
      </c>
      <c r="K464" s="22">
        <f t="shared" si="3"/>
        <v>1</v>
      </c>
      <c r="L464" s="4">
        <f t="shared" si="4"/>
        <v>1</v>
      </c>
    </row>
    <row r="465">
      <c r="A465" s="23">
        <v>181195.0</v>
      </c>
      <c r="B465" s="24" t="str">
        <f t="array" ref="B465">xlookup($A465,product!$A:$A,product!B:B)</f>
        <v>Beauté &amp; Hygiène</v>
      </c>
      <c r="C465" s="24" t="str">
        <f t="array" ref="C465">xlookup($A465,product!$A:$A,product!C:C)</f>
        <v>Hygiène</v>
      </c>
      <c r="D465" s="24" t="str">
        <f t="array" ref="D465">xlookup($A465,product!$A:$A,product!D:D)</f>
        <v>Soins dentaires</v>
      </c>
      <c r="E465" s="25" t="str">
        <f t="shared" si="1"/>
        <v>181195-Hygiène-Soins dentaires</v>
      </c>
      <c r="F465" s="25">
        <v>1.0</v>
      </c>
      <c r="G465" s="25">
        <v>117.0</v>
      </c>
      <c r="H465" s="25">
        <v>38.0</v>
      </c>
      <c r="I465" s="26">
        <f t="array" ref="I465">XLOOKUP($A465,product!A:A,product!E:E)</f>
        <v>4.35</v>
      </c>
      <c r="J465" s="25">
        <f t="shared" si="2"/>
        <v>165.3</v>
      </c>
      <c r="K465" s="27">
        <f t="shared" si="3"/>
        <v>1</v>
      </c>
      <c r="L465" s="25">
        <f t="shared" si="4"/>
        <v>1</v>
      </c>
    </row>
    <row r="466">
      <c r="A466" s="19">
        <v>12639.0</v>
      </c>
      <c r="B466" s="20" t="str">
        <f t="array" ref="B466">xlookup($A466,product!$A:$A,product!B:B)</f>
        <v>Beauté &amp; Hygiène</v>
      </c>
      <c r="C466" s="20" t="str">
        <f t="array" ref="C466">xlookup($A466,product!$A:$A,product!C:C)</f>
        <v>Hygiène</v>
      </c>
      <c r="D466" s="20" t="str">
        <f t="array" ref="D466">xlookup($A466,product!$A:$A,product!D:D)</f>
        <v>Soins dentaires</v>
      </c>
      <c r="E466" s="4" t="str">
        <f t="shared" si="1"/>
        <v>12639-Hygiène-Soins dentaires</v>
      </c>
      <c r="F466" s="4">
        <v>1.0</v>
      </c>
      <c r="G466" s="4">
        <v>33.0</v>
      </c>
      <c r="H466" s="4">
        <v>10.0</v>
      </c>
      <c r="I466" s="21">
        <f t="array" ref="I466">XLOOKUP($A466,product!A:A,product!E:E)</f>
        <v>2.62</v>
      </c>
      <c r="J466" s="4">
        <f t="shared" si="2"/>
        <v>26.2</v>
      </c>
      <c r="K466" s="22">
        <f t="shared" si="3"/>
        <v>1</v>
      </c>
      <c r="L466" s="4">
        <f t="shared" si="4"/>
        <v>1</v>
      </c>
    </row>
    <row r="467">
      <c r="A467" s="23">
        <v>158464.0</v>
      </c>
      <c r="B467" s="24" t="str">
        <f t="array" ref="B467">xlookup($A467,product!$A:$A,product!B:B)</f>
        <v>Beauté &amp; Hygiène</v>
      </c>
      <c r="C467" s="24" t="str">
        <f t="array" ref="C467">xlookup($A467,product!$A:$A,product!C:C)</f>
        <v>Hygiène</v>
      </c>
      <c r="D467" s="24" t="str">
        <f t="array" ref="D467">xlookup($A467,product!$A:$A,product!D:D)</f>
        <v>Soins dentaires</v>
      </c>
      <c r="E467" s="25" t="str">
        <f t="shared" si="1"/>
        <v>158464-Hygiène-Soins dentaires</v>
      </c>
      <c r="F467" s="25">
        <v>0.0</v>
      </c>
      <c r="G467" s="25">
        <v>359.0</v>
      </c>
      <c r="H467" s="25">
        <v>171.0</v>
      </c>
      <c r="I467" s="26">
        <f t="array" ref="I467">XLOOKUP($A467,product!A:A,product!E:E)</f>
        <v>1.92</v>
      </c>
      <c r="J467" s="25">
        <f t="shared" si="2"/>
        <v>328.32</v>
      </c>
      <c r="K467" s="27">
        <f t="shared" si="3"/>
        <v>1</v>
      </c>
      <c r="L467" s="25">
        <f t="shared" si="4"/>
        <v>1</v>
      </c>
    </row>
    <row r="468">
      <c r="A468" s="19">
        <v>116525.0</v>
      </c>
      <c r="B468" s="20" t="str">
        <f t="array" ref="B468">xlookup($A468,product!$A:$A,product!B:B)</f>
        <v>Beauté &amp; Hygiène</v>
      </c>
      <c r="C468" s="20" t="str">
        <f t="array" ref="C468">xlookup($A468,product!$A:$A,product!C:C)</f>
        <v>Hygiène</v>
      </c>
      <c r="D468" s="20" t="str">
        <f t="array" ref="D468">xlookup($A468,product!$A:$A,product!D:D)</f>
        <v>Soins dentaires</v>
      </c>
      <c r="E468" s="4" t="str">
        <f t="shared" si="1"/>
        <v>116525-Hygiène-Soins dentaires</v>
      </c>
      <c r="F468" s="4">
        <v>1.0</v>
      </c>
      <c r="G468" s="4">
        <v>175.0</v>
      </c>
      <c r="H468" s="4">
        <v>139.0</v>
      </c>
      <c r="I468" s="21">
        <f t="array" ref="I468">XLOOKUP($A468,product!A:A,product!E:E)</f>
        <v>1.18</v>
      </c>
      <c r="J468" s="4">
        <f t="shared" si="2"/>
        <v>164.02</v>
      </c>
      <c r="K468" s="22">
        <f t="shared" si="3"/>
        <v>1</v>
      </c>
      <c r="L468" s="4">
        <f t="shared" si="4"/>
        <v>1</v>
      </c>
    </row>
    <row r="469">
      <c r="A469" s="23">
        <v>116295.0</v>
      </c>
      <c r="B469" s="24" t="str">
        <f t="array" ref="B469">xlookup($A469,product!$A:$A,product!B:B)</f>
        <v>Beauté &amp; Hygiène</v>
      </c>
      <c r="C469" s="24" t="str">
        <f t="array" ref="C469">xlookup($A469,product!$A:$A,product!C:C)</f>
        <v>Hygiène</v>
      </c>
      <c r="D469" s="24" t="str">
        <f t="array" ref="D469">xlookup($A469,product!$A:$A,product!D:D)</f>
        <v>Soins dentaires</v>
      </c>
      <c r="E469" s="25" t="str">
        <f t="shared" si="1"/>
        <v>116295-Hygiène-Soins dentaires</v>
      </c>
      <c r="F469" s="25">
        <v>0.0</v>
      </c>
      <c r="G469" s="25">
        <v>750.0</v>
      </c>
      <c r="H469" s="25">
        <v>649.0</v>
      </c>
      <c r="I469" s="26">
        <f t="array" ref="I469">XLOOKUP($A469,product!A:A,product!E:E)</f>
        <v>1.69</v>
      </c>
      <c r="J469" s="25">
        <f t="shared" si="2"/>
        <v>1096.81</v>
      </c>
      <c r="K469" s="27">
        <f t="shared" si="3"/>
        <v>1</v>
      </c>
      <c r="L469" s="25">
        <f t="shared" si="4"/>
        <v>1</v>
      </c>
    </row>
    <row r="470">
      <c r="A470" s="19">
        <v>116297.0</v>
      </c>
      <c r="B470" s="20" t="str">
        <f t="array" ref="B470">xlookup($A470,product!$A:$A,product!B:B)</f>
        <v>Beauté &amp; Hygiène</v>
      </c>
      <c r="C470" s="20" t="str">
        <f t="array" ref="C470">xlookup($A470,product!$A:$A,product!C:C)</f>
        <v>Hygiène</v>
      </c>
      <c r="D470" s="20" t="str">
        <f t="array" ref="D470">xlookup($A470,product!$A:$A,product!D:D)</f>
        <v>Soins dentaires</v>
      </c>
      <c r="E470" s="4" t="str">
        <f t="shared" si="1"/>
        <v>116297-Hygiène-Soins dentaires</v>
      </c>
      <c r="F470" s="4">
        <v>1.0</v>
      </c>
      <c r="G470" s="4">
        <v>568.0</v>
      </c>
      <c r="H470" s="4">
        <v>462.0</v>
      </c>
      <c r="I470" s="21">
        <f t="array" ref="I470">XLOOKUP($A470,product!A:A,product!E:E)</f>
        <v>1.69</v>
      </c>
      <c r="J470" s="4">
        <f t="shared" si="2"/>
        <v>780.78</v>
      </c>
      <c r="K470" s="22">
        <f t="shared" si="3"/>
        <v>1</v>
      </c>
      <c r="L470" s="4">
        <f t="shared" si="4"/>
        <v>1</v>
      </c>
    </row>
    <row r="471">
      <c r="A471" s="23">
        <v>11421.0</v>
      </c>
      <c r="B471" s="24" t="str">
        <f t="array" ref="B471">xlookup($A471,product!$A:$A,product!B:B)</f>
        <v>Beauté &amp; Hygiène</v>
      </c>
      <c r="C471" s="24" t="str">
        <f t="array" ref="C471">xlookup($A471,product!$A:$A,product!C:C)</f>
        <v>Hygiène</v>
      </c>
      <c r="D471" s="24" t="str">
        <f t="array" ref="D471">xlookup($A471,product!$A:$A,product!D:D)</f>
        <v>Soins dentaires</v>
      </c>
      <c r="E471" s="25" t="str">
        <f t="shared" si="1"/>
        <v>11421-Hygiène-Soins dentaires</v>
      </c>
      <c r="F471" s="25">
        <v>1.0</v>
      </c>
      <c r="G471" s="25">
        <v>635.0</v>
      </c>
      <c r="H471" s="25">
        <v>55.0</v>
      </c>
      <c r="I471" s="26">
        <f t="array" ref="I471">XLOOKUP($A471,product!A:A,product!E:E)</f>
        <v>5.53</v>
      </c>
      <c r="J471" s="25">
        <f t="shared" si="2"/>
        <v>304.15</v>
      </c>
      <c r="K471" s="27">
        <f t="shared" si="3"/>
        <v>1</v>
      </c>
      <c r="L471" s="25">
        <f t="shared" si="4"/>
        <v>1</v>
      </c>
    </row>
    <row r="472">
      <c r="A472" s="19">
        <v>101549.0</v>
      </c>
      <c r="B472" s="20" t="str">
        <f t="array" ref="B472">xlookup($A472,product!$A:$A,product!B:B)</f>
        <v>Beauté &amp; Hygiène</v>
      </c>
      <c r="C472" s="20" t="str">
        <f t="array" ref="C472">xlookup($A472,product!$A:$A,product!C:C)</f>
        <v>Hygiène</v>
      </c>
      <c r="D472" s="20" t="str">
        <f t="array" ref="D472">xlookup($A472,product!$A:$A,product!D:D)</f>
        <v>Soins dentaires</v>
      </c>
      <c r="E472" s="4" t="str">
        <f t="shared" si="1"/>
        <v>101549-Hygiène-Soins dentaires</v>
      </c>
      <c r="F472" s="4">
        <v>0.0</v>
      </c>
      <c r="G472" s="4">
        <v>718.0</v>
      </c>
      <c r="H472" s="4">
        <v>393.0</v>
      </c>
      <c r="I472" s="21">
        <f t="array" ref="I472">XLOOKUP($A472,product!A:A,product!E:E)</f>
        <v>1.93</v>
      </c>
      <c r="J472" s="4">
        <f t="shared" si="2"/>
        <v>758.49</v>
      </c>
      <c r="K472" s="22">
        <f t="shared" si="3"/>
        <v>1</v>
      </c>
      <c r="L472" s="4">
        <f t="shared" si="4"/>
        <v>1</v>
      </c>
    </row>
    <row r="473">
      <c r="A473" s="23">
        <v>109543.0</v>
      </c>
      <c r="B473" s="24" t="str">
        <f t="array" ref="B473">xlookup($A473,product!$A:$A,product!B:B)</f>
        <v>Beauté &amp; Hygiène</v>
      </c>
      <c r="C473" s="24" t="str">
        <f t="array" ref="C473">xlookup($A473,product!$A:$A,product!C:C)</f>
        <v>Hygiène</v>
      </c>
      <c r="D473" s="24" t="str">
        <f t="array" ref="D473">xlookup($A473,product!$A:$A,product!D:D)</f>
        <v>Soins dentaires</v>
      </c>
      <c r="E473" s="25" t="str">
        <f t="shared" si="1"/>
        <v>109543-Hygiène-Soins dentaires</v>
      </c>
      <c r="F473" s="25">
        <v>1.0</v>
      </c>
      <c r="G473" s="25">
        <v>666.0</v>
      </c>
      <c r="H473" s="25">
        <v>620.0</v>
      </c>
      <c r="I473" s="26">
        <f t="array" ref="I473">XLOOKUP($A473,product!A:A,product!E:E)</f>
        <v>2.18</v>
      </c>
      <c r="J473" s="25">
        <f t="shared" si="2"/>
        <v>1351.6</v>
      </c>
      <c r="K473" s="27">
        <f t="shared" si="3"/>
        <v>1</v>
      </c>
      <c r="L473" s="25">
        <f t="shared" si="4"/>
        <v>1</v>
      </c>
    </row>
    <row r="474">
      <c r="A474" s="19">
        <v>79318.0</v>
      </c>
      <c r="B474" s="20" t="str">
        <f t="array" ref="B474">xlookup($A474,product!$A:$A,product!B:B)</f>
        <v>Beauté &amp; Hygiène</v>
      </c>
      <c r="C474" s="20" t="str">
        <f t="array" ref="C474">xlookup($A474,product!$A:$A,product!C:C)</f>
        <v>Hygiène</v>
      </c>
      <c r="D474" s="20" t="str">
        <f t="array" ref="D474">xlookup($A474,product!$A:$A,product!D:D)</f>
        <v>Soins dentaires</v>
      </c>
      <c r="E474" s="4" t="str">
        <f t="shared" si="1"/>
        <v>79318-Hygiène-Soins dentaires</v>
      </c>
      <c r="F474" s="4">
        <v>1.0</v>
      </c>
      <c r="G474" s="4">
        <v>446.0</v>
      </c>
      <c r="H474" s="4">
        <v>413.0</v>
      </c>
      <c r="I474" s="21">
        <f t="array" ref="I474">XLOOKUP($A474,product!A:A,product!E:E)</f>
        <v>4.26</v>
      </c>
      <c r="J474" s="4">
        <f t="shared" si="2"/>
        <v>1759.38</v>
      </c>
      <c r="K474" s="22">
        <f t="shared" si="3"/>
        <v>1</v>
      </c>
      <c r="L474" s="4">
        <f t="shared" si="4"/>
        <v>1</v>
      </c>
    </row>
    <row r="475">
      <c r="A475" s="23">
        <v>2203.0</v>
      </c>
      <c r="B475" s="24" t="str">
        <f t="array" ref="B475">xlookup($A475,product!$A:$A,product!B:B)</f>
        <v>Beauté &amp; Hygiène</v>
      </c>
      <c r="C475" s="24" t="str">
        <f t="array" ref="C475">xlookup($A475,product!$A:$A,product!C:C)</f>
        <v>Hygiène</v>
      </c>
      <c r="D475" s="24" t="str">
        <f t="array" ref="D475">xlookup($A475,product!$A:$A,product!D:D)</f>
        <v>Soins dentaires</v>
      </c>
      <c r="E475" s="25" t="str">
        <f t="shared" si="1"/>
        <v>2203-Hygiène-Soins dentaires</v>
      </c>
      <c r="F475" s="25">
        <v>1.0</v>
      </c>
      <c r="G475" s="25">
        <v>887.0</v>
      </c>
      <c r="H475" s="25">
        <v>119.0</v>
      </c>
      <c r="I475" s="26">
        <f t="array" ref="I475">XLOOKUP($A475,product!A:A,product!E:E)</f>
        <v>2.67</v>
      </c>
      <c r="J475" s="25">
        <f t="shared" si="2"/>
        <v>317.73</v>
      </c>
      <c r="K475" s="27">
        <f t="shared" si="3"/>
        <v>1</v>
      </c>
      <c r="L475" s="25">
        <f t="shared" si="4"/>
        <v>1</v>
      </c>
    </row>
    <row r="476">
      <c r="A476" s="19">
        <v>111727.0</v>
      </c>
      <c r="B476" s="20" t="str">
        <f t="array" ref="B476">xlookup($A476,product!$A:$A,product!B:B)</f>
        <v>Beauté &amp; Hygiène</v>
      </c>
      <c r="C476" s="20" t="str">
        <f t="array" ref="C476">xlookup($A476,product!$A:$A,product!C:C)</f>
        <v>Hygiène</v>
      </c>
      <c r="D476" s="20" t="str">
        <f t="array" ref="D476">xlookup($A476,product!$A:$A,product!D:D)</f>
        <v>Soins dentaires</v>
      </c>
      <c r="E476" s="4" t="str">
        <f t="shared" si="1"/>
        <v>111727-Hygiène-Soins dentaires</v>
      </c>
      <c r="F476" s="4">
        <v>0.0</v>
      </c>
      <c r="G476" s="4">
        <v>930.0</v>
      </c>
      <c r="H476" s="4">
        <v>238.0</v>
      </c>
      <c r="I476" s="21">
        <f t="array" ref="I476">XLOOKUP($A476,product!A:A,product!E:E)</f>
        <v>6.47</v>
      </c>
      <c r="J476" s="4">
        <f t="shared" si="2"/>
        <v>1539.86</v>
      </c>
      <c r="K476" s="22">
        <f t="shared" si="3"/>
        <v>1</v>
      </c>
      <c r="L476" s="4">
        <f t="shared" si="4"/>
        <v>1</v>
      </c>
    </row>
    <row r="477">
      <c r="A477" s="23">
        <v>118151.0</v>
      </c>
      <c r="B477" s="24" t="str">
        <f t="array" ref="B477">xlookup($A477,product!$A:$A,product!B:B)</f>
        <v>Beauté &amp; Hygiène</v>
      </c>
      <c r="C477" s="24" t="str">
        <f t="array" ref="C477">xlookup($A477,product!$A:$A,product!C:C)</f>
        <v>Hygiène</v>
      </c>
      <c r="D477" s="24" t="str">
        <f t="array" ref="D477">xlookup($A477,product!$A:$A,product!D:D)</f>
        <v>Soins dentaires</v>
      </c>
      <c r="E477" s="25" t="str">
        <f t="shared" si="1"/>
        <v>118151-Hygiène-Soins dentaires</v>
      </c>
      <c r="F477" s="25">
        <v>0.0</v>
      </c>
      <c r="G477" s="25">
        <v>664.0</v>
      </c>
      <c r="H477" s="25">
        <v>85.0</v>
      </c>
      <c r="I477" s="26">
        <f t="array" ref="I477">XLOOKUP($A477,product!A:A,product!E:E)</f>
        <v>1.58</v>
      </c>
      <c r="J477" s="25">
        <f t="shared" si="2"/>
        <v>134.3</v>
      </c>
      <c r="K477" s="27">
        <f t="shared" si="3"/>
        <v>1</v>
      </c>
      <c r="L477" s="25">
        <f t="shared" si="4"/>
        <v>1</v>
      </c>
    </row>
    <row r="478">
      <c r="A478" s="19">
        <v>108888.0</v>
      </c>
      <c r="B478" s="20" t="str">
        <f t="array" ref="B478">xlookup($A478,product!$A:$A,product!B:B)</f>
        <v>Beauté &amp; Hygiène</v>
      </c>
      <c r="C478" s="20" t="str">
        <f t="array" ref="C478">xlookup($A478,product!$A:$A,product!C:C)</f>
        <v>Hygiène</v>
      </c>
      <c r="D478" s="20" t="str">
        <f t="array" ref="D478">xlookup($A478,product!$A:$A,product!D:D)</f>
        <v>Soins dentaires</v>
      </c>
      <c r="E478" s="4" t="str">
        <f t="shared" si="1"/>
        <v>108888-Hygiène-Soins dentaires</v>
      </c>
      <c r="F478" s="4">
        <v>0.0</v>
      </c>
      <c r="G478" s="4">
        <v>816.0</v>
      </c>
      <c r="H478" s="4">
        <v>299.0</v>
      </c>
      <c r="I478" s="21">
        <f t="array" ref="I478">XLOOKUP($A478,product!A:A,product!E:E)</f>
        <v>2.94</v>
      </c>
      <c r="J478" s="4">
        <f t="shared" si="2"/>
        <v>879.06</v>
      </c>
      <c r="K478" s="22">
        <f t="shared" si="3"/>
        <v>1</v>
      </c>
      <c r="L478" s="4">
        <f t="shared" si="4"/>
        <v>1</v>
      </c>
    </row>
    <row r="479">
      <c r="A479" s="23">
        <v>120465.0</v>
      </c>
      <c r="B479" s="24" t="str">
        <f t="array" ref="B479">xlookup($A479,product!$A:$A,product!B:B)</f>
        <v>Beauté &amp; Hygiène</v>
      </c>
      <c r="C479" s="24" t="str">
        <f t="array" ref="C479">xlookup($A479,product!$A:$A,product!C:C)</f>
        <v>Hygiène</v>
      </c>
      <c r="D479" s="24" t="str">
        <f t="array" ref="D479">xlookup($A479,product!$A:$A,product!D:D)</f>
        <v>Soins dentaires</v>
      </c>
      <c r="E479" s="25" t="str">
        <f t="shared" si="1"/>
        <v>120465-Hygiène-Soins dentaires</v>
      </c>
      <c r="F479" s="25">
        <v>0.0</v>
      </c>
      <c r="G479" s="25">
        <v>514.0</v>
      </c>
      <c r="H479" s="25">
        <v>229.0</v>
      </c>
      <c r="I479" s="26">
        <f t="array" ref="I479">XLOOKUP($A479,product!A:A,product!E:E)</f>
        <v>2.49</v>
      </c>
      <c r="J479" s="25">
        <f t="shared" si="2"/>
        <v>570.21</v>
      </c>
      <c r="K479" s="27">
        <f t="shared" si="3"/>
        <v>1</v>
      </c>
      <c r="L479" s="25">
        <f t="shared" si="4"/>
        <v>1</v>
      </c>
    </row>
    <row r="480">
      <c r="A480" s="19">
        <v>92561.0</v>
      </c>
      <c r="B480" s="20" t="str">
        <f t="array" ref="B480">xlookup($A480,product!$A:$A,product!B:B)</f>
        <v>Beauté &amp; Hygiène</v>
      </c>
      <c r="C480" s="20" t="str">
        <f t="array" ref="C480">xlookup($A480,product!$A:$A,product!C:C)</f>
        <v>Hygiène</v>
      </c>
      <c r="D480" s="20" t="str">
        <f t="array" ref="D480">xlookup($A480,product!$A:$A,product!D:D)</f>
        <v>Soins dentaires</v>
      </c>
      <c r="E480" s="4" t="str">
        <f t="shared" si="1"/>
        <v>92561-Hygiène-Soins dentaires</v>
      </c>
      <c r="F480" s="4">
        <v>1.0</v>
      </c>
      <c r="G480" s="4">
        <v>423.0</v>
      </c>
      <c r="H480" s="4">
        <v>44.0</v>
      </c>
      <c r="I480" s="21">
        <f t="array" ref="I480">XLOOKUP($A480,product!A:A,product!E:E)</f>
        <v>2.33</v>
      </c>
      <c r="J480" s="4">
        <f t="shared" si="2"/>
        <v>102.52</v>
      </c>
      <c r="K480" s="22">
        <f t="shared" si="3"/>
        <v>1</v>
      </c>
      <c r="L480" s="4">
        <f t="shared" si="4"/>
        <v>1</v>
      </c>
    </row>
    <row r="481">
      <c r="A481" s="23">
        <v>150294.0</v>
      </c>
      <c r="B481" s="24" t="str">
        <f t="array" ref="B481">xlookup($A481,product!$A:$A,product!B:B)</f>
        <v>Beauté &amp; Hygiène</v>
      </c>
      <c r="C481" s="24" t="str">
        <f t="array" ref="C481">xlookup($A481,product!$A:$A,product!C:C)</f>
        <v>Hygiène</v>
      </c>
      <c r="D481" s="24" t="str">
        <f t="array" ref="D481">xlookup($A481,product!$A:$A,product!D:D)</f>
        <v>Soins dentaires</v>
      </c>
      <c r="E481" s="25" t="str">
        <f t="shared" si="1"/>
        <v>150294-Hygiène-Soins dentaires</v>
      </c>
      <c r="F481" s="25">
        <v>1.0</v>
      </c>
      <c r="G481" s="25">
        <v>169.0</v>
      </c>
      <c r="H481" s="25">
        <v>133.0</v>
      </c>
      <c r="I481" s="26">
        <f t="array" ref="I481">XLOOKUP($A481,product!A:A,product!E:E)</f>
        <v>5.17</v>
      </c>
      <c r="J481" s="25">
        <f t="shared" si="2"/>
        <v>687.61</v>
      </c>
      <c r="K481" s="27">
        <f t="shared" si="3"/>
        <v>1</v>
      </c>
      <c r="L481" s="25">
        <f t="shared" si="4"/>
        <v>1</v>
      </c>
    </row>
    <row r="482">
      <c r="A482" s="19">
        <v>108895.0</v>
      </c>
      <c r="B482" s="20" t="str">
        <f t="array" ref="B482">xlookup($A482,product!$A:$A,product!B:B)</f>
        <v>Beauté &amp; Hygiène</v>
      </c>
      <c r="C482" s="20" t="str">
        <f t="array" ref="C482">xlookup($A482,product!$A:$A,product!C:C)</f>
        <v>Hygiène</v>
      </c>
      <c r="D482" s="20" t="str">
        <f t="array" ref="D482">xlookup($A482,product!$A:$A,product!D:D)</f>
        <v>Soins dentaires</v>
      </c>
      <c r="E482" s="4" t="str">
        <f t="shared" si="1"/>
        <v>108895-Hygiène-Soins dentaires</v>
      </c>
      <c r="F482" s="4">
        <v>0.0</v>
      </c>
      <c r="G482" s="4">
        <v>548.0</v>
      </c>
      <c r="H482" s="4">
        <v>373.0</v>
      </c>
      <c r="I482" s="21">
        <f t="array" ref="I482">XLOOKUP($A482,product!A:A,product!E:E)</f>
        <v>2.03</v>
      </c>
      <c r="J482" s="4">
        <f t="shared" si="2"/>
        <v>757.19</v>
      </c>
      <c r="K482" s="22">
        <f t="shared" si="3"/>
        <v>1</v>
      </c>
      <c r="L482" s="4">
        <f t="shared" si="4"/>
        <v>1</v>
      </c>
    </row>
    <row r="483">
      <c r="A483" s="23">
        <v>41666.0</v>
      </c>
      <c r="B483" s="24" t="str">
        <f t="array" ref="B483">xlookup($A483,product!$A:$A,product!B:B)</f>
        <v>Beauté &amp; Hygiène</v>
      </c>
      <c r="C483" s="24" t="str">
        <f t="array" ref="C483">xlookup($A483,product!$A:$A,product!C:C)</f>
        <v>Hygiène</v>
      </c>
      <c r="D483" s="24" t="str">
        <f t="array" ref="D483">xlookup($A483,product!$A:$A,product!D:D)</f>
        <v>Soins dentaires</v>
      </c>
      <c r="E483" s="25" t="str">
        <f t="shared" si="1"/>
        <v>41666-Hygiène-Soins dentaires</v>
      </c>
      <c r="F483" s="25">
        <v>0.0</v>
      </c>
      <c r="G483" s="25">
        <v>344.0</v>
      </c>
      <c r="H483" s="25">
        <v>273.0</v>
      </c>
      <c r="I483" s="26">
        <f t="array" ref="I483">XLOOKUP($A483,product!A:A,product!E:E)</f>
        <v>3.42</v>
      </c>
      <c r="J483" s="25">
        <f t="shared" si="2"/>
        <v>933.66</v>
      </c>
      <c r="K483" s="27">
        <f t="shared" si="3"/>
        <v>1</v>
      </c>
      <c r="L483" s="25">
        <f t="shared" si="4"/>
        <v>1</v>
      </c>
    </row>
    <row r="484">
      <c r="A484" s="19">
        <v>41816.0</v>
      </c>
      <c r="B484" s="20" t="str">
        <f t="array" ref="B484">xlookup($A484,product!$A:$A,product!B:B)</f>
        <v>Beauté &amp; Hygiène</v>
      </c>
      <c r="C484" s="20" t="str">
        <f t="array" ref="C484">xlookup($A484,product!$A:$A,product!C:C)</f>
        <v>Hygiène</v>
      </c>
      <c r="D484" s="20" t="str">
        <f t="array" ref="D484">xlookup($A484,product!$A:$A,product!D:D)</f>
        <v>Soins dentaires</v>
      </c>
      <c r="E484" s="4" t="str">
        <f t="shared" si="1"/>
        <v>41816-Hygiène-Soins dentaires</v>
      </c>
      <c r="F484" s="4">
        <v>1.0</v>
      </c>
      <c r="G484" s="4">
        <v>154.0</v>
      </c>
      <c r="H484" s="4">
        <v>151.0</v>
      </c>
      <c r="I484" s="21">
        <f t="array" ref="I484">XLOOKUP($A484,product!A:A,product!E:E)</f>
        <v>2.25</v>
      </c>
      <c r="J484" s="4">
        <f t="shared" si="2"/>
        <v>339.75</v>
      </c>
      <c r="K484" s="22">
        <f t="shared" si="3"/>
        <v>1</v>
      </c>
      <c r="L484" s="4">
        <f t="shared" si="4"/>
        <v>1</v>
      </c>
    </row>
    <row r="485">
      <c r="A485" s="23">
        <v>99779.0</v>
      </c>
      <c r="B485" s="24" t="str">
        <f t="array" ref="B485">xlookup($A485,product!$A:$A,product!B:B)</f>
        <v>Beauté &amp; Hygiène</v>
      </c>
      <c r="C485" s="24" t="str">
        <f t="array" ref="C485">xlookup($A485,product!$A:$A,product!C:C)</f>
        <v>Hygiène</v>
      </c>
      <c r="D485" s="24" t="str">
        <f t="array" ref="D485">xlookup($A485,product!$A:$A,product!D:D)</f>
        <v>Soins dentaires</v>
      </c>
      <c r="E485" s="25" t="str">
        <f t="shared" si="1"/>
        <v>99779-Hygiène-Soins dentaires</v>
      </c>
      <c r="F485" s="25">
        <v>1.0</v>
      </c>
      <c r="G485" s="25">
        <v>952.0</v>
      </c>
      <c r="H485" s="25">
        <v>438.0</v>
      </c>
      <c r="I485" s="26">
        <f t="array" ref="I485">XLOOKUP($A485,product!A:A,product!E:E)</f>
        <v>3.46</v>
      </c>
      <c r="J485" s="25">
        <f t="shared" si="2"/>
        <v>1515.48</v>
      </c>
      <c r="K485" s="27">
        <f t="shared" si="3"/>
        <v>1</v>
      </c>
      <c r="L485" s="25">
        <f t="shared" si="4"/>
        <v>1</v>
      </c>
    </row>
    <row r="486">
      <c r="A486" s="19">
        <v>111716.0</v>
      </c>
      <c r="B486" s="20" t="str">
        <f t="array" ref="B486">xlookup($A486,product!$A:$A,product!B:B)</f>
        <v>Beauté &amp; Hygiène</v>
      </c>
      <c r="C486" s="20" t="str">
        <f t="array" ref="C486">xlookup($A486,product!$A:$A,product!C:C)</f>
        <v>Hygiène</v>
      </c>
      <c r="D486" s="20" t="str">
        <f t="array" ref="D486">xlookup($A486,product!$A:$A,product!D:D)</f>
        <v>Soins dentaires</v>
      </c>
      <c r="E486" s="4" t="str">
        <f t="shared" si="1"/>
        <v>111716-Hygiène-Soins dentaires</v>
      </c>
      <c r="F486" s="4">
        <v>0.0</v>
      </c>
      <c r="G486" s="4">
        <v>954.0</v>
      </c>
      <c r="H486" s="4">
        <v>706.0</v>
      </c>
      <c r="I486" s="21">
        <f t="array" ref="I486">XLOOKUP($A486,product!A:A,product!E:E)</f>
        <v>0.87</v>
      </c>
      <c r="J486" s="4">
        <f t="shared" si="2"/>
        <v>614.22</v>
      </c>
      <c r="K486" s="22">
        <f t="shared" si="3"/>
        <v>1</v>
      </c>
      <c r="L486" s="4">
        <f t="shared" si="4"/>
        <v>1</v>
      </c>
    </row>
    <row r="487">
      <c r="A487" s="23">
        <v>96443.0</v>
      </c>
      <c r="B487" s="24" t="str">
        <f t="array" ref="B487">xlookup($A487,product!$A:$A,product!B:B)</f>
        <v>Beauté &amp; Hygiène</v>
      </c>
      <c r="C487" s="24" t="str">
        <f t="array" ref="C487">xlookup($A487,product!$A:$A,product!C:C)</f>
        <v>Hygiène</v>
      </c>
      <c r="D487" s="24" t="str">
        <f t="array" ref="D487">xlookup($A487,product!$A:$A,product!D:D)</f>
        <v>Soins dentaires</v>
      </c>
      <c r="E487" s="25" t="str">
        <f t="shared" si="1"/>
        <v>96443-Hygiène-Soins dentaires</v>
      </c>
      <c r="F487" s="25">
        <v>1.0</v>
      </c>
      <c r="G487" s="25">
        <v>132.0</v>
      </c>
      <c r="H487" s="25">
        <v>62.0</v>
      </c>
      <c r="I487" s="26">
        <f t="array" ref="I487">XLOOKUP($A487,product!A:A,product!E:E)</f>
        <v>2.77</v>
      </c>
      <c r="J487" s="25">
        <f t="shared" si="2"/>
        <v>171.74</v>
      </c>
      <c r="K487" s="27">
        <f t="shared" si="3"/>
        <v>1</v>
      </c>
      <c r="L487" s="25">
        <f t="shared" si="4"/>
        <v>1</v>
      </c>
    </row>
    <row r="488">
      <c r="A488" s="19">
        <v>193187.0</v>
      </c>
      <c r="B488" s="20" t="str">
        <f t="array" ref="B488">xlookup($A488,product!$A:$A,product!B:B)</f>
        <v>Beauté &amp; Hygiène</v>
      </c>
      <c r="C488" s="20" t="str">
        <f t="array" ref="C488">xlookup($A488,product!$A:$A,product!C:C)</f>
        <v>Hygiène</v>
      </c>
      <c r="D488" s="20" t="str">
        <f t="array" ref="D488">xlookup($A488,product!$A:$A,product!D:D)</f>
        <v>Soins dentaires</v>
      </c>
      <c r="E488" s="4" t="str">
        <f t="shared" si="1"/>
        <v>193187-Hygiène-Soins dentaires</v>
      </c>
      <c r="F488" s="4">
        <v>1.0</v>
      </c>
      <c r="G488" s="4">
        <v>457.0</v>
      </c>
      <c r="H488" s="4">
        <v>371.0</v>
      </c>
      <c r="I488" s="21">
        <f t="array" ref="I488">XLOOKUP($A488,product!A:A,product!E:E)</f>
        <v>1.97</v>
      </c>
      <c r="J488" s="4">
        <f t="shared" si="2"/>
        <v>730.87</v>
      </c>
      <c r="K488" s="22">
        <f t="shared" si="3"/>
        <v>1</v>
      </c>
      <c r="L488" s="4">
        <f t="shared" si="4"/>
        <v>1</v>
      </c>
    </row>
    <row r="489">
      <c r="A489" s="23">
        <v>96068.0</v>
      </c>
      <c r="B489" s="24" t="str">
        <f t="array" ref="B489">xlookup($A489,product!$A:$A,product!B:B)</f>
        <v>Beauté &amp; Hygiène</v>
      </c>
      <c r="C489" s="24" t="str">
        <f t="array" ref="C489">xlookup($A489,product!$A:$A,product!C:C)</f>
        <v>Hygiène</v>
      </c>
      <c r="D489" s="24" t="str">
        <f t="array" ref="D489">xlookup($A489,product!$A:$A,product!D:D)</f>
        <v>Soins dentaires</v>
      </c>
      <c r="E489" s="25" t="str">
        <f t="shared" si="1"/>
        <v>96068-Hygiène-Soins dentaires</v>
      </c>
      <c r="F489" s="25">
        <v>0.0</v>
      </c>
      <c r="G489" s="25">
        <v>63.0</v>
      </c>
      <c r="H489" s="25">
        <v>12.0</v>
      </c>
      <c r="I489" s="26">
        <f t="array" ref="I489">XLOOKUP($A489,product!A:A,product!E:E)</f>
        <v>3.71</v>
      </c>
      <c r="J489" s="25">
        <f t="shared" si="2"/>
        <v>44.52</v>
      </c>
      <c r="K489" s="27">
        <f t="shared" si="3"/>
        <v>1</v>
      </c>
      <c r="L489" s="25">
        <f t="shared" si="4"/>
        <v>1</v>
      </c>
    </row>
    <row r="490">
      <c r="A490" s="19">
        <v>3227.0</v>
      </c>
      <c r="B490" s="20" t="str">
        <f t="array" ref="B490">xlookup($A490,product!$A:$A,product!B:B)</f>
        <v>Beauté &amp; Hygiène</v>
      </c>
      <c r="C490" s="20" t="str">
        <f t="array" ref="C490">xlookup($A490,product!$A:$A,product!C:C)</f>
        <v>Hygiène</v>
      </c>
      <c r="D490" s="20" t="str">
        <f t="array" ref="D490">xlookup($A490,product!$A:$A,product!D:D)</f>
        <v>Soins dentaires</v>
      </c>
      <c r="E490" s="4" t="str">
        <f t="shared" si="1"/>
        <v>3227-Hygiène-Soins dentaires</v>
      </c>
      <c r="F490" s="4">
        <v>1.0</v>
      </c>
      <c r="G490" s="4">
        <v>688.0</v>
      </c>
      <c r="H490" s="4">
        <v>602.0</v>
      </c>
      <c r="I490" s="21">
        <f t="array" ref="I490">XLOOKUP($A490,product!A:A,product!E:E)</f>
        <v>3.9</v>
      </c>
      <c r="J490" s="4">
        <f t="shared" si="2"/>
        <v>2347.8</v>
      </c>
      <c r="K490" s="22">
        <f t="shared" si="3"/>
        <v>1</v>
      </c>
      <c r="L490" s="4">
        <f t="shared" si="4"/>
        <v>1</v>
      </c>
    </row>
    <row r="491">
      <c r="A491" s="23">
        <v>193183.0</v>
      </c>
      <c r="B491" s="24" t="str">
        <f t="array" ref="B491">xlookup($A491,product!$A:$A,product!B:B)</f>
        <v>Beauté &amp; Hygiène</v>
      </c>
      <c r="C491" s="24" t="str">
        <f t="array" ref="C491">xlookup($A491,product!$A:$A,product!C:C)</f>
        <v>Hygiène</v>
      </c>
      <c r="D491" s="24" t="str">
        <f t="array" ref="D491">xlookup($A491,product!$A:$A,product!D:D)</f>
        <v>Soins dentaires</v>
      </c>
      <c r="E491" s="25" t="str">
        <f t="shared" si="1"/>
        <v>193183-Hygiène-Soins dentaires</v>
      </c>
      <c r="F491" s="25">
        <v>0.0</v>
      </c>
      <c r="G491" s="25">
        <v>628.0</v>
      </c>
      <c r="H491" s="25">
        <v>359.0</v>
      </c>
      <c r="I491" s="26">
        <f t="array" ref="I491">XLOOKUP($A491,product!A:A,product!E:E)</f>
        <v>2.57</v>
      </c>
      <c r="J491" s="25">
        <f t="shared" si="2"/>
        <v>922.63</v>
      </c>
      <c r="K491" s="27">
        <f t="shared" si="3"/>
        <v>1</v>
      </c>
      <c r="L491" s="25">
        <f t="shared" si="4"/>
        <v>1</v>
      </c>
    </row>
    <row r="492">
      <c r="A492" s="19">
        <v>120945.0</v>
      </c>
      <c r="B492" s="20" t="str">
        <f t="array" ref="B492">xlookup($A492,product!$A:$A,product!B:B)</f>
        <v>Beauté &amp; Hygiène</v>
      </c>
      <c r="C492" s="20" t="str">
        <f t="array" ref="C492">xlookup($A492,product!$A:$A,product!C:C)</f>
        <v>Hygiène</v>
      </c>
      <c r="D492" s="20" t="str">
        <f t="array" ref="D492">xlookup($A492,product!$A:$A,product!D:D)</f>
        <v>Soins dentaires</v>
      </c>
      <c r="E492" s="4" t="str">
        <f t="shared" si="1"/>
        <v>120945-Hygiène-Soins dentaires</v>
      </c>
      <c r="F492" s="4">
        <v>0.0</v>
      </c>
      <c r="G492" s="4">
        <v>660.0</v>
      </c>
      <c r="H492" s="4">
        <v>342.0</v>
      </c>
      <c r="I492" s="21">
        <f t="array" ref="I492">XLOOKUP($A492,product!A:A,product!E:E)</f>
        <v>3.46</v>
      </c>
      <c r="J492" s="4">
        <f t="shared" si="2"/>
        <v>1183.32</v>
      </c>
      <c r="K492" s="22">
        <f t="shared" si="3"/>
        <v>1</v>
      </c>
      <c r="L492" s="4">
        <f t="shared" si="4"/>
        <v>1</v>
      </c>
    </row>
    <row r="493">
      <c r="A493" s="23">
        <v>110940.0</v>
      </c>
      <c r="B493" s="24" t="str">
        <f t="array" ref="B493">xlookup($A493,product!$A:$A,product!B:B)</f>
        <v>Beauté &amp; Hygiène</v>
      </c>
      <c r="C493" s="24" t="str">
        <f t="array" ref="C493">xlookup($A493,product!$A:$A,product!C:C)</f>
        <v>Hygiène</v>
      </c>
      <c r="D493" s="24" t="str">
        <f t="array" ref="D493">xlookup($A493,product!$A:$A,product!D:D)</f>
        <v>Coupes menstruelles</v>
      </c>
      <c r="E493" s="25" t="str">
        <f t="shared" si="1"/>
        <v>110940-Hygiène-Coupes menstruelles</v>
      </c>
      <c r="F493" s="25">
        <v>0.0</v>
      </c>
      <c r="G493" s="25">
        <v>9.0</v>
      </c>
      <c r="H493" s="25">
        <v>3.0</v>
      </c>
      <c r="I493" s="26">
        <f t="array" ref="I493">XLOOKUP($A493,product!A:A,product!E:E)</f>
        <v>9.31</v>
      </c>
      <c r="J493" s="25">
        <f t="shared" si="2"/>
        <v>27.93</v>
      </c>
      <c r="K493" s="27">
        <f t="shared" si="3"/>
        <v>1</v>
      </c>
      <c r="L493" s="25">
        <f t="shared" si="4"/>
        <v>1</v>
      </c>
    </row>
    <row r="494">
      <c r="A494" s="19">
        <v>110942.0</v>
      </c>
      <c r="B494" s="20" t="str">
        <f t="array" ref="B494">xlookup($A494,product!$A:$A,product!B:B)</f>
        <v>Beauté &amp; Hygiène</v>
      </c>
      <c r="C494" s="20" t="str">
        <f t="array" ref="C494">xlookup($A494,product!$A:$A,product!C:C)</f>
        <v>Hygiène</v>
      </c>
      <c r="D494" s="20" t="str">
        <f t="array" ref="D494">xlookup($A494,product!$A:$A,product!D:D)</f>
        <v>Coupes menstruelles</v>
      </c>
      <c r="E494" s="4" t="str">
        <f t="shared" si="1"/>
        <v>110942-Hygiène-Coupes menstruelles</v>
      </c>
      <c r="F494" s="4">
        <v>0.0</v>
      </c>
      <c r="G494" s="4">
        <v>316.0</v>
      </c>
      <c r="H494" s="4">
        <v>283.0</v>
      </c>
      <c r="I494" s="21">
        <f t="array" ref="I494">XLOOKUP($A494,product!A:A,product!E:E)</f>
        <v>9.31</v>
      </c>
      <c r="J494" s="4">
        <f t="shared" si="2"/>
        <v>2634.73</v>
      </c>
      <c r="K494" s="22">
        <f t="shared" si="3"/>
        <v>1</v>
      </c>
      <c r="L494" s="4">
        <f t="shared" si="4"/>
        <v>1</v>
      </c>
    </row>
    <row r="495">
      <c r="A495" s="23">
        <v>142301.0</v>
      </c>
      <c r="B495" s="24" t="str">
        <f t="array" ref="B495">xlookup($A495,product!$A:$A,product!B:B)</f>
        <v>Beauté &amp; Hygiène</v>
      </c>
      <c r="C495" s="24" t="str">
        <f t="array" ref="C495">xlookup($A495,product!$A:$A,product!C:C)</f>
        <v>Hygiène</v>
      </c>
      <c r="D495" s="24" t="str">
        <f t="array" ref="D495">xlookup($A495,product!$A:$A,product!D:D)</f>
        <v>Coupes menstruelles</v>
      </c>
      <c r="E495" s="25" t="str">
        <f t="shared" si="1"/>
        <v>142301-Hygiène-Coupes menstruelles</v>
      </c>
      <c r="F495" s="25">
        <v>1.0</v>
      </c>
      <c r="G495" s="25">
        <v>874.0</v>
      </c>
      <c r="H495" s="25">
        <v>200.0</v>
      </c>
      <c r="I495" s="26">
        <f t="array" ref="I495">XLOOKUP($A495,product!A:A,product!E:E)</f>
        <v>11.75</v>
      </c>
      <c r="J495" s="25">
        <f t="shared" si="2"/>
        <v>2350</v>
      </c>
      <c r="K495" s="27">
        <f t="shared" si="3"/>
        <v>1</v>
      </c>
      <c r="L495" s="25">
        <f t="shared" si="4"/>
        <v>1</v>
      </c>
    </row>
    <row r="496">
      <c r="A496" s="19">
        <v>109760.0</v>
      </c>
      <c r="B496" s="20" t="str">
        <f t="array" ref="B496">xlookup($A496,product!$A:$A,product!B:B)</f>
        <v>Beauté &amp; Hygiène</v>
      </c>
      <c r="C496" s="20" t="str">
        <f t="array" ref="C496">xlookup($A496,product!$A:$A,product!C:C)</f>
        <v>Hygiène</v>
      </c>
      <c r="D496" s="20" t="str">
        <f t="array" ref="D496">xlookup($A496,product!$A:$A,product!D:D)</f>
        <v>Tampons écologiques</v>
      </c>
      <c r="E496" s="4" t="str">
        <f t="shared" si="1"/>
        <v>109760-Hygiène-Tampons écologiques</v>
      </c>
      <c r="F496" s="4">
        <v>0.0</v>
      </c>
      <c r="G496" s="4">
        <v>253.0</v>
      </c>
      <c r="H496" s="4">
        <v>28.0</v>
      </c>
      <c r="I496" s="21">
        <f t="array" ref="I496">XLOOKUP($A496,product!A:A,product!E:E)</f>
        <v>11.68</v>
      </c>
      <c r="J496" s="4">
        <f t="shared" si="2"/>
        <v>327.04</v>
      </c>
      <c r="K496" s="22">
        <f t="shared" si="3"/>
        <v>1</v>
      </c>
      <c r="L496" s="4">
        <f t="shared" si="4"/>
        <v>1</v>
      </c>
    </row>
    <row r="497">
      <c r="A497" s="23">
        <v>100392.0</v>
      </c>
      <c r="B497" s="24" t="str">
        <f t="array" ref="B497">xlookup($A497,product!$A:$A,product!B:B)</f>
        <v>Beauté &amp; Hygiène</v>
      </c>
      <c r="C497" s="24" t="str">
        <f t="array" ref="C497">xlookup($A497,product!$A:$A,product!C:C)</f>
        <v>Hygiène</v>
      </c>
      <c r="D497" s="24" t="str">
        <f t="array" ref="D497">xlookup($A497,product!$A:$A,product!D:D)</f>
        <v>Tampons écologiques</v>
      </c>
      <c r="E497" s="25" t="str">
        <f t="shared" si="1"/>
        <v>100392-Hygiène-Tampons écologiques</v>
      </c>
      <c r="F497" s="25">
        <v>0.0</v>
      </c>
      <c r="G497" s="25">
        <v>280.0</v>
      </c>
      <c r="H497" s="25">
        <v>202.0</v>
      </c>
      <c r="I497" s="26">
        <f t="array" ref="I497">XLOOKUP($A497,product!A:A,product!E:E)</f>
        <v>3.9</v>
      </c>
      <c r="J497" s="25">
        <f t="shared" si="2"/>
        <v>787.8</v>
      </c>
      <c r="K497" s="27">
        <f t="shared" si="3"/>
        <v>1</v>
      </c>
      <c r="L497" s="25">
        <f t="shared" si="4"/>
        <v>1</v>
      </c>
    </row>
    <row r="498">
      <c r="A498" s="19">
        <v>109763.0</v>
      </c>
      <c r="B498" s="20" t="str">
        <f t="array" ref="B498">xlookup($A498,product!$A:$A,product!B:B)</f>
        <v>Beauté &amp; Hygiène</v>
      </c>
      <c r="C498" s="20" t="str">
        <f t="array" ref="C498">xlookup($A498,product!$A:$A,product!C:C)</f>
        <v>Hygiène</v>
      </c>
      <c r="D498" s="20" t="str">
        <f t="array" ref="D498">xlookup($A498,product!$A:$A,product!D:D)</f>
        <v>Tampons écologiques</v>
      </c>
      <c r="E498" s="4" t="str">
        <f t="shared" si="1"/>
        <v>109763-Hygiène-Tampons écologiques</v>
      </c>
      <c r="F498" s="4">
        <v>1.0</v>
      </c>
      <c r="G498" s="4">
        <v>448.0</v>
      </c>
      <c r="H498" s="4">
        <v>193.0</v>
      </c>
      <c r="I498" s="21">
        <f t="array" ref="I498">XLOOKUP($A498,product!A:A,product!E:E)</f>
        <v>12.15</v>
      </c>
      <c r="J498" s="4">
        <f t="shared" si="2"/>
        <v>2344.95</v>
      </c>
      <c r="K498" s="22">
        <f t="shared" si="3"/>
        <v>1</v>
      </c>
      <c r="L498" s="4">
        <f t="shared" si="4"/>
        <v>1</v>
      </c>
    </row>
    <row r="499">
      <c r="A499" s="23">
        <v>7271.0</v>
      </c>
      <c r="B499" s="24" t="str">
        <f t="array" ref="B499">xlookup($A499,product!$A:$A,product!B:B)</f>
        <v>Beauté &amp; Hygiène</v>
      </c>
      <c r="C499" s="24" t="str">
        <f t="array" ref="C499">xlookup($A499,product!$A:$A,product!C:C)</f>
        <v>Hygiène</v>
      </c>
      <c r="D499" s="24" t="str">
        <f t="array" ref="D499">xlookup($A499,product!$A:$A,product!D:D)</f>
        <v>Tampons écologiques</v>
      </c>
      <c r="E499" s="25" t="str">
        <f t="shared" si="1"/>
        <v>7271-Hygiène-Tampons écologiques</v>
      </c>
      <c r="F499" s="25">
        <v>1.0</v>
      </c>
      <c r="G499" s="25">
        <v>448.0</v>
      </c>
      <c r="H499" s="25">
        <v>435.0</v>
      </c>
      <c r="I499" s="26">
        <f t="array" ref="I499">XLOOKUP($A499,product!A:A,product!E:E)</f>
        <v>2.39</v>
      </c>
      <c r="J499" s="25">
        <f t="shared" si="2"/>
        <v>1039.65</v>
      </c>
      <c r="K499" s="27">
        <f t="shared" si="3"/>
        <v>1</v>
      </c>
      <c r="L499" s="25">
        <f t="shared" si="4"/>
        <v>1</v>
      </c>
    </row>
    <row r="500">
      <c r="A500" s="19">
        <v>7267.0</v>
      </c>
      <c r="B500" s="20" t="str">
        <f t="array" ref="B500">xlookup($A500,product!$A:$A,product!B:B)</f>
        <v>Beauté &amp; Hygiène</v>
      </c>
      <c r="C500" s="20" t="str">
        <f t="array" ref="C500">xlookup($A500,product!$A:$A,product!C:C)</f>
        <v>Hygiène</v>
      </c>
      <c r="D500" s="20" t="str">
        <f t="array" ref="D500">xlookup($A500,product!$A:$A,product!D:D)</f>
        <v>Tampons écologiques</v>
      </c>
      <c r="E500" s="4" t="str">
        <f t="shared" si="1"/>
        <v>7267-Hygiène-Tampons écologiques</v>
      </c>
      <c r="F500" s="4">
        <v>1.0</v>
      </c>
      <c r="G500" s="4">
        <v>953.0</v>
      </c>
      <c r="H500" s="4">
        <v>428.0</v>
      </c>
      <c r="I500" s="21">
        <f t="array" ref="I500">XLOOKUP($A500,product!A:A,product!E:E)</f>
        <v>1.88</v>
      </c>
      <c r="J500" s="4">
        <f t="shared" si="2"/>
        <v>804.64</v>
      </c>
      <c r="K500" s="22">
        <f t="shared" si="3"/>
        <v>1</v>
      </c>
      <c r="L500" s="4">
        <f t="shared" si="4"/>
        <v>1</v>
      </c>
    </row>
    <row r="501">
      <c r="A501" s="23">
        <v>128412.0</v>
      </c>
      <c r="B501" s="24" t="str">
        <f t="array" ref="B501">xlookup($A501,product!$A:$A,product!B:B)</f>
        <v>Beauté &amp; Hygiène</v>
      </c>
      <c r="C501" s="24" t="str">
        <f t="array" ref="C501">xlookup($A501,product!$A:$A,product!C:C)</f>
        <v>Hygiène</v>
      </c>
      <c r="D501" s="24" t="str">
        <f t="array" ref="D501">xlookup($A501,product!$A:$A,product!D:D)</f>
        <v>Tampons écologiques</v>
      </c>
      <c r="E501" s="25" t="str">
        <f t="shared" si="1"/>
        <v>128412-Hygiène-Tampons écologiques</v>
      </c>
      <c r="F501" s="25">
        <v>1.0</v>
      </c>
      <c r="G501" s="25">
        <v>232.0</v>
      </c>
      <c r="H501" s="25">
        <v>61.0</v>
      </c>
      <c r="I501" s="26">
        <f t="array" ref="I501">XLOOKUP($A501,product!A:A,product!E:E)</f>
        <v>2.37</v>
      </c>
      <c r="J501" s="25">
        <f t="shared" si="2"/>
        <v>144.57</v>
      </c>
      <c r="K501" s="27">
        <f t="shared" si="3"/>
        <v>1</v>
      </c>
      <c r="L501" s="25">
        <f t="shared" si="4"/>
        <v>1</v>
      </c>
    </row>
    <row r="502">
      <c r="A502" s="19">
        <v>7268.0</v>
      </c>
      <c r="B502" s="20" t="str">
        <f t="array" ref="B502">xlookup($A502,product!$A:$A,product!B:B)</f>
        <v>Beauté &amp; Hygiène</v>
      </c>
      <c r="C502" s="20" t="str">
        <f t="array" ref="C502">xlookup($A502,product!$A:$A,product!C:C)</f>
        <v>Hygiène</v>
      </c>
      <c r="D502" s="20" t="str">
        <f t="array" ref="D502">xlookup($A502,product!$A:$A,product!D:D)</f>
        <v>Tampons écologiques</v>
      </c>
      <c r="E502" s="4" t="str">
        <f t="shared" si="1"/>
        <v>7268-Hygiène-Tampons écologiques</v>
      </c>
      <c r="F502" s="4">
        <v>1.0</v>
      </c>
      <c r="G502" s="4">
        <v>204.0</v>
      </c>
      <c r="H502" s="4">
        <v>6.0</v>
      </c>
      <c r="I502" s="21">
        <f t="array" ref="I502">XLOOKUP($A502,product!A:A,product!E:E)</f>
        <v>2.19</v>
      </c>
      <c r="J502" s="4">
        <f t="shared" si="2"/>
        <v>13.14</v>
      </c>
      <c r="K502" s="22">
        <f t="shared" si="3"/>
        <v>1</v>
      </c>
      <c r="L502" s="4">
        <f t="shared" si="4"/>
        <v>1</v>
      </c>
    </row>
    <row r="503">
      <c r="A503" s="23">
        <v>124701.0</v>
      </c>
      <c r="B503" s="24" t="str">
        <f t="array" ref="B503">xlookup($A503,product!$A:$A,product!B:B)</f>
        <v>Beauté &amp; Hygiène</v>
      </c>
      <c r="C503" s="24" t="str">
        <f t="array" ref="C503">xlookup($A503,product!$A:$A,product!C:C)</f>
        <v>Hygiène</v>
      </c>
      <c r="D503" s="24" t="str">
        <f t="array" ref="D503">xlookup($A503,product!$A:$A,product!D:D)</f>
        <v>Tampons écologiques</v>
      </c>
      <c r="E503" s="25" t="str">
        <f t="shared" si="1"/>
        <v>124701-Hygiène-Tampons écologiques</v>
      </c>
      <c r="F503" s="25">
        <v>1.0</v>
      </c>
      <c r="G503" s="25">
        <v>914.0</v>
      </c>
      <c r="H503" s="25">
        <v>839.0</v>
      </c>
      <c r="I503" s="26">
        <f t="array" ref="I503">XLOOKUP($A503,product!A:A,product!E:E)</f>
        <v>2.08</v>
      </c>
      <c r="J503" s="25">
        <f t="shared" si="2"/>
        <v>1745.12</v>
      </c>
      <c r="K503" s="27">
        <f t="shared" si="3"/>
        <v>1</v>
      </c>
      <c r="L503" s="25">
        <f t="shared" si="4"/>
        <v>1</v>
      </c>
    </row>
    <row r="504">
      <c r="A504" s="19">
        <v>110007.0</v>
      </c>
      <c r="B504" s="20" t="str">
        <f t="array" ref="B504">xlookup($A504,product!$A:$A,product!B:B)</f>
        <v>Beauté &amp; Hygiène</v>
      </c>
      <c r="C504" s="20" t="str">
        <f t="array" ref="C504">xlookup($A504,product!$A:$A,product!C:C)</f>
        <v>Hygiène</v>
      </c>
      <c r="D504" s="20" t="str">
        <f t="array" ref="D504">xlookup($A504,product!$A:$A,product!D:D)</f>
        <v>Tampons écologiques</v>
      </c>
      <c r="E504" s="4" t="str">
        <f t="shared" si="1"/>
        <v>110007-Hygiène-Tampons écologiques</v>
      </c>
      <c r="F504" s="4">
        <v>1.0</v>
      </c>
      <c r="G504" s="4">
        <v>732.0</v>
      </c>
      <c r="H504" s="4">
        <v>356.0</v>
      </c>
      <c r="I504" s="21">
        <f t="array" ref="I504">XLOOKUP($A504,product!A:A,product!E:E)</f>
        <v>1.96</v>
      </c>
      <c r="J504" s="4">
        <f t="shared" si="2"/>
        <v>697.76</v>
      </c>
      <c r="K504" s="22">
        <f t="shared" si="3"/>
        <v>1</v>
      </c>
      <c r="L504" s="4">
        <f t="shared" si="4"/>
        <v>1</v>
      </c>
    </row>
    <row r="505">
      <c r="A505" s="23">
        <v>7266.0</v>
      </c>
      <c r="B505" s="24" t="str">
        <f t="array" ref="B505">xlookup($A505,product!$A:$A,product!B:B)</f>
        <v>Beauté &amp; Hygiène</v>
      </c>
      <c r="C505" s="24" t="str">
        <f t="array" ref="C505">xlookup($A505,product!$A:$A,product!C:C)</f>
        <v>Hygiène</v>
      </c>
      <c r="D505" s="24" t="str">
        <f t="array" ref="D505">xlookup($A505,product!$A:$A,product!D:D)</f>
        <v>Tampons écologiques</v>
      </c>
      <c r="E505" s="25" t="str">
        <f t="shared" si="1"/>
        <v>7266-Hygiène-Tampons écologiques</v>
      </c>
      <c r="F505" s="25">
        <v>0.0</v>
      </c>
      <c r="G505" s="25">
        <v>771.0</v>
      </c>
      <c r="H505" s="25">
        <v>621.0</v>
      </c>
      <c r="I505" s="26">
        <f t="array" ref="I505">XLOOKUP($A505,product!A:A,product!E:E)</f>
        <v>1.27</v>
      </c>
      <c r="J505" s="25">
        <f t="shared" si="2"/>
        <v>788.67</v>
      </c>
      <c r="K505" s="27">
        <f t="shared" si="3"/>
        <v>1</v>
      </c>
      <c r="L505" s="25">
        <f t="shared" si="4"/>
        <v>1</v>
      </c>
    </row>
    <row r="506">
      <c r="A506" s="19">
        <v>7269.0</v>
      </c>
      <c r="B506" s="20" t="str">
        <f t="array" ref="B506">xlookup($A506,product!$A:$A,product!B:B)</f>
        <v>Beauté &amp; Hygiène</v>
      </c>
      <c r="C506" s="20" t="str">
        <f t="array" ref="C506">xlookup($A506,product!$A:$A,product!C:C)</f>
        <v>Hygiène</v>
      </c>
      <c r="D506" s="20" t="str">
        <f t="array" ref="D506">xlookup($A506,product!$A:$A,product!D:D)</f>
        <v>Tampons écologiques</v>
      </c>
      <c r="E506" s="4" t="str">
        <f t="shared" si="1"/>
        <v>7269-Hygiène-Tampons écologiques</v>
      </c>
      <c r="F506" s="4">
        <v>1.0</v>
      </c>
      <c r="G506" s="4">
        <v>816.0</v>
      </c>
      <c r="H506" s="4">
        <v>300.0</v>
      </c>
      <c r="I506" s="21">
        <f t="array" ref="I506">XLOOKUP($A506,product!A:A,product!E:E)</f>
        <v>2.26</v>
      </c>
      <c r="J506" s="4">
        <f t="shared" si="2"/>
        <v>678</v>
      </c>
      <c r="K506" s="22">
        <f t="shared" si="3"/>
        <v>1</v>
      </c>
      <c r="L506" s="4">
        <f t="shared" si="4"/>
        <v>1</v>
      </c>
    </row>
    <row r="507">
      <c r="A507" s="23">
        <v>100393.0</v>
      </c>
      <c r="B507" s="24" t="str">
        <f t="array" ref="B507">xlookup($A507,product!$A:$A,product!B:B)</f>
        <v>Beauté &amp; Hygiène</v>
      </c>
      <c r="C507" s="24" t="str">
        <f t="array" ref="C507">xlookup($A507,product!$A:$A,product!C:C)</f>
        <v>Hygiène</v>
      </c>
      <c r="D507" s="24" t="str">
        <f t="array" ref="D507">xlookup($A507,product!$A:$A,product!D:D)</f>
        <v>Tampons écologiques</v>
      </c>
      <c r="E507" s="25" t="str">
        <f t="shared" si="1"/>
        <v>100393-Hygiène-Tampons écologiques</v>
      </c>
      <c r="F507" s="25">
        <v>0.0</v>
      </c>
      <c r="G507" s="25">
        <v>943.0</v>
      </c>
      <c r="H507" s="25">
        <v>774.0</v>
      </c>
      <c r="I507" s="26">
        <f t="array" ref="I507">XLOOKUP($A507,product!A:A,product!E:E)</f>
        <v>3.99</v>
      </c>
      <c r="J507" s="25">
        <f t="shared" si="2"/>
        <v>3088.26</v>
      </c>
      <c r="K507" s="27">
        <f t="shared" si="3"/>
        <v>1</v>
      </c>
      <c r="L507" s="25">
        <f t="shared" si="4"/>
        <v>1</v>
      </c>
    </row>
    <row r="508">
      <c r="A508" s="19">
        <v>110009.0</v>
      </c>
      <c r="B508" s="20" t="str">
        <f t="array" ref="B508">xlookup($A508,product!$A:$A,product!B:B)</f>
        <v>Beauté &amp; Hygiène</v>
      </c>
      <c r="C508" s="20" t="str">
        <f t="array" ref="C508">xlookup($A508,product!$A:$A,product!C:C)</f>
        <v>Hygiène</v>
      </c>
      <c r="D508" s="20" t="str">
        <f t="array" ref="D508">xlookup($A508,product!$A:$A,product!D:D)</f>
        <v>Tampons écologiques</v>
      </c>
      <c r="E508" s="4" t="str">
        <f t="shared" si="1"/>
        <v>110009-Hygiène-Tampons écologiques</v>
      </c>
      <c r="F508" s="4">
        <v>1.0</v>
      </c>
      <c r="G508" s="4">
        <v>7.0</v>
      </c>
      <c r="H508" s="4">
        <v>5.0</v>
      </c>
      <c r="I508" s="21">
        <f t="array" ref="I508">XLOOKUP($A508,product!A:A,product!E:E)</f>
        <v>2.37</v>
      </c>
      <c r="J508" s="4">
        <f t="shared" si="2"/>
        <v>11.85</v>
      </c>
      <c r="K508" s="22">
        <f t="shared" si="3"/>
        <v>1</v>
      </c>
      <c r="L508" s="4">
        <f t="shared" si="4"/>
        <v>1</v>
      </c>
    </row>
    <row r="509">
      <c r="A509" s="23">
        <v>100394.0</v>
      </c>
      <c r="B509" s="24" t="str">
        <f t="array" ref="B509">xlookup($A509,product!$A:$A,product!B:B)</f>
        <v>Beauté &amp; Hygiène</v>
      </c>
      <c r="C509" s="24" t="str">
        <f t="array" ref="C509">xlookup($A509,product!$A:$A,product!C:C)</f>
        <v>Hygiène</v>
      </c>
      <c r="D509" s="24" t="str">
        <f t="array" ref="D509">xlookup($A509,product!$A:$A,product!D:D)</f>
        <v>Tampons écologiques</v>
      </c>
      <c r="E509" s="25" t="str">
        <f t="shared" si="1"/>
        <v>100394-Hygiène-Tampons écologiques</v>
      </c>
      <c r="F509" s="25">
        <v>0.0</v>
      </c>
      <c r="G509" s="25">
        <v>174.0</v>
      </c>
      <c r="H509" s="25">
        <v>111.0</v>
      </c>
      <c r="I509" s="26">
        <f t="array" ref="I509">XLOOKUP($A509,product!A:A,product!E:E)</f>
        <v>4.19</v>
      </c>
      <c r="J509" s="25">
        <f t="shared" si="2"/>
        <v>465.09</v>
      </c>
      <c r="K509" s="27">
        <f t="shared" si="3"/>
        <v>1</v>
      </c>
      <c r="L509" s="25">
        <f t="shared" si="4"/>
        <v>1</v>
      </c>
    </row>
    <row r="510">
      <c r="A510" s="19">
        <v>118248.0</v>
      </c>
      <c r="B510" s="20" t="str">
        <f t="array" ref="B510">xlookup($A510,product!$A:$A,product!B:B)</f>
        <v>Beauté &amp; Hygiène</v>
      </c>
      <c r="C510" s="20" t="str">
        <f t="array" ref="C510">xlookup($A510,product!$A:$A,product!C:C)</f>
        <v>Hygiène</v>
      </c>
      <c r="D510" s="20" t="str">
        <f t="array" ref="D510">xlookup($A510,product!$A:$A,product!D:D)</f>
        <v>Tampons écologiques</v>
      </c>
      <c r="E510" s="4" t="str">
        <f t="shared" si="1"/>
        <v>118248-Hygiène-Tampons écologiques</v>
      </c>
      <c r="F510" s="4">
        <v>0.0</v>
      </c>
      <c r="G510" s="4">
        <v>215.0</v>
      </c>
      <c r="H510" s="4">
        <v>178.0</v>
      </c>
      <c r="I510" s="21">
        <f t="array" ref="I510">XLOOKUP($A510,product!A:A,product!E:E)</f>
        <v>2.97</v>
      </c>
      <c r="J510" s="4">
        <f t="shared" si="2"/>
        <v>528.66</v>
      </c>
      <c r="K510" s="22">
        <f t="shared" si="3"/>
        <v>1</v>
      </c>
      <c r="L510" s="4">
        <f t="shared" si="4"/>
        <v>1</v>
      </c>
    </row>
    <row r="511">
      <c r="A511" s="23">
        <v>118467.0</v>
      </c>
      <c r="B511" s="24" t="str">
        <f t="array" ref="B511">xlookup($A511,product!$A:$A,product!B:B)</f>
        <v>Beauté &amp; Hygiène</v>
      </c>
      <c r="C511" s="24" t="str">
        <f t="array" ref="C511">xlookup($A511,product!$A:$A,product!C:C)</f>
        <v>Hygiène</v>
      </c>
      <c r="D511" s="24" t="str">
        <f t="array" ref="D511">xlookup($A511,product!$A:$A,product!D:D)</f>
        <v>Culottes menstruelles</v>
      </c>
      <c r="E511" s="25" t="str">
        <f t="shared" si="1"/>
        <v>118467-Hygiène-Culottes menstruelles</v>
      </c>
      <c r="F511" s="25">
        <v>1.0</v>
      </c>
      <c r="G511" s="25">
        <v>283.0</v>
      </c>
      <c r="H511" s="25">
        <v>162.0</v>
      </c>
      <c r="I511" s="26">
        <f t="array" ref="I511">XLOOKUP($A511,product!A:A,product!E:E)</f>
        <v>15.83</v>
      </c>
      <c r="J511" s="25">
        <f t="shared" si="2"/>
        <v>2564.46</v>
      </c>
      <c r="K511" s="27">
        <f t="shared" si="3"/>
        <v>1</v>
      </c>
      <c r="L511" s="25">
        <f t="shared" si="4"/>
        <v>1</v>
      </c>
    </row>
    <row r="512">
      <c r="A512" s="19">
        <v>118465.0</v>
      </c>
      <c r="B512" s="20" t="str">
        <f t="array" ref="B512">xlookup($A512,product!$A:$A,product!B:B)</f>
        <v>Beauté &amp; Hygiène</v>
      </c>
      <c r="C512" s="20" t="str">
        <f t="array" ref="C512">xlookup($A512,product!$A:$A,product!C:C)</f>
        <v>Hygiène</v>
      </c>
      <c r="D512" s="20" t="str">
        <f t="array" ref="D512">xlookup($A512,product!$A:$A,product!D:D)</f>
        <v>Culottes menstruelles</v>
      </c>
      <c r="E512" s="4" t="str">
        <f t="shared" si="1"/>
        <v>118465-Hygiène-Culottes menstruelles</v>
      </c>
      <c r="F512" s="4">
        <v>0.0</v>
      </c>
      <c r="G512" s="4">
        <v>788.0</v>
      </c>
      <c r="H512" s="4">
        <v>248.0</v>
      </c>
      <c r="I512" s="21">
        <f t="array" ref="I512">XLOOKUP($A512,product!A:A,product!E:E)</f>
        <v>15.83</v>
      </c>
      <c r="J512" s="4">
        <f t="shared" si="2"/>
        <v>3925.84</v>
      </c>
      <c r="K512" s="22">
        <f t="shared" si="3"/>
        <v>1</v>
      </c>
      <c r="L512" s="4">
        <f t="shared" si="4"/>
        <v>1</v>
      </c>
    </row>
    <row r="513">
      <c r="A513" s="23">
        <v>118450.0</v>
      </c>
      <c r="B513" s="24" t="str">
        <f t="array" ref="B513">xlookup($A513,product!$A:$A,product!B:B)</f>
        <v>Beauté &amp; Hygiène</v>
      </c>
      <c r="C513" s="24" t="str">
        <f t="array" ref="C513">xlookup($A513,product!$A:$A,product!C:C)</f>
        <v>Hygiène</v>
      </c>
      <c r="D513" s="24" t="str">
        <f t="array" ref="D513">xlookup($A513,product!$A:$A,product!D:D)</f>
        <v>Culottes menstruelles</v>
      </c>
      <c r="E513" s="25" t="str">
        <f t="shared" si="1"/>
        <v>118450-Hygiène-Culottes menstruelles</v>
      </c>
      <c r="F513" s="25">
        <v>0.0</v>
      </c>
      <c r="G513" s="25">
        <v>380.0</v>
      </c>
      <c r="H513" s="25">
        <v>229.0</v>
      </c>
      <c r="I513" s="26">
        <f t="array" ref="I513">XLOOKUP($A513,product!A:A,product!E:E)</f>
        <v>15.83</v>
      </c>
      <c r="J513" s="25">
        <f t="shared" si="2"/>
        <v>3625.07</v>
      </c>
      <c r="K513" s="27">
        <f t="shared" si="3"/>
        <v>1</v>
      </c>
      <c r="L513" s="25">
        <f t="shared" si="4"/>
        <v>1</v>
      </c>
    </row>
    <row r="514">
      <c r="A514" s="19">
        <v>118457.0</v>
      </c>
      <c r="B514" s="20" t="str">
        <f t="array" ref="B514">xlookup($A514,product!$A:$A,product!B:B)</f>
        <v>Beauté &amp; Hygiène</v>
      </c>
      <c r="C514" s="20" t="str">
        <f t="array" ref="C514">xlookup($A514,product!$A:$A,product!C:C)</f>
        <v>Hygiène</v>
      </c>
      <c r="D514" s="20" t="str">
        <f t="array" ref="D514">xlookup($A514,product!$A:$A,product!D:D)</f>
        <v>Culottes menstruelles</v>
      </c>
      <c r="E514" s="4" t="str">
        <f t="shared" si="1"/>
        <v>118457-Hygiène-Culottes menstruelles</v>
      </c>
      <c r="F514" s="4">
        <v>1.0</v>
      </c>
      <c r="G514" s="4">
        <v>36.0</v>
      </c>
      <c r="H514" s="4">
        <v>15.0</v>
      </c>
      <c r="I514" s="21">
        <f t="array" ref="I514">XLOOKUP($A514,product!A:A,product!E:E)</f>
        <v>15.83</v>
      </c>
      <c r="J514" s="4">
        <f t="shared" si="2"/>
        <v>237.45</v>
      </c>
      <c r="K514" s="22">
        <f t="shared" si="3"/>
        <v>1</v>
      </c>
      <c r="L514" s="4">
        <f t="shared" si="4"/>
        <v>1</v>
      </c>
    </row>
    <row r="515">
      <c r="A515" s="23">
        <v>118463.0</v>
      </c>
      <c r="B515" s="24" t="str">
        <f t="array" ref="B515">xlookup($A515,product!$A:$A,product!B:B)</f>
        <v>Beauté &amp; Hygiène</v>
      </c>
      <c r="C515" s="24" t="str">
        <f t="array" ref="C515">xlookup($A515,product!$A:$A,product!C:C)</f>
        <v>Hygiène</v>
      </c>
      <c r="D515" s="24" t="str">
        <f t="array" ref="D515">xlookup($A515,product!$A:$A,product!D:D)</f>
        <v>Culottes menstruelles</v>
      </c>
      <c r="E515" s="25" t="str">
        <f t="shared" si="1"/>
        <v>118463-Hygiène-Culottes menstruelles</v>
      </c>
      <c r="F515" s="25">
        <v>1.0</v>
      </c>
      <c r="G515" s="25">
        <v>255.0</v>
      </c>
      <c r="H515" s="25">
        <v>167.0</v>
      </c>
      <c r="I515" s="26">
        <f t="array" ref="I515">XLOOKUP($A515,product!A:A,product!E:E)</f>
        <v>16.82</v>
      </c>
      <c r="J515" s="25">
        <f t="shared" si="2"/>
        <v>2808.94</v>
      </c>
      <c r="K515" s="27">
        <f t="shared" si="3"/>
        <v>1</v>
      </c>
      <c r="L515" s="25">
        <f t="shared" si="4"/>
        <v>1</v>
      </c>
    </row>
    <row r="516">
      <c r="A516" s="19">
        <v>118460.0</v>
      </c>
      <c r="B516" s="20" t="str">
        <f t="array" ref="B516">xlookup($A516,product!$A:$A,product!B:B)</f>
        <v>Beauté &amp; Hygiène</v>
      </c>
      <c r="C516" s="20" t="str">
        <f t="array" ref="C516">xlookup($A516,product!$A:$A,product!C:C)</f>
        <v>Hygiène</v>
      </c>
      <c r="D516" s="20" t="str">
        <f t="array" ref="D516">xlookup($A516,product!$A:$A,product!D:D)</f>
        <v>Culottes menstruelles</v>
      </c>
      <c r="E516" s="4" t="str">
        <f t="shared" si="1"/>
        <v>118460-Hygiène-Culottes menstruelles</v>
      </c>
      <c r="F516" s="4">
        <v>0.0</v>
      </c>
      <c r="G516" s="4">
        <v>234.0</v>
      </c>
      <c r="H516" s="4">
        <v>45.0</v>
      </c>
      <c r="I516" s="21">
        <f t="array" ref="I516">XLOOKUP($A516,product!A:A,product!E:E)</f>
        <v>16.82</v>
      </c>
      <c r="J516" s="4">
        <f t="shared" si="2"/>
        <v>756.9</v>
      </c>
      <c r="K516" s="22">
        <f t="shared" si="3"/>
        <v>1</v>
      </c>
      <c r="L516" s="4">
        <f t="shared" si="4"/>
        <v>1</v>
      </c>
    </row>
    <row r="517">
      <c r="A517" s="23">
        <v>121035.0</v>
      </c>
      <c r="B517" s="24" t="str">
        <f t="array" ref="B517">xlookup($A517,product!$A:$A,product!B:B)</f>
        <v>Beauté &amp; Hygiène</v>
      </c>
      <c r="C517" s="24" t="str">
        <f t="array" ref="C517">xlookup($A517,product!$A:$A,product!C:C)</f>
        <v>Hygiène</v>
      </c>
      <c r="D517" s="24" t="str">
        <f t="array" ref="D517">xlookup($A517,product!$A:$A,product!D:D)</f>
        <v>Culottes menstruelles</v>
      </c>
      <c r="E517" s="25" t="str">
        <f t="shared" si="1"/>
        <v>121035-Hygiène-Culottes menstruelles</v>
      </c>
      <c r="F517" s="25">
        <v>1.0</v>
      </c>
      <c r="G517" s="25">
        <v>693.0</v>
      </c>
      <c r="H517" s="25">
        <v>49.0</v>
      </c>
      <c r="I517" s="26">
        <f t="array" ref="I517">XLOOKUP($A517,product!A:A,product!E:E)</f>
        <v>20.58</v>
      </c>
      <c r="J517" s="25">
        <f t="shared" si="2"/>
        <v>1008.42</v>
      </c>
      <c r="K517" s="27">
        <f t="shared" si="3"/>
        <v>1</v>
      </c>
      <c r="L517" s="25">
        <f t="shared" si="4"/>
        <v>1</v>
      </c>
    </row>
    <row r="518">
      <c r="A518" s="19">
        <v>122623.0</v>
      </c>
      <c r="B518" s="20" t="str">
        <f t="array" ref="B518">xlookup($A518,product!$A:$A,product!B:B)</f>
        <v>Beauté &amp; Hygiène</v>
      </c>
      <c r="C518" s="20" t="str">
        <f t="array" ref="C518">xlookup($A518,product!$A:$A,product!C:C)</f>
        <v>Hygiène</v>
      </c>
      <c r="D518" s="20" t="str">
        <f t="array" ref="D518">xlookup($A518,product!$A:$A,product!D:D)</f>
        <v>Culottes menstruelles</v>
      </c>
      <c r="E518" s="4" t="str">
        <f t="shared" si="1"/>
        <v>122623-Hygiène-Culottes menstruelles</v>
      </c>
      <c r="F518" s="4">
        <v>0.0</v>
      </c>
      <c r="G518" s="4">
        <v>374.0</v>
      </c>
      <c r="H518" s="4">
        <v>269.0</v>
      </c>
      <c r="I518" s="21">
        <f t="array" ref="I518">XLOOKUP($A518,product!A:A,product!E:E)</f>
        <v>23.03</v>
      </c>
      <c r="J518" s="4">
        <f t="shared" si="2"/>
        <v>6195.07</v>
      </c>
      <c r="K518" s="22">
        <f t="shared" si="3"/>
        <v>1</v>
      </c>
      <c r="L518" s="4">
        <f t="shared" si="4"/>
        <v>1</v>
      </c>
    </row>
    <row r="519">
      <c r="A519" s="23">
        <v>118469.0</v>
      </c>
      <c r="B519" s="24" t="str">
        <f t="array" ref="B519">xlookup($A519,product!$A:$A,product!B:B)</f>
        <v>Beauté &amp; Hygiène</v>
      </c>
      <c r="C519" s="24" t="str">
        <f t="array" ref="C519">xlookup($A519,product!$A:$A,product!C:C)</f>
        <v>Hygiène</v>
      </c>
      <c r="D519" s="24" t="str">
        <f t="array" ref="D519">xlookup($A519,product!$A:$A,product!D:D)</f>
        <v>Culottes menstruelles</v>
      </c>
      <c r="E519" s="25" t="str">
        <f t="shared" si="1"/>
        <v>118469-Hygiène-Culottes menstruelles</v>
      </c>
      <c r="F519" s="25">
        <v>0.0</v>
      </c>
      <c r="G519" s="25">
        <v>183.0</v>
      </c>
      <c r="H519" s="25">
        <v>150.0</v>
      </c>
      <c r="I519" s="26">
        <f t="array" ref="I519">XLOOKUP($A519,product!A:A,product!E:E)</f>
        <v>16.82</v>
      </c>
      <c r="J519" s="25">
        <f t="shared" si="2"/>
        <v>2523</v>
      </c>
      <c r="K519" s="27">
        <f t="shared" si="3"/>
        <v>1</v>
      </c>
      <c r="L519" s="25">
        <f t="shared" si="4"/>
        <v>1</v>
      </c>
    </row>
    <row r="520">
      <c r="A520" s="19">
        <v>184629.0</v>
      </c>
      <c r="B520" s="20" t="str">
        <f t="array" ref="B520">xlookup($A520,product!$A:$A,product!B:B)</f>
        <v>Beauté &amp; Hygiène</v>
      </c>
      <c r="C520" s="20" t="str">
        <f t="array" ref="C520">xlookup($A520,product!$A:$A,product!C:C)</f>
        <v>Hygiène</v>
      </c>
      <c r="D520" s="20" t="str">
        <f t="array" ref="D520">xlookup($A520,product!$A:$A,product!D:D)</f>
        <v>Culottes menstruelles</v>
      </c>
      <c r="E520" s="4" t="str">
        <f t="shared" si="1"/>
        <v>184629-Hygiène-Culottes menstruelles</v>
      </c>
      <c r="F520" s="4">
        <v>1.0</v>
      </c>
      <c r="G520" s="4">
        <v>807.0</v>
      </c>
      <c r="H520" s="4">
        <v>5.0</v>
      </c>
      <c r="I520" s="21">
        <f t="array" ref="I520">XLOOKUP($A520,product!A:A,product!E:E)</f>
        <v>18.52</v>
      </c>
      <c r="J520" s="4">
        <f t="shared" si="2"/>
        <v>92.6</v>
      </c>
      <c r="K520" s="22">
        <f t="shared" si="3"/>
        <v>1</v>
      </c>
      <c r="L520" s="4">
        <f t="shared" si="4"/>
        <v>1</v>
      </c>
    </row>
    <row r="521">
      <c r="A521" s="23">
        <v>44469.0</v>
      </c>
      <c r="B521" s="24" t="str">
        <f t="array" ref="B521">xlookup($A521,product!$A:$A,product!B:B)</f>
        <v>Beauté &amp; Hygiène</v>
      </c>
      <c r="C521" s="24" t="str">
        <f t="array" ref="C521">xlookup($A521,product!$A:$A,product!C:C)</f>
        <v>Hygiène</v>
      </c>
      <c r="D521" s="24" t="str">
        <f t="array" ref="D521">xlookup($A521,product!$A:$A,product!D:D)</f>
        <v>Serviettes et protèges slip</v>
      </c>
      <c r="E521" s="25" t="str">
        <f t="shared" si="1"/>
        <v>44469-Hygiène-Serviettes et protèges slip</v>
      </c>
      <c r="F521" s="25">
        <v>0.0</v>
      </c>
      <c r="G521" s="25">
        <v>209.0</v>
      </c>
      <c r="H521" s="25">
        <v>81.0</v>
      </c>
      <c r="I521" s="26">
        <f t="array" ref="I521">XLOOKUP($A521,product!A:A,product!E:E)</f>
        <v>2.42</v>
      </c>
      <c r="J521" s="25">
        <f t="shared" si="2"/>
        <v>196.02</v>
      </c>
      <c r="K521" s="27">
        <f t="shared" si="3"/>
        <v>1</v>
      </c>
      <c r="L521" s="25">
        <f t="shared" si="4"/>
        <v>1</v>
      </c>
    </row>
    <row r="522">
      <c r="A522" s="19">
        <v>98421.0</v>
      </c>
      <c r="B522" s="20" t="str">
        <f t="array" ref="B522">xlookup($A522,product!$A:$A,product!B:B)</f>
        <v>Beauté &amp; Hygiène</v>
      </c>
      <c r="C522" s="20" t="str">
        <f t="array" ref="C522">xlookup($A522,product!$A:$A,product!C:C)</f>
        <v>Hygiène</v>
      </c>
      <c r="D522" s="20" t="str">
        <f t="array" ref="D522">xlookup($A522,product!$A:$A,product!D:D)</f>
        <v>Serviettes et protèges slip</v>
      </c>
      <c r="E522" s="4" t="str">
        <f t="shared" si="1"/>
        <v>98421-Hygiène-Serviettes et protèges slip</v>
      </c>
      <c r="F522" s="4">
        <v>1.0</v>
      </c>
      <c r="G522" s="4">
        <v>373.0</v>
      </c>
      <c r="H522" s="4">
        <v>356.0</v>
      </c>
      <c r="I522" s="21">
        <f t="array" ref="I522">XLOOKUP($A522,product!A:A,product!E:E)</f>
        <v>1.34</v>
      </c>
      <c r="J522" s="4">
        <f t="shared" si="2"/>
        <v>477.04</v>
      </c>
      <c r="K522" s="22">
        <f t="shared" si="3"/>
        <v>1</v>
      </c>
      <c r="L522" s="4">
        <f t="shared" si="4"/>
        <v>1</v>
      </c>
    </row>
    <row r="523">
      <c r="A523" s="23">
        <v>149512.0</v>
      </c>
      <c r="B523" s="24" t="str">
        <f t="array" ref="B523">xlookup($A523,product!$A:$A,product!B:B)</f>
        <v>Beauté &amp; Hygiène</v>
      </c>
      <c r="C523" s="24" t="str">
        <f t="array" ref="C523">xlookup($A523,product!$A:$A,product!C:C)</f>
        <v>Hygiène</v>
      </c>
      <c r="D523" s="24" t="str">
        <f t="array" ref="D523">xlookup($A523,product!$A:$A,product!D:D)</f>
        <v>Serviettes et protèges slip</v>
      </c>
      <c r="E523" s="25" t="str">
        <f t="shared" si="1"/>
        <v>149512-Hygiène-Serviettes et protèges slip</v>
      </c>
      <c r="F523" s="25">
        <v>0.0</v>
      </c>
      <c r="G523" s="25">
        <v>715.0</v>
      </c>
      <c r="H523" s="25">
        <v>297.0</v>
      </c>
      <c r="I523" s="26">
        <f t="array" ref="I523">XLOOKUP($A523,product!A:A,product!E:E)</f>
        <v>1.68</v>
      </c>
      <c r="J523" s="25">
        <f t="shared" si="2"/>
        <v>498.96</v>
      </c>
      <c r="K523" s="27">
        <f t="shared" si="3"/>
        <v>1</v>
      </c>
      <c r="L523" s="25">
        <f t="shared" si="4"/>
        <v>1</v>
      </c>
    </row>
    <row r="524">
      <c r="A524" s="19">
        <v>101489.0</v>
      </c>
      <c r="B524" s="20" t="str">
        <f t="array" ref="B524">xlookup($A524,product!$A:$A,product!B:B)</f>
        <v>Beauté &amp; Hygiène</v>
      </c>
      <c r="C524" s="20" t="str">
        <f t="array" ref="C524">xlookup($A524,product!$A:$A,product!C:C)</f>
        <v>Hygiène</v>
      </c>
      <c r="D524" s="20" t="str">
        <f t="array" ref="D524">xlookup($A524,product!$A:$A,product!D:D)</f>
        <v>Serviettes et protèges slip</v>
      </c>
      <c r="E524" s="4" t="str">
        <f t="shared" si="1"/>
        <v>101489-Hygiène-Serviettes et protèges slip</v>
      </c>
      <c r="F524" s="4">
        <v>0.0</v>
      </c>
      <c r="G524" s="4">
        <v>661.0</v>
      </c>
      <c r="H524" s="4">
        <v>132.0</v>
      </c>
      <c r="I524" s="21">
        <f t="array" ref="I524">XLOOKUP($A524,product!A:A,product!E:E)</f>
        <v>1.69</v>
      </c>
      <c r="J524" s="4">
        <f t="shared" si="2"/>
        <v>223.08</v>
      </c>
      <c r="K524" s="22">
        <f t="shared" si="3"/>
        <v>1</v>
      </c>
      <c r="L524" s="4">
        <f t="shared" si="4"/>
        <v>1</v>
      </c>
    </row>
    <row r="525">
      <c r="A525" s="23">
        <v>7263.0</v>
      </c>
      <c r="B525" s="24" t="str">
        <f t="array" ref="B525">xlookup($A525,product!$A:$A,product!B:B)</f>
        <v>Beauté &amp; Hygiène</v>
      </c>
      <c r="C525" s="24" t="str">
        <f t="array" ref="C525">xlookup($A525,product!$A:$A,product!C:C)</f>
        <v>Hygiène</v>
      </c>
      <c r="D525" s="24" t="str">
        <f t="array" ref="D525">xlookup($A525,product!$A:$A,product!D:D)</f>
        <v>Serviettes et protèges slip</v>
      </c>
      <c r="E525" s="25" t="str">
        <f t="shared" si="1"/>
        <v>7263-Hygiène-Serviettes et protèges slip</v>
      </c>
      <c r="F525" s="25">
        <v>0.0</v>
      </c>
      <c r="G525" s="25">
        <v>516.0</v>
      </c>
      <c r="H525" s="25">
        <v>147.0</v>
      </c>
      <c r="I525" s="26">
        <f t="array" ref="I525">XLOOKUP($A525,product!A:A,product!E:E)</f>
        <v>1.79</v>
      </c>
      <c r="J525" s="25">
        <f t="shared" si="2"/>
        <v>263.13</v>
      </c>
      <c r="K525" s="27">
        <f t="shared" si="3"/>
        <v>1</v>
      </c>
      <c r="L525" s="25">
        <f t="shared" si="4"/>
        <v>1</v>
      </c>
    </row>
    <row r="526">
      <c r="A526" s="19">
        <v>149510.0</v>
      </c>
      <c r="B526" s="20" t="str">
        <f t="array" ref="B526">xlookup($A526,product!$A:$A,product!B:B)</f>
        <v>Beauté &amp; Hygiène</v>
      </c>
      <c r="C526" s="20" t="str">
        <f t="array" ref="C526">xlookup($A526,product!$A:$A,product!C:C)</f>
        <v>Hygiène</v>
      </c>
      <c r="D526" s="20" t="str">
        <f t="array" ref="D526">xlookup($A526,product!$A:$A,product!D:D)</f>
        <v>Serviettes et protèges slip</v>
      </c>
      <c r="E526" s="4" t="str">
        <f t="shared" si="1"/>
        <v>149510-Hygiène-Serviettes et protèges slip</v>
      </c>
      <c r="F526" s="4">
        <v>1.0</v>
      </c>
      <c r="G526" s="4">
        <v>477.0</v>
      </c>
      <c r="H526" s="4">
        <v>13.0</v>
      </c>
      <c r="I526" s="21">
        <f t="array" ref="I526">XLOOKUP($A526,product!A:A,product!E:E)</f>
        <v>1.68</v>
      </c>
      <c r="J526" s="4">
        <f t="shared" si="2"/>
        <v>21.84</v>
      </c>
      <c r="K526" s="22">
        <f t="shared" si="3"/>
        <v>1</v>
      </c>
      <c r="L526" s="4">
        <f t="shared" si="4"/>
        <v>1</v>
      </c>
    </row>
    <row r="527">
      <c r="A527" s="23">
        <v>124692.0</v>
      </c>
      <c r="B527" s="24" t="str">
        <f t="array" ref="B527">xlookup($A527,product!$A:$A,product!B:B)</f>
        <v>Beauté &amp; Hygiène</v>
      </c>
      <c r="C527" s="24" t="str">
        <f t="array" ref="C527">xlookup($A527,product!$A:$A,product!C:C)</f>
        <v>Hygiène</v>
      </c>
      <c r="D527" s="24" t="str">
        <f t="array" ref="D527">xlookup($A527,product!$A:$A,product!D:D)</f>
        <v>Serviettes et protèges slip</v>
      </c>
      <c r="E527" s="25" t="str">
        <f t="shared" si="1"/>
        <v>124692-Hygiène-Serviettes et protèges slip</v>
      </c>
      <c r="F527" s="25">
        <v>1.0</v>
      </c>
      <c r="G527" s="25">
        <v>230.0</v>
      </c>
      <c r="H527" s="25">
        <v>16.0</v>
      </c>
      <c r="I527" s="26">
        <f t="array" ref="I527">XLOOKUP($A527,product!A:A,product!E:E)</f>
        <v>1.32</v>
      </c>
      <c r="J527" s="25">
        <f t="shared" si="2"/>
        <v>21.12</v>
      </c>
      <c r="K527" s="27">
        <f t="shared" si="3"/>
        <v>1</v>
      </c>
      <c r="L527" s="25">
        <f t="shared" si="4"/>
        <v>1</v>
      </c>
    </row>
    <row r="528">
      <c r="A528" s="19">
        <v>7253.0</v>
      </c>
      <c r="B528" s="20" t="str">
        <f t="array" ref="B528">xlookup($A528,product!$A:$A,product!B:B)</f>
        <v>Beauté &amp; Hygiène</v>
      </c>
      <c r="C528" s="20" t="str">
        <f t="array" ref="C528">xlookup($A528,product!$A:$A,product!C:C)</f>
        <v>Hygiène</v>
      </c>
      <c r="D528" s="20" t="str">
        <f t="array" ref="D528">xlookup($A528,product!$A:$A,product!D:D)</f>
        <v>Serviettes et protèges slip</v>
      </c>
      <c r="E528" s="4" t="str">
        <f t="shared" si="1"/>
        <v>7253-Hygiène-Serviettes et protèges slip</v>
      </c>
      <c r="F528" s="4">
        <v>1.0</v>
      </c>
      <c r="G528" s="4">
        <v>25.0</v>
      </c>
      <c r="H528" s="4">
        <v>23.0</v>
      </c>
      <c r="I528" s="21">
        <f t="array" ref="I528">XLOOKUP($A528,product!A:A,product!E:E)</f>
        <v>1.55</v>
      </c>
      <c r="J528" s="4">
        <f t="shared" si="2"/>
        <v>35.65</v>
      </c>
      <c r="K528" s="22">
        <f t="shared" si="3"/>
        <v>1</v>
      </c>
      <c r="L528" s="4">
        <f t="shared" si="4"/>
        <v>1</v>
      </c>
    </row>
    <row r="529">
      <c r="A529" s="23">
        <v>109999.0</v>
      </c>
      <c r="B529" s="24" t="str">
        <f t="array" ref="B529">xlookup($A529,product!$A:$A,product!B:B)</f>
        <v>Beauté &amp; Hygiène</v>
      </c>
      <c r="C529" s="24" t="str">
        <f t="array" ref="C529">xlookup($A529,product!$A:$A,product!C:C)</f>
        <v>Hygiène</v>
      </c>
      <c r="D529" s="24" t="str">
        <f t="array" ref="D529">xlookup($A529,product!$A:$A,product!D:D)</f>
        <v>Serviettes et protèges slip</v>
      </c>
      <c r="E529" s="25" t="str">
        <f t="shared" si="1"/>
        <v>109999-Hygiène-Serviettes et protèges slip</v>
      </c>
      <c r="F529" s="25">
        <v>1.0</v>
      </c>
      <c r="G529" s="25">
        <v>245.0</v>
      </c>
      <c r="H529" s="25">
        <v>133.0</v>
      </c>
      <c r="I529" s="26">
        <f t="array" ref="I529">XLOOKUP($A529,product!A:A,product!E:E)</f>
        <v>1.65</v>
      </c>
      <c r="J529" s="25">
        <f t="shared" si="2"/>
        <v>219.45</v>
      </c>
      <c r="K529" s="27">
        <f t="shared" si="3"/>
        <v>1</v>
      </c>
      <c r="L529" s="25">
        <f t="shared" si="4"/>
        <v>1</v>
      </c>
    </row>
    <row r="530">
      <c r="A530" s="19">
        <v>101535.0</v>
      </c>
      <c r="B530" s="20" t="str">
        <f t="array" ref="B530">xlookup($A530,product!$A:$A,product!B:B)</f>
        <v>Beauté &amp; Hygiène</v>
      </c>
      <c r="C530" s="20" t="str">
        <f t="array" ref="C530">xlookup($A530,product!$A:$A,product!C:C)</f>
        <v>Hygiène</v>
      </c>
      <c r="D530" s="20" t="str">
        <f t="array" ref="D530">xlookup($A530,product!$A:$A,product!D:D)</f>
        <v>Serviettes et protèges slip</v>
      </c>
      <c r="E530" s="4" t="str">
        <f t="shared" si="1"/>
        <v>101535-Hygiène-Serviettes et protèges slip</v>
      </c>
      <c r="F530" s="4">
        <v>0.0</v>
      </c>
      <c r="G530" s="4">
        <v>132.0</v>
      </c>
      <c r="H530" s="4">
        <v>65.0</v>
      </c>
      <c r="I530" s="21">
        <f t="array" ref="I530">XLOOKUP($A530,product!A:A,product!E:E)</f>
        <v>1.69</v>
      </c>
      <c r="J530" s="4">
        <f t="shared" si="2"/>
        <v>109.85</v>
      </c>
      <c r="K530" s="22">
        <f t="shared" si="3"/>
        <v>1</v>
      </c>
      <c r="L530" s="4">
        <f t="shared" si="4"/>
        <v>1</v>
      </c>
    </row>
    <row r="531">
      <c r="A531" s="23">
        <v>181795.0</v>
      </c>
      <c r="B531" s="24" t="str">
        <f t="array" ref="B531">xlookup($A531,product!$A:$A,product!B:B)</f>
        <v>Beauté &amp; Hygiène</v>
      </c>
      <c r="C531" s="24" t="str">
        <f t="array" ref="C531">xlookup($A531,product!$A:$A,product!C:C)</f>
        <v>Hygiène</v>
      </c>
      <c r="D531" s="24" t="str">
        <f t="array" ref="D531">xlookup($A531,product!$A:$A,product!D:D)</f>
        <v>Serviettes et protèges slip</v>
      </c>
      <c r="E531" s="25" t="str">
        <f t="shared" si="1"/>
        <v>181795-Hygiène-Serviettes et protèges slip</v>
      </c>
      <c r="F531" s="25">
        <v>1.0</v>
      </c>
      <c r="G531" s="25">
        <v>549.0</v>
      </c>
      <c r="H531" s="25">
        <v>350.0</v>
      </c>
      <c r="I531" s="26">
        <f t="array" ref="I531">XLOOKUP($A531,product!A:A,product!E:E)</f>
        <v>48.17</v>
      </c>
      <c r="J531" s="25">
        <f t="shared" si="2"/>
        <v>16859.5</v>
      </c>
      <c r="K531" s="27">
        <f t="shared" si="3"/>
        <v>1</v>
      </c>
      <c r="L531" s="25">
        <f t="shared" si="4"/>
        <v>1</v>
      </c>
    </row>
    <row r="532">
      <c r="A532" s="19">
        <v>124686.0</v>
      </c>
      <c r="B532" s="20" t="str">
        <f t="array" ref="B532">xlookup($A532,product!$A:$A,product!B:B)</f>
        <v>Beauté &amp; Hygiène</v>
      </c>
      <c r="C532" s="20" t="str">
        <f t="array" ref="C532">xlookup($A532,product!$A:$A,product!C:C)</f>
        <v>Hygiène</v>
      </c>
      <c r="D532" s="20" t="str">
        <f t="array" ref="D532">xlookup($A532,product!$A:$A,product!D:D)</f>
        <v>Serviettes et protèges slip</v>
      </c>
      <c r="E532" s="4" t="str">
        <f t="shared" si="1"/>
        <v>124686-Hygiène-Serviettes et protèges slip</v>
      </c>
      <c r="F532" s="4">
        <v>1.0</v>
      </c>
      <c r="G532" s="4">
        <v>100.0</v>
      </c>
      <c r="H532" s="4">
        <v>79.0</v>
      </c>
      <c r="I532" s="21">
        <f t="array" ref="I532">XLOOKUP($A532,product!A:A,product!E:E)</f>
        <v>1.32</v>
      </c>
      <c r="J532" s="4">
        <f t="shared" si="2"/>
        <v>104.28</v>
      </c>
      <c r="K532" s="22">
        <f t="shared" si="3"/>
        <v>1</v>
      </c>
      <c r="L532" s="4">
        <f t="shared" si="4"/>
        <v>1</v>
      </c>
    </row>
    <row r="533">
      <c r="A533" s="23">
        <v>110003.0</v>
      </c>
      <c r="B533" s="24" t="str">
        <f t="array" ref="B533">xlookup($A533,product!$A:$A,product!B:B)</f>
        <v>Beauté &amp; Hygiène</v>
      </c>
      <c r="C533" s="24" t="str">
        <f t="array" ref="C533">xlookup($A533,product!$A:$A,product!C:C)</f>
        <v>Hygiène</v>
      </c>
      <c r="D533" s="24" t="str">
        <f t="array" ref="D533">xlookup($A533,product!$A:$A,product!D:D)</f>
        <v>Serviettes et protèges slip</v>
      </c>
      <c r="E533" s="25" t="str">
        <f t="shared" si="1"/>
        <v>110003-Hygiène-Serviettes et protèges slip</v>
      </c>
      <c r="F533" s="25">
        <v>0.0</v>
      </c>
      <c r="G533" s="25">
        <v>17.0</v>
      </c>
      <c r="H533" s="25">
        <v>9.0</v>
      </c>
      <c r="I533" s="26">
        <f t="array" ref="I533">XLOOKUP($A533,product!A:A,product!E:E)</f>
        <v>1.65</v>
      </c>
      <c r="J533" s="25">
        <f t="shared" si="2"/>
        <v>14.85</v>
      </c>
      <c r="K533" s="27">
        <f t="shared" si="3"/>
        <v>1</v>
      </c>
      <c r="L533" s="25">
        <f t="shared" si="4"/>
        <v>1</v>
      </c>
    </row>
    <row r="534">
      <c r="A534" s="19">
        <v>124691.0</v>
      </c>
      <c r="B534" s="20" t="str">
        <f t="array" ref="B534">xlookup($A534,product!$A:$A,product!B:B)</f>
        <v>Beauté &amp; Hygiène</v>
      </c>
      <c r="C534" s="20" t="str">
        <f t="array" ref="C534">xlookup($A534,product!$A:$A,product!C:C)</f>
        <v>Hygiène</v>
      </c>
      <c r="D534" s="20" t="str">
        <f t="array" ref="D534">xlookup($A534,product!$A:$A,product!D:D)</f>
        <v>Serviettes et protèges slip</v>
      </c>
      <c r="E534" s="4" t="str">
        <f t="shared" si="1"/>
        <v>124691-Hygiène-Serviettes et protèges slip</v>
      </c>
      <c r="F534" s="4">
        <v>1.0</v>
      </c>
      <c r="G534" s="4">
        <v>9.0</v>
      </c>
      <c r="H534" s="4">
        <v>8.0</v>
      </c>
      <c r="I534" s="21">
        <f t="array" ref="I534">XLOOKUP($A534,product!A:A,product!E:E)</f>
        <v>1.32</v>
      </c>
      <c r="J534" s="4">
        <f t="shared" si="2"/>
        <v>10.56</v>
      </c>
      <c r="K534" s="22">
        <f t="shared" si="3"/>
        <v>1</v>
      </c>
      <c r="L534" s="4">
        <f t="shared" si="4"/>
        <v>1</v>
      </c>
    </row>
    <row r="535">
      <c r="A535" s="23">
        <v>98444.0</v>
      </c>
      <c r="B535" s="24" t="str">
        <f t="array" ref="B535">xlookup($A535,product!$A:$A,product!B:B)</f>
        <v>Beauté &amp; Hygiène</v>
      </c>
      <c r="C535" s="24" t="str">
        <f t="array" ref="C535">xlookup($A535,product!$A:$A,product!C:C)</f>
        <v>Hygiène</v>
      </c>
      <c r="D535" s="24" t="str">
        <f t="array" ref="D535">xlookup($A535,product!$A:$A,product!D:D)</f>
        <v>Serviettes et protèges slip</v>
      </c>
      <c r="E535" s="25" t="str">
        <f t="shared" si="1"/>
        <v>98444-Hygiène-Serviettes et protèges slip</v>
      </c>
      <c r="F535" s="25">
        <v>1.0</v>
      </c>
      <c r="G535" s="25">
        <v>462.0</v>
      </c>
      <c r="H535" s="25">
        <v>31.0</v>
      </c>
      <c r="I535" s="26">
        <f t="array" ref="I535">XLOOKUP($A535,product!A:A,product!E:E)</f>
        <v>1.7</v>
      </c>
      <c r="J535" s="25">
        <f t="shared" si="2"/>
        <v>52.7</v>
      </c>
      <c r="K535" s="27">
        <f t="shared" si="3"/>
        <v>1</v>
      </c>
      <c r="L535" s="25">
        <f t="shared" si="4"/>
        <v>1</v>
      </c>
    </row>
    <row r="536">
      <c r="A536" s="19">
        <v>110393.0</v>
      </c>
      <c r="B536" s="20" t="str">
        <f t="array" ref="B536">xlookup($A536,product!$A:$A,product!B:B)</f>
        <v>Beauté &amp; Hygiène</v>
      </c>
      <c r="C536" s="20" t="str">
        <f t="array" ref="C536">xlookup($A536,product!$A:$A,product!C:C)</f>
        <v>Hygiène</v>
      </c>
      <c r="D536" s="20" t="str">
        <f t="array" ref="D536">xlookup($A536,product!$A:$A,product!D:D)</f>
        <v>Serviettes et protèges slip</v>
      </c>
      <c r="E536" s="4" t="str">
        <f t="shared" si="1"/>
        <v>110393-Hygiène-Serviettes et protèges slip</v>
      </c>
      <c r="F536" s="4">
        <v>1.0</v>
      </c>
      <c r="G536" s="4">
        <v>210.0</v>
      </c>
      <c r="H536" s="4">
        <v>192.0</v>
      </c>
      <c r="I536" s="21">
        <f t="array" ref="I536">XLOOKUP($A536,product!A:A,product!E:E)</f>
        <v>1.69</v>
      </c>
      <c r="J536" s="4">
        <f t="shared" si="2"/>
        <v>324.48</v>
      </c>
      <c r="K536" s="22">
        <f t="shared" si="3"/>
        <v>1</v>
      </c>
      <c r="L536" s="4">
        <f t="shared" si="4"/>
        <v>1</v>
      </c>
    </row>
    <row r="537">
      <c r="A537" s="23">
        <v>7254.0</v>
      </c>
      <c r="B537" s="24" t="str">
        <f t="array" ref="B537">xlookup($A537,product!$A:$A,product!B:B)</f>
        <v>Beauté &amp; Hygiène</v>
      </c>
      <c r="C537" s="24" t="str">
        <f t="array" ref="C537">xlookup($A537,product!$A:$A,product!C:C)</f>
        <v>Hygiène</v>
      </c>
      <c r="D537" s="24" t="str">
        <f t="array" ref="D537">xlookup($A537,product!$A:$A,product!D:D)</f>
        <v>Serviettes et protèges slip</v>
      </c>
      <c r="E537" s="25" t="str">
        <f t="shared" si="1"/>
        <v>7254-Hygiène-Serviettes et protèges slip</v>
      </c>
      <c r="F537" s="25">
        <v>1.0</v>
      </c>
      <c r="G537" s="25">
        <v>836.0</v>
      </c>
      <c r="H537" s="25">
        <v>61.0</v>
      </c>
      <c r="I537" s="26">
        <f t="array" ref="I537">XLOOKUP($A537,product!A:A,product!E:E)</f>
        <v>1.34</v>
      </c>
      <c r="J537" s="25">
        <f t="shared" si="2"/>
        <v>81.74</v>
      </c>
      <c r="K537" s="27">
        <f t="shared" si="3"/>
        <v>1</v>
      </c>
      <c r="L537" s="25">
        <f t="shared" si="4"/>
        <v>1</v>
      </c>
    </row>
    <row r="538">
      <c r="A538" s="19">
        <v>86502.0</v>
      </c>
      <c r="B538" s="20" t="str">
        <f t="array" ref="B538">xlookup($A538,product!$A:$A,product!B:B)</f>
        <v>Beauté &amp; Hygiène</v>
      </c>
      <c r="C538" s="20" t="str">
        <f t="array" ref="C538">xlookup($A538,product!$A:$A,product!C:C)</f>
        <v>Hygiène</v>
      </c>
      <c r="D538" s="20" t="str">
        <f t="array" ref="D538">xlookup($A538,product!$A:$A,product!D:D)</f>
        <v>Serviettes et protèges slip</v>
      </c>
      <c r="E538" s="4" t="str">
        <f t="shared" si="1"/>
        <v>86502-Hygiène-Serviettes et protèges slip</v>
      </c>
      <c r="F538" s="4">
        <v>0.0</v>
      </c>
      <c r="G538" s="4">
        <v>435.0</v>
      </c>
      <c r="H538" s="4">
        <v>236.0</v>
      </c>
      <c r="I538" s="21">
        <f t="array" ref="I538">XLOOKUP($A538,product!A:A,product!E:E)</f>
        <v>8.13</v>
      </c>
      <c r="J538" s="4">
        <f t="shared" si="2"/>
        <v>1918.68</v>
      </c>
      <c r="K538" s="22">
        <f t="shared" si="3"/>
        <v>1</v>
      </c>
      <c r="L538" s="4">
        <f t="shared" si="4"/>
        <v>1</v>
      </c>
    </row>
    <row r="539">
      <c r="A539" s="23">
        <v>98442.0</v>
      </c>
      <c r="B539" s="24" t="str">
        <f t="array" ref="B539">xlookup($A539,product!$A:$A,product!B:B)</f>
        <v>Beauté &amp; Hygiène</v>
      </c>
      <c r="C539" s="24" t="str">
        <f t="array" ref="C539">xlookup($A539,product!$A:$A,product!C:C)</f>
        <v>Hygiène</v>
      </c>
      <c r="D539" s="24" t="str">
        <f t="array" ref="D539">xlookup($A539,product!$A:$A,product!D:D)</f>
        <v>Serviettes et protèges slip</v>
      </c>
      <c r="E539" s="25" t="str">
        <f t="shared" si="1"/>
        <v>98442-Hygiène-Serviettes et protèges slip</v>
      </c>
      <c r="F539" s="25">
        <v>1.0</v>
      </c>
      <c r="G539" s="25">
        <v>126.0</v>
      </c>
      <c r="H539" s="25">
        <v>63.0</v>
      </c>
      <c r="I539" s="26">
        <f t="array" ref="I539">XLOOKUP($A539,product!A:A,product!E:E)</f>
        <v>1.79</v>
      </c>
      <c r="J539" s="25">
        <f t="shared" si="2"/>
        <v>112.77</v>
      </c>
      <c r="K539" s="27">
        <f t="shared" si="3"/>
        <v>1</v>
      </c>
      <c r="L539" s="25">
        <f t="shared" si="4"/>
        <v>1</v>
      </c>
    </row>
    <row r="540">
      <c r="A540" s="19">
        <v>7256.0</v>
      </c>
      <c r="B540" s="20" t="str">
        <f t="array" ref="B540">xlookup($A540,product!$A:$A,product!B:B)</f>
        <v>Beauté &amp; Hygiène</v>
      </c>
      <c r="C540" s="20" t="str">
        <f t="array" ref="C540">xlookup($A540,product!$A:$A,product!C:C)</f>
        <v>Hygiène</v>
      </c>
      <c r="D540" s="20" t="str">
        <f t="array" ref="D540">xlookup($A540,product!$A:$A,product!D:D)</f>
        <v>Serviettes et protèges slip</v>
      </c>
      <c r="E540" s="4" t="str">
        <f t="shared" si="1"/>
        <v>7256-Hygiène-Serviettes et protèges slip</v>
      </c>
      <c r="F540" s="4">
        <v>0.0</v>
      </c>
      <c r="G540" s="4">
        <v>886.0</v>
      </c>
      <c r="H540" s="4">
        <v>530.0</v>
      </c>
      <c r="I540" s="21">
        <f t="array" ref="I540">XLOOKUP($A540,product!A:A,product!E:E)</f>
        <v>1.2</v>
      </c>
      <c r="J540" s="4">
        <f t="shared" si="2"/>
        <v>636</v>
      </c>
      <c r="K540" s="22">
        <f t="shared" si="3"/>
        <v>1</v>
      </c>
      <c r="L540" s="4">
        <f t="shared" si="4"/>
        <v>1</v>
      </c>
    </row>
    <row r="541">
      <c r="A541" s="23">
        <v>110394.0</v>
      </c>
      <c r="B541" s="24" t="str">
        <f t="array" ref="B541">xlookup($A541,product!$A:$A,product!B:B)</f>
        <v>Beauté &amp; Hygiène</v>
      </c>
      <c r="C541" s="24" t="str">
        <f t="array" ref="C541">xlookup($A541,product!$A:$A,product!C:C)</f>
        <v>Hygiène</v>
      </c>
      <c r="D541" s="24" t="str">
        <f t="array" ref="D541">xlookup($A541,product!$A:$A,product!D:D)</f>
        <v>Serviettes et protèges slip</v>
      </c>
      <c r="E541" s="25" t="str">
        <f t="shared" si="1"/>
        <v>110394-Hygiène-Serviettes et protèges slip</v>
      </c>
      <c r="F541" s="25">
        <v>0.0</v>
      </c>
      <c r="G541" s="25">
        <v>888.0</v>
      </c>
      <c r="H541" s="25">
        <v>229.0</v>
      </c>
      <c r="I541" s="26">
        <f t="array" ref="I541">XLOOKUP($A541,product!A:A,product!E:E)</f>
        <v>1.69</v>
      </c>
      <c r="J541" s="25">
        <f t="shared" si="2"/>
        <v>387.01</v>
      </c>
      <c r="K541" s="27">
        <f t="shared" si="3"/>
        <v>1</v>
      </c>
      <c r="L541" s="25">
        <f t="shared" si="4"/>
        <v>1</v>
      </c>
    </row>
    <row r="542">
      <c r="A542" s="19">
        <v>120998.0</v>
      </c>
      <c r="B542" s="20" t="str">
        <f t="array" ref="B542">xlookup($A542,product!$A:$A,product!B:B)</f>
        <v>Beauté &amp; Hygiène</v>
      </c>
      <c r="C542" s="20" t="str">
        <f t="array" ref="C542">xlookup($A542,product!$A:$A,product!C:C)</f>
        <v>Hygiène</v>
      </c>
      <c r="D542" s="20" t="str">
        <f t="array" ref="D542">xlookup($A542,product!$A:$A,product!D:D)</f>
        <v>Serviettes et protèges slip</v>
      </c>
      <c r="E542" s="4" t="str">
        <f t="shared" si="1"/>
        <v>120998-Hygiène-Serviettes et protèges slip</v>
      </c>
      <c r="F542" s="4">
        <v>1.0</v>
      </c>
      <c r="G542" s="4">
        <v>334.0</v>
      </c>
      <c r="H542" s="4">
        <v>288.0</v>
      </c>
      <c r="I542" s="21">
        <f t="array" ref="I542">XLOOKUP($A542,product!A:A,product!E:E)</f>
        <v>1.69</v>
      </c>
      <c r="J542" s="4">
        <f t="shared" si="2"/>
        <v>486.72</v>
      </c>
      <c r="K542" s="22">
        <f t="shared" si="3"/>
        <v>1</v>
      </c>
      <c r="L542" s="4">
        <f t="shared" si="4"/>
        <v>1</v>
      </c>
    </row>
    <row r="543">
      <c r="A543" s="23">
        <v>17674.0</v>
      </c>
      <c r="B543" s="24" t="str">
        <f t="array" ref="B543">xlookup($A543,product!$A:$A,product!B:B)</f>
        <v>Beauté &amp; Hygiène</v>
      </c>
      <c r="C543" s="24" t="str">
        <f t="array" ref="C543">xlookup($A543,product!$A:$A,product!C:C)</f>
        <v>Hygiène</v>
      </c>
      <c r="D543" s="24" t="str">
        <f t="array" ref="D543">xlookup($A543,product!$A:$A,product!D:D)</f>
        <v>Serviettes et protèges slip</v>
      </c>
      <c r="E543" s="25" t="str">
        <f t="shared" si="1"/>
        <v>17674-Hygiène-Serviettes et protèges slip</v>
      </c>
      <c r="F543" s="25">
        <v>1.0</v>
      </c>
      <c r="G543" s="25">
        <v>523.0</v>
      </c>
      <c r="H543" s="25">
        <v>314.0</v>
      </c>
      <c r="I543" s="26">
        <f t="array" ref="I543">XLOOKUP($A543,product!A:A,product!E:E)</f>
        <v>5.94</v>
      </c>
      <c r="J543" s="25">
        <f t="shared" si="2"/>
        <v>1865.16</v>
      </c>
      <c r="K543" s="27">
        <f t="shared" si="3"/>
        <v>1</v>
      </c>
      <c r="L543" s="25">
        <f t="shared" si="4"/>
        <v>1</v>
      </c>
    </row>
    <row r="544">
      <c r="A544" s="19">
        <v>102946.0</v>
      </c>
      <c r="B544" s="20" t="str">
        <f t="array" ref="B544">xlookup($A544,product!$A:$A,product!B:B)</f>
        <v>Beauté &amp; Hygiène</v>
      </c>
      <c r="C544" s="20" t="str">
        <f t="array" ref="C544">xlookup($A544,product!$A:$A,product!C:C)</f>
        <v>Hygiène</v>
      </c>
      <c r="D544" s="20" t="str">
        <f t="array" ref="D544">xlookup($A544,product!$A:$A,product!D:D)</f>
        <v>Serviettes et protèges slip</v>
      </c>
      <c r="E544" s="4" t="str">
        <f t="shared" si="1"/>
        <v>102946-Hygiène-Serviettes et protèges slip</v>
      </c>
      <c r="F544" s="4">
        <v>1.0</v>
      </c>
      <c r="G544" s="4">
        <v>38.0</v>
      </c>
      <c r="H544" s="4">
        <v>20.0</v>
      </c>
      <c r="I544" s="21">
        <f t="array" ref="I544">XLOOKUP($A544,product!A:A,product!E:E)</f>
        <v>8.4</v>
      </c>
      <c r="J544" s="4">
        <f t="shared" si="2"/>
        <v>168</v>
      </c>
      <c r="K544" s="22">
        <f t="shared" si="3"/>
        <v>1</v>
      </c>
      <c r="L544" s="4">
        <f t="shared" si="4"/>
        <v>1</v>
      </c>
    </row>
    <row r="545">
      <c r="A545" s="23">
        <v>102947.0</v>
      </c>
      <c r="B545" s="24" t="str">
        <f t="array" ref="B545">xlookup($A545,product!$A:$A,product!B:B)</f>
        <v>Beauté &amp; Hygiène</v>
      </c>
      <c r="C545" s="24" t="str">
        <f t="array" ref="C545">xlookup($A545,product!$A:$A,product!C:C)</f>
        <v>Hygiène</v>
      </c>
      <c r="D545" s="24" t="str">
        <f t="array" ref="D545">xlookup($A545,product!$A:$A,product!D:D)</f>
        <v>Serviettes et protèges slip</v>
      </c>
      <c r="E545" s="25" t="str">
        <f t="shared" si="1"/>
        <v>102947-Hygiène-Serviettes et protèges slip</v>
      </c>
      <c r="F545" s="25">
        <v>1.0</v>
      </c>
      <c r="G545" s="25">
        <v>226.0</v>
      </c>
      <c r="H545" s="25">
        <v>27.0</v>
      </c>
      <c r="I545" s="26">
        <f t="array" ref="I545">XLOOKUP($A545,product!A:A,product!E:E)</f>
        <v>10.27</v>
      </c>
      <c r="J545" s="25">
        <f t="shared" si="2"/>
        <v>277.29</v>
      </c>
      <c r="K545" s="27">
        <f t="shared" si="3"/>
        <v>1</v>
      </c>
      <c r="L545" s="25">
        <f t="shared" si="4"/>
        <v>1</v>
      </c>
    </row>
    <row r="546">
      <c r="A546" s="19">
        <v>98445.0</v>
      </c>
      <c r="B546" s="20" t="str">
        <f t="array" ref="B546">xlookup($A546,product!$A:$A,product!B:B)</f>
        <v>Beauté &amp; Hygiène</v>
      </c>
      <c r="C546" s="20" t="str">
        <f t="array" ref="C546">xlookup($A546,product!$A:$A,product!C:C)</f>
        <v>Hygiène</v>
      </c>
      <c r="D546" s="20" t="str">
        <f t="array" ref="D546">xlookup($A546,product!$A:$A,product!D:D)</f>
        <v>Serviettes et protèges slip</v>
      </c>
      <c r="E546" s="4" t="str">
        <f t="shared" si="1"/>
        <v>98445-Hygiène-Serviettes et protèges slip</v>
      </c>
      <c r="F546" s="4">
        <v>1.0</v>
      </c>
      <c r="G546" s="4">
        <v>595.0</v>
      </c>
      <c r="H546" s="4">
        <v>279.0</v>
      </c>
      <c r="I546" s="21">
        <f t="array" ref="I546">XLOOKUP($A546,product!A:A,product!E:E)</f>
        <v>1.53</v>
      </c>
      <c r="J546" s="4">
        <f t="shared" si="2"/>
        <v>426.87</v>
      </c>
      <c r="K546" s="22">
        <f t="shared" si="3"/>
        <v>1</v>
      </c>
      <c r="L546" s="4">
        <f t="shared" si="4"/>
        <v>1</v>
      </c>
    </row>
    <row r="547">
      <c r="A547" s="23">
        <v>109273.0</v>
      </c>
      <c r="B547" s="24" t="str">
        <f t="array" ref="B547">xlookup($A547,product!$A:$A,product!B:B)</f>
        <v>Beauté &amp; Hygiène</v>
      </c>
      <c r="C547" s="24" t="str">
        <f t="array" ref="C547">xlookup($A547,product!$A:$A,product!C:C)</f>
        <v>Hygiène</v>
      </c>
      <c r="D547" s="24" t="str">
        <f t="array" ref="D547">xlookup($A547,product!$A:$A,product!D:D)</f>
        <v>Serviettes et protèges slip</v>
      </c>
      <c r="E547" s="25" t="str">
        <f t="shared" si="1"/>
        <v>109273-Hygiène-Serviettes et protèges slip</v>
      </c>
      <c r="F547" s="25">
        <v>1.0</v>
      </c>
      <c r="G547" s="25">
        <v>67.0</v>
      </c>
      <c r="H547" s="25">
        <v>27.0</v>
      </c>
      <c r="I547" s="26">
        <f t="array" ref="I547">XLOOKUP($A547,product!A:A,product!E:E)</f>
        <v>2.2</v>
      </c>
      <c r="J547" s="25">
        <f t="shared" si="2"/>
        <v>59.4</v>
      </c>
      <c r="K547" s="27">
        <f t="shared" si="3"/>
        <v>1</v>
      </c>
      <c r="L547" s="25">
        <f t="shared" si="4"/>
        <v>1</v>
      </c>
    </row>
    <row r="548">
      <c r="A548" s="19">
        <v>44465.0</v>
      </c>
      <c r="B548" s="20" t="str">
        <f t="array" ref="B548">xlookup($A548,product!$A:$A,product!B:B)</f>
        <v>Beauté &amp; Hygiène</v>
      </c>
      <c r="C548" s="20" t="str">
        <f t="array" ref="C548">xlookup($A548,product!$A:$A,product!C:C)</f>
        <v>Hygiène</v>
      </c>
      <c r="D548" s="20" t="str">
        <f t="array" ref="D548">xlookup($A548,product!$A:$A,product!D:D)</f>
        <v>Serviettes et protèges slip</v>
      </c>
      <c r="E548" s="4" t="str">
        <f t="shared" si="1"/>
        <v>44465-Hygiène-Serviettes et protèges slip</v>
      </c>
      <c r="F548" s="4">
        <v>0.0</v>
      </c>
      <c r="G548" s="4">
        <v>68.0</v>
      </c>
      <c r="H548" s="4">
        <v>9.0</v>
      </c>
      <c r="I548" s="21">
        <f t="array" ref="I548">XLOOKUP($A548,product!A:A,product!E:E)</f>
        <v>2.25</v>
      </c>
      <c r="J548" s="4">
        <f t="shared" si="2"/>
        <v>20.25</v>
      </c>
      <c r="K548" s="22">
        <f t="shared" si="3"/>
        <v>1</v>
      </c>
      <c r="L548" s="4">
        <f t="shared" si="4"/>
        <v>1</v>
      </c>
    </row>
    <row r="549">
      <c r="A549" s="23">
        <v>44451.0</v>
      </c>
      <c r="B549" s="24" t="str">
        <f t="array" ref="B549">xlookup($A549,product!$A:$A,product!B:B)</f>
        <v>Beauté &amp; Hygiène</v>
      </c>
      <c r="C549" s="24" t="str">
        <f t="array" ref="C549">xlookup($A549,product!$A:$A,product!C:C)</f>
        <v>Hygiène</v>
      </c>
      <c r="D549" s="24" t="str">
        <f t="array" ref="D549">xlookup($A549,product!$A:$A,product!D:D)</f>
        <v>Serviettes et protèges slip</v>
      </c>
      <c r="E549" s="25" t="str">
        <f t="shared" si="1"/>
        <v>44451-Hygiène-Serviettes et protèges slip</v>
      </c>
      <c r="F549" s="25">
        <v>0.0</v>
      </c>
      <c r="G549" s="25">
        <v>391.0</v>
      </c>
      <c r="H549" s="25">
        <v>149.0</v>
      </c>
      <c r="I549" s="26">
        <f t="array" ref="I549">XLOOKUP($A549,product!A:A,product!E:E)</f>
        <v>2.54</v>
      </c>
      <c r="J549" s="25">
        <f t="shared" si="2"/>
        <v>378.46</v>
      </c>
      <c r="K549" s="27">
        <f t="shared" si="3"/>
        <v>1</v>
      </c>
      <c r="L549" s="25">
        <f t="shared" si="4"/>
        <v>1</v>
      </c>
    </row>
    <row r="550">
      <c r="A550" s="19">
        <v>17664.0</v>
      </c>
      <c r="B550" s="20" t="str">
        <f t="array" ref="B550">xlookup($A550,product!$A:$A,product!B:B)</f>
        <v>Beauté &amp; Hygiène</v>
      </c>
      <c r="C550" s="20" t="str">
        <f t="array" ref="C550">xlookup($A550,product!$A:$A,product!C:C)</f>
        <v>Hygiène</v>
      </c>
      <c r="D550" s="20" t="str">
        <f t="array" ref="D550">xlookup($A550,product!$A:$A,product!D:D)</f>
        <v>Serviettes et protèges slip</v>
      </c>
      <c r="E550" s="4" t="str">
        <f t="shared" si="1"/>
        <v>17664-Hygiène-Serviettes et protèges slip</v>
      </c>
      <c r="F550" s="4">
        <v>1.0</v>
      </c>
      <c r="G550" s="4">
        <v>264.0</v>
      </c>
      <c r="H550" s="4">
        <v>2.0</v>
      </c>
      <c r="I550" s="21">
        <f t="array" ref="I550">XLOOKUP($A550,product!A:A,product!E:E)</f>
        <v>3.94</v>
      </c>
      <c r="J550" s="4">
        <f t="shared" si="2"/>
        <v>7.88</v>
      </c>
      <c r="K550" s="22">
        <f t="shared" si="3"/>
        <v>1</v>
      </c>
      <c r="L550" s="4">
        <f t="shared" si="4"/>
        <v>1</v>
      </c>
    </row>
    <row r="551">
      <c r="A551" s="23">
        <v>44459.0</v>
      </c>
      <c r="B551" s="24" t="str">
        <f t="array" ref="B551">xlookup($A551,product!$A:$A,product!B:B)</f>
        <v>Beauté &amp; Hygiène</v>
      </c>
      <c r="C551" s="24" t="str">
        <f t="array" ref="C551">xlookup($A551,product!$A:$A,product!C:C)</f>
        <v>Hygiène</v>
      </c>
      <c r="D551" s="24" t="str">
        <f t="array" ref="D551">xlookup($A551,product!$A:$A,product!D:D)</f>
        <v>Serviettes et protèges slip</v>
      </c>
      <c r="E551" s="25" t="str">
        <f t="shared" si="1"/>
        <v>44459-Hygiène-Serviettes et protèges slip</v>
      </c>
      <c r="F551" s="25">
        <v>1.0</v>
      </c>
      <c r="G551" s="25">
        <v>398.0</v>
      </c>
      <c r="H551" s="25">
        <v>348.0</v>
      </c>
      <c r="I551" s="26">
        <f t="array" ref="I551">XLOOKUP($A551,product!A:A,product!E:E)</f>
        <v>2.62</v>
      </c>
      <c r="J551" s="25">
        <f t="shared" si="2"/>
        <v>911.76</v>
      </c>
      <c r="K551" s="27">
        <f t="shared" si="3"/>
        <v>1</v>
      </c>
      <c r="L551" s="25">
        <f t="shared" si="4"/>
        <v>1</v>
      </c>
    </row>
    <row r="552">
      <c r="A552" s="19">
        <v>110398.0</v>
      </c>
      <c r="B552" s="20" t="str">
        <f t="array" ref="B552">xlookup($A552,product!$A:$A,product!B:B)</f>
        <v>Beauté &amp; Hygiène</v>
      </c>
      <c r="C552" s="20" t="str">
        <f t="array" ref="C552">xlookup($A552,product!$A:$A,product!C:C)</f>
        <v>Hygiène</v>
      </c>
      <c r="D552" s="20" t="str">
        <f t="array" ref="D552">xlookup($A552,product!$A:$A,product!D:D)</f>
        <v>Serviettes et protèges slip</v>
      </c>
      <c r="E552" s="4" t="str">
        <f t="shared" si="1"/>
        <v>110398-Hygiène-Serviettes et protèges slip</v>
      </c>
      <c r="F552" s="4">
        <v>0.0</v>
      </c>
      <c r="G552" s="4">
        <v>6.0</v>
      </c>
      <c r="H552" s="4">
        <v>0.0</v>
      </c>
      <c r="I552" s="21">
        <f t="array" ref="I552">XLOOKUP($A552,product!A:A,product!E:E)</f>
        <v>1.69</v>
      </c>
      <c r="J552" s="4">
        <f t="shared" si="2"/>
        <v>0</v>
      </c>
      <c r="K552" s="22">
        <f t="shared" si="3"/>
        <v>0</v>
      </c>
      <c r="L552" s="4">
        <f t="shared" si="4"/>
        <v>1</v>
      </c>
    </row>
    <row r="553">
      <c r="A553" s="23">
        <v>149495.0</v>
      </c>
      <c r="B553" s="24" t="str">
        <f t="array" ref="B553">xlookup($A553,product!$A:$A,product!B:B)</f>
        <v>Beauté &amp; Hygiène</v>
      </c>
      <c r="C553" s="24" t="str">
        <f t="array" ref="C553">xlookup($A553,product!$A:$A,product!C:C)</f>
        <v>Hygiène</v>
      </c>
      <c r="D553" s="24" t="str">
        <f t="array" ref="D553">xlookup($A553,product!$A:$A,product!D:D)</f>
        <v>Serviettes et protèges slip</v>
      </c>
      <c r="E553" s="25" t="str">
        <f t="shared" si="1"/>
        <v>149495-Hygiène-Serviettes et protèges slip</v>
      </c>
      <c r="F553" s="25">
        <v>0.0</v>
      </c>
      <c r="G553" s="25">
        <v>218.0</v>
      </c>
      <c r="H553" s="25">
        <v>202.0</v>
      </c>
      <c r="I553" s="26">
        <f t="array" ref="I553">XLOOKUP($A553,product!A:A,product!E:E)</f>
        <v>2.17</v>
      </c>
      <c r="J553" s="25">
        <f t="shared" si="2"/>
        <v>438.34</v>
      </c>
      <c r="K553" s="27">
        <f t="shared" si="3"/>
        <v>1</v>
      </c>
      <c r="L553" s="25">
        <f t="shared" si="4"/>
        <v>1</v>
      </c>
    </row>
    <row r="554">
      <c r="A554" s="19">
        <v>124685.0</v>
      </c>
      <c r="B554" s="20" t="str">
        <f t="array" ref="B554">xlookup($A554,product!$A:$A,product!B:B)</f>
        <v>Beauté &amp; Hygiène</v>
      </c>
      <c r="C554" s="20" t="str">
        <f t="array" ref="C554">xlookup($A554,product!$A:$A,product!C:C)</f>
        <v>Hygiène</v>
      </c>
      <c r="D554" s="20" t="str">
        <f t="array" ref="D554">xlookup($A554,product!$A:$A,product!D:D)</f>
        <v>Serviettes et protèges slip</v>
      </c>
      <c r="E554" s="4" t="str">
        <f t="shared" si="1"/>
        <v>124685-Hygiène-Serviettes et protèges slip</v>
      </c>
      <c r="F554" s="4">
        <v>1.0</v>
      </c>
      <c r="G554" s="4">
        <v>323.0</v>
      </c>
      <c r="H554" s="4">
        <v>216.0</v>
      </c>
      <c r="I554" s="21">
        <f t="array" ref="I554">XLOOKUP($A554,product!A:A,product!E:E)</f>
        <v>1.32</v>
      </c>
      <c r="J554" s="4">
        <f t="shared" si="2"/>
        <v>285.12</v>
      </c>
      <c r="K554" s="22">
        <f t="shared" si="3"/>
        <v>1</v>
      </c>
      <c r="L554" s="4">
        <f t="shared" si="4"/>
        <v>1</v>
      </c>
    </row>
    <row r="555">
      <c r="A555" s="23">
        <v>110004.0</v>
      </c>
      <c r="B555" s="24" t="str">
        <f t="array" ref="B555">xlookup($A555,product!$A:$A,product!B:B)</f>
        <v>Beauté &amp; Hygiène</v>
      </c>
      <c r="C555" s="24" t="str">
        <f t="array" ref="C555">xlookup($A555,product!$A:$A,product!C:C)</f>
        <v>Hygiène</v>
      </c>
      <c r="D555" s="24" t="str">
        <f t="array" ref="D555">xlookup($A555,product!$A:$A,product!D:D)</f>
        <v>Serviettes et protèges slip</v>
      </c>
      <c r="E555" s="25" t="str">
        <f t="shared" si="1"/>
        <v>110004-Hygiène-Serviettes et protèges slip</v>
      </c>
      <c r="F555" s="25">
        <v>0.0</v>
      </c>
      <c r="G555" s="25">
        <v>143.0</v>
      </c>
      <c r="H555" s="25">
        <v>133.0</v>
      </c>
      <c r="I555" s="26">
        <f t="array" ref="I555">XLOOKUP($A555,product!A:A,product!E:E)</f>
        <v>1.65</v>
      </c>
      <c r="J555" s="25">
        <f t="shared" si="2"/>
        <v>219.45</v>
      </c>
      <c r="K555" s="27">
        <f t="shared" si="3"/>
        <v>1</v>
      </c>
      <c r="L555" s="25">
        <f t="shared" si="4"/>
        <v>1</v>
      </c>
    </row>
    <row r="556">
      <c r="A556" s="19">
        <v>111052.0</v>
      </c>
      <c r="B556" s="20" t="str">
        <f t="array" ref="B556">xlookup($A556,product!$A:$A,product!B:B)</f>
        <v>Beauté &amp; Hygiène</v>
      </c>
      <c r="C556" s="20" t="str">
        <f t="array" ref="C556">xlookup($A556,product!$A:$A,product!C:C)</f>
        <v>Hygiène</v>
      </c>
      <c r="D556" s="20" t="str">
        <f t="array" ref="D556">xlookup($A556,product!$A:$A,product!D:D)</f>
        <v>Serviettes et protèges slip</v>
      </c>
      <c r="E556" s="4" t="str">
        <f t="shared" si="1"/>
        <v>111052-Hygiène-Serviettes et protèges slip</v>
      </c>
      <c r="F556" s="4">
        <v>1.0</v>
      </c>
      <c r="G556" s="4">
        <v>334.0</v>
      </c>
      <c r="H556" s="4">
        <v>211.0</v>
      </c>
      <c r="I556" s="21">
        <f t="array" ref="I556">XLOOKUP($A556,product!A:A,product!E:E)</f>
        <v>7.8</v>
      </c>
      <c r="J556" s="4">
        <f t="shared" si="2"/>
        <v>1645.8</v>
      </c>
      <c r="K556" s="22">
        <f t="shared" si="3"/>
        <v>1</v>
      </c>
      <c r="L556" s="4">
        <f t="shared" si="4"/>
        <v>1</v>
      </c>
    </row>
    <row r="557">
      <c r="A557" s="23">
        <v>102948.0</v>
      </c>
      <c r="B557" s="24" t="str">
        <f t="array" ref="B557">xlookup($A557,product!$A:$A,product!B:B)</f>
        <v>Beauté &amp; Hygiène</v>
      </c>
      <c r="C557" s="24" t="str">
        <f t="array" ref="C557">xlookup($A557,product!$A:$A,product!C:C)</f>
        <v>Hygiène</v>
      </c>
      <c r="D557" s="24" t="str">
        <f t="array" ref="D557">xlookup($A557,product!$A:$A,product!D:D)</f>
        <v>Serviettes et protèges slip</v>
      </c>
      <c r="E557" s="25" t="str">
        <f t="shared" si="1"/>
        <v>102948-Hygiène-Serviettes et protèges slip</v>
      </c>
      <c r="F557" s="25">
        <v>0.0</v>
      </c>
      <c r="G557" s="25">
        <v>720.0</v>
      </c>
      <c r="H557" s="25">
        <v>496.0</v>
      </c>
      <c r="I557" s="26">
        <f t="array" ref="I557">XLOOKUP($A557,product!A:A,product!E:E)</f>
        <v>11.68</v>
      </c>
      <c r="J557" s="25">
        <f t="shared" si="2"/>
        <v>5793.28</v>
      </c>
      <c r="K557" s="27">
        <f t="shared" si="3"/>
        <v>1</v>
      </c>
      <c r="L557" s="25">
        <f t="shared" si="4"/>
        <v>1</v>
      </c>
    </row>
    <row r="558">
      <c r="A558" s="19">
        <v>110000.0</v>
      </c>
      <c r="B558" s="20" t="str">
        <f t="array" ref="B558">xlookup($A558,product!$A:$A,product!B:B)</f>
        <v>Beauté &amp; Hygiène</v>
      </c>
      <c r="C558" s="20" t="str">
        <f t="array" ref="C558">xlookup($A558,product!$A:$A,product!C:C)</f>
        <v>Hygiène</v>
      </c>
      <c r="D558" s="20" t="str">
        <f t="array" ref="D558">xlookup($A558,product!$A:$A,product!D:D)</f>
        <v>Serviettes et protèges slip</v>
      </c>
      <c r="E558" s="4" t="str">
        <f t="shared" si="1"/>
        <v>110000-Hygiène-Serviettes et protèges slip</v>
      </c>
      <c r="F558" s="4">
        <v>1.0</v>
      </c>
      <c r="G558" s="4">
        <v>934.0</v>
      </c>
      <c r="H558" s="4">
        <v>876.0</v>
      </c>
      <c r="I558" s="21">
        <f t="array" ref="I558">XLOOKUP($A558,product!A:A,product!E:E)</f>
        <v>1.65</v>
      </c>
      <c r="J558" s="4">
        <f t="shared" si="2"/>
        <v>1445.4</v>
      </c>
      <c r="K558" s="22">
        <f t="shared" si="3"/>
        <v>1</v>
      </c>
      <c r="L558" s="4">
        <f t="shared" si="4"/>
        <v>1</v>
      </c>
    </row>
    <row r="559">
      <c r="A559" s="23">
        <v>7264.0</v>
      </c>
      <c r="B559" s="24" t="str">
        <f t="array" ref="B559">xlookup($A559,product!$A:$A,product!B:B)</f>
        <v>Beauté &amp; Hygiène</v>
      </c>
      <c r="C559" s="24" t="str">
        <f t="array" ref="C559">xlookup($A559,product!$A:$A,product!C:C)</f>
        <v>Hygiène</v>
      </c>
      <c r="D559" s="24" t="str">
        <f t="array" ref="D559">xlookup($A559,product!$A:$A,product!D:D)</f>
        <v>Serviettes et protèges slip</v>
      </c>
      <c r="E559" s="25" t="str">
        <f t="shared" si="1"/>
        <v>7264-Hygiène-Serviettes et protèges slip</v>
      </c>
      <c r="F559" s="25">
        <v>0.0</v>
      </c>
      <c r="G559" s="25">
        <v>503.0</v>
      </c>
      <c r="H559" s="25">
        <v>462.0</v>
      </c>
      <c r="I559" s="26">
        <f t="array" ref="I559">XLOOKUP($A559,product!A:A,product!E:E)</f>
        <v>1.79</v>
      </c>
      <c r="J559" s="25">
        <f t="shared" si="2"/>
        <v>826.98</v>
      </c>
      <c r="K559" s="27">
        <f t="shared" si="3"/>
        <v>1</v>
      </c>
      <c r="L559" s="25">
        <f t="shared" si="4"/>
        <v>1</v>
      </c>
    </row>
    <row r="560">
      <c r="A560" s="19">
        <v>110005.0</v>
      </c>
      <c r="B560" s="20" t="str">
        <f t="array" ref="B560">xlookup($A560,product!$A:$A,product!B:B)</f>
        <v>Beauté &amp; Hygiène</v>
      </c>
      <c r="C560" s="20" t="str">
        <f t="array" ref="C560">xlookup($A560,product!$A:$A,product!C:C)</f>
        <v>Hygiène</v>
      </c>
      <c r="D560" s="20" t="str">
        <f t="array" ref="D560">xlookup($A560,product!$A:$A,product!D:D)</f>
        <v>Serviettes et protèges slip</v>
      </c>
      <c r="E560" s="4" t="str">
        <f t="shared" si="1"/>
        <v>110005-Hygiène-Serviettes et protèges slip</v>
      </c>
      <c r="F560" s="4">
        <v>0.0</v>
      </c>
      <c r="G560" s="4">
        <v>764.0</v>
      </c>
      <c r="H560" s="4">
        <v>476.0</v>
      </c>
      <c r="I560" s="21">
        <f t="array" ref="I560">XLOOKUP($A560,product!A:A,product!E:E)</f>
        <v>1.65</v>
      </c>
      <c r="J560" s="4">
        <f t="shared" si="2"/>
        <v>785.4</v>
      </c>
      <c r="K560" s="22">
        <f t="shared" si="3"/>
        <v>1</v>
      </c>
      <c r="L560" s="4">
        <f t="shared" si="4"/>
        <v>1</v>
      </c>
    </row>
    <row r="561">
      <c r="A561" s="23">
        <v>124693.0</v>
      </c>
      <c r="B561" s="24" t="str">
        <f t="array" ref="B561">xlookup($A561,product!$A:$A,product!B:B)</f>
        <v>Beauté &amp; Hygiène</v>
      </c>
      <c r="C561" s="24" t="str">
        <f t="array" ref="C561">xlookup($A561,product!$A:$A,product!C:C)</f>
        <v>Hygiène</v>
      </c>
      <c r="D561" s="24" t="str">
        <f t="array" ref="D561">xlookup($A561,product!$A:$A,product!D:D)</f>
        <v>Serviettes et protèges slip</v>
      </c>
      <c r="E561" s="25" t="str">
        <f t="shared" si="1"/>
        <v>124693-Hygiène-Serviettes et protèges slip</v>
      </c>
      <c r="F561" s="25">
        <v>0.0</v>
      </c>
      <c r="G561" s="25">
        <v>895.0</v>
      </c>
      <c r="H561" s="25">
        <v>134.0</v>
      </c>
      <c r="I561" s="26">
        <f t="array" ref="I561">XLOOKUP($A561,product!A:A,product!E:E)</f>
        <v>1.32</v>
      </c>
      <c r="J561" s="25">
        <f t="shared" si="2"/>
        <v>176.88</v>
      </c>
      <c r="K561" s="27">
        <f t="shared" si="3"/>
        <v>1</v>
      </c>
      <c r="L561" s="25">
        <f t="shared" si="4"/>
        <v>1</v>
      </c>
    </row>
    <row r="562">
      <c r="A562" s="19">
        <v>86501.0</v>
      </c>
      <c r="B562" s="20" t="str">
        <f t="array" ref="B562">xlookup($A562,product!$A:$A,product!B:B)</f>
        <v>Beauté &amp; Hygiène</v>
      </c>
      <c r="C562" s="20" t="str">
        <f t="array" ref="C562">xlookup($A562,product!$A:$A,product!C:C)</f>
        <v>Hygiène</v>
      </c>
      <c r="D562" s="20" t="str">
        <f t="array" ref="D562">xlookup($A562,product!$A:$A,product!D:D)</f>
        <v>Serviettes et protèges slip</v>
      </c>
      <c r="E562" s="4" t="str">
        <f t="shared" si="1"/>
        <v>86501-Hygiène-Serviettes et protèges slip</v>
      </c>
      <c r="F562" s="4">
        <v>0.0</v>
      </c>
      <c r="G562" s="4">
        <v>739.0</v>
      </c>
      <c r="H562" s="4">
        <v>216.0</v>
      </c>
      <c r="I562" s="21">
        <f t="array" ref="I562">XLOOKUP($A562,product!A:A,product!E:E)</f>
        <v>7.8</v>
      </c>
      <c r="J562" s="4">
        <f t="shared" si="2"/>
        <v>1684.8</v>
      </c>
      <c r="K562" s="22">
        <f t="shared" si="3"/>
        <v>1</v>
      </c>
      <c r="L562" s="4">
        <f t="shared" si="4"/>
        <v>1</v>
      </c>
    </row>
    <row r="563">
      <c r="A563" s="23">
        <v>101536.0</v>
      </c>
      <c r="B563" s="24" t="str">
        <f t="array" ref="B563">xlookup($A563,product!$A:$A,product!B:B)</f>
        <v>Beauté &amp; Hygiène</v>
      </c>
      <c r="C563" s="24" t="str">
        <f t="array" ref="C563">xlookup($A563,product!$A:$A,product!C:C)</f>
        <v>Hygiène</v>
      </c>
      <c r="D563" s="24" t="str">
        <f t="array" ref="D563">xlookup($A563,product!$A:$A,product!D:D)</f>
        <v>Serviettes et protèges slip</v>
      </c>
      <c r="E563" s="25" t="str">
        <f t="shared" si="1"/>
        <v>101536-Hygiène-Serviettes et protèges slip</v>
      </c>
      <c r="F563" s="25">
        <v>0.0</v>
      </c>
      <c r="G563" s="25">
        <v>302.0</v>
      </c>
      <c r="H563" s="25">
        <v>125.0</v>
      </c>
      <c r="I563" s="26">
        <f t="array" ref="I563">XLOOKUP($A563,product!A:A,product!E:E)</f>
        <v>1.69</v>
      </c>
      <c r="J563" s="25">
        <f t="shared" si="2"/>
        <v>211.25</v>
      </c>
      <c r="K563" s="27">
        <f t="shared" si="3"/>
        <v>1</v>
      </c>
      <c r="L563" s="25">
        <f t="shared" si="4"/>
        <v>1</v>
      </c>
    </row>
    <row r="564">
      <c r="A564" s="19">
        <v>101534.0</v>
      </c>
      <c r="B564" s="20" t="str">
        <f t="array" ref="B564">xlookup($A564,product!$A:$A,product!B:B)</f>
        <v>Beauté &amp; Hygiène</v>
      </c>
      <c r="C564" s="20" t="str">
        <f t="array" ref="C564">xlookup($A564,product!$A:$A,product!C:C)</f>
        <v>Hygiène</v>
      </c>
      <c r="D564" s="20" t="str">
        <f t="array" ref="D564">xlookup($A564,product!$A:$A,product!D:D)</f>
        <v>Serviettes et protèges slip</v>
      </c>
      <c r="E564" s="4" t="str">
        <f t="shared" si="1"/>
        <v>101534-Hygiène-Serviettes et protèges slip</v>
      </c>
      <c r="F564" s="4">
        <v>1.0</v>
      </c>
      <c r="G564" s="4">
        <v>593.0</v>
      </c>
      <c r="H564" s="4">
        <v>438.0</v>
      </c>
      <c r="I564" s="21">
        <f t="array" ref="I564">XLOOKUP($A564,product!A:A,product!E:E)</f>
        <v>1.69</v>
      </c>
      <c r="J564" s="4">
        <f t="shared" si="2"/>
        <v>740.22</v>
      </c>
      <c r="K564" s="22">
        <f t="shared" si="3"/>
        <v>1</v>
      </c>
      <c r="L564" s="4">
        <f t="shared" si="4"/>
        <v>1</v>
      </c>
    </row>
    <row r="565">
      <c r="A565" s="23">
        <v>110002.0</v>
      </c>
      <c r="B565" s="24" t="str">
        <f t="array" ref="B565">xlookup($A565,product!$A:$A,product!B:B)</f>
        <v>Beauté &amp; Hygiène</v>
      </c>
      <c r="C565" s="24" t="str">
        <f t="array" ref="C565">xlookup($A565,product!$A:$A,product!C:C)</f>
        <v>Hygiène</v>
      </c>
      <c r="D565" s="24" t="str">
        <f t="array" ref="D565">xlookup($A565,product!$A:$A,product!D:D)</f>
        <v>Serviettes et protèges slip</v>
      </c>
      <c r="E565" s="25" t="str">
        <f t="shared" si="1"/>
        <v>110002-Hygiène-Serviettes et protèges slip</v>
      </c>
      <c r="F565" s="25">
        <v>1.0</v>
      </c>
      <c r="G565" s="25">
        <v>303.0</v>
      </c>
      <c r="H565" s="25">
        <v>154.0</v>
      </c>
      <c r="I565" s="26">
        <f t="array" ref="I565">XLOOKUP($A565,product!A:A,product!E:E)</f>
        <v>1.65</v>
      </c>
      <c r="J565" s="25">
        <f t="shared" si="2"/>
        <v>254.1</v>
      </c>
      <c r="K565" s="27">
        <f t="shared" si="3"/>
        <v>1</v>
      </c>
      <c r="L565" s="25">
        <f t="shared" si="4"/>
        <v>1</v>
      </c>
    </row>
    <row r="566">
      <c r="A566" s="19">
        <v>110001.0</v>
      </c>
      <c r="B566" s="20" t="str">
        <f t="array" ref="B566">xlookup($A566,product!$A:$A,product!B:B)</f>
        <v>Beauté &amp; Hygiène</v>
      </c>
      <c r="C566" s="20" t="str">
        <f t="array" ref="C566">xlookup($A566,product!$A:$A,product!C:C)</f>
        <v>Hygiène</v>
      </c>
      <c r="D566" s="20" t="str">
        <f t="array" ref="D566">xlookup($A566,product!$A:$A,product!D:D)</f>
        <v>Serviettes et protèges slip</v>
      </c>
      <c r="E566" s="4" t="str">
        <f t="shared" si="1"/>
        <v>110001-Hygiène-Serviettes et protèges slip</v>
      </c>
      <c r="F566" s="4">
        <v>1.0</v>
      </c>
      <c r="G566" s="4">
        <v>775.0</v>
      </c>
      <c r="H566" s="4">
        <v>48.0</v>
      </c>
      <c r="I566" s="21">
        <f t="array" ref="I566">XLOOKUP($A566,product!A:A,product!E:E)</f>
        <v>1.65</v>
      </c>
      <c r="J566" s="4">
        <f t="shared" si="2"/>
        <v>79.2</v>
      </c>
      <c r="K566" s="22">
        <f t="shared" si="3"/>
        <v>1</v>
      </c>
      <c r="L566" s="4">
        <f t="shared" si="4"/>
        <v>1</v>
      </c>
    </row>
    <row r="567">
      <c r="A567" s="23">
        <v>111051.0</v>
      </c>
      <c r="B567" s="24" t="str">
        <f t="array" ref="B567">xlookup($A567,product!$A:$A,product!B:B)</f>
        <v>Beauté &amp; Hygiène</v>
      </c>
      <c r="C567" s="24" t="str">
        <f t="array" ref="C567">xlookup($A567,product!$A:$A,product!C:C)</f>
        <v>Hygiène</v>
      </c>
      <c r="D567" s="24" t="str">
        <f t="array" ref="D567">xlookup($A567,product!$A:$A,product!D:D)</f>
        <v>Serviettes et protèges slip</v>
      </c>
      <c r="E567" s="25" t="str">
        <f t="shared" si="1"/>
        <v>111051-Hygiène-Serviettes et protèges slip</v>
      </c>
      <c r="F567" s="25">
        <v>1.0</v>
      </c>
      <c r="G567" s="25">
        <v>124.0</v>
      </c>
      <c r="H567" s="25">
        <v>104.0</v>
      </c>
      <c r="I567" s="26">
        <f t="array" ref="I567">XLOOKUP($A567,product!A:A,product!E:E)</f>
        <v>8.13</v>
      </c>
      <c r="J567" s="25">
        <f t="shared" si="2"/>
        <v>845.52</v>
      </c>
      <c r="K567" s="27">
        <f t="shared" si="3"/>
        <v>1</v>
      </c>
      <c r="L567" s="25">
        <f t="shared" si="4"/>
        <v>1</v>
      </c>
    </row>
    <row r="568">
      <c r="A568" s="19">
        <v>7258.0</v>
      </c>
      <c r="B568" s="20" t="str">
        <f t="array" ref="B568">xlookup($A568,product!$A:$A,product!B:B)</f>
        <v>Beauté &amp; Hygiène</v>
      </c>
      <c r="C568" s="20" t="str">
        <f t="array" ref="C568">xlookup($A568,product!$A:$A,product!C:C)</f>
        <v>Hygiène</v>
      </c>
      <c r="D568" s="20" t="str">
        <f t="array" ref="D568">xlookup($A568,product!$A:$A,product!D:D)</f>
        <v>Serviettes et protèges slip</v>
      </c>
      <c r="E568" s="4" t="str">
        <f t="shared" si="1"/>
        <v>7258-Hygiène-Serviettes et protèges slip</v>
      </c>
      <c r="F568" s="4">
        <v>1.0</v>
      </c>
      <c r="G568" s="4">
        <v>504.0</v>
      </c>
      <c r="H568" s="4">
        <v>189.0</v>
      </c>
      <c r="I568" s="21">
        <f t="array" ref="I568">XLOOKUP($A568,product!A:A,product!E:E)</f>
        <v>1.9</v>
      </c>
      <c r="J568" s="4">
        <f t="shared" si="2"/>
        <v>359.1</v>
      </c>
      <c r="K568" s="22">
        <f t="shared" si="3"/>
        <v>1</v>
      </c>
      <c r="L568" s="4">
        <f t="shared" si="4"/>
        <v>1</v>
      </c>
    </row>
    <row r="569">
      <c r="A569" s="23">
        <v>111053.0</v>
      </c>
      <c r="B569" s="24" t="str">
        <f t="array" ref="B569">xlookup($A569,product!$A:$A,product!B:B)</f>
        <v>Beauté &amp; Hygiène</v>
      </c>
      <c r="C569" s="24" t="str">
        <f t="array" ref="C569">xlookup($A569,product!$A:$A,product!C:C)</f>
        <v>Hygiène</v>
      </c>
      <c r="D569" s="24" t="str">
        <f t="array" ref="D569">xlookup($A569,product!$A:$A,product!D:D)</f>
        <v>Serviettes et protèges slip</v>
      </c>
      <c r="E569" s="25" t="str">
        <f t="shared" si="1"/>
        <v>111053-Hygiène-Serviettes et protèges slip</v>
      </c>
      <c r="F569" s="25">
        <v>0.0</v>
      </c>
      <c r="G569" s="25">
        <v>863.0</v>
      </c>
      <c r="H569" s="25">
        <v>539.0</v>
      </c>
      <c r="I569" s="26">
        <f t="array" ref="I569">XLOOKUP($A569,product!A:A,product!E:E)</f>
        <v>7.8</v>
      </c>
      <c r="J569" s="25">
        <f t="shared" si="2"/>
        <v>4204.2</v>
      </c>
      <c r="K569" s="27">
        <f t="shared" si="3"/>
        <v>1</v>
      </c>
      <c r="L569" s="25">
        <f t="shared" si="4"/>
        <v>1</v>
      </c>
    </row>
    <row r="570">
      <c r="A570" s="19">
        <v>120996.0</v>
      </c>
      <c r="B570" s="20" t="str">
        <f t="array" ref="B570">xlookup($A570,product!$A:$A,product!B:B)</f>
        <v>Beauté &amp; Hygiène</v>
      </c>
      <c r="C570" s="20" t="str">
        <f t="array" ref="C570">xlookup($A570,product!$A:$A,product!C:C)</f>
        <v>Hygiène</v>
      </c>
      <c r="D570" s="20" t="str">
        <f t="array" ref="D570">xlookup($A570,product!$A:$A,product!D:D)</f>
        <v>Serviettes et protèges slip</v>
      </c>
      <c r="E570" s="4" t="str">
        <f t="shared" si="1"/>
        <v>120996-Hygiène-Serviettes et protèges slip</v>
      </c>
      <c r="F570" s="4">
        <v>1.0</v>
      </c>
      <c r="G570" s="4">
        <v>367.0</v>
      </c>
      <c r="H570" s="4">
        <v>70.0</v>
      </c>
      <c r="I570" s="21">
        <f t="array" ref="I570">XLOOKUP($A570,product!A:A,product!E:E)</f>
        <v>1.69</v>
      </c>
      <c r="J570" s="4">
        <f t="shared" si="2"/>
        <v>118.3</v>
      </c>
      <c r="K570" s="22">
        <f t="shared" si="3"/>
        <v>1</v>
      </c>
      <c r="L570" s="4">
        <f t="shared" si="4"/>
        <v>1</v>
      </c>
    </row>
    <row r="571">
      <c r="A571" s="23">
        <v>109746.0</v>
      </c>
      <c r="B571" s="24" t="str">
        <f t="array" ref="B571">xlookup($A571,product!$A:$A,product!B:B)</f>
        <v>Beauté &amp; Hygiène</v>
      </c>
      <c r="C571" s="24" t="str">
        <f t="array" ref="C571">xlookup($A571,product!$A:$A,product!C:C)</f>
        <v>Hygiène</v>
      </c>
      <c r="D571" s="24" t="str">
        <f t="array" ref="D571">xlookup($A571,product!$A:$A,product!D:D)</f>
        <v>Serviettes et protèges slip</v>
      </c>
      <c r="E571" s="25" t="str">
        <f t="shared" si="1"/>
        <v>109746-Hygiène-Serviettes et protèges slip</v>
      </c>
      <c r="F571" s="25">
        <v>1.0</v>
      </c>
      <c r="G571" s="25">
        <v>502.0</v>
      </c>
      <c r="H571" s="25">
        <v>196.0</v>
      </c>
      <c r="I571" s="26">
        <f t="array" ref="I571">XLOOKUP($A571,product!A:A,product!E:E)</f>
        <v>9.34</v>
      </c>
      <c r="J571" s="25">
        <f t="shared" si="2"/>
        <v>1830.64</v>
      </c>
      <c r="K571" s="27">
        <f t="shared" si="3"/>
        <v>1</v>
      </c>
      <c r="L571" s="25">
        <f t="shared" si="4"/>
        <v>1</v>
      </c>
    </row>
    <row r="572">
      <c r="A572" s="19">
        <v>147288.0</v>
      </c>
      <c r="B572" s="20" t="str">
        <f t="array" ref="B572">xlookup($A572,product!$A:$A,product!B:B)</f>
        <v>Beauté &amp; Hygiène</v>
      </c>
      <c r="C572" s="20" t="str">
        <f t="array" ref="C572">xlookup($A572,product!$A:$A,product!C:C)</f>
        <v>Hygiène</v>
      </c>
      <c r="D572" s="20" t="str">
        <f t="array" ref="D572">xlookup($A572,product!$A:$A,product!D:D)</f>
        <v>Serviettes et protèges slip</v>
      </c>
      <c r="E572" s="4" t="str">
        <f t="shared" si="1"/>
        <v>147288-Hygiène-Serviettes et protèges slip</v>
      </c>
      <c r="F572" s="4">
        <v>0.0</v>
      </c>
      <c r="G572" s="4">
        <v>920.0</v>
      </c>
      <c r="H572" s="4">
        <v>268.0</v>
      </c>
      <c r="I572" s="21">
        <f t="array" ref="I572">XLOOKUP($A572,product!A:A,product!E:E)</f>
        <v>3.45</v>
      </c>
      <c r="J572" s="4">
        <f t="shared" si="2"/>
        <v>924.6</v>
      </c>
      <c r="K572" s="22">
        <f t="shared" si="3"/>
        <v>1</v>
      </c>
      <c r="L572" s="4">
        <f t="shared" si="4"/>
        <v>1</v>
      </c>
    </row>
    <row r="573">
      <c r="A573" s="23">
        <v>120997.0</v>
      </c>
      <c r="B573" s="24" t="str">
        <f t="array" ref="B573">xlookup($A573,product!$A:$A,product!B:B)</f>
        <v>Beauté &amp; Hygiène</v>
      </c>
      <c r="C573" s="24" t="str">
        <f t="array" ref="C573">xlookup($A573,product!$A:$A,product!C:C)</f>
        <v>Hygiène</v>
      </c>
      <c r="D573" s="24" t="str">
        <f t="array" ref="D573">xlookup($A573,product!$A:$A,product!D:D)</f>
        <v>Serviettes et protèges slip</v>
      </c>
      <c r="E573" s="25" t="str">
        <f t="shared" si="1"/>
        <v>120997-Hygiène-Serviettes et protèges slip</v>
      </c>
      <c r="F573" s="25">
        <v>0.0</v>
      </c>
      <c r="G573" s="25">
        <v>804.0</v>
      </c>
      <c r="H573" s="25">
        <v>745.0</v>
      </c>
      <c r="I573" s="26">
        <f t="array" ref="I573">XLOOKUP($A573,product!A:A,product!E:E)</f>
        <v>1.69</v>
      </c>
      <c r="J573" s="25">
        <f t="shared" si="2"/>
        <v>1259.05</v>
      </c>
      <c r="K573" s="27">
        <f t="shared" si="3"/>
        <v>1</v>
      </c>
      <c r="L573" s="25">
        <f t="shared" si="4"/>
        <v>1</v>
      </c>
    </row>
    <row r="574">
      <c r="A574" s="19">
        <v>109742.0</v>
      </c>
      <c r="B574" s="20" t="str">
        <f t="array" ref="B574">xlookup($A574,product!$A:$A,product!B:B)</f>
        <v>Beauté &amp; Hygiène</v>
      </c>
      <c r="C574" s="20" t="str">
        <f t="array" ref="C574">xlookup($A574,product!$A:$A,product!C:C)</f>
        <v>Hygiène</v>
      </c>
      <c r="D574" s="20" t="str">
        <f t="array" ref="D574">xlookup($A574,product!$A:$A,product!D:D)</f>
        <v>Serviettes et protèges slip</v>
      </c>
      <c r="E574" s="4" t="str">
        <f t="shared" si="1"/>
        <v>109742-Hygiène-Serviettes et protèges slip</v>
      </c>
      <c r="F574" s="4">
        <v>1.0</v>
      </c>
      <c r="G574" s="4">
        <v>937.0</v>
      </c>
      <c r="H574" s="4">
        <v>894.0</v>
      </c>
      <c r="I574" s="21">
        <f t="array" ref="I574">XLOOKUP($A574,product!A:A,product!E:E)</f>
        <v>48.17</v>
      </c>
      <c r="J574" s="4">
        <f t="shared" si="2"/>
        <v>43063.98</v>
      </c>
      <c r="K574" s="22">
        <f t="shared" si="3"/>
        <v>1</v>
      </c>
      <c r="L574" s="4">
        <f t="shared" si="4"/>
        <v>1</v>
      </c>
    </row>
    <row r="575">
      <c r="A575" s="23">
        <v>156013.0</v>
      </c>
      <c r="B575" s="24" t="str">
        <f t="array" ref="B575">xlookup($A575,product!$A:$A,product!B:B)</f>
        <v>Beauté &amp; Hygiène</v>
      </c>
      <c r="C575" s="24" t="str">
        <f t="array" ref="C575">xlookup($A575,product!$A:$A,product!C:C)</f>
        <v>Hygiène</v>
      </c>
      <c r="D575" s="24" t="str">
        <f t="array" ref="D575">xlookup($A575,product!$A:$A,product!D:D)</f>
        <v>Serviettes et protèges slip</v>
      </c>
      <c r="E575" s="25" t="str">
        <f t="shared" si="1"/>
        <v>156013-Hygiène-Serviettes et protèges slip</v>
      </c>
      <c r="F575" s="25">
        <v>0.0</v>
      </c>
      <c r="G575" s="25">
        <v>332.0</v>
      </c>
      <c r="H575" s="25">
        <v>311.0</v>
      </c>
      <c r="I575" s="26">
        <f t="array" ref="I575">XLOOKUP($A575,product!A:A,product!E:E)</f>
        <v>3.81</v>
      </c>
      <c r="J575" s="25">
        <f t="shared" si="2"/>
        <v>1184.91</v>
      </c>
      <c r="K575" s="27">
        <f t="shared" si="3"/>
        <v>1</v>
      </c>
      <c r="L575" s="25">
        <f t="shared" si="4"/>
        <v>1</v>
      </c>
    </row>
    <row r="576">
      <c r="A576" s="19">
        <v>98426.0</v>
      </c>
      <c r="B576" s="20" t="str">
        <f t="array" ref="B576">xlookup($A576,product!$A:$A,product!B:B)</f>
        <v>Beauté &amp; Hygiène</v>
      </c>
      <c r="C576" s="20" t="str">
        <f t="array" ref="C576">xlookup($A576,product!$A:$A,product!C:C)</f>
        <v>Hygiène</v>
      </c>
      <c r="D576" s="20" t="str">
        <f t="array" ref="D576">xlookup($A576,product!$A:$A,product!D:D)</f>
        <v>Serviettes et protèges slip</v>
      </c>
      <c r="E576" s="4" t="str">
        <f t="shared" si="1"/>
        <v>98426-Hygiène-Serviettes et protèges slip</v>
      </c>
      <c r="F576" s="4">
        <v>1.0</v>
      </c>
      <c r="G576" s="4">
        <v>274.0</v>
      </c>
      <c r="H576" s="4">
        <v>160.0</v>
      </c>
      <c r="I576" s="21">
        <f t="array" ref="I576">XLOOKUP($A576,product!A:A,product!E:E)</f>
        <v>1.79</v>
      </c>
      <c r="J576" s="4">
        <f t="shared" si="2"/>
        <v>286.4</v>
      </c>
      <c r="K576" s="22">
        <f t="shared" si="3"/>
        <v>1</v>
      </c>
      <c r="L576" s="4">
        <f t="shared" si="4"/>
        <v>1</v>
      </c>
    </row>
    <row r="577">
      <c r="A577" s="23">
        <v>110006.0</v>
      </c>
      <c r="B577" s="24" t="str">
        <f t="array" ref="B577">xlookup($A577,product!$A:$A,product!B:B)</f>
        <v>Beauté &amp; Hygiène</v>
      </c>
      <c r="C577" s="24" t="str">
        <f t="array" ref="C577">xlookup($A577,product!$A:$A,product!C:C)</f>
        <v>Hygiène</v>
      </c>
      <c r="D577" s="24" t="str">
        <f t="array" ref="D577">xlookup($A577,product!$A:$A,product!D:D)</f>
        <v>Serviettes et protèges slip</v>
      </c>
      <c r="E577" s="25" t="str">
        <f t="shared" si="1"/>
        <v>110006-Hygiène-Serviettes et protèges slip</v>
      </c>
      <c r="F577" s="25">
        <v>0.0</v>
      </c>
      <c r="G577" s="25">
        <v>140.0</v>
      </c>
      <c r="H577" s="25">
        <v>118.0</v>
      </c>
      <c r="I577" s="26">
        <f t="array" ref="I577">XLOOKUP($A577,product!A:A,product!E:E)</f>
        <v>1.65</v>
      </c>
      <c r="J577" s="25">
        <f t="shared" si="2"/>
        <v>194.7</v>
      </c>
      <c r="K577" s="27">
        <f t="shared" si="3"/>
        <v>1</v>
      </c>
      <c r="L577" s="25">
        <f t="shared" si="4"/>
        <v>1</v>
      </c>
    </row>
    <row r="578">
      <c r="A578" s="19">
        <v>110409.0</v>
      </c>
      <c r="B578" s="20" t="str">
        <f t="array" ref="B578">xlookup($A578,product!$A:$A,product!B:B)</f>
        <v>Beauté &amp; Hygiène</v>
      </c>
      <c r="C578" s="20" t="str">
        <f t="array" ref="C578">xlookup($A578,product!$A:$A,product!C:C)</f>
        <v>Hygiène</v>
      </c>
      <c r="D578" s="20" t="str">
        <f t="array" ref="D578">xlookup($A578,product!$A:$A,product!D:D)</f>
        <v>Couches adultes, incontinence</v>
      </c>
      <c r="E578" s="4" t="str">
        <f t="shared" si="1"/>
        <v>110409-Hygiène-Couches adultes, incontinence</v>
      </c>
      <c r="F578" s="4">
        <v>0.0</v>
      </c>
      <c r="G578" s="4">
        <v>154.0</v>
      </c>
      <c r="H578" s="4">
        <v>143.0</v>
      </c>
      <c r="I578" s="21">
        <f t="array" ref="I578">XLOOKUP($A578,product!A:A,product!E:E)</f>
        <v>2.32</v>
      </c>
      <c r="J578" s="4">
        <f t="shared" si="2"/>
        <v>331.76</v>
      </c>
      <c r="K578" s="22">
        <f t="shared" si="3"/>
        <v>1</v>
      </c>
      <c r="L578" s="4">
        <f t="shared" si="4"/>
        <v>1</v>
      </c>
    </row>
    <row r="579">
      <c r="A579" s="23">
        <v>117774.0</v>
      </c>
      <c r="B579" s="24" t="str">
        <f t="array" ref="B579">xlookup($A579,product!$A:$A,product!B:B)</f>
        <v>Beauté &amp; Hygiène</v>
      </c>
      <c r="C579" s="24" t="str">
        <f t="array" ref="C579">xlookup($A579,product!$A:$A,product!C:C)</f>
        <v>Hygiène</v>
      </c>
      <c r="D579" s="24" t="str">
        <f t="array" ref="D579">xlookup($A579,product!$A:$A,product!D:D)</f>
        <v>Couches adultes, incontinence</v>
      </c>
      <c r="E579" s="25" t="str">
        <f t="shared" si="1"/>
        <v>117774-Hygiène-Couches adultes, incontinence</v>
      </c>
      <c r="F579" s="25">
        <v>1.0</v>
      </c>
      <c r="G579" s="25">
        <v>206.0</v>
      </c>
      <c r="H579" s="25">
        <v>141.0</v>
      </c>
      <c r="I579" s="26">
        <f t="array" ref="I579">XLOOKUP($A579,product!A:A,product!E:E)</f>
        <v>4.23</v>
      </c>
      <c r="J579" s="25">
        <f t="shared" si="2"/>
        <v>596.43</v>
      </c>
      <c r="K579" s="27">
        <f t="shared" si="3"/>
        <v>1</v>
      </c>
      <c r="L579" s="25">
        <f t="shared" si="4"/>
        <v>1</v>
      </c>
    </row>
    <row r="580">
      <c r="A580" s="19">
        <v>110411.0</v>
      </c>
      <c r="B580" s="20" t="str">
        <f t="array" ref="B580">xlookup($A580,product!$A:$A,product!B:B)</f>
        <v>Beauté &amp; Hygiène</v>
      </c>
      <c r="C580" s="20" t="str">
        <f t="array" ref="C580">xlookup($A580,product!$A:$A,product!C:C)</f>
        <v>Hygiène</v>
      </c>
      <c r="D580" s="20" t="str">
        <f t="array" ref="D580">xlookup($A580,product!$A:$A,product!D:D)</f>
        <v>Couches adultes, incontinence</v>
      </c>
      <c r="E580" s="4" t="str">
        <f t="shared" si="1"/>
        <v>110411-Hygiène-Couches adultes, incontinence</v>
      </c>
      <c r="F580" s="4">
        <v>1.0</v>
      </c>
      <c r="G580" s="4">
        <v>933.0</v>
      </c>
      <c r="H580" s="4">
        <v>26.0</v>
      </c>
      <c r="I580" s="21">
        <f t="array" ref="I580">XLOOKUP($A580,product!A:A,product!E:E)</f>
        <v>2.32</v>
      </c>
      <c r="J580" s="4">
        <f t="shared" si="2"/>
        <v>60.32</v>
      </c>
      <c r="K580" s="22">
        <f t="shared" si="3"/>
        <v>1</v>
      </c>
      <c r="L580" s="4">
        <f t="shared" si="4"/>
        <v>1</v>
      </c>
    </row>
    <row r="581">
      <c r="A581" s="23">
        <v>86743.0</v>
      </c>
      <c r="B581" s="24" t="str">
        <f t="array" ref="B581">xlookup($A581,product!$A:$A,product!B:B)</f>
        <v>Beauté &amp; Hygiène</v>
      </c>
      <c r="C581" s="24" t="str">
        <f t="array" ref="C581">xlookup($A581,product!$A:$A,product!C:C)</f>
        <v>Hygiène</v>
      </c>
      <c r="D581" s="24" t="str">
        <f t="array" ref="D581">xlookup($A581,product!$A:$A,product!D:D)</f>
        <v>Couches adultes, incontinence</v>
      </c>
      <c r="E581" s="25" t="str">
        <f t="shared" si="1"/>
        <v>86743-Hygiène-Couches adultes, incontinence</v>
      </c>
      <c r="F581" s="25">
        <v>0.0</v>
      </c>
      <c r="G581" s="25">
        <v>78.0</v>
      </c>
      <c r="H581" s="25">
        <v>54.0</v>
      </c>
      <c r="I581" s="26">
        <f t="array" ref="I581">XLOOKUP($A581,product!A:A,product!E:E)</f>
        <v>7.17</v>
      </c>
      <c r="J581" s="25">
        <f t="shared" si="2"/>
        <v>387.18</v>
      </c>
      <c r="K581" s="27">
        <f t="shared" si="3"/>
        <v>1</v>
      </c>
      <c r="L581" s="25">
        <f t="shared" si="4"/>
        <v>1</v>
      </c>
    </row>
    <row r="582">
      <c r="A582" s="19">
        <v>86691.0</v>
      </c>
      <c r="B582" s="20" t="str">
        <f t="array" ref="B582">xlookup($A582,product!$A:$A,product!B:B)</f>
        <v>Beauté &amp; Hygiène</v>
      </c>
      <c r="C582" s="20" t="str">
        <f t="array" ref="C582">xlookup($A582,product!$A:$A,product!C:C)</f>
        <v>Hygiène</v>
      </c>
      <c r="D582" s="20" t="str">
        <f t="array" ref="D582">xlookup($A582,product!$A:$A,product!D:D)</f>
        <v>Couches adultes, incontinence</v>
      </c>
      <c r="E582" s="4" t="str">
        <f t="shared" si="1"/>
        <v>86691-Hygiène-Couches adultes, incontinence</v>
      </c>
      <c r="F582" s="4">
        <v>0.0</v>
      </c>
      <c r="G582" s="4">
        <v>487.0</v>
      </c>
      <c r="H582" s="4">
        <v>352.0</v>
      </c>
      <c r="I582" s="21">
        <f t="array" ref="I582">XLOOKUP($A582,product!A:A,product!E:E)</f>
        <v>10.29</v>
      </c>
      <c r="J582" s="4">
        <f t="shared" si="2"/>
        <v>3622.08</v>
      </c>
      <c r="K582" s="22">
        <f t="shared" si="3"/>
        <v>1</v>
      </c>
      <c r="L582" s="4">
        <f t="shared" si="4"/>
        <v>1</v>
      </c>
    </row>
    <row r="583">
      <c r="A583" s="23">
        <v>7257.0</v>
      </c>
      <c r="B583" s="24" t="str">
        <f t="array" ref="B583">xlookup($A583,product!$A:$A,product!B:B)</f>
        <v>Beauté &amp; Hygiène</v>
      </c>
      <c r="C583" s="24" t="str">
        <f t="array" ref="C583">xlookup($A583,product!$A:$A,product!C:C)</f>
        <v>Hygiène</v>
      </c>
      <c r="D583" s="24" t="str">
        <f t="array" ref="D583">xlookup($A583,product!$A:$A,product!D:D)</f>
        <v>Couches adultes, incontinence</v>
      </c>
      <c r="E583" s="25" t="str">
        <f t="shared" si="1"/>
        <v>7257-Hygiène-Couches adultes, incontinence</v>
      </c>
      <c r="F583" s="25">
        <v>0.0</v>
      </c>
      <c r="G583" s="25">
        <v>76.0</v>
      </c>
      <c r="H583" s="25">
        <v>74.0</v>
      </c>
      <c r="I583" s="26">
        <f t="array" ref="I583">XLOOKUP($A583,product!A:A,product!E:E)</f>
        <v>2.69</v>
      </c>
      <c r="J583" s="25">
        <f t="shared" si="2"/>
        <v>199.06</v>
      </c>
      <c r="K583" s="27">
        <f t="shared" si="3"/>
        <v>1</v>
      </c>
      <c r="L583" s="25">
        <f t="shared" si="4"/>
        <v>1</v>
      </c>
    </row>
    <row r="584">
      <c r="A584" s="19">
        <v>77706.0</v>
      </c>
      <c r="B584" s="20" t="str">
        <f t="array" ref="B584">xlookup($A584,product!$A:$A,product!B:B)</f>
        <v>Beauté &amp; Hygiène</v>
      </c>
      <c r="C584" s="20" t="str">
        <f t="array" ref="C584">xlookup($A584,product!$A:$A,product!C:C)</f>
        <v>Hygiène</v>
      </c>
      <c r="D584" s="20" t="str">
        <f t="array" ref="D584">xlookup($A584,product!$A:$A,product!D:D)</f>
        <v>Cotons, lingettes démaquillantes</v>
      </c>
      <c r="E584" s="4" t="str">
        <f t="shared" si="1"/>
        <v>77706-Hygiène-Cotons, lingettes démaquillantes</v>
      </c>
      <c r="F584" s="4">
        <v>0.0</v>
      </c>
      <c r="G584" s="4">
        <v>787.0</v>
      </c>
      <c r="H584" s="4">
        <v>199.0</v>
      </c>
      <c r="I584" s="21">
        <f t="array" ref="I584">XLOOKUP($A584,product!A:A,product!E:E)</f>
        <v>9.78</v>
      </c>
      <c r="J584" s="4">
        <f t="shared" si="2"/>
        <v>1946.22</v>
      </c>
      <c r="K584" s="22">
        <f t="shared" si="3"/>
        <v>1</v>
      </c>
      <c r="L584" s="4">
        <f t="shared" si="4"/>
        <v>1</v>
      </c>
    </row>
    <row r="585">
      <c r="A585" s="23">
        <v>122599.0</v>
      </c>
      <c r="B585" s="24" t="str">
        <f t="array" ref="B585">xlookup($A585,product!$A:$A,product!B:B)</f>
        <v>Beauté &amp; Hygiène</v>
      </c>
      <c r="C585" s="24" t="str">
        <f t="array" ref="C585">xlookup($A585,product!$A:$A,product!C:C)</f>
        <v>Hygiène</v>
      </c>
      <c r="D585" s="24" t="str">
        <f t="array" ref="D585">xlookup($A585,product!$A:$A,product!D:D)</f>
        <v>Cotons, lingettes démaquillantes</v>
      </c>
      <c r="E585" s="25" t="str">
        <f t="shared" si="1"/>
        <v>122599-Hygiène-Cotons, lingettes démaquillantes</v>
      </c>
      <c r="F585" s="25">
        <v>0.0</v>
      </c>
      <c r="G585" s="25">
        <v>88.0</v>
      </c>
      <c r="H585" s="25">
        <v>69.0</v>
      </c>
      <c r="I585" s="26">
        <f t="array" ref="I585">XLOOKUP($A585,product!A:A,product!E:E)</f>
        <v>5.25</v>
      </c>
      <c r="J585" s="25">
        <f t="shared" si="2"/>
        <v>362.25</v>
      </c>
      <c r="K585" s="27">
        <f t="shared" si="3"/>
        <v>1</v>
      </c>
      <c r="L585" s="25">
        <f t="shared" si="4"/>
        <v>1</v>
      </c>
    </row>
    <row r="586">
      <c r="A586" s="19">
        <v>109741.0</v>
      </c>
      <c r="B586" s="20" t="str">
        <f t="array" ref="B586">xlookup($A586,product!$A:$A,product!B:B)</f>
        <v>Beauté &amp; Hygiène</v>
      </c>
      <c r="C586" s="20" t="str">
        <f t="array" ref="C586">xlookup($A586,product!$A:$A,product!C:C)</f>
        <v>Hygiène</v>
      </c>
      <c r="D586" s="20" t="str">
        <f t="array" ref="D586">xlookup($A586,product!$A:$A,product!D:D)</f>
        <v>Cotons, lingettes démaquillantes</v>
      </c>
      <c r="E586" s="4" t="str">
        <f t="shared" si="1"/>
        <v>109741-Hygiène-Cotons, lingettes démaquillantes</v>
      </c>
      <c r="F586" s="4">
        <v>1.0</v>
      </c>
      <c r="G586" s="4">
        <v>432.0</v>
      </c>
      <c r="H586" s="4">
        <v>419.0</v>
      </c>
      <c r="I586" s="21">
        <f t="array" ref="I586">XLOOKUP($A586,product!A:A,product!E:E)</f>
        <v>7.46</v>
      </c>
      <c r="J586" s="4">
        <f t="shared" si="2"/>
        <v>3125.74</v>
      </c>
      <c r="K586" s="22">
        <f t="shared" si="3"/>
        <v>1</v>
      </c>
      <c r="L586" s="4">
        <f t="shared" si="4"/>
        <v>1</v>
      </c>
    </row>
    <row r="587">
      <c r="A587" s="23">
        <v>69064.0</v>
      </c>
      <c r="B587" s="24" t="str">
        <f t="array" ref="B587">xlookup($A587,product!$A:$A,product!B:B)</f>
        <v>Beauté &amp; Hygiène</v>
      </c>
      <c r="C587" s="24" t="str">
        <f t="array" ref="C587">xlookup($A587,product!$A:$A,product!C:C)</f>
        <v>Hygiène</v>
      </c>
      <c r="D587" s="24" t="str">
        <f t="array" ref="D587">xlookup($A587,product!$A:$A,product!D:D)</f>
        <v>Cotons, lingettes démaquillantes</v>
      </c>
      <c r="E587" s="25" t="str">
        <f t="shared" si="1"/>
        <v>69064-Hygiène-Cotons, lingettes démaquillantes</v>
      </c>
      <c r="F587" s="25">
        <v>1.0</v>
      </c>
      <c r="G587" s="25">
        <v>577.0</v>
      </c>
      <c r="H587" s="25">
        <v>565.0</v>
      </c>
      <c r="I587" s="26">
        <f t="array" ref="I587">XLOOKUP($A587,product!A:A,product!E:E)</f>
        <v>0.87</v>
      </c>
      <c r="J587" s="25">
        <f t="shared" si="2"/>
        <v>491.55</v>
      </c>
      <c r="K587" s="27">
        <f t="shared" si="3"/>
        <v>1</v>
      </c>
      <c r="L587" s="25">
        <f t="shared" si="4"/>
        <v>1</v>
      </c>
    </row>
    <row r="588">
      <c r="A588" s="19">
        <v>119447.0</v>
      </c>
      <c r="B588" s="20" t="str">
        <f t="array" ref="B588">xlookup($A588,product!$A:$A,product!B:B)</f>
        <v>Beauté &amp; Hygiène</v>
      </c>
      <c r="C588" s="20" t="str">
        <f t="array" ref="C588">xlookup($A588,product!$A:$A,product!C:C)</f>
        <v>Hygiène</v>
      </c>
      <c r="D588" s="20" t="str">
        <f t="array" ref="D588">xlookup($A588,product!$A:$A,product!D:D)</f>
        <v>Cotons, lingettes démaquillantes</v>
      </c>
      <c r="E588" s="4" t="str">
        <f t="shared" si="1"/>
        <v>119447-Hygiène-Cotons, lingettes démaquillantes</v>
      </c>
      <c r="F588" s="4">
        <v>0.0</v>
      </c>
      <c r="G588" s="4">
        <v>323.0</v>
      </c>
      <c r="H588" s="4">
        <v>10.0</v>
      </c>
      <c r="I588" s="21">
        <f t="array" ref="I588">XLOOKUP($A588,product!A:A,product!E:E)</f>
        <v>5.74</v>
      </c>
      <c r="J588" s="4">
        <f t="shared" si="2"/>
        <v>57.4</v>
      </c>
      <c r="K588" s="22">
        <f t="shared" si="3"/>
        <v>1</v>
      </c>
      <c r="L588" s="4">
        <f t="shared" si="4"/>
        <v>1</v>
      </c>
    </row>
    <row r="589">
      <c r="A589" s="23">
        <v>111730.0</v>
      </c>
      <c r="B589" s="24" t="str">
        <f t="array" ref="B589">xlookup($A589,product!$A:$A,product!B:B)</f>
        <v>Beauté &amp; Hygiène</v>
      </c>
      <c r="C589" s="24" t="str">
        <f t="array" ref="C589">xlookup($A589,product!$A:$A,product!C:C)</f>
        <v>Hygiène</v>
      </c>
      <c r="D589" s="24" t="str">
        <f t="array" ref="D589">xlookup($A589,product!$A:$A,product!D:D)</f>
        <v>Cotons, lingettes démaquillantes</v>
      </c>
      <c r="E589" s="25" t="str">
        <f t="shared" si="1"/>
        <v>111730-Hygiène-Cotons, lingettes démaquillantes</v>
      </c>
      <c r="F589" s="25">
        <v>1.0</v>
      </c>
      <c r="G589" s="25">
        <v>448.0</v>
      </c>
      <c r="H589" s="25">
        <v>416.0</v>
      </c>
      <c r="I589" s="26">
        <f t="array" ref="I589">XLOOKUP($A589,product!A:A,product!E:E)</f>
        <v>7.4</v>
      </c>
      <c r="J589" s="25">
        <f t="shared" si="2"/>
        <v>3078.4</v>
      </c>
      <c r="K589" s="27">
        <f t="shared" si="3"/>
        <v>1</v>
      </c>
      <c r="L589" s="25">
        <f t="shared" si="4"/>
        <v>1</v>
      </c>
    </row>
    <row r="590">
      <c r="A590" s="19">
        <v>100437.0</v>
      </c>
      <c r="B590" s="20" t="str">
        <f t="array" ref="B590">xlookup($A590,product!$A:$A,product!B:B)</f>
        <v>Beauté &amp; Hygiène</v>
      </c>
      <c r="C590" s="20" t="str">
        <f t="array" ref="C590">xlookup($A590,product!$A:$A,product!C:C)</f>
        <v>Hygiène</v>
      </c>
      <c r="D590" s="20" t="str">
        <f t="array" ref="D590">xlookup($A590,product!$A:$A,product!D:D)</f>
        <v>Cotons, lingettes démaquillantes</v>
      </c>
      <c r="E590" s="4" t="str">
        <f t="shared" si="1"/>
        <v>100437-Hygiène-Cotons, lingettes démaquillantes</v>
      </c>
      <c r="F590" s="4">
        <v>1.0</v>
      </c>
      <c r="G590" s="4">
        <v>244.0</v>
      </c>
      <c r="H590" s="4">
        <v>29.0</v>
      </c>
      <c r="I590" s="21">
        <f t="array" ref="I590">XLOOKUP($A590,product!A:A,product!E:E)</f>
        <v>0.99</v>
      </c>
      <c r="J590" s="4">
        <f t="shared" si="2"/>
        <v>28.71</v>
      </c>
      <c r="K590" s="22">
        <f t="shared" si="3"/>
        <v>1</v>
      </c>
      <c r="L590" s="4">
        <f t="shared" si="4"/>
        <v>1</v>
      </c>
    </row>
    <row r="591">
      <c r="A591" s="23">
        <v>92304.0</v>
      </c>
      <c r="B591" s="24" t="str">
        <f t="array" ref="B591">xlookup($A591,product!$A:$A,product!B:B)</f>
        <v>Beauté &amp; Hygiène</v>
      </c>
      <c r="C591" s="24" t="str">
        <f t="array" ref="C591">xlookup($A591,product!$A:$A,product!C:C)</f>
        <v>Hygiène</v>
      </c>
      <c r="D591" s="24" t="str">
        <f t="array" ref="D591">xlookup($A591,product!$A:$A,product!D:D)</f>
        <v>Cotons, lingettes démaquillantes</v>
      </c>
      <c r="E591" s="25" t="str">
        <f t="shared" si="1"/>
        <v>92304-Hygiène-Cotons, lingettes démaquillantes</v>
      </c>
      <c r="F591" s="25">
        <v>0.0</v>
      </c>
      <c r="G591" s="25">
        <v>898.0</v>
      </c>
      <c r="H591" s="25">
        <v>49.0</v>
      </c>
      <c r="I591" s="26">
        <f t="array" ref="I591">XLOOKUP($A591,product!A:A,product!E:E)</f>
        <v>7.92</v>
      </c>
      <c r="J591" s="25">
        <f t="shared" si="2"/>
        <v>388.08</v>
      </c>
      <c r="K591" s="27">
        <f t="shared" si="3"/>
        <v>1</v>
      </c>
      <c r="L591" s="25">
        <f t="shared" si="4"/>
        <v>1</v>
      </c>
    </row>
    <row r="592">
      <c r="A592" s="19">
        <v>103655.0</v>
      </c>
      <c r="B592" s="20" t="str">
        <f t="array" ref="B592">xlookup($A592,product!$A:$A,product!B:B)</f>
        <v>Beauté &amp; Hygiène</v>
      </c>
      <c r="C592" s="20" t="str">
        <f t="array" ref="C592">xlookup($A592,product!$A:$A,product!C:C)</f>
        <v>Hygiène</v>
      </c>
      <c r="D592" s="20" t="str">
        <f t="array" ref="D592">xlookup($A592,product!$A:$A,product!D:D)</f>
        <v>Cotons, lingettes démaquillantes</v>
      </c>
      <c r="E592" s="4" t="str">
        <f t="shared" si="1"/>
        <v>103655-Hygiène-Cotons, lingettes démaquillantes</v>
      </c>
      <c r="F592" s="4">
        <v>1.0</v>
      </c>
      <c r="G592" s="4">
        <v>70.0</v>
      </c>
      <c r="H592" s="4">
        <v>30.0</v>
      </c>
      <c r="I592" s="21">
        <f t="array" ref="I592">XLOOKUP($A592,product!A:A,product!E:E)</f>
        <v>0.73</v>
      </c>
      <c r="J592" s="4">
        <f t="shared" si="2"/>
        <v>21.9</v>
      </c>
      <c r="K592" s="22">
        <f t="shared" si="3"/>
        <v>1</v>
      </c>
      <c r="L592" s="4">
        <f t="shared" si="4"/>
        <v>1</v>
      </c>
    </row>
    <row r="593">
      <c r="A593" s="23">
        <v>103656.0</v>
      </c>
      <c r="B593" s="24" t="str">
        <f t="array" ref="B593">xlookup($A593,product!$A:$A,product!B:B)</f>
        <v>Beauté &amp; Hygiène</v>
      </c>
      <c r="C593" s="24" t="str">
        <f t="array" ref="C593">xlookup($A593,product!$A:$A,product!C:C)</f>
        <v>Hygiène</v>
      </c>
      <c r="D593" s="24" t="str">
        <f t="array" ref="D593">xlookup($A593,product!$A:$A,product!D:D)</f>
        <v>Cotons, lingettes démaquillantes</v>
      </c>
      <c r="E593" s="25" t="str">
        <f t="shared" si="1"/>
        <v>103656-Hygiène-Cotons, lingettes démaquillantes</v>
      </c>
      <c r="F593" s="25">
        <v>1.0</v>
      </c>
      <c r="G593" s="25">
        <v>938.0</v>
      </c>
      <c r="H593" s="25">
        <v>861.0</v>
      </c>
      <c r="I593" s="26">
        <f t="array" ref="I593">XLOOKUP($A593,product!A:A,product!E:E)</f>
        <v>0.7</v>
      </c>
      <c r="J593" s="25">
        <f t="shared" si="2"/>
        <v>602.7</v>
      </c>
      <c r="K593" s="27">
        <f t="shared" si="3"/>
        <v>1</v>
      </c>
      <c r="L593" s="25">
        <f t="shared" si="4"/>
        <v>1</v>
      </c>
    </row>
    <row r="594">
      <c r="A594" s="19">
        <v>103704.0</v>
      </c>
      <c r="B594" s="20" t="str">
        <f t="array" ref="B594">xlookup($A594,product!$A:$A,product!B:B)</f>
        <v>Beauté &amp; Hygiène</v>
      </c>
      <c r="C594" s="20" t="str">
        <f t="array" ref="C594">xlookup($A594,product!$A:$A,product!C:C)</f>
        <v>Hygiène</v>
      </c>
      <c r="D594" s="20" t="str">
        <f t="array" ref="D594">xlookup($A594,product!$A:$A,product!D:D)</f>
        <v>Cotons, lingettes démaquillantes</v>
      </c>
      <c r="E594" s="4" t="str">
        <f t="shared" si="1"/>
        <v>103704-Hygiène-Cotons, lingettes démaquillantes</v>
      </c>
      <c r="F594" s="4">
        <v>1.0</v>
      </c>
      <c r="G594" s="4">
        <v>452.0</v>
      </c>
      <c r="H594" s="4">
        <v>195.0</v>
      </c>
      <c r="I594" s="21">
        <f t="array" ref="I594">XLOOKUP($A594,product!A:A,product!E:E)</f>
        <v>2.47</v>
      </c>
      <c r="J594" s="4">
        <f t="shared" si="2"/>
        <v>481.65</v>
      </c>
      <c r="K594" s="22">
        <f t="shared" si="3"/>
        <v>1</v>
      </c>
      <c r="L594" s="4">
        <f t="shared" si="4"/>
        <v>1</v>
      </c>
    </row>
    <row r="595">
      <c r="A595" s="23">
        <v>46759.0</v>
      </c>
      <c r="B595" s="24" t="str">
        <f t="array" ref="B595">xlookup($A595,product!$A:$A,product!B:B)</f>
        <v>Beauté &amp; Hygiène</v>
      </c>
      <c r="C595" s="24" t="str">
        <f t="array" ref="C595">xlookup($A595,product!$A:$A,product!C:C)</f>
        <v>Hygiène</v>
      </c>
      <c r="D595" s="24" t="str">
        <f t="array" ref="D595">xlookup($A595,product!$A:$A,product!D:D)</f>
        <v>Cotons, lingettes démaquillantes</v>
      </c>
      <c r="E595" s="25" t="str">
        <f t="shared" si="1"/>
        <v>46759-Hygiène-Cotons, lingettes démaquillantes</v>
      </c>
      <c r="F595" s="25">
        <v>1.0</v>
      </c>
      <c r="G595" s="25">
        <v>913.0</v>
      </c>
      <c r="H595" s="25">
        <v>8.0</v>
      </c>
      <c r="I595" s="26">
        <f t="array" ref="I595">XLOOKUP($A595,product!A:A,product!E:E)</f>
        <v>0.99</v>
      </c>
      <c r="J595" s="25">
        <f t="shared" si="2"/>
        <v>7.92</v>
      </c>
      <c r="K595" s="27">
        <f t="shared" si="3"/>
        <v>1</v>
      </c>
      <c r="L595" s="25">
        <f t="shared" si="4"/>
        <v>1</v>
      </c>
    </row>
    <row r="596">
      <c r="A596" s="19">
        <v>113594.0</v>
      </c>
      <c r="B596" s="20" t="str">
        <f t="array" ref="B596">xlookup($A596,product!$A:$A,product!B:B)</f>
        <v>Boisson</v>
      </c>
      <c r="C596" s="20" t="str">
        <f t="array" ref="C596">xlookup($A596,product!$A:$A,product!C:C)</f>
        <v>Kombucha</v>
      </c>
      <c r="D596" s="20" t="str">
        <f t="array" ref="D596">xlookup($A596,product!$A:$A,product!D:D)</f>
        <v/>
      </c>
      <c r="E596" s="4" t="str">
        <f t="shared" si="1"/>
        <v>113594-Kombucha-</v>
      </c>
      <c r="F596" s="4">
        <v>0.0</v>
      </c>
      <c r="G596" s="4">
        <v>679.0</v>
      </c>
      <c r="H596" s="4">
        <v>100.0</v>
      </c>
      <c r="I596" s="21">
        <f t="array" ref="I596">XLOOKUP($A596,product!A:A,product!E:E)</f>
        <v>6.49</v>
      </c>
      <c r="J596" s="4">
        <f t="shared" si="2"/>
        <v>649</v>
      </c>
      <c r="K596" s="22">
        <f t="shared" si="3"/>
        <v>1</v>
      </c>
      <c r="L596" s="4">
        <f t="shared" si="4"/>
        <v>1</v>
      </c>
    </row>
    <row r="597">
      <c r="A597" s="23">
        <v>111791.0</v>
      </c>
      <c r="B597" s="24" t="str">
        <f t="array" ref="B597">xlookup($A597,product!$A:$A,product!B:B)</f>
        <v>Boisson</v>
      </c>
      <c r="C597" s="24" t="str">
        <f t="array" ref="C597">xlookup($A597,product!$A:$A,product!C:C)</f>
        <v>Kombucha</v>
      </c>
      <c r="D597" s="24" t="str">
        <f t="array" ref="D597">xlookup($A597,product!$A:$A,product!D:D)</f>
        <v/>
      </c>
      <c r="E597" s="25" t="str">
        <f t="shared" si="1"/>
        <v>111791-Kombucha-</v>
      </c>
      <c r="F597" s="25">
        <v>0.0</v>
      </c>
      <c r="G597" s="25">
        <v>82.0</v>
      </c>
      <c r="H597" s="25">
        <v>14.0</v>
      </c>
      <c r="I597" s="26">
        <f t="array" ref="I597">XLOOKUP($A597,product!A:A,product!E:E)</f>
        <v>2.13</v>
      </c>
      <c r="J597" s="25">
        <f t="shared" si="2"/>
        <v>29.82</v>
      </c>
      <c r="K597" s="27">
        <f t="shared" si="3"/>
        <v>1</v>
      </c>
      <c r="L597" s="25">
        <f t="shared" si="4"/>
        <v>1</v>
      </c>
    </row>
    <row r="598">
      <c r="A598" s="19">
        <v>44674.0</v>
      </c>
      <c r="B598" s="20" t="str">
        <f t="array" ref="B598">xlookup($A598,product!$A:$A,product!B:B)</f>
        <v>Boisson</v>
      </c>
      <c r="C598" s="20" t="str">
        <f t="array" ref="C598">xlookup($A598,product!$A:$A,product!C:C)</f>
        <v>Thé bio</v>
      </c>
      <c r="D598" s="20" t="str">
        <f t="array" ref="D598">xlookup($A598,product!$A:$A,product!D:D)</f>
        <v>Maté</v>
      </c>
      <c r="E598" s="4" t="str">
        <f t="shared" si="1"/>
        <v>44674-Thé bio-Maté</v>
      </c>
      <c r="F598" s="4">
        <v>1.0</v>
      </c>
      <c r="G598" s="4">
        <v>979.0</v>
      </c>
      <c r="H598" s="4">
        <v>316.0</v>
      </c>
      <c r="I598" s="21">
        <f t="array" ref="I598">XLOOKUP($A598,product!A:A,product!E:E)</f>
        <v>6.93</v>
      </c>
      <c r="J598" s="4">
        <f t="shared" si="2"/>
        <v>2189.88</v>
      </c>
      <c r="K598" s="22">
        <f t="shared" si="3"/>
        <v>1</v>
      </c>
      <c r="L598" s="4">
        <f t="shared" si="4"/>
        <v>1</v>
      </c>
    </row>
    <row r="599">
      <c r="A599" s="23">
        <v>48639.0</v>
      </c>
      <c r="B599" s="24" t="str">
        <f t="array" ref="B599">xlookup($A599,product!$A:$A,product!B:B)</f>
        <v>Boisson</v>
      </c>
      <c r="C599" s="24" t="str">
        <f t="array" ref="C599">xlookup($A599,product!$A:$A,product!C:C)</f>
        <v>Thé bio</v>
      </c>
      <c r="D599" s="24" t="str">
        <f t="array" ref="D599">xlookup($A599,product!$A:$A,product!D:D)</f>
        <v>Maté</v>
      </c>
      <c r="E599" s="25" t="str">
        <f t="shared" si="1"/>
        <v>48639-Thé bio-Maté</v>
      </c>
      <c r="F599" s="25">
        <v>1.0</v>
      </c>
      <c r="G599" s="25">
        <v>630.0</v>
      </c>
      <c r="H599" s="25">
        <v>9.0</v>
      </c>
      <c r="I599" s="26">
        <f t="array" ref="I599">XLOOKUP($A599,product!A:A,product!E:E)</f>
        <v>2.59</v>
      </c>
      <c r="J599" s="25">
        <f t="shared" si="2"/>
        <v>23.31</v>
      </c>
      <c r="K599" s="27">
        <f t="shared" si="3"/>
        <v>1</v>
      </c>
      <c r="L599" s="25">
        <f t="shared" si="4"/>
        <v>1</v>
      </c>
    </row>
    <row r="600">
      <c r="A600" s="19">
        <v>76559.0</v>
      </c>
      <c r="B600" s="20" t="str">
        <f t="array" ref="B600">xlookup($A600,product!$A:$A,product!B:B)</f>
        <v>Boisson</v>
      </c>
      <c r="C600" s="20" t="str">
        <f t="array" ref="C600">xlookup($A600,product!$A:$A,product!C:C)</f>
        <v>Thé bio</v>
      </c>
      <c r="D600" s="20" t="str">
        <f t="array" ref="D600">xlookup($A600,product!$A:$A,product!D:D)</f>
        <v>Maté</v>
      </c>
      <c r="E600" s="4" t="str">
        <f t="shared" si="1"/>
        <v>76559-Thé bio-Maté</v>
      </c>
      <c r="F600" s="4">
        <v>0.0</v>
      </c>
      <c r="G600" s="4">
        <v>566.0</v>
      </c>
      <c r="H600" s="4">
        <v>248.0</v>
      </c>
      <c r="I600" s="21">
        <f t="array" ref="I600">XLOOKUP($A600,product!A:A,product!E:E)</f>
        <v>2.35</v>
      </c>
      <c r="J600" s="4">
        <f t="shared" si="2"/>
        <v>582.8</v>
      </c>
      <c r="K600" s="22">
        <f t="shared" si="3"/>
        <v>1</v>
      </c>
      <c r="L600" s="4">
        <f t="shared" si="4"/>
        <v>1</v>
      </c>
    </row>
    <row r="601">
      <c r="A601" s="23">
        <v>22112.0</v>
      </c>
      <c r="B601" s="24" t="str">
        <f t="array" ref="B601">xlookup($A601,product!$A:$A,product!B:B)</f>
        <v>Boisson</v>
      </c>
      <c r="C601" s="24" t="str">
        <f t="array" ref="C601">xlookup($A601,product!$A:$A,product!C:C)</f>
        <v>Thé bio</v>
      </c>
      <c r="D601" s="24" t="str">
        <f t="array" ref="D601">xlookup($A601,product!$A:$A,product!D:D)</f>
        <v>Matcha</v>
      </c>
      <c r="E601" s="25" t="str">
        <f t="shared" si="1"/>
        <v>22112-Thé bio-Matcha</v>
      </c>
      <c r="F601" s="25">
        <v>0.0</v>
      </c>
      <c r="G601" s="25">
        <v>626.0</v>
      </c>
      <c r="H601" s="25">
        <v>284.0</v>
      </c>
      <c r="I601" s="26">
        <f t="array" ref="I601">XLOOKUP($A601,product!A:A,product!E:E)</f>
        <v>5.31</v>
      </c>
      <c r="J601" s="25">
        <f t="shared" si="2"/>
        <v>1508.04</v>
      </c>
      <c r="K601" s="27">
        <f t="shared" si="3"/>
        <v>1</v>
      </c>
      <c r="L601" s="25">
        <f t="shared" si="4"/>
        <v>1</v>
      </c>
    </row>
    <row r="602">
      <c r="A602" s="19">
        <v>84390.0</v>
      </c>
      <c r="B602" s="20" t="str">
        <f t="array" ref="B602">xlookup($A602,product!$A:$A,product!B:B)</f>
        <v>Boisson</v>
      </c>
      <c r="C602" s="20" t="str">
        <f t="array" ref="C602">xlookup($A602,product!$A:$A,product!C:C)</f>
        <v>Thé bio</v>
      </c>
      <c r="D602" s="20" t="str">
        <f t="array" ref="D602">xlookup($A602,product!$A:$A,product!D:D)</f>
        <v>Matcha</v>
      </c>
      <c r="E602" s="4" t="str">
        <f t="shared" si="1"/>
        <v>84390-Thé bio-Matcha</v>
      </c>
      <c r="F602" s="4">
        <v>0.0</v>
      </c>
      <c r="G602" s="4">
        <v>572.0</v>
      </c>
      <c r="H602" s="4">
        <v>560.0</v>
      </c>
      <c r="I602" s="21">
        <f t="array" ref="I602">XLOOKUP($A602,product!A:A,product!E:E)</f>
        <v>1.96</v>
      </c>
      <c r="J602" s="4">
        <f t="shared" si="2"/>
        <v>1097.6</v>
      </c>
      <c r="K602" s="22">
        <f t="shared" si="3"/>
        <v>1</v>
      </c>
      <c r="L602" s="4">
        <f t="shared" si="4"/>
        <v>1</v>
      </c>
    </row>
    <row r="603">
      <c r="A603" s="23">
        <v>100327.0</v>
      </c>
      <c r="B603" s="24" t="str">
        <f t="array" ref="B603">xlookup($A603,product!$A:$A,product!B:B)</f>
        <v>Boisson</v>
      </c>
      <c r="C603" s="24" t="str">
        <f t="array" ref="C603">xlookup($A603,product!$A:$A,product!C:C)</f>
        <v>Thé bio</v>
      </c>
      <c r="D603" s="24" t="str">
        <f t="array" ref="D603">xlookup($A603,product!$A:$A,product!D:D)</f>
        <v>Matcha</v>
      </c>
      <c r="E603" s="25" t="str">
        <f t="shared" si="1"/>
        <v>100327-Thé bio-Matcha</v>
      </c>
      <c r="F603" s="25">
        <v>0.0</v>
      </c>
      <c r="G603" s="25">
        <v>711.0</v>
      </c>
      <c r="H603" s="25">
        <v>560.0</v>
      </c>
      <c r="I603" s="26">
        <f t="array" ref="I603">XLOOKUP($A603,product!A:A,product!E:E)</f>
        <v>2.38</v>
      </c>
      <c r="J603" s="25">
        <f t="shared" si="2"/>
        <v>1332.8</v>
      </c>
      <c r="K603" s="27">
        <f t="shared" si="3"/>
        <v>1</v>
      </c>
      <c r="L603" s="25">
        <f t="shared" si="4"/>
        <v>1</v>
      </c>
    </row>
    <row r="604">
      <c r="A604" s="19">
        <v>81427.0</v>
      </c>
      <c r="B604" s="20" t="str">
        <f t="array" ref="B604">xlookup($A604,product!$A:$A,product!B:B)</f>
        <v>Boisson</v>
      </c>
      <c r="C604" s="20" t="str">
        <f t="array" ref="C604">xlookup($A604,product!$A:$A,product!C:C)</f>
        <v>Thé bio</v>
      </c>
      <c r="D604" s="20" t="str">
        <f t="array" ref="D604">xlookup($A604,product!$A:$A,product!D:D)</f>
        <v>Matcha</v>
      </c>
      <c r="E604" s="4" t="str">
        <f t="shared" si="1"/>
        <v>81427-Thé bio-Matcha</v>
      </c>
      <c r="F604" s="4">
        <v>0.0</v>
      </c>
      <c r="G604" s="4">
        <v>202.0</v>
      </c>
      <c r="H604" s="4">
        <v>160.0</v>
      </c>
      <c r="I604" s="21">
        <f t="array" ref="I604">XLOOKUP($A604,product!A:A,product!E:E)</f>
        <v>5.23</v>
      </c>
      <c r="J604" s="4">
        <f t="shared" si="2"/>
        <v>836.8</v>
      </c>
      <c r="K604" s="22">
        <f t="shared" si="3"/>
        <v>1</v>
      </c>
      <c r="L604" s="4">
        <f t="shared" si="4"/>
        <v>1</v>
      </c>
    </row>
    <row r="605">
      <c r="A605" s="23">
        <v>19847.0</v>
      </c>
      <c r="B605" s="24" t="str">
        <f t="array" ref="B605">xlookup($A605,product!$A:$A,product!B:B)</f>
        <v>Boisson</v>
      </c>
      <c r="C605" s="24" t="str">
        <f t="array" ref="C605">xlookup($A605,product!$A:$A,product!C:C)</f>
        <v>Thé bio</v>
      </c>
      <c r="D605" s="24" t="str">
        <f t="array" ref="D605">xlookup($A605,product!$A:$A,product!D:D)</f>
        <v>Rooïbos</v>
      </c>
      <c r="E605" s="25" t="str">
        <f t="shared" si="1"/>
        <v>19847-Thé bio-Rooïbos</v>
      </c>
      <c r="F605" s="25">
        <v>1.0</v>
      </c>
      <c r="G605" s="25">
        <v>287.0</v>
      </c>
      <c r="H605" s="25">
        <v>127.0</v>
      </c>
      <c r="I605" s="26">
        <f t="array" ref="I605">XLOOKUP($A605,product!A:A,product!E:E)</f>
        <v>1.82</v>
      </c>
      <c r="J605" s="25">
        <f t="shared" si="2"/>
        <v>231.14</v>
      </c>
      <c r="K605" s="27">
        <f t="shared" si="3"/>
        <v>1</v>
      </c>
      <c r="L605" s="25">
        <f t="shared" si="4"/>
        <v>1</v>
      </c>
    </row>
    <row r="606">
      <c r="A606" s="19">
        <v>121989.0</v>
      </c>
      <c r="B606" s="20" t="str">
        <f t="array" ref="B606">xlookup($A606,product!$A:$A,product!B:B)</f>
        <v>Boisson</v>
      </c>
      <c r="C606" s="20" t="str">
        <f t="array" ref="C606">xlookup($A606,product!$A:$A,product!C:C)</f>
        <v>Thé bio</v>
      </c>
      <c r="D606" s="20" t="str">
        <f t="array" ref="D606">xlookup($A606,product!$A:$A,product!D:D)</f>
        <v>Rooïbos</v>
      </c>
      <c r="E606" s="4" t="str">
        <f t="shared" si="1"/>
        <v>121989-Thé bio-Rooïbos</v>
      </c>
      <c r="F606" s="4">
        <v>0.0</v>
      </c>
      <c r="G606" s="4">
        <v>590.0</v>
      </c>
      <c r="H606" s="4">
        <v>393.0</v>
      </c>
      <c r="I606" s="21">
        <f t="array" ref="I606">XLOOKUP($A606,product!A:A,product!E:E)</f>
        <v>2.03</v>
      </c>
      <c r="J606" s="4">
        <f t="shared" si="2"/>
        <v>797.79</v>
      </c>
      <c r="K606" s="22">
        <f t="shared" si="3"/>
        <v>1</v>
      </c>
      <c r="L606" s="4">
        <f t="shared" si="4"/>
        <v>1</v>
      </c>
    </row>
    <row r="607">
      <c r="A607" s="23">
        <v>3431.0</v>
      </c>
      <c r="B607" s="24" t="str">
        <f t="array" ref="B607">xlookup($A607,product!$A:$A,product!B:B)</f>
        <v>Boisson</v>
      </c>
      <c r="C607" s="24" t="str">
        <f t="array" ref="C607">xlookup($A607,product!$A:$A,product!C:C)</f>
        <v>Thé bio</v>
      </c>
      <c r="D607" s="24" t="str">
        <f t="array" ref="D607">xlookup($A607,product!$A:$A,product!D:D)</f>
        <v>Rooïbos</v>
      </c>
      <c r="E607" s="25" t="str">
        <f t="shared" si="1"/>
        <v>3431-Thé bio-Rooïbos</v>
      </c>
      <c r="F607" s="25">
        <v>1.0</v>
      </c>
      <c r="G607" s="25">
        <v>849.0</v>
      </c>
      <c r="H607" s="25">
        <v>118.0</v>
      </c>
      <c r="I607" s="26">
        <f t="array" ref="I607">XLOOKUP($A607,product!A:A,product!E:E)</f>
        <v>3.35</v>
      </c>
      <c r="J607" s="25">
        <f t="shared" si="2"/>
        <v>395.3</v>
      </c>
      <c r="K607" s="27">
        <f t="shared" si="3"/>
        <v>1</v>
      </c>
      <c r="L607" s="25">
        <f t="shared" si="4"/>
        <v>1</v>
      </c>
    </row>
    <row r="608">
      <c r="A608" s="19">
        <v>68858.0</v>
      </c>
      <c r="B608" s="20" t="str">
        <f t="array" ref="B608">xlookup($A608,product!$A:$A,product!B:B)</f>
        <v>Boisson</v>
      </c>
      <c r="C608" s="20" t="str">
        <f t="array" ref="C608">xlookup($A608,product!$A:$A,product!C:C)</f>
        <v>Thé bio</v>
      </c>
      <c r="D608" s="20" t="str">
        <f t="array" ref="D608">xlookup($A608,product!$A:$A,product!D:D)</f>
        <v>Rooïbos</v>
      </c>
      <c r="E608" s="4" t="str">
        <f t="shared" si="1"/>
        <v>68858-Thé bio-Rooïbos</v>
      </c>
      <c r="F608" s="4">
        <v>0.0</v>
      </c>
      <c r="G608" s="4">
        <v>181.0</v>
      </c>
      <c r="H608" s="4">
        <v>21.0</v>
      </c>
      <c r="I608" s="21">
        <f t="array" ref="I608">XLOOKUP($A608,product!A:A,product!E:E)</f>
        <v>1.82</v>
      </c>
      <c r="J608" s="4">
        <f t="shared" si="2"/>
        <v>38.22</v>
      </c>
      <c r="K608" s="22">
        <f t="shared" si="3"/>
        <v>1</v>
      </c>
      <c r="L608" s="4">
        <f t="shared" si="4"/>
        <v>1</v>
      </c>
    </row>
    <row r="609">
      <c r="A609" s="23">
        <v>147279.0</v>
      </c>
      <c r="B609" s="24" t="str">
        <f t="array" ref="B609">xlookup($A609,product!$A:$A,product!B:B)</f>
        <v>Boisson</v>
      </c>
      <c r="C609" s="24" t="str">
        <f t="array" ref="C609">xlookup($A609,product!$A:$A,product!C:C)</f>
        <v>Thé bio</v>
      </c>
      <c r="D609" s="24" t="str">
        <f t="array" ref="D609">xlookup($A609,product!$A:$A,product!D:D)</f>
        <v>Rooïbos</v>
      </c>
      <c r="E609" s="25" t="str">
        <f t="shared" si="1"/>
        <v>147279-Thé bio-Rooïbos</v>
      </c>
      <c r="F609" s="25">
        <v>0.0</v>
      </c>
      <c r="G609" s="25">
        <v>886.0</v>
      </c>
      <c r="H609" s="25">
        <v>135.0</v>
      </c>
      <c r="I609" s="26">
        <f t="array" ref="I609">XLOOKUP($A609,product!A:A,product!E:E)</f>
        <v>2.32</v>
      </c>
      <c r="J609" s="25">
        <f t="shared" si="2"/>
        <v>313.2</v>
      </c>
      <c r="K609" s="27">
        <f t="shared" si="3"/>
        <v>1</v>
      </c>
      <c r="L609" s="25">
        <f t="shared" si="4"/>
        <v>1</v>
      </c>
    </row>
    <row r="610">
      <c r="A610" s="19">
        <v>19853.0</v>
      </c>
      <c r="B610" s="20" t="str">
        <f t="array" ref="B610">xlookup($A610,product!$A:$A,product!B:B)</f>
        <v>Boisson</v>
      </c>
      <c r="C610" s="20" t="str">
        <f t="array" ref="C610">xlookup($A610,product!$A:$A,product!C:C)</f>
        <v>Thé bio</v>
      </c>
      <c r="D610" s="20" t="str">
        <f t="array" ref="D610">xlookup($A610,product!$A:$A,product!D:D)</f>
        <v>Rooïbos</v>
      </c>
      <c r="E610" s="4" t="str">
        <f t="shared" si="1"/>
        <v>19853-Thé bio-Rooïbos</v>
      </c>
      <c r="F610" s="4">
        <v>0.0</v>
      </c>
      <c r="G610" s="4">
        <v>547.0</v>
      </c>
      <c r="H610" s="4">
        <v>409.0</v>
      </c>
      <c r="I610" s="21">
        <f t="array" ref="I610">XLOOKUP($A610,product!A:A,product!E:E)</f>
        <v>3.78</v>
      </c>
      <c r="J610" s="4">
        <f t="shared" si="2"/>
        <v>1546.02</v>
      </c>
      <c r="K610" s="22">
        <f t="shared" si="3"/>
        <v>1</v>
      </c>
      <c r="L610" s="4">
        <f t="shared" si="4"/>
        <v>1</v>
      </c>
    </row>
    <row r="611">
      <c r="A611" s="23">
        <v>84315.0</v>
      </c>
      <c r="B611" s="24" t="str">
        <f t="array" ref="B611">xlookup($A611,product!$A:$A,product!B:B)</f>
        <v>Boisson</v>
      </c>
      <c r="C611" s="24" t="str">
        <f t="array" ref="C611">xlookup($A611,product!$A:$A,product!C:C)</f>
        <v>Thé bio</v>
      </c>
      <c r="D611" s="24" t="str">
        <f t="array" ref="D611">xlookup($A611,product!$A:$A,product!D:D)</f>
        <v>Rooïbos</v>
      </c>
      <c r="E611" s="25" t="str">
        <f t="shared" si="1"/>
        <v>84315-Thé bio-Rooïbos</v>
      </c>
      <c r="F611" s="25">
        <v>0.0</v>
      </c>
      <c r="G611" s="25">
        <v>356.0</v>
      </c>
      <c r="H611" s="25">
        <v>178.0</v>
      </c>
      <c r="I611" s="26">
        <f t="array" ref="I611">XLOOKUP($A611,product!A:A,product!E:E)</f>
        <v>2.22</v>
      </c>
      <c r="J611" s="25">
        <f t="shared" si="2"/>
        <v>395.16</v>
      </c>
      <c r="K611" s="27">
        <f t="shared" si="3"/>
        <v>1</v>
      </c>
      <c r="L611" s="25">
        <f t="shared" si="4"/>
        <v>1</v>
      </c>
    </row>
    <row r="612">
      <c r="A612" s="19">
        <v>3433.0</v>
      </c>
      <c r="B612" s="20" t="str">
        <f t="array" ref="B612">xlookup($A612,product!$A:$A,product!B:B)</f>
        <v>Boisson</v>
      </c>
      <c r="C612" s="20" t="str">
        <f t="array" ref="C612">xlookup($A612,product!$A:$A,product!C:C)</f>
        <v>Thé bio</v>
      </c>
      <c r="D612" s="20" t="str">
        <f t="array" ref="D612">xlookup($A612,product!$A:$A,product!D:D)</f>
        <v>Rooïbos</v>
      </c>
      <c r="E612" s="4" t="str">
        <f t="shared" si="1"/>
        <v>3433-Thé bio-Rooïbos</v>
      </c>
      <c r="F612" s="4">
        <v>1.0</v>
      </c>
      <c r="G612" s="4">
        <v>541.0</v>
      </c>
      <c r="H612" s="4">
        <v>432.0</v>
      </c>
      <c r="I612" s="21">
        <f t="array" ref="I612">XLOOKUP($A612,product!A:A,product!E:E)</f>
        <v>3.99</v>
      </c>
      <c r="J612" s="4">
        <f t="shared" si="2"/>
        <v>1723.68</v>
      </c>
      <c r="K612" s="22">
        <f t="shared" si="3"/>
        <v>1</v>
      </c>
      <c r="L612" s="4">
        <f t="shared" si="4"/>
        <v>1</v>
      </c>
    </row>
    <row r="613">
      <c r="A613" s="23">
        <v>48640.0</v>
      </c>
      <c r="B613" s="24" t="str">
        <f t="array" ref="B613">xlookup($A613,product!$A:$A,product!B:B)</f>
        <v>Boisson</v>
      </c>
      <c r="C613" s="24" t="str">
        <f t="array" ref="C613">xlookup($A613,product!$A:$A,product!C:C)</f>
        <v>Thé bio</v>
      </c>
      <c r="D613" s="24" t="str">
        <f t="array" ref="D613">xlookup($A613,product!$A:$A,product!D:D)</f>
        <v>Rooïbos</v>
      </c>
      <c r="E613" s="25" t="str">
        <f t="shared" si="1"/>
        <v>48640-Thé bio-Rooïbos</v>
      </c>
      <c r="F613" s="25">
        <v>1.0</v>
      </c>
      <c r="G613" s="25">
        <v>908.0</v>
      </c>
      <c r="H613" s="25">
        <v>170.0</v>
      </c>
      <c r="I613" s="26">
        <f t="array" ref="I613">XLOOKUP($A613,product!A:A,product!E:E)</f>
        <v>3.5</v>
      </c>
      <c r="J613" s="25">
        <f t="shared" si="2"/>
        <v>595</v>
      </c>
      <c r="K613" s="27">
        <f t="shared" si="3"/>
        <v>1</v>
      </c>
      <c r="L613" s="25">
        <f t="shared" si="4"/>
        <v>1</v>
      </c>
    </row>
    <row r="614">
      <c r="A614" s="19">
        <v>81678.0</v>
      </c>
      <c r="B614" s="20" t="str">
        <f t="array" ref="B614">xlookup($A614,product!$A:$A,product!B:B)</f>
        <v>Boisson</v>
      </c>
      <c r="C614" s="20" t="str">
        <f t="array" ref="C614">xlookup($A614,product!$A:$A,product!C:C)</f>
        <v>Thé bio</v>
      </c>
      <c r="D614" s="20" t="str">
        <f t="array" ref="D614">xlookup($A614,product!$A:$A,product!D:D)</f>
        <v>Thé noir</v>
      </c>
      <c r="E614" s="4" t="str">
        <f t="shared" si="1"/>
        <v>81678-Thé bio-Thé noir</v>
      </c>
      <c r="F614" s="4">
        <v>0.0</v>
      </c>
      <c r="G614" s="4">
        <v>34.0</v>
      </c>
      <c r="H614" s="4">
        <v>27.0</v>
      </c>
      <c r="I614" s="21">
        <f t="array" ref="I614">XLOOKUP($A614,product!A:A,product!E:E)</f>
        <v>8.01</v>
      </c>
      <c r="J614" s="4">
        <f t="shared" si="2"/>
        <v>216.27</v>
      </c>
      <c r="K614" s="22">
        <f t="shared" si="3"/>
        <v>1</v>
      </c>
      <c r="L614" s="4">
        <f t="shared" si="4"/>
        <v>1</v>
      </c>
    </row>
    <row r="615">
      <c r="A615" s="23">
        <v>117528.0</v>
      </c>
      <c r="B615" s="24" t="str">
        <f t="array" ref="B615">xlookup($A615,product!$A:$A,product!B:B)</f>
        <v>Boisson</v>
      </c>
      <c r="C615" s="24" t="str">
        <f t="array" ref="C615">xlookup($A615,product!$A:$A,product!C:C)</f>
        <v>Thé bio</v>
      </c>
      <c r="D615" s="24" t="str">
        <f t="array" ref="D615">xlookup($A615,product!$A:$A,product!D:D)</f>
        <v>Thé noir</v>
      </c>
      <c r="E615" s="25" t="str">
        <f t="shared" si="1"/>
        <v>117528-Thé bio-Thé noir</v>
      </c>
      <c r="F615" s="25">
        <v>1.0</v>
      </c>
      <c r="G615" s="25">
        <v>97.0</v>
      </c>
      <c r="H615" s="25">
        <v>67.0</v>
      </c>
      <c r="I615" s="26">
        <f t="array" ref="I615">XLOOKUP($A615,product!A:A,product!E:E)</f>
        <v>1.74</v>
      </c>
      <c r="J615" s="25">
        <f t="shared" si="2"/>
        <v>116.58</v>
      </c>
      <c r="K615" s="27">
        <f t="shared" si="3"/>
        <v>1</v>
      </c>
      <c r="L615" s="25">
        <f t="shared" si="4"/>
        <v>1</v>
      </c>
    </row>
    <row r="616">
      <c r="A616" s="19">
        <v>84324.0</v>
      </c>
      <c r="B616" s="20" t="str">
        <f t="array" ref="B616">xlookup($A616,product!$A:$A,product!B:B)</f>
        <v>Boisson</v>
      </c>
      <c r="C616" s="20" t="str">
        <f t="array" ref="C616">xlookup($A616,product!$A:$A,product!C:C)</f>
        <v>Thé bio</v>
      </c>
      <c r="D616" s="20" t="str">
        <f t="array" ref="D616">xlookup($A616,product!$A:$A,product!D:D)</f>
        <v>Thé noir</v>
      </c>
      <c r="E616" s="4" t="str">
        <f t="shared" si="1"/>
        <v>84324-Thé bio-Thé noir</v>
      </c>
      <c r="F616" s="4">
        <v>0.0</v>
      </c>
      <c r="G616" s="4">
        <v>916.0</v>
      </c>
      <c r="H616" s="4">
        <v>502.0</v>
      </c>
      <c r="I616" s="21">
        <f t="array" ref="I616">XLOOKUP($A616,product!A:A,product!E:E)</f>
        <v>2.22</v>
      </c>
      <c r="J616" s="4">
        <f t="shared" si="2"/>
        <v>1114.44</v>
      </c>
      <c r="K616" s="22">
        <f t="shared" si="3"/>
        <v>1</v>
      </c>
      <c r="L616" s="4">
        <f t="shared" si="4"/>
        <v>1</v>
      </c>
    </row>
    <row r="617">
      <c r="A617" s="23">
        <v>3420.0</v>
      </c>
      <c r="B617" s="24" t="str">
        <f t="array" ref="B617">xlookup($A617,product!$A:$A,product!B:B)</f>
        <v>Boisson</v>
      </c>
      <c r="C617" s="24" t="str">
        <f t="array" ref="C617">xlookup($A617,product!$A:$A,product!C:C)</f>
        <v>Thé bio</v>
      </c>
      <c r="D617" s="24" t="str">
        <f t="array" ref="D617">xlookup($A617,product!$A:$A,product!D:D)</f>
        <v>Thé noir</v>
      </c>
      <c r="E617" s="25" t="str">
        <f t="shared" si="1"/>
        <v>3420-Thé bio-Thé noir</v>
      </c>
      <c r="F617" s="25">
        <v>1.0</v>
      </c>
      <c r="G617" s="25">
        <v>284.0</v>
      </c>
      <c r="H617" s="25">
        <v>93.0</v>
      </c>
      <c r="I617" s="26">
        <f t="array" ref="I617">XLOOKUP($A617,product!A:A,product!E:E)</f>
        <v>4.61</v>
      </c>
      <c r="J617" s="25">
        <f t="shared" si="2"/>
        <v>428.73</v>
      </c>
      <c r="K617" s="27">
        <f t="shared" si="3"/>
        <v>1</v>
      </c>
      <c r="L617" s="25">
        <f t="shared" si="4"/>
        <v>1</v>
      </c>
    </row>
    <row r="618">
      <c r="A618" s="19">
        <v>19837.0</v>
      </c>
      <c r="B618" s="20" t="str">
        <f t="array" ref="B618">xlookup($A618,product!$A:$A,product!B:B)</f>
        <v>Boisson</v>
      </c>
      <c r="C618" s="20" t="str">
        <f t="array" ref="C618">xlookup($A618,product!$A:$A,product!C:C)</f>
        <v>Thé bio</v>
      </c>
      <c r="D618" s="20" t="str">
        <f t="array" ref="D618">xlookup($A618,product!$A:$A,product!D:D)</f>
        <v>Thé noir</v>
      </c>
      <c r="E618" s="4" t="str">
        <f t="shared" si="1"/>
        <v>19837-Thé bio-Thé noir</v>
      </c>
      <c r="F618" s="4">
        <v>1.0</v>
      </c>
      <c r="G618" s="4">
        <v>393.0</v>
      </c>
      <c r="H618" s="4">
        <v>158.0</v>
      </c>
      <c r="I618" s="21">
        <f t="array" ref="I618">XLOOKUP($A618,product!A:A,product!E:E)</f>
        <v>3.52</v>
      </c>
      <c r="J618" s="4">
        <f t="shared" si="2"/>
        <v>556.16</v>
      </c>
      <c r="K618" s="22">
        <f t="shared" si="3"/>
        <v>1</v>
      </c>
      <c r="L618" s="4">
        <f t="shared" si="4"/>
        <v>1</v>
      </c>
    </row>
    <row r="619">
      <c r="A619" s="23">
        <v>19835.0</v>
      </c>
      <c r="B619" s="24" t="str">
        <f t="array" ref="B619">xlookup($A619,product!$A:$A,product!B:B)</f>
        <v>Boisson</v>
      </c>
      <c r="C619" s="24" t="str">
        <f t="array" ref="C619">xlookup($A619,product!$A:$A,product!C:C)</f>
        <v>Thé bio</v>
      </c>
      <c r="D619" s="24" t="str">
        <f t="array" ref="D619">xlookup($A619,product!$A:$A,product!D:D)</f>
        <v>Thé noir</v>
      </c>
      <c r="E619" s="25" t="str">
        <f t="shared" si="1"/>
        <v>19835-Thé bio-Thé noir</v>
      </c>
      <c r="F619" s="25">
        <v>1.0</v>
      </c>
      <c r="G619" s="25">
        <v>553.0</v>
      </c>
      <c r="H619" s="25">
        <v>538.0</v>
      </c>
      <c r="I619" s="26">
        <f t="array" ref="I619">XLOOKUP($A619,product!A:A,product!E:E)</f>
        <v>2.44</v>
      </c>
      <c r="J619" s="25">
        <f t="shared" si="2"/>
        <v>1312.72</v>
      </c>
      <c r="K619" s="27">
        <f t="shared" si="3"/>
        <v>1</v>
      </c>
      <c r="L619" s="25">
        <f t="shared" si="4"/>
        <v>1</v>
      </c>
    </row>
    <row r="620">
      <c r="A620" s="19">
        <v>69109.0</v>
      </c>
      <c r="B620" s="20" t="str">
        <f t="array" ref="B620">xlookup($A620,product!$A:$A,product!B:B)</f>
        <v>Boisson</v>
      </c>
      <c r="C620" s="20" t="str">
        <f t="array" ref="C620">xlookup($A620,product!$A:$A,product!C:C)</f>
        <v>Thé bio</v>
      </c>
      <c r="D620" s="20" t="str">
        <f t="array" ref="D620">xlookup($A620,product!$A:$A,product!D:D)</f>
        <v>Thé noir</v>
      </c>
      <c r="E620" s="4" t="str">
        <f t="shared" si="1"/>
        <v>69109-Thé bio-Thé noir</v>
      </c>
      <c r="F620" s="4">
        <v>0.0</v>
      </c>
      <c r="G620" s="4">
        <v>169.0</v>
      </c>
      <c r="H620" s="4">
        <v>46.0</v>
      </c>
      <c r="I620" s="21">
        <f t="array" ref="I620">XLOOKUP($A620,product!A:A,product!E:E)</f>
        <v>2.03</v>
      </c>
      <c r="J620" s="4">
        <f t="shared" si="2"/>
        <v>93.38</v>
      </c>
      <c r="K620" s="22">
        <f t="shared" si="3"/>
        <v>1</v>
      </c>
      <c r="L620" s="4">
        <f t="shared" si="4"/>
        <v>1</v>
      </c>
    </row>
    <row r="621">
      <c r="A621" s="23">
        <v>104387.0</v>
      </c>
      <c r="B621" s="24" t="str">
        <f t="array" ref="B621">xlookup($A621,product!$A:$A,product!B:B)</f>
        <v>Boisson</v>
      </c>
      <c r="C621" s="24" t="str">
        <f t="array" ref="C621">xlookup($A621,product!$A:$A,product!C:C)</f>
        <v>Thé bio</v>
      </c>
      <c r="D621" s="24" t="str">
        <f t="array" ref="D621">xlookup($A621,product!$A:$A,product!D:D)</f>
        <v>Thé noir</v>
      </c>
      <c r="E621" s="25" t="str">
        <f t="shared" si="1"/>
        <v>104387-Thé bio-Thé noir</v>
      </c>
      <c r="F621" s="25">
        <v>0.0</v>
      </c>
      <c r="G621" s="25">
        <v>455.0</v>
      </c>
      <c r="H621" s="25">
        <v>236.0</v>
      </c>
      <c r="I621" s="26">
        <f t="array" ref="I621">XLOOKUP($A621,product!A:A,product!E:E)</f>
        <v>27.5</v>
      </c>
      <c r="J621" s="25">
        <f t="shared" si="2"/>
        <v>6490</v>
      </c>
      <c r="K621" s="27">
        <f t="shared" si="3"/>
        <v>1</v>
      </c>
      <c r="L621" s="25">
        <f t="shared" si="4"/>
        <v>1</v>
      </c>
    </row>
    <row r="622">
      <c r="A622" s="19">
        <v>19843.0</v>
      </c>
      <c r="B622" s="20" t="str">
        <f t="array" ref="B622">xlookup($A622,product!$A:$A,product!B:B)</f>
        <v>Boisson</v>
      </c>
      <c r="C622" s="20" t="str">
        <f t="array" ref="C622">xlookup($A622,product!$A:$A,product!C:C)</f>
        <v>Thé bio</v>
      </c>
      <c r="D622" s="20" t="str">
        <f t="array" ref="D622">xlookup($A622,product!$A:$A,product!D:D)</f>
        <v>Thé noir</v>
      </c>
      <c r="E622" s="4" t="str">
        <f t="shared" si="1"/>
        <v>19843-Thé bio-Thé noir</v>
      </c>
      <c r="F622" s="4">
        <v>0.0</v>
      </c>
      <c r="G622" s="4">
        <v>549.0</v>
      </c>
      <c r="H622" s="4">
        <v>506.0</v>
      </c>
      <c r="I622" s="21">
        <f t="array" ref="I622">XLOOKUP($A622,product!A:A,product!E:E)</f>
        <v>3.34</v>
      </c>
      <c r="J622" s="4">
        <f t="shared" si="2"/>
        <v>1690.04</v>
      </c>
      <c r="K622" s="22">
        <f t="shared" si="3"/>
        <v>1</v>
      </c>
      <c r="L622" s="4">
        <f t="shared" si="4"/>
        <v>1</v>
      </c>
    </row>
    <row r="623">
      <c r="A623" s="23">
        <v>117523.0</v>
      </c>
      <c r="B623" s="24" t="str">
        <f t="array" ref="B623">xlookup($A623,product!$A:$A,product!B:B)</f>
        <v>Boisson</v>
      </c>
      <c r="C623" s="24" t="str">
        <f t="array" ref="C623">xlookup($A623,product!$A:$A,product!C:C)</f>
        <v>Thé bio</v>
      </c>
      <c r="D623" s="24" t="str">
        <f t="array" ref="D623">xlookup($A623,product!$A:$A,product!D:D)</f>
        <v>Thé noir</v>
      </c>
      <c r="E623" s="25" t="str">
        <f t="shared" si="1"/>
        <v>117523-Thé bio-Thé noir</v>
      </c>
      <c r="F623" s="25">
        <v>1.0</v>
      </c>
      <c r="G623" s="25">
        <v>94.0</v>
      </c>
      <c r="H623" s="25">
        <v>56.0</v>
      </c>
      <c r="I623" s="26">
        <f t="array" ref="I623">XLOOKUP($A623,product!A:A,product!E:E)</f>
        <v>1.47</v>
      </c>
      <c r="J623" s="25">
        <f t="shared" si="2"/>
        <v>82.32</v>
      </c>
      <c r="K623" s="27">
        <f t="shared" si="3"/>
        <v>1</v>
      </c>
      <c r="L623" s="25">
        <f t="shared" si="4"/>
        <v>1</v>
      </c>
    </row>
    <row r="624">
      <c r="A624" s="19">
        <v>121981.0</v>
      </c>
      <c r="B624" s="20" t="str">
        <f t="array" ref="B624">xlookup($A624,product!$A:$A,product!B:B)</f>
        <v>Boisson</v>
      </c>
      <c r="C624" s="20" t="str">
        <f t="array" ref="C624">xlookup($A624,product!$A:$A,product!C:C)</f>
        <v>Thé bio</v>
      </c>
      <c r="D624" s="20" t="str">
        <f t="array" ref="D624">xlookup($A624,product!$A:$A,product!D:D)</f>
        <v>Thé noir</v>
      </c>
      <c r="E624" s="4" t="str">
        <f t="shared" si="1"/>
        <v>121981-Thé bio-Thé noir</v>
      </c>
      <c r="F624" s="4">
        <v>1.0</v>
      </c>
      <c r="G624" s="4">
        <v>264.0</v>
      </c>
      <c r="H624" s="4">
        <v>153.0</v>
      </c>
      <c r="I624" s="21">
        <f t="array" ref="I624">XLOOKUP($A624,product!A:A,product!E:E)</f>
        <v>2.03</v>
      </c>
      <c r="J624" s="4">
        <f t="shared" si="2"/>
        <v>310.59</v>
      </c>
      <c r="K624" s="22">
        <f t="shared" si="3"/>
        <v>1</v>
      </c>
      <c r="L624" s="4">
        <f t="shared" si="4"/>
        <v>1</v>
      </c>
    </row>
    <row r="625">
      <c r="A625" s="23">
        <v>121993.0</v>
      </c>
      <c r="B625" s="24" t="str">
        <f t="array" ref="B625">xlookup($A625,product!$A:$A,product!B:B)</f>
        <v>Boisson</v>
      </c>
      <c r="C625" s="24" t="str">
        <f t="array" ref="C625">xlookup($A625,product!$A:$A,product!C:C)</f>
        <v>Thé bio</v>
      </c>
      <c r="D625" s="24" t="str">
        <f t="array" ref="D625">xlookup($A625,product!$A:$A,product!D:D)</f>
        <v>Thé blanc</v>
      </c>
      <c r="E625" s="25" t="str">
        <f t="shared" si="1"/>
        <v>121993-Thé bio-Thé blanc</v>
      </c>
      <c r="F625" s="25">
        <v>0.0</v>
      </c>
      <c r="G625" s="25">
        <v>256.0</v>
      </c>
      <c r="H625" s="25">
        <v>211.0</v>
      </c>
      <c r="I625" s="26">
        <f t="array" ref="I625">XLOOKUP($A625,product!A:A,product!E:E)</f>
        <v>2.03</v>
      </c>
      <c r="J625" s="25">
        <f t="shared" si="2"/>
        <v>428.33</v>
      </c>
      <c r="K625" s="27">
        <f t="shared" si="3"/>
        <v>1</v>
      </c>
      <c r="L625" s="25">
        <f t="shared" si="4"/>
        <v>1</v>
      </c>
    </row>
    <row r="626">
      <c r="A626" s="19">
        <v>81389.0</v>
      </c>
      <c r="B626" s="20" t="str">
        <f t="array" ref="B626">xlookup($A626,product!$A:$A,product!B:B)</f>
        <v>Boisson</v>
      </c>
      <c r="C626" s="20" t="str">
        <f t="array" ref="C626">xlookup($A626,product!$A:$A,product!C:C)</f>
        <v>Thé bio</v>
      </c>
      <c r="D626" s="20" t="str">
        <f t="array" ref="D626">xlookup($A626,product!$A:$A,product!D:D)</f>
        <v>Thé blanc</v>
      </c>
      <c r="E626" s="4" t="str">
        <f t="shared" si="1"/>
        <v>81389-Thé bio-Thé blanc</v>
      </c>
      <c r="F626" s="4">
        <v>1.0</v>
      </c>
      <c r="G626" s="4">
        <v>704.0</v>
      </c>
      <c r="H626" s="4">
        <v>493.0</v>
      </c>
      <c r="I626" s="21">
        <f t="array" ref="I626">XLOOKUP($A626,product!A:A,product!E:E)</f>
        <v>1.92</v>
      </c>
      <c r="J626" s="4">
        <f t="shared" si="2"/>
        <v>946.56</v>
      </c>
      <c r="K626" s="22">
        <f t="shared" si="3"/>
        <v>1</v>
      </c>
      <c r="L626" s="4">
        <f t="shared" si="4"/>
        <v>1</v>
      </c>
    </row>
    <row r="627">
      <c r="A627" s="23">
        <v>99473.0</v>
      </c>
      <c r="B627" s="24" t="str">
        <f t="array" ref="B627">xlookup($A627,product!$A:$A,product!B:B)</f>
        <v>Boisson</v>
      </c>
      <c r="C627" s="24" t="str">
        <f t="array" ref="C627">xlookup($A627,product!$A:$A,product!C:C)</f>
        <v>Thé bio</v>
      </c>
      <c r="D627" s="24" t="str">
        <f t="array" ref="D627">xlookup($A627,product!$A:$A,product!D:D)</f>
        <v>Thé blanc</v>
      </c>
      <c r="E627" s="25" t="str">
        <f t="shared" si="1"/>
        <v>99473-Thé bio-Thé blanc</v>
      </c>
      <c r="F627" s="25">
        <v>0.0</v>
      </c>
      <c r="G627" s="25">
        <v>847.0</v>
      </c>
      <c r="H627" s="25">
        <v>705.0</v>
      </c>
      <c r="I627" s="26">
        <f t="array" ref="I627">XLOOKUP($A627,product!A:A,product!E:E)</f>
        <v>2.22</v>
      </c>
      <c r="J627" s="25">
        <f t="shared" si="2"/>
        <v>1565.1</v>
      </c>
      <c r="K627" s="27">
        <f t="shared" si="3"/>
        <v>1</v>
      </c>
      <c r="L627" s="25">
        <f t="shared" si="4"/>
        <v>1</v>
      </c>
    </row>
    <row r="628">
      <c r="A628" s="19">
        <v>81393.0</v>
      </c>
      <c r="B628" s="20" t="str">
        <f t="array" ref="B628">xlookup($A628,product!$A:$A,product!B:B)</f>
        <v>Boisson</v>
      </c>
      <c r="C628" s="20" t="str">
        <f t="array" ref="C628">xlookup($A628,product!$A:$A,product!C:C)</f>
        <v>Thé bio</v>
      </c>
      <c r="D628" s="20" t="str">
        <f t="array" ref="D628">xlookup($A628,product!$A:$A,product!D:D)</f>
        <v>Thé blanc</v>
      </c>
      <c r="E628" s="4" t="str">
        <f t="shared" si="1"/>
        <v>81393-Thé bio-Thé blanc</v>
      </c>
      <c r="F628" s="4">
        <v>0.0</v>
      </c>
      <c r="G628" s="4">
        <v>915.0</v>
      </c>
      <c r="H628" s="4">
        <v>547.0</v>
      </c>
      <c r="I628" s="21">
        <f t="array" ref="I628">XLOOKUP($A628,product!A:A,product!E:E)</f>
        <v>2.46</v>
      </c>
      <c r="J628" s="4">
        <f t="shared" si="2"/>
        <v>1345.62</v>
      </c>
      <c r="K628" s="22">
        <f t="shared" si="3"/>
        <v>1</v>
      </c>
      <c r="L628" s="4">
        <f t="shared" si="4"/>
        <v>1</v>
      </c>
    </row>
    <row r="629">
      <c r="A629" s="23">
        <v>104364.0</v>
      </c>
      <c r="B629" s="24" t="str">
        <f t="array" ref="B629">xlookup($A629,product!$A:$A,product!B:B)</f>
        <v>Boisson</v>
      </c>
      <c r="C629" s="24" t="str">
        <f t="array" ref="C629">xlookup($A629,product!$A:$A,product!C:C)</f>
        <v>Thé bio</v>
      </c>
      <c r="D629" s="24" t="str">
        <f t="array" ref="D629">xlookup($A629,product!$A:$A,product!D:D)</f>
        <v>Thé blanc</v>
      </c>
      <c r="E629" s="25" t="str">
        <f t="shared" si="1"/>
        <v>104364-Thé bio-Thé blanc</v>
      </c>
      <c r="F629" s="25">
        <v>0.0</v>
      </c>
      <c r="G629" s="25">
        <v>141.0</v>
      </c>
      <c r="H629" s="25">
        <v>141.0</v>
      </c>
      <c r="I629" s="26">
        <f t="array" ref="I629">XLOOKUP($A629,product!A:A,product!E:E)</f>
        <v>2.01</v>
      </c>
      <c r="J629" s="25">
        <f t="shared" si="2"/>
        <v>283.41</v>
      </c>
      <c r="K629" s="27">
        <f t="shared" si="3"/>
        <v>1</v>
      </c>
      <c r="L629" s="25">
        <f t="shared" si="4"/>
        <v>1</v>
      </c>
    </row>
    <row r="630">
      <c r="A630" s="19">
        <v>76602.0</v>
      </c>
      <c r="B630" s="20" t="str">
        <f t="array" ref="B630">xlookup($A630,product!$A:$A,product!B:B)</f>
        <v>Boisson</v>
      </c>
      <c r="C630" s="20" t="str">
        <f t="array" ref="C630">xlookup($A630,product!$A:$A,product!C:C)</f>
        <v>Thé bio</v>
      </c>
      <c r="D630" s="20" t="str">
        <f t="array" ref="D630">xlookup($A630,product!$A:$A,product!D:D)</f>
        <v>Coffrets de thé</v>
      </c>
      <c r="E630" s="4" t="str">
        <f t="shared" si="1"/>
        <v>76602-Thé bio-Coffrets de thé</v>
      </c>
      <c r="F630" s="4">
        <v>0.0</v>
      </c>
      <c r="G630" s="4">
        <v>465.0</v>
      </c>
      <c r="H630" s="4">
        <v>189.0</v>
      </c>
      <c r="I630" s="21">
        <f t="array" ref="I630">XLOOKUP($A630,product!A:A,product!E:E)</f>
        <v>2.03</v>
      </c>
      <c r="J630" s="4">
        <f t="shared" si="2"/>
        <v>383.67</v>
      </c>
      <c r="K630" s="22">
        <f t="shared" si="3"/>
        <v>1</v>
      </c>
      <c r="L630" s="4">
        <f t="shared" si="4"/>
        <v>1</v>
      </c>
    </row>
    <row r="631">
      <c r="A631" s="23">
        <v>119824.0</v>
      </c>
      <c r="B631" s="24" t="str">
        <f t="array" ref="B631">xlookup($A631,product!$A:$A,product!B:B)</f>
        <v>Boisson</v>
      </c>
      <c r="C631" s="24" t="str">
        <f t="array" ref="C631">xlookup($A631,product!$A:$A,product!C:C)</f>
        <v>Thé bio</v>
      </c>
      <c r="D631" s="24" t="str">
        <f t="array" ref="D631">xlookup($A631,product!$A:$A,product!D:D)</f>
        <v>Coffrets de thé</v>
      </c>
      <c r="E631" s="25" t="str">
        <f t="shared" si="1"/>
        <v>119824-Thé bio-Coffrets de thé</v>
      </c>
      <c r="F631" s="25">
        <v>1.0</v>
      </c>
      <c r="G631" s="25">
        <v>406.0</v>
      </c>
      <c r="H631" s="25">
        <v>88.0</v>
      </c>
      <c r="I631" s="26">
        <f t="array" ref="I631">XLOOKUP($A631,product!A:A,product!E:E)</f>
        <v>9.15</v>
      </c>
      <c r="J631" s="25">
        <f t="shared" si="2"/>
        <v>805.2</v>
      </c>
      <c r="K631" s="27">
        <f t="shared" si="3"/>
        <v>1</v>
      </c>
      <c r="L631" s="25">
        <f t="shared" si="4"/>
        <v>1</v>
      </c>
    </row>
    <row r="632">
      <c r="A632" s="19">
        <v>112618.0</v>
      </c>
      <c r="B632" s="20" t="str">
        <f t="array" ref="B632">xlookup($A632,product!$A:$A,product!B:B)</f>
        <v>Boisson</v>
      </c>
      <c r="C632" s="20" t="str">
        <f t="array" ref="C632">xlookup($A632,product!$A:$A,product!C:C)</f>
        <v>Thé bio</v>
      </c>
      <c r="D632" s="20" t="str">
        <f t="array" ref="D632">xlookup($A632,product!$A:$A,product!D:D)</f>
        <v>Coffrets de thé</v>
      </c>
      <c r="E632" s="4" t="str">
        <f t="shared" si="1"/>
        <v>112618-Thé bio-Coffrets de thé</v>
      </c>
      <c r="F632" s="4">
        <v>0.0</v>
      </c>
      <c r="G632" s="4">
        <v>465.0</v>
      </c>
      <c r="H632" s="4">
        <v>67.0</v>
      </c>
      <c r="I632" s="21">
        <f t="array" ref="I632">XLOOKUP($A632,product!A:A,product!E:E)</f>
        <v>2.64</v>
      </c>
      <c r="J632" s="4">
        <f t="shared" si="2"/>
        <v>176.88</v>
      </c>
      <c r="K632" s="22">
        <f t="shared" si="3"/>
        <v>1</v>
      </c>
      <c r="L632" s="4">
        <f t="shared" si="4"/>
        <v>1</v>
      </c>
    </row>
    <row r="633">
      <c r="A633" s="23">
        <v>112617.0</v>
      </c>
      <c r="B633" s="24" t="str">
        <f t="array" ref="B633">xlookup($A633,product!$A:$A,product!B:B)</f>
        <v>Boisson</v>
      </c>
      <c r="C633" s="24" t="str">
        <f t="array" ref="C633">xlookup($A633,product!$A:$A,product!C:C)</f>
        <v>Thé bio</v>
      </c>
      <c r="D633" s="24" t="str">
        <f t="array" ref="D633">xlookup($A633,product!$A:$A,product!D:D)</f>
        <v>Coffrets de thé</v>
      </c>
      <c r="E633" s="25" t="str">
        <f t="shared" si="1"/>
        <v>112617-Thé bio-Coffrets de thé</v>
      </c>
      <c r="F633" s="25">
        <v>1.0</v>
      </c>
      <c r="G633" s="25">
        <v>382.0</v>
      </c>
      <c r="H633" s="25">
        <v>29.0</v>
      </c>
      <c r="I633" s="26">
        <f t="array" ref="I633">XLOOKUP($A633,product!A:A,product!E:E)</f>
        <v>2.64</v>
      </c>
      <c r="J633" s="25">
        <f t="shared" si="2"/>
        <v>76.56</v>
      </c>
      <c r="K633" s="27">
        <f t="shared" si="3"/>
        <v>1</v>
      </c>
      <c r="L633" s="25">
        <f t="shared" si="4"/>
        <v>1</v>
      </c>
    </row>
    <row r="634">
      <c r="A634" s="19">
        <v>113963.0</v>
      </c>
      <c r="B634" s="20" t="str">
        <f t="array" ref="B634">xlookup($A634,product!$A:$A,product!B:B)</f>
        <v>Boisson</v>
      </c>
      <c r="C634" s="20" t="str">
        <f t="array" ref="C634">xlookup($A634,product!$A:$A,product!C:C)</f>
        <v>Thé bio</v>
      </c>
      <c r="D634" s="20" t="str">
        <f t="array" ref="D634">xlookup($A634,product!$A:$A,product!D:D)</f>
        <v>Coffrets de thé</v>
      </c>
      <c r="E634" s="4" t="str">
        <f t="shared" si="1"/>
        <v>113963-Thé bio-Coffrets de thé</v>
      </c>
      <c r="F634" s="4">
        <v>0.0</v>
      </c>
      <c r="G634" s="4">
        <v>547.0</v>
      </c>
      <c r="H634" s="4">
        <v>87.0</v>
      </c>
      <c r="I634" s="21">
        <f t="array" ref="I634">XLOOKUP($A634,product!A:A,product!E:E)</f>
        <v>11.32</v>
      </c>
      <c r="J634" s="4">
        <f t="shared" si="2"/>
        <v>984.84</v>
      </c>
      <c r="K634" s="22">
        <f t="shared" si="3"/>
        <v>1</v>
      </c>
      <c r="L634" s="4">
        <f t="shared" si="4"/>
        <v>1</v>
      </c>
    </row>
    <row r="635">
      <c r="A635" s="23">
        <v>104359.0</v>
      </c>
      <c r="B635" s="24" t="str">
        <f t="array" ref="B635">xlookup($A635,product!$A:$A,product!B:B)</f>
        <v>Boisson</v>
      </c>
      <c r="C635" s="24" t="str">
        <f t="array" ref="C635">xlookup($A635,product!$A:$A,product!C:C)</f>
        <v>Thé bio</v>
      </c>
      <c r="D635" s="24" t="str">
        <f t="array" ref="D635">xlookup($A635,product!$A:$A,product!D:D)</f>
        <v>Thé vert nature</v>
      </c>
      <c r="E635" s="25" t="str">
        <f t="shared" si="1"/>
        <v>104359-Thé bio-Thé vert nature</v>
      </c>
      <c r="F635" s="25">
        <v>0.0</v>
      </c>
      <c r="G635" s="25">
        <v>790.0</v>
      </c>
      <c r="H635" s="25">
        <v>635.0</v>
      </c>
      <c r="I635" s="26">
        <f t="array" ref="I635">XLOOKUP($A635,product!A:A,product!E:E)</f>
        <v>6.97</v>
      </c>
      <c r="J635" s="25">
        <f t="shared" si="2"/>
        <v>4425.95</v>
      </c>
      <c r="K635" s="27">
        <f t="shared" si="3"/>
        <v>1</v>
      </c>
      <c r="L635" s="25">
        <f t="shared" si="4"/>
        <v>1</v>
      </c>
    </row>
    <row r="636">
      <c r="A636" s="19">
        <v>81675.0</v>
      </c>
      <c r="B636" s="20" t="str">
        <f t="array" ref="B636">xlookup($A636,product!$A:$A,product!B:B)</f>
        <v>Boisson</v>
      </c>
      <c r="C636" s="20" t="str">
        <f t="array" ref="C636">xlookup($A636,product!$A:$A,product!C:C)</f>
        <v>Thé bio</v>
      </c>
      <c r="D636" s="20" t="str">
        <f t="array" ref="D636">xlookup($A636,product!$A:$A,product!D:D)</f>
        <v>Thé vert nature</v>
      </c>
      <c r="E636" s="4" t="str">
        <f t="shared" si="1"/>
        <v>81675-Thé bio-Thé vert nature</v>
      </c>
      <c r="F636" s="4">
        <v>1.0</v>
      </c>
      <c r="G636" s="4">
        <v>575.0</v>
      </c>
      <c r="H636" s="4">
        <v>3.0</v>
      </c>
      <c r="I636" s="21">
        <f t="array" ref="I636">XLOOKUP($A636,product!A:A,product!E:E)</f>
        <v>3.25</v>
      </c>
      <c r="J636" s="4">
        <f t="shared" si="2"/>
        <v>9.75</v>
      </c>
      <c r="K636" s="22">
        <f t="shared" si="3"/>
        <v>1</v>
      </c>
      <c r="L636" s="4">
        <f t="shared" si="4"/>
        <v>1</v>
      </c>
    </row>
    <row r="637">
      <c r="A637" s="23">
        <v>84835.0</v>
      </c>
      <c r="B637" s="24" t="str">
        <f t="array" ref="B637">xlookup($A637,product!$A:$A,product!B:B)</f>
        <v>Boisson</v>
      </c>
      <c r="C637" s="24" t="str">
        <f t="array" ref="C637">xlookup($A637,product!$A:$A,product!C:C)</f>
        <v>Thé bio</v>
      </c>
      <c r="D637" s="24" t="str">
        <f t="array" ref="D637">xlookup($A637,product!$A:$A,product!D:D)</f>
        <v>Thé vert nature</v>
      </c>
      <c r="E637" s="25" t="str">
        <f t="shared" si="1"/>
        <v>84835-Thé bio-Thé vert nature</v>
      </c>
      <c r="F637" s="25">
        <v>1.0</v>
      </c>
      <c r="G637" s="25">
        <v>483.0</v>
      </c>
      <c r="H637" s="25">
        <v>377.0</v>
      </c>
      <c r="I637" s="26">
        <f t="array" ref="I637">XLOOKUP($A637,product!A:A,product!E:E)</f>
        <v>2.48</v>
      </c>
      <c r="J637" s="25">
        <f t="shared" si="2"/>
        <v>934.96</v>
      </c>
      <c r="K637" s="27">
        <f t="shared" si="3"/>
        <v>1</v>
      </c>
      <c r="L637" s="25">
        <f t="shared" si="4"/>
        <v>1</v>
      </c>
    </row>
    <row r="638">
      <c r="A638" s="19">
        <v>81680.0</v>
      </c>
      <c r="B638" s="20" t="str">
        <f t="array" ref="B638">xlookup($A638,product!$A:$A,product!B:B)</f>
        <v>Boisson</v>
      </c>
      <c r="C638" s="20" t="str">
        <f t="array" ref="C638">xlookup($A638,product!$A:$A,product!C:C)</f>
        <v>Thé bio</v>
      </c>
      <c r="D638" s="20" t="str">
        <f t="array" ref="D638">xlookup($A638,product!$A:$A,product!D:D)</f>
        <v>Thé vert nature</v>
      </c>
      <c r="E638" s="4" t="str">
        <f t="shared" si="1"/>
        <v>81680-Thé bio-Thé vert nature</v>
      </c>
      <c r="F638" s="4">
        <v>0.0</v>
      </c>
      <c r="G638" s="4">
        <v>153.0</v>
      </c>
      <c r="H638" s="4">
        <v>74.0</v>
      </c>
      <c r="I638" s="21">
        <f t="array" ref="I638">XLOOKUP($A638,product!A:A,product!E:E)</f>
        <v>6.31</v>
      </c>
      <c r="J638" s="4">
        <f t="shared" si="2"/>
        <v>466.94</v>
      </c>
      <c r="K638" s="22">
        <f t="shared" si="3"/>
        <v>1</v>
      </c>
      <c r="L638" s="4">
        <f t="shared" si="4"/>
        <v>1</v>
      </c>
    </row>
    <row r="639">
      <c r="A639" s="23">
        <v>104361.0</v>
      </c>
      <c r="B639" s="24" t="str">
        <f t="array" ref="B639">xlookup($A639,product!$A:$A,product!B:B)</f>
        <v>Boisson</v>
      </c>
      <c r="C639" s="24" t="str">
        <f t="array" ref="C639">xlookup($A639,product!$A:$A,product!C:C)</f>
        <v>Thé bio</v>
      </c>
      <c r="D639" s="24" t="str">
        <f t="array" ref="D639">xlookup($A639,product!$A:$A,product!D:D)</f>
        <v>Thé vert nature</v>
      </c>
      <c r="E639" s="25" t="str">
        <f t="shared" si="1"/>
        <v>104361-Thé bio-Thé vert nature</v>
      </c>
      <c r="F639" s="25">
        <v>1.0</v>
      </c>
      <c r="G639" s="25">
        <v>429.0</v>
      </c>
      <c r="H639" s="25">
        <v>26.0</v>
      </c>
      <c r="I639" s="26">
        <f t="array" ref="I639">XLOOKUP($A639,product!A:A,product!E:E)</f>
        <v>2.34</v>
      </c>
      <c r="J639" s="25">
        <f t="shared" si="2"/>
        <v>60.84</v>
      </c>
      <c r="K639" s="27">
        <f t="shared" si="3"/>
        <v>1</v>
      </c>
      <c r="L639" s="25">
        <f t="shared" si="4"/>
        <v>1</v>
      </c>
    </row>
    <row r="640">
      <c r="A640" s="19">
        <v>83080.0</v>
      </c>
      <c r="B640" s="20" t="str">
        <f t="array" ref="B640">xlookup($A640,product!$A:$A,product!B:B)</f>
        <v>Boisson</v>
      </c>
      <c r="C640" s="20" t="str">
        <f t="array" ref="C640">xlookup($A640,product!$A:$A,product!C:C)</f>
        <v>Thé bio</v>
      </c>
      <c r="D640" s="20" t="str">
        <f t="array" ref="D640">xlookup($A640,product!$A:$A,product!D:D)</f>
        <v>Thé vert nature</v>
      </c>
      <c r="E640" s="4" t="str">
        <f t="shared" si="1"/>
        <v>83080-Thé bio-Thé vert nature</v>
      </c>
      <c r="F640" s="4">
        <v>0.0</v>
      </c>
      <c r="G640" s="4">
        <v>324.0</v>
      </c>
      <c r="H640" s="4">
        <v>97.0</v>
      </c>
      <c r="I640" s="21">
        <f t="array" ref="I640">XLOOKUP($A640,product!A:A,product!E:E)</f>
        <v>3.81</v>
      </c>
      <c r="J640" s="4">
        <f t="shared" si="2"/>
        <v>369.57</v>
      </c>
      <c r="K640" s="22">
        <f t="shared" si="3"/>
        <v>1</v>
      </c>
      <c r="L640" s="4">
        <f t="shared" si="4"/>
        <v>1</v>
      </c>
    </row>
    <row r="641">
      <c r="A641" s="23">
        <v>84930.0</v>
      </c>
      <c r="B641" s="24" t="str">
        <f t="array" ref="B641">xlookup($A641,product!$A:$A,product!B:B)</f>
        <v>Boisson</v>
      </c>
      <c r="C641" s="24" t="str">
        <f t="array" ref="C641">xlookup($A641,product!$A:$A,product!C:C)</f>
        <v>Thé bio</v>
      </c>
      <c r="D641" s="24" t="str">
        <f t="array" ref="D641">xlookup($A641,product!$A:$A,product!D:D)</f>
        <v>Thé vert nature</v>
      </c>
      <c r="E641" s="25" t="str">
        <f t="shared" si="1"/>
        <v>84930-Thé bio-Thé vert nature</v>
      </c>
      <c r="F641" s="25">
        <v>1.0</v>
      </c>
      <c r="G641" s="25">
        <v>639.0</v>
      </c>
      <c r="H641" s="25">
        <v>376.0</v>
      </c>
      <c r="I641" s="26">
        <f t="array" ref="I641">XLOOKUP($A641,product!A:A,product!E:E)</f>
        <v>1.98</v>
      </c>
      <c r="J641" s="25">
        <f t="shared" si="2"/>
        <v>744.48</v>
      </c>
      <c r="K641" s="27">
        <f t="shared" si="3"/>
        <v>1</v>
      </c>
      <c r="L641" s="25">
        <f t="shared" si="4"/>
        <v>1</v>
      </c>
    </row>
    <row r="642">
      <c r="A642" s="19">
        <v>19848.0</v>
      </c>
      <c r="B642" s="20" t="str">
        <f t="array" ref="B642">xlookup($A642,product!$A:$A,product!B:B)</f>
        <v>Boisson</v>
      </c>
      <c r="C642" s="20" t="str">
        <f t="array" ref="C642">xlookup($A642,product!$A:$A,product!C:C)</f>
        <v>Thé bio</v>
      </c>
      <c r="D642" s="20" t="str">
        <f t="array" ref="D642">xlookup($A642,product!$A:$A,product!D:D)</f>
        <v>Thé vert nature</v>
      </c>
      <c r="E642" s="4" t="str">
        <f t="shared" si="1"/>
        <v>19848-Thé bio-Thé vert nature</v>
      </c>
      <c r="F642" s="4">
        <v>1.0</v>
      </c>
      <c r="G642" s="4">
        <v>130.0</v>
      </c>
      <c r="H642" s="4">
        <v>92.0</v>
      </c>
      <c r="I642" s="21">
        <f t="array" ref="I642">XLOOKUP($A642,product!A:A,product!E:E)</f>
        <v>2.58</v>
      </c>
      <c r="J642" s="4">
        <f t="shared" si="2"/>
        <v>237.36</v>
      </c>
      <c r="K642" s="22">
        <f t="shared" si="3"/>
        <v>1</v>
      </c>
      <c r="L642" s="4">
        <f t="shared" si="4"/>
        <v>1</v>
      </c>
    </row>
    <row r="643">
      <c r="A643" s="23">
        <v>104362.0</v>
      </c>
      <c r="B643" s="24" t="str">
        <f t="array" ref="B643">xlookup($A643,product!$A:$A,product!B:B)</f>
        <v>Boisson</v>
      </c>
      <c r="C643" s="24" t="str">
        <f t="array" ref="C643">xlookup($A643,product!$A:$A,product!C:C)</f>
        <v>Thé bio</v>
      </c>
      <c r="D643" s="24" t="str">
        <f t="array" ref="D643">xlookup($A643,product!$A:$A,product!D:D)</f>
        <v>Thé vert nature</v>
      </c>
      <c r="E643" s="25" t="str">
        <f t="shared" si="1"/>
        <v>104362-Thé bio-Thé vert nature</v>
      </c>
      <c r="F643" s="25">
        <v>0.0</v>
      </c>
      <c r="G643" s="25">
        <v>668.0</v>
      </c>
      <c r="H643" s="25">
        <v>484.0</v>
      </c>
      <c r="I643" s="26">
        <f t="array" ref="I643">XLOOKUP($A643,product!A:A,product!E:E)</f>
        <v>5.59</v>
      </c>
      <c r="J643" s="25">
        <f t="shared" si="2"/>
        <v>2705.56</v>
      </c>
      <c r="K643" s="27">
        <f t="shared" si="3"/>
        <v>1</v>
      </c>
      <c r="L643" s="25">
        <f t="shared" si="4"/>
        <v>1</v>
      </c>
    </row>
    <row r="644">
      <c r="A644" s="19">
        <v>92122.0</v>
      </c>
      <c r="B644" s="20" t="str">
        <f t="array" ref="B644">xlookup($A644,product!$A:$A,product!B:B)</f>
        <v>Boisson</v>
      </c>
      <c r="C644" s="20" t="str">
        <f t="array" ref="C644">xlookup($A644,product!$A:$A,product!C:C)</f>
        <v>Thé bio</v>
      </c>
      <c r="D644" s="20" t="str">
        <f t="array" ref="D644">xlookup($A644,product!$A:$A,product!D:D)</f>
        <v>Thé vert nature</v>
      </c>
      <c r="E644" s="4" t="str">
        <f t="shared" si="1"/>
        <v>92122-Thé bio-Thé vert nature</v>
      </c>
      <c r="F644" s="4">
        <v>0.0</v>
      </c>
      <c r="G644" s="4">
        <v>682.0</v>
      </c>
      <c r="H644" s="4">
        <v>309.0</v>
      </c>
      <c r="I644" s="21">
        <f t="array" ref="I644">XLOOKUP($A644,product!A:A,product!E:E)</f>
        <v>16.72</v>
      </c>
      <c r="J644" s="4">
        <f t="shared" si="2"/>
        <v>5166.48</v>
      </c>
      <c r="K644" s="22">
        <f t="shared" si="3"/>
        <v>1</v>
      </c>
      <c r="L644" s="4">
        <f t="shared" si="4"/>
        <v>1</v>
      </c>
    </row>
    <row r="645">
      <c r="A645" s="23">
        <v>15854.0</v>
      </c>
      <c r="B645" s="24" t="str">
        <f t="array" ref="B645">xlookup($A645,product!$A:$A,product!B:B)</f>
        <v>Boisson</v>
      </c>
      <c r="C645" s="24" t="str">
        <f t="array" ref="C645">xlookup($A645,product!$A:$A,product!C:C)</f>
        <v>Thé bio</v>
      </c>
      <c r="D645" s="24" t="str">
        <f t="array" ref="D645">xlookup($A645,product!$A:$A,product!D:D)</f>
        <v>Thé vert nature</v>
      </c>
      <c r="E645" s="25" t="str">
        <f t="shared" si="1"/>
        <v>15854-Thé bio-Thé vert nature</v>
      </c>
      <c r="F645" s="25">
        <v>1.0</v>
      </c>
      <c r="G645" s="25">
        <v>924.0</v>
      </c>
      <c r="H645" s="25">
        <v>61.0</v>
      </c>
      <c r="I645" s="26">
        <f t="array" ref="I645">XLOOKUP($A645,product!A:A,product!E:E)</f>
        <v>3.85</v>
      </c>
      <c r="J645" s="25">
        <f t="shared" si="2"/>
        <v>234.85</v>
      </c>
      <c r="K645" s="27">
        <f t="shared" si="3"/>
        <v>1</v>
      </c>
      <c r="L645" s="25">
        <f t="shared" si="4"/>
        <v>1</v>
      </c>
    </row>
    <row r="646">
      <c r="A646" s="19">
        <v>81383.0</v>
      </c>
      <c r="B646" s="20" t="str">
        <f t="array" ref="B646">xlookup($A646,product!$A:$A,product!B:B)</f>
        <v>Boisson</v>
      </c>
      <c r="C646" s="20" t="str">
        <f t="array" ref="C646">xlookup($A646,product!$A:$A,product!C:C)</f>
        <v>Thé bio</v>
      </c>
      <c r="D646" s="20" t="str">
        <f t="array" ref="D646">xlookup($A646,product!$A:$A,product!D:D)</f>
        <v>Thé vert nature</v>
      </c>
      <c r="E646" s="4" t="str">
        <f t="shared" si="1"/>
        <v>81383-Thé bio-Thé vert nature</v>
      </c>
      <c r="F646" s="4">
        <v>0.0</v>
      </c>
      <c r="G646" s="4">
        <v>343.0</v>
      </c>
      <c r="H646" s="4">
        <v>18.0</v>
      </c>
      <c r="I646" s="21">
        <f t="array" ref="I646">XLOOKUP($A646,product!A:A,product!E:E)</f>
        <v>1.24</v>
      </c>
      <c r="J646" s="4">
        <f t="shared" si="2"/>
        <v>22.32</v>
      </c>
      <c r="K646" s="22">
        <f t="shared" si="3"/>
        <v>1</v>
      </c>
      <c r="L646" s="4">
        <f t="shared" si="4"/>
        <v>1</v>
      </c>
    </row>
    <row r="647">
      <c r="A647" s="23">
        <v>81430.0</v>
      </c>
      <c r="B647" s="24" t="str">
        <f t="array" ref="B647">xlookup($A647,product!$A:$A,product!B:B)</f>
        <v>Boisson</v>
      </c>
      <c r="C647" s="24" t="str">
        <f t="array" ref="C647">xlookup($A647,product!$A:$A,product!C:C)</f>
        <v>Thé bio</v>
      </c>
      <c r="D647" s="24" t="str">
        <f t="array" ref="D647">xlookup($A647,product!$A:$A,product!D:D)</f>
        <v>Thé vert nature</v>
      </c>
      <c r="E647" s="25" t="str">
        <f t="shared" si="1"/>
        <v>81430-Thé bio-Thé vert nature</v>
      </c>
      <c r="F647" s="25">
        <v>1.0</v>
      </c>
      <c r="G647" s="25">
        <v>357.0</v>
      </c>
      <c r="H647" s="25">
        <v>293.0</v>
      </c>
      <c r="I647" s="26">
        <f t="array" ref="I647">XLOOKUP($A647,product!A:A,product!E:E)</f>
        <v>5.36</v>
      </c>
      <c r="J647" s="25">
        <f t="shared" si="2"/>
        <v>1570.48</v>
      </c>
      <c r="K647" s="27">
        <f t="shared" si="3"/>
        <v>1</v>
      </c>
      <c r="L647" s="25">
        <f t="shared" si="4"/>
        <v>1</v>
      </c>
    </row>
    <row r="648">
      <c r="A648" s="19">
        <v>84325.0</v>
      </c>
      <c r="B648" s="20" t="str">
        <f t="array" ref="B648">xlookup($A648,product!$A:$A,product!B:B)</f>
        <v>Boisson</v>
      </c>
      <c r="C648" s="20" t="str">
        <f t="array" ref="C648">xlookup($A648,product!$A:$A,product!C:C)</f>
        <v>Thé bio</v>
      </c>
      <c r="D648" s="20" t="str">
        <f t="array" ref="D648">xlookup($A648,product!$A:$A,product!D:D)</f>
        <v>Thé vert parfumé</v>
      </c>
      <c r="E648" s="4" t="str">
        <f t="shared" si="1"/>
        <v>84325-Thé bio-Thé vert parfumé</v>
      </c>
      <c r="F648" s="4">
        <v>0.0</v>
      </c>
      <c r="G648" s="4">
        <v>270.0</v>
      </c>
      <c r="H648" s="4">
        <v>99.0</v>
      </c>
      <c r="I648" s="21">
        <f t="array" ref="I648">XLOOKUP($A648,product!A:A,product!E:E)</f>
        <v>2.22</v>
      </c>
      <c r="J648" s="4">
        <f t="shared" si="2"/>
        <v>219.78</v>
      </c>
      <c r="K648" s="22">
        <f t="shared" si="3"/>
        <v>1</v>
      </c>
      <c r="L648" s="4">
        <f t="shared" si="4"/>
        <v>1</v>
      </c>
    </row>
    <row r="649">
      <c r="A649" s="23">
        <v>127244.0</v>
      </c>
      <c r="B649" s="24" t="str">
        <f t="array" ref="B649">xlookup($A649,product!$A:$A,product!B:B)</f>
        <v>Boisson</v>
      </c>
      <c r="C649" s="24" t="str">
        <f t="array" ref="C649">xlookup($A649,product!$A:$A,product!C:C)</f>
        <v>Thé bio</v>
      </c>
      <c r="D649" s="24" t="str">
        <f t="array" ref="D649">xlookup($A649,product!$A:$A,product!D:D)</f>
        <v>Thé vert parfumé</v>
      </c>
      <c r="E649" s="25" t="str">
        <f t="shared" si="1"/>
        <v>127244-Thé bio-Thé vert parfumé</v>
      </c>
      <c r="F649" s="25">
        <v>0.0</v>
      </c>
      <c r="G649" s="25">
        <v>107.0</v>
      </c>
      <c r="H649" s="25">
        <v>41.0</v>
      </c>
      <c r="I649" s="26">
        <f t="array" ref="I649">XLOOKUP($A649,product!A:A,product!E:E)</f>
        <v>2.6</v>
      </c>
      <c r="J649" s="25">
        <f t="shared" si="2"/>
        <v>106.6</v>
      </c>
      <c r="K649" s="27">
        <f t="shared" si="3"/>
        <v>1</v>
      </c>
      <c r="L649" s="25">
        <f t="shared" si="4"/>
        <v>1</v>
      </c>
    </row>
    <row r="650">
      <c r="A650" s="19">
        <v>15865.0</v>
      </c>
      <c r="B650" s="20" t="str">
        <f t="array" ref="B650">xlookup($A650,product!$A:$A,product!B:B)</f>
        <v>Boisson</v>
      </c>
      <c r="C650" s="20" t="str">
        <f t="array" ref="C650">xlookup($A650,product!$A:$A,product!C:C)</f>
        <v>Thé bio</v>
      </c>
      <c r="D650" s="20" t="str">
        <f t="array" ref="D650">xlookup($A650,product!$A:$A,product!D:D)</f>
        <v>Thé vert parfumé</v>
      </c>
      <c r="E650" s="4" t="str">
        <f t="shared" si="1"/>
        <v>15865-Thé bio-Thé vert parfumé</v>
      </c>
      <c r="F650" s="4">
        <v>0.0</v>
      </c>
      <c r="G650" s="4">
        <v>960.0</v>
      </c>
      <c r="H650" s="4">
        <v>394.0</v>
      </c>
      <c r="I650" s="21">
        <f t="array" ref="I650">XLOOKUP($A650,product!A:A,product!E:E)</f>
        <v>4.26</v>
      </c>
      <c r="J650" s="4">
        <f t="shared" si="2"/>
        <v>1678.44</v>
      </c>
      <c r="K650" s="22">
        <f t="shared" si="3"/>
        <v>1</v>
      </c>
      <c r="L650" s="4">
        <f t="shared" si="4"/>
        <v>1</v>
      </c>
    </row>
    <row r="651">
      <c r="A651" s="23">
        <v>121996.0</v>
      </c>
      <c r="B651" s="24" t="str">
        <f t="array" ref="B651">xlookup($A651,product!$A:$A,product!B:B)</f>
        <v>Boisson</v>
      </c>
      <c r="C651" s="24" t="str">
        <f t="array" ref="C651">xlookup($A651,product!$A:$A,product!C:C)</f>
        <v>Thé bio</v>
      </c>
      <c r="D651" s="24" t="str">
        <f t="array" ref="D651">xlookup($A651,product!$A:$A,product!D:D)</f>
        <v>Thé vert parfumé</v>
      </c>
      <c r="E651" s="25" t="str">
        <f t="shared" si="1"/>
        <v>121996-Thé bio-Thé vert parfumé</v>
      </c>
      <c r="F651" s="25">
        <v>1.0</v>
      </c>
      <c r="G651" s="25">
        <v>915.0</v>
      </c>
      <c r="H651" s="25">
        <v>201.0</v>
      </c>
      <c r="I651" s="26">
        <f t="array" ref="I651">XLOOKUP($A651,product!A:A,product!E:E)</f>
        <v>2.03</v>
      </c>
      <c r="J651" s="25">
        <f t="shared" si="2"/>
        <v>408.03</v>
      </c>
      <c r="K651" s="27">
        <f t="shared" si="3"/>
        <v>1</v>
      </c>
      <c r="L651" s="25">
        <f t="shared" si="4"/>
        <v>1</v>
      </c>
    </row>
    <row r="652">
      <c r="A652" s="19">
        <v>93083.0</v>
      </c>
      <c r="B652" s="20" t="str">
        <f t="array" ref="B652">xlookup($A652,product!$A:$A,product!B:B)</f>
        <v>Boisson</v>
      </c>
      <c r="C652" s="20" t="str">
        <f t="array" ref="C652">xlookup($A652,product!$A:$A,product!C:C)</f>
        <v>Thé bio</v>
      </c>
      <c r="D652" s="20" t="str">
        <f t="array" ref="D652">xlookup($A652,product!$A:$A,product!D:D)</f>
        <v>Thé vert parfumé</v>
      </c>
      <c r="E652" s="4" t="str">
        <f t="shared" si="1"/>
        <v>93083-Thé bio-Thé vert parfumé</v>
      </c>
      <c r="F652" s="4">
        <v>0.0</v>
      </c>
      <c r="G652" s="4">
        <v>882.0</v>
      </c>
      <c r="H652" s="4">
        <v>573.0</v>
      </c>
      <c r="I652" s="21">
        <f t="array" ref="I652">XLOOKUP($A652,product!A:A,product!E:E)</f>
        <v>1.72</v>
      </c>
      <c r="J652" s="4">
        <f t="shared" si="2"/>
        <v>985.56</v>
      </c>
      <c r="K652" s="22">
        <f t="shared" si="3"/>
        <v>1</v>
      </c>
      <c r="L652" s="4">
        <f t="shared" si="4"/>
        <v>1</v>
      </c>
    </row>
    <row r="653">
      <c r="A653" s="23">
        <v>3426.0</v>
      </c>
      <c r="B653" s="24" t="str">
        <f t="array" ref="B653">xlookup($A653,product!$A:$A,product!B:B)</f>
        <v>Boisson</v>
      </c>
      <c r="C653" s="24" t="str">
        <f t="array" ref="C653">xlookup($A653,product!$A:$A,product!C:C)</f>
        <v>Thé bio</v>
      </c>
      <c r="D653" s="24" t="str">
        <f t="array" ref="D653">xlookup($A653,product!$A:$A,product!D:D)</f>
        <v>Thé vert parfumé</v>
      </c>
      <c r="E653" s="25" t="str">
        <f t="shared" si="1"/>
        <v>3426-Thé bio-Thé vert parfumé</v>
      </c>
      <c r="F653" s="25">
        <v>1.0</v>
      </c>
      <c r="G653" s="25">
        <v>462.0</v>
      </c>
      <c r="H653" s="25">
        <v>14.0</v>
      </c>
      <c r="I653" s="26">
        <f t="array" ref="I653">XLOOKUP($A653,product!A:A,product!E:E)</f>
        <v>4.29</v>
      </c>
      <c r="J653" s="25">
        <f t="shared" si="2"/>
        <v>60.06</v>
      </c>
      <c r="K653" s="27">
        <f t="shared" si="3"/>
        <v>1</v>
      </c>
      <c r="L653" s="25">
        <f t="shared" si="4"/>
        <v>1</v>
      </c>
    </row>
    <row r="654">
      <c r="A654" s="19">
        <v>111349.0</v>
      </c>
      <c r="B654" s="20" t="str">
        <f t="array" ref="B654">xlookup($A654,product!$A:$A,product!B:B)</f>
        <v>Boisson</v>
      </c>
      <c r="C654" s="20" t="str">
        <f t="array" ref="C654">xlookup($A654,product!$A:$A,product!C:C)</f>
        <v>Thé bio</v>
      </c>
      <c r="D654" s="20" t="str">
        <f t="array" ref="D654">xlookup($A654,product!$A:$A,product!D:D)</f>
        <v>Thé vert parfumé</v>
      </c>
      <c r="E654" s="4" t="str">
        <f t="shared" si="1"/>
        <v>111349-Thé bio-Thé vert parfumé</v>
      </c>
      <c r="F654" s="4">
        <v>0.0</v>
      </c>
      <c r="G654" s="4">
        <v>896.0</v>
      </c>
      <c r="H654" s="4">
        <v>886.0</v>
      </c>
      <c r="I654" s="21">
        <f t="array" ref="I654">XLOOKUP($A654,product!A:A,product!E:E)</f>
        <v>4.35</v>
      </c>
      <c r="J654" s="4">
        <f t="shared" si="2"/>
        <v>3854.1</v>
      </c>
      <c r="K654" s="22">
        <f t="shared" si="3"/>
        <v>1</v>
      </c>
      <c r="L654" s="4">
        <f t="shared" si="4"/>
        <v>1</v>
      </c>
    </row>
    <row r="655">
      <c r="A655" s="23">
        <v>74917.0</v>
      </c>
      <c r="B655" s="24" t="str">
        <f t="array" ref="B655">xlookup($A655,product!$A:$A,product!B:B)</f>
        <v>Boisson</v>
      </c>
      <c r="C655" s="24" t="str">
        <f t="array" ref="C655">xlookup($A655,product!$A:$A,product!C:C)</f>
        <v>Thé bio</v>
      </c>
      <c r="D655" s="24" t="str">
        <f t="array" ref="D655">xlookup($A655,product!$A:$A,product!D:D)</f>
        <v>Thé vert parfumé</v>
      </c>
      <c r="E655" s="25" t="str">
        <f t="shared" si="1"/>
        <v>74917-Thé bio-Thé vert parfumé</v>
      </c>
      <c r="F655" s="25">
        <v>0.0</v>
      </c>
      <c r="G655" s="25">
        <v>859.0</v>
      </c>
      <c r="H655" s="25">
        <v>194.0</v>
      </c>
      <c r="I655" s="26">
        <f t="array" ref="I655">XLOOKUP($A655,product!A:A,product!E:E)</f>
        <v>2.88</v>
      </c>
      <c r="J655" s="25">
        <f t="shared" si="2"/>
        <v>558.72</v>
      </c>
      <c r="K655" s="27">
        <f t="shared" si="3"/>
        <v>1</v>
      </c>
      <c r="L655" s="25">
        <f t="shared" si="4"/>
        <v>1</v>
      </c>
    </row>
    <row r="656">
      <c r="A656" s="19">
        <v>69127.0</v>
      </c>
      <c r="B656" s="20" t="str">
        <f t="array" ref="B656">xlookup($A656,product!$A:$A,product!B:B)</f>
        <v>Boisson</v>
      </c>
      <c r="C656" s="20" t="str">
        <f t="array" ref="C656">xlookup($A656,product!$A:$A,product!C:C)</f>
        <v>Thé bio</v>
      </c>
      <c r="D656" s="20" t="str">
        <f t="array" ref="D656">xlookup($A656,product!$A:$A,product!D:D)</f>
        <v>Thé vert parfumé</v>
      </c>
      <c r="E656" s="4" t="str">
        <f t="shared" si="1"/>
        <v>69127-Thé bio-Thé vert parfumé</v>
      </c>
      <c r="F656" s="4">
        <v>1.0</v>
      </c>
      <c r="G656" s="4">
        <v>559.0</v>
      </c>
      <c r="H656" s="4">
        <v>381.0</v>
      </c>
      <c r="I656" s="21">
        <f t="array" ref="I656">XLOOKUP($A656,product!A:A,product!E:E)</f>
        <v>2.03</v>
      </c>
      <c r="J656" s="4">
        <f t="shared" si="2"/>
        <v>773.43</v>
      </c>
      <c r="K656" s="22">
        <f t="shared" si="3"/>
        <v>1</v>
      </c>
      <c r="L656" s="4">
        <f t="shared" si="4"/>
        <v>1</v>
      </c>
    </row>
    <row r="657">
      <c r="A657" s="23">
        <v>84819.0</v>
      </c>
      <c r="B657" s="24" t="str">
        <f t="array" ref="B657">xlookup($A657,product!$A:$A,product!B:B)</f>
        <v>Boisson</v>
      </c>
      <c r="C657" s="24" t="str">
        <f t="array" ref="C657">xlookup($A657,product!$A:$A,product!C:C)</f>
        <v>Thé bio</v>
      </c>
      <c r="D657" s="24" t="str">
        <f t="array" ref="D657">xlookup($A657,product!$A:$A,product!D:D)</f>
        <v>Thé vert parfumé</v>
      </c>
      <c r="E657" s="25" t="str">
        <f t="shared" si="1"/>
        <v>84819-Thé bio-Thé vert parfumé</v>
      </c>
      <c r="F657" s="25">
        <v>0.0</v>
      </c>
      <c r="G657" s="25">
        <v>535.0</v>
      </c>
      <c r="H657" s="25">
        <v>165.0</v>
      </c>
      <c r="I657" s="26">
        <f t="array" ref="I657">XLOOKUP($A657,product!A:A,product!E:E)</f>
        <v>3.89</v>
      </c>
      <c r="J657" s="25">
        <f t="shared" si="2"/>
        <v>641.85</v>
      </c>
      <c r="K657" s="27">
        <f t="shared" si="3"/>
        <v>1</v>
      </c>
      <c r="L657" s="25">
        <f t="shared" si="4"/>
        <v>1</v>
      </c>
    </row>
    <row r="658">
      <c r="A658" s="19">
        <v>104367.0</v>
      </c>
      <c r="B658" s="20" t="str">
        <f t="array" ref="B658">xlookup($A658,product!$A:$A,product!B:B)</f>
        <v>Boisson</v>
      </c>
      <c r="C658" s="20" t="str">
        <f t="array" ref="C658">xlookup($A658,product!$A:$A,product!C:C)</f>
        <v>Thé bio</v>
      </c>
      <c r="D658" s="20" t="str">
        <f t="array" ref="D658">xlookup($A658,product!$A:$A,product!D:D)</f>
        <v>Thé vert parfumé</v>
      </c>
      <c r="E658" s="4" t="str">
        <f t="shared" si="1"/>
        <v>104367-Thé bio-Thé vert parfumé</v>
      </c>
      <c r="F658" s="4">
        <v>1.0</v>
      </c>
      <c r="G658" s="4">
        <v>384.0</v>
      </c>
      <c r="H658" s="4">
        <v>261.0</v>
      </c>
      <c r="I658" s="21">
        <f t="array" ref="I658">XLOOKUP($A658,product!A:A,product!E:E)</f>
        <v>3.36</v>
      </c>
      <c r="J658" s="4">
        <f t="shared" si="2"/>
        <v>876.96</v>
      </c>
      <c r="K658" s="22">
        <f t="shared" si="3"/>
        <v>1</v>
      </c>
      <c r="L658" s="4">
        <f t="shared" si="4"/>
        <v>1</v>
      </c>
    </row>
    <row r="659">
      <c r="A659" s="23">
        <v>121997.0</v>
      </c>
      <c r="B659" s="24" t="str">
        <f t="array" ref="B659">xlookup($A659,product!$A:$A,product!B:B)</f>
        <v>Boisson</v>
      </c>
      <c r="C659" s="24" t="str">
        <f t="array" ref="C659">xlookup($A659,product!$A:$A,product!C:C)</f>
        <v>Thé bio</v>
      </c>
      <c r="D659" s="24" t="str">
        <f t="array" ref="D659">xlookup($A659,product!$A:$A,product!D:D)</f>
        <v>Thé vert parfumé</v>
      </c>
      <c r="E659" s="25" t="str">
        <f t="shared" si="1"/>
        <v>121997-Thé bio-Thé vert parfumé</v>
      </c>
      <c r="F659" s="25">
        <v>0.0</v>
      </c>
      <c r="G659" s="25">
        <v>587.0</v>
      </c>
      <c r="H659" s="25">
        <v>100.0</v>
      </c>
      <c r="I659" s="26">
        <f t="array" ref="I659">XLOOKUP($A659,product!A:A,product!E:E)</f>
        <v>2.03</v>
      </c>
      <c r="J659" s="25">
        <f t="shared" si="2"/>
        <v>203</v>
      </c>
      <c r="K659" s="27">
        <f t="shared" si="3"/>
        <v>1</v>
      </c>
      <c r="L659" s="25">
        <f t="shared" si="4"/>
        <v>1</v>
      </c>
    </row>
    <row r="660">
      <c r="A660" s="19">
        <v>117499.0</v>
      </c>
      <c r="B660" s="20" t="str">
        <f t="array" ref="B660">xlookup($A660,product!$A:$A,product!B:B)</f>
        <v>Boisson</v>
      </c>
      <c r="C660" s="20" t="str">
        <f t="array" ref="C660">xlookup($A660,product!$A:$A,product!C:C)</f>
        <v>Thé bio</v>
      </c>
      <c r="D660" s="20" t="str">
        <f t="array" ref="D660">xlookup($A660,product!$A:$A,product!D:D)</f>
        <v>Thé vert parfumé</v>
      </c>
      <c r="E660" s="4" t="str">
        <f t="shared" si="1"/>
        <v>117499-Thé bio-Thé vert parfumé</v>
      </c>
      <c r="F660" s="4">
        <v>1.0</v>
      </c>
      <c r="G660" s="4">
        <v>661.0</v>
      </c>
      <c r="H660" s="4">
        <v>303.0</v>
      </c>
      <c r="I660" s="21">
        <f t="array" ref="I660">XLOOKUP($A660,product!A:A,product!E:E)</f>
        <v>2.09</v>
      </c>
      <c r="J660" s="4">
        <f t="shared" si="2"/>
        <v>633.27</v>
      </c>
      <c r="K660" s="22">
        <f t="shared" si="3"/>
        <v>1</v>
      </c>
      <c r="L660" s="4">
        <f t="shared" si="4"/>
        <v>1</v>
      </c>
    </row>
    <row r="661">
      <c r="A661" s="23">
        <v>69125.0</v>
      </c>
      <c r="B661" s="24" t="str">
        <f t="array" ref="B661">xlookup($A661,product!$A:$A,product!B:B)</f>
        <v>Boisson</v>
      </c>
      <c r="C661" s="24" t="str">
        <f t="array" ref="C661">xlookup($A661,product!$A:$A,product!C:C)</f>
        <v>Thé bio</v>
      </c>
      <c r="D661" s="24" t="str">
        <f t="array" ref="D661">xlookup($A661,product!$A:$A,product!D:D)</f>
        <v>Thé vert parfumé</v>
      </c>
      <c r="E661" s="25" t="str">
        <f t="shared" si="1"/>
        <v>69125-Thé bio-Thé vert parfumé</v>
      </c>
      <c r="F661" s="25">
        <v>1.0</v>
      </c>
      <c r="G661" s="25">
        <v>423.0</v>
      </c>
      <c r="H661" s="25">
        <v>308.0</v>
      </c>
      <c r="I661" s="26">
        <f t="array" ref="I661">XLOOKUP($A661,product!A:A,product!E:E)</f>
        <v>2.03</v>
      </c>
      <c r="J661" s="25">
        <f t="shared" si="2"/>
        <v>625.24</v>
      </c>
      <c r="K661" s="27">
        <f t="shared" si="3"/>
        <v>1</v>
      </c>
      <c r="L661" s="25">
        <f t="shared" si="4"/>
        <v>1</v>
      </c>
    </row>
    <row r="662">
      <c r="A662" s="19">
        <v>19850.0</v>
      </c>
      <c r="B662" s="20" t="str">
        <f t="array" ref="B662">xlookup($A662,product!$A:$A,product!B:B)</f>
        <v>Boisson</v>
      </c>
      <c r="C662" s="20" t="str">
        <f t="array" ref="C662">xlookup($A662,product!$A:$A,product!C:C)</f>
        <v>Thé bio</v>
      </c>
      <c r="D662" s="20" t="str">
        <f t="array" ref="D662">xlookup($A662,product!$A:$A,product!D:D)</f>
        <v>Thé vert parfumé</v>
      </c>
      <c r="E662" s="4" t="str">
        <f t="shared" si="1"/>
        <v>19850-Thé bio-Thé vert parfumé</v>
      </c>
      <c r="F662" s="4">
        <v>0.0</v>
      </c>
      <c r="G662" s="4">
        <v>455.0</v>
      </c>
      <c r="H662" s="4">
        <v>44.0</v>
      </c>
      <c r="I662" s="21">
        <f t="array" ref="I662">XLOOKUP($A662,product!A:A,product!E:E)</f>
        <v>3.66</v>
      </c>
      <c r="J662" s="4">
        <f t="shared" si="2"/>
        <v>161.04</v>
      </c>
      <c r="K662" s="22">
        <f t="shared" si="3"/>
        <v>1</v>
      </c>
      <c r="L662" s="4">
        <f t="shared" si="4"/>
        <v>1</v>
      </c>
    </row>
    <row r="663">
      <c r="A663" s="23">
        <v>3425.0</v>
      </c>
      <c r="B663" s="24" t="str">
        <f t="array" ref="B663">xlookup($A663,product!$A:$A,product!B:B)</f>
        <v>Boisson</v>
      </c>
      <c r="C663" s="24" t="str">
        <f t="array" ref="C663">xlookup($A663,product!$A:$A,product!C:C)</f>
        <v>Thé bio</v>
      </c>
      <c r="D663" s="24" t="str">
        <f t="array" ref="D663">xlookup($A663,product!$A:$A,product!D:D)</f>
        <v>Thé vert parfumé</v>
      </c>
      <c r="E663" s="25" t="str">
        <f t="shared" si="1"/>
        <v>3425-Thé bio-Thé vert parfumé</v>
      </c>
      <c r="F663" s="25">
        <v>1.0</v>
      </c>
      <c r="G663" s="25">
        <v>485.0</v>
      </c>
      <c r="H663" s="25">
        <v>230.0</v>
      </c>
      <c r="I663" s="26">
        <f t="array" ref="I663">XLOOKUP($A663,product!A:A,product!E:E)</f>
        <v>5.08</v>
      </c>
      <c r="J663" s="25">
        <f t="shared" si="2"/>
        <v>1168.4</v>
      </c>
      <c r="K663" s="27">
        <f t="shared" si="3"/>
        <v>1</v>
      </c>
      <c r="L663" s="25">
        <f t="shared" si="4"/>
        <v>1</v>
      </c>
    </row>
    <row r="664">
      <c r="A664" s="19">
        <v>84913.0</v>
      </c>
      <c r="B664" s="20" t="str">
        <f t="array" ref="B664">xlookup($A664,product!$A:$A,product!B:B)</f>
        <v>Boisson</v>
      </c>
      <c r="C664" s="20" t="str">
        <f t="array" ref="C664">xlookup($A664,product!$A:$A,product!C:C)</f>
        <v>Thé bio</v>
      </c>
      <c r="D664" s="20" t="str">
        <f t="array" ref="D664">xlookup($A664,product!$A:$A,product!D:D)</f>
        <v>Thé vert parfumé</v>
      </c>
      <c r="E664" s="4" t="str">
        <f t="shared" si="1"/>
        <v>84913-Thé bio-Thé vert parfumé</v>
      </c>
      <c r="F664" s="4">
        <v>0.0</v>
      </c>
      <c r="G664" s="4">
        <v>238.0</v>
      </c>
      <c r="H664" s="4">
        <v>176.0</v>
      </c>
      <c r="I664" s="21">
        <f t="array" ref="I664">XLOOKUP($A664,product!A:A,product!E:E)</f>
        <v>3.91</v>
      </c>
      <c r="J664" s="4">
        <f t="shared" si="2"/>
        <v>688.16</v>
      </c>
      <c r="K664" s="22">
        <f t="shared" si="3"/>
        <v>1</v>
      </c>
      <c r="L664" s="4">
        <f t="shared" si="4"/>
        <v>1</v>
      </c>
    </row>
    <row r="665">
      <c r="A665" s="23">
        <v>120378.0</v>
      </c>
      <c r="B665" s="24" t="str">
        <f t="array" ref="B665">xlookup($A665,product!$A:$A,product!B:B)</f>
        <v>Maison</v>
      </c>
      <c r="C665" s="24" t="str">
        <f t="array" ref="C665">xlookup($A665,product!$A:$A,product!C:C)</f>
        <v>Entretien</v>
      </c>
      <c r="D665" s="24" t="str">
        <f t="array" ref="D665">xlookup($A665,product!$A:$A,product!D:D)</f>
        <v>Anti insectes</v>
      </c>
      <c r="E665" s="25" t="str">
        <f t="shared" si="1"/>
        <v>120378-Entretien-Anti insectes</v>
      </c>
      <c r="F665" s="25">
        <v>1.0</v>
      </c>
      <c r="G665" s="25">
        <v>827.0</v>
      </c>
      <c r="H665" s="25">
        <v>153.0</v>
      </c>
      <c r="I665" s="26">
        <f t="array" ref="I665">XLOOKUP($A665,product!A:A,product!E:E)</f>
        <v>0.97</v>
      </c>
      <c r="J665" s="25">
        <f t="shared" si="2"/>
        <v>148.41</v>
      </c>
      <c r="K665" s="27">
        <f t="shared" si="3"/>
        <v>1</v>
      </c>
      <c r="L665" s="25">
        <f t="shared" si="4"/>
        <v>1</v>
      </c>
    </row>
    <row r="666">
      <c r="A666" s="19">
        <v>5905.0</v>
      </c>
      <c r="B666" s="20" t="str">
        <f t="array" ref="B666">xlookup($A666,product!$A:$A,product!B:B)</f>
        <v>Maison</v>
      </c>
      <c r="C666" s="20" t="str">
        <f t="array" ref="C666">xlookup($A666,product!$A:$A,product!C:C)</f>
        <v>Entretien</v>
      </c>
      <c r="D666" s="20" t="str">
        <f t="array" ref="D666">xlookup($A666,product!$A:$A,product!D:D)</f>
        <v>Anti insectes</v>
      </c>
      <c r="E666" s="4" t="str">
        <f t="shared" si="1"/>
        <v>5905-Entretien-Anti insectes</v>
      </c>
      <c r="F666" s="4">
        <v>1.0</v>
      </c>
      <c r="G666" s="4">
        <v>223.0</v>
      </c>
      <c r="H666" s="4">
        <v>112.0</v>
      </c>
      <c r="I666" s="21">
        <f t="array" ref="I666">XLOOKUP($A666,product!A:A,product!E:E)</f>
        <v>1.84</v>
      </c>
      <c r="J666" s="4">
        <f t="shared" si="2"/>
        <v>206.08</v>
      </c>
      <c r="K666" s="22">
        <f t="shared" si="3"/>
        <v>1</v>
      </c>
      <c r="L666" s="4">
        <f t="shared" si="4"/>
        <v>1</v>
      </c>
    </row>
    <row r="667">
      <c r="A667" s="23">
        <v>23213.0</v>
      </c>
      <c r="B667" s="24" t="str">
        <f t="array" ref="B667">xlookup($A667,product!$A:$A,product!B:B)</f>
        <v>Maison</v>
      </c>
      <c r="C667" s="24" t="str">
        <f t="array" ref="C667">xlookup($A667,product!$A:$A,product!C:C)</f>
        <v>Entretien</v>
      </c>
      <c r="D667" s="24" t="str">
        <f t="array" ref="D667">xlookup($A667,product!$A:$A,product!D:D)</f>
        <v>Anti insectes</v>
      </c>
      <c r="E667" s="25" t="str">
        <f t="shared" si="1"/>
        <v>23213-Entretien-Anti insectes</v>
      </c>
      <c r="F667" s="25">
        <v>1.0</v>
      </c>
      <c r="G667" s="25">
        <v>380.0</v>
      </c>
      <c r="H667" s="25">
        <v>134.0</v>
      </c>
      <c r="I667" s="26">
        <f t="array" ref="I667">XLOOKUP($A667,product!A:A,product!E:E)</f>
        <v>2.73</v>
      </c>
      <c r="J667" s="25">
        <f t="shared" si="2"/>
        <v>365.82</v>
      </c>
      <c r="K667" s="27">
        <f t="shared" si="3"/>
        <v>1</v>
      </c>
      <c r="L667" s="25">
        <f t="shared" si="4"/>
        <v>1</v>
      </c>
    </row>
    <row r="668">
      <c r="A668" s="19">
        <v>47168.0</v>
      </c>
      <c r="B668" s="20" t="str">
        <f t="array" ref="B668">xlookup($A668,product!$A:$A,product!B:B)</f>
        <v>Maison</v>
      </c>
      <c r="C668" s="20" t="str">
        <f t="array" ref="C668">xlookup($A668,product!$A:$A,product!C:C)</f>
        <v>Entretien</v>
      </c>
      <c r="D668" s="20" t="str">
        <f t="array" ref="D668">xlookup($A668,product!$A:$A,product!D:D)</f>
        <v>Anti insectes</v>
      </c>
      <c r="E668" s="4" t="str">
        <f t="shared" si="1"/>
        <v>47168-Entretien-Anti insectes</v>
      </c>
      <c r="F668" s="4">
        <v>0.0</v>
      </c>
      <c r="G668" s="4">
        <v>957.0</v>
      </c>
      <c r="H668" s="4">
        <v>94.0</v>
      </c>
      <c r="I668" s="21">
        <f t="array" ref="I668">XLOOKUP($A668,product!A:A,product!E:E)</f>
        <v>3.47</v>
      </c>
      <c r="J668" s="4">
        <f t="shared" si="2"/>
        <v>326.18</v>
      </c>
      <c r="K668" s="22">
        <f t="shared" si="3"/>
        <v>1</v>
      </c>
      <c r="L668" s="4">
        <f t="shared" si="4"/>
        <v>1</v>
      </c>
    </row>
    <row r="669">
      <c r="A669" s="23">
        <v>102990.0</v>
      </c>
      <c r="B669" s="24" t="str">
        <f t="array" ref="B669">xlookup($A669,product!$A:$A,product!B:B)</f>
        <v>Maison</v>
      </c>
      <c r="C669" s="24" t="str">
        <f t="array" ref="C669">xlookup($A669,product!$A:$A,product!C:C)</f>
        <v>Entretien</v>
      </c>
      <c r="D669" s="24" t="str">
        <f t="array" ref="D669">xlookup($A669,product!$A:$A,product!D:D)</f>
        <v>Anti insectes</v>
      </c>
      <c r="E669" s="25" t="str">
        <f t="shared" si="1"/>
        <v>102990-Entretien-Anti insectes</v>
      </c>
      <c r="F669" s="25">
        <v>1.0</v>
      </c>
      <c r="G669" s="25">
        <v>977.0</v>
      </c>
      <c r="H669" s="25">
        <v>633.0</v>
      </c>
      <c r="I669" s="26">
        <f t="array" ref="I669">XLOOKUP($A669,product!A:A,product!E:E)</f>
        <v>1.91</v>
      </c>
      <c r="J669" s="25">
        <f t="shared" si="2"/>
        <v>1209.03</v>
      </c>
      <c r="K669" s="27">
        <f t="shared" si="3"/>
        <v>1</v>
      </c>
      <c r="L669" s="25">
        <f t="shared" si="4"/>
        <v>1</v>
      </c>
    </row>
    <row r="670">
      <c r="A670" s="19">
        <v>46441.0</v>
      </c>
      <c r="B670" s="20" t="str">
        <f t="array" ref="B670">xlookup($A670,product!$A:$A,product!B:B)</f>
        <v>Maison</v>
      </c>
      <c r="C670" s="20" t="str">
        <f t="array" ref="C670">xlookup($A670,product!$A:$A,product!C:C)</f>
        <v>Entretien</v>
      </c>
      <c r="D670" s="20" t="str">
        <f t="array" ref="D670">xlookup($A670,product!$A:$A,product!D:D)</f>
        <v>Anti insectes</v>
      </c>
      <c r="E670" s="4" t="str">
        <f t="shared" si="1"/>
        <v>46441-Entretien-Anti insectes</v>
      </c>
      <c r="F670" s="4">
        <v>1.0</v>
      </c>
      <c r="G670" s="4">
        <v>644.0</v>
      </c>
      <c r="H670" s="4">
        <v>581.0</v>
      </c>
      <c r="I670" s="21">
        <f t="array" ref="I670">XLOOKUP($A670,product!A:A,product!E:E)</f>
        <v>3.57</v>
      </c>
      <c r="J670" s="4">
        <f t="shared" si="2"/>
        <v>2074.17</v>
      </c>
      <c r="K670" s="22">
        <f t="shared" si="3"/>
        <v>1</v>
      </c>
      <c r="L670" s="4">
        <f t="shared" si="4"/>
        <v>1</v>
      </c>
    </row>
    <row r="671">
      <c r="A671" s="23">
        <v>11085.0</v>
      </c>
      <c r="B671" s="24" t="str">
        <f t="array" ref="B671">xlookup($A671,product!$A:$A,product!B:B)</f>
        <v>Maison</v>
      </c>
      <c r="C671" s="24" t="str">
        <f t="array" ref="C671">xlookup($A671,product!$A:$A,product!C:C)</f>
        <v>Entretien</v>
      </c>
      <c r="D671" s="24" t="str">
        <f t="array" ref="D671">xlookup($A671,product!$A:$A,product!D:D)</f>
        <v>Anti insectes</v>
      </c>
      <c r="E671" s="25" t="str">
        <f t="shared" si="1"/>
        <v>11085-Entretien-Anti insectes</v>
      </c>
      <c r="F671" s="25">
        <v>0.0</v>
      </c>
      <c r="G671" s="25">
        <v>843.0</v>
      </c>
      <c r="H671" s="25">
        <v>203.0</v>
      </c>
      <c r="I671" s="26">
        <f t="array" ref="I671">XLOOKUP($A671,product!A:A,product!E:E)</f>
        <v>4.4</v>
      </c>
      <c r="J671" s="25">
        <f t="shared" si="2"/>
        <v>893.2</v>
      </c>
      <c r="K671" s="27">
        <f t="shared" si="3"/>
        <v>1</v>
      </c>
      <c r="L671" s="25">
        <f t="shared" si="4"/>
        <v>1</v>
      </c>
    </row>
    <row r="672">
      <c r="A672" s="19">
        <v>96441.0</v>
      </c>
      <c r="B672" s="20" t="str">
        <f t="array" ref="B672">xlookup($A672,product!$A:$A,product!B:B)</f>
        <v>Maison</v>
      </c>
      <c r="C672" s="20" t="str">
        <f t="array" ref="C672">xlookup($A672,product!$A:$A,product!C:C)</f>
        <v>Entretien</v>
      </c>
      <c r="D672" s="20" t="str">
        <f t="array" ref="D672">xlookup($A672,product!$A:$A,product!D:D)</f>
        <v>Anti insectes</v>
      </c>
      <c r="E672" s="4" t="str">
        <f t="shared" si="1"/>
        <v>96441-Entretien-Anti insectes</v>
      </c>
      <c r="F672" s="4">
        <v>1.0</v>
      </c>
      <c r="G672" s="4">
        <v>835.0</v>
      </c>
      <c r="H672" s="4">
        <v>722.0</v>
      </c>
      <c r="I672" s="21">
        <f t="array" ref="I672">XLOOKUP($A672,product!A:A,product!E:E)</f>
        <v>3.29</v>
      </c>
      <c r="J672" s="4">
        <f t="shared" si="2"/>
        <v>2375.38</v>
      </c>
      <c r="K672" s="22">
        <f t="shared" si="3"/>
        <v>1</v>
      </c>
      <c r="L672" s="4">
        <f t="shared" si="4"/>
        <v>1</v>
      </c>
    </row>
    <row r="673">
      <c r="A673" s="23">
        <v>82131.0</v>
      </c>
      <c r="B673" s="24" t="str">
        <f t="array" ref="B673">xlookup($A673,product!$A:$A,product!B:B)</f>
        <v>Maison</v>
      </c>
      <c r="C673" s="24" t="str">
        <f t="array" ref="C673">xlookup($A673,product!$A:$A,product!C:C)</f>
        <v>Entretien</v>
      </c>
      <c r="D673" s="24" t="str">
        <f t="array" ref="D673">xlookup($A673,product!$A:$A,product!D:D)</f>
        <v>Anti insectes</v>
      </c>
      <c r="E673" s="25" t="str">
        <f t="shared" si="1"/>
        <v>82131-Entretien-Anti insectes</v>
      </c>
      <c r="F673" s="25">
        <v>0.0</v>
      </c>
      <c r="G673" s="25">
        <v>163.0</v>
      </c>
      <c r="H673" s="25">
        <v>45.0</v>
      </c>
      <c r="I673" s="26">
        <f t="array" ref="I673">XLOOKUP($A673,product!A:A,product!E:E)</f>
        <v>3.31</v>
      </c>
      <c r="J673" s="25">
        <f t="shared" si="2"/>
        <v>148.95</v>
      </c>
      <c r="K673" s="27">
        <f t="shared" si="3"/>
        <v>1</v>
      </c>
      <c r="L673" s="25">
        <f t="shared" si="4"/>
        <v>1</v>
      </c>
    </row>
    <row r="674">
      <c r="A674" s="19">
        <v>46440.0</v>
      </c>
      <c r="B674" s="20" t="str">
        <f t="array" ref="B674">xlookup($A674,product!$A:$A,product!B:B)</f>
        <v>Maison</v>
      </c>
      <c r="C674" s="20" t="str">
        <f t="array" ref="C674">xlookup($A674,product!$A:$A,product!C:C)</f>
        <v>Entretien</v>
      </c>
      <c r="D674" s="20" t="str">
        <f t="array" ref="D674">xlookup($A674,product!$A:$A,product!D:D)</f>
        <v>Anti insectes</v>
      </c>
      <c r="E674" s="4" t="str">
        <f t="shared" si="1"/>
        <v>46440-Entretien-Anti insectes</v>
      </c>
      <c r="F674" s="4">
        <v>1.0</v>
      </c>
      <c r="G674" s="4">
        <v>375.0</v>
      </c>
      <c r="H674" s="4">
        <v>243.0</v>
      </c>
      <c r="I674" s="21">
        <f t="array" ref="I674">XLOOKUP($A674,product!A:A,product!E:E)</f>
        <v>3.47</v>
      </c>
      <c r="J674" s="4">
        <f t="shared" si="2"/>
        <v>843.21</v>
      </c>
      <c r="K674" s="22">
        <f t="shared" si="3"/>
        <v>1</v>
      </c>
      <c r="L674" s="4">
        <f t="shared" si="4"/>
        <v>1</v>
      </c>
    </row>
    <row r="675">
      <c r="A675" s="23">
        <v>23214.0</v>
      </c>
      <c r="B675" s="24" t="str">
        <f t="array" ref="B675">xlookup($A675,product!$A:$A,product!B:B)</f>
        <v>Maison</v>
      </c>
      <c r="C675" s="24" t="str">
        <f t="array" ref="C675">xlookup($A675,product!$A:$A,product!C:C)</f>
        <v>Entretien</v>
      </c>
      <c r="D675" s="24" t="str">
        <f t="array" ref="D675">xlookup($A675,product!$A:$A,product!D:D)</f>
        <v>Anti insectes</v>
      </c>
      <c r="E675" s="25" t="str">
        <f t="shared" si="1"/>
        <v>23214-Entretien-Anti insectes</v>
      </c>
      <c r="F675" s="25">
        <v>0.0</v>
      </c>
      <c r="G675" s="25">
        <v>269.0</v>
      </c>
      <c r="H675" s="25">
        <v>246.0</v>
      </c>
      <c r="I675" s="26">
        <f t="array" ref="I675">XLOOKUP($A675,product!A:A,product!E:E)</f>
        <v>2.64</v>
      </c>
      <c r="J675" s="25">
        <f t="shared" si="2"/>
        <v>649.44</v>
      </c>
      <c r="K675" s="27">
        <f t="shared" si="3"/>
        <v>1</v>
      </c>
      <c r="L675" s="25">
        <f t="shared" si="4"/>
        <v>1</v>
      </c>
    </row>
    <row r="676">
      <c r="A676" s="19">
        <v>82134.0</v>
      </c>
      <c r="B676" s="20" t="str">
        <f t="array" ref="B676">xlookup($A676,product!$A:$A,product!B:B)</f>
        <v>Maison</v>
      </c>
      <c r="C676" s="20" t="str">
        <f t="array" ref="C676">xlookup($A676,product!$A:$A,product!C:C)</f>
        <v>Entretien</v>
      </c>
      <c r="D676" s="20" t="str">
        <f t="array" ref="D676">xlookup($A676,product!$A:$A,product!D:D)</f>
        <v>Anti insectes</v>
      </c>
      <c r="E676" s="4" t="str">
        <f t="shared" si="1"/>
        <v>82134-Entretien-Anti insectes</v>
      </c>
      <c r="F676" s="4">
        <v>0.0</v>
      </c>
      <c r="G676" s="4">
        <v>416.0</v>
      </c>
      <c r="H676" s="4">
        <v>333.0</v>
      </c>
      <c r="I676" s="21">
        <f t="array" ref="I676">XLOOKUP($A676,product!A:A,product!E:E)</f>
        <v>5.64</v>
      </c>
      <c r="J676" s="4">
        <f t="shared" si="2"/>
        <v>1878.12</v>
      </c>
      <c r="K676" s="22">
        <f t="shared" si="3"/>
        <v>1</v>
      </c>
      <c r="L676" s="4">
        <f t="shared" si="4"/>
        <v>1</v>
      </c>
    </row>
    <row r="677">
      <c r="A677" s="23">
        <v>46439.0</v>
      </c>
      <c r="B677" s="24" t="str">
        <f t="array" ref="B677">xlookup($A677,product!$A:$A,product!B:B)</f>
        <v>Maison</v>
      </c>
      <c r="C677" s="24" t="str">
        <f t="array" ref="C677">xlookup($A677,product!$A:$A,product!C:C)</f>
        <v>Entretien</v>
      </c>
      <c r="D677" s="24" t="str">
        <f t="array" ref="D677">xlookup($A677,product!$A:$A,product!D:D)</f>
        <v>Anti insectes</v>
      </c>
      <c r="E677" s="25" t="str">
        <f t="shared" si="1"/>
        <v>46439-Entretien-Anti insectes</v>
      </c>
      <c r="F677" s="25">
        <v>0.0</v>
      </c>
      <c r="G677" s="25">
        <v>880.0</v>
      </c>
      <c r="H677" s="25">
        <v>803.0</v>
      </c>
      <c r="I677" s="26">
        <f t="array" ref="I677">XLOOKUP($A677,product!A:A,product!E:E)</f>
        <v>3.29</v>
      </c>
      <c r="J677" s="25">
        <f t="shared" si="2"/>
        <v>2641.87</v>
      </c>
      <c r="K677" s="27">
        <f t="shared" si="3"/>
        <v>1</v>
      </c>
      <c r="L677" s="25">
        <f t="shared" si="4"/>
        <v>1</v>
      </c>
    </row>
    <row r="678">
      <c r="A678" s="19">
        <v>116451.0</v>
      </c>
      <c r="B678" s="20" t="str">
        <f t="array" ref="B678">xlookup($A678,product!$A:$A,product!B:B)</f>
        <v>Maison</v>
      </c>
      <c r="C678" s="20" t="str">
        <f t="array" ref="C678">xlookup($A678,product!$A:$A,product!C:C)</f>
        <v>Entretien</v>
      </c>
      <c r="D678" s="20" t="str">
        <f t="array" ref="D678">xlookup($A678,product!$A:$A,product!D:D)</f>
        <v>Soin du linge</v>
      </c>
      <c r="E678" s="4" t="str">
        <f t="shared" si="1"/>
        <v>116451-Entretien-Soin du linge</v>
      </c>
      <c r="F678" s="4">
        <v>0.0</v>
      </c>
      <c r="G678" s="4">
        <v>27.0</v>
      </c>
      <c r="H678" s="4">
        <v>20.0</v>
      </c>
      <c r="I678" s="21">
        <f t="array" ref="I678">XLOOKUP($A678,product!A:A,product!E:E)</f>
        <v>2.2</v>
      </c>
      <c r="J678" s="4">
        <f t="shared" si="2"/>
        <v>44</v>
      </c>
      <c r="K678" s="22">
        <f t="shared" si="3"/>
        <v>1</v>
      </c>
      <c r="L678" s="4">
        <f t="shared" si="4"/>
        <v>1</v>
      </c>
    </row>
    <row r="679">
      <c r="A679" s="23">
        <v>147340.0</v>
      </c>
      <c r="B679" s="24" t="str">
        <f t="array" ref="B679">xlookup($A679,product!$A:$A,product!B:B)</f>
        <v>Maison</v>
      </c>
      <c r="C679" s="24" t="str">
        <f t="array" ref="C679">xlookup($A679,product!$A:$A,product!C:C)</f>
        <v>Entretien</v>
      </c>
      <c r="D679" s="24" t="str">
        <f t="array" ref="D679">xlookup($A679,product!$A:$A,product!D:D)</f>
        <v>Soin du linge</v>
      </c>
      <c r="E679" s="25" t="str">
        <f t="shared" si="1"/>
        <v>147340-Entretien-Soin du linge</v>
      </c>
      <c r="F679" s="25">
        <v>0.0</v>
      </c>
      <c r="G679" s="25">
        <v>397.0</v>
      </c>
      <c r="H679" s="25">
        <v>235.0</v>
      </c>
      <c r="I679" s="26">
        <f t="array" ref="I679">XLOOKUP($A679,product!A:A,product!E:E)</f>
        <v>0.76</v>
      </c>
      <c r="J679" s="25">
        <f t="shared" si="2"/>
        <v>178.6</v>
      </c>
      <c r="K679" s="27">
        <f t="shared" si="3"/>
        <v>1</v>
      </c>
      <c r="L679" s="25">
        <f t="shared" si="4"/>
        <v>1</v>
      </c>
    </row>
    <row r="680">
      <c r="A680" s="19">
        <v>140602.0</v>
      </c>
      <c r="B680" s="20" t="str">
        <f t="array" ref="B680">xlookup($A680,product!$A:$A,product!B:B)</f>
        <v>Maison</v>
      </c>
      <c r="C680" s="20" t="str">
        <f t="array" ref="C680">xlookup($A680,product!$A:$A,product!C:C)</f>
        <v>Entretien</v>
      </c>
      <c r="D680" s="20" t="str">
        <f t="array" ref="D680">xlookup($A680,product!$A:$A,product!D:D)</f>
        <v>Soin du linge</v>
      </c>
      <c r="E680" s="4" t="str">
        <f t="shared" si="1"/>
        <v>140602-Entretien-Soin du linge</v>
      </c>
      <c r="F680" s="4">
        <v>0.0</v>
      </c>
      <c r="G680" s="4">
        <v>297.0</v>
      </c>
      <c r="H680" s="4">
        <v>175.0</v>
      </c>
      <c r="I680" s="21">
        <f t="array" ref="I680">XLOOKUP($A680,product!A:A,product!E:E)</f>
        <v>3.83</v>
      </c>
      <c r="J680" s="4">
        <f t="shared" si="2"/>
        <v>670.25</v>
      </c>
      <c r="K680" s="22">
        <f t="shared" si="3"/>
        <v>1</v>
      </c>
      <c r="L680" s="4">
        <f t="shared" si="4"/>
        <v>1</v>
      </c>
    </row>
    <row r="681">
      <c r="A681" s="23">
        <v>109174.0</v>
      </c>
      <c r="B681" s="24" t="str">
        <f t="array" ref="B681">xlookup($A681,product!$A:$A,product!B:B)</f>
        <v>Maison</v>
      </c>
      <c r="C681" s="24" t="str">
        <f t="array" ref="C681">xlookup($A681,product!$A:$A,product!C:C)</f>
        <v>Entretien</v>
      </c>
      <c r="D681" s="24" t="str">
        <f t="array" ref="D681">xlookup($A681,product!$A:$A,product!D:D)</f>
        <v>Soin du linge</v>
      </c>
      <c r="E681" s="25" t="str">
        <f t="shared" si="1"/>
        <v>109174-Entretien-Soin du linge</v>
      </c>
      <c r="F681" s="25">
        <v>1.0</v>
      </c>
      <c r="G681" s="25">
        <v>236.0</v>
      </c>
      <c r="H681" s="25">
        <v>119.0</v>
      </c>
      <c r="I681" s="26">
        <f t="array" ref="I681">XLOOKUP($A681,product!A:A,product!E:E)</f>
        <v>6.67</v>
      </c>
      <c r="J681" s="25">
        <f t="shared" si="2"/>
        <v>793.73</v>
      </c>
      <c r="K681" s="27">
        <f t="shared" si="3"/>
        <v>1</v>
      </c>
      <c r="L681" s="25">
        <f t="shared" si="4"/>
        <v>1</v>
      </c>
    </row>
    <row r="682">
      <c r="A682" s="19">
        <v>2795.0</v>
      </c>
      <c r="B682" s="20" t="str">
        <f t="array" ref="B682">xlookup($A682,product!$A:$A,product!B:B)</f>
        <v>Maison</v>
      </c>
      <c r="C682" s="20" t="str">
        <f t="array" ref="C682">xlookup($A682,product!$A:$A,product!C:C)</f>
        <v>Entretien</v>
      </c>
      <c r="D682" s="20" t="str">
        <f t="array" ref="D682">xlookup($A682,product!$A:$A,product!D:D)</f>
        <v>Soin du linge</v>
      </c>
      <c r="E682" s="4" t="str">
        <f t="shared" si="1"/>
        <v>2795-Entretien-Soin du linge</v>
      </c>
      <c r="F682" s="4">
        <v>1.0</v>
      </c>
      <c r="G682" s="4">
        <v>545.0</v>
      </c>
      <c r="H682" s="4">
        <v>480.0</v>
      </c>
      <c r="I682" s="21">
        <f t="array" ref="I682">XLOOKUP($A682,product!A:A,product!E:E)</f>
        <v>2.63</v>
      </c>
      <c r="J682" s="4">
        <f t="shared" si="2"/>
        <v>1262.4</v>
      </c>
      <c r="K682" s="22">
        <f t="shared" si="3"/>
        <v>1</v>
      </c>
      <c r="L682" s="4">
        <f t="shared" si="4"/>
        <v>1</v>
      </c>
    </row>
    <row r="683">
      <c r="A683" s="23">
        <v>141867.0</v>
      </c>
      <c r="B683" s="24" t="str">
        <f t="array" ref="B683">xlookup($A683,product!$A:$A,product!B:B)</f>
        <v>Maison</v>
      </c>
      <c r="C683" s="24" t="str">
        <f t="array" ref="C683">xlookup($A683,product!$A:$A,product!C:C)</f>
        <v>Entretien</v>
      </c>
      <c r="D683" s="24" t="str">
        <f t="array" ref="D683">xlookup($A683,product!$A:$A,product!D:D)</f>
        <v>Soin du linge</v>
      </c>
      <c r="E683" s="25" t="str">
        <f t="shared" si="1"/>
        <v>141867-Entretien-Soin du linge</v>
      </c>
      <c r="F683" s="25">
        <v>1.0</v>
      </c>
      <c r="G683" s="25">
        <v>692.0</v>
      </c>
      <c r="H683" s="25">
        <v>384.0</v>
      </c>
      <c r="I683" s="26">
        <f t="array" ref="I683">XLOOKUP($A683,product!A:A,product!E:E)</f>
        <v>5.93</v>
      </c>
      <c r="J683" s="25">
        <f t="shared" si="2"/>
        <v>2277.12</v>
      </c>
      <c r="K683" s="27">
        <f t="shared" si="3"/>
        <v>1</v>
      </c>
      <c r="L683" s="25">
        <f t="shared" si="4"/>
        <v>1</v>
      </c>
    </row>
    <row r="684">
      <c r="A684" s="19">
        <v>118152.0</v>
      </c>
      <c r="B684" s="20" t="str">
        <f t="array" ref="B684">xlookup($A684,product!$A:$A,product!B:B)</f>
        <v>Maison</v>
      </c>
      <c r="C684" s="20" t="str">
        <f t="array" ref="C684">xlookup($A684,product!$A:$A,product!C:C)</f>
        <v>Entretien</v>
      </c>
      <c r="D684" s="20" t="str">
        <f t="array" ref="D684">xlookup($A684,product!$A:$A,product!D:D)</f>
        <v>Soin du linge</v>
      </c>
      <c r="E684" s="4" t="str">
        <f t="shared" si="1"/>
        <v>118152-Entretien-Soin du linge</v>
      </c>
      <c r="F684" s="4">
        <v>1.0</v>
      </c>
      <c r="G684" s="4">
        <v>884.0</v>
      </c>
      <c r="H684" s="4">
        <v>748.0</v>
      </c>
      <c r="I684" s="21">
        <f t="array" ref="I684">XLOOKUP($A684,product!A:A,product!E:E)</f>
        <v>2.01</v>
      </c>
      <c r="J684" s="4">
        <f t="shared" si="2"/>
        <v>1503.48</v>
      </c>
      <c r="K684" s="22">
        <f t="shared" si="3"/>
        <v>1</v>
      </c>
      <c r="L684" s="4">
        <f t="shared" si="4"/>
        <v>1</v>
      </c>
    </row>
    <row r="685">
      <c r="A685" s="23">
        <v>1607.0</v>
      </c>
      <c r="B685" s="24" t="str">
        <f t="array" ref="B685">xlookup($A685,product!$A:$A,product!B:B)</f>
        <v>Maison</v>
      </c>
      <c r="C685" s="24" t="str">
        <f t="array" ref="C685">xlookup($A685,product!$A:$A,product!C:C)</f>
        <v>Entretien</v>
      </c>
      <c r="D685" s="24" t="str">
        <f t="array" ref="D685">xlookup($A685,product!$A:$A,product!D:D)</f>
        <v>Soin du linge</v>
      </c>
      <c r="E685" s="25" t="str">
        <f t="shared" si="1"/>
        <v>1607-Entretien-Soin du linge</v>
      </c>
      <c r="F685" s="25">
        <v>0.0</v>
      </c>
      <c r="G685" s="25">
        <v>379.0</v>
      </c>
      <c r="H685" s="25">
        <v>104.0</v>
      </c>
      <c r="I685" s="26">
        <f t="array" ref="I685">XLOOKUP($A685,product!A:A,product!E:E)</f>
        <v>1.66</v>
      </c>
      <c r="J685" s="25">
        <f t="shared" si="2"/>
        <v>172.64</v>
      </c>
      <c r="K685" s="27">
        <f t="shared" si="3"/>
        <v>1</v>
      </c>
      <c r="L685" s="25">
        <f t="shared" si="4"/>
        <v>1</v>
      </c>
    </row>
    <row r="686">
      <c r="A686" s="19">
        <v>71322.0</v>
      </c>
      <c r="B686" s="20" t="str">
        <f t="array" ref="B686">xlookup($A686,product!$A:$A,product!B:B)</f>
        <v>Maison</v>
      </c>
      <c r="C686" s="20" t="str">
        <f t="array" ref="C686">xlookup($A686,product!$A:$A,product!C:C)</f>
        <v>Entretien</v>
      </c>
      <c r="D686" s="20" t="str">
        <f t="array" ref="D686">xlookup($A686,product!$A:$A,product!D:D)</f>
        <v>Soin du linge</v>
      </c>
      <c r="E686" s="4" t="str">
        <f t="shared" si="1"/>
        <v>71322-Entretien-Soin du linge</v>
      </c>
      <c r="F686" s="4">
        <v>0.0</v>
      </c>
      <c r="G686" s="4">
        <v>611.0</v>
      </c>
      <c r="H686" s="4">
        <v>595.0</v>
      </c>
      <c r="I686" s="21">
        <f t="array" ref="I686">XLOOKUP($A686,product!A:A,product!E:E)</f>
        <v>8.68</v>
      </c>
      <c r="J686" s="4">
        <f t="shared" si="2"/>
        <v>5164.6</v>
      </c>
      <c r="K686" s="22">
        <f t="shared" si="3"/>
        <v>1</v>
      </c>
      <c r="L686" s="4">
        <f t="shared" si="4"/>
        <v>1</v>
      </c>
    </row>
    <row r="687">
      <c r="A687" s="23">
        <v>88773.0</v>
      </c>
      <c r="B687" s="24" t="str">
        <f t="array" ref="B687">xlookup($A687,product!$A:$A,product!B:B)</f>
        <v>Maison</v>
      </c>
      <c r="C687" s="24" t="str">
        <f t="array" ref="C687">xlookup($A687,product!$A:$A,product!C:C)</f>
        <v>Entretien</v>
      </c>
      <c r="D687" s="24" t="str">
        <f t="array" ref="D687">xlookup($A687,product!$A:$A,product!D:D)</f>
        <v>Soin du linge</v>
      </c>
      <c r="E687" s="25" t="str">
        <f t="shared" si="1"/>
        <v>88773-Entretien-Soin du linge</v>
      </c>
      <c r="F687" s="25">
        <v>0.0</v>
      </c>
      <c r="G687" s="25">
        <v>187.0</v>
      </c>
      <c r="H687" s="25">
        <v>47.0</v>
      </c>
      <c r="I687" s="26">
        <f t="array" ref="I687">XLOOKUP($A687,product!A:A,product!E:E)</f>
        <v>2.19</v>
      </c>
      <c r="J687" s="25">
        <f t="shared" si="2"/>
        <v>102.93</v>
      </c>
      <c r="K687" s="27">
        <f t="shared" si="3"/>
        <v>1</v>
      </c>
      <c r="L687" s="25">
        <f t="shared" si="4"/>
        <v>1</v>
      </c>
    </row>
    <row r="688">
      <c r="A688" s="19">
        <v>46964.0</v>
      </c>
      <c r="B688" s="20" t="str">
        <f t="array" ref="B688">xlookup($A688,product!$A:$A,product!B:B)</f>
        <v>Maison</v>
      </c>
      <c r="C688" s="20" t="str">
        <f t="array" ref="C688">xlookup($A688,product!$A:$A,product!C:C)</f>
        <v>Entretien</v>
      </c>
      <c r="D688" s="20" t="str">
        <f t="array" ref="D688">xlookup($A688,product!$A:$A,product!D:D)</f>
        <v>Soin du linge</v>
      </c>
      <c r="E688" s="4" t="str">
        <f t="shared" si="1"/>
        <v>46964-Entretien-Soin du linge</v>
      </c>
      <c r="F688" s="4">
        <v>0.0</v>
      </c>
      <c r="G688" s="4">
        <v>266.0</v>
      </c>
      <c r="H688" s="4">
        <v>110.0</v>
      </c>
      <c r="I688" s="21">
        <f t="array" ref="I688">XLOOKUP($A688,product!A:A,product!E:E)</f>
        <v>7.27</v>
      </c>
      <c r="J688" s="4">
        <f t="shared" si="2"/>
        <v>799.7</v>
      </c>
      <c r="K688" s="22">
        <f t="shared" si="3"/>
        <v>1</v>
      </c>
      <c r="L688" s="4">
        <f t="shared" si="4"/>
        <v>1</v>
      </c>
    </row>
    <row r="689">
      <c r="A689" s="23">
        <v>104454.0</v>
      </c>
      <c r="B689" s="24" t="str">
        <f t="array" ref="B689">xlookup($A689,product!$A:$A,product!B:B)</f>
        <v>Maison</v>
      </c>
      <c r="C689" s="24" t="str">
        <f t="array" ref="C689">xlookup($A689,product!$A:$A,product!C:C)</f>
        <v>Entretien</v>
      </c>
      <c r="D689" s="24" t="str">
        <f t="array" ref="D689">xlookup($A689,product!$A:$A,product!D:D)</f>
        <v>Soin du linge</v>
      </c>
      <c r="E689" s="25" t="str">
        <f t="shared" si="1"/>
        <v>104454-Entretien-Soin du linge</v>
      </c>
      <c r="F689" s="25">
        <v>0.0</v>
      </c>
      <c r="G689" s="25">
        <v>277.0</v>
      </c>
      <c r="H689" s="25">
        <v>103.0</v>
      </c>
      <c r="I689" s="26">
        <f t="array" ref="I689">XLOOKUP($A689,product!A:A,product!E:E)</f>
        <v>2.06</v>
      </c>
      <c r="J689" s="25">
        <f t="shared" si="2"/>
        <v>212.18</v>
      </c>
      <c r="K689" s="27">
        <f t="shared" si="3"/>
        <v>1</v>
      </c>
      <c r="L689" s="25">
        <f t="shared" si="4"/>
        <v>1</v>
      </c>
    </row>
    <row r="690">
      <c r="A690" s="19">
        <v>8003.0</v>
      </c>
      <c r="B690" s="20" t="str">
        <f t="array" ref="B690">xlookup($A690,product!$A:$A,product!B:B)</f>
        <v>Maison</v>
      </c>
      <c r="C690" s="20" t="str">
        <f t="array" ref="C690">xlookup($A690,product!$A:$A,product!C:C)</f>
        <v>Entretien</v>
      </c>
      <c r="D690" s="20" t="str">
        <f t="array" ref="D690">xlookup($A690,product!$A:$A,product!D:D)</f>
        <v>Soin du linge</v>
      </c>
      <c r="E690" s="4" t="str">
        <f t="shared" si="1"/>
        <v>8003-Entretien-Soin du linge</v>
      </c>
      <c r="F690" s="4">
        <v>1.0</v>
      </c>
      <c r="G690" s="4">
        <v>110.0</v>
      </c>
      <c r="H690" s="4">
        <v>65.0</v>
      </c>
      <c r="I690" s="21">
        <f t="array" ref="I690">XLOOKUP($A690,product!A:A,product!E:E)</f>
        <v>1.91</v>
      </c>
      <c r="J690" s="4">
        <f t="shared" si="2"/>
        <v>124.15</v>
      </c>
      <c r="K690" s="22">
        <f t="shared" si="3"/>
        <v>1</v>
      </c>
      <c r="L690" s="4">
        <f t="shared" si="4"/>
        <v>1</v>
      </c>
    </row>
    <row r="691">
      <c r="A691" s="23">
        <v>90183.0</v>
      </c>
      <c r="B691" s="24" t="str">
        <f t="array" ref="B691">xlookup($A691,product!$A:$A,product!B:B)</f>
        <v>Maison</v>
      </c>
      <c r="C691" s="24" t="str">
        <f t="array" ref="C691">xlookup($A691,product!$A:$A,product!C:C)</f>
        <v>Entretien</v>
      </c>
      <c r="D691" s="24" t="str">
        <f t="array" ref="D691">xlookup($A691,product!$A:$A,product!D:D)</f>
        <v>Soin du linge</v>
      </c>
      <c r="E691" s="25" t="str">
        <f t="shared" si="1"/>
        <v>90183-Entretien-Soin du linge</v>
      </c>
      <c r="F691" s="25">
        <v>0.0</v>
      </c>
      <c r="G691" s="25">
        <v>781.0</v>
      </c>
      <c r="H691" s="25">
        <v>485.0</v>
      </c>
      <c r="I691" s="26">
        <f t="array" ref="I691">XLOOKUP($A691,product!A:A,product!E:E)</f>
        <v>9.45</v>
      </c>
      <c r="J691" s="25">
        <f t="shared" si="2"/>
        <v>4583.25</v>
      </c>
      <c r="K691" s="27">
        <f t="shared" si="3"/>
        <v>1</v>
      </c>
      <c r="L691" s="25">
        <f t="shared" si="4"/>
        <v>1</v>
      </c>
    </row>
    <row r="692">
      <c r="A692" s="19">
        <v>45489.0</v>
      </c>
      <c r="B692" s="20" t="str">
        <f t="array" ref="B692">xlookup($A692,product!$A:$A,product!B:B)</f>
        <v>Maison</v>
      </c>
      <c r="C692" s="20" t="str">
        <f t="array" ref="C692">xlookup($A692,product!$A:$A,product!C:C)</f>
        <v>Entretien</v>
      </c>
      <c r="D692" s="20" t="str">
        <f t="array" ref="D692">xlookup($A692,product!$A:$A,product!D:D)</f>
        <v>Soin du linge</v>
      </c>
      <c r="E692" s="4" t="str">
        <f t="shared" si="1"/>
        <v>45489-Entretien-Soin du linge</v>
      </c>
      <c r="F692" s="4">
        <v>1.0</v>
      </c>
      <c r="G692" s="4">
        <v>710.0</v>
      </c>
      <c r="H692" s="4">
        <v>141.0</v>
      </c>
      <c r="I692" s="21">
        <f t="array" ref="I692">XLOOKUP($A692,product!A:A,product!E:E)</f>
        <v>2.24</v>
      </c>
      <c r="J692" s="4">
        <f t="shared" si="2"/>
        <v>315.84</v>
      </c>
      <c r="K692" s="22">
        <f t="shared" si="3"/>
        <v>1</v>
      </c>
      <c r="L692" s="4">
        <f t="shared" si="4"/>
        <v>1</v>
      </c>
    </row>
    <row r="693">
      <c r="A693" s="23">
        <v>147337.0</v>
      </c>
      <c r="B693" s="24" t="str">
        <f t="array" ref="B693">xlookup($A693,product!$A:$A,product!B:B)</f>
        <v>Maison</v>
      </c>
      <c r="C693" s="24" t="str">
        <f t="array" ref="C693">xlookup($A693,product!$A:$A,product!C:C)</f>
        <v>Entretien</v>
      </c>
      <c r="D693" s="24" t="str">
        <f t="array" ref="D693">xlookup($A693,product!$A:$A,product!D:D)</f>
        <v>Soin du linge</v>
      </c>
      <c r="E693" s="25" t="str">
        <f t="shared" si="1"/>
        <v>147337-Entretien-Soin du linge</v>
      </c>
      <c r="F693" s="25">
        <v>1.0</v>
      </c>
      <c r="G693" s="25">
        <v>574.0</v>
      </c>
      <c r="H693" s="25">
        <v>249.0</v>
      </c>
      <c r="I693" s="26">
        <f t="array" ref="I693">XLOOKUP($A693,product!A:A,product!E:E)</f>
        <v>2.32</v>
      </c>
      <c r="J693" s="25">
        <f t="shared" si="2"/>
        <v>577.68</v>
      </c>
      <c r="K693" s="27">
        <f t="shared" si="3"/>
        <v>1</v>
      </c>
      <c r="L693" s="25">
        <f t="shared" si="4"/>
        <v>1</v>
      </c>
    </row>
    <row r="694">
      <c r="A694" s="19">
        <v>116446.0</v>
      </c>
      <c r="B694" s="20" t="str">
        <f t="array" ref="B694">xlookup($A694,product!$A:$A,product!B:B)</f>
        <v>Maison</v>
      </c>
      <c r="C694" s="20" t="str">
        <f t="array" ref="C694">xlookup($A694,product!$A:$A,product!C:C)</f>
        <v>Entretien</v>
      </c>
      <c r="D694" s="20" t="str">
        <f t="array" ref="D694">xlookup($A694,product!$A:$A,product!D:D)</f>
        <v>Soin du linge</v>
      </c>
      <c r="E694" s="4" t="str">
        <f t="shared" si="1"/>
        <v>116446-Entretien-Soin du linge</v>
      </c>
      <c r="F694" s="4">
        <v>1.0</v>
      </c>
      <c r="G694" s="4">
        <v>849.0</v>
      </c>
      <c r="H694" s="4">
        <v>149.0</v>
      </c>
      <c r="I694" s="21">
        <f t="array" ref="I694">XLOOKUP($A694,product!A:A,product!E:E)</f>
        <v>2.2</v>
      </c>
      <c r="J694" s="4">
        <f t="shared" si="2"/>
        <v>327.8</v>
      </c>
      <c r="K694" s="22">
        <f t="shared" si="3"/>
        <v>1</v>
      </c>
      <c r="L694" s="4">
        <f t="shared" si="4"/>
        <v>1</v>
      </c>
    </row>
    <row r="695">
      <c r="A695" s="23">
        <v>44760.0</v>
      </c>
      <c r="B695" s="24" t="str">
        <f t="array" ref="B695">xlookup($A695,product!$A:$A,product!B:B)</f>
        <v>Maison</v>
      </c>
      <c r="C695" s="24" t="str">
        <f t="array" ref="C695">xlookup($A695,product!$A:$A,product!C:C)</f>
        <v>Entretien</v>
      </c>
      <c r="D695" s="24" t="str">
        <f t="array" ref="D695">xlookup($A695,product!$A:$A,product!D:D)</f>
        <v>Soin du linge</v>
      </c>
      <c r="E695" s="25" t="str">
        <f t="shared" si="1"/>
        <v>44760-Entretien-Soin du linge</v>
      </c>
      <c r="F695" s="25">
        <v>0.0</v>
      </c>
      <c r="G695" s="25">
        <v>849.0</v>
      </c>
      <c r="H695" s="25">
        <v>45.0</v>
      </c>
      <c r="I695" s="26">
        <f t="array" ref="I695">XLOOKUP($A695,product!A:A,product!E:E)</f>
        <v>0.96</v>
      </c>
      <c r="J695" s="25">
        <f t="shared" si="2"/>
        <v>43.2</v>
      </c>
      <c r="K695" s="27">
        <f t="shared" si="3"/>
        <v>1</v>
      </c>
      <c r="L695" s="25">
        <f t="shared" si="4"/>
        <v>1</v>
      </c>
    </row>
    <row r="696">
      <c r="A696" s="19">
        <v>44764.0</v>
      </c>
      <c r="B696" s="20" t="str">
        <f t="array" ref="B696">xlookup($A696,product!$A:$A,product!B:B)</f>
        <v>Maison</v>
      </c>
      <c r="C696" s="20" t="str">
        <f t="array" ref="C696">xlookup($A696,product!$A:$A,product!C:C)</f>
        <v>Entretien</v>
      </c>
      <c r="D696" s="20" t="str">
        <f t="array" ref="D696">xlookup($A696,product!$A:$A,product!D:D)</f>
        <v>Soin du linge</v>
      </c>
      <c r="E696" s="4" t="str">
        <f t="shared" si="1"/>
        <v>44764-Entretien-Soin du linge</v>
      </c>
      <c r="F696" s="4">
        <v>0.0</v>
      </c>
      <c r="G696" s="4">
        <v>958.0</v>
      </c>
      <c r="H696" s="4">
        <v>609.0</v>
      </c>
      <c r="I696" s="21">
        <f t="array" ref="I696">XLOOKUP($A696,product!A:A,product!E:E)</f>
        <v>1.81</v>
      </c>
      <c r="J696" s="4">
        <f t="shared" si="2"/>
        <v>1102.29</v>
      </c>
      <c r="K696" s="22">
        <f t="shared" si="3"/>
        <v>1</v>
      </c>
      <c r="L696" s="4">
        <f t="shared" si="4"/>
        <v>1</v>
      </c>
    </row>
    <row r="697">
      <c r="A697" s="23">
        <v>72801.0</v>
      </c>
      <c r="B697" s="24" t="str">
        <f t="array" ref="B697">xlookup($A697,product!$A:$A,product!B:B)</f>
        <v>Maison</v>
      </c>
      <c r="C697" s="24" t="str">
        <f t="array" ref="C697">xlookup($A697,product!$A:$A,product!C:C)</f>
        <v>Entretien</v>
      </c>
      <c r="D697" s="24" t="str">
        <f t="array" ref="D697">xlookup($A697,product!$A:$A,product!D:D)</f>
        <v>Soin du linge</v>
      </c>
      <c r="E697" s="25" t="str">
        <f t="shared" si="1"/>
        <v>72801-Entretien-Soin du linge</v>
      </c>
      <c r="F697" s="25">
        <v>1.0</v>
      </c>
      <c r="G697" s="25">
        <v>377.0</v>
      </c>
      <c r="H697" s="25">
        <v>214.0</v>
      </c>
      <c r="I697" s="26">
        <f t="array" ref="I697">XLOOKUP($A697,product!A:A,product!E:E)</f>
        <v>2.24</v>
      </c>
      <c r="J697" s="25">
        <f t="shared" si="2"/>
        <v>479.36</v>
      </c>
      <c r="K697" s="27">
        <f t="shared" si="3"/>
        <v>1</v>
      </c>
      <c r="L697" s="25">
        <f t="shared" si="4"/>
        <v>1</v>
      </c>
    </row>
    <row r="698">
      <c r="A698" s="19">
        <v>86573.0</v>
      </c>
      <c r="B698" s="20" t="str">
        <f t="array" ref="B698">xlookup($A698,product!$A:$A,product!B:B)</f>
        <v>Maison</v>
      </c>
      <c r="C698" s="20" t="str">
        <f t="array" ref="C698">xlookup($A698,product!$A:$A,product!C:C)</f>
        <v>Entretien</v>
      </c>
      <c r="D698" s="20" t="str">
        <f t="array" ref="D698">xlookup($A698,product!$A:$A,product!D:D)</f>
        <v>Soin du linge</v>
      </c>
      <c r="E698" s="4" t="str">
        <f t="shared" si="1"/>
        <v>86573-Entretien-Soin du linge</v>
      </c>
      <c r="F698" s="4">
        <v>1.0</v>
      </c>
      <c r="G698" s="4">
        <v>125.0</v>
      </c>
      <c r="H698" s="4">
        <v>57.0</v>
      </c>
      <c r="I698" s="21">
        <f t="array" ref="I698">XLOOKUP($A698,product!A:A,product!E:E)</f>
        <v>2.24</v>
      </c>
      <c r="J698" s="4">
        <f t="shared" si="2"/>
        <v>127.68</v>
      </c>
      <c r="K698" s="22">
        <f t="shared" si="3"/>
        <v>1</v>
      </c>
      <c r="L698" s="4">
        <f t="shared" si="4"/>
        <v>1</v>
      </c>
    </row>
    <row r="699">
      <c r="A699" s="23">
        <v>107784.0</v>
      </c>
      <c r="B699" s="24" t="str">
        <f t="array" ref="B699">xlookup($A699,product!$A:$A,product!B:B)</f>
        <v>Maison</v>
      </c>
      <c r="C699" s="24" t="str">
        <f t="array" ref="C699">xlookup($A699,product!$A:$A,product!C:C)</f>
        <v>Entretien</v>
      </c>
      <c r="D699" s="24" t="str">
        <f t="array" ref="D699">xlookup($A699,product!$A:$A,product!D:D)</f>
        <v>Soin du linge</v>
      </c>
      <c r="E699" s="25" t="str">
        <f t="shared" si="1"/>
        <v>107784-Entretien-Soin du linge</v>
      </c>
      <c r="F699" s="25">
        <v>1.0</v>
      </c>
      <c r="G699" s="25">
        <v>113.0</v>
      </c>
      <c r="H699" s="25">
        <v>45.0</v>
      </c>
      <c r="I699" s="26">
        <f t="array" ref="I699">XLOOKUP($A699,product!A:A,product!E:E)</f>
        <v>5.98</v>
      </c>
      <c r="J699" s="25">
        <f t="shared" si="2"/>
        <v>269.1</v>
      </c>
      <c r="K699" s="27">
        <f t="shared" si="3"/>
        <v>1</v>
      </c>
      <c r="L699" s="25">
        <f t="shared" si="4"/>
        <v>1</v>
      </c>
    </row>
    <row r="700">
      <c r="A700" s="19">
        <v>103388.0</v>
      </c>
      <c r="B700" s="20" t="str">
        <f t="array" ref="B700">xlookup($A700,product!$A:$A,product!B:B)</f>
        <v>Maison</v>
      </c>
      <c r="C700" s="20" t="str">
        <f t="array" ref="C700">xlookup($A700,product!$A:$A,product!C:C)</f>
        <v>Entretien</v>
      </c>
      <c r="D700" s="20" t="str">
        <f t="array" ref="D700">xlookup($A700,product!$A:$A,product!D:D)</f>
        <v>Soin du linge</v>
      </c>
      <c r="E700" s="4" t="str">
        <f t="shared" si="1"/>
        <v>103388-Entretien-Soin du linge</v>
      </c>
      <c r="F700" s="4">
        <v>1.0</v>
      </c>
      <c r="G700" s="4">
        <v>769.0</v>
      </c>
      <c r="H700" s="4">
        <v>80.0</v>
      </c>
      <c r="I700" s="21">
        <f t="array" ref="I700">XLOOKUP($A700,product!A:A,product!E:E)</f>
        <v>6.67</v>
      </c>
      <c r="J700" s="4">
        <f t="shared" si="2"/>
        <v>533.6</v>
      </c>
      <c r="K700" s="22">
        <f t="shared" si="3"/>
        <v>1</v>
      </c>
      <c r="L700" s="4">
        <f t="shared" si="4"/>
        <v>1</v>
      </c>
    </row>
    <row r="701">
      <c r="A701" s="23">
        <v>8004.0</v>
      </c>
      <c r="B701" s="24" t="str">
        <f t="array" ref="B701">xlookup($A701,product!$A:$A,product!B:B)</f>
        <v>Maison</v>
      </c>
      <c r="C701" s="24" t="str">
        <f t="array" ref="C701">xlookup($A701,product!$A:$A,product!C:C)</f>
        <v>Entretien</v>
      </c>
      <c r="D701" s="24" t="str">
        <f t="array" ref="D701">xlookup($A701,product!$A:$A,product!D:D)</f>
        <v>Soin du linge</v>
      </c>
      <c r="E701" s="25" t="str">
        <f t="shared" si="1"/>
        <v>8004-Entretien-Soin du linge</v>
      </c>
      <c r="F701" s="25">
        <v>1.0</v>
      </c>
      <c r="G701" s="25">
        <v>651.0</v>
      </c>
      <c r="H701" s="25">
        <v>207.0</v>
      </c>
      <c r="I701" s="26">
        <f t="array" ref="I701">XLOOKUP($A701,product!A:A,product!E:E)</f>
        <v>2.47</v>
      </c>
      <c r="J701" s="25">
        <f t="shared" si="2"/>
        <v>511.29</v>
      </c>
      <c r="K701" s="27">
        <f t="shared" si="3"/>
        <v>1</v>
      </c>
      <c r="L701" s="25">
        <f t="shared" si="4"/>
        <v>1</v>
      </c>
    </row>
    <row r="702">
      <c r="A702" s="19">
        <v>103387.0</v>
      </c>
      <c r="B702" s="20" t="str">
        <f t="array" ref="B702">xlookup($A702,product!$A:$A,product!B:B)</f>
        <v>Maison</v>
      </c>
      <c r="C702" s="20" t="str">
        <f t="array" ref="C702">xlookup($A702,product!$A:$A,product!C:C)</f>
        <v>Entretien</v>
      </c>
      <c r="D702" s="20" t="str">
        <f t="array" ref="D702">xlookup($A702,product!$A:$A,product!D:D)</f>
        <v>Soin du linge</v>
      </c>
      <c r="E702" s="4" t="str">
        <f t="shared" si="1"/>
        <v>103387-Entretien-Soin du linge</v>
      </c>
      <c r="F702" s="4">
        <v>0.0</v>
      </c>
      <c r="G702" s="4">
        <v>362.0</v>
      </c>
      <c r="H702" s="4">
        <v>258.0</v>
      </c>
      <c r="I702" s="21">
        <f t="array" ref="I702">XLOOKUP($A702,product!A:A,product!E:E)</f>
        <v>2.63</v>
      </c>
      <c r="J702" s="4">
        <f t="shared" si="2"/>
        <v>678.54</v>
      </c>
      <c r="K702" s="22">
        <f t="shared" si="3"/>
        <v>1</v>
      </c>
      <c r="L702" s="4">
        <f t="shared" si="4"/>
        <v>1</v>
      </c>
    </row>
    <row r="703">
      <c r="A703" s="23">
        <v>76731.0</v>
      </c>
      <c r="B703" s="24" t="str">
        <f t="array" ref="B703">xlookup($A703,product!$A:$A,product!B:B)</f>
        <v>Maison</v>
      </c>
      <c r="C703" s="24" t="str">
        <f t="array" ref="C703">xlookup($A703,product!$A:$A,product!C:C)</f>
        <v>Entretien</v>
      </c>
      <c r="D703" s="24" t="str">
        <f t="array" ref="D703">xlookup($A703,product!$A:$A,product!D:D)</f>
        <v>Soin du linge</v>
      </c>
      <c r="E703" s="25" t="str">
        <f t="shared" si="1"/>
        <v>76731-Entretien-Soin du linge</v>
      </c>
      <c r="F703" s="25">
        <v>0.0</v>
      </c>
      <c r="G703" s="25">
        <v>980.0</v>
      </c>
      <c r="H703" s="25">
        <v>541.0</v>
      </c>
      <c r="I703" s="26">
        <f t="array" ref="I703">XLOOKUP($A703,product!A:A,product!E:E)</f>
        <v>1.66</v>
      </c>
      <c r="J703" s="25">
        <f t="shared" si="2"/>
        <v>898.06</v>
      </c>
      <c r="K703" s="27">
        <f t="shared" si="3"/>
        <v>1</v>
      </c>
      <c r="L703" s="25">
        <f t="shared" si="4"/>
        <v>1</v>
      </c>
    </row>
    <row r="704">
      <c r="A704" s="19">
        <v>116449.0</v>
      </c>
      <c r="B704" s="20" t="str">
        <f t="array" ref="B704">xlookup($A704,product!$A:$A,product!B:B)</f>
        <v>Maison</v>
      </c>
      <c r="C704" s="20" t="str">
        <f t="array" ref="C704">xlookup($A704,product!$A:$A,product!C:C)</f>
        <v>Entretien</v>
      </c>
      <c r="D704" s="20" t="str">
        <f t="array" ref="D704">xlookup($A704,product!$A:$A,product!D:D)</f>
        <v>Soin du linge</v>
      </c>
      <c r="E704" s="4" t="str">
        <f t="shared" si="1"/>
        <v>116449-Entretien-Soin du linge</v>
      </c>
      <c r="F704" s="4">
        <v>1.0</v>
      </c>
      <c r="G704" s="4">
        <v>336.0</v>
      </c>
      <c r="H704" s="4">
        <v>136.0</v>
      </c>
      <c r="I704" s="21">
        <f t="array" ref="I704">XLOOKUP($A704,product!A:A,product!E:E)</f>
        <v>2.2</v>
      </c>
      <c r="J704" s="4">
        <f t="shared" si="2"/>
        <v>299.2</v>
      </c>
      <c r="K704" s="22">
        <f t="shared" si="3"/>
        <v>1</v>
      </c>
      <c r="L704" s="4">
        <f t="shared" si="4"/>
        <v>1</v>
      </c>
    </row>
    <row r="705">
      <c r="A705" s="23">
        <v>95211.0</v>
      </c>
      <c r="B705" s="24" t="str">
        <f t="array" ref="B705">xlookup($A705,product!$A:$A,product!B:B)</f>
        <v>Maison</v>
      </c>
      <c r="C705" s="24" t="str">
        <f t="array" ref="C705">xlookup($A705,product!$A:$A,product!C:C)</f>
        <v>Entretien</v>
      </c>
      <c r="D705" s="24" t="str">
        <f t="array" ref="D705">xlookup($A705,product!$A:$A,product!D:D)</f>
        <v>Soin du linge</v>
      </c>
      <c r="E705" s="25" t="str">
        <f t="shared" si="1"/>
        <v>95211-Entretien-Soin du linge</v>
      </c>
      <c r="F705" s="25">
        <v>0.0</v>
      </c>
      <c r="G705" s="25">
        <v>390.0</v>
      </c>
      <c r="H705" s="25">
        <v>261.0</v>
      </c>
      <c r="I705" s="26">
        <f t="array" ref="I705">XLOOKUP($A705,product!A:A,product!E:E)</f>
        <v>1.95</v>
      </c>
      <c r="J705" s="25">
        <f t="shared" si="2"/>
        <v>508.95</v>
      </c>
      <c r="K705" s="27">
        <f t="shared" si="3"/>
        <v>1</v>
      </c>
      <c r="L705" s="25">
        <f t="shared" si="4"/>
        <v>1</v>
      </c>
    </row>
    <row r="706">
      <c r="A706" s="19">
        <v>118255.0</v>
      </c>
      <c r="B706" s="20" t="str">
        <f t="array" ref="B706">xlookup($A706,product!$A:$A,product!B:B)</f>
        <v>Maison</v>
      </c>
      <c r="C706" s="20" t="str">
        <f t="array" ref="C706">xlookup($A706,product!$A:$A,product!C:C)</f>
        <v>Entretien</v>
      </c>
      <c r="D706" s="20" t="str">
        <f t="array" ref="D706">xlookup($A706,product!$A:$A,product!D:D)</f>
        <v>Soin du linge</v>
      </c>
      <c r="E706" s="4" t="str">
        <f t="shared" si="1"/>
        <v>118255-Entretien-Soin du linge</v>
      </c>
      <c r="F706" s="4">
        <v>0.0</v>
      </c>
      <c r="G706" s="4">
        <v>943.0</v>
      </c>
      <c r="H706" s="4">
        <v>902.0</v>
      </c>
      <c r="I706" s="21">
        <f t="array" ref="I706">XLOOKUP($A706,product!A:A,product!E:E)</f>
        <v>2.14</v>
      </c>
      <c r="J706" s="4">
        <f t="shared" si="2"/>
        <v>1930.28</v>
      </c>
      <c r="K706" s="22">
        <f t="shared" si="3"/>
        <v>1</v>
      </c>
      <c r="L706" s="4">
        <f t="shared" si="4"/>
        <v>1</v>
      </c>
    </row>
    <row r="707">
      <c r="A707" s="23">
        <v>8010.0</v>
      </c>
      <c r="B707" s="24" t="str">
        <f t="array" ref="B707">xlookup($A707,product!$A:$A,product!B:B)</f>
        <v>Maison</v>
      </c>
      <c r="C707" s="24" t="str">
        <f t="array" ref="C707">xlookup($A707,product!$A:$A,product!C:C)</f>
        <v>Entretien</v>
      </c>
      <c r="D707" s="24" t="str">
        <f t="array" ref="D707">xlookup($A707,product!$A:$A,product!D:D)</f>
        <v>Désodorisants</v>
      </c>
      <c r="E707" s="25" t="str">
        <f t="shared" si="1"/>
        <v>8010-Entretien-Désodorisants</v>
      </c>
      <c r="F707" s="25">
        <v>1.0</v>
      </c>
      <c r="G707" s="25">
        <v>923.0</v>
      </c>
      <c r="H707" s="25">
        <v>333.0</v>
      </c>
      <c r="I707" s="26">
        <f t="array" ref="I707">XLOOKUP($A707,product!A:A,product!E:E)</f>
        <v>5.56</v>
      </c>
      <c r="J707" s="25">
        <f t="shared" si="2"/>
        <v>1851.48</v>
      </c>
      <c r="K707" s="27">
        <f t="shared" si="3"/>
        <v>1</v>
      </c>
      <c r="L707" s="25">
        <f t="shared" si="4"/>
        <v>1</v>
      </c>
    </row>
    <row r="708">
      <c r="A708" s="19">
        <v>128351.0</v>
      </c>
      <c r="B708" s="20" t="str">
        <f t="array" ref="B708">xlookup($A708,product!$A:$A,product!B:B)</f>
        <v>Maison</v>
      </c>
      <c r="C708" s="20" t="str">
        <f t="array" ref="C708">xlookup($A708,product!$A:$A,product!C:C)</f>
        <v>Entretien</v>
      </c>
      <c r="D708" s="20" t="str">
        <f t="array" ref="D708">xlookup($A708,product!$A:$A,product!D:D)</f>
        <v>Désodorisants</v>
      </c>
      <c r="E708" s="4" t="str">
        <f t="shared" si="1"/>
        <v>128351-Entretien-Désodorisants</v>
      </c>
      <c r="F708" s="4">
        <v>0.0</v>
      </c>
      <c r="G708" s="4">
        <v>289.0</v>
      </c>
      <c r="H708" s="4">
        <v>105.0</v>
      </c>
      <c r="I708" s="21">
        <f t="array" ref="I708">XLOOKUP($A708,product!A:A,product!E:E)</f>
        <v>4.37</v>
      </c>
      <c r="J708" s="4">
        <f t="shared" si="2"/>
        <v>458.85</v>
      </c>
      <c r="K708" s="22">
        <f t="shared" si="3"/>
        <v>1</v>
      </c>
      <c r="L708" s="4">
        <f t="shared" si="4"/>
        <v>1</v>
      </c>
    </row>
    <row r="709">
      <c r="A709" s="23">
        <v>12452.0</v>
      </c>
      <c r="B709" s="24" t="str">
        <f t="array" ref="B709">xlookup($A709,product!$A:$A,product!B:B)</f>
        <v>Maison</v>
      </c>
      <c r="C709" s="24" t="str">
        <f t="array" ref="C709">xlookup($A709,product!$A:$A,product!C:C)</f>
        <v>Entretien</v>
      </c>
      <c r="D709" s="24" t="str">
        <f t="array" ref="D709">xlookup($A709,product!$A:$A,product!D:D)</f>
        <v>Désodorisants</v>
      </c>
      <c r="E709" s="25" t="str">
        <f t="shared" si="1"/>
        <v>12452-Entretien-Désodorisants</v>
      </c>
      <c r="F709" s="25">
        <v>0.0</v>
      </c>
      <c r="G709" s="25">
        <v>496.0</v>
      </c>
      <c r="H709" s="25">
        <v>163.0</v>
      </c>
      <c r="I709" s="26">
        <f t="array" ref="I709">XLOOKUP($A709,product!A:A,product!E:E)</f>
        <v>2.1</v>
      </c>
      <c r="J709" s="25">
        <f t="shared" si="2"/>
        <v>342.3</v>
      </c>
      <c r="K709" s="27">
        <f t="shared" si="3"/>
        <v>1</v>
      </c>
      <c r="L709" s="25">
        <f t="shared" si="4"/>
        <v>1</v>
      </c>
    </row>
    <row r="710">
      <c r="A710" s="19">
        <v>108996.0</v>
      </c>
      <c r="B710" s="20" t="str">
        <f t="array" ref="B710">xlookup($A710,product!$A:$A,product!B:B)</f>
        <v>Maison</v>
      </c>
      <c r="C710" s="20" t="str">
        <f t="array" ref="C710">xlookup($A710,product!$A:$A,product!C:C)</f>
        <v>Entretien</v>
      </c>
      <c r="D710" s="20" t="str">
        <f t="array" ref="D710">xlookup($A710,product!$A:$A,product!D:D)</f>
        <v>Désodorisants</v>
      </c>
      <c r="E710" s="4" t="str">
        <f t="shared" si="1"/>
        <v>108996-Entretien-Désodorisants</v>
      </c>
      <c r="F710" s="4">
        <v>0.0</v>
      </c>
      <c r="G710" s="4">
        <v>644.0</v>
      </c>
      <c r="H710" s="4">
        <v>17.0</v>
      </c>
      <c r="I710" s="21">
        <f t="array" ref="I710">XLOOKUP($A710,product!A:A,product!E:E)</f>
        <v>3.39</v>
      </c>
      <c r="J710" s="4">
        <f t="shared" si="2"/>
        <v>57.63</v>
      </c>
      <c r="K710" s="22">
        <f t="shared" si="3"/>
        <v>1</v>
      </c>
      <c r="L710" s="4">
        <f t="shared" si="4"/>
        <v>1</v>
      </c>
    </row>
    <row r="711">
      <c r="A711" s="23">
        <v>15638.0</v>
      </c>
      <c r="B711" s="24" t="str">
        <f t="array" ref="B711">xlookup($A711,product!$A:$A,product!B:B)</f>
        <v>Maison</v>
      </c>
      <c r="C711" s="24" t="str">
        <f t="array" ref="C711">xlookup($A711,product!$A:$A,product!C:C)</f>
        <v>Entretien</v>
      </c>
      <c r="D711" s="24" t="str">
        <f t="array" ref="D711">xlookup($A711,product!$A:$A,product!D:D)</f>
        <v>Désodorisants</v>
      </c>
      <c r="E711" s="25" t="str">
        <f t="shared" si="1"/>
        <v>15638-Entretien-Désodorisants</v>
      </c>
      <c r="F711" s="25">
        <v>1.0</v>
      </c>
      <c r="G711" s="25">
        <v>270.0</v>
      </c>
      <c r="H711" s="25">
        <v>25.0</v>
      </c>
      <c r="I711" s="26">
        <f t="array" ref="I711">XLOOKUP($A711,product!A:A,product!E:E)</f>
        <v>3.5</v>
      </c>
      <c r="J711" s="25">
        <f t="shared" si="2"/>
        <v>87.5</v>
      </c>
      <c r="K711" s="27">
        <f t="shared" si="3"/>
        <v>1</v>
      </c>
      <c r="L711" s="25">
        <f t="shared" si="4"/>
        <v>1</v>
      </c>
    </row>
    <row r="712">
      <c r="A712" s="19">
        <v>118109.0</v>
      </c>
      <c r="B712" s="20" t="str">
        <f t="array" ref="B712">xlookup($A712,product!$A:$A,product!B:B)</f>
        <v>Maison</v>
      </c>
      <c r="C712" s="20" t="str">
        <f t="array" ref="C712">xlookup($A712,product!$A:$A,product!C:C)</f>
        <v>Entretien</v>
      </c>
      <c r="D712" s="20" t="str">
        <f t="array" ref="D712">xlookup($A712,product!$A:$A,product!D:D)</f>
        <v>Désodorisants</v>
      </c>
      <c r="E712" s="4" t="str">
        <f t="shared" si="1"/>
        <v>118109-Entretien-Désodorisants</v>
      </c>
      <c r="F712" s="4">
        <v>0.0</v>
      </c>
      <c r="G712" s="4">
        <v>791.0</v>
      </c>
      <c r="H712" s="4">
        <v>164.0</v>
      </c>
      <c r="I712" s="21">
        <f t="array" ref="I712">XLOOKUP($A712,product!A:A,product!E:E)</f>
        <v>3.34</v>
      </c>
      <c r="J712" s="4">
        <f t="shared" si="2"/>
        <v>547.76</v>
      </c>
      <c r="K712" s="22">
        <f t="shared" si="3"/>
        <v>1</v>
      </c>
      <c r="L712" s="4">
        <f t="shared" si="4"/>
        <v>1</v>
      </c>
    </row>
    <row r="713">
      <c r="A713" s="23">
        <v>15634.0</v>
      </c>
      <c r="B713" s="24" t="str">
        <f t="array" ref="B713">xlookup($A713,product!$A:$A,product!B:B)</f>
        <v>Maison</v>
      </c>
      <c r="C713" s="24" t="str">
        <f t="array" ref="C713">xlookup($A713,product!$A:$A,product!C:C)</f>
        <v>Entretien</v>
      </c>
      <c r="D713" s="24" t="str">
        <f t="array" ref="D713">xlookup($A713,product!$A:$A,product!D:D)</f>
        <v>Désodorisants</v>
      </c>
      <c r="E713" s="25" t="str">
        <f t="shared" si="1"/>
        <v>15634-Entretien-Désodorisants</v>
      </c>
      <c r="F713" s="25">
        <v>1.0</v>
      </c>
      <c r="G713" s="25">
        <v>610.0</v>
      </c>
      <c r="H713" s="25">
        <v>303.0</v>
      </c>
      <c r="I713" s="26">
        <f t="array" ref="I713">XLOOKUP($A713,product!A:A,product!E:E)</f>
        <v>3.5</v>
      </c>
      <c r="J713" s="25">
        <f t="shared" si="2"/>
        <v>1060.5</v>
      </c>
      <c r="K713" s="27">
        <f t="shared" si="3"/>
        <v>1</v>
      </c>
      <c r="L713" s="25">
        <f t="shared" si="4"/>
        <v>1</v>
      </c>
    </row>
    <row r="714">
      <c r="A714" s="19">
        <v>2802.0</v>
      </c>
      <c r="B714" s="20" t="str">
        <f t="array" ref="B714">xlookup($A714,product!$A:$A,product!B:B)</f>
        <v>Maison</v>
      </c>
      <c r="C714" s="20" t="str">
        <f t="array" ref="C714">xlookup($A714,product!$A:$A,product!C:C)</f>
        <v>Entretien</v>
      </c>
      <c r="D714" s="20" t="str">
        <f t="array" ref="D714">xlookup($A714,product!$A:$A,product!D:D)</f>
        <v>Désodorisants</v>
      </c>
      <c r="E714" s="4" t="str">
        <f t="shared" si="1"/>
        <v>2802-Entretien-Désodorisants</v>
      </c>
      <c r="F714" s="4">
        <v>1.0</v>
      </c>
      <c r="G714" s="4">
        <v>903.0</v>
      </c>
      <c r="H714" s="4">
        <v>835.0</v>
      </c>
      <c r="I714" s="21">
        <f t="array" ref="I714">XLOOKUP($A714,product!A:A,product!E:E)</f>
        <v>2.55</v>
      </c>
      <c r="J714" s="4">
        <f t="shared" si="2"/>
        <v>2129.25</v>
      </c>
      <c r="K714" s="22">
        <f t="shared" si="3"/>
        <v>1</v>
      </c>
      <c r="L714" s="4">
        <f t="shared" si="4"/>
        <v>1</v>
      </c>
    </row>
    <row r="715">
      <c r="A715" s="23">
        <v>46962.0</v>
      </c>
      <c r="B715" s="24" t="str">
        <f t="array" ref="B715">xlookup($A715,product!$A:$A,product!B:B)</f>
        <v>Maison</v>
      </c>
      <c r="C715" s="24" t="str">
        <f t="array" ref="C715">xlookup($A715,product!$A:$A,product!C:C)</f>
        <v>Entretien</v>
      </c>
      <c r="D715" s="24" t="str">
        <f t="array" ref="D715">xlookup($A715,product!$A:$A,product!D:D)</f>
        <v>Désodorisants</v>
      </c>
      <c r="E715" s="25" t="str">
        <f t="shared" si="1"/>
        <v>46962-Entretien-Désodorisants</v>
      </c>
      <c r="F715" s="25">
        <v>0.0</v>
      </c>
      <c r="G715" s="25">
        <v>80.0</v>
      </c>
      <c r="H715" s="25">
        <v>15.0</v>
      </c>
      <c r="I715" s="26">
        <f t="array" ref="I715">XLOOKUP($A715,product!A:A,product!E:E)</f>
        <v>2.5</v>
      </c>
      <c r="J715" s="25">
        <f t="shared" si="2"/>
        <v>37.5</v>
      </c>
      <c r="K715" s="27">
        <f t="shared" si="3"/>
        <v>1</v>
      </c>
      <c r="L715" s="25">
        <f t="shared" si="4"/>
        <v>1</v>
      </c>
    </row>
    <row r="716">
      <c r="A716" s="19">
        <v>128348.0</v>
      </c>
      <c r="B716" s="20" t="str">
        <f t="array" ref="B716">xlookup($A716,product!$A:$A,product!B:B)</f>
        <v>Maison</v>
      </c>
      <c r="C716" s="20" t="str">
        <f t="array" ref="C716">xlookup($A716,product!$A:$A,product!C:C)</f>
        <v>Entretien</v>
      </c>
      <c r="D716" s="20" t="str">
        <f t="array" ref="D716">xlookup($A716,product!$A:$A,product!D:D)</f>
        <v>Désodorisants</v>
      </c>
      <c r="E716" s="4" t="str">
        <f t="shared" si="1"/>
        <v>128348-Entretien-Désodorisants</v>
      </c>
      <c r="F716" s="4">
        <v>0.0</v>
      </c>
      <c r="G716" s="4">
        <v>39.0</v>
      </c>
      <c r="H716" s="4">
        <v>8.0</v>
      </c>
      <c r="I716" s="21">
        <f t="array" ref="I716">XLOOKUP($A716,product!A:A,product!E:E)</f>
        <v>2.55</v>
      </c>
      <c r="J716" s="4">
        <f t="shared" si="2"/>
        <v>20.4</v>
      </c>
      <c r="K716" s="22">
        <f t="shared" si="3"/>
        <v>1</v>
      </c>
      <c r="L716" s="4">
        <f t="shared" si="4"/>
        <v>1</v>
      </c>
    </row>
    <row r="717">
      <c r="A717" s="23">
        <v>108963.0</v>
      </c>
      <c r="B717" s="24" t="str">
        <f t="array" ref="B717">xlookup($A717,product!$A:$A,product!B:B)</f>
        <v>Maison</v>
      </c>
      <c r="C717" s="24" t="str">
        <f t="array" ref="C717">xlookup($A717,product!$A:$A,product!C:C)</f>
        <v>Entretien</v>
      </c>
      <c r="D717" s="24" t="str">
        <f t="array" ref="D717">xlookup($A717,product!$A:$A,product!D:D)</f>
        <v>Désodorisants</v>
      </c>
      <c r="E717" s="25" t="str">
        <f t="shared" si="1"/>
        <v>108963-Entretien-Désodorisants</v>
      </c>
      <c r="F717" s="25">
        <v>1.0</v>
      </c>
      <c r="G717" s="25">
        <v>790.0</v>
      </c>
      <c r="H717" s="25">
        <v>590.0</v>
      </c>
      <c r="I717" s="26">
        <f t="array" ref="I717">XLOOKUP($A717,product!A:A,product!E:E)</f>
        <v>3.39</v>
      </c>
      <c r="J717" s="25">
        <f t="shared" si="2"/>
        <v>2000.1</v>
      </c>
      <c r="K717" s="27">
        <f t="shared" si="3"/>
        <v>1</v>
      </c>
      <c r="L717" s="25">
        <f t="shared" si="4"/>
        <v>1</v>
      </c>
    </row>
    <row r="718">
      <c r="A718" s="19">
        <v>2800.0</v>
      </c>
      <c r="B718" s="20" t="str">
        <f t="array" ref="B718">xlookup($A718,product!$A:$A,product!B:B)</f>
        <v>Maison</v>
      </c>
      <c r="C718" s="20" t="str">
        <f t="array" ref="C718">xlookup($A718,product!$A:$A,product!C:C)</f>
        <v>Entretien</v>
      </c>
      <c r="D718" s="20" t="str">
        <f t="array" ref="D718">xlookup($A718,product!$A:$A,product!D:D)</f>
        <v>Désodorisants</v>
      </c>
      <c r="E718" s="4" t="str">
        <f t="shared" si="1"/>
        <v>2800-Entretien-Désodorisants</v>
      </c>
      <c r="F718" s="4">
        <v>0.0</v>
      </c>
      <c r="G718" s="4">
        <v>965.0</v>
      </c>
      <c r="H718" s="4">
        <v>460.0</v>
      </c>
      <c r="I718" s="21">
        <f t="array" ref="I718">XLOOKUP($A718,product!A:A,product!E:E)</f>
        <v>2.61</v>
      </c>
      <c r="J718" s="4">
        <f t="shared" si="2"/>
        <v>1200.6</v>
      </c>
      <c r="K718" s="22">
        <f t="shared" si="3"/>
        <v>1</v>
      </c>
      <c r="L718" s="4">
        <f t="shared" si="4"/>
        <v>1</v>
      </c>
    </row>
    <row r="719">
      <c r="A719" s="23">
        <v>12451.0</v>
      </c>
      <c r="B719" s="24" t="str">
        <f t="array" ref="B719">xlookup($A719,product!$A:$A,product!B:B)</f>
        <v>Maison</v>
      </c>
      <c r="C719" s="24" t="str">
        <f t="array" ref="C719">xlookup($A719,product!$A:$A,product!C:C)</f>
        <v>Entretien</v>
      </c>
      <c r="D719" s="24" t="str">
        <f t="array" ref="D719">xlookup($A719,product!$A:$A,product!D:D)</f>
        <v>Désodorisants</v>
      </c>
      <c r="E719" s="25" t="str">
        <f t="shared" si="1"/>
        <v>12451-Entretien-Désodorisants</v>
      </c>
      <c r="F719" s="25">
        <v>1.0</v>
      </c>
      <c r="G719" s="25">
        <v>288.0</v>
      </c>
      <c r="H719" s="25">
        <v>243.0</v>
      </c>
      <c r="I719" s="26">
        <f t="array" ref="I719">XLOOKUP($A719,product!A:A,product!E:E)</f>
        <v>1.28</v>
      </c>
      <c r="J719" s="25">
        <f t="shared" si="2"/>
        <v>311.04</v>
      </c>
      <c r="K719" s="27">
        <f t="shared" si="3"/>
        <v>1</v>
      </c>
      <c r="L719" s="25">
        <f t="shared" si="4"/>
        <v>1</v>
      </c>
    </row>
    <row r="720">
      <c r="A720" s="19">
        <v>19024.0</v>
      </c>
      <c r="B720" s="20" t="str">
        <f t="array" ref="B720">xlookup($A720,product!$A:$A,product!B:B)</f>
        <v>Maison</v>
      </c>
      <c r="C720" s="20" t="str">
        <f t="array" ref="C720">xlookup($A720,product!$A:$A,product!C:C)</f>
        <v>Entretien</v>
      </c>
      <c r="D720" s="20" t="str">
        <f t="array" ref="D720">xlookup($A720,product!$A:$A,product!D:D)</f>
        <v>Produits vaisselle</v>
      </c>
      <c r="E720" s="4" t="str">
        <f t="shared" si="1"/>
        <v>19024-Entretien-Produits vaisselle</v>
      </c>
      <c r="F720" s="4">
        <v>0.0</v>
      </c>
      <c r="G720" s="4">
        <v>291.0</v>
      </c>
      <c r="H720" s="4">
        <v>120.0</v>
      </c>
      <c r="I720" s="21">
        <f t="array" ref="I720">XLOOKUP($A720,product!A:A,product!E:E)</f>
        <v>2.78</v>
      </c>
      <c r="J720" s="4">
        <f t="shared" si="2"/>
        <v>333.6</v>
      </c>
      <c r="K720" s="22">
        <f t="shared" si="3"/>
        <v>1</v>
      </c>
      <c r="L720" s="4">
        <f t="shared" si="4"/>
        <v>1</v>
      </c>
    </row>
    <row r="721">
      <c r="A721" s="23">
        <v>9472.0</v>
      </c>
      <c r="B721" s="24" t="str">
        <f t="array" ref="B721">xlookup($A721,product!$A:$A,product!B:B)</f>
        <v>Maison</v>
      </c>
      <c r="C721" s="24" t="str">
        <f t="array" ref="C721">xlookup($A721,product!$A:$A,product!C:C)</f>
        <v>Entretien</v>
      </c>
      <c r="D721" s="24" t="str">
        <f t="array" ref="D721">xlookup($A721,product!$A:$A,product!D:D)</f>
        <v>Produits vaisselle</v>
      </c>
      <c r="E721" s="25" t="str">
        <f t="shared" si="1"/>
        <v>9472-Entretien-Produits vaisselle</v>
      </c>
      <c r="F721" s="25">
        <v>1.0</v>
      </c>
      <c r="G721" s="25">
        <v>825.0</v>
      </c>
      <c r="H721" s="25">
        <v>761.0</v>
      </c>
      <c r="I721" s="26">
        <f t="array" ref="I721">XLOOKUP($A721,product!A:A,product!E:E)</f>
        <v>1.74</v>
      </c>
      <c r="J721" s="25">
        <f t="shared" si="2"/>
        <v>1324.14</v>
      </c>
      <c r="K721" s="27">
        <f t="shared" si="3"/>
        <v>1</v>
      </c>
      <c r="L721" s="25">
        <f t="shared" si="4"/>
        <v>1</v>
      </c>
    </row>
    <row r="722">
      <c r="A722" s="19">
        <v>1587.0</v>
      </c>
      <c r="B722" s="20" t="str">
        <f t="array" ref="B722">xlookup($A722,product!$A:$A,product!B:B)</f>
        <v>Maison</v>
      </c>
      <c r="C722" s="20" t="str">
        <f t="array" ref="C722">xlookup($A722,product!$A:$A,product!C:C)</f>
        <v>Entretien</v>
      </c>
      <c r="D722" s="20" t="str">
        <f t="array" ref="D722">xlookup($A722,product!$A:$A,product!D:D)</f>
        <v>Produits vaisselle</v>
      </c>
      <c r="E722" s="4" t="str">
        <f t="shared" si="1"/>
        <v>1587-Entretien-Produits vaisselle</v>
      </c>
      <c r="F722" s="4">
        <v>1.0</v>
      </c>
      <c r="G722" s="4">
        <v>846.0</v>
      </c>
      <c r="H722" s="4">
        <v>349.0</v>
      </c>
      <c r="I722" s="21">
        <f t="array" ref="I722">XLOOKUP($A722,product!A:A,product!E:E)</f>
        <v>1.79</v>
      </c>
      <c r="J722" s="4">
        <f t="shared" si="2"/>
        <v>624.71</v>
      </c>
      <c r="K722" s="22">
        <f t="shared" si="3"/>
        <v>1</v>
      </c>
      <c r="L722" s="4">
        <f t="shared" si="4"/>
        <v>1</v>
      </c>
    </row>
    <row r="723">
      <c r="A723" s="23">
        <v>118262.0</v>
      </c>
      <c r="B723" s="24" t="str">
        <f t="array" ref="B723">xlookup($A723,product!$A:$A,product!B:B)</f>
        <v>Maison</v>
      </c>
      <c r="C723" s="24" t="str">
        <f t="array" ref="C723">xlookup($A723,product!$A:$A,product!C:C)</f>
        <v>Entretien</v>
      </c>
      <c r="D723" s="24" t="str">
        <f t="array" ref="D723">xlookup($A723,product!$A:$A,product!D:D)</f>
        <v>Produits vaisselle</v>
      </c>
      <c r="E723" s="25" t="str">
        <f t="shared" si="1"/>
        <v>118262-Entretien-Produits vaisselle</v>
      </c>
      <c r="F723" s="25">
        <v>0.0</v>
      </c>
      <c r="G723" s="25">
        <v>627.0</v>
      </c>
      <c r="H723" s="25">
        <v>474.0</v>
      </c>
      <c r="I723" s="26">
        <f t="array" ref="I723">XLOOKUP($A723,product!A:A,product!E:E)</f>
        <v>3.53</v>
      </c>
      <c r="J723" s="25">
        <f t="shared" si="2"/>
        <v>1673.22</v>
      </c>
      <c r="K723" s="27">
        <f t="shared" si="3"/>
        <v>1</v>
      </c>
      <c r="L723" s="25">
        <f t="shared" si="4"/>
        <v>1</v>
      </c>
    </row>
    <row r="724">
      <c r="A724" s="19">
        <v>44739.0</v>
      </c>
      <c r="B724" s="20" t="str">
        <f t="array" ref="B724">xlookup($A724,product!$A:$A,product!B:B)</f>
        <v>Maison</v>
      </c>
      <c r="C724" s="20" t="str">
        <f t="array" ref="C724">xlookup($A724,product!$A:$A,product!C:C)</f>
        <v>Entretien</v>
      </c>
      <c r="D724" s="20" t="str">
        <f t="array" ref="D724">xlookup($A724,product!$A:$A,product!D:D)</f>
        <v>Produits vaisselle</v>
      </c>
      <c r="E724" s="4" t="str">
        <f t="shared" si="1"/>
        <v>44739-Entretien-Produits vaisselle</v>
      </c>
      <c r="F724" s="4">
        <v>1.0</v>
      </c>
      <c r="G724" s="4">
        <v>270.0</v>
      </c>
      <c r="H724" s="4">
        <v>258.0</v>
      </c>
      <c r="I724" s="21">
        <f t="array" ref="I724">XLOOKUP($A724,product!A:A,product!E:E)</f>
        <v>2.23</v>
      </c>
      <c r="J724" s="4">
        <f t="shared" si="2"/>
        <v>575.34</v>
      </c>
      <c r="K724" s="22">
        <f t="shared" si="3"/>
        <v>1</v>
      </c>
      <c r="L724" s="4">
        <f t="shared" si="4"/>
        <v>1</v>
      </c>
    </row>
    <row r="725">
      <c r="A725" s="23">
        <v>199855.0</v>
      </c>
      <c r="B725" s="24" t="str">
        <f t="array" ref="B725">xlookup($A725,product!$A:$A,product!B:B)</f>
        <v>Maison</v>
      </c>
      <c r="C725" s="24" t="str">
        <f t="array" ref="C725">xlookup($A725,product!$A:$A,product!C:C)</f>
        <v>Entretien</v>
      </c>
      <c r="D725" s="24" t="str">
        <f t="array" ref="D725">xlookup($A725,product!$A:$A,product!D:D)</f>
        <v>Produits vaisselle</v>
      </c>
      <c r="E725" s="25" t="str">
        <f t="shared" si="1"/>
        <v>199855-Entretien-Produits vaisselle</v>
      </c>
      <c r="F725" s="25">
        <v>0.0</v>
      </c>
      <c r="G725" s="25">
        <v>741.0</v>
      </c>
      <c r="H725" s="25">
        <v>545.0</v>
      </c>
      <c r="I725" s="26">
        <f t="array" ref="I725">XLOOKUP($A725,product!A:A,product!E:E)</f>
        <v>3.13</v>
      </c>
      <c r="J725" s="25">
        <f t="shared" si="2"/>
        <v>1705.85</v>
      </c>
      <c r="K725" s="27">
        <f t="shared" si="3"/>
        <v>1</v>
      </c>
      <c r="L725" s="25">
        <f t="shared" si="4"/>
        <v>1</v>
      </c>
    </row>
    <row r="726">
      <c r="A726" s="19">
        <v>71674.0</v>
      </c>
      <c r="B726" s="20" t="str">
        <f t="array" ref="B726">xlookup($A726,product!$A:$A,product!B:B)</f>
        <v>Maison</v>
      </c>
      <c r="C726" s="20" t="str">
        <f t="array" ref="C726">xlookup($A726,product!$A:$A,product!C:C)</f>
        <v>Entretien</v>
      </c>
      <c r="D726" s="20" t="str">
        <f t="array" ref="D726">xlookup($A726,product!$A:$A,product!D:D)</f>
        <v>Produits vaisselle</v>
      </c>
      <c r="E726" s="4" t="str">
        <f t="shared" si="1"/>
        <v>71674-Entretien-Produits vaisselle</v>
      </c>
      <c r="F726" s="4">
        <v>0.0</v>
      </c>
      <c r="G726" s="4">
        <v>724.0</v>
      </c>
      <c r="H726" s="4">
        <v>496.0</v>
      </c>
      <c r="I726" s="21">
        <f t="array" ref="I726">XLOOKUP($A726,product!A:A,product!E:E)</f>
        <v>4.55</v>
      </c>
      <c r="J726" s="4">
        <f t="shared" si="2"/>
        <v>2256.8</v>
      </c>
      <c r="K726" s="22">
        <f t="shared" si="3"/>
        <v>1</v>
      </c>
      <c r="L726" s="4">
        <f t="shared" si="4"/>
        <v>1</v>
      </c>
    </row>
    <row r="727">
      <c r="A727" s="23">
        <v>101357.0</v>
      </c>
      <c r="B727" s="24" t="str">
        <f t="array" ref="B727">xlookup($A727,product!$A:$A,product!B:B)</f>
        <v>Maison</v>
      </c>
      <c r="C727" s="24" t="str">
        <f t="array" ref="C727">xlookup($A727,product!$A:$A,product!C:C)</f>
        <v>Entretien</v>
      </c>
      <c r="D727" s="24" t="str">
        <f t="array" ref="D727">xlookup($A727,product!$A:$A,product!D:D)</f>
        <v>Produits vaisselle</v>
      </c>
      <c r="E727" s="25" t="str">
        <f t="shared" si="1"/>
        <v>101357-Entretien-Produits vaisselle</v>
      </c>
      <c r="F727" s="25">
        <v>1.0</v>
      </c>
      <c r="G727" s="25">
        <v>924.0</v>
      </c>
      <c r="H727" s="25">
        <v>512.0</v>
      </c>
      <c r="I727" s="26">
        <f t="array" ref="I727">XLOOKUP($A727,product!A:A,product!E:E)</f>
        <v>1.31</v>
      </c>
      <c r="J727" s="25">
        <f t="shared" si="2"/>
        <v>670.72</v>
      </c>
      <c r="K727" s="27">
        <f t="shared" si="3"/>
        <v>1</v>
      </c>
      <c r="L727" s="25">
        <f t="shared" si="4"/>
        <v>1</v>
      </c>
    </row>
    <row r="728">
      <c r="A728" s="19">
        <v>121066.0</v>
      </c>
      <c r="B728" s="20" t="str">
        <f t="array" ref="B728">xlookup($A728,product!$A:$A,product!B:B)</f>
        <v>Maison</v>
      </c>
      <c r="C728" s="20" t="str">
        <f t="array" ref="C728">xlookup($A728,product!$A:$A,product!C:C)</f>
        <v>Entretien</v>
      </c>
      <c r="D728" s="20" t="str">
        <f t="array" ref="D728">xlookup($A728,product!$A:$A,product!D:D)</f>
        <v>Produits vaisselle</v>
      </c>
      <c r="E728" s="4" t="str">
        <f t="shared" si="1"/>
        <v>121066-Entretien-Produits vaisselle</v>
      </c>
      <c r="F728" s="4">
        <v>1.0</v>
      </c>
      <c r="G728" s="4">
        <v>149.0</v>
      </c>
      <c r="H728" s="4">
        <v>92.0</v>
      </c>
      <c r="I728" s="21">
        <f t="array" ref="I728">XLOOKUP($A728,product!A:A,product!E:E)</f>
        <v>2.28</v>
      </c>
      <c r="J728" s="4">
        <f t="shared" si="2"/>
        <v>209.76</v>
      </c>
      <c r="K728" s="22">
        <f t="shared" si="3"/>
        <v>1</v>
      </c>
      <c r="L728" s="4">
        <f t="shared" si="4"/>
        <v>1</v>
      </c>
    </row>
    <row r="729">
      <c r="A729" s="23">
        <v>72818.0</v>
      </c>
      <c r="B729" s="24" t="str">
        <f t="array" ref="B729">xlookup($A729,product!$A:$A,product!B:B)</f>
        <v>Maison</v>
      </c>
      <c r="C729" s="24" t="str">
        <f t="array" ref="C729">xlookup($A729,product!$A:$A,product!C:C)</f>
        <v>Entretien</v>
      </c>
      <c r="D729" s="24" t="str">
        <f t="array" ref="D729">xlookup($A729,product!$A:$A,product!D:D)</f>
        <v>Produits vaisselle</v>
      </c>
      <c r="E729" s="25" t="str">
        <f t="shared" si="1"/>
        <v>72818-Entretien-Produits vaisselle</v>
      </c>
      <c r="F729" s="25">
        <v>0.0</v>
      </c>
      <c r="G729" s="25">
        <v>519.0</v>
      </c>
      <c r="H729" s="25">
        <v>133.0</v>
      </c>
      <c r="I729" s="26">
        <f t="array" ref="I729">XLOOKUP($A729,product!A:A,product!E:E)</f>
        <v>1.43</v>
      </c>
      <c r="J729" s="25">
        <f t="shared" si="2"/>
        <v>190.19</v>
      </c>
      <c r="K729" s="27">
        <f t="shared" si="3"/>
        <v>1</v>
      </c>
      <c r="L729" s="25">
        <f t="shared" si="4"/>
        <v>1</v>
      </c>
    </row>
    <row r="730">
      <c r="A730" s="19">
        <v>109178.0</v>
      </c>
      <c r="B730" s="20" t="str">
        <f t="array" ref="B730">xlookup($A730,product!$A:$A,product!B:B)</f>
        <v>Maison</v>
      </c>
      <c r="C730" s="20" t="str">
        <f t="array" ref="C730">xlookup($A730,product!$A:$A,product!C:C)</f>
        <v>Entretien</v>
      </c>
      <c r="D730" s="20" t="str">
        <f t="array" ref="D730">xlookup($A730,product!$A:$A,product!D:D)</f>
        <v>Produits vaisselle</v>
      </c>
      <c r="E730" s="4" t="str">
        <f t="shared" si="1"/>
        <v>109178-Entretien-Produits vaisselle</v>
      </c>
      <c r="F730" s="4">
        <v>1.0</v>
      </c>
      <c r="G730" s="4">
        <v>791.0</v>
      </c>
      <c r="H730" s="4">
        <v>444.0</v>
      </c>
      <c r="I730" s="21">
        <f t="array" ref="I730">XLOOKUP($A730,product!A:A,product!E:E)</f>
        <v>18.22</v>
      </c>
      <c r="J730" s="4">
        <f t="shared" si="2"/>
        <v>8089.68</v>
      </c>
      <c r="K730" s="22">
        <f t="shared" si="3"/>
        <v>1</v>
      </c>
      <c r="L730" s="4">
        <f t="shared" si="4"/>
        <v>1</v>
      </c>
    </row>
    <row r="731">
      <c r="A731" s="23">
        <v>114876.0</v>
      </c>
      <c r="B731" s="24" t="str">
        <f t="array" ref="B731">xlookup($A731,product!$A:$A,product!B:B)</f>
        <v>Maison</v>
      </c>
      <c r="C731" s="24" t="str">
        <f t="array" ref="C731">xlookup($A731,product!$A:$A,product!C:C)</f>
        <v>Entretien</v>
      </c>
      <c r="D731" s="24" t="str">
        <f t="array" ref="D731">xlookup($A731,product!$A:$A,product!D:D)</f>
        <v>Produits vaisselle</v>
      </c>
      <c r="E731" s="25" t="str">
        <f t="shared" si="1"/>
        <v>114876-Entretien-Produits vaisselle</v>
      </c>
      <c r="F731" s="25">
        <v>0.0</v>
      </c>
      <c r="G731" s="25">
        <v>312.0</v>
      </c>
      <c r="H731" s="25">
        <v>136.0</v>
      </c>
      <c r="I731" s="26">
        <f t="array" ref="I731">XLOOKUP($A731,product!A:A,product!E:E)</f>
        <v>1.21</v>
      </c>
      <c r="J731" s="25">
        <f t="shared" si="2"/>
        <v>164.56</v>
      </c>
      <c r="K731" s="27">
        <f t="shared" si="3"/>
        <v>1</v>
      </c>
      <c r="L731" s="25">
        <f t="shared" si="4"/>
        <v>1</v>
      </c>
    </row>
    <row r="732">
      <c r="A732" s="19">
        <v>9471.0</v>
      </c>
      <c r="B732" s="20" t="str">
        <f t="array" ref="B732">xlookup($A732,product!$A:$A,product!B:B)</f>
        <v>Maison</v>
      </c>
      <c r="C732" s="20" t="str">
        <f t="array" ref="C732">xlookup($A732,product!$A:$A,product!C:C)</f>
        <v>Entretien</v>
      </c>
      <c r="D732" s="20" t="str">
        <f t="array" ref="D732">xlookup($A732,product!$A:$A,product!D:D)</f>
        <v>Produits vaisselle</v>
      </c>
      <c r="E732" s="4" t="str">
        <f t="shared" si="1"/>
        <v>9471-Entretien-Produits vaisselle</v>
      </c>
      <c r="F732" s="4">
        <v>1.0</v>
      </c>
      <c r="G732" s="4">
        <v>656.0</v>
      </c>
      <c r="H732" s="4">
        <v>526.0</v>
      </c>
      <c r="I732" s="21">
        <f t="array" ref="I732">XLOOKUP($A732,product!A:A,product!E:E)</f>
        <v>3.43</v>
      </c>
      <c r="J732" s="4">
        <f t="shared" si="2"/>
        <v>1804.18</v>
      </c>
      <c r="K732" s="22">
        <f t="shared" si="3"/>
        <v>1</v>
      </c>
      <c r="L732" s="4">
        <f t="shared" si="4"/>
        <v>1</v>
      </c>
    </row>
    <row r="733">
      <c r="A733" s="23">
        <v>87840.0</v>
      </c>
      <c r="B733" s="24" t="str">
        <f t="array" ref="B733">xlookup($A733,product!$A:$A,product!B:B)</f>
        <v>Maison</v>
      </c>
      <c r="C733" s="24" t="str">
        <f t="array" ref="C733">xlookup($A733,product!$A:$A,product!C:C)</f>
        <v>Entretien</v>
      </c>
      <c r="D733" s="24" t="str">
        <f t="array" ref="D733">xlookup($A733,product!$A:$A,product!D:D)</f>
        <v>Produits vaisselle</v>
      </c>
      <c r="E733" s="25" t="str">
        <f t="shared" si="1"/>
        <v>87840-Entretien-Produits vaisselle</v>
      </c>
      <c r="F733" s="25">
        <v>1.0</v>
      </c>
      <c r="G733" s="25">
        <v>749.0</v>
      </c>
      <c r="H733" s="25">
        <v>513.0</v>
      </c>
      <c r="I733" s="26">
        <f t="array" ref="I733">XLOOKUP($A733,product!A:A,product!E:E)</f>
        <v>1.49</v>
      </c>
      <c r="J733" s="25">
        <f t="shared" si="2"/>
        <v>764.37</v>
      </c>
      <c r="K733" s="27">
        <f t="shared" si="3"/>
        <v>1</v>
      </c>
      <c r="L733" s="25">
        <f t="shared" si="4"/>
        <v>1</v>
      </c>
    </row>
    <row r="734">
      <c r="A734" s="19">
        <v>72816.0</v>
      </c>
      <c r="B734" s="20" t="str">
        <f t="array" ref="B734">xlookup($A734,product!$A:$A,product!B:B)</f>
        <v>Maison</v>
      </c>
      <c r="C734" s="20" t="str">
        <f t="array" ref="C734">xlookup($A734,product!$A:$A,product!C:C)</f>
        <v>Entretien</v>
      </c>
      <c r="D734" s="20" t="str">
        <f t="array" ref="D734">xlookup($A734,product!$A:$A,product!D:D)</f>
        <v>Produits vaisselle</v>
      </c>
      <c r="E734" s="4" t="str">
        <f t="shared" si="1"/>
        <v>72816-Entretien-Produits vaisselle</v>
      </c>
      <c r="F734" s="4">
        <v>0.0</v>
      </c>
      <c r="G734" s="4">
        <v>100.0</v>
      </c>
      <c r="H734" s="4">
        <v>62.0</v>
      </c>
      <c r="I734" s="21">
        <f t="array" ref="I734">XLOOKUP($A734,product!A:A,product!E:E)</f>
        <v>2.35</v>
      </c>
      <c r="J734" s="4">
        <f t="shared" si="2"/>
        <v>145.7</v>
      </c>
      <c r="K734" s="22">
        <f t="shared" si="3"/>
        <v>1</v>
      </c>
      <c r="L734" s="4">
        <f t="shared" si="4"/>
        <v>1</v>
      </c>
    </row>
    <row r="735">
      <c r="A735" s="23">
        <v>122354.0</v>
      </c>
      <c r="B735" s="24" t="str">
        <f t="array" ref="B735">xlookup($A735,product!$A:$A,product!B:B)</f>
        <v>Maison</v>
      </c>
      <c r="C735" s="24" t="str">
        <f t="array" ref="C735">xlookup($A735,product!$A:$A,product!C:C)</f>
        <v>Entretien</v>
      </c>
      <c r="D735" s="24" t="str">
        <f t="array" ref="D735">xlookup($A735,product!$A:$A,product!D:D)</f>
        <v>Produits vaisselle</v>
      </c>
      <c r="E735" s="25" t="str">
        <f t="shared" si="1"/>
        <v>122354-Entretien-Produits vaisselle</v>
      </c>
      <c r="F735" s="25">
        <v>0.0</v>
      </c>
      <c r="G735" s="25">
        <v>595.0</v>
      </c>
      <c r="H735" s="25">
        <v>59.0</v>
      </c>
      <c r="I735" s="26">
        <f t="array" ref="I735">XLOOKUP($A735,product!A:A,product!E:E)</f>
        <v>1.93</v>
      </c>
      <c r="J735" s="25">
        <f t="shared" si="2"/>
        <v>113.87</v>
      </c>
      <c r="K735" s="27">
        <f t="shared" si="3"/>
        <v>1</v>
      </c>
      <c r="L735" s="25">
        <f t="shared" si="4"/>
        <v>1</v>
      </c>
    </row>
    <row r="736">
      <c r="A736" s="19">
        <v>109188.0</v>
      </c>
      <c r="B736" s="20" t="str">
        <f t="array" ref="B736">xlookup($A736,product!$A:$A,product!B:B)</f>
        <v>Maison</v>
      </c>
      <c r="C736" s="20" t="str">
        <f t="array" ref="C736">xlookup($A736,product!$A:$A,product!C:C)</f>
        <v>Entretien</v>
      </c>
      <c r="D736" s="20" t="str">
        <f t="array" ref="D736">xlookup($A736,product!$A:$A,product!D:D)</f>
        <v>Produits vaisselle</v>
      </c>
      <c r="E736" s="4" t="str">
        <f t="shared" si="1"/>
        <v>109188-Entretien-Produits vaisselle</v>
      </c>
      <c r="F736" s="4">
        <v>0.0</v>
      </c>
      <c r="G736" s="4">
        <v>978.0</v>
      </c>
      <c r="H736" s="4">
        <v>872.0</v>
      </c>
      <c r="I736" s="21">
        <f t="array" ref="I736">XLOOKUP($A736,product!A:A,product!E:E)</f>
        <v>1.23</v>
      </c>
      <c r="J736" s="4">
        <f t="shared" si="2"/>
        <v>1072.56</v>
      </c>
      <c r="K736" s="22">
        <f t="shared" si="3"/>
        <v>1</v>
      </c>
      <c r="L736" s="4">
        <f t="shared" si="4"/>
        <v>1</v>
      </c>
    </row>
    <row r="737">
      <c r="A737" s="23">
        <v>7999.0</v>
      </c>
      <c r="B737" s="24" t="str">
        <f t="array" ref="B737">xlookup($A737,product!$A:$A,product!B:B)</f>
        <v>Maison</v>
      </c>
      <c r="C737" s="24" t="str">
        <f t="array" ref="C737">xlookup($A737,product!$A:$A,product!C:C)</f>
        <v>Entretien</v>
      </c>
      <c r="D737" s="24" t="str">
        <f t="array" ref="D737">xlookup($A737,product!$A:$A,product!D:D)</f>
        <v>Produits vaisselle</v>
      </c>
      <c r="E737" s="25" t="str">
        <f t="shared" si="1"/>
        <v>7999-Entretien-Produits vaisselle</v>
      </c>
      <c r="F737" s="25">
        <v>0.0</v>
      </c>
      <c r="G737" s="25">
        <v>236.0</v>
      </c>
      <c r="H737" s="25">
        <v>124.0</v>
      </c>
      <c r="I737" s="26">
        <f t="array" ref="I737">XLOOKUP($A737,product!A:A,product!E:E)</f>
        <v>2.96</v>
      </c>
      <c r="J737" s="25">
        <f t="shared" si="2"/>
        <v>367.04</v>
      </c>
      <c r="K737" s="27">
        <f t="shared" si="3"/>
        <v>1</v>
      </c>
      <c r="L737" s="25">
        <f t="shared" si="4"/>
        <v>1</v>
      </c>
    </row>
    <row r="738">
      <c r="A738" s="19">
        <v>9469.0</v>
      </c>
      <c r="B738" s="20" t="str">
        <f t="array" ref="B738">xlookup($A738,product!$A:$A,product!B:B)</f>
        <v>Maison</v>
      </c>
      <c r="C738" s="20" t="str">
        <f t="array" ref="C738">xlookup($A738,product!$A:$A,product!C:C)</f>
        <v>Entretien</v>
      </c>
      <c r="D738" s="20" t="str">
        <f t="array" ref="D738">xlookup($A738,product!$A:$A,product!D:D)</f>
        <v>Produits vaisselle</v>
      </c>
      <c r="E738" s="4" t="str">
        <f t="shared" si="1"/>
        <v>9469-Entretien-Produits vaisselle</v>
      </c>
      <c r="F738" s="4">
        <v>0.0</v>
      </c>
      <c r="G738" s="4">
        <v>881.0</v>
      </c>
      <c r="H738" s="4">
        <v>255.0</v>
      </c>
      <c r="I738" s="21">
        <f t="array" ref="I738">XLOOKUP($A738,product!A:A,product!E:E)</f>
        <v>1.62</v>
      </c>
      <c r="J738" s="4">
        <f t="shared" si="2"/>
        <v>413.1</v>
      </c>
      <c r="K738" s="22">
        <f t="shared" si="3"/>
        <v>1</v>
      </c>
      <c r="L738" s="4">
        <f t="shared" si="4"/>
        <v>1</v>
      </c>
    </row>
    <row r="739">
      <c r="A739" s="23">
        <v>46955.0</v>
      </c>
      <c r="B739" s="24" t="str">
        <f t="array" ref="B739">xlookup($A739,product!$A:$A,product!B:B)</f>
        <v>Maison</v>
      </c>
      <c r="C739" s="24" t="str">
        <f t="array" ref="C739">xlookup($A739,product!$A:$A,product!C:C)</f>
        <v>Entretien</v>
      </c>
      <c r="D739" s="24" t="str">
        <f t="array" ref="D739">xlookup($A739,product!$A:$A,product!D:D)</f>
        <v>Produits vaisselle</v>
      </c>
      <c r="E739" s="25" t="str">
        <f t="shared" si="1"/>
        <v>46955-Entretien-Produits vaisselle</v>
      </c>
      <c r="F739" s="25">
        <v>1.0</v>
      </c>
      <c r="G739" s="25">
        <v>147.0</v>
      </c>
      <c r="H739" s="25">
        <v>60.0</v>
      </c>
      <c r="I739" s="26">
        <f t="array" ref="I739">XLOOKUP($A739,product!A:A,product!E:E)</f>
        <v>5.8</v>
      </c>
      <c r="J739" s="25">
        <f t="shared" si="2"/>
        <v>348</v>
      </c>
      <c r="K739" s="27">
        <f t="shared" si="3"/>
        <v>1</v>
      </c>
      <c r="L739" s="25">
        <f t="shared" si="4"/>
        <v>1</v>
      </c>
    </row>
    <row r="740">
      <c r="A740" s="19">
        <v>9464.0</v>
      </c>
      <c r="B740" s="20" t="str">
        <f t="array" ref="B740">xlookup($A740,product!$A:$A,product!B:B)</f>
        <v>Maison</v>
      </c>
      <c r="C740" s="20" t="str">
        <f t="array" ref="C740">xlookup($A740,product!$A:$A,product!C:C)</f>
        <v>Entretien</v>
      </c>
      <c r="D740" s="20" t="str">
        <f t="array" ref="D740">xlookup($A740,product!$A:$A,product!D:D)</f>
        <v>Produits vaisselle</v>
      </c>
      <c r="E740" s="4" t="str">
        <f t="shared" si="1"/>
        <v>9464-Entretien-Produits vaisselle</v>
      </c>
      <c r="F740" s="4">
        <v>0.0</v>
      </c>
      <c r="G740" s="4">
        <v>911.0</v>
      </c>
      <c r="H740" s="4">
        <v>529.0</v>
      </c>
      <c r="I740" s="21">
        <f t="array" ref="I740">XLOOKUP($A740,product!A:A,product!E:E)</f>
        <v>7.44</v>
      </c>
      <c r="J740" s="4">
        <f t="shared" si="2"/>
        <v>3935.76</v>
      </c>
      <c r="K740" s="22">
        <f t="shared" si="3"/>
        <v>1</v>
      </c>
      <c r="L740" s="4">
        <f t="shared" si="4"/>
        <v>1</v>
      </c>
    </row>
    <row r="741">
      <c r="A741" s="23">
        <v>79485.0</v>
      </c>
      <c r="B741" s="24" t="str">
        <f t="array" ref="B741">xlookup($A741,product!$A:$A,product!B:B)</f>
        <v>Maison</v>
      </c>
      <c r="C741" s="24" t="str">
        <f t="array" ref="C741">xlookup($A741,product!$A:$A,product!C:C)</f>
        <v>Entretien</v>
      </c>
      <c r="D741" s="24" t="str">
        <f t="array" ref="D741">xlookup($A741,product!$A:$A,product!D:D)</f>
        <v>Produits vaisselle</v>
      </c>
      <c r="E741" s="25" t="str">
        <f t="shared" si="1"/>
        <v>79485-Entretien-Produits vaisselle</v>
      </c>
      <c r="F741" s="25">
        <v>0.0</v>
      </c>
      <c r="G741" s="25">
        <v>849.0</v>
      </c>
      <c r="H741" s="25">
        <v>701.0</v>
      </c>
      <c r="I741" s="26">
        <f t="array" ref="I741">XLOOKUP($A741,product!A:A,product!E:E)</f>
        <v>7.01</v>
      </c>
      <c r="J741" s="25">
        <f t="shared" si="2"/>
        <v>4914.01</v>
      </c>
      <c r="K741" s="27">
        <f t="shared" si="3"/>
        <v>1</v>
      </c>
      <c r="L741" s="25">
        <f t="shared" si="4"/>
        <v>1</v>
      </c>
    </row>
    <row r="742">
      <c r="A742" s="19">
        <v>118224.0</v>
      </c>
      <c r="B742" s="20" t="str">
        <f t="array" ref="B742">xlookup($A742,product!$A:$A,product!B:B)</f>
        <v>Maison</v>
      </c>
      <c r="C742" s="20" t="str">
        <f t="array" ref="C742">xlookup($A742,product!$A:$A,product!C:C)</f>
        <v>Entretien</v>
      </c>
      <c r="D742" s="20" t="str">
        <f t="array" ref="D742">xlookup($A742,product!$A:$A,product!D:D)</f>
        <v>Produits vaisselle</v>
      </c>
      <c r="E742" s="4" t="str">
        <f t="shared" si="1"/>
        <v>118224-Entretien-Produits vaisselle</v>
      </c>
      <c r="F742" s="4">
        <v>1.0</v>
      </c>
      <c r="G742" s="4">
        <v>937.0</v>
      </c>
      <c r="H742" s="4">
        <v>878.0</v>
      </c>
      <c r="I742" s="21">
        <f t="array" ref="I742">XLOOKUP($A742,product!A:A,product!E:E)</f>
        <v>3.33</v>
      </c>
      <c r="J742" s="4">
        <f t="shared" si="2"/>
        <v>2923.74</v>
      </c>
      <c r="K742" s="22">
        <f t="shared" si="3"/>
        <v>1</v>
      </c>
      <c r="L742" s="4">
        <f t="shared" si="4"/>
        <v>1</v>
      </c>
    </row>
    <row r="743">
      <c r="A743" s="23">
        <v>122353.0</v>
      </c>
      <c r="B743" s="24" t="str">
        <f t="array" ref="B743">xlookup($A743,product!$A:$A,product!B:B)</f>
        <v>Maison</v>
      </c>
      <c r="C743" s="24" t="str">
        <f t="array" ref="C743">xlookup($A743,product!$A:$A,product!C:C)</f>
        <v>Entretien</v>
      </c>
      <c r="D743" s="24" t="str">
        <f t="array" ref="D743">xlookup($A743,product!$A:$A,product!D:D)</f>
        <v>Produits vaisselle</v>
      </c>
      <c r="E743" s="25" t="str">
        <f t="shared" si="1"/>
        <v>122353-Entretien-Produits vaisselle</v>
      </c>
      <c r="F743" s="25">
        <v>1.0</v>
      </c>
      <c r="G743" s="25">
        <v>681.0</v>
      </c>
      <c r="H743" s="25">
        <v>5.0</v>
      </c>
      <c r="I743" s="26">
        <f t="array" ref="I743">XLOOKUP($A743,product!A:A,product!E:E)</f>
        <v>1.93</v>
      </c>
      <c r="J743" s="25">
        <f t="shared" si="2"/>
        <v>9.65</v>
      </c>
      <c r="K743" s="27">
        <f t="shared" si="3"/>
        <v>1</v>
      </c>
      <c r="L743" s="25">
        <f t="shared" si="4"/>
        <v>1</v>
      </c>
    </row>
    <row r="744">
      <c r="A744" s="19">
        <v>1584.0</v>
      </c>
      <c r="B744" s="20" t="str">
        <f t="array" ref="B744">xlookup($A744,product!$A:$A,product!B:B)</f>
        <v>Maison</v>
      </c>
      <c r="C744" s="20" t="str">
        <f t="array" ref="C744">xlookup($A744,product!$A:$A,product!C:C)</f>
        <v>Entretien</v>
      </c>
      <c r="D744" s="20" t="str">
        <f t="array" ref="D744">xlookup($A744,product!$A:$A,product!D:D)</f>
        <v>Produits vaisselle</v>
      </c>
      <c r="E744" s="4" t="str">
        <f t="shared" si="1"/>
        <v>1584-Entretien-Produits vaisselle</v>
      </c>
      <c r="F744" s="4">
        <v>1.0</v>
      </c>
      <c r="G744" s="4">
        <v>831.0</v>
      </c>
      <c r="H744" s="4">
        <v>144.0</v>
      </c>
      <c r="I744" s="21">
        <f t="array" ref="I744">XLOOKUP($A744,product!A:A,product!E:E)</f>
        <v>1.79</v>
      </c>
      <c r="J744" s="4">
        <f t="shared" si="2"/>
        <v>257.76</v>
      </c>
      <c r="K744" s="22">
        <f t="shared" si="3"/>
        <v>1</v>
      </c>
      <c r="L744" s="4">
        <f t="shared" si="4"/>
        <v>1</v>
      </c>
    </row>
    <row r="745">
      <c r="A745" s="23">
        <v>2792.0</v>
      </c>
      <c r="B745" s="24" t="str">
        <f t="array" ref="B745">xlookup($A745,product!$A:$A,product!B:B)</f>
        <v>Maison</v>
      </c>
      <c r="C745" s="24" t="str">
        <f t="array" ref="C745">xlookup($A745,product!$A:$A,product!C:C)</f>
        <v>Entretien</v>
      </c>
      <c r="D745" s="24" t="str">
        <f t="array" ref="D745">xlookup($A745,product!$A:$A,product!D:D)</f>
        <v>Produits vaisselle</v>
      </c>
      <c r="E745" s="25" t="str">
        <f t="shared" si="1"/>
        <v>2792-Entretien-Produits vaisselle</v>
      </c>
      <c r="F745" s="25">
        <v>0.0</v>
      </c>
      <c r="G745" s="25">
        <v>518.0</v>
      </c>
      <c r="H745" s="25">
        <v>115.0</v>
      </c>
      <c r="I745" s="26">
        <f t="array" ref="I745">XLOOKUP($A745,product!A:A,product!E:E)</f>
        <v>4.68</v>
      </c>
      <c r="J745" s="25">
        <f t="shared" si="2"/>
        <v>538.2</v>
      </c>
      <c r="K745" s="27">
        <f t="shared" si="3"/>
        <v>1</v>
      </c>
      <c r="L745" s="25">
        <f t="shared" si="4"/>
        <v>1</v>
      </c>
    </row>
    <row r="746">
      <c r="A746" s="19">
        <v>109187.0</v>
      </c>
      <c r="B746" s="20" t="str">
        <f t="array" ref="B746">xlookup($A746,product!$A:$A,product!B:B)</f>
        <v>Maison</v>
      </c>
      <c r="C746" s="20" t="str">
        <f t="array" ref="C746">xlookup($A746,product!$A:$A,product!C:C)</f>
        <v>Entretien</v>
      </c>
      <c r="D746" s="20" t="str">
        <f t="array" ref="D746">xlookup($A746,product!$A:$A,product!D:D)</f>
        <v>Produits vaisselle</v>
      </c>
      <c r="E746" s="4" t="str">
        <f t="shared" si="1"/>
        <v>109187-Entretien-Produits vaisselle</v>
      </c>
      <c r="F746" s="4">
        <v>0.0</v>
      </c>
      <c r="G746" s="4">
        <v>292.0</v>
      </c>
      <c r="H746" s="4">
        <v>275.0</v>
      </c>
      <c r="I746" s="21">
        <f t="array" ref="I746">XLOOKUP($A746,product!A:A,product!E:E)</f>
        <v>1.16</v>
      </c>
      <c r="J746" s="4">
        <f t="shared" si="2"/>
        <v>319</v>
      </c>
      <c r="K746" s="22">
        <f t="shared" si="3"/>
        <v>1</v>
      </c>
      <c r="L746" s="4">
        <f t="shared" si="4"/>
        <v>1</v>
      </c>
    </row>
    <row r="747">
      <c r="A747" s="23">
        <v>118257.0</v>
      </c>
      <c r="B747" s="24" t="str">
        <f t="array" ref="B747">xlookup($A747,product!$A:$A,product!B:B)</f>
        <v>Maison</v>
      </c>
      <c r="C747" s="24" t="str">
        <f t="array" ref="C747">xlookup($A747,product!$A:$A,product!C:C)</f>
        <v>Entretien</v>
      </c>
      <c r="D747" s="24" t="str">
        <f t="array" ref="D747">xlookup($A747,product!$A:$A,product!D:D)</f>
        <v>Produits vaisselle</v>
      </c>
      <c r="E747" s="25" t="str">
        <f t="shared" si="1"/>
        <v>118257-Entretien-Produits vaisselle</v>
      </c>
      <c r="F747" s="25">
        <v>0.0</v>
      </c>
      <c r="G747" s="25">
        <v>733.0</v>
      </c>
      <c r="H747" s="25">
        <v>613.0</v>
      </c>
      <c r="I747" s="26">
        <f t="array" ref="I747">XLOOKUP($A747,product!A:A,product!E:E)</f>
        <v>0.93</v>
      </c>
      <c r="J747" s="25">
        <f t="shared" si="2"/>
        <v>570.09</v>
      </c>
      <c r="K747" s="27">
        <f t="shared" si="3"/>
        <v>1</v>
      </c>
      <c r="L747" s="25">
        <f t="shared" si="4"/>
        <v>1</v>
      </c>
    </row>
    <row r="748">
      <c r="A748" s="19">
        <v>7995.0</v>
      </c>
      <c r="B748" s="20" t="str">
        <f t="array" ref="B748">xlookup($A748,product!$A:$A,product!B:B)</f>
        <v>Maison</v>
      </c>
      <c r="C748" s="20" t="str">
        <f t="array" ref="C748">xlookup($A748,product!$A:$A,product!C:C)</f>
        <v>Entretien</v>
      </c>
      <c r="D748" s="20" t="str">
        <f t="array" ref="D748">xlookup($A748,product!$A:$A,product!D:D)</f>
        <v>Produits vaisselle</v>
      </c>
      <c r="E748" s="4" t="str">
        <f t="shared" si="1"/>
        <v>7995-Entretien-Produits vaisselle</v>
      </c>
      <c r="F748" s="4">
        <v>0.0</v>
      </c>
      <c r="G748" s="4">
        <v>16.0</v>
      </c>
      <c r="H748" s="4">
        <v>4.0</v>
      </c>
      <c r="I748" s="21">
        <f t="array" ref="I748">XLOOKUP($A748,product!A:A,product!E:E)</f>
        <v>2.23</v>
      </c>
      <c r="J748" s="4">
        <f t="shared" si="2"/>
        <v>8.92</v>
      </c>
      <c r="K748" s="22">
        <f t="shared" si="3"/>
        <v>1</v>
      </c>
      <c r="L748" s="4">
        <f t="shared" si="4"/>
        <v>1</v>
      </c>
    </row>
    <row r="749">
      <c r="A749" s="23">
        <v>99360.0</v>
      </c>
      <c r="B749" s="24" t="str">
        <f t="array" ref="B749">xlookup($A749,product!$A:$A,product!B:B)</f>
        <v>Maison</v>
      </c>
      <c r="C749" s="24" t="str">
        <f t="array" ref="C749">xlookup($A749,product!$A:$A,product!C:C)</f>
        <v>Entretien</v>
      </c>
      <c r="D749" s="24" t="str">
        <f t="array" ref="D749">xlookup($A749,product!$A:$A,product!D:D)</f>
        <v>Produits vaisselle</v>
      </c>
      <c r="E749" s="25" t="str">
        <f t="shared" si="1"/>
        <v>99360-Entretien-Produits vaisselle</v>
      </c>
      <c r="F749" s="25">
        <v>0.0</v>
      </c>
      <c r="G749" s="25">
        <v>746.0</v>
      </c>
      <c r="H749" s="25">
        <v>238.0</v>
      </c>
      <c r="I749" s="26">
        <f t="array" ref="I749">XLOOKUP($A749,product!A:A,product!E:E)</f>
        <v>3.25</v>
      </c>
      <c r="J749" s="25">
        <f t="shared" si="2"/>
        <v>773.5</v>
      </c>
      <c r="K749" s="27">
        <f t="shared" si="3"/>
        <v>1</v>
      </c>
      <c r="L749" s="25">
        <f t="shared" si="4"/>
        <v>1</v>
      </c>
    </row>
    <row r="750">
      <c r="A750" s="19">
        <v>118156.0</v>
      </c>
      <c r="B750" s="20" t="str">
        <f t="array" ref="B750">xlookup($A750,product!$A:$A,product!B:B)</f>
        <v>Maison</v>
      </c>
      <c r="C750" s="20" t="str">
        <f t="array" ref="C750">xlookup($A750,product!$A:$A,product!C:C)</f>
        <v>Entretien</v>
      </c>
      <c r="D750" s="20" t="str">
        <f t="array" ref="D750">xlookup($A750,product!$A:$A,product!D:D)</f>
        <v>Produits vaisselle</v>
      </c>
      <c r="E750" s="4" t="str">
        <f t="shared" si="1"/>
        <v>118156-Entretien-Produits vaisselle</v>
      </c>
      <c r="F750" s="4">
        <v>0.0</v>
      </c>
      <c r="G750" s="4">
        <v>208.0</v>
      </c>
      <c r="H750" s="4">
        <v>53.0</v>
      </c>
      <c r="I750" s="21">
        <f t="array" ref="I750">XLOOKUP($A750,product!A:A,product!E:E)</f>
        <v>1.78</v>
      </c>
      <c r="J750" s="4">
        <f t="shared" si="2"/>
        <v>94.34</v>
      </c>
      <c r="K750" s="22">
        <f t="shared" si="3"/>
        <v>1</v>
      </c>
      <c r="L750" s="4">
        <f t="shared" si="4"/>
        <v>1</v>
      </c>
    </row>
    <row r="751">
      <c r="A751" s="23">
        <v>44943.0</v>
      </c>
      <c r="B751" s="24" t="str">
        <f t="array" ref="B751">xlookup($A751,product!$A:$A,product!B:B)</f>
        <v>Maison</v>
      </c>
      <c r="C751" s="24" t="str">
        <f t="array" ref="C751">xlookup($A751,product!$A:$A,product!C:C)</f>
        <v>Entretien</v>
      </c>
      <c r="D751" s="24" t="str">
        <f t="array" ref="D751">xlookup($A751,product!$A:$A,product!D:D)</f>
        <v>Produits vaisselle</v>
      </c>
      <c r="E751" s="25" t="str">
        <f t="shared" si="1"/>
        <v>44943-Entretien-Produits vaisselle</v>
      </c>
      <c r="F751" s="25">
        <v>1.0</v>
      </c>
      <c r="G751" s="25">
        <v>200.0</v>
      </c>
      <c r="H751" s="25">
        <v>114.0</v>
      </c>
      <c r="I751" s="26">
        <f t="array" ref="I751">XLOOKUP($A751,product!A:A,product!E:E)</f>
        <v>3.36</v>
      </c>
      <c r="J751" s="25">
        <f t="shared" si="2"/>
        <v>383.04</v>
      </c>
      <c r="K751" s="27">
        <f t="shared" si="3"/>
        <v>1</v>
      </c>
      <c r="L751" s="25">
        <f t="shared" si="4"/>
        <v>1</v>
      </c>
    </row>
    <row r="752">
      <c r="A752" s="19">
        <v>9462.0</v>
      </c>
      <c r="B752" s="20" t="str">
        <f t="array" ref="B752">xlookup($A752,product!$A:$A,product!B:B)</f>
        <v>Maison</v>
      </c>
      <c r="C752" s="20" t="str">
        <f t="array" ref="C752">xlookup($A752,product!$A:$A,product!C:C)</f>
        <v>Entretien</v>
      </c>
      <c r="D752" s="20" t="str">
        <f t="array" ref="D752">xlookup($A752,product!$A:$A,product!D:D)</f>
        <v>Produits vaisselle</v>
      </c>
      <c r="E752" s="4" t="str">
        <f t="shared" si="1"/>
        <v>9462-Entretien-Produits vaisselle</v>
      </c>
      <c r="F752" s="4">
        <v>1.0</v>
      </c>
      <c r="G752" s="4">
        <v>944.0</v>
      </c>
      <c r="H752" s="4">
        <v>410.0</v>
      </c>
      <c r="I752" s="21">
        <f t="array" ref="I752">XLOOKUP($A752,product!A:A,product!E:E)</f>
        <v>1.62</v>
      </c>
      <c r="J752" s="4">
        <f t="shared" si="2"/>
        <v>664.2</v>
      </c>
      <c r="K752" s="22">
        <f t="shared" si="3"/>
        <v>1</v>
      </c>
      <c r="L752" s="4">
        <f t="shared" si="4"/>
        <v>1</v>
      </c>
    </row>
    <row r="753">
      <c r="A753" s="23">
        <v>79501.0</v>
      </c>
      <c r="B753" s="24" t="str">
        <f t="array" ref="B753">xlookup($A753,product!$A:$A,product!B:B)</f>
        <v>Maison</v>
      </c>
      <c r="C753" s="24" t="str">
        <f t="array" ref="C753">xlookup($A753,product!$A:$A,product!C:C)</f>
        <v>Entretien</v>
      </c>
      <c r="D753" s="24" t="str">
        <f t="array" ref="D753">xlookup($A753,product!$A:$A,product!D:D)</f>
        <v>Produits vaisselle</v>
      </c>
      <c r="E753" s="25" t="str">
        <f t="shared" si="1"/>
        <v>79501-Entretien-Produits vaisselle</v>
      </c>
      <c r="F753" s="25">
        <v>0.0</v>
      </c>
      <c r="G753" s="25">
        <v>882.0</v>
      </c>
      <c r="H753" s="25">
        <v>324.0</v>
      </c>
      <c r="I753" s="26">
        <f t="array" ref="I753">XLOOKUP($A753,product!A:A,product!E:E)</f>
        <v>1.47</v>
      </c>
      <c r="J753" s="25">
        <f t="shared" si="2"/>
        <v>476.28</v>
      </c>
      <c r="K753" s="27">
        <f t="shared" si="3"/>
        <v>1</v>
      </c>
      <c r="L753" s="25">
        <f t="shared" si="4"/>
        <v>1</v>
      </c>
    </row>
    <row r="754">
      <c r="A754" s="19">
        <v>97161.0</v>
      </c>
      <c r="B754" s="20" t="str">
        <f t="array" ref="B754">xlookup($A754,product!$A:$A,product!B:B)</f>
        <v>Maison</v>
      </c>
      <c r="C754" s="20" t="str">
        <f t="array" ref="C754">xlookup($A754,product!$A:$A,product!C:C)</f>
        <v>Entretien</v>
      </c>
      <c r="D754" s="20" t="str">
        <f t="array" ref="D754">xlookup($A754,product!$A:$A,product!D:D)</f>
        <v>Produits vaisselle</v>
      </c>
      <c r="E754" s="4" t="str">
        <f t="shared" si="1"/>
        <v>97161-Entretien-Produits vaisselle</v>
      </c>
      <c r="F754" s="4">
        <v>1.0</v>
      </c>
      <c r="G754" s="4">
        <v>817.0</v>
      </c>
      <c r="H754" s="4">
        <v>189.0</v>
      </c>
      <c r="I754" s="21">
        <f t="array" ref="I754">XLOOKUP($A754,product!A:A,product!E:E)</f>
        <v>2.08</v>
      </c>
      <c r="J754" s="4">
        <f t="shared" si="2"/>
        <v>393.12</v>
      </c>
      <c r="K754" s="22">
        <f t="shared" si="3"/>
        <v>1</v>
      </c>
      <c r="L754" s="4">
        <f t="shared" si="4"/>
        <v>1</v>
      </c>
    </row>
    <row r="755">
      <c r="A755" s="23">
        <v>112842.0</v>
      </c>
      <c r="B755" s="24" t="str">
        <f t="array" ref="B755">xlookup($A755,product!$A:$A,product!B:B)</f>
        <v>Maison</v>
      </c>
      <c r="C755" s="24" t="str">
        <f t="array" ref="C755">xlookup($A755,product!$A:$A,product!C:C)</f>
        <v>Entretien</v>
      </c>
      <c r="D755" s="24" t="str">
        <f t="array" ref="D755">xlookup($A755,product!$A:$A,product!D:D)</f>
        <v>Produits vaisselle</v>
      </c>
      <c r="E755" s="25" t="str">
        <f t="shared" si="1"/>
        <v>112842-Entretien-Produits vaisselle</v>
      </c>
      <c r="F755" s="25">
        <v>0.0</v>
      </c>
      <c r="G755" s="25">
        <v>432.0</v>
      </c>
      <c r="H755" s="25">
        <v>26.0</v>
      </c>
      <c r="I755" s="26">
        <f t="array" ref="I755">XLOOKUP($A755,product!A:A,product!E:E)</f>
        <v>6.5</v>
      </c>
      <c r="J755" s="25">
        <f t="shared" si="2"/>
        <v>169</v>
      </c>
      <c r="K755" s="27">
        <f t="shared" si="3"/>
        <v>1</v>
      </c>
      <c r="L755" s="25">
        <f t="shared" si="4"/>
        <v>1</v>
      </c>
    </row>
    <row r="756">
      <c r="A756" s="19">
        <v>109180.0</v>
      </c>
      <c r="B756" s="20" t="str">
        <f t="array" ref="B756">xlookup($A756,product!$A:$A,product!B:B)</f>
        <v>Maison</v>
      </c>
      <c r="C756" s="20" t="str">
        <f t="array" ref="C756">xlookup($A756,product!$A:$A,product!C:C)</f>
        <v>Entretien</v>
      </c>
      <c r="D756" s="20" t="str">
        <f t="array" ref="D756">xlookup($A756,product!$A:$A,product!D:D)</f>
        <v>Produits vaisselle</v>
      </c>
      <c r="E756" s="4" t="str">
        <f t="shared" si="1"/>
        <v>109180-Entretien-Produits vaisselle</v>
      </c>
      <c r="F756" s="4">
        <v>0.0</v>
      </c>
      <c r="G756" s="4">
        <v>82.0</v>
      </c>
      <c r="H756" s="4">
        <v>26.0</v>
      </c>
      <c r="I756" s="21">
        <f t="array" ref="I756">XLOOKUP($A756,product!A:A,product!E:E)</f>
        <v>8.88</v>
      </c>
      <c r="J756" s="4">
        <f t="shared" si="2"/>
        <v>230.88</v>
      </c>
      <c r="K756" s="22">
        <f t="shared" si="3"/>
        <v>1</v>
      </c>
      <c r="L756" s="4">
        <f t="shared" si="4"/>
        <v>1</v>
      </c>
    </row>
    <row r="757">
      <c r="A757" s="23">
        <v>46954.0</v>
      </c>
      <c r="B757" s="24" t="str">
        <f t="array" ref="B757">xlookup($A757,product!$A:$A,product!B:B)</f>
        <v>Maison</v>
      </c>
      <c r="C757" s="24" t="str">
        <f t="array" ref="C757">xlookup($A757,product!$A:$A,product!C:C)</f>
        <v>Entretien</v>
      </c>
      <c r="D757" s="24" t="str">
        <f t="array" ref="D757">xlookup($A757,product!$A:$A,product!D:D)</f>
        <v>Produits vaisselle</v>
      </c>
      <c r="E757" s="25" t="str">
        <f t="shared" si="1"/>
        <v>46954-Entretien-Produits vaisselle</v>
      </c>
      <c r="F757" s="25">
        <v>0.0</v>
      </c>
      <c r="G757" s="25">
        <v>646.0</v>
      </c>
      <c r="H757" s="25">
        <v>197.0</v>
      </c>
      <c r="I757" s="26">
        <f t="array" ref="I757">XLOOKUP($A757,product!A:A,product!E:E)</f>
        <v>1.04</v>
      </c>
      <c r="J757" s="25">
        <f t="shared" si="2"/>
        <v>204.88</v>
      </c>
      <c r="K757" s="27">
        <f t="shared" si="3"/>
        <v>1</v>
      </c>
      <c r="L757" s="25">
        <f t="shared" si="4"/>
        <v>1</v>
      </c>
    </row>
    <row r="758">
      <c r="A758" s="19">
        <v>79500.0</v>
      </c>
      <c r="B758" s="20" t="str">
        <f t="array" ref="B758">xlookup($A758,product!$A:$A,product!B:B)</f>
        <v>Maison</v>
      </c>
      <c r="C758" s="20" t="str">
        <f t="array" ref="C758">xlookup($A758,product!$A:$A,product!C:C)</f>
        <v>Entretien</v>
      </c>
      <c r="D758" s="20" t="str">
        <f t="array" ref="D758">xlookup($A758,product!$A:$A,product!D:D)</f>
        <v>Produits vaisselle</v>
      </c>
      <c r="E758" s="4" t="str">
        <f t="shared" si="1"/>
        <v>79500-Entretien-Produits vaisselle</v>
      </c>
      <c r="F758" s="4">
        <v>0.0</v>
      </c>
      <c r="G758" s="4">
        <v>56.0</v>
      </c>
      <c r="H758" s="4">
        <v>24.0</v>
      </c>
      <c r="I758" s="21">
        <f t="array" ref="I758">XLOOKUP($A758,product!A:A,product!E:E)</f>
        <v>1.47</v>
      </c>
      <c r="J758" s="4">
        <f t="shared" si="2"/>
        <v>35.28</v>
      </c>
      <c r="K758" s="22">
        <f t="shared" si="3"/>
        <v>1</v>
      </c>
      <c r="L758" s="4">
        <f t="shared" si="4"/>
        <v>1</v>
      </c>
    </row>
    <row r="759">
      <c r="A759" s="23">
        <v>99302.0</v>
      </c>
      <c r="B759" s="24" t="str">
        <f t="array" ref="B759">xlookup($A759,product!$A:$A,product!B:B)</f>
        <v>Maison</v>
      </c>
      <c r="C759" s="24" t="str">
        <f t="array" ref="C759">xlookup($A759,product!$A:$A,product!C:C)</f>
        <v>Entretien</v>
      </c>
      <c r="D759" s="24" t="str">
        <f t="array" ref="D759">xlookup($A759,product!$A:$A,product!D:D)</f>
        <v>Produits vaisselle</v>
      </c>
      <c r="E759" s="25" t="str">
        <f t="shared" si="1"/>
        <v>99302-Entretien-Produits vaisselle</v>
      </c>
      <c r="F759" s="25">
        <v>1.0</v>
      </c>
      <c r="G759" s="25">
        <v>331.0</v>
      </c>
      <c r="H759" s="25">
        <v>77.0</v>
      </c>
      <c r="I759" s="26">
        <f t="array" ref="I759">XLOOKUP($A759,product!A:A,product!E:E)</f>
        <v>5.95</v>
      </c>
      <c r="J759" s="25">
        <f t="shared" si="2"/>
        <v>458.15</v>
      </c>
      <c r="K759" s="27">
        <f t="shared" si="3"/>
        <v>1</v>
      </c>
      <c r="L759" s="25">
        <f t="shared" si="4"/>
        <v>1</v>
      </c>
    </row>
    <row r="760">
      <c r="A760" s="19">
        <v>105026.0</v>
      </c>
      <c r="B760" s="20" t="str">
        <f t="array" ref="B760">xlookup($A760,product!$A:$A,product!B:B)</f>
        <v>Maison</v>
      </c>
      <c r="C760" s="20" t="str">
        <f t="array" ref="C760">xlookup($A760,product!$A:$A,product!C:C)</f>
        <v>Entretien</v>
      </c>
      <c r="D760" s="20" t="str">
        <f t="array" ref="D760">xlookup($A760,product!$A:$A,product!D:D)</f>
        <v>Produits vaisselle</v>
      </c>
      <c r="E760" s="4" t="str">
        <f t="shared" si="1"/>
        <v>105026-Entretien-Produits vaisselle</v>
      </c>
      <c r="F760" s="4">
        <v>0.0</v>
      </c>
      <c r="G760" s="4">
        <v>213.0</v>
      </c>
      <c r="H760" s="4">
        <v>70.0</v>
      </c>
      <c r="I760" s="21">
        <f t="array" ref="I760">XLOOKUP($A760,product!A:A,product!E:E)</f>
        <v>5.83</v>
      </c>
      <c r="J760" s="4">
        <f t="shared" si="2"/>
        <v>408.1</v>
      </c>
      <c r="K760" s="22">
        <f t="shared" si="3"/>
        <v>1</v>
      </c>
      <c r="L760" s="4">
        <f t="shared" si="4"/>
        <v>1</v>
      </c>
    </row>
    <row r="761">
      <c r="A761" s="23">
        <v>19972.0</v>
      </c>
      <c r="B761" s="24" t="str">
        <f t="array" ref="B761">xlookup($A761,product!$A:$A,product!B:B)</f>
        <v>Maison</v>
      </c>
      <c r="C761" s="24" t="str">
        <f t="array" ref="C761">xlookup($A761,product!$A:$A,product!C:C)</f>
        <v>Entretien</v>
      </c>
      <c r="D761" s="24" t="str">
        <f t="array" ref="D761">xlookup($A761,product!$A:$A,product!D:D)</f>
        <v>Produits vaisselle</v>
      </c>
      <c r="E761" s="25" t="str">
        <f t="shared" si="1"/>
        <v>19972-Entretien-Produits vaisselle</v>
      </c>
      <c r="F761" s="25">
        <v>1.0</v>
      </c>
      <c r="G761" s="25">
        <v>632.0</v>
      </c>
      <c r="H761" s="25">
        <v>604.0</v>
      </c>
      <c r="I761" s="26">
        <f t="array" ref="I761">XLOOKUP($A761,product!A:A,product!E:E)</f>
        <v>2.24</v>
      </c>
      <c r="J761" s="25">
        <f t="shared" si="2"/>
        <v>1352.96</v>
      </c>
      <c r="K761" s="27">
        <f t="shared" si="3"/>
        <v>1</v>
      </c>
      <c r="L761" s="25">
        <f t="shared" si="4"/>
        <v>1</v>
      </c>
    </row>
    <row r="762">
      <c r="A762" s="19">
        <v>99233.0</v>
      </c>
      <c r="B762" s="20" t="str">
        <f t="array" ref="B762">xlookup($A762,product!$A:$A,product!B:B)</f>
        <v>Maison</v>
      </c>
      <c r="C762" s="20" t="str">
        <f t="array" ref="C762">xlookup($A762,product!$A:$A,product!C:C)</f>
        <v>Entretien</v>
      </c>
      <c r="D762" s="20" t="str">
        <f t="array" ref="D762">xlookup($A762,product!$A:$A,product!D:D)</f>
        <v>Produits vaisselle</v>
      </c>
      <c r="E762" s="4" t="str">
        <f t="shared" si="1"/>
        <v>99233-Entretien-Produits vaisselle</v>
      </c>
      <c r="F762" s="4">
        <v>1.0</v>
      </c>
      <c r="G762" s="4">
        <v>477.0</v>
      </c>
      <c r="H762" s="4">
        <v>66.0</v>
      </c>
      <c r="I762" s="21">
        <f t="array" ref="I762">XLOOKUP($A762,product!A:A,product!E:E)</f>
        <v>3.52</v>
      </c>
      <c r="J762" s="4">
        <f t="shared" si="2"/>
        <v>232.32</v>
      </c>
      <c r="K762" s="22">
        <f t="shared" si="3"/>
        <v>1</v>
      </c>
      <c r="L762" s="4">
        <f t="shared" si="4"/>
        <v>1</v>
      </c>
    </row>
    <row r="763">
      <c r="A763" s="23">
        <v>118260.0</v>
      </c>
      <c r="B763" s="24" t="str">
        <f t="array" ref="B763">xlookup($A763,product!$A:$A,product!B:B)</f>
        <v>Maison</v>
      </c>
      <c r="C763" s="24" t="str">
        <f t="array" ref="C763">xlookup($A763,product!$A:$A,product!C:C)</f>
        <v>Entretien</v>
      </c>
      <c r="D763" s="24" t="str">
        <f t="array" ref="D763">xlookup($A763,product!$A:$A,product!D:D)</f>
        <v>Produits vaisselle</v>
      </c>
      <c r="E763" s="25" t="str">
        <f t="shared" si="1"/>
        <v>118260-Entretien-Produits vaisselle</v>
      </c>
      <c r="F763" s="25">
        <v>1.0</v>
      </c>
      <c r="G763" s="25">
        <v>907.0</v>
      </c>
      <c r="H763" s="25">
        <v>210.0</v>
      </c>
      <c r="I763" s="26">
        <f t="array" ref="I763">XLOOKUP($A763,product!A:A,product!E:E)</f>
        <v>0.93</v>
      </c>
      <c r="J763" s="25">
        <f t="shared" si="2"/>
        <v>195.3</v>
      </c>
      <c r="K763" s="27">
        <f t="shared" si="3"/>
        <v>1</v>
      </c>
      <c r="L763" s="25">
        <f t="shared" si="4"/>
        <v>1</v>
      </c>
    </row>
    <row r="764">
      <c r="A764" s="19">
        <v>128398.0</v>
      </c>
      <c r="B764" s="20" t="str">
        <f t="array" ref="B764">xlookup($A764,product!$A:$A,product!B:B)</f>
        <v>Maison</v>
      </c>
      <c r="C764" s="20" t="str">
        <f t="array" ref="C764">xlookup($A764,product!$A:$A,product!C:C)</f>
        <v>Entretien</v>
      </c>
      <c r="D764" s="20" t="str">
        <f t="array" ref="D764">xlookup($A764,product!$A:$A,product!D:D)</f>
        <v>Produits vaisselle</v>
      </c>
      <c r="E764" s="4" t="str">
        <f t="shared" si="1"/>
        <v>128398-Entretien-Produits vaisselle</v>
      </c>
      <c r="F764" s="4">
        <v>0.0</v>
      </c>
      <c r="G764" s="4">
        <v>518.0</v>
      </c>
      <c r="H764" s="4">
        <v>433.0</v>
      </c>
      <c r="I764" s="21">
        <f t="array" ref="I764">XLOOKUP($A764,product!A:A,product!E:E)</f>
        <v>2.23</v>
      </c>
      <c r="J764" s="4">
        <f t="shared" si="2"/>
        <v>965.59</v>
      </c>
      <c r="K764" s="22">
        <f t="shared" si="3"/>
        <v>1</v>
      </c>
      <c r="L764" s="4">
        <f t="shared" si="4"/>
        <v>1</v>
      </c>
    </row>
    <row r="765">
      <c r="A765" s="23">
        <v>8001.0</v>
      </c>
      <c r="B765" s="24" t="str">
        <f t="array" ref="B765">xlookup($A765,product!$A:$A,product!B:B)</f>
        <v>Maison</v>
      </c>
      <c r="C765" s="24" t="str">
        <f t="array" ref="C765">xlookup($A765,product!$A:$A,product!C:C)</f>
        <v>Entretien</v>
      </c>
      <c r="D765" s="24" t="str">
        <f t="array" ref="D765">xlookup($A765,product!$A:$A,product!D:D)</f>
        <v>Produits vaisselle</v>
      </c>
      <c r="E765" s="25" t="str">
        <f t="shared" si="1"/>
        <v>8001-Entretien-Produits vaisselle</v>
      </c>
      <c r="F765" s="25">
        <v>1.0</v>
      </c>
      <c r="G765" s="25">
        <v>337.0</v>
      </c>
      <c r="H765" s="25">
        <v>198.0</v>
      </c>
      <c r="I765" s="26">
        <f t="array" ref="I765">XLOOKUP($A765,product!A:A,product!E:E)</f>
        <v>2.22</v>
      </c>
      <c r="J765" s="25">
        <f t="shared" si="2"/>
        <v>439.56</v>
      </c>
      <c r="K765" s="27">
        <f t="shared" si="3"/>
        <v>1</v>
      </c>
      <c r="L765" s="25">
        <f t="shared" si="4"/>
        <v>1</v>
      </c>
    </row>
    <row r="766">
      <c r="A766" s="19">
        <v>106782.0</v>
      </c>
      <c r="B766" s="20" t="str">
        <f t="array" ref="B766">xlookup($A766,product!$A:$A,product!B:B)</f>
        <v>Maison</v>
      </c>
      <c r="C766" s="20" t="str">
        <f t="array" ref="C766">xlookup($A766,product!$A:$A,product!C:C)</f>
        <v>Entretien</v>
      </c>
      <c r="D766" s="20" t="str">
        <f t="array" ref="D766">xlookup($A766,product!$A:$A,product!D:D)</f>
        <v>Produits vaisselle</v>
      </c>
      <c r="E766" s="4" t="str">
        <f t="shared" si="1"/>
        <v>106782-Entretien-Produits vaisselle</v>
      </c>
      <c r="F766" s="4">
        <v>0.0</v>
      </c>
      <c r="G766" s="4">
        <v>761.0</v>
      </c>
      <c r="H766" s="4">
        <v>37.0</v>
      </c>
      <c r="I766" s="21">
        <f t="array" ref="I766">XLOOKUP($A766,product!A:A,product!E:E)</f>
        <v>2.23</v>
      </c>
      <c r="J766" s="4">
        <f t="shared" si="2"/>
        <v>82.51</v>
      </c>
      <c r="K766" s="22">
        <f t="shared" si="3"/>
        <v>1</v>
      </c>
      <c r="L766" s="4">
        <f t="shared" si="4"/>
        <v>1</v>
      </c>
    </row>
    <row r="767">
      <c r="A767" s="23">
        <v>110793.0</v>
      </c>
      <c r="B767" s="24" t="str">
        <f t="array" ref="B767">xlookup($A767,product!$A:$A,product!B:B)</f>
        <v>Maison</v>
      </c>
      <c r="C767" s="24" t="str">
        <f t="array" ref="C767">xlookup($A767,product!$A:$A,product!C:C)</f>
        <v>Entretien</v>
      </c>
      <c r="D767" s="24" t="str">
        <f t="array" ref="D767">xlookup($A767,product!$A:$A,product!D:D)</f>
        <v>Savon de Marseille</v>
      </c>
      <c r="E767" s="25" t="str">
        <f t="shared" si="1"/>
        <v>110793-Entretien-Savon de Marseille</v>
      </c>
      <c r="F767" s="25">
        <v>0.0</v>
      </c>
      <c r="G767" s="25">
        <v>386.0</v>
      </c>
      <c r="H767" s="25">
        <v>139.0</v>
      </c>
      <c r="I767" s="26">
        <f t="array" ref="I767">XLOOKUP($A767,product!A:A,product!E:E)</f>
        <v>6.56</v>
      </c>
      <c r="J767" s="25">
        <f t="shared" si="2"/>
        <v>911.84</v>
      </c>
      <c r="K767" s="27">
        <f t="shared" si="3"/>
        <v>1</v>
      </c>
      <c r="L767" s="25">
        <f t="shared" si="4"/>
        <v>1</v>
      </c>
    </row>
    <row r="768">
      <c r="A768" s="19">
        <v>86808.0</v>
      </c>
      <c r="B768" s="20" t="str">
        <f t="array" ref="B768">xlookup($A768,product!$A:$A,product!B:B)</f>
        <v>Maison</v>
      </c>
      <c r="C768" s="20" t="str">
        <f t="array" ref="C768">xlookup($A768,product!$A:$A,product!C:C)</f>
        <v>Entretien</v>
      </c>
      <c r="D768" s="20" t="str">
        <f t="array" ref="D768">xlookup($A768,product!$A:$A,product!D:D)</f>
        <v>Savon de Marseille</v>
      </c>
      <c r="E768" s="4" t="str">
        <f t="shared" si="1"/>
        <v>86808-Entretien-Savon de Marseille</v>
      </c>
      <c r="F768" s="4">
        <v>0.0</v>
      </c>
      <c r="G768" s="4">
        <v>7.0</v>
      </c>
      <c r="H768" s="4">
        <v>3.0</v>
      </c>
      <c r="I768" s="21">
        <f t="array" ref="I768">XLOOKUP($A768,product!A:A,product!E:E)</f>
        <v>4.73</v>
      </c>
      <c r="J768" s="4">
        <f t="shared" si="2"/>
        <v>14.19</v>
      </c>
      <c r="K768" s="22">
        <f t="shared" si="3"/>
        <v>1</v>
      </c>
      <c r="L768" s="4">
        <f t="shared" si="4"/>
        <v>1</v>
      </c>
    </row>
    <row r="769">
      <c r="A769" s="23">
        <v>50367.0</v>
      </c>
      <c r="B769" s="24" t="str">
        <f t="array" ref="B769">xlookup($A769,product!$A:$A,product!B:B)</f>
        <v>Maison</v>
      </c>
      <c r="C769" s="24" t="str">
        <f t="array" ref="C769">xlookup($A769,product!$A:$A,product!C:C)</f>
        <v>Entretien</v>
      </c>
      <c r="D769" s="24" t="str">
        <f t="array" ref="D769">xlookup($A769,product!$A:$A,product!D:D)</f>
        <v>Savon de Marseille</v>
      </c>
      <c r="E769" s="25" t="str">
        <f t="shared" si="1"/>
        <v>50367-Entretien-Savon de Marseille</v>
      </c>
      <c r="F769" s="25">
        <v>0.0</v>
      </c>
      <c r="G769" s="25">
        <v>554.0</v>
      </c>
      <c r="H769" s="25">
        <v>68.0</v>
      </c>
      <c r="I769" s="26">
        <f t="array" ref="I769">XLOOKUP($A769,product!A:A,product!E:E)</f>
        <v>1.5</v>
      </c>
      <c r="J769" s="25">
        <f t="shared" si="2"/>
        <v>102</v>
      </c>
      <c r="K769" s="27">
        <f t="shared" si="3"/>
        <v>1</v>
      </c>
      <c r="L769" s="25">
        <f t="shared" si="4"/>
        <v>1</v>
      </c>
    </row>
    <row r="770">
      <c r="A770" s="19">
        <v>102750.0</v>
      </c>
      <c r="B770" s="20" t="str">
        <f t="array" ref="B770">xlookup($A770,product!$A:$A,product!B:B)</f>
        <v>Maison</v>
      </c>
      <c r="C770" s="20" t="str">
        <f t="array" ref="C770">xlookup($A770,product!$A:$A,product!C:C)</f>
        <v>Entretien</v>
      </c>
      <c r="D770" s="20" t="str">
        <f t="array" ref="D770">xlookup($A770,product!$A:$A,product!D:D)</f>
        <v>Savon de Marseille</v>
      </c>
      <c r="E770" s="4" t="str">
        <f t="shared" si="1"/>
        <v>102750-Entretien-Savon de Marseille</v>
      </c>
      <c r="F770" s="4">
        <v>0.0</v>
      </c>
      <c r="G770" s="4">
        <v>67.0</v>
      </c>
      <c r="H770" s="4">
        <v>38.0</v>
      </c>
      <c r="I770" s="21">
        <f t="array" ref="I770">XLOOKUP($A770,product!A:A,product!E:E)</f>
        <v>5.75</v>
      </c>
      <c r="J770" s="4">
        <f t="shared" si="2"/>
        <v>218.5</v>
      </c>
      <c r="K770" s="22">
        <f t="shared" si="3"/>
        <v>1</v>
      </c>
      <c r="L770" s="4">
        <f t="shared" si="4"/>
        <v>1</v>
      </c>
    </row>
    <row r="771">
      <c r="A771" s="23">
        <v>102758.0</v>
      </c>
      <c r="B771" s="24" t="str">
        <f t="array" ref="B771">xlookup($A771,product!$A:$A,product!B:B)</f>
        <v>Maison</v>
      </c>
      <c r="C771" s="24" t="str">
        <f t="array" ref="C771">xlookup($A771,product!$A:$A,product!C:C)</f>
        <v>Entretien</v>
      </c>
      <c r="D771" s="24" t="str">
        <f t="array" ref="D771">xlookup($A771,product!$A:$A,product!D:D)</f>
        <v>Savon de Marseille</v>
      </c>
      <c r="E771" s="25" t="str">
        <f t="shared" si="1"/>
        <v>102758-Entretien-Savon de Marseille</v>
      </c>
      <c r="F771" s="25">
        <v>0.0</v>
      </c>
      <c r="G771" s="25">
        <v>267.0</v>
      </c>
      <c r="H771" s="25">
        <v>263.0</v>
      </c>
      <c r="I771" s="26">
        <f t="array" ref="I771">XLOOKUP($A771,product!A:A,product!E:E)</f>
        <v>5.67</v>
      </c>
      <c r="J771" s="25">
        <f t="shared" si="2"/>
        <v>1491.21</v>
      </c>
      <c r="K771" s="27">
        <f t="shared" si="3"/>
        <v>1</v>
      </c>
      <c r="L771" s="25">
        <f t="shared" si="4"/>
        <v>1</v>
      </c>
    </row>
    <row r="772">
      <c r="A772" s="19">
        <v>86787.0</v>
      </c>
      <c r="B772" s="20" t="str">
        <f t="array" ref="B772">xlookup($A772,product!$A:$A,product!B:B)</f>
        <v>Maison</v>
      </c>
      <c r="C772" s="20" t="str">
        <f t="array" ref="C772">xlookup($A772,product!$A:$A,product!C:C)</f>
        <v>Entretien</v>
      </c>
      <c r="D772" s="20" t="str">
        <f t="array" ref="D772">xlookup($A772,product!$A:$A,product!D:D)</f>
        <v>Savon de Marseille</v>
      </c>
      <c r="E772" s="4" t="str">
        <f t="shared" si="1"/>
        <v>86787-Entretien-Savon de Marseille</v>
      </c>
      <c r="F772" s="4">
        <v>1.0</v>
      </c>
      <c r="G772" s="4">
        <v>805.0</v>
      </c>
      <c r="H772" s="4">
        <v>186.0</v>
      </c>
      <c r="I772" s="21">
        <f t="array" ref="I772">XLOOKUP($A772,product!A:A,product!E:E)</f>
        <v>1.24</v>
      </c>
      <c r="J772" s="4">
        <f t="shared" si="2"/>
        <v>230.64</v>
      </c>
      <c r="K772" s="22">
        <f t="shared" si="3"/>
        <v>1</v>
      </c>
      <c r="L772" s="4">
        <f t="shared" si="4"/>
        <v>1</v>
      </c>
    </row>
    <row r="773">
      <c r="A773" s="23">
        <v>102740.0</v>
      </c>
      <c r="B773" s="24" t="str">
        <f t="array" ref="B773">xlookup($A773,product!$A:$A,product!B:B)</f>
        <v>Maison</v>
      </c>
      <c r="C773" s="24" t="str">
        <f t="array" ref="C773">xlookup($A773,product!$A:$A,product!C:C)</f>
        <v>Entretien</v>
      </c>
      <c r="D773" s="24" t="str">
        <f t="array" ref="D773">xlookup($A773,product!$A:$A,product!D:D)</f>
        <v>Savon de Marseille</v>
      </c>
      <c r="E773" s="25" t="str">
        <f t="shared" si="1"/>
        <v>102740-Entretien-Savon de Marseille</v>
      </c>
      <c r="F773" s="25">
        <v>1.0</v>
      </c>
      <c r="G773" s="25">
        <v>137.0</v>
      </c>
      <c r="H773" s="25">
        <v>129.0</v>
      </c>
      <c r="I773" s="26">
        <f t="array" ref="I773">XLOOKUP($A773,product!A:A,product!E:E)</f>
        <v>2.06</v>
      </c>
      <c r="J773" s="25">
        <f t="shared" si="2"/>
        <v>265.74</v>
      </c>
      <c r="K773" s="27">
        <f t="shared" si="3"/>
        <v>1</v>
      </c>
      <c r="L773" s="25">
        <f t="shared" si="4"/>
        <v>1</v>
      </c>
    </row>
    <row r="774">
      <c r="A774" s="19">
        <v>102734.0</v>
      </c>
      <c r="B774" s="20" t="str">
        <f t="array" ref="B774">xlookup($A774,product!$A:$A,product!B:B)</f>
        <v>Maison</v>
      </c>
      <c r="C774" s="20" t="str">
        <f t="array" ref="C774">xlookup($A774,product!$A:$A,product!C:C)</f>
        <v>Entretien</v>
      </c>
      <c r="D774" s="20" t="str">
        <f t="array" ref="D774">xlookup($A774,product!$A:$A,product!D:D)</f>
        <v>Savon de Marseille</v>
      </c>
      <c r="E774" s="4" t="str">
        <f t="shared" si="1"/>
        <v>102734-Entretien-Savon de Marseille</v>
      </c>
      <c r="F774" s="4">
        <v>0.0</v>
      </c>
      <c r="G774" s="4">
        <v>152.0</v>
      </c>
      <c r="H774" s="4">
        <v>77.0</v>
      </c>
      <c r="I774" s="21">
        <f t="array" ref="I774">XLOOKUP($A774,product!A:A,product!E:E)</f>
        <v>1.44</v>
      </c>
      <c r="J774" s="4">
        <f t="shared" si="2"/>
        <v>110.88</v>
      </c>
      <c r="K774" s="22">
        <f t="shared" si="3"/>
        <v>1</v>
      </c>
      <c r="L774" s="4">
        <f t="shared" si="4"/>
        <v>1</v>
      </c>
    </row>
    <row r="775">
      <c r="A775" s="23">
        <v>102751.0</v>
      </c>
      <c r="B775" s="24" t="str">
        <f t="array" ref="B775">xlookup($A775,product!$A:$A,product!B:B)</f>
        <v>Maison</v>
      </c>
      <c r="C775" s="24" t="str">
        <f t="array" ref="C775">xlookup($A775,product!$A:$A,product!C:C)</f>
        <v>Entretien</v>
      </c>
      <c r="D775" s="24" t="str">
        <f t="array" ref="D775">xlookup($A775,product!$A:$A,product!D:D)</f>
        <v>Savon de Marseille</v>
      </c>
      <c r="E775" s="25" t="str">
        <f t="shared" si="1"/>
        <v>102751-Entretien-Savon de Marseille</v>
      </c>
      <c r="F775" s="25">
        <v>1.0</v>
      </c>
      <c r="G775" s="25">
        <v>418.0</v>
      </c>
      <c r="H775" s="25">
        <v>235.0</v>
      </c>
      <c r="I775" s="26">
        <f t="array" ref="I775">XLOOKUP($A775,product!A:A,product!E:E)</f>
        <v>5.67</v>
      </c>
      <c r="J775" s="25">
        <f t="shared" si="2"/>
        <v>1332.45</v>
      </c>
      <c r="K775" s="27">
        <f t="shared" si="3"/>
        <v>1</v>
      </c>
      <c r="L775" s="25">
        <f t="shared" si="4"/>
        <v>1</v>
      </c>
    </row>
    <row r="776">
      <c r="A776" s="19">
        <v>102752.0</v>
      </c>
      <c r="B776" s="20" t="str">
        <f t="array" ref="B776">xlookup($A776,product!$A:$A,product!B:B)</f>
        <v>Maison</v>
      </c>
      <c r="C776" s="20" t="str">
        <f t="array" ref="C776">xlookup($A776,product!$A:$A,product!C:C)</f>
        <v>Entretien</v>
      </c>
      <c r="D776" s="20" t="str">
        <f t="array" ref="D776">xlookup($A776,product!$A:$A,product!D:D)</f>
        <v>Savon de Marseille</v>
      </c>
      <c r="E776" s="4" t="str">
        <f t="shared" si="1"/>
        <v>102752-Entretien-Savon de Marseille</v>
      </c>
      <c r="F776" s="4">
        <v>1.0</v>
      </c>
      <c r="G776" s="4">
        <v>947.0</v>
      </c>
      <c r="H776" s="4">
        <v>460.0</v>
      </c>
      <c r="I776" s="21">
        <f t="array" ref="I776">XLOOKUP($A776,product!A:A,product!E:E)</f>
        <v>6.09</v>
      </c>
      <c r="J776" s="4">
        <f t="shared" si="2"/>
        <v>2801.4</v>
      </c>
      <c r="K776" s="22">
        <f t="shared" si="3"/>
        <v>1</v>
      </c>
      <c r="L776" s="4">
        <f t="shared" si="4"/>
        <v>1</v>
      </c>
    </row>
    <row r="777">
      <c r="A777" s="23">
        <v>102735.0</v>
      </c>
      <c r="B777" s="24" t="str">
        <f t="array" ref="B777">xlookup($A777,product!$A:$A,product!B:B)</f>
        <v>Maison</v>
      </c>
      <c r="C777" s="24" t="str">
        <f t="array" ref="C777">xlookup($A777,product!$A:$A,product!C:C)</f>
        <v>Entretien</v>
      </c>
      <c r="D777" s="24" t="str">
        <f t="array" ref="D777">xlookup($A777,product!$A:$A,product!D:D)</f>
        <v>Savon de Marseille</v>
      </c>
      <c r="E777" s="25" t="str">
        <f t="shared" si="1"/>
        <v>102735-Entretien-Savon de Marseille</v>
      </c>
      <c r="F777" s="25">
        <v>0.0</v>
      </c>
      <c r="G777" s="25">
        <v>894.0</v>
      </c>
      <c r="H777" s="25">
        <v>567.0</v>
      </c>
      <c r="I777" s="26">
        <f t="array" ref="I777">XLOOKUP($A777,product!A:A,product!E:E)</f>
        <v>1.95</v>
      </c>
      <c r="J777" s="25">
        <f t="shared" si="2"/>
        <v>1105.65</v>
      </c>
      <c r="K777" s="27">
        <f t="shared" si="3"/>
        <v>1</v>
      </c>
      <c r="L777" s="25">
        <f t="shared" si="4"/>
        <v>1</v>
      </c>
    </row>
    <row r="778">
      <c r="A778" s="19">
        <v>86793.0</v>
      </c>
      <c r="B778" s="20" t="str">
        <f t="array" ref="B778">xlookup($A778,product!$A:$A,product!B:B)</f>
        <v>Maison</v>
      </c>
      <c r="C778" s="20" t="str">
        <f t="array" ref="C778">xlookup($A778,product!$A:$A,product!C:C)</f>
        <v>Entretien</v>
      </c>
      <c r="D778" s="20" t="str">
        <f t="array" ref="D778">xlookup($A778,product!$A:$A,product!D:D)</f>
        <v>Savon de Marseille</v>
      </c>
      <c r="E778" s="4" t="str">
        <f t="shared" si="1"/>
        <v>86793-Entretien-Savon de Marseille</v>
      </c>
      <c r="F778" s="4">
        <v>1.0</v>
      </c>
      <c r="G778" s="4">
        <v>626.0</v>
      </c>
      <c r="H778" s="4">
        <v>559.0</v>
      </c>
      <c r="I778" s="21">
        <f t="array" ref="I778">XLOOKUP($A778,product!A:A,product!E:E)</f>
        <v>2.05</v>
      </c>
      <c r="J778" s="4">
        <f t="shared" si="2"/>
        <v>1145.95</v>
      </c>
      <c r="K778" s="22">
        <f t="shared" si="3"/>
        <v>1</v>
      </c>
      <c r="L778" s="4">
        <f t="shared" si="4"/>
        <v>1</v>
      </c>
    </row>
    <row r="779">
      <c r="A779" s="23">
        <v>86792.0</v>
      </c>
      <c r="B779" s="24" t="str">
        <f t="array" ref="B779">xlookup($A779,product!$A:$A,product!B:B)</f>
        <v>Maison</v>
      </c>
      <c r="C779" s="24" t="str">
        <f t="array" ref="C779">xlookup($A779,product!$A:$A,product!C:C)</f>
        <v>Entretien</v>
      </c>
      <c r="D779" s="24" t="str">
        <f t="array" ref="D779">xlookup($A779,product!$A:$A,product!D:D)</f>
        <v>Savon de Marseille</v>
      </c>
      <c r="E779" s="25" t="str">
        <f t="shared" si="1"/>
        <v>86792-Entretien-Savon de Marseille</v>
      </c>
      <c r="F779" s="25">
        <v>1.0</v>
      </c>
      <c r="G779" s="25">
        <v>409.0</v>
      </c>
      <c r="H779" s="25">
        <v>27.0</v>
      </c>
      <c r="I779" s="26">
        <f t="array" ref="I779">XLOOKUP($A779,product!A:A,product!E:E)</f>
        <v>1.9</v>
      </c>
      <c r="J779" s="25">
        <f t="shared" si="2"/>
        <v>51.3</v>
      </c>
      <c r="K779" s="27">
        <f t="shared" si="3"/>
        <v>1</v>
      </c>
      <c r="L779" s="25">
        <f t="shared" si="4"/>
        <v>1</v>
      </c>
    </row>
    <row r="780">
      <c r="A780" s="19">
        <v>86785.0</v>
      </c>
      <c r="B780" s="20" t="str">
        <f t="array" ref="B780">xlookup($A780,product!$A:$A,product!B:B)</f>
        <v>Maison</v>
      </c>
      <c r="C780" s="20" t="str">
        <f t="array" ref="C780">xlookup($A780,product!$A:$A,product!C:C)</f>
        <v>Entretien</v>
      </c>
      <c r="D780" s="20" t="str">
        <f t="array" ref="D780">xlookup($A780,product!$A:$A,product!D:D)</f>
        <v>Savon de Marseille</v>
      </c>
      <c r="E780" s="4" t="str">
        <f t="shared" si="1"/>
        <v>86785-Entretien-Savon de Marseille</v>
      </c>
      <c r="F780" s="4">
        <v>1.0</v>
      </c>
      <c r="G780" s="4">
        <v>967.0</v>
      </c>
      <c r="H780" s="4">
        <v>311.0</v>
      </c>
      <c r="I780" s="21">
        <f t="array" ref="I780">XLOOKUP($A780,product!A:A,product!E:E)</f>
        <v>1.12</v>
      </c>
      <c r="J780" s="4">
        <f t="shared" si="2"/>
        <v>348.32</v>
      </c>
      <c r="K780" s="22">
        <f t="shared" si="3"/>
        <v>1</v>
      </c>
      <c r="L780" s="4">
        <f t="shared" si="4"/>
        <v>1</v>
      </c>
    </row>
    <row r="781">
      <c r="A781" s="23">
        <v>102773.0</v>
      </c>
      <c r="B781" s="24" t="str">
        <f t="array" ref="B781">xlookup($A781,product!$A:$A,product!B:B)</f>
        <v>Maison</v>
      </c>
      <c r="C781" s="24" t="str">
        <f t="array" ref="C781">xlookup($A781,product!$A:$A,product!C:C)</f>
        <v>Entretien</v>
      </c>
      <c r="D781" s="24" t="str">
        <f t="array" ref="D781">xlookup($A781,product!$A:$A,product!D:D)</f>
        <v>Savon noir ménager</v>
      </c>
      <c r="E781" s="25" t="str">
        <f t="shared" si="1"/>
        <v>102773-Entretien-Savon noir ménager</v>
      </c>
      <c r="F781" s="25">
        <v>0.0</v>
      </c>
      <c r="G781" s="25">
        <v>704.0</v>
      </c>
      <c r="H781" s="25">
        <v>133.0</v>
      </c>
      <c r="I781" s="26">
        <f t="array" ref="I781">XLOOKUP($A781,product!A:A,product!E:E)</f>
        <v>3.35</v>
      </c>
      <c r="J781" s="25">
        <f t="shared" si="2"/>
        <v>445.55</v>
      </c>
      <c r="K781" s="27">
        <f t="shared" si="3"/>
        <v>1</v>
      </c>
      <c r="L781" s="25">
        <f t="shared" si="4"/>
        <v>1</v>
      </c>
    </row>
    <row r="782">
      <c r="A782" s="19">
        <v>42807.0</v>
      </c>
      <c r="B782" s="20" t="str">
        <f t="array" ref="B782">xlookup($A782,product!$A:$A,product!B:B)</f>
        <v>Maison</v>
      </c>
      <c r="C782" s="20" t="str">
        <f t="array" ref="C782">xlookup($A782,product!$A:$A,product!C:C)</f>
        <v>Entretien</v>
      </c>
      <c r="D782" s="20" t="str">
        <f t="array" ref="D782">xlookup($A782,product!$A:$A,product!D:D)</f>
        <v>Savon noir ménager</v>
      </c>
      <c r="E782" s="4" t="str">
        <f t="shared" si="1"/>
        <v>42807-Entretien-Savon noir ménager</v>
      </c>
      <c r="F782" s="4">
        <v>1.0</v>
      </c>
      <c r="G782" s="4">
        <v>626.0</v>
      </c>
      <c r="H782" s="4">
        <v>414.0</v>
      </c>
      <c r="I782" s="21">
        <f t="array" ref="I782">XLOOKUP($A782,product!A:A,product!E:E)</f>
        <v>2.46</v>
      </c>
      <c r="J782" s="4">
        <f t="shared" si="2"/>
        <v>1018.44</v>
      </c>
      <c r="K782" s="22">
        <f t="shared" si="3"/>
        <v>1</v>
      </c>
      <c r="L782" s="4">
        <f t="shared" si="4"/>
        <v>1</v>
      </c>
    </row>
    <row r="783">
      <c r="A783" s="23">
        <v>42809.0</v>
      </c>
      <c r="B783" s="24" t="str">
        <f t="array" ref="B783">xlookup($A783,product!$A:$A,product!B:B)</f>
        <v>Maison</v>
      </c>
      <c r="C783" s="24" t="str">
        <f t="array" ref="C783">xlookup($A783,product!$A:$A,product!C:C)</f>
        <v>Entretien</v>
      </c>
      <c r="D783" s="24" t="str">
        <f t="array" ref="D783">xlookup($A783,product!$A:$A,product!D:D)</f>
        <v>Savon noir ménager</v>
      </c>
      <c r="E783" s="25" t="str">
        <f t="shared" si="1"/>
        <v>42809-Entretien-Savon noir ménager</v>
      </c>
      <c r="F783" s="25">
        <v>0.0</v>
      </c>
      <c r="G783" s="25">
        <v>399.0</v>
      </c>
      <c r="H783" s="25">
        <v>66.0</v>
      </c>
      <c r="I783" s="26">
        <f t="array" ref="I783">XLOOKUP($A783,product!A:A,product!E:E)</f>
        <v>9.41</v>
      </c>
      <c r="J783" s="25">
        <f t="shared" si="2"/>
        <v>621.06</v>
      </c>
      <c r="K783" s="27">
        <f t="shared" si="3"/>
        <v>1</v>
      </c>
      <c r="L783" s="25">
        <f t="shared" si="4"/>
        <v>1</v>
      </c>
    </row>
    <row r="784">
      <c r="A784" s="19">
        <v>86821.0</v>
      </c>
      <c r="B784" s="20" t="str">
        <f t="array" ref="B784">xlookup($A784,product!$A:$A,product!B:B)</f>
        <v>Maison</v>
      </c>
      <c r="C784" s="20" t="str">
        <f t="array" ref="C784">xlookup($A784,product!$A:$A,product!C:C)</f>
        <v>Entretien</v>
      </c>
      <c r="D784" s="20" t="str">
        <f t="array" ref="D784">xlookup($A784,product!$A:$A,product!D:D)</f>
        <v>Savon noir ménager</v>
      </c>
      <c r="E784" s="4" t="str">
        <f t="shared" si="1"/>
        <v>86821-Entretien-Savon noir ménager</v>
      </c>
      <c r="F784" s="4">
        <v>0.0</v>
      </c>
      <c r="G784" s="4">
        <v>977.0</v>
      </c>
      <c r="H784" s="4">
        <v>721.0</v>
      </c>
      <c r="I784" s="21">
        <f t="array" ref="I784">XLOOKUP($A784,product!A:A,product!E:E)</f>
        <v>3.12</v>
      </c>
      <c r="J784" s="4">
        <f t="shared" si="2"/>
        <v>2249.52</v>
      </c>
      <c r="K784" s="22">
        <f t="shared" si="3"/>
        <v>1</v>
      </c>
      <c r="L784" s="4">
        <f t="shared" si="4"/>
        <v>1</v>
      </c>
    </row>
    <row r="785">
      <c r="A785" s="23">
        <v>110719.0</v>
      </c>
      <c r="B785" s="24" t="str">
        <f t="array" ref="B785">xlookup($A785,product!$A:$A,product!B:B)</f>
        <v>Maison</v>
      </c>
      <c r="C785" s="24" t="str">
        <f t="array" ref="C785">xlookup($A785,product!$A:$A,product!C:C)</f>
        <v>Entretien</v>
      </c>
      <c r="D785" s="24" t="str">
        <f t="array" ref="D785">xlookup($A785,product!$A:$A,product!D:D)</f>
        <v>Savon noir ménager</v>
      </c>
      <c r="E785" s="25" t="str">
        <f t="shared" si="1"/>
        <v>110719-Entretien-Savon noir ménager</v>
      </c>
      <c r="F785" s="25">
        <v>1.0</v>
      </c>
      <c r="G785" s="25">
        <v>89.0</v>
      </c>
      <c r="H785" s="25">
        <v>42.0</v>
      </c>
      <c r="I785" s="26">
        <f t="array" ref="I785">XLOOKUP($A785,product!A:A,product!E:E)</f>
        <v>2.27</v>
      </c>
      <c r="J785" s="25">
        <f t="shared" si="2"/>
        <v>95.34</v>
      </c>
      <c r="K785" s="27">
        <f t="shared" si="3"/>
        <v>1</v>
      </c>
      <c r="L785" s="25">
        <f t="shared" si="4"/>
        <v>1</v>
      </c>
    </row>
    <row r="786">
      <c r="A786" s="19">
        <v>86818.0</v>
      </c>
      <c r="B786" s="20" t="str">
        <f t="array" ref="B786">xlookup($A786,product!$A:$A,product!B:B)</f>
        <v>Maison</v>
      </c>
      <c r="C786" s="20" t="str">
        <f t="array" ref="C786">xlookup($A786,product!$A:$A,product!C:C)</f>
        <v>Entretien</v>
      </c>
      <c r="D786" s="20" t="str">
        <f t="array" ref="D786">xlookup($A786,product!$A:$A,product!D:D)</f>
        <v>Savon noir ménager</v>
      </c>
      <c r="E786" s="4" t="str">
        <f t="shared" si="1"/>
        <v>86818-Entretien-Savon noir ménager</v>
      </c>
      <c r="F786" s="4">
        <v>0.0</v>
      </c>
      <c r="G786" s="4">
        <v>509.0</v>
      </c>
      <c r="H786" s="4">
        <v>432.0</v>
      </c>
      <c r="I786" s="21">
        <f t="array" ref="I786">XLOOKUP($A786,product!A:A,product!E:E)</f>
        <v>3.19</v>
      </c>
      <c r="J786" s="4">
        <f t="shared" si="2"/>
        <v>1378.08</v>
      </c>
      <c r="K786" s="22">
        <f t="shared" si="3"/>
        <v>1</v>
      </c>
      <c r="L786" s="4">
        <f t="shared" si="4"/>
        <v>1</v>
      </c>
    </row>
    <row r="787">
      <c r="A787" s="23">
        <v>71318.0</v>
      </c>
      <c r="B787" s="24" t="str">
        <f t="array" ref="B787">xlookup($A787,product!$A:$A,product!B:B)</f>
        <v>Maison</v>
      </c>
      <c r="C787" s="24" t="str">
        <f t="array" ref="C787">xlookup($A787,product!$A:$A,product!C:C)</f>
        <v>Entretien</v>
      </c>
      <c r="D787" s="24" t="str">
        <f t="array" ref="D787">xlookup($A787,product!$A:$A,product!D:D)</f>
        <v>Savon noir ménager</v>
      </c>
      <c r="E787" s="25" t="str">
        <f t="shared" si="1"/>
        <v>71318-Entretien-Savon noir ménager</v>
      </c>
      <c r="F787" s="25">
        <v>0.0</v>
      </c>
      <c r="G787" s="25">
        <v>487.0</v>
      </c>
      <c r="H787" s="25">
        <v>51.0</v>
      </c>
      <c r="I787" s="26">
        <f t="array" ref="I787">XLOOKUP($A787,product!A:A,product!E:E)</f>
        <v>15.41</v>
      </c>
      <c r="J787" s="25">
        <f t="shared" si="2"/>
        <v>785.91</v>
      </c>
      <c r="K787" s="27">
        <f t="shared" si="3"/>
        <v>1</v>
      </c>
      <c r="L787" s="25">
        <f t="shared" si="4"/>
        <v>1</v>
      </c>
    </row>
    <row r="788">
      <c r="A788" s="19">
        <v>122303.0</v>
      </c>
      <c r="B788" s="20" t="str">
        <f t="array" ref="B788">xlookup($A788,product!$A:$A,product!B:B)</f>
        <v>Maison</v>
      </c>
      <c r="C788" s="20" t="str">
        <f t="array" ref="C788">xlookup($A788,product!$A:$A,product!C:C)</f>
        <v>Entretien</v>
      </c>
      <c r="D788" s="20" t="str">
        <f t="array" ref="D788">xlookup($A788,product!$A:$A,product!D:D)</f>
        <v>Savon noir ménager</v>
      </c>
      <c r="E788" s="4" t="str">
        <f t="shared" si="1"/>
        <v>122303-Entretien-Savon noir ménager</v>
      </c>
      <c r="F788" s="4">
        <v>1.0</v>
      </c>
      <c r="G788" s="4">
        <v>875.0</v>
      </c>
      <c r="H788" s="4">
        <v>372.0</v>
      </c>
      <c r="I788" s="21">
        <f t="array" ref="I788">XLOOKUP($A788,product!A:A,product!E:E)</f>
        <v>3.14</v>
      </c>
      <c r="J788" s="4">
        <f t="shared" si="2"/>
        <v>1168.08</v>
      </c>
      <c r="K788" s="22">
        <f t="shared" si="3"/>
        <v>1</v>
      </c>
      <c r="L788" s="4">
        <f t="shared" si="4"/>
        <v>1</v>
      </c>
    </row>
    <row r="789">
      <c r="A789" s="23">
        <v>110716.0</v>
      </c>
      <c r="B789" s="24" t="str">
        <f t="array" ref="B789">xlookup($A789,product!$A:$A,product!B:B)</f>
        <v>Maison</v>
      </c>
      <c r="C789" s="24" t="str">
        <f t="array" ref="C789">xlookup($A789,product!$A:$A,product!C:C)</f>
        <v>Entretien</v>
      </c>
      <c r="D789" s="24" t="str">
        <f t="array" ref="D789">xlookup($A789,product!$A:$A,product!D:D)</f>
        <v>Savon noir ménager</v>
      </c>
      <c r="E789" s="25" t="str">
        <f t="shared" si="1"/>
        <v>110716-Entretien-Savon noir ménager</v>
      </c>
      <c r="F789" s="25">
        <v>0.0</v>
      </c>
      <c r="G789" s="25">
        <v>873.0</v>
      </c>
      <c r="H789" s="25">
        <v>555.0</v>
      </c>
      <c r="I789" s="26">
        <f t="array" ref="I789">XLOOKUP($A789,product!A:A,product!E:E)</f>
        <v>10.85</v>
      </c>
      <c r="J789" s="25">
        <f t="shared" si="2"/>
        <v>6021.75</v>
      </c>
      <c r="K789" s="27">
        <f t="shared" si="3"/>
        <v>1</v>
      </c>
      <c r="L789" s="25">
        <f t="shared" si="4"/>
        <v>1</v>
      </c>
    </row>
    <row r="790">
      <c r="A790" s="19">
        <v>9480.0</v>
      </c>
      <c r="B790" s="20" t="str">
        <f t="array" ref="B790">xlookup($A790,product!$A:$A,product!B:B)</f>
        <v>Maison</v>
      </c>
      <c r="C790" s="20" t="str">
        <f t="array" ref="C790">xlookup($A790,product!$A:$A,product!C:C)</f>
        <v>Entretien</v>
      </c>
      <c r="D790" s="20" t="str">
        <f t="array" ref="D790">xlookup($A790,product!$A:$A,product!D:D)</f>
        <v>Savon noir ménager</v>
      </c>
      <c r="E790" s="4" t="str">
        <f t="shared" si="1"/>
        <v>9480-Entretien-Savon noir ménager</v>
      </c>
      <c r="F790" s="4">
        <v>1.0</v>
      </c>
      <c r="G790" s="4">
        <v>704.0</v>
      </c>
      <c r="H790" s="4">
        <v>550.0</v>
      </c>
      <c r="I790" s="21">
        <f t="array" ref="I790">XLOOKUP($A790,product!A:A,product!E:E)</f>
        <v>2.78</v>
      </c>
      <c r="J790" s="4">
        <f t="shared" si="2"/>
        <v>1529</v>
      </c>
      <c r="K790" s="22">
        <f t="shared" si="3"/>
        <v>1</v>
      </c>
      <c r="L790" s="4">
        <f t="shared" si="4"/>
        <v>1</v>
      </c>
    </row>
    <row r="791">
      <c r="A791" s="23">
        <v>113920.0</v>
      </c>
      <c r="B791" s="24" t="str">
        <f t="array" ref="B791">xlookup($A791,product!$A:$A,product!B:B)</f>
        <v>Maison</v>
      </c>
      <c r="C791" s="24" t="str">
        <f t="array" ref="C791">xlookup($A791,product!$A:$A,product!C:C)</f>
        <v>Entretien</v>
      </c>
      <c r="D791" s="24" t="str">
        <f t="array" ref="D791">xlookup($A791,product!$A:$A,product!D:D)</f>
        <v>Savon noir ménager</v>
      </c>
      <c r="E791" s="25" t="str">
        <f t="shared" si="1"/>
        <v>113920-Entretien-Savon noir ménager</v>
      </c>
      <c r="F791" s="25">
        <v>0.0</v>
      </c>
      <c r="G791" s="25">
        <v>864.0</v>
      </c>
      <c r="H791" s="25">
        <v>508.0</v>
      </c>
      <c r="I791" s="26">
        <f t="array" ref="I791">XLOOKUP($A791,product!A:A,product!E:E)</f>
        <v>2.15</v>
      </c>
      <c r="J791" s="25">
        <f t="shared" si="2"/>
        <v>1092.2</v>
      </c>
      <c r="K791" s="27">
        <f t="shared" si="3"/>
        <v>1</v>
      </c>
      <c r="L791" s="25">
        <f t="shared" si="4"/>
        <v>1</v>
      </c>
    </row>
    <row r="792">
      <c r="A792" s="19">
        <v>166088.0</v>
      </c>
      <c r="B792" s="20" t="str">
        <f t="array" ref="B792">xlookup($A792,product!$A:$A,product!B:B)</f>
        <v>Maison</v>
      </c>
      <c r="C792" s="20" t="str">
        <f t="array" ref="C792">xlookup($A792,product!$A:$A,product!C:C)</f>
        <v>Entretien</v>
      </c>
      <c r="D792" s="20" t="str">
        <f t="array" ref="D792">xlookup($A792,product!$A:$A,product!D:D)</f>
        <v>Accessoires ménagers</v>
      </c>
      <c r="E792" s="4" t="str">
        <f t="shared" si="1"/>
        <v>166088-Entretien-Accessoires ménagers</v>
      </c>
      <c r="F792" s="4">
        <v>1.0</v>
      </c>
      <c r="G792" s="4">
        <v>410.0</v>
      </c>
      <c r="H792" s="4">
        <v>393.0</v>
      </c>
      <c r="I792" s="21">
        <f t="array" ref="I792">XLOOKUP($A792,product!A:A,product!E:E)</f>
        <v>4.1</v>
      </c>
      <c r="J792" s="4">
        <f t="shared" si="2"/>
        <v>1611.3</v>
      </c>
      <c r="K792" s="22">
        <f t="shared" si="3"/>
        <v>1</v>
      </c>
      <c r="L792" s="4">
        <f t="shared" si="4"/>
        <v>1</v>
      </c>
    </row>
    <row r="793">
      <c r="A793" s="23">
        <v>122712.0</v>
      </c>
      <c r="B793" s="24" t="str">
        <f t="array" ref="B793">xlookup($A793,product!$A:$A,product!B:B)</f>
        <v>Maison</v>
      </c>
      <c r="C793" s="24" t="str">
        <f t="array" ref="C793">xlookup($A793,product!$A:$A,product!C:C)</f>
        <v>Entretien</v>
      </c>
      <c r="D793" s="24" t="str">
        <f t="array" ref="D793">xlookup($A793,product!$A:$A,product!D:D)</f>
        <v>Accessoires ménagers</v>
      </c>
      <c r="E793" s="25" t="str">
        <f t="shared" si="1"/>
        <v>122712-Entretien-Accessoires ménagers</v>
      </c>
      <c r="F793" s="25">
        <v>1.0</v>
      </c>
      <c r="G793" s="25">
        <v>900.0</v>
      </c>
      <c r="H793" s="25">
        <v>616.0</v>
      </c>
      <c r="I793" s="26">
        <f t="array" ref="I793">XLOOKUP($A793,product!A:A,product!E:E)</f>
        <v>1.82</v>
      </c>
      <c r="J793" s="25">
        <f t="shared" si="2"/>
        <v>1121.12</v>
      </c>
      <c r="K793" s="27">
        <f t="shared" si="3"/>
        <v>1</v>
      </c>
      <c r="L793" s="25">
        <f t="shared" si="4"/>
        <v>1</v>
      </c>
    </row>
    <row r="794">
      <c r="A794" s="19">
        <v>86523.0</v>
      </c>
      <c r="B794" s="20" t="str">
        <f t="array" ref="B794">xlookup($A794,product!$A:$A,product!B:B)</f>
        <v>Maison</v>
      </c>
      <c r="C794" s="20" t="str">
        <f t="array" ref="C794">xlookup($A794,product!$A:$A,product!C:C)</f>
        <v>Entretien</v>
      </c>
      <c r="D794" s="20" t="str">
        <f t="array" ref="D794">xlookup($A794,product!$A:$A,product!D:D)</f>
        <v>Accessoires ménagers</v>
      </c>
      <c r="E794" s="4" t="str">
        <f t="shared" si="1"/>
        <v>86523-Entretien-Accessoires ménagers</v>
      </c>
      <c r="F794" s="4">
        <v>0.0</v>
      </c>
      <c r="G794" s="4">
        <v>961.0</v>
      </c>
      <c r="H794" s="4">
        <v>184.0</v>
      </c>
      <c r="I794" s="21">
        <f t="array" ref="I794">XLOOKUP($A794,product!A:A,product!E:E)</f>
        <v>0.98</v>
      </c>
      <c r="J794" s="4">
        <f t="shared" si="2"/>
        <v>180.32</v>
      </c>
      <c r="K794" s="22">
        <f t="shared" si="3"/>
        <v>1</v>
      </c>
      <c r="L794" s="4">
        <f t="shared" si="4"/>
        <v>1</v>
      </c>
    </row>
    <row r="795">
      <c r="A795" s="23">
        <v>106773.0</v>
      </c>
      <c r="B795" s="24" t="str">
        <f t="array" ref="B795">xlookup($A795,product!$A:$A,product!B:B)</f>
        <v>Maison</v>
      </c>
      <c r="C795" s="24" t="str">
        <f t="array" ref="C795">xlookup($A795,product!$A:$A,product!C:C)</f>
        <v>Entretien</v>
      </c>
      <c r="D795" s="24" t="str">
        <f t="array" ref="D795">xlookup($A795,product!$A:$A,product!D:D)</f>
        <v>Accessoires ménagers</v>
      </c>
      <c r="E795" s="25" t="str">
        <f t="shared" si="1"/>
        <v>106773-Entretien-Accessoires ménagers</v>
      </c>
      <c r="F795" s="25">
        <v>1.0</v>
      </c>
      <c r="G795" s="25">
        <v>624.0</v>
      </c>
      <c r="H795" s="25">
        <v>510.0</v>
      </c>
      <c r="I795" s="26">
        <f t="array" ref="I795">XLOOKUP($A795,product!A:A,product!E:E)</f>
        <v>1.79</v>
      </c>
      <c r="J795" s="25">
        <f t="shared" si="2"/>
        <v>912.9</v>
      </c>
      <c r="K795" s="27">
        <f t="shared" si="3"/>
        <v>1</v>
      </c>
      <c r="L795" s="25">
        <f t="shared" si="4"/>
        <v>1</v>
      </c>
    </row>
    <row r="796">
      <c r="A796" s="19">
        <v>128356.0</v>
      </c>
      <c r="B796" s="20" t="str">
        <f t="array" ref="B796">xlookup($A796,product!$A:$A,product!B:B)</f>
        <v>Maison</v>
      </c>
      <c r="C796" s="20" t="str">
        <f t="array" ref="C796">xlookup($A796,product!$A:$A,product!C:C)</f>
        <v>Entretien</v>
      </c>
      <c r="D796" s="20" t="str">
        <f t="array" ref="D796">xlookup($A796,product!$A:$A,product!D:D)</f>
        <v>Accessoires ménagers</v>
      </c>
      <c r="E796" s="4" t="str">
        <f t="shared" si="1"/>
        <v>128356-Entretien-Accessoires ménagers</v>
      </c>
      <c r="F796" s="4">
        <v>0.0</v>
      </c>
      <c r="G796" s="4">
        <v>723.0</v>
      </c>
      <c r="H796" s="4">
        <v>69.0</v>
      </c>
      <c r="I796" s="21">
        <f t="array" ref="I796">XLOOKUP($A796,product!A:A,product!E:E)</f>
        <v>3.65</v>
      </c>
      <c r="J796" s="4">
        <f t="shared" si="2"/>
        <v>251.85</v>
      </c>
      <c r="K796" s="22">
        <f t="shared" si="3"/>
        <v>1</v>
      </c>
      <c r="L796" s="4">
        <f t="shared" si="4"/>
        <v>1</v>
      </c>
    </row>
    <row r="797">
      <c r="A797" s="23">
        <v>28897.0</v>
      </c>
      <c r="B797" s="24" t="str">
        <f t="array" ref="B797">xlookup($A797,product!$A:$A,product!B:B)</f>
        <v>Maison</v>
      </c>
      <c r="C797" s="24" t="str">
        <f t="array" ref="C797">xlookup($A797,product!$A:$A,product!C:C)</f>
        <v>Entretien</v>
      </c>
      <c r="D797" s="24" t="str">
        <f t="array" ref="D797">xlookup($A797,product!$A:$A,product!D:D)</f>
        <v>Accessoires ménagers</v>
      </c>
      <c r="E797" s="25" t="str">
        <f t="shared" si="1"/>
        <v>28897-Entretien-Accessoires ménagers</v>
      </c>
      <c r="F797" s="25">
        <v>1.0</v>
      </c>
      <c r="G797" s="25">
        <v>831.0</v>
      </c>
      <c r="H797" s="25">
        <v>312.0</v>
      </c>
      <c r="I797" s="26">
        <f t="array" ref="I797">XLOOKUP($A797,product!A:A,product!E:E)</f>
        <v>1.31</v>
      </c>
      <c r="J797" s="25">
        <f t="shared" si="2"/>
        <v>408.72</v>
      </c>
      <c r="K797" s="27">
        <f t="shared" si="3"/>
        <v>1</v>
      </c>
      <c r="L797" s="25">
        <f t="shared" si="4"/>
        <v>1</v>
      </c>
    </row>
    <row r="798">
      <c r="A798" s="19">
        <v>181502.0</v>
      </c>
      <c r="B798" s="20" t="str">
        <f t="array" ref="B798">xlookup($A798,product!$A:$A,product!B:B)</f>
        <v>Maison</v>
      </c>
      <c r="C798" s="20" t="str">
        <f t="array" ref="C798">xlookup($A798,product!$A:$A,product!C:C)</f>
        <v>Entretien</v>
      </c>
      <c r="D798" s="20" t="str">
        <f t="array" ref="D798">xlookup($A798,product!$A:$A,product!D:D)</f>
        <v>Accessoires ménagers</v>
      </c>
      <c r="E798" s="4" t="str">
        <f t="shared" si="1"/>
        <v>181502-Entretien-Accessoires ménagers</v>
      </c>
      <c r="F798" s="4">
        <v>1.0</v>
      </c>
      <c r="G798" s="4">
        <v>238.0</v>
      </c>
      <c r="H798" s="4">
        <v>50.0</v>
      </c>
      <c r="I798" s="21">
        <f t="array" ref="I798">XLOOKUP($A798,product!A:A,product!E:E)</f>
        <v>10.03</v>
      </c>
      <c r="J798" s="4">
        <f t="shared" si="2"/>
        <v>501.5</v>
      </c>
      <c r="K798" s="22">
        <f t="shared" si="3"/>
        <v>1</v>
      </c>
      <c r="L798" s="4">
        <f t="shared" si="4"/>
        <v>1</v>
      </c>
    </row>
    <row r="799">
      <c r="A799" s="23">
        <v>13368.0</v>
      </c>
      <c r="B799" s="24" t="str">
        <f t="array" ref="B799">xlookup($A799,product!$A:$A,product!B:B)</f>
        <v>Maison</v>
      </c>
      <c r="C799" s="24" t="str">
        <f t="array" ref="C799">xlookup($A799,product!$A:$A,product!C:C)</f>
        <v>Entretien</v>
      </c>
      <c r="D799" s="24" t="str">
        <f t="array" ref="D799">xlookup($A799,product!$A:$A,product!D:D)</f>
        <v>Accessoires ménagers</v>
      </c>
      <c r="E799" s="25" t="str">
        <f t="shared" si="1"/>
        <v>13368-Entretien-Accessoires ménagers</v>
      </c>
      <c r="F799" s="25">
        <v>1.0</v>
      </c>
      <c r="G799" s="25">
        <v>352.0</v>
      </c>
      <c r="H799" s="25">
        <v>207.0</v>
      </c>
      <c r="I799" s="26">
        <f t="array" ref="I799">XLOOKUP($A799,product!A:A,product!E:E)</f>
        <v>1.34</v>
      </c>
      <c r="J799" s="25">
        <f t="shared" si="2"/>
        <v>277.38</v>
      </c>
      <c r="K799" s="27">
        <f t="shared" si="3"/>
        <v>1</v>
      </c>
      <c r="L799" s="25">
        <f t="shared" si="4"/>
        <v>1</v>
      </c>
    </row>
    <row r="800">
      <c r="A800" s="19">
        <v>105178.0</v>
      </c>
      <c r="B800" s="20" t="str">
        <f t="array" ref="B800">xlookup($A800,product!$A:$A,product!B:B)</f>
        <v>Maison</v>
      </c>
      <c r="C800" s="20" t="str">
        <f t="array" ref="C800">xlookup($A800,product!$A:$A,product!C:C)</f>
        <v>Entretien</v>
      </c>
      <c r="D800" s="20" t="str">
        <f t="array" ref="D800">xlookup($A800,product!$A:$A,product!D:D)</f>
        <v>Accessoires ménagers</v>
      </c>
      <c r="E800" s="4" t="str">
        <f t="shared" si="1"/>
        <v>105178-Entretien-Accessoires ménagers</v>
      </c>
      <c r="F800" s="4">
        <v>0.0</v>
      </c>
      <c r="G800" s="4">
        <v>204.0</v>
      </c>
      <c r="H800" s="4">
        <v>83.0</v>
      </c>
      <c r="I800" s="21">
        <f t="array" ref="I800">XLOOKUP($A800,product!A:A,product!E:E)</f>
        <v>1.17</v>
      </c>
      <c r="J800" s="4">
        <f t="shared" si="2"/>
        <v>97.11</v>
      </c>
      <c r="K800" s="22">
        <f t="shared" si="3"/>
        <v>1</v>
      </c>
      <c r="L800" s="4">
        <f t="shared" si="4"/>
        <v>1</v>
      </c>
    </row>
    <row r="801">
      <c r="A801" s="23">
        <v>158445.0</v>
      </c>
      <c r="B801" s="24" t="str">
        <f t="array" ref="B801">xlookup($A801,product!$A:$A,product!B:B)</f>
        <v>Maison</v>
      </c>
      <c r="C801" s="24" t="str">
        <f t="array" ref="C801">xlookup($A801,product!$A:$A,product!C:C)</f>
        <v>Entretien</v>
      </c>
      <c r="D801" s="24" t="str">
        <f t="array" ref="D801">xlookup($A801,product!$A:$A,product!D:D)</f>
        <v>Accessoires ménagers</v>
      </c>
      <c r="E801" s="25" t="str">
        <f t="shared" si="1"/>
        <v>158445-Entretien-Accessoires ménagers</v>
      </c>
      <c r="F801" s="25">
        <v>0.0</v>
      </c>
      <c r="G801" s="25">
        <v>485.0</v>
      </c>
      <c r="H801" s="25">
        <v>359.0</v>
      </c>
      <c r="I801" s="26">
        <f t="array" ref="I801">XLOOKUP($A801,product!A:A,product!E:E)</f>
        <v>0.74</v>
      </c>
      <c r="J801" s="25">
        <f t="shared" si="2"/>
        <v>265.66</v>
      </c>
      <c r="K801" s="27">
        <f t="shared" si="3"/>
        <v>1</v>
      </c>
      <c r="L801" s="25">
        <f t="shared" si="4"/>
        <v>1</v>
      </c>
    </row>
    <row r="802">
      <c r="A802" s="19">
        <v>105861.0</v>
      </c>
      <c r="B802" s="20" t="str">
        <f t="array" ref="B802">xlookup($A802,product!$A:$A,product!B:B)</f>
        <v>Maison</v>
      </c>
      <c r="C802" s="20" t="str">
        <f t="array" ref="C802">xlookup($A802,product!$A:$A,product!C:C)</f>
        <v>Entretien</v>
      </c>
      <c r="D802" s="20" t="str">
        <f t="array" ref="D802">xlookup($A802,product!$A:$A,product!D:D)</f>
        <v>Accessoires ménagers</v>
      </c>
      <c r="E802" s="4" t="str">
        <f t="shared" si="1"/>
        <v>105861-Entretien-Accessoires ménagers</v>
      </c>
      <c r="F802" s="4">
        <v>0.0</v>
      </c>
      <c r="G802" s="4">
        <v>905.0</v>
      </c>
      <c r="H802" s="4">
        <v>160.0</v>
      </c>
      <c r="I802" s="21">
        <f t="array" ref="I802">XLOOKUP($A802,product!A:A,product!E:E)</f>
        <v>1.21</v>
      </c>
      <c r="J802" s="4">
        <f t="shared" si="2"/>
        <v>193.6</v>
      </c>
      <c r="K802" s="22">
        <f t="shared" si="3"/>
        <v>1</v>
      </c>
      <c r="L802" s="4">
        <f t="shared" si="4"/>
        <v>1</v>
      </c>
    </row>
    <row r="803">
      <c r="A803" s="23">
        <v>28668.0</v>
      </c>
      <c r="B803" s="24" t="str">
        <f t="array" ref="B803">xlookup($A803,product!$A:$A,product!B:B)</f>
        <v>Maison</v>
      </c>
      <c r="C803" s="24" t="str">
        <f t="array" ref="C803">xlookup($A803,product!$A:$A,product!C:C)</f>
        <v>Entretien</v>
      </c>
      <c r="D803" s="24" t="str">
        <f t="array" ref="D803">xlookup($A803,product!$A:$A,product!D:D)</f>
        <v>Accessoires ménagers</v>
      </c>
      <c r="E803" s="25" t="str">
        <f t="shared" si="1"/>
        <v>28668-Entretien-Accessoires ménagers</v>
      </c>
      <c r="F803" s="25">
        <v>1.0</v>
      </c>
      <c r="G803" s="25">
        <v>57.0</v>
      </c>
      <c r="H803" s="25">
        <v>23.0</v>
      </c>
      <c r="I803" s="26">
        <f t="array" ref="I803">XLOOKUP($A803,product!A:A,product!E:E)</f>
        <v>1.3</v>
      </c>
      <c r="J803" s="25">
        <f t="shared" si="2"/>
        <v>29.9</v>
      </c>
      <c r="K803" s="27">
        <f t="shared" si="3"/>
        <v>1</v>
      </c>
      <c r="L803" s="25">
        <f t="shared" si="4"/>
        <v>1</v>
      </c>
    </row>
    <row r="804">
      <c r="A804" s="19">
        <v>28661.0</v>
      </c>
      <c r="B804" s="20" t="str">
        <f t="array" ref="B804">xlookup($A804,product!$A:$A,product!B:B)</f>
        <v>Maison</v>
      </c>
      <c r="C804" s="20" t="str">
        <f t="array" ref="C804">xlookup($A804,product!$A:$A,product!C:C)</f>
        <v>Entretien</v>
      </c>
      <c r="D804" s="20" t="str">
        <f t="array" ref="D804">xlookup($A804,product!$A:$A,product!D:D)</f>
        <v>Accessoires ménagers</v>
      </c>
      <c r="E804" s="4" t="str">
        <f t="shared" si="1"/>
        <v>28661-Entretien-Accessoires ménagers</v>
      </c>
      <c r="F804" s="4">
        <v>1.0</v>
      </c>
      <c r="G804" s="4">
        <v>375.0</v>
      </c>
      <c r="H804" s="4">
        <v>45.0</v>
      </c>
      <c r="I804" s="21">
        <f t="array" ref="I804">XLOOKUP($A804,product!A:A,product!E:E)</f>
        <v>1.39</v>
      </c>
      <c r="J804" s="4">
        <f t="shared" si="2"/>
        <v>62.55</v>
      </c>
      <c r="K804" s="22">
        <f t="shared" si="3"/>
        <v>1</v>
      </c>
      <c r="L804" s="4">
        <f t="shared" si="4"/>
        <v>1</v>
      </c>
    </row>
    <row r="805">
      <c r="A805" s="23">
        <v>13349.0</v>
      </c>
      <c r="B805" s="24" t="str">
        <f t="array" ref="B805">xlookup($A805,product!$A:$A,product!B:B)</f>
        <v>Maison</v>
      </c>
      <c r="C805" s="24" t="str">
        <f t="array" ref="C805">xlookup($A805,product!$A:$A,product!C:C)</f>
        <v>Entretien</v>
      </c>
      <c r="D805" s="24" t="str">
        <f t="array" ref="D805">xlookup($A805,product!$A:$A,product!D:D)</f>
        <v>Accessoires ménagers</v>
      </c>
      <c r="E805" s="25" t="str">
        <f t="shared" si="1"/>
        <v>13349-Entretien-Accessoires ménagers</v>
      </c>
      <c r="F805" s="25">
        <v>1.0</v>
      </c>
      <c r="G805" s="25">
        <v>485.0</v>
      </c>
      <c r="H805" s="25">
        <v>295.0</v>
      </c>
      <c r="I805" s="26">
        <f t="array" ref="I805">XLOOKUP($A805,product!A:A,product!E:E)</f>
        <v>1.56</v>
      </c>
      <c r="J805" s="25">
        <f t="shared" si="2"/>
        <v>460.2</v>
      </c>
      <c r="K805" s="27">
        <f t="shared" si="3"/>
        <v>1</v>
      </c>
      <c r="L805" s="25">
        <f t="shared" si="4"/>
        <v>1</v>
      </c>
    </row>
    <row r="806">
      <c r="A806" s="19">
        <v>1634.0</v>
      </c>
      <c r="B806" s="20" t="str">
        <f t="array" ref="B806">xlookup($A806,product!$A:$A,product!B:B)</f>
        <v>Maison</v>
      </c>
      <c r="C806" s="20" t="str">
        <f t="array" ref="C806">xlookup($A806,product!$A:$A,product!C:C)</f>
        <v>Entretien</v>
      </c>
      <c r="D806" s="20" t="str">
        <f t="array" ref="D806">xlookup($A806,product!$A:$A,product!D:D)</f>
        <v>Accessoires ménagers</v>
      </c>
      <c r="E806" s="4" t="str">
        <f t="shared" si="1"/>
        <v>1634-Entretien-Accessoires ménagers</v>
      </c>
      <c r="F806" s="4">
        <v>0.0</v>
      </c>
      <c r="G806" s="4">
        <v>616.0</v>
      </c>
      <c r="H806" s="4">
        <v>97.0</v>
      </c>
      <c r="I806" s="21">
        <f t="array" ref="I806">XLOOKUP($A806,product!A:A,product!E:E)</f>
        <v>1.37</v>
      </c>
      <c r="J806" s="4">
        <f t="shared" si="2"/>
        <v>132.89</v>
      </c>
      <c r="K806" s="22">
        <f t="shared" si="3"/>
        <v>1</v>
      </c>
      <c r="L806" s="4">
        <f t="shared" si="4"/>
        <v>1</v>
      </c>
    </row>
    <row r="807">
      <c r="A807" s="23">
        <v>86524.0</v>
      </c>
      <c r="B807" s="24" t="str">
        <f t="array" ref="B807">xlookup($A807,product!$A:$A,product!B:B)</f>
        <v>Maison</v>
      </c>
      <c r="C807" s="24" t="str">
        <f t="array" ref="C807">xlookup($A807,product!$A:$A,product!C:C)</f>
        <v>Entretien</v>
      </c>
      <c r="D807" s="24" t="str">
        <f t="array" ref="D807">xlookup($A807,product!$A:$A,product!D:D)</f>
        <v>Accessoires ménagers</v>
      </c>
      <c r="E807" s="25" t="str">
        <f t="shared" si="1"/>
        <v>86524-Entretien-Accessoires ménagers</v>
      </c>
      <c r="F807" s="25">
        <v>0.0</v>
      </c>
      <c r="G807" s="25">
        <v>908.0</v>
      </c>
      <c r="H807" s="25">
        <v>667.0</v>
      </c>
      <c r="I807" s="26">
        <f t="array" ref="I807">XLOOKUP($A807,product!A:A,product!E:E)</f>
        <v>0.7</v>
      </c>
      <c r="J807" s="25">
        <f t="shared" si="2"/>
        <v>466.9</v>
      </c>
      <c r="K807" s="27">
        <f t="shared" si="3"/>
        <v>1</v>
      </c>
      <c r="L807" s="25">
        <f t="shared" si="4"/>
        <v>1</v>
      </c>
    </row>
    <row r="808">
      <c r="A808" s="19">
        <v>86531.0</v>
      </c>
      <c r="B808" s="20" t="str">
        <f t="array" ref="B808">xlookup($A808,product!$A:$A,product!B:B)</f>
        <v>Maison</v>
      </c>
      <c r="C808" s="20" t="str">
        <f t="array" ref="C808">xlookup($A808,product!$A:$A,product!C:C)</f>
        <v>Entretien</v>
      </c>
      <c r="D808" s="20" t="str">
        <f t="array" ref="D808">xlookup($A808,product!$A:$A,product!D:D)</f>
        <v>Accessoires ménagers</v>
      </c>
      <c r="E808" s="4" t="str">
        <f t="shared" si="1"/>
        <v>86531-Entretien-Accessoires ménagers</v>
      </c>
      <c r="F808" s="4">
        <v>1.0</v>
      </c>
      <c r="G808" s="4">
        <v>625.0</v>
      </c>
      <c r="H808" s="4">
        <v>332.0</v>
      </c>
      <c r="I808" s="21">
        <f t="array" ref="I808">XLOOKUP($A808,product!A:A,product!E:E)</f>
        <v>0.56</v>
      </c>
      <c r="J808" s="4">
        <f t="shared" si="2"/>
        <v>185.92</v>
      </c>
      <c r="K808" s="22">
        <f t="shared" si="3"/>
        <v>1</v>
      </c>
      <c r="L808" s="4">
        <f t="shared" si="4"/>
        <v>1</v>
      </c>
    </row>
    <row r="809">
      <c r="A809" s="23">
        <v>95210.0</v>
      </c>
      <c r="B809" s="24" t="str">
        <f t="array" ref="B809">xlookup($A809,product!$A:$A,product!B:B)</f>
        <v>Maison</v>
      </c>
      <c r="C809" s="24" t="str">
        <f t="array" ref="C809">xlookup($A809,product!$A:$A,product!C:C)</f>
        <v>Entretien</v>
      </c>
      <c r="D809" s="24" t="str">
        <f t="array" ref="D809">xlookup($A809,product!$A:$A,product!D:D)</f>
        <v>Accessoires ménagers</v>
      </c>
      <c r="E809" s="25" t="str">
        <f t="shared" si="1"/>
        <v>95210-Entretien-Accessoires ménagers</v>
      </c>
      <c r="F809" s="25">
        <v>1.0</v>
      </c>
      <c r="G809" s="25">
        <v>976.0</v>
      </c>
      <c r="H809" s="25">
        <v>55.0</v>
      </c>
      <c r="I809" s="26">
        <f t="array" ref="I809">XLOOKUP($A809,product!A:A,product!E:E)</f>
        <v>1.91</v>
      </c>
      <c r="J809" s="25">
        <f t="shared" si="2"/>
        <v>105.05</v>
      </c>
      <c r="K809" s="27">
        <f t="shared" si="3"/>
        <v>1</v>
      </c>
      <c r="L809" s="25">
        <f t="shared" si="4"/>
        <v>1</v>
      </c>
    </row>
    <row r="810">
      <c r="A810" s="19">
        <v>158450.0</v>
      </c>
      <c r="B810" s="20" t="str">
        <f t="array" ref="B810">xlookup($A810,product!$A:$A,product!B:B)</f>
        <v>Maison</v>
      </c>
      <c r="C810" s="20" t="str">
        <f t="array" ref="C810">xlookup($A810,product!$A:$A,product!C:C)</f>
        <v>Entretien</v>
      </c>
      <c r="D810" s="20" t="str">
        <f t="array" ref="D810">xlookup($A810,product!$A:$A,product!D:D)</f>
        <v>Accessoires ménagers</v>
      </c>
      <c r="E810" s="4" t="str">
        <f t="shared" si="1"/>
        <v>158450-Entretien-Accessoires ménagers</v>
      </c>
      <c r="F810" s="4">
        <v>1.0</v>
      </c>
      <c r="G810" s="4">
        <v>150.0</v>
      </c>
      <c r="H810" s="4">
        <v>130.0</v>
      </c>
      <c r="I810" s="21">
        <f t="array" ref="I810">XLOOKUP($A810,product!A:A,product!E:E)</f>
        <v>4.25</v>
      </c>
      <c r="J810" s="4">
        <f t="shared" si="2"/>
        <v>552.5</v>
      </c>
      <c r="K810" s="22">
        <f t="shared" si="3"/>
        <v>1</v>
      </c>
      <c r="L810" s="4">
        <f t="shared" si="4"/>
        <v>1</v>
      </c>
    </row>
    <row r="811">
      <c r="A811" s="23">
        <v>103080.0</v>
      </c>
      <c r="B811" s="24" t="str">
        <f t="array" ref="B811">xlookup($A811,product!$A:$A,product!B:B)</f>
        <v>Maison</v>
      </c>
      <c r="C811" s="24" t="str">
        <f t="array" ref="C811">xlookup($A811,product!$A:$A,product!C:C)</f>
        <v>Entretien</v>
      </c>
      <c r="D811" s="24" t="str">
        <f t="array" ref="D811">xlookup($A811,product!$A:$A,product!D:D)</f>
        <v>Accessoires ménagers</v>
      </c>
      <c r="E811" s="25" t="str">
        <f t="shared" si="1"/>
        <v>103080-Entretien-Accessoires ménagers</v>
      </c>
      <c r="F811" s="25">
        <v>0.0</v>
      </c>
      <c r="G811" s="25">
        <v>619.0</v>
      </c>
      <c r="H811" s="25">
        <v>575.0</v>
      </c>
      <c r="I811" s="26">
        <f t="array" ref="I811">XLOOKUP($A811,product!A:A,product!E:E)</f>
        <v>0.8</v>
      </c>
      <c r="J811" s="25">
        <f t="shared" si="2"/>
        <v>460</v>
      </c>
      <c r="K811" s="27">
        <f t="shared" si="3"/>
        <v>1</v>
      </c>
      <c r="L811" s="25">
        <f t="shared" si="4"/>
        <v>1</v>
      </c>
    </row>
    <row r="812">
      <c r="A812" s="19">
        <v>121067.0</v>
      </c>
      <c r="B812" s="20" t="str">
        <f t="array" ref="B812">xlookup($A812,product!$A:$A,product!B:B)</f>
        <v>Maison</v>
      </c>
      <c r="C812" s="20" t="str">
        <f t="array" ref="C812">xlookup($A812,product!$A:$A,product!C:C)</f>
        <v>Entretien</v>
      </c>
      <c r="D812" s="20" t="str">
        <f t="array" ref="D812">xlookup($A812,product!$A:$A,product!D:D)</f>
        <v>Accessoires ménagers</v>
      </c>
      <c r="E812" s="4" t="str">
        <f t="shared" si="1"/>
        <v>121067-Entretien-Accessoires ménagers</v>
      </c>
      <c r="F812" s="4">
        <v>0.0</v>
      </c>
      <c r="G812" s="4">
        <v>408.0</v>
      </c>
      <c r="H812" s="4">
        <v>304.0</v>
      </c>
      <c r="I812" s="21">
        <f t="array" ref="I812">XLOOKUP($A812,product!A:A,product!E:E)</f>
        <v>3.83</v>
      </c>
      <c r="J812" s="4">
        <f t="shared" si="2"/>
        <v>1164.32</v>
      </c>
      <c r="K812" s="22">
        <f t="shared" si="3"/>
        <v>1</v>
      </c>
      <c r="L812" s="4">
        <f t="shared" si="4"/>
        <v>1</v>
      </c>
    </row>
    <row r="813">
      <c r="A813" s="23">
        <v>41513.0</v>
      </c>
      <c r="B813" s="24" t="str">
        <f t="array" ref="B813">xlookup($A813,product!$A:$A,product!B:B)</f>
        <v>Maison</v>
      </c>
      <c r="C813" s="24" t="str">
        <f t="array" ref="C813">xlookup($A813,product!$A:$A,product!C:C)</f>
        <v>Entretien</v>
      </c>
      <c r="D813" s="24" t="str">
        <f t="array" ref="D813">xlookup($A813,product!$A:$A,product!D:D)</f>
        <v>Accessoires ménagers</v>
      </c>
      <c r="E813" s="25" t="str">
        <f t="shared" si="1"/>
        <v>41513-Entretien-Accessoires ménagers</v>
      </c>
      <c r="F813" s="25">
        <v>1.0</v>
      </c>
      <c r="G813" s="25">
        <v>806.0</v>
      </c>
      <c r="H813" s="25">
        <v>49.0</v>
      </c>
      <c r="I813" s="26">
        <f t="array" ref="I813">XLOOKUP($A813,product!A:A,product!E:E)</f>
        <v>3.88</v>
      </c>
      <c r="J813" s="25">
        <f t="shared" si="2"/>
        <v>190.12</v>
      </c>
      <c r="K813" s="27">
        <f t="shared" si="3"/>
        <v>1</v>
      </c>
      <c r="L813" s="25">
        <f t="shared" si="4"/>
        <v>1</v>
      </c>
    </row>
    <row r="814">
      <c r="A814" s="19">
        <v>166089.0</v>
      </c>
      <c r="B814" s="20" t="str">
        <f t="array" ref="B814">xlookup($A814,product!$A:$A,product!B:B)</f>
        <v>Maison</v>
      </c>
      <c r="C814" s="20" t="str">
        <f t="array" ref="C814">xlookup($A814,product!$A:$A,product!C:C)</f>
        <v>Entretien</v>
      </c>
      <c r="D814" s="20" t="str">
        <f t="array" ref="D814">xlookup($A814,product!$A:$A,product!D:D)</f>
        <v>Accessoires ménagers</v>
      </c>
      <c r="E814" s="4" t="str">
        <f t="shared" si="1"/>
        <v>166089-Entretien-Accessoires ménagers</v>
      </c>
      <c r="F814" s="4">
        <v>1.0</v>
      </c>
      <c r="G814" s="4">
        <v>146.0</v>
      </c>
      <c r="H814" s="4">
        <v>52.0</v>
      </c>
      <c r="I814" s="21">
        <f t="array" ref="I814">XLOOKUP($A814,product!A:A,product!E:E)</f>
        <v>4.1</v>
      </c>
      <c r="J814" s="4">
        <f t="shared" si="2"/>
        <v>213.2</v>
      </c>
      <c r="K814" s="22">
        <f t="shared" si="3"/>
        <v>1</v>
      </c>
      <c r="L814" s="4">
        <f t="shared" si="4"/>
        <v>1</v>
      </c>
    </row>
    <row r="815">
      <c r="A815" s="23">
        <v>26446.0</v>
      </c>
      <c r="B815" s="24" t="str">
        <f t="array" ref="B815">xlookup($A815,product!$A:$A,product!B:B)</f>
        <v>Maison</v>
      </c>
      <c r="C815" s="24" t="str">
        <f t="array" ref="C815">xlookup($A815,product!$A:$A,product!C:C)</f>
        <v>Entretien</v>
      </c>
      <c r="D815" s="24" t="str">
        <f t="array" ref="D815">xlookup($A815,product!$A:$A,product!D:D)</f>
        <v>Accessoires ménagers</v>
      </c>
      <c r="E815" s="25" t="str">
        <f t="shared" si="1"/>
        <v>26446-Entretien-Accessoires ménagers</v>
      </c>
      <c r="F815" s="25">
        <v>1.0</v>
      </c>
      <c r="G815" s="25">
        <v>789.0</v>
      </c>
      <c r="H815" s="25">
        <v>444.0</v>
      </c>
      <c r="I815" s="26">
        <f t="array" ref="I815">XLOOKUP($A815,product!A:A,product!E:E)</f>
        <v>1.34</v>
      </c>
      <c r="J815" s="25">
        <f t="shared" si="2"/>
        <v>594.96</v>
      </c>
      <c r="K815" s="27">
        <f t="shared" si="3"/>
        <v>1</v>
      </c>
      <c r="L815" s="25">
        <f t="shared" si="4"/>
        <v>1</v>
      </c>
    </row>
    <row r="816">
      <c r="A816" s="19">
        <v>13350.0</v>
      </c>
      <c r="B816" s="20" t="str">
        <f t="array" ref="B816">xlookup($A816,product!$A:$A,product!B:B)</f>
        <v>Maison</v>
      </c>
      <c r="C816" s="20" t="str">
        <f t="array" ref="C816">xlookup($A816,product!$A:$A,product!C:C)</f>
        <v>Entretien</v>
      </c>
      <c r="D816" s="20" t="str">
        <f t="array" ref="D816">xlookup($A816,product!$A:$A,product!D:D)</f>
        <v>Accessoires ménagers</v>
      </c>
      <c r="E816" s="4" t="str">
        <f t="shared" si="1"/>
        <v>13350-Entretien-Accessoires ménagers</v>
      </c>
      <c r="F816" s="4">
        <v>1.0</v>
      </c>
      <c r="G816" s="4">
        <v>798.0</v>
      </c>
      <c r="H816" s="4">
        <v>607.0</v>
      </c>
      <c r="I816" s="21">
        <f t="array" ref="I816">XLOOKUP($A816,product!A:A,product!E:E)</f>
        <v>0.9</v>
      </c>
      <c r="J816" s="4">
        <f t="shared" si="2"/>
        <v>546.3</v>
      </c>
      <c r="K816" s="22">
        <f t="shared" si="3"/>
        <v>1</v>
      </c>
      <c r="L816" s="4">
        <f t="shared" si="4"/>
        <v>1</v>
      </c>
    </row>
    <row r="817">
      <c r="A817" s="23">
        <v>111728.0</v>
      </c>
      <c r="B817" s="24" t="str">
        <f t="array" ref="B817">xlookup($A817,product!$A:$A,product!B:B)</f>
        <v>Maison</v>
      </c>
      <c r="C817" s="24" t="str">
        <f t="array" ref="C817">xlookup($A817,product!$A:$A,product!C:C)</f>
        <v>Entretien</v>
      </c>
      <c r="D817" s="24" t="str">
        <f t="array" ref="D817">xlookup($A817,product!$A:$A,product!D:D)</f>
        <v>Accessoires ménagers</v>
      </c>
      <c r="E817" s="25" t="str">
        <f t="shared" si="1"/>
        <v>111728-Entretien-Accessoires ménagers</v>
      </c>
      <c r="F817" s="25">
        <v>1.0</v>
      </c>
      <c r="G817" s="25">
        <v>893.0</v>
      </c>
      <c r="H817" s="25">
        <v>411.0</v>
      </c>
      <c r="I817" s="26">
        <f t="array" ref="I817">XLOOKUP($A817,product!A:A,product!E:E)</f>
        <v>5.24</v>
      </c>
      <c r="J817" s="25">
        <f t="shared" si="2"/>
        <v>2153.64</v>
      </c>
      <c r="K817" s="27">
        <f t="shared" si="3"/>
        <v>1</v>
      </c>
      <c r="L817" s="25">
        <f t="shared" si="4"/>
        <v>1</v>
      </c>
    </row>
    <row r="818">
      <c r="A818" s="19">
        <v>28883.0</v>
      </c>
      <c r="B818" s="20" t="str">
        <f t="array" ref="B818">xlookup($A818,product!$A:$A,product!B:B)</f>
        <v>Maison</v>
      </c>
      <c r="C818" s="20" t="str">
        <f t="array" ref="C818">xlookup($A818,product!$A:$A,product!C:C)</f>
        <v>Entretien</v>
      </c>
      <c r="D818" s="20" t="str">
        <f t="array" ref="D818">xlookup($A818,product!$A:$A,product!D:D)</f>
        <v>Accessoires ménagers</v>
      </c>
      <c r="E818" s="4" t="str">
        <f t="shared" si="1"/>
        <v>28883-Entretien-Accessoires ménagers</v>
      </c>
      <c r="F818" s="4">
        <v>0.0</v>
      </c>
      <c r="G818" s="4">
        <v>67.0</v>
      </c>
      <c r="H818" s="4">
        <v>43.0</v>
      </c>
      <c r="I818" s="21">
        <f t="array" ref="I818">XLOOKUP($A818,product!A:A,product!E:E)</f>
        <v>1.58</v>
      </c>
      <c r="J818" s="4">
        <f t="shared" si="2"/>
        <v>67.94</v>
      </c>
      <c r="K818" s="22">
        <f t="shared" si="3"/>
        <v>1</v>
      </c>
      <c r="L818" s="4">
        <f t="shared" si="4"/>
        <v>1</v>
      </c>
    </row>
    <row r="819">
      <c r="A819" s="23">
        <v>121068.0</v>
      </c>
      <c r="B819" s="24" t="str">
        <f t="array" ref="B819">xlookup($A819,product!$A:$A,product!B:B)</f>
        <v>Maison</v>
      </c>
      <c r="C819" s="24" t="str">
        <f t="array" ref="C819">xlookup($A819,product!$A:$A,product!C:C)</f>
        <v>Entretien</v>
      </c>
      <c r="D819" s="24" t="str">
        <f t="array" ref="D819">xlookup($A819,product!$A:$A,product!D:D)</f>
        <v>Accessoires ménagers</v>
      </c>
      <c r="E819" s="25" t="str">
        <f t="shared" si="1"/>
        <v>121068-Entretien-Accessoires ménagers</v>
      </c>
      <c r="F819" s="25">
        <v>1.0</v>
      </c>
      <c r="G819" s="25">
        <v>196.0</v>
      </c>
      <c r="H819" s="25">
        <v>191.0</v>
      </c>
      <c r="I819" s="26">
        <f t="array" ref="I819">XLOOKUP($A819,product!A:A,product!E:E)</f>
        <v>7.11</v>
      </c>
      <c r="J819" s="25">
        <f t="shared" si="2"/>
        <v>1358.01</v>
      </c>
      <c r="K819" s="27">
        <f t="shared" si="3"/>
        <v>1</v>
      </c>
      <c r="L819" s="25">
        <f t="shared" si="4"/>
        <v>1</v>
      </c>
    </row>
    <row r="820">
      <c r="A820" s="19">
        <v>181499.0</v>
      </c>
      <c r="B820" s="20" t="str">
        <f t="array" ref="B820">xlookup($A820,product!$A:$A,product!B:B)</f>
        <v>Maison</v>
      </c>
      <c r="C820" s="20" t="str">
        <f t="array" ref="C820">xlookup($A820,product!$A:$A,product!C:C)</f>
        <v>Entretien</v>
      </c>
      <c r="D820" s="20" t="str">
        <f t="array" ref="D820">xlookup($A820,product!$A:$A,product!D:D)</f>
        <v>Accessoires ménagers</v>
      </c>
      <c r="E820" s="4" t="str">
        <f t="shared" si="1"/>
        <v>181499-Entretien-Accessoires ménagers</v>
      </c>
      <c r="F820" s="4">
        <v>0.0</v>
      </c>
      <c r="G820" s="4">
        <v>106.0</v>
      </c>
      <c r="H820" s="4">
        <v>25.0</v>
      </c>
      <c r="I820" s="21">
        <f t="array" ref="I820">XLOOKUP($A820,product!A:A,product!E:E)</f>
        <v>4.51</v>
      </c>
      <c r="J820" s="4">
        <f t="shared" si="2"/>
        <v>112.75</v>
      </c>
      <c r="K820" s="22">
        <f t="shared" si="3"/>
        <v>1</v>
      </c>
      <c r="L820" s="4">
        <f t="shared" si="4"/>
        <v>1</v>
      </c>
    </row>
    <row r="821">
      <c r="A821" s="23">
        <v>16097.0</v>
      </c>
      <c r="B821" s="24" t="str">
        <f t="array" ref="B821">xlookup($A821,product!$A:$A,product!B:B)</f>
        <v>Maison</v>
      </c>
      <c r="C821" s="24" t="str">
        <f t="array" ref="C821">xlookup($A821,product!$A:$A,product!C:C)</f>
        <v>Entretien</v>
      </c>
      <c r="D821" s="24" t="str">
        <f t="array" ref="D821">xlookup($A821,product!$A:$A,product!D:D)</f>
        <v>Accessoires ménagers</v>
      </c>
      <c r="E821" s="25" t="str">
        <f t="shared" si="1"/>
        <v>16097-Entretien-Accessoires ménagers</v>
      </c>
      <c r="F821" s="25">
        <v>0.0</v>
      </c>
      <c r="G821" s="25">
        <v>471.0</v>
      </c>
      <c r="H821" s="25">
        <v>16.0</v>
      </c>
      <c r="I821" s="26">
        <f t="array" ref="I821">XLOOKUP($A821,product!A:A,product!E:E)</f>
        <v>1.32</v>
      </c>
      <c r="J821" s="25">
        <f t="shared" si="2"/>
        <v>21.12</v>
      </c>
      <c r="K821" s="27">
        <f t="shared" si="3"/>
        <v>1</v>
      </c>
      <c r="L821" s="25">
        <f t="shared" si="4"/>
        <v>1</v>
      </c>
    </row>
    <row r="822">
      <c r="A822" s="19">
        <v>117247.0</v>
      </c>
      <c r="B822" s="20" t="str">
        <f t="array" ref="B822">xlookup($A822,product!$A:$A,product!B:B)</f>
        <v>Maison</v>
      </c>
      <c r="C822" s="20" t="str">
        <f t="array" ref="C822">xlookup($A822,product!$A:$A,product!C:C)</f>
        <v>Entretien</v>
      </c>
      <c r="D822" s="20" t="str">
        <f t="array" ref="D822">xlookup($A822,product!$A:$A,product!D:D)</f>
        <v>Accessoires ménagers</v>
      </c>
      <c r="E822" s="4" t="str">
        <f t="shared" si="1"/>
        <v>117247-Entretien-Accessoires ménagers</v>
      </c>
      <c r="F822" s="4">
        <v>0.0</v>
      </c>
      <c r="G822" s="4">
        <v>773.0</v>
      </c>
      <c r="H822" s="4">
        <v>475.0</v>
      </c>
      <c r="I822" s="21">
        <f t="array" ref="I822">XLOOKUP($A822,product!A:A,product!E:E)</f>
        <v>1.62</v>
      </c>
      <c r="J822" s="4">
        <f t="shared" si="2"/>
        <v>769.5</v>
      </c>
      <c r="K822" s="22">
        <f t="shared" si="3"/>
        <v>1</v>
      </c>
      <c r="L822" s="4">
        <f t="shared" si="4"/>
        <v>1</v>
      </c>
    </row>
    <row r="823">
      <c r="A823" s="23">
        <v>1732.0</v>
      </c>
      <c r="B823" s="24" t="str">
        <f t="array" ref="B823">xlookup($A823,product!$A:$A,product!B:B)</f>
        <v>Maison</v>
      </c>
      <c r="C823" s="24" t="str">
        <f t="array" ref="C823">xlookup($A823,product!$A:$A,product!C:C)</f>
        <v>Entretien</v>
      </c>
      <c r="D823" s="24" t="str">
        <f t="array" ref="D823">xlookup($A823,product!$A:$A,product!D:D)</f>
        <v>Accessoires ménagers</v>
      </c>
      <c r="E823" s="25" t="str">
        <f t="shared" si="1"/>
        <v>1732-Entretien-Accessoires ménagers</v>
      </c>
      <c r="F823" s="25">
        <v>1.0</v>
      </c>
      <c r="G823" s="25">
        <v>855.0</v>
      </c>
      <c r="H823" s="25">
        <v>164.0</v>
      </c>
      <c r="I823" s="26">
        <f t="array" ref="I823">XLOOKUP($A823,product!A:A,product!E:E)</f>
        <v>1.34</v>
      </c>
      <c r="J823" s="25">
        <f t="shared" si="2"/>
        <v>219.76</v>
      </c>
      <c r="K823" s="27">
        <f t="shared" si="3"/>
        <v>1</v>
      </c>
      <c r="L823" s="25">
        <f t="shared" si="4"/>
        <v>1</v>
      </c>
    </row>
    <row r="824">
      <c r="A824" s="19">
        <v>105174.0</v>
      </c>
      <c r="B824" s="20" t="str">
        <f t="array" ref="B824">xlookup($A824,product!$A:$A,product!B:B)</f>
        <v>Maison</v>
      </c>
      <c r="C824" s="20" t="str">
        <f t="array" ref="C824">xlookup($A824,product!$A:$A,product!C:C)</f>
        <v>Entretien</v>
      </c>
      <c r="D824" s="20" t="str">
        <f t="array" ref="D824">xlookup($A824,product!$A:$A,product!D:D)</f>
        <v>Accessoires ménagers</v>
      </c>
      <c r="E824" s="4" t="str">
        <f t="shared" si="1"/>
        <v>105174-Entretien-Accessoires ménagers</v>
      </c>
      <c r="F824" s="4">
        <v>1.0</v>
      </c>
      <c r="G824" s="4">
        <v>873.0</v>
      </c>
      <c r="H824" s="4">
        <v>202.0</v>
      </c>
      <c r="I824" s="21">
        <f t="array" ref="I824">XLOOKUP($A824,product!A:A,product!E:E)</f>
        <v>1.43</v>
      </c>
      <c r="J824" s="4">
        <f t="shared" si="2"/>
        <v>288.86</v>
      </c>
      <c r="K824" s="22">
        <f t="shared" si="3"/>
        <v>1</v>
      </c>
      <c r="L824" s="4">
        <f t="shared" si="4"/>
        <v>1</v>
      </c>
    </row>
    <row r="825">
      <c r="A825" s="23">
        <v>128357.0</v>
      </c>
      <c r="B825" s="24" t="str">
        <f t="array" ref="B825">xlookup($A825,product!$A:$A,product!B:B)</f>
        <v>Maison</v>
      </c>
      <c r="C825" s="24" t="str">
        <f t="array" ref="C825">xlookup($A825,product!$A:$A,product!C:C)</f>
        <v>Entretien</v>
      </c>
      <c r="D825" s="24" t="str">
        <f t="array" ref="D825">xlookup($A825,product!$A:$A,product!D:D)</f>
        <v>Accessoires ménagers</v>
      </c>
      <c r="E825" s="25" t="str">
        <f t="shared" si="1"/>
        <v>128357-Entretien-Accessoires ménagers</v>
      </c>
      <c r="F825" s="25">
        <v>0.0</v>
      </c>
      <c r="G825" s="25">
        <v>552.0</v>
      </c>
      <c r="H825" s="25">
        <v>389.0</v>
      </c>
      <c r="I825" s="26">
        <f t="array" ref="I825">XLOOKUP($A825,product!A:A,product!E:E)</f>
        <v>3.65</v>
      </c>
      <c r="J825" s="25">
        <f t="shared" si="2"/>
        <v>1419.85</v>
      </c>
      <c r="K825" s="27">
        <f t="shared" si="3"/>
        <v>1</v>
      </c>
      <c r="L825" s="25">
        <f t="shared" si="4"/>
        <v>1</v>
      </c>
    </row>
    <row r="826">
      <c r="A826" s="19">
        <v>166090.0</v>
      </c>
      <c r="B826" s="20" t="str">
        <f t="array" ref="B826">xlookup($A826,product!$A:$A,product!B:B)</f>
        <v>Maison</v>
      </c>
      <c r="C826" s="20" t="str">
        <f t="array" ref="C826">xlookup($A826,product!$A:$A,product!C:C)</f>
        <v>Entretien</v>
      </c>
      <c r="D826" s="20" t="str">
        <f t="array" ref="D826">xlookup($A826,product!$A:$A,product!D:D)</f>
        <v>Accessoires ménagers</v>
      </c>
      <c r="E826" s="4" t="str">
        <f t="shared" si="1"/>
        <v>166090-Entretien-Accessoires ménagers</v>
      </c>
      <c r="F826" s="4">
        <v>1.0</v>
      </c>
      <c r="G826" s="4">
        <v>829.0</v>
      </c>
      <c r="H826" s="4">
        <v>478.0</v>
      </c>
      <c r="I826" s="21">
        <f t="array" ref="I826">XLOOKUP($A826,product!A:A,product!E:E)</f>
        <v>4.1</v>
      </c>
      <c r="J826" s="4">
        <f t="shared" si="2"/>
        <v>1959.8</v>
      </c>
      <c r="K826" s="22">
        <f t="shared" si="3"/>
        <v>1</v>
      </c>
      <c r="L826" s="4">
        <f t="shared" si="4"/>
        <v>1</v>
      </c>
    </row>
    <row r="827">
      <c r="A827" s="23">
        <v>121070.0</v>
      </c>
      <c r="B827" s="24" t="str">
        <f t="array" ref="B827">xlookup($A827,product!$A:$A,product!B:B)</f>
        <v>Maison</v>
      </c>
      <c r="C827" s="24" t="str">
        <f t="array" ref="C827">xlookup($A827,product!$A:$A,product!C:C)</f>
        <v>Entretien</v>
      </c>
      <c r="D827" s="24" t="str">
        <f t="array" ref="D827">xlookup($A827,product!$A:$A,product!D:D)</f>
        <v>Accessoires ménagers</v>
      </c>
      <c r="E827" s="25" t="str">
        <f t="shared" si="1"/>
        <v>121070-Entretien-Accessoires ménagers</v>
      </c>
      <c r="F827" s="25">
        <v>1.0</v>
      </c>
      <c r="G827" s="25">
        <v>333.0</v>
      </c>
      <c r="H827" s="25">
        <v>241.0</v>
      </c>
      <c r="I827" s="26">
        <f t="array" ref="I827">XLOOKUP($A827,product!A:A,product!E:E)</f>
        <v>3.83</v>
      </c>
      <c r="J827" s="25">
        <f t="shared" si="2"/>
        <v>923.03</v>
      </c>
      <c r="K827" s="27">
        <f t="shared" si="3"/>
        <v>1</v>
      </c>
      <c r="L827" s="25">
        <f t="shared" si="4"/>
        <v>1</v>
      </c>
    </row>
    <row r="828">
      <c r="A828" s="19">
        <v>80818.0</v>
      </c>
      <c r="B828" s="20" t="str">
        <f t="array" ref="B828">xlookup($A828,product!$A:$A,product!B:B)</f>
        <v>Maison</v>
      </c>
      <c r="C828" s="20" t="str">
        <f t="array" ref="C828">xlookup($A828,product!$A:$A,product!C:C)</f>
        <v>Entretien</v>
      </c>
      <c r="D828" s="20" t="str">
        <f t="array" ref="D828">xlookup($A828,product!$A:$A,product!D:D)</f>
        <v>Accessoires ménagers</v>
      </c>
      <c r="E828" s="4" t="str">
        <f t="shared" si="1"/>
        <v>80818-Entretien-Accessoires ménagers</v>
      </c>
      <c r="F828" s="4">
        <v>1.0</v>
      </c>
      <c r="G828" s="4">
        <v>628.0</v>
      </c>
      <c r="H828" s="4">
        <v>205.0</v>
      </c>
      <c r="I828" s="21">
        <f t="array" ref="I828">XLOOKUP($A828,product!A:A,product!E:E)</f>
        <v>0.94</v>
      </c>
      <c r="J828" s="4">
        <f t="shared" si="2"/>
        <v>192.7</v>
      </c>
      <c r="K828" s="22">
        <f t="shared" si="3"/>
        <v>1</v>
      </c>
      <c r="L828" s="4">
        <f t="shared" si="4"/>
        <v>1</v>
      </c>
    </row>
    <row r="829">
      <c r="A829" s="23">
        <v>13367.0</v>
      </c>
      <c r="B829" s="24" t="str">
        <f t="array" ref="B829">xlookup($A829,product!$A:$A,product!B:B)</f>
        <v>Maison</v>
      </c>
      <c r="C829" s="24" t="str">
        <f t="array" ref="C829">xlookup($A829,product!$A:$A,product!C:C)</f>
        <v>Entretien</v>
      </c>
      <c r="D829" s="24" t="str">
        <f t="array" ref="D829">xlookup($A829,product!$A:$A,product!D:D)</f>
        <v>Accessoires ménagers</v>
      </c>
      <c r="E829" s="25" t="str">
        <f t="shared" si="1"/>
        <v>13367-Entretien-Accessoires ménagers</v>
      </c>
      <c r="F829" s="25">
        <v>1.0</v>
      </c>
      <c r="G829" s="25">
        <v>976.0</v>
      </c>
      <c r="H829" s="25">
        <v>706.0</v>
      </c>
      <c r="I829" s="26">
        <f t="array" ref="I829">XLOOKUP($A829,product!A:A,product!E:E)</f>
        <v>0.95</v>
      </c>
      <c r="J829" s="25">
        <f t="shared" si="2"/>
        <v>670.7</v>
      </c>
      <c r="K829" s="27">
        <f t="shared" si="3"/>
        <v>1</v>
      </c>
      <c r="L829" s="25">
        <f t="shared" si="4"/>
        <v>1</v>
      </c>
    </row>
    <row r="830">
      <c r="A830" s="19">
        <v>44329.0</v>
      </c>
      <c r="B830" s="20" t="str">
        <f t="array" ref="B830">xlookup($A830,product!$A:$A,product!B:B)</f>
        <v>Maison</v>
      </c>
      <c r="C830" s="20" t="str">
        <f t="array" ref="C830">xlookup($A830,product!$A:$A,product!C:C)</f>
        <v>Entretien</v>
      </c>
      <c r="D830" s="20" t="str">
        <f t="array" ref="D830">xlookup($A830,product!$A:$A,product!D:D)</f>
        <v>Droguerie écologique</v>
      </c>
      <c r="E830" s="4" t="str">
        <f t="shared" si="1"/>
        <v>44329-Entretien-Droguerie écologique</v>
      </c>
      <c r="F830" s="4">
        <v>0.0</v>
      </c>
      <c r="G830" s="4">
        <v>341.0</v>
      </c>
      <c r="H830" s="4">
        <v>152.0</v>
      </c>
      <c r="I830" s="21">
        <f t="array" ref="I830">XLOOKUP($A830,product!A:A,product!E:E)</f>
        <v>3.88</v>
      </c>
      <c r="J830" s="4">
        <f t="shared" si="2"/>
        <v>589.76</v>
      </c>
      <c r="K830" s="22">
        <f t="shared" si="3"/>
        <v>1</v>
      </c>
      <c r="L830" s="4">
        <f t="shared" si="4"/>
        <v>1</v>
      </c>
    </row>
    <row r="831">
      <c r="A831" s="23">
        <v>70879.0</v>
      </c>
      <c r="B831" s="24" t="str">
        <f t="array" ref="B831">xlookup($A831,product!$A:$A,product!B:B)</f>
        <v>Maison</v>
      </c>
      <c r="C831" s="24" t="str">
        <f t="array" ref="C831">xlookup($A831,product!$A:$A,product!C:C)</f>
        <v>Entretien</v>
      </c>
      <c r="D831" s="24" t="str">
        <f t="array" ref="D831">xlookup($A831,product!$A:$A,product!D:D)</f>
        <v>Droguerie écologique</v>
      </c>
      <c r="E831" s="25" t="str">
        <f t="shared" si="1"/>
        <v>70879-Entretien-Droguerie écologique</v>
      </c>
      <c r="F831" s="25">
        <v>0.0</v>
      </c>
      <c r="G831" s="25">
        <v>352.0</v>
      </c>
      <c r="H831" s="25">
        <v>156.0</v>
      </c>
      <c r="I831" s="26">
        <f t="array" ref="I831">XLOOKUP($A831,product!A:A,product!E:E)</f>
        <v>1.6</v>
      </c>
      <c r="J831" s="25">
        <f t="shared" si="2"/>
        <v>249.6</v>
      </c>
      <c r="K831" s="27">
        <f t="shared" si="3"/>
        <v>1</v>
      </c>
      <c r="L831" s="25">
        <f t="shared" si="4"/>
        <v>1</v>
      </c>
    </row>
    <row r="832">
      <c r="A832" s="19">
        <v>99266.0</v>
      </c>
      <c r="B832" s="20" t="str">
        <f t="array" ref="B832">xlookup($A832,product!$A:$A,product!B:B)</f>
        <v>Maison</v>
      </c>
      <c r="C832" s="20" t="str">
        <f t="array" ref="C832">xlookup($A832,product!$A:$A,product!C:C)</f>
        <v>Entretien</v>
      </c>
      <c r="D832" s="20" t="str">
        <f t="array" ref="D832">xlookup($A832,product!$A:$A,product!D:D)</f>
        <v>Droguerie écologique</v>
      </c>
      <c r="E832" s="4" t="str">
        <f t="shared" si="1"/>
        <v>99266-Entretien-Droguerie écologique</v>
      </c>
      <c r="F832" s="4">
        <v>0.0</v>
      </c>
      <c r="G832" s="4">
        <v>953.0</v>
      </c>
      <c r="H832" s="4">
        <v>503.0</v>
      </c>
      <c r="I832" s="21">
        <f t="array" ref="I832">XLOOKUP($A832,product!A:A,product!E:E)</f>
        <v>2.12</v>
      </c>
      <c r="J832" s="4">
        <f t="shared" si="2"/>
        <v>1066.36</v>
      </c>
      <c r="K832" s="22">
        <f t="shared" si="3"/>
        <v>1</v>
      </c>
      <c r="L832" s="4">
        <f t="shared" si="4"/>
        <v>1</v>
      </c>
    </row>
    <row r="833">
      <c r="A833" s="23">
        <v>88216.0</v>
      </c>
      <c r="B833" s="24" t="str">
        <f t="array" ref="B833">xlookup($A833,product!$A:$A,product!B:B)</f>
        <v>Maison</v>
      </c>
      <c r="C833" s="24" t="str">
        <f t="array" ref="C833">xlookup($A833,product!$A:$A,product!C:C)</f>
        <v>Entretien</v>
      </c>
      <c r="D833" s="24" t="str">
        <f t="array" ref="D833">xlookup($A833,product!$A:$A,product!D:D)</f>
        <v>Droguerie écologique</v>
      </c>
      <c r="E833" s="25" t="str">
        <f t="shared" si="1"/>
        <v>88216-Entretien-Droguerie écologique</v>
      </c>
      <c r="F833" s="25">
        <v>1.0</v>
      </c>
      <c r="G833" s="25">
        <v>917.0</v>
      </c>
      <c r="H833" s="25">
        <v>342.0</v>
      </c>
      <c r="I833" s="26">
        <f t="array" ref="I833">XLOOKUP($A833,product!A:A,product!E:E)</f>
        <v>5.39</v>
      </c>
      <c r="J833" s="25">
        <f t="shared" si="2"/>
        <v>1843.38</v>
      </c>
      <c r="K833" s="27">
        <f t="shared" si="3"/>
        <v>1</v>
      </c>
      <c r="L833" s="25">
        <f t="shared" si="4"/>
        <v>1</v>
      </c>
    </row>
    <row r="834">
      <c r="A834" s="19">
        <v>28590.0</v>
      </c>
      <c r="B834" s="20" t="str">
        <f t="array" ref="B834">xlookup($A834,product!$A:$A,product!B:B)</f>
        <v>Maison</v>
      </c>
      <c r="C834" s="20" t="str">
        <f t="array" ref="C834">xlookup($A834,product!$A:$A,product!C:C)</f>
        <v>Entretien</v>
      </c>
      <c r="D834" s="20" t="str">
        <f t="array" ref="D834">xlookup($A834,product!$A:$A,product!D:D)</f>
        <v>Droguerie écologique</v>
      </c>
      <c r="E834" s="4" t="str">
        <f t="shared" si="1"/>
        <v>28590-Entretien-Droguerie écologique</v>
      </c>
      <c r="F834" s="4">
        <v>1.0</v>
      </c>
      <c r="G834" s="4">
        <v>447.0</v>
      </c>
      <c r="H834" s="4">
        <v>225.0</v>
      </c>
      <c r="I834" s="21">
        <f t="array" ref="I834">XLOOKUP($A834,product!A:A,product!E:E)</f>
        <v>3.58</v>
      </c>
      <c r="J834" s="4">
        <f t="shared" si="2"/>
        <v>805.5</v>
      </c>
      <c r="K834" s="22">
        <f t="shared" si="3"/>
        <v>1</v>
      </c>
      <c r="L834" s="4">
        <f t="shared" si="4"/>
        <v>1</v>
      </c>
    </row>
    <row r="835">
      <c r="A835" s="23">
        <v>88215.0</v>
      </c>
      <c r="B835" s="24" t="str">
        <f t="array" ref="B835">xlookup($A835,product!$A:$A,product!B:B)</f>
        <v>Maison</v>
      </c>
      <c r="C835" s="24" t="str">
        <f t="array" ref="C835">xlookup($A835,product!$A:$A,product!C:C)</f>
        <v>Entretien</v>
      </c>
      <c r="D835" s="24" t="str">
        <f t="array" ref="D835">xlookup($A835,product!$A:$A,product!D:D)</f>
        <v>Droguerie écologique</v>
      </c>
      <c r="E835" s="25" t="str">
        <f t="shared" si="1"/>
        <v>88215-Entretien-Droguerie écologique</v>
      </c>
      <c r="F835" s="25">
        <v>1.0</v>
      </c>
      <c r="G835" s="25">
        <v>370.0</v>
      </c>
      <c r="H835" s="25">
        <v>156.0</v>
      </c>
      <c r="I835" s="26">
        <f t="array" ref="I835">XLOOKUP($A835,product!A:A,product!E:E)</f>
        <v>1.51</v>
      </c>
      <c r="J835" s="25">
        <f t="shared" si="2"/>
        <v>235.56</v>
      </c>
      <c r="K835" s="27">
        <f t="shared" si="3"/>
        <v>1</v>
      </c>
      <c r="L835" s="25">
        <f t="shared" si="4"/>
        <v>1</v>
      </c>
    </row>
    <row r="836">
      <c r="A836" s="19">
        <v>81771.0</v>
      </c>
      <c r="B836" s="20" t="str">
        <f t="array" ref="B836">xlookup($A836,product!$A:$A,product!B:B)</f>
        <v>Maison</v>
      </c>
      <c r="C836" s="20" t="str">
        <f t="array" ref="C836">xlookup($A836,product!$A:$A,product!C:C)</f>
        <v>Entretien</v>
      </c>
      <c r="D836" s="20" t="str">
        <f t="array" ref="D836">xlookup($A836,product!$A:$A,product!D:D)</f>
        <v>Droguerie écologique</v>
      </c>
      <c r="E836" s="4" t="str">
        <f t="shared" si="1"/>
        <v>81771-Entretien-Droguerie écologique</v>
      </c>
      <c r="F836" s="4">
        <v>1.0</v>
      </c>
      <c r="G836" s="4">
        <v>246.0</v>
      </c>
      <c r="H836" s="4">
        <v>5.0</v>
      </c>
      <c r="I836" s="21">
        <f t="array" ref="I836">XLOOKUP($A836,product!A:A,product!E:E)</f>
        <v>1.31</v>
      </c>
      <c r="J836" s="4">
        <f t="shared" si="2"/>
        <v>6.55</v>
      </c>
      <c r="K836" s="22">
        <f t="shared" si="3"/>
        <v>1</v>
      </c>
      <c r="L836" s="4">
        <f t="shared" si="4"/>
        <v>1</v>
      </c>
    </row>
    <row r="837">
      <c r="A837" s="23">
        <v>194520.0</v>
      </c>
      <c r="B837" s="24" t="str">
        <f t="array" ref="B837">xlookup($A837,product!$A:$A,product!B:B)</f>
        <v>Maison</v>
      </c>
      <c r="C837" s="24" t="str">
        <f t="array" ref="C837">xlookup($A837,product!$A:$A,product!C:C)</f>
        <v>Entretien</v>
      </c>
      <c r="D837" s="24" t="str">
        <f t="array" ref="D837">xlookup($A837,product!$A:$A,product!D:D)</f>
        <v>Droguerie écologique</v>
      </c>
      <c r="E837" s="25" t="str">
        <f t="shared" si="1"/>
        <v>194520-Entretien-Droguerie écologique</v>
      </c>
      <c r="F837" s="25">
        <v>1.0</v>
      </c>
      <c r="G837" s="25">
        <v>275.0</v>
      </c>
      <c r="H837" s="25">
        <v>227.0</v>
      </c>
      <c r="I837" s="26">
        <f t="array" ref="I837">XLOOKUP($A837,product!A:A,product!E:E)</f>
        <v>6.38</v>
      </c>
      <c r="J837" s="25">
        <f t="shared" si="2"/>
        <v>1448.26</v>
      </c>
      <c r="K837" s="27">
        <f t="shared" si="3"/>
        <v>1</v>
      </c>
      <c r="L837" s="25">
        <f t="shared" si="4"/>
        <v>1</v>
      </c>
    </row>
    <row r="838">
      <c r="A838" s="19">
        <v>5901.0</v>
      </c>
      <c r="B838" s="20" t="str">
        <f t="array" ref="B838">xlookup($A838,product!$A:$A,product!B:B)</f>
        <v>Maison</v>
      </c>
      <c r="C838" s="20" t="str">
        <f t="array" ref="C838">xlookup($A838,product!$A:$A,product!C:C)</f>
        <v>Entretien</v>
      </c>
      <c r="D838" s="20" t="str">
        <f t="array" ref="D838">xlookup($A838,product!$A:$A,product!D:D)</f>
        <v>Droguerie écologique</v>
      </c>
      <c r="E838" s="4" t="str">
        <f t="shared" si="1"/>
        <v>5901-Entretien-Droguerie écologique</v>
      </c>
      <c r="F838" s="4">
        <v>1.0</v>
      </c>
      <c r="G838" s="4">
        <v>755.0</v>
      </c>
      <c r="H838" s="4">
        <v>247.0</v>
      </c>
      <c r="I838" s="21">
        <f t="array" ref="I838">XLOOKUP($A838,product!A:A,product!E:E)</f>
        <v>1.39</v>
      </c>
      <c r="J838" s="4">
        <f t="shared" si="2"/>
        <v>343.33</v>
      </c>
      <c r="K838" s="22">
        <f t="shared" si="3"/>
        <v>1</v>
      </c>
      <c r="L838" s="4">
        <f t="shared" si="4"/>
        <v>1</v>
      </c>
    </row>
    <row r="839">
      <c r="A839" s="23">
        <v>156054.0</v>
      </c>
      <c r="B839" s="24" t="str">
        <f t="array" ref="B839">xlookup($A839,product!$A:$A,product!B:B)</f>
        <v>Maison</v>
      </c>
      <c r="C839" s="24" t="str">
        <f t="array" ref="C839">xlookup($A839,product!$A:$A,product!C:C)</f>
        <v>Entretien</v>
      </c>
      <c r="D839" s="24" t="str">
        <f t="array" ref="D839">xlookup($A839,product!$A:$A,product!D:D)</f>
        <v>Droguerie écologique</v>
      </c>
      <c r="E839" s="25" t="str">
        <f t="shared" si="1"/>
        <v>156054-Entretien-Droguerie écologique</v>
      </c>
      <c r="F839" s="25">
        <v>0.0</v>
      </c>
      <c r="G839" s="25">
        <v>215.0</v>
      </c>
      <c r="H839" s="25">
        <v>154.0</v>
      </c>
      <c r="I839" s="26">
        <f t="array" ref="I839">XLOOKUP($A839,product!A:A,product!E:E)</f>
        <v>3.64</v>
      </c>
      <c r="J839" s="25">
        <f t="shared" si="2"/>
        <v>560.56</v>
      </c>
      <c r="K839" s="27">
        <f t="shared" si="3"/>
        <v>1</v>
      </c>
      <c r="L839" s="25">
        <f t="shared" si="4"/>
        <v>1</v>
      </c>
    </row>
    <row r="840">
      <c r="A840" s="19">
        <v>5869.0</v>
      </c>
      <c r="B840" s="20" t="str">
        <f t="array" ref="B840">xlookup($A840,product!$A:$A,product!B:B)</f>
        <v>Maison</v>
      </c>
      <c r="C840" s="20" t="str">
        <f t="array" ref="C840">xlookup($A840,product!$A:$A,product!C:C)</f>
        <v>Entretien</v>
      </c>
      <c r="D840" s="20" t="str">
        <f t="array" ref="D840">xlookup($A840,product!$A:$A,product!D:D)</f>
        <v>Droguerie écologique</v>
      </c>
      <c r="E840" s="4" t="str">
        <f t="shared" si="1"/>
        <v>5869-Entretien-Droguerie écologique</v>
      </c>
      <c r="F840" s="4">
        <v>1.0</v>
      </c>
      <c r="G840" s="4">
        <v>968.0</v>
      </c>
      <c r="H840" s="4">
        <v>656.0</v>
      </c>
      <c r="I840" s="21">
        <f t="array" ref="I840">XLOOKUP($A840,product!A:A,product!E:E)</f>
        <v>1.59</v>
      </c>
      <c r="J840" s="4">
        <f t="shared" si="2"/>
        <v>1043.04</v>
      </c>
      <c r="K840" s="22">
        <f t="shared" si="3"/>
        <v>1</v>
      </c>
      <c r="L840" s="4">
        <f t="shared" si="4"/>
        <v>1</v>
      </c>
    </row>
    <row r="841">
      <c r="A841" s="23">
        <v>7343.0</v>
      </c>
      <c r="B841" s="24" t="str">
        <f t="array" ref="B841">xlookup($A841,product!$A:$A,product!B:B)</f>
        <v>Maison</v>
      </c>
      <c r="C841" s="24" t="str">
        <f t="array" ref="C841">xlookup($A841,product!$A:$A,product!C:C)</f>
        <v>Entretien</v>
      </c>
      <c r="D841" s="24" t="str">
        <f t="array" ref="D841">xlookup($A841,product!$A:$A,product!D:D)</f>
        <v>Droguerie écologique</v>
      </c>
      <c r="E841" s="25" t="str">
        <f t="shared" si="1"/>
        <v>7343-Entretien-Droguerie écologique</v>
      </c>
      <c r="F841" s="25">
        <v>0.0</v>
      </c>
      <c r="G841" s="25">
        <v>104.0</v>
      </c>
      <c r="H841" s="25">
        <v>75.0</v>
      </c>
      <c r="I841" s="26">
        <f t="array" ref="I841">XLOOKUP($A841,product!A:A,product!E:E)</f>
        <v>2.83</v>
      </c>
      <c r="J841" s="25">
        <f t="shared" si="2"/>
        <v>212.25</v>
      </c>
      <c r="K841" s="27">
        <f t="shared" si="3"/>
        <v>1</v>
      </c>
      <c r="L841" s="25">
        <f t="shared" si="4"/>
        <v>1</v>
      </c>
    </row>
    <row r="842">
      <c r="A842" s="19">
        <v>88218.0</v>
      </c>
      <c r="B842" s="20" t="str">
        <f t="array" ref="B842">xlookup($A842,product!$A:$A,product!B:B)</f>
        <v>Maison</v>
      </c>
      <c r="C842" s="20" t="str">
        <f t="array" ref="C842">xlookup($A842,product!$A:$A,product!C:C)</f>
        <v>Entretien</v>
      </c>
      <c r="D842" s="20" t="str">
        <f t="array" ref="D842">xlookup($A842,product!$A:$A,product!D:D)</f>
        <v>Droguerie écologique</v>
      </c>
      <c r="E842" s="4" t="str">
        <f t="shared" si="1"/>
        <v>88218-Entretien-Droguerie écologique</v>
      </c>
      <c r="F842" s="4">
        <v>0.0</v>
      </c>
      <c r="G842" s="4">
        <v>98.0</v>
      </c>
      <c r="H842" s="4">
        <v>83.0</v>
      </c>
      <c r="I842" s="21">
        <f t="array" ref="I842">XLOOKUP($A842,product!A:A,product!E:E)</f>
        <v>1.85</v>
      </c>
      <c r="J842" s="4">
        <f t="shared" si="2"/>
        <v>153.55</v>
      </c>
      <c r="K842" s="22">
        <f t="shared" si="3"/>
        <v>1</v>
      </c>
      <c r="L842" s="4">
        <f t="shared" si="4"/>
        <v>1</v>
      </c>
    </row>
    <row r="843">
      <c r="A843" s="23">
        <v>99263.0</v>
      </c>
      <c r="B843" s="24" t="str">
        <f t="array" ref="B843">xlookup($A843,product!$A:$A,product!B:B)</f>
        <v>Maison</v>
      </c>
      <c r="C843" s="24" t="str">
        <f t="array" ref="C843">xlookup($A843,product!$A:$A,product!C:C)</f>
        <v>Entretien</v>
      </c>
      <c r="D843" s="24" t="str">
        <f t="array" ref="D843">xlookup($A843,product!$A:$A,product!D:D)</f>
        <v>Droguerie écologique</v>
      </c>
      <c r="E843" s="25" t="str">
        <f t="shared" si="1"/>
        <v>99263-Entretien-Droguerie écologique</v>
      </c>
      <c r="F843" s="25">
        <v>1.0</v>
      </c>
      <c r="G843" s="25">
        <v>779.0</v>
      </c>
      <c r="H843" s="25">
        <v>633.0</v>
      </c>
      <c r="I843" s="26">
        <f t="array" ref="I843">XLOOKUP($A843,product!A:A,product!E:E)</f>
        <v>2.63</v>
      </c>
      <c r="J843" s="25">
        <f t="shared" si="2"/>
        <v>1664.79</v>
      </c>
      <c r="K843" s="27">
        <f t="shared" si="3"/>
        <v>1</v>
      </c>
      <c r="L843" s="25">
        <f t="shared" si="4"/>
        <v>1</v>
      </c>
    </row>
    <row r="844">
      <c r="A844" s="19">
        <v>7357.0</v>
      </c>
      <c r="B844" s="20" t="str">
        <f t="array" ref="B844">xlookup($A844,product!$A:$A,product!B:B)</f>
        <v>Maison</v>
      </c>
      <c r="C844" s="20" t="str">
        <f t="array" ref="C844">xlookup($A844,product!$A:$A,product!C:C)</f>
        <v>Entretien</v>
      </c>
      <c r="D844" s="20" t="str">
        <f t="array" ref="D844">xlookup($A844,product!$A:$A,product!D:D)</f>
        <v>Droguerie écologique</v>
      </c>
      <c r="E844" s="4" t="str">
        <f t="shared" si="1"/>
        <v>7357-Entretien-Droguerie écologique</v>
      </c>
      <c r="F844" s="4">
        <v>1.0</v>
      </c>
      <c r="G844" s="4">
        <v>205.0</v>
      </c>
      <c r="H844" s="4">
        <v>192.0</v>
      </c>
      <c r="I844" s="21">
        <f t="array" ref="I844">XLOOKUP($A844,product!A:A,product!E:E)</f>
        <v>3.6</v>
      </c>
      <c r="J844" s="4">
        <f t="shared" si="2"/>
        <v>691.2</v>
      </c>
      <c r="K844" s="22">
        <f t="shared" si="3"/>
        <v>1</v>
      </c>
      <c r="L844" s="4">
        <f t="shared" si="4"/>
        <v>1</v>
      </c>
    </row>
    <row r="845">
      <c r="A845" s="23">
        <v>28591.0</v>
      </c>
      <c r="B845" s="24" t="str">
        <f t="array" ref="B845">xlookup($A845,product!$A:$A,product!B:B)</f>
        <v>Maison</v>
      </c>
      <c r="C845" s="24" t="str">
        <f t="array" ref="C845">xlookup($A845,product!$A:$A,product!C:C)</f>
        <v>Entretien</v>
      </c>
      <c r="D845" s="24" t="str">
        <f t="array" ref="D845">xlookup($A845,product!$A:$A,product!D:D)</f>
        <v>Droguerie écologique</v>
      </c>
      <c r="E845" s="25" t="str">
        <f t="shared" si="1"/>
        <v>28591-Entretien-Droguerie écologique</v>
      </c>
      <c r="F845" s="25">
        <v>1.0</v>
      </c>
      <c r="G845" s="25">
        <v>388.0</v>
      </c>
      <c r="H845" s="25">
        <v>233.0</v>
      </c>
      <c r="I845" s="26">
        <f t="array" ref="I845">XLOOKUP($A845,product!A:A,product!E:E)</f>
        <v>5.98</v>
      </c>
      <c r="J845" s="25">
        <f t="shared" si="2"/>
        <v>1393.34</v>
      </c>
      <c r="K845" s="27">
        <f t="shared" si="3"/>
        <v>1</v>
      </c>
      <c r="L845" s="25">
        <f t="shared" si="4"/>
        <v>1</v>
      </c>
    </row>
    <row r="846">
      <c r="A846" s="19">
        <v>5871.0</v>
      </c>
      <c r="B846" s="20" t="str">
        <f t="array" ref="B846">xlookup($A846,product!$A:$A,product!B:B)</f>
        <v>Maison</v>
      </c>
      <c r="C846" s="20" t="str">
        <f t="array" ref="C846">xlookup($A846,product!$A:$A,product!C:C)</f>
        <v>Entretien</v>
      </c>
      <c r="D846" s="20" t="str">
        <f t="array" ref="D846">xlookup($A846,product!$A:$A,product!D:D)</f>
        <v>Droguerie écologique</v>
      </c>
      <c r="E846" s="4" t="str">
        <f t="shared" si="1"/>
        <v>5871-Entretien-Droguerie écologique</v>
      </c>
      <c r="F846" s="4">
        <v>1.0</v>
      </c>
      <c r="G846" s="4">
        <v>863.0</v>
      </c>
      <c r="H846" s="4">
        <v>218.0</v>
      </c>
      <c r="I846" s="21">
        <f t="array" ref="I846">XLOOKUP($A846,product!A:A,product!E:E)</f>
        <v>1.51</v>
      </c>
      <c r="J846" s="4">
        <f t="shared" si="2"/>
        <v>329.18</v>
      </c>
      <c r="K846" s="22">
        <f t="shared" si="3"/>
        <v>1</v>
      </c>
      <c r="L846" s="4">
        <f t="shared" si="4"/>
        <v>1</v>
      </c>
    </row>
    <row r="847">
      <c r="A847" s="23">
        <v>81772.0</v>
      </c>
      <c r="B847" s="24" t="str">
        <f t="array" ref="B847">xlookup($A847,product!$A:$A,product!B:B)</f>
        <v>Maison</v>
      </c>
      <c r="C847" s="24" t="str">
        <f t="array" ref="C847">xlookup($A847,product!$A:$A,product!C:C)</f>
        <v>Entretien</v>
      </c>
      <c r="D847" s="24" t="str">
        <f t="array" ref="D847">xlookup($A847,product!$A:$A,product!D:D)</f>
        <v>Droguerie écologique</v>
      </c>
      <c r="E847" s="25" t="str">
        <f t="shared" si="1"/>
        <v>81772-Entretien-Droguerie écologique</v>
      </c>
      <c r="F847" s="25">
        <v>1.0</v>
      </c>
      <c r="G847" s="25">
        <v>898.0</v>
      </c>
      <c r="H847" s="25">
        <v>124.0</v>
      </c>
      <c r="I847" s="26">
        <f t="array" ref="I847">XLOOKUP($A847,product!A:A,product!E:E)</f>
        <v>1.68</v>
      </c>
      <c r="J847" s="25">
        <f t="shared" si="2"/>
        <v>208.32</v>
      </c>
      <c r="K847" s="27">
        <f t="shared" si="3"/>
        <v>1</v>
      </c>
      <c r="L847" s="25">
        <f t="shared" si="4"/>
        <v>1</v>
      </c>
    </row>
    <row r="848">
      <c r="A848" s="19">
        <v>110587.0</v>
      </c>
      <c r="B848" s="20" t="str">
        <f t="array" ref="B848">xlookup($A848,product!$A:$A,product!B:B)</f>
        <v>Maison</v>
      </c>
      <c r="C848" s="20" t="str">
        <f t="array" ref="C848">xlookup($A848,product!$A:$A,product!C:C)</f>
        <v>Entretien</v>
      </c>
      <c r="D848" s="20" t="str">
        <f t="array" ref="D848">xlookup($A848,product!$A:$A,product!D:D)</f>
        <v>Droguerie écologique</v>
      </c>
      <c r="E848" s="4" t="str">
        <f t="shared" si="1"/>
        <v>110587-Entretien-Droguerie écologique</v>
      </c>
      <c r="F848" s="4">
        <v>0.0</v>
      </c>
      <c r="G848" s="4">
        <v>32.0</v>
      </c>
      <c r="H848" s="4">
        <v>0.0</v>
      </c>
      <c r="I848" s="21">
        <f t="array" ref="I848">XLOOKUP($A848,product!A:A,product!E:E)</f>
        <v>14.04</v>
      </c>
      <c r="J848" s="4">
        <f t="shared" si="2"/>
        <v>0</v>
      </c>
      <c r="K848" s="22">
        <f t="shared" si="3"/>
        <v>0</v>
      </c>
      <c r="L848" s="4">
        <f t="shared" si="4"/>
        <v>1</v>
      </c>
    </row>
    <row r="849">
      <c r="A849" s="23">
        <v>5870.0</v>
      </c>
      <c r="B849" s="24" t="str">
        <f t="array" ref="B849">xlookup($A849,product!$A:$A,product!B:B)</f>
        <v>Maison</v>
      </c>
      <c r="C849" s="24" t="str">
        <f t="array" ref="C849">xlookup($A849,product!$A:$A,product!C:C)</f>
        <v>Entretien</v>
      </c>
      <c r="D849" s="24" t="str">
        <f t="array" ref="D849">xlookup($A849,product!$A:$A,product!D:D)</f>
        <v>Droguerie écologique</v>
      </c>
      <c r="E849" s="25" t="str">
        <f t="shared" si="1"/>
        <v>5870-Entretien-Droguerie écologique</v>
      </c>
      <c r="F849" s="25">
        <v>1.0</v>
      </c>
      <c r="G849" s="25">
        <v>852.0</v>
      </c>
      <c r="H849" s="25">
        <v>294.0</v>
      </c>
      <c r="I849" s="26">
        <f t="array" ref="I849">XLOOKUP($A849,product!A:A,product!E:E)</f>
        <v>1.26</v>
      </c>
      <c r="J849" s="25">
        <f t="shared" si="2"/>
        <v>370.44</v>
      </c>
      <c r="K849" s="27">
        <f t="shared" si="3"/>
        <v>1</v>
      </c>
      <c r="L849" s="25">
        <f t="shared" si="4"/>
        <v>1</v>
      </c>
    </row>
    <row r="850">
      <c r="A850" s="19">
        <v>158444.0</v>
      </c>
      <c r="B850" s="20" t="str">
        <f t="array" ref="B850">xlookup($A850,product!$A:$A,product!B:B)</f>
        <v>Maison</v>
      </c>
      <c r="C850" s="20" t="str">
        <f t="array" ref="C850">xlookup($A850,product!$A:$A,product!C:C)</f>
        <v>Entretien</v>
      </c>
      <c r="D850" s="20" t="str">
        <f t="array" ref="D850">xlookup($A850,product!$A:$A,product!D:D)</f>
        <v>Droguerie écologique</v>
      </c>
      <c r="E850" s="4" t="str">
        <f t="shared" si="1"/>
        <v>158444-Entretien-Droguerie écologique</v>
      </c>
      <c r="F850" s="4">
        <v>1.0</v>
      </c>
      <c r="G850" s="4">
        <v>863.0</v>
      </c>
      <c r="H850" s="4">
        <v>556.0</v>
      </c>
      <c r="I850" s="21">
        <f t="array" ref="I850">XLOOKUP($A850,product!A:A,product!E:E)</f>
        <v>10.83</v>
      </c>
      <c r="J850" s="4">
        <f t="shared" si="2"/>
        <v>6021.48</v>
      </c>
      <c r="K850" s="22">
        <f t="shared" si="3"/>
        <v>1</v>
      </c>
      <c r="L850" s="4">
        <f t="shared" si="4"/>
        <v>1</v>
      </c>
    </row>
    <row r="851">
      <c r="A851" s="23">
        <v>80785.0</v>
      </c>
      <c r="B851" s="24" t="str">
        <f t="array" ref="B851">xlookup($A851,product!$A:$A,product!B:B)</f>
        <v>Maison</v>
      </c>
      <c r="C851" s="24" t="str">
        <f t="array" ref="C851">xlookup($A851,product!$A:$A,product!C:C)</f>
        <v>Entretien</v>
      </c>
      <c r="D851" s="24" t="str">
        <f t="array" ref="D851">xlookup($A851,product!$A:$A,product!D:D)</f>
        <v>Droguerie écologique</v>
      </c>
      <c r="E851" s="25" t="str">
        <f t="shared" si="1"/>
        <v>80785-Entretien-Droguerie écologique</v>
      </c>
      <c r="F851" s="25">
        <v>0.0</v>
      </c>
      <c r="G851" s="25">
        <v>380.0</v>
      </c>
      <c r="H851" s="25">
        <v>352.0</v>
      </c>
      <c r="I851" s="26">
        <f t="array" ref="I851">XLOOKUP($A851,product!A:A,product!E:E)</f>
        <v>1.02</v>
      </c>
      <c r="J851" s="25">
        <f t="shared" si="2"/>
        <v>359.04</v>
      </c>
      <c r="K851" s="27">
        <f t="shared" si="3"/>
        <v>1</v>
      </c>
      <c r="L851" s="25">
        <f t="shared" si="4"/>
        <v>1</v>
      </c>
    </row>
    <row r="852">
      <c r="A852" s="19">
        <v>110586.0</v>
      </c>
      <c r="B852" s="20" t="str">
        <f t="array" ref="B852">xlookup($A852,product!$A:$A,product!B:B)</f>
        <v>Maison</v>
      </c>
      <c r="C852" s="20" t="str">
        <f t="array" ref="C852">xlookup($A852,product!$A:$A,product!C:C)</f>
        <v>Entretien</v>
      </c>
      <c r="D852" s="20" t="str">
        <f t="array" ref="D852">xlookup($A852,product!$A:$A,product!D:D)</f>
        <v>Droguerie écologique</v>
      </c>
      <c r="E852" s="4" t="str">
        <f t="shared" si="1"/>
        <v>110586-Entretien-Droguerie écologique</v>
      </c>
      <c r="F852" s="4">
        <v>1.0</v>
      </c>
      <c r="G852" s="4">
        <v>720.0</v>
      </c>
      <c r="H852" s="4">
        <v>95.0</v>
      </c>
      <c r="I852" s="21">
        <f t="array" ref="I852">XLOOKUP($A852,product!A:A,product!E:E)</f>
        <v>5.27</v>
      </c>
      <c r="J852" s="4">
        <f t="shared" si="2"/>
        <v>500.65</v>
      </c>
      <c r="K852" s="22">
        <f t="shared" si="3"/>
        <v>1</v>
      </c>
      <c r="L852" s="4">
        <f t="shared" si="4"/>
        <v>1</v>
      </c>
    </row>
    <row r="853">
      <c r="A853" s="23">
        <v>99264.0</v>
      </c>
      <c r="B853" s="24" t="str">
        <f t="array" ref="B853">xlookup($A853,product!$A:$A,product!B:B)</f>
        <v>Maison</v>
      </c>
      <c r="C853" s="24" t="str">
        <f t="array" ref="C853">xlookup($A853,product!$A:$A,product!C:C)</f>
        <v>Entretien</v>
      </c>
      <c r="D853" s="24" t="str">
        <f t="array" ref="D853">xlookup($A853,product!$A:$A,product!D:D)</f>
        <v>Droguerie écologique</v>
      </c>
      <c r="E853" s="25" t="str">
        <f t="shared" si="1"/>
        <v>99264-Entretien-Droguerie écologique</v>
      </c>
      <c r="F853" s="25">
        <v>1.0</v>
      </c>
      <c r="G853" s="25">
        <v>696.0</v>
      </c>
      <c r="H853" s="25">
        <v>617.0</v>
      </c>
      <c r="I853" s="26">
        <f t="array" ref="I853">XLOOKUP($A853,product!A:A,product!E:E)</f>
        <v>1.38</v>
      </c>
      <c r="J853" s="25">
        <f t="shared" si="2"/>
        <v>851.46</v>
      </c>
      <c r="K853" s="27">
        <f t="shared" si="3"/>
        <v>1</v>
      </c>
      <c r="L853" s="25">
        <f t="shared" si="4"/>
        <v>1</v>
      </c>
    </row>
    <row r="854">
      <c r="A854" s="19">
        <v>110977.0</v>
      </c>
      <c r="B854" s="20" t="str">
        <f t="array" ref="B854">xlookup($A854,product!$A:$A,product!B:B)</f>
        <v>Maison</v>
      </c>
      <c r="C854" s="20" t="str">
        <f t="array" ref="C854">xlookup($A854,product!$A:$A,product!C:C)</f>
        <v>Entretien</v>
      </c>
      <c r="D854" s="20" t="str">
        <f t="array" ref="D854">xlookup($A854,product!$A:$A,product!D:D)</f>
        <v>Droguerie écologique</v>
      </c>
      <c r="E854" s="4" t="str">
        <f t="shared" si="1"/>
        <v>110977-Entretien-Droguerie écologique</v>
      </c>
      <c r="F854" s="4">
        <v>0.0</v>
      </c>
      <c r="G854" s="4">
        <v>20.0</v>
      </c>
      <c r="H854" s="4">
        <v>13.0</v>
      </c>
      <c r="I854" s="21">
        <f t="array" ref="I854">XLOOKUP($A854,product!A:A,product!E:E)</f>
        <v>12.17</v>
      </c>
      <c r="J854" s="4">
        <f t="shared" si="2"/>
        <v>158.21</v>
      </c>
      <c r="K854" s="22">
        <f t="shared" si="3"/>
        <v>1</v>
      </c>
      <c r="L854" s="4">
        <f t="shared" si="4"/>
        <v>1</v>
      </c>
    </row>
    <row r="855">
      <c r="A855" s="23">
        <v>45529.0</v>
      </c>
      <c r="B855" s="24" t="str">
        <f t="array" ref="B855">xlookup($A855,product!$A:$A,product!B:B)</f>
        <v>Maison</v>
      </c>
      <c r="C855" s="24" t="str">
        <f t="array" ref="C855">xlookup($A855,product!$A:$A,product!C:C)</f>
        <v>Entretien</v>
      </c>
      <c r="D855" s="24" t="str">
        <f t="array" ref="D855">xlookup($A855,product!$A:$A,product!D:D)</f>
        <v>Droguerie écologique</v>
      </c>
      <c r="E855" s="25" t="str">
        <f t="shared" si="1"/>
        <v>45529-Entretien-Droguerie écologique</v>
      </c>
      <c r="F855" s="25">
        <v>1.0</v>
      </c>
      <c r="G855" s="25">
        <v>588.0</v>
      </c>
      <c r="H855" s="25">
        <v>458.0</v>
      </c>
      <c r="I855" s="26">
        <f t="array" ref="I855">XLOOKUP($A855,product!A:A,product!E:E)</f>
        <v>4.57</v>
      </c>
      <c r="J855" s="25">
        <f t="shared" si="2"/>
        <v>2093.06</v>
      </c>
      <c r="K855" s="27">
        <f t="shared" si="3"/>
        <v>1</v>
      </c>
      <c r="L855" s="25">
        <f t="shared" si="4"/>
        <v>1</v>
      </c>
    </row>
    <row r="856">
      <c r="A856" s="19">
        <v>84030.0</v>
      </c>
      <c r="B856" s="20" t="str">
        <f t="array" ref="B856">xlookup($A856,product!$A:$A,product!B:B)</f>
        <v>Maison</v>
      </c>
      <c r="C856" s="20" t="str">
        <f t="array" ref="C856">xlookup($A856,product!$A:$A,product!C:C)</f>
        <v>Entretien</v>
      </c>
      <c r="D856" s="20" t="str">
        <f t="array" ref="D856">xlookup($A856,product!$A:$A,product!D:D)</f>
        <v>Droguerie écologique</v>
      </c>
      <c r="E856" s="4" t="str">
        <f t="shared" si="1"/>
        <v>84030-Entretien-Droguerie écologique</v>
      </c>
      <c r="F856" s="4">
        <v>1.0</v>
      </c>
      <c r="G856" s="4">
        <v>963.0</v>
      </c>
      <c r="H856" s="4">
        <v>599.0</v>
      </c>
      <c r="I856" s="21">
        <f t="array" ref="I856">XLOOKUP($A856,product!A:A,product!E:E)</f>
        <v>4.48</v>
      </c>
      <c r="J856" s="4">
        <f t="shared" si="2"/>
        <v>2683.52</v>
      </c>
      <c r="K856" s="22">
        <f t="shared" si="3"/>
        <v>1</v>
      </c>
      <c r="L856" s="4">
        <f t="shared" si="4"/>
        <v>1</v>
      </c>
    </row>
    <row r="857">
      <c r="A857" s="23">
        <v>99262.0</v>
      </c>
      <c r="B857" s="24" t="str">
        <f t="array" ref="B857">xlookup($A857,product!$A:$A,product!B:B)</f>
        <v>Maison</v>
      </c>
      <c r="C857" s="24" t="str">
        <f t="array" ref="C857">xlookup($A857,product!$A:$A,product!C:C)</f>
        <v>Entretien</v>
      </c>
      <c r="D857" s="24" t="str">
        <f t="array" ref="D857">xlookup($A857,product!$A:$A,product!D:D)</f>
        <v>Droguerie écologique</v>
      </c>
      <c r="E857" s="25" t="str">
        <f t="shared" si="1"/>
        <v>99262-Entretien-Droguerie écologique</v>
      </c>
      <c r="F857" s="25">
        <v>1.0</v>
      </c>
      <c r="G857" s="25">
        <v>293.0</v>
      </c>
      <c r="H857" s="25">
        <v>197.0</v>
      </c>
      <c r="I857" s="26">
        <f t="array" ref="I857">XLOOKUP($A857,product!A:A,product!E:E)</f>
        <v>1.62</v>
      </c>
      <c r="J857" s="25">
        <f t="shared" si="2"/>
        <v>319.14</v>
      </c>
      <c r="K857" s="27">
        <f t="shared" si="3"/>
        <v>1</v>
      </c>
      <c r="L857" s="25">
        <f t="shared" si="4"/>
        <v>1</v>
      </c>
    </row>
    <row r="858">
      <c r="A858" s="19">
        <v>110722.0</v>
      </c>
      <c r="B858" s="20" t="str">
        <f t="array" ref="B858">xlookup($A858,product!$A:$A,product!B:B)</f>
        <v>Maison</v>
      </c>
      <c r="C858" s="20" t="str">
        <f t="array" ref="C858">xlookup($A858,product!$A:$A,product!C:C)</f>
        <v>Entretien</v>
      </c>
      <c r="D858" s="20" t="str">
        <f t="array" ref="D858">xlookup($A858,product!$A:$A,product!D:D)</f>
        <v>Droguerie écologique</v>
      </c>
      <c r="E858" s="4" t="str">
        <f t="shared" si="1"/>
        <v>110722-Entretien-Droguerie écologique</v>
      </c>
      <c r="F858" s="4">
        <v>0.0</v>
      </c>
      <c r="G858" s="4">
        <v>785.0</v>
      </c>
      <c r="H858" s="4">
        <v>335.0</v>
      </c>
      <c r="I858" s="21">
        <f t="array" ref="I858">XLOOKUP($A858,product!A:A,product!E:E)</f>
        <v>9.03</v>
      </c>
      <c r="J858" s="4">
        <f t="shared" si="2"/>
        <v>3025.05</v>
      </c>
      <c r="K858" s="22">
        <f t="shared" si="3"/>
        <v>1</v>
      </c>
      <c r="L858" s="4">
        <f t="shared" si="4"/>
        <v>1</v>
      </c>
    </row>
    <row r="859">
      <c r="A859" s="23">
        <v>80781.0</v>
      </c>
      <c r="B859" s="24" t="str">
        <f t="array" ref="B859">xlookup($A859,product!$A:$A,product!B:B)</f>
        <v>Maison</v>
      </c>
      <c r="C859" s="24" t="str">
        <f t="array" ref="C859">xlookup($A859,product!$A:$A,product!C:C)</f>
        <v>Entretien</v>
      </c>
      <c r="D859" s="24" t="str">
        <f t="array" ref="D859">xlookup($A859,product!$A:$A,product!D:D)</f>
        <v>Droguerie écologique</v>
      </c>
      <c r="E859" s="25" t="str">
        <f t="shared" si="1"/>
        <v>80781-Entretien-Droguerie écologique</v>
      </c>
      <c r="F859" s="25">
        <v>1.0</v>
      </c>
      <c r="G859" s="25">
        <v>769.0</v>
      </c>
      <c r="H859" s="25">
        <v>366.0</v>
      </c>
      <c r="I859" s="26">
        <f t="array" ref="I859">XLOOKUP($A859,product!A:A,product!E:E)</f>
        <v>2.54</v>
      </c>
      <c r="J859" s="25">
        <f t="shared" si="2"/>
        <v>929.64</v>
      </c>
      <c r="K859" s="27">
        <f t="shared" si="3"/>
        <v>1</v>
      </c>
      <c r="L859" s="25">
        <f t="shared" si="4"/>
        <v>1</v>
      </c>
    </row>
    <row r="860">
      <c r="A860" s="19">
        <v>122700.0</v>
      </c>
      <c r="B860" s="20" t="str">
        <f t="array" ref="B860">xlookup($A860,product!$A:$A,product!B:B)</f>
        <v>Maison</v>
      </c>
      <c r="C860" s="20" t="str">
        <f t="array" ref="C860">xlookup($A860,product!$A:$A,product!C:C)</f>
        <v>Entretien</v>
      </c>
      <c r="D860" s="20" t="str">
        <f t="array" ref="D860">xlookup($A860,product!$A:$A,product!D:D)</f>
        <v>Droguerie écologique</v>
      </c>
      <c r="E860" s="4" t="str">
        <f t="shared" si="1"/>
        <v>122700-Entretien-Droguerie écologique</v>
      </c>
      <c r="F860" s="4">
        <v>0.0</v>
      </c>
      <c r="G860" s="4">
        <v>279.0</v>
      </c>
      <c r="H860" s="4">
        <v>3.0</v>
      </c>
      <c r="I860" s="21">
        <f t="array" ref="I860">XLOOKUP($A860,product!A:A,product!E:E)</f>
        <v>1.08</v>
      </c>
      <c r="J860" s="4">
        <f t="shared" si="2"/>
        <v>3.24</v>
      </c>
      <c r="K860" s="22">
        <f t="shared" si="3"/>
        <v>1</v>
      </c>
      <c r="L860" s="4">
        <f t="shared" si="4"/>
        <v>1</v>
      </c>
    </row>
    <row r="861">
      <c r="A861" s="23">
        <v>111783.0</v>
      </c>
      <c r="B861" s="24" t="str">
        <f t="array" ref="B861">xlookup($A861,product!$A:$A,product!B:B)</f>
        <v>Maison</v>
      </c>
      <c r="C861" s="24" t="str">
        <f t="array" ref="C861">xlookup($A861,product!$A:$A,product!C:C)</f>
        <v>Entretien</v>
      </c>
      <c r="D861" s="24" t="str">
        <f t="array" ref="D861">xlookup($A861,product!$A:$A,product!D:D)</f>
        <v>Droguerie écologique</v>
      </c>
      <c r="E861" s="25" t="str">
        <f t="shared" si="1"/>
        <v>111783-Entretien-Droguerie écologique</v>
      </c>
      <c r="F861" s="25">
        <v>1.0</v>
      </c>
      <c r="G861" s="25">
        <v>883.0</v>
      </c>
      <c r="H861" s="25">
        <v>621.0</v>
      </c>
      <c r="I861" s="26">
        <f t="array" ref="I861">XLOOKUP($A861,product!A:A,product!E:E)</f>
        <v>1.63</v>
      </c>
      <c r="J861" s="25">
        <f t="shared" si="2"/>
        <v>1012.23</v>
      </c>
      <c r="K861" s="27">
        <f t="shared" si="3"/>
        <v>1</v>
      </c>
      <c r="L861" s="25">
        <f t="shared" si="4"/>
        <v>1</v>
      </c>
    </row>
    <row r="862">
      <c r="A862" s="19">
        <v>110724.0</v>
      </c>
      <c r="B862" s="20" t="str">
        <f t="array" ref="B862">xlookup($A862,product!$A:$A,product!B:B)</f>
        <v>Maison</v>
      </c>
      <c r="C862" s="20" t="str">
        <f t="array" ref="C862">xlookup($A862,product!$A:$A,product!C:C)</f>
        <v>Entretien</v>
      </c>
      <c r="D862" s="20" t="str">
        <f t="array" ref="D862">xlookup($A862,product!$A:$A,product!D:D)</f>
        <v>Droguerie écologique</v>
      </c>
      <c r="E862" s="4" t="str">
        <f t="shared" si="1"/>
        <v>110724-Entretien-Droguerie écologique</v>
      </c>
      <c r="F862" s="4">
        <v>1.0</v>
      </c>
      <c r="G862" s="4">
        <v>248.0</v>
      </c>
      <c r="H862" s="4">
        <v>197.0</v>
      </c>
      <c r="I862" s="21">
        <f t="array" ref="I862">XLOOKUP($A862,product!A:A,product!E:E)</f>
        <v>1.46</v>
      </c>
      <c r="J862" s="4">
        <f t="shared" si="2"/>
        <v>287.62</v>
      </c>
      <c r="K862" s="22">
        <f t="shared" si="3"/>
        <v>1</v>
      </c>
      <c r="L862" s="4">
        <f t="shared" si="4"/>
        <v>1</v>
      </c>
    </row>
    <row r="863">
      <c r="A863" s="23">
        <v>13348.0</v>
      </c>
      <c r="B863" s="24" t="str">
        <f t="array" ref="B863">xlookup($A863,product!$A:$A,product!B:B)</f>
        <v>Maison</v>
      </c>
      <c r="C863" s="24" t="str">
        <f t="array" ref="C863">xlookup($A863,product!$A:$A,product!C:C)</f>
        <v>Entretien</v>
      </c>
      <c r="D863" s="24" t="str">
        <f t="array" ref="D863">xlookup($A863,product!$A:$A,product!D:D)</f>
        <v>Droguerie écologique</v>
      </c>
      <c r="E863" s="25" t="str">
        <f t="shared" si="1"/>
        <v>13348-Entretien-Droguerie écologique</v>
      </c>
      <c r="F863" s="25">
        <v>1.0</v>
      </c>
      <c r="G863" s="25">
        <v>918.0</v>
      </c>
      <c r="H863" s="25">
        <v>834.0</v>
      </c>
      <c r="I863" s="26">
        <f t="array" ref="I863">XLOOKUP($A863,product!A:A,product!E:E)</f>
        <v>0.98</v>
      </c>
      <c r="J863" s="25">
        <f t="shared" si="2"/>
        <v>817.32</v>
      </c>
      <c r="K863" s="27">
        <f t="shared" si="3"/>
        <v>1</v>
      </c>
      <c r="L863" s="25">
        <f t="shared" si="4"/>
        <v>1</v>
      </c>
    </row>
    <row r="864">
      <c r="A864" s="19">
        <v>28595.0</v>
      </c>
      <c r="B864" s="20" t="str">
        <f t="array" ref="B864">xlookup($A864,product!$A:$A,product!B:B)</f>
        <v>Maison</v>
      </c>
      <c r="C864" s="20" t="str">
        <f t="array" ref="C864">xlookup($A864,product!$A:$A,product!C:C)</f>
        <v>Entretien</v>
      </c>
      <c r="D864" s="20" t="str">
        <f t="array" ref="D864">xlookup($A864,product!$A:$A,product!D:D)</f>
        <v>Droguerie écologique</v>
      </c>
      <c r="E864" s="4" t="str">
        <f t="shared" si="1"/>
        <v>28595-Entretien-Droguerie écologique</v>
      </c>
      <c r="F864" s="4">
        <v>0.0</v>
      </c>
      <c r="G864" s="4">
        <v>349.0</v>
      </c>
      <c r="H864" s="4">
        <v>206.0</v>
      </c>
      <c r="I864" s="21">
        <f t="array" ref="I864">XLOOKUP($A864,product!A:A,product!E:E)</f>
        <v>1.85</v>
      </c>
      <c r="J864" s="4">
        <f t="shared" si="2"/>
        <v>381.1</v>
      </c>
      <c r="K864" s="22">
        <f t="shared" si="3"/>
        <v>1</v>
      </c>
      <c r="L864" s="4">
        <f t="shared" si="4"/>
        <v>1</v>
      </c>
    </row>
    <row r="865">
      <c r="A865" s="23">
        <v>81770.0</v>
      </c>
      <c r="B865" s="24" t="str">
        <f t="array" ref="B865">xlookup($A865,product!$A:$A,product!B:B)</f>
        <v>Maison</v>
      </c>
      <c r="C865" s="24" t="str">
        <f t="array" ref="C865">xlookup($A865,product!$A:$A,product!C:C)</f>
        <v>Entretien</v>
      </c>
      <c r="D865" s="24" t="str">
        <f t="array" ref="D865">xlookup($A865,product!$A:$A,product!D:D)</f>
        <v>Droguerie écologique</v>
      </c>
      <c r="E865" s="25" t="str">
        <f t="shared" si="1"/>
        <v>81770-Entretien-Droguerie écologique</v>
      </c>
      <c r="F865" s="25">
        <v>0.0</v>
      </c>
      <c r="G865" s="25">
        <v>346.0</v>
      </c>
      <c r="H865" s="25">
        <v>247.0</v>
      </c>
      <c r="I865" s="26">
        <f t="array" ref="I865">XLOOKUP($A865,product!A:A,product!E:E)</f>
        <v>3.81</v>
      </c>
      <c r="J865" s="25">
        <f t="shared" si="2"/>
        <v>941.07</v>
      </c>
      <c r="K865" s="27">
        <f t="shared" si="3"/>
        <v>1</v>
      </c>
      <c r="L865" s="25">
        <f t="shared" si="4"/>
        <v>1</v>
      </c>
    </row>
    <row r="866">
      <c r="A866" s="19">
        <v>85059.0</v>
      </c>
      <c r="B866" s="20" t="str">
        <f t="array" ref="B866">xlookup($A866,product!$A:$A,product!B:B)</f>
        <v>Maison</v>
      </c>
      <c r="C866" s="20" t="str">
        <f t="array" ref="C866">xlookup($A866,product!$A:$A,product!C:C)</f>
        <v>Entretien</v>
      </c>
      <c r="D866" s="20" t="str">
        <f t="array" ref="D866">xlookup($A866,product!$A:$A,product!D:D)</f>
        <v>Droguerie écologique</v>
      </c>
      <c r="E866" s="4" t="str">
        <f t="shared" si="1"/>
        <v>85059-Entretien-Droguerie écologique</v>
      </c>
      <c r="F866" s="4">
        <v>1.0</v>
      </c>
      <c r="G866" s="4">
        <v>426.0</v>
      </c>
      <c r="H866" s="4">
        <v>261.0</v>
      </c>
      <c r="I866" s="21">
        <f t="array" ref="I866">XLOOKUP($A866,product!A:A,product!E:E)</f>
        <v>1.78</v>
      </c>
      <c r="J866" s="4">
        <f t="shared" si="2"/>
        <v>464.58</v>
      </c>
      <c r="K866" s="22">
        <f t="shared" si="3"/>
        <v>1</v>
      </c>
      <c r="L866" s="4">
        <f t="shared" si="4"/>
        <v>1</v>
      </c>
    </row>
    <row r="867">
      <c r="A867" s="23">
        <v>110597.0</v>
      </c>
      <c r="B867" s="24" t="str">
        <f t="array" ref="B867">xlookup($A867,product!$A:$A,product!B:B)</f>
        <v>Maison</v>
      </c>
      <c r="C867" s="24" t="str">
        <f t="array" ref="C867">xlookup($A867,product!$A:$A,product!C:C)</f>
        <v>Entretien</v>
      </c>
      <c r="D867" s="24" t="str">
        <f t="array" ref="D867">xlookup($A867,product!$A:$A,product!D:D)</f>
        <v>Droguerie écologique</v>
      </c>
      <c r="E867" s="25" t="str">
        <f t="shared" si="1"/>
        <v>110597-Entretien-Droguerie écologique</v>
      </c>
      <c r="F867" s="25">
        <v>0.0</v>
      </c>
      <c r="G867" s="25">
        <v>187.0</v>
      </c>
      <c r="H867" s="25">
        <v>105.0</v>
      </c>
      <c r="I867" s="26">
        <f t="array" ref="I867">XLOOKUP($A867,product!A:A,product!E:E)</f>
        <v>13.77</v>
      </c>
      <c r="J867" s="25">
        <f t="shared" si="2"/>
        <v>1445.85</v>
      </c>
      <c r="K867" s="27">
        <f t="shared" si="3"/>
        <v>1</v>
      </c>
      <c r="L867" s="25">
        <f t="shared" si="4"/>
        <v>1</v>
      </c>
    </row>
    <row r="868">
      <c r="A868" s="19">
        <v>7358.0</v>
      </c>
      <c r="B868" s="20" t="str">
        <f t="array" ref="B868">xlookup($A868,product!$A:$A,product!B:B)</f>
        <v>Maison</v>
      </c>
      <c r="C868" s="20" t="str">
        <f t="array" ref="C868">xlookup($A868,product!$A:$A,product!C:C)</f>
        <v>Entretien</v>
      </c>
      <c r="D868" s="20" t="str">
        <f t="array" ref="D868">xlookup($A868,product!$A:$A,product!D:D)</f>
        <v>Droguerie écologique</v>
      </c>
      <c r="E868" s="4" t="str">
        <f t="shared" si="1"/>
        <v>7358-Entretien-Droguerie écologique</v>
      </c>
      <c r="F868" s="4">
        <v>1.0</v>
      </c>
      <c r="G868" s="4">
        <v>820.0</v>
      </c>
      <c r="H868" s="4">
        <v>692.0</v>
      </c>
      <c r="I868" s="21">
        <f t="array" ref="I868">XLOOKUP($A868,product!A:A,product!E:E)</f>
        <v>2.44</v>
      </c>
      <c r="J868" s="4">
        <f t="shared" si="2"/>
        <v>1688.48</v>
      </c>
      <c r="K868" s="22">
        <f t="shared" si="3"/>
        <v>1</v>
      </c>
      <c r="L868" s="4">
        <f t="shared" si="4"/>
        <v>1</v>
      </c>
    </row>
    <row r="869">
      <c r="A869" s="23">
        <v>86583.0</v>
      </c>
      <c r="B869" s="24" t="str">
        <f t="array" ref="B869">xlookup($A869,product!$A:$A,product!B:B)</f>
        <v>Maison</v>
      </c>
      <c r="C869" s="24" t="str">
        <f t="array" ref="C869">xlookup($A869,product!$A:$A,product!C:C)</f>
        <v>Entretien</v>
      </c>
      <c r="D869" s="24" t="str">
        <f t="array" ref="D869">xlookup($A869,product!$A:$A,product!D:D)</f>
        <v>Droguerie écologique</v>
      </c>
      <c r="E869" s="25" t="str">
        <f t="shared" si="1"/>
        <v>86583-Entretien-Droguerie écologique</v>
      </c>
      <c r="F869" s="25">
        <v>1.0</v>
      </c>
      <c r="G869" s="25">
        <v>459.0</v>
      </c>
      <c r="H869" s="25">
        <v>225.0</v>
      </c>
      <c r="I869" s="26">
        <f t="array" ref="I869">XLOOKUP($A869,product!A:A,product!E:E)</f>
        <v>2.02</v>
      </c>
      <c r="J869" s="25">
        <f t="shared" si="2"/>
        <v>454.5</v>
      </c>
      <c r="K869" s="27">
        <f t="shared" si="3"/>
        <v>1</v>
      </c>
      <c r="L869" s="25">
        <f t="shared" si="4"/>
        <v>1</v>
      </c>
    </row>
    <row r="870">
      <c r="A870" s="19">
        <v>98100.0</v>
      </c>
      <c r="B870" s="20" t="str">
        <f t="array" ref="B870">xlookup($A870,product!$A:$A,product!B:B)</f>
        <v>Maison</v>
      </c>
      <c r="C870" s="20" t="str">
        <f t="array" ref="C870">xlookup($A870,product!$A:$A,product!C:C)</f>
        <v>Entretien</v>
      </c>
      <c r="D870" s="20" t="str">
        <f t="array" ref="D870">xlookup($A870,product!$A:$A,product!D:D)</f>
        <v>Lessives écologiques</v>
      </c>
      <c r="E870" s="4" t="str">
        <f t="shared" si="1"/>
        <v>98100-Entretien-Lessives écologiques</v>
      </c>
      <c r="F870" s="4">
        <v>1.0</v>
      </c>
      <c r="G870" s="4">
        <v>120.0</v>
      </c>
      <c r="H870" s="4">
        <v>44.0</v>
      </c>
      <c r="I870" s="21">
        <f t="array" ref="I870">XLOOKUP($A870,product!A:A,product!E:E)</f>
        <v>2.82</v>
      </c>
      <c r="J870" s="4">
        <f t="shared" si="2"/>
        <v>124.08</v>
      </c>
      <c r="K870" s="22">
        <f t="shared" si="3"/>
        <v>1</v>
      </c>
      <c r="L870" s="4">
        <f t="shared" si="4"/>
        <v>1</v>
      </c>
    </row>
    <row r="871">
      <c r="A871" s="23">
        <v>118154.0</v>
      </c>
      <c r="B871" s="24" t="str">
        <f t="array" ref="B871">xlookup($A871,product!$A:$A,product!B:B)</f>
        <v>Maison</v>
      </c>
      <c r="C871" s="24" t="str">
        <f t="array" ref="C871">xlookup($A871,product!$A:$A,product!C:C)</f>
        <v>Entretien</v>
      </c>
      <c r="D871" s="24" t="str">
        <f t="array" ref="D871">xlookup($A871,product!$A:$A,product!D:D)</f>
        <v>Lessives écologiques</v>
      </c>
      <c r="E871" s="25" t="str">
        <f t="shared" si="1"/>
        <v>118154-Entretien-Lessives écologiques</v>
      </c>
      <c r="F871" s="25">
        <v>1.0</v>
      </c>
      <c r="G871" s="25">
        <v>47.0</v>
      </c>
      <c r="H871" s="25">
        <v>29.0</v>
      </c>
      <c r="I871" s="26">
        <f t="array" ref="I871">XLOOKUP($A871,product!A:A,product!E:E)</f>
        <v>2.01</v>
      </c>
      <c r="J871" s="25">
        <f t="shared" si="2"/>
        <v>58.29</v>
      </c>
      <c r="K871" s="27">
        <f t="shared" si="3"/>
        <v>1</v>
      </c>
      <c r="L871" s="25">
        <f t="shared" si="4"/>
        <v>1</v>
      </c>
    </row>
    <row r="872">
      <c r="A872" s="19">
        <v>42840.0</v>
      </c>
      <c r="B872" s="20" t="str">
        <f t="array" ref="B872">xlookup($A872,product!$A:$A,product!B:B)</f>
        <v>Maison</v>
      </c>
      <c r="C872" s="20" t="str">
        <f t="array" ref="C872">xlookup($A872,product!$A:$A,product!C:C)</f>
        <v>Entretien</v>
      </c>
      <c r="D872" s="20" t="str">
        <f t="array" ref="D872">xlookup($A872,product!$A:$A,product!D:D)</f>
        <v>Lessives écologiques</v>
      </c>
      <c r="E872" s="4" t="str">
        <f t="shared" si="1"/>
        <v>42840-Entretien-Lessives écologiques</v>
      </c>
      <c r="F872" s="4">
        <v>0.0</v>
      </c>
      <c r="G872" s="4">
        <v>724.0</v>
      </c>
      <c r="H872" s="4">
        <v>80.0</v>
      </c>
      <c r="I872" s="21">
        <f t="array" ref="I872">XLOOKUP($A872,product!A:A,product!E:E)</f>
        <v>9.41</v>
      </c>
      <c r="J872" s="4">
        <f t="shared" si="2"/>
        <v>752.8</v>
      </c>
      <c r="K872" s="22">
        <f t="shared" si="3"/>
        <v>1</v>
      </c>
      <c r="L872" s="4">
        <f t="shared" si="4"/>
        <v>1</v>
      </c>
    </row>
    <row r="873">
      <c r="A873" s="23">
        <v>47175.0</v>
      </c>
      <c r="B873" s="24" t="str">
        <f t="array" ref="B873">xlookup($A873,product!$A:$A,product!B:B)</f>
        <v>Maison</v>
      </c>
      <c r="C873" s="24" t="str">
        <f t="array" ref="C873">xlookup($A873,product!$A:$A,product!C:C)</f>
        <v>Entretien</v>
      </c>
      <c r="D873" s="24" t="str">
        <f t="array" ref="D873">xlookup($A873,product!$A:$A,product!D:D)</f>
        <v>Lessives écologiques</v>
      </c>
      <c r="E873" s="25" t="str">
        <f t="shared" si="1"/>
        <v>47175-Entretien-Lessives écologiques</v>
      </c>
      <c r="F873" s="25">
        <v>1.0</v>
      </c>
      <c r="G873" s="25">
        <v>762.0</v>
      </c>
      <c r="H873" s="25">
        <v>430.0</v>
      </c>
      <c r="I873" s="26">
        <f t="array" ref="I873">XLOOKUP($A873,product!A:A,product!E:E)</f>
        <v>7.47</v>
      </c>
      <c r="J873" s="25">
        <f t="shared" si="2"/>
        <v>3212.1</v>
      </c>
      <c r="K873" s="27">
        <f t="shared" si="3"/>
        <v>1</v>
      </c>
      <c r="L873" s="25">
        <f t="shared" si="4"/>
        <v>1</v>
      </c>
    </row>
    <row r="874">
      <c r="A874" s="19">
        <v>112013.0</v>
      </c>
      <c r="B874" s="20" t="str">
        <f t="array" ref="B874">xlookup($A874,product!$A:$A,product!B:B)</f>
        <v>Maison</v>
      </c>
      <c r="C874" s="20" t="str">
        <f t="array" ref="C874">xlookup($A874,product!$A:$A,product!C:C)</f>
        <v>Entretien</v>
      </c>
      <c r="D874" s="20" t="str">
        <f t="array" ref="D874">xlookup($A874,product!$A:$A,product!D:D)</f>
        <v>Lessives écologiques</v>
      </c>
      <c r="E874" s="4" t="str">
        <f t="shared" si="1"/>
        <v>112013-Entretien-Lessives écologiques</v>
      </c>
      <c r="F874" s="4">
        <v>0.0</v>
      </c>
      <c r="G874" s="4">
        <v>807.0</v>
      </c>
      <c r="H874" s="4">
        <v>622.0</v>
      </c>
      <c r="I874" s="21">
        <f t="array" ref="I874">XLOOKUP($A874,product!A:A,product!E:E)</f>
        <v>6.88</v>
      </c>
      <c r="J874" s="4">
        <f t="shared" si="2"/>
        <v>4279.36</v>
      </c>
      <c r="K874" s="22">
        <f t="shared" si="3"/>
        <v>1</v>
      </c>
      <c r="L874" s="4">
        <f t="shared" si="4"/>
        <v>1</v>
      </c>
    </row>
    <row r="875">
      <c r="A875" s="23">
        <v>107953.0</v>
      </c>
      <c r="B875" s="24" t="str">
        <f t="array" ref="B875">xlookup($A875,product!$A:$A,product!B:B)</f>
        <v>Maison</v>
      </c>
      <c r="C875" s="24" t="str">
        <f t="array" ref="C875">xlookup($A875,product!$A:$A,product!C:C)</f>
        <v>Entretien</v>
      </c>
      <c r="D875" s="24" t="str">
        <f t="array" ref="D875">xlookup($A875,product!$A:$A,product!D:D)</f>
        <v>Lessives écologiques</v>
      </c>
      <c r="E875" s="25" t="str">
        <f t="shared" si="1"/>
        <v>107953-Entretien-Lessives écologiques</v>
      </c>
      <c r="F875" s="25">
        <v>1.0</v>
      </c>
      <c r="G875" s="25">
        <v>466.0</v>
      </c>
      <c r="H875" s="25">
        <v>260.0</v>
      </c>
      <c r="I875" s="26">
        <f t="array" ref="I875">XLOOKUP($A875,product!A:A,product!E:E)</f>
        <v>4.46</v>
      </c>
      <c r="J875" s="25">
        <f t="shared" si="2"/>
        <v>1159.6</v>
      </c>
      <c r="K875" s="27">
        <f t="shared" si="3"/>
        <v>1</v>
      </c>
      <c r="L875" s="25">
        <f t="shared" si="4"/>
        <v>1</v>
      </c>
    </row>
    <row r="876">
      <c r="A876" s="19">
        <v>44738.0</v>
      </c>
      <c r="B876" s="20" t="str">
        <f t="array" ref="B876">xlookup($A876,product!$A:$A,product!B:B)</f>
        <v>Maison</v>
      </c>
      <c r="C876" s="20" t="str">
        <f t="array" ref="C876">xlookup($A876,product!$A:$A,product!C:C)</f>
        <v>Entretien</v>
      </c>
      <c r="D876" s="20" t="str">
        <f t="array" ref="D876">xlookup($A876,product!$A:$A,product!D:D)</f>
        <v>Lessives écologiques</v>
      </c>
      <c r="E876" s="4" t="str">
        <f t="shared" si="1"/>
        <v>44738-Entretien-Lessives écologiques</v>
      </c>
      <c r="F876" s="4">
        <v>0.0</v>
      </c>
      <c r="G876" s="4">
        <v>59.0</v>
      </c>
      <c r="H876" s="4">
        <v>57.0</v>
      </c>
      <c r="I876" s="21">
        <f t="array" ref="I876">XLOOKUP($A876,product!A:A,product!E:E)</f>
        <v>11.52</v>
      </c>
      <c r="J876" s="4">
        <f t="shared" si="2"/>
        <v>656.64</v>
      </c>
      <c r="K876" s="22">
        <f t="shared" si="3"/>
        <v>1</v>
      </c>
      <c r="L876" s="4">
        <f t="shared" si="4"/>
        <v>1</v>
      </c>
    </row>
    <row r="877">
      <c r="A877" s="23">
        <v>103386.0</v>
      </c>
      <c r="B877" s="24" t="str">
        <f t="array" ref="B877">xlookup($A877,product!$A:$A,product!B:B)</f>
        <v>Maison</v>
      </c>
      <c r="C877" s="24" t="str">
        <f t="array" ref="C877">xlookup($A877,product!$A:$A,product!C:C)</f>
        <v>Entretien</v>
      </c>
      <c r="D877" s="24" t="str">
        <f t="array" ref="D877">xlookup($A877,product!$A:$A,product!D:D)</f>
        <v>Lessives écologiques</v>
      </c>
      <c r="E877" s="25" t="str">
        <f t="shared" si="1"/>
        <v>103386-Entretien-Lessives écologiques</v>
      </c>
      <c r="F877" s="25">
        <v>1.0</v>
      </c>
      <c r="G877" s="25">
        <v>672.0</v>
      </c>
      <c r="H877" s="25">
        <v>77.0</v>
      </c>
      <c r="I877" s="26">
        <f t="array" ref="I877">XLOOKUP($A877,product!A:A,product!E:E)</f>
        <v>13.17</v>
      </c>
      <c r="J877" s="25">
        <f t="shared" si="2"/>
        <v>1014.09</v>
      </c>
      <c r="K877" s="27">
        <f t="shared" si="3"/>
        <v>1</v>
      </c>
      <c r="L877" s="25">
        <f t="shared" si="4"/>
        <v>1</v>
      </c>
    </row>
    <row r="878">
      <c r="A878" s="19">
        <v>86815.0</v>
      </c>
      <c r="B878" s="20" t="str">
        <f t="array" ref="B878">xlookup($A878,product!$A:$A,product!B:B)</f>
        <v>Maison</v>
      </c>
      <c r="C878" s="20" t="str">
        <f t="array" ref="C878">xlookup($A878,product!$A:$A,product!C:C)</f>
        <v>Entretien</v>
      </c>
      <c r="D878" s="20" t="str">
        <f t="array" ref="D878">xlookup($A878,product!$A:$A,product!D:D)</f>
        <v>Lessives écologiques</v>
      </c>
      <c r="E878" s="4" t="str">
        <f t="shared" si="1"/>
        <v>86815-Entretien-Lessives écologiques</v>
      </c>
      <c r="F878" s="4">
        <v>1.0</v>
      </c>
      <c r="G878" s="4">
        <v>157.0</v>
      </c>
      <c r="H878" s="4">
        <v>112.0</v>
      </c>
      <c r="I878" s="21">
        <f t="array" ref="I878">XLOOKUP($A878,product!A:A,product!E:E)</f>
        <v>5.09</v>
      </c>
      <c r="J878" s="4">
        <f t="shared" si="2"/>
        <v>570.08</v>
      </c>
      <c r="K878" s="22">
        <f t="shared" si="3"/>
        <v>1</v>
      </c>
      <c r="L878" s="4">
        <f t="shared" si="4"/>
        <v>1</v>
      </c>
    </row>
    <row r="879">
      <c r="A879" s="23">
        <v>46953.0</v>
      </c>
      <c r="B879" s="24" t="str">
        <f t="array" ref="B879">xlookup($A879,product!$A:$A,product!B:B)</f>
        <v>Maison</v>
      </c>
      <c r="C879" s="24" t="str">
        <f t="array" ref="C879">xlookup($A879,product!$A:$A,product!C:C)</f>
        <v>Entretien</v>
      </c>
      <c r="D879" s="24" t="str">
        <f t="array" ref="D879">xlookup($A879,product!$A:$A,product!D:D)</f>
        <v>Lessives écologiques</v>
      </c>
      <c r="E879" s="25" t="str">
        <f t="shared" si="1"/>
        <v>46953-Entretien-Lessives écologiques</v>
      </c>
      <c r="F879" s="25">
        <v>1.0</v>
      </c>
      <c r="G879" s="25">
        <v>321.0</v>
      </c>
      <c r="H879" s="25">
        <v>81.0</v>
      </c>
      <c r="I879" s="26">
        <f t="array" ref="I879">XLOOKUP($A879,product!A:A,product!E:E)</f>
        <v>8.09</v>
      </c>
      <c r="J879" s="25">
        <f t="shared" si="2"/>
        <v>655.29</v>
      </c>
      <c r="K879" s="27">
        <f t="shared" si="3"/>
        <v>1</v>
      </c>
      <c r="L879" s="25">
        <f t="shared" si="4"/>
        <v>1</v>
      </c>
    </row>
    <row r="880">
      <c r="A880" s="19">
        <v>108732.0</v>
      </c>
      <c r="B880" s="20" t="str">
        <f t="array" ref="B880">xlookup($A880,product!$A:$A,product!B:B)</f>
        <v>Maison</v>
      </c>
      <c r="C880" s="20" t="str">
        <f t="array" ref="C880">xlookup($A880,product!$A:$A,product!C:C)</f>
        <v>Entretien</v>
      </c>
      <c r="D880" s="20" t="str">
        <f t="array" ref="D880">xlookup($A880,product!$A:$A,product!D:D)</f>
        <v>Lessives écologiques</v>
      </c>
      <c r="E880" s="4" t="str">
        <f t="shared" si="1"/>
        <v>108732-Entretien-Lessives écologiques</v>
      </c>
      <c r="F880" s="4">
        <v>0.0</v>
      </c>
      <c r="G880" s="4">
        <v>242.0</v>
      </c>
      <c r="H880" s="4">
        <v>50.0</v>
      </c>
      <c r="I880" s="21">
        <f t="array" ref="I880">XLOOKUP($A880,product!A:A,product!E:E)</f>
        <v>4.99</v>
      </c>
      <c r="J880" s="4">
        <f t="shared" si="2"/>
        <v>249.5</v>
      </c>
      <c r="K880" s="22">
        <f t="shared" si="3"/>
        <v>1</v>
      </c>
      <c r="L880" s="4">
        <f t="shared" si="4"/>
        <v>1</v>
      </c>
    </row>
    <row r="881">
      <c r="A881" s="23">
        <v>118227.0</v>
      </c>
      <c r="B881" s="24" t="str">
        <f t="array" ref="B881">xlookup($A881,product!$A:$A,product!B:B)</f>
        <v>Maison</v>
      </c>
      <c r="C881" s="24" t="str">
        <f t="array" ref="C881">xlookup($A881,product!$A:$A,product!C:C)</f>
        <v>Entretien</v>
      </c>
      <c r="D881" s="24" t="str">
        <f t="array" ref="D881">xlookup($A881,product!$A:$A,product!D:D)</f>
        <v>Lessives écologiques</v>
      </c>
      <c r="E881" s="25" t="str">
        <f t="shared" si="1"/>
        <v>118227-Entretien-Lessives écologiques</v>
      </c>
      <c r="F881" s="25">
        <v>1.0</v>
      </c>
      <c r="G881" s="25">
        <v>878.0</v>
      </c>
      <c r="H881" s="25">
        <v>482.0</v>
      </c>
      <c r="I881" s="26">
        <f t="array" ref="I881">XLOOKUP($A881,product!A:A,product!E:E)</f>
        <v>6.43</v>
      </c>
      <c r="J881" s="25">
        <f t="shared" si="2"/>
        <v>3099.26</v>
      </c>
      <c r="K881" s="27">
        <f t="shared" si="3"/>
        <v>1</v>
      </c>
      <c r="L881" s="25">
        <f t="shared" si="4"/>
        <v>1</v>
      </c>
    </row>
    <row r="882">
      <c r="A882" s="19">
        <v>122484.0</v>
      </c>
      <c r="B882" s="20" t="str">
        <f t="array" ref="B882">xlookup($A882,product!$A:$A,product!B:B)</f>
        <v>Maison</v>
      </c>
      <c r="C882" s="20" t="str">
        <f t="array" ref="C882">xlookup($A882,product!$A:$A,product!C:C)</f>
        <v>Entretien</v>
      </c>
      <c r="D882" s="20" t="str">
        <f t="array" ref="D882">xlookup($A882,product!$A:$A,product!D:D)</f>
        <v>Lessives écologiques</v>
      </c>
      <c r="E882" s="4" t="str">
        <f t="shared" si="1"/>
        <v>122484-Entretien-Lessives écologiques</v>
      </c>
      <c r="F882" s="4">
        <v>1.0</v>
      </c>
      <c r="G882" s="4">
        <v>444.0</v>
      </c>
      <c r="H882" s="4">
        <v>427.0</v>
      </c>
      <c r="I882" s="21">
        <f t="array" ref="I882">XLOOKUP($A882,product!A:A,product!E:E)</f>
        <v>3.27</v>
      </c>
      <c r="J882" s="4">
        <f t="shared" si="2"/>
        <v>1396.29</v>
      </c>
      <c r="K882" s="22">
        <f t="shared" si="3"/>
        <v>1</v>
      </c>
      <c r="L882" s="4">
        <f t="shared" si="4"/>
        <v>1</v>
      </c>
    </row>
    <row r="883">
      <c r="A883" s="23">
        <v>71326.0</v>
      </c>
      <c r="B883" s="24" t="str">
        <f t="array" ref="B883">xlookup($A883,product!$A:$A,product!B:B)</f>
        <v>Maison</v>
      </c>
      <c r="C883" s="24" t="str">
        <f t="array" ref="C883">xlookup($A883,product!$A:$A,product!C:C)</f>
        <v>Entretien</v>
      </c>
      <c r="D883" s="24" t="str">
        <f t="array" ref="D883">xlookup($A883,product!$A:$A,product!D:D)</f>
        <v>Lessives écologiques</v>
      </c>
      <c r="E883" s="25" t="str">
        <f t="shared" si="1"/>
        <v>71326-Entretien-Lessives écologiques</v>
      </c>
      <c r="F883" s="25">
        <v>1.0</v>
      </c>
      <c r="G883" s="25">
        <v>935.0</v>
      </c>
      <c r="H883" s="25">
        <v>336.0</v>
      </c>
      <c r="I883" s="26">
        <f t="array" ref="I883">XLOOKUP($A883,product!A:A,product!E:E)</f>
        <v>13.17</v>
      </c>
      <c r="J883" s="25">
        <f t="shared" si="2"/>
        <v>4425.12</v>
      </c>
      <c r="K883" s="27">
        <f t="shared" si="3"/>
        <v>1</v>
      </c>
      <c r="L883" s="25">
        <f t="shared" si="4"/>
        <v>1</v>
      </c>
    </row>
    <row r="884">
      <c r="A884" s="19">
        <v>110794.0</v>
      </c>
      <c r="B884" s="20" t="str">
        <f t="array" ref="B884">xlookup($A884,product!$A:$A,product!B:B)</f>
        <v>Maison</v>
      </c>
      <c r="C884" s="20" t="str">
        <f t="array" ref="C884">xlookup($A884,product!$A:$A,product!C:C)</f>
        <v>Entretien</v>
      </c>
      <c r="D884" s="20" t="str">
        <f t="array" ref="D884">xlookup($A884,product!$A:$A,product!D:D)</f>
        <v>Lessives écologiques</v>
      </c>
      <c r="E884" s="4" t="str">
        <f t="shared" si="1"/>
        <v>110794-Entretien-Lessives écologiques</v>
      </c>
      <c r="F884" s="4">
        <v>1.0</v>
      </c>
      <c r="G884" s="4">
        <v>530.0</v>
      </c>
      <c r="H884" s="4">
        <v>357.0</v>
      </c>
      <c r="I884" s="21">
        <f t="array" ref="I884">XLOOKUP($A884,product!A:A,product!E:E)</f>
        <v>5.09</v>
      </c>
      <c r="J884" s="4">
        <f t="shared" si="2"/>
        <v>1817.13</v>
      </c>
      <c r="K884" s="22">
        <f t="shared" si="3"/>
        <v>1</v>
      </c>
      <c r="L884" s="4">
        <f t="shared" si="4"/>
        <v>1</v>
      </c>
    </row>
    <row r="885">
      <c r="A885" s="23">
        <v>80066.0</v>
      </c>
      <c r="B885" s="24" t="str">
        <f t="array" ref="B885">xlookup($A885,product!$A:$A,product!B:B)</f>
        <v>Maison</v>
      </c>
      <c r="C885" s="24" t="str">
        <f t="array" ref="C885">xlookup($A885,product!$A:$A,product!C:C)</f>
        <v>Entretien</v>
      </c>
      <c r="D885" s="24" t="str">
        <f t="array" ref="D885">xlookup($A885,product!$A:$A,product!D:D)</f>
        <v>Lessives écologiques</v>
      </c>
      <c r="E885" s="25" t="str">
        <f t="shared" si="1"/>
        <v>80066-Entretien-Lessives écologiques</v>
      </c>
      <c r="F885" s="25">
        <v>0.0</v>
      </c>
      <c r="G885" s="25">
        <v>158.0</v>
      </c>
      <c r="H885" s="25">
        <v>23.0</v>
      </c>
      <c r="I885" s="26">
        <f t="array" ref="I885">XLOOKUP($A885,product!A:A,product!E:E)</f>
        <v>11.37</v>
      </c>
      <c r="J885" s="25">
        <f t="shared" si="2"/>
        <v>261.51</v>
      </c>
      <c r="K885" s="27">
        <f t="shared" si="3"/>
        <v>1</v>
      </c>
      <c r="L885" s="25">
        <f t="shared" si="4"/>
        <v>1</v>
      </c>
    </row>
    <row r="886">
      <c r="A886" s="19">
        <v>106776.0</v>
      </c>
      <c r="B886" s="20" t="str">
        <f t="array" ref="B886">xlookup($A886,product!$A:$A,product!B:B)</f>
        <v>Maison</v>
      </c>
      <c r="C886" s="20" t="str">
        <f t="array" ref="C886">xlookup($A886,product!$A:$A,product!C:C)</f>
        <v>Entretien</v>
      </c>
      <c r="D886" s="20" t="str">
        <f t="array" ref="D886">xlookup($A886,product!$A:$A,product!D:D)</f>
        <v>Lessives écologiques</v>
      </c>
      <c r="E886" s="4" t="str">
        <f t="shared" si="1"/>
        <v>106776-Entretien-Lessives écologiques</v>
      </c>
      <c r="F886" s="4">
        <v>0.0</v>
      </c>
      <c r="G886" s="4">
        <v>586.0</v>
      </c>
      <c r="H886" s="4">
        <v>528.0</v>
      </c>
      <c r="I886" s="21">
        <f t="array" ref="I886">XLOOKUP($A886,product!A:A,product!E:E)</f>
        <v>3.97</v>
      </c>
      <c r="J886" s="4">
        <f t="shared" si="2"/>
        <v>2096.16</v>
      </c>
      <c r="K886" s="22">
        <f t="shared" si="3"/>
        <v>1</v>
      </c>
      <c r="L886" s="4">
        <f t="shared" si="4"/>
        <v>1</v>
      </c>
    </row>
    <row r="887">
      <c r="A887" s="23">
        <v>113608.0</v>
      </c>
      <c r="B887" s="24" t="str">
        <f t="array" ref="B887">xlookup($A887,product!$A:$A,product!B:B)</f>
        <v>Maison</v>
      </c>
      <c r="C887" s="24" t="str">
        <f t="array" ref="C887">xlookup($A887,product!$A:$A,product!C:C)</f>
        <v>Entretien</v>
      </c>
      <c r="D887" s="24" t="str">
        <f t="array" ref="D887">xlookup($A887,product!$A:$A,product!D:D)</f>
        <v>Lessives écologiques</v>
      </c>
      <c r="E887" s="25" t="str">
        <f t="shared" si="1"/>
        <v>113608-Entretien-Lessives écologiques</v>
      </c>
      <c r="F887" s="25">
        <v>0.0</v>
      </c>
      <c r="G887" s="25">
        <v>102.0</v>
      </c>
      <c r="H887" s="25">
        <v>58.0</v>
      </c>
      <c r="I887" s="26">
        <f t="array" ref="I887">XLOOKUP($A887,product!A:A,product!E:E)</f>
        <v>9.41</v>
      </c>
      <c r="J887" s="25">
        <f t="shared" si="2"/>
        <v>545.78</v>
      </c>
      <c r="K887" s="27">
        <f t="shared" si="3"/>
        <v>1</v>
      </c>
      <c r="L887" s="25">
        <f t="shared" si="4"/>
        <v>1</v>
      </c>
    </row>
    <row r="888">
      <c r="A888" s="19">
        <v>116454.0</v>
      </c>
      <c r="B888" s="20" t="str">
        <f t="array" ref="B888">xlookup($A888,product!$A:$A,product!B:B)</f>
        <v>Maison</v>
      </c>
      <c r="C888" s="20" t="str">
        <f t="array" ref="C888">xlookup($A888,product!$A:$A,product!C:C)</f>
        <v>Entretien</v>
      </c>
      <c r="D888" s="20" t="str">
        <f t="array" ref="D888">xlookup($A888,product!$A:$A,product!D:D)</f>
        <v>Lessives écologiques</v>
      </c>
      <c r="E888" s="4" t="str">
        <f t="shared" si="1"/>
        <v>116454-Entretien-Lessives écologiques</v>
      </c>
      <c r="F888" s="4">
        <v>0.0</v>
      </c>
      <c r="G888" s="4">
        <v>831.0</v>
      </c>
      <c r="H888" s="4">
        <v>668.0</v>
      </c>
      <c r="I888" s="21">
        <f t="array" ref="I888">XLOOKUP($A888,product!A:A,product!E:E)</f>
        <v>4.66</v>
      </c>
      <c r="J888" s="4">
        <f t="shared" si="2"/>
        <v>3112.88</v>
      </c>
      <c r="K888" s="22">
        <f t="shared" si="3"/>
        <v>1</v>
      </c>
      <c r="L888" s="4">
        <f t="shared" si="4"/>
        <v>1</v>
      </c>
    </row>
    <row r="889">
      <c r="A889" s="23">
        <v>108724.0</v>
      </c>
      <c r="B889" s="24" t="str">
        <f t="array" ref="B889">xlookup($A889,product!$A:$A,product!B:B)</f>
        <v>Maison</v>
      </c>
      <c r="C889" s="24" t="str">
        <f t="array" ref="C889">xlookup($A889,product!$A:$A,product!C:C)</f>
        <v>Entretien</v>
      </c>
      <c r="D889" s="24" t="str">
        <f t="array" ref="D889">xlookup($A889,product!$A:$A,product!D:D)</f>
        <v>Lessives écologiques</v>
      </c>
      <c r="E889" s="25" t="str">
        <f t="shared" si="1"/>
        <v>108724-Entretien-Lessives écologiques</v>
      </c>
      <c r="F889" s="25">
        <v>1.0</v>
      </c>
      <c r="G889" s="25">
        <v>53.0</v>
      </c>
      <c r="H889" s="25">
        <v>2.0</v>
      </c>
      <c r="I889" s="26">
        <f t="array" ref="I889">XLOOKUP($A889,product!A:A,product!E:E)</f>
        <v>4.84</v>
      </c>
      <c r="J889" s="25">
        <f t="shared" si="2"/>
        <v>9.68</v>
      </c>
      <c r="K889" s="27">
        <f t="shared" si="3"/>
        <v>1</v>
      </c>
      <c r="L889" s="25">
        <f t="shared" si="4"/>
        <v>1</v>
      </c>
    </row>
    <row r="890">
      <c r="A890" s="19">
        <v>118253.0</v>
      </c>
      <c r="B890" s="20" t="str">
        <f t="array" ref="B890">xlookup($A890,product!$A:$A,product!B:B)</f>
        <v>Maison</v>
      </c>
      <c r="C890" s="20" t="str">
        <f t="array" ref="C890">xlookup($A890,product!$A:$A,product!C:C)</f>
        <v>Entretien</v>
      </c>
      <c r="D890" s="20" t="str">
        <f t="array" ref="D890">xlookup($A890,product!$A:$A,product!D:D)</f>
        <v>Lessives écologiques</v>
      </c>
      <c r="E890" s="4" t="str">
        <f t="shared" si="1"/>
        <v>118253-Entretien-Lessives écologiques</v>
      </c>
      <c r="F890" s="4">
        <v>0.0</v>
      </c>
      <c r="G890" s="4">
        <v>375.0</v>
      </c>
      <c r="H890" s="4">
        <v>308.0</v>
      </c>
      <c r="I890" s="21">
        <f t="array" ref="I890">XLOOKUP($A890,product!A:A,product!E:E)</f>
        <v>3.69</v>
      </c>
      <c r="J890" s="4">
        <f t="shared" si="2"/>
        <v>1136.52</v>
      </c>
      <c r="K890" s="22">
        <f t="shared" si="3"/>
        <v>1</v>
      </c>
      <c r="L890" s="4">
        <f t="shared" si="4"/>
        <v>1</v>
      </c>
    </row>
    <row r="891">
      <c r="A891" s="23">
        <v>110567.0</v>
      </c>
      <c r="B891" s="24" t="str">
        <f t="array" ref="B891">xlookup($A891,product!$A:$A,product!B:B)</f>
        <v>Maison</v>
      </c>
      <c r="C891" s="24" t="str">
        <f t="array" ref="C891">xlookup($A891,product!$A:$A,product!C:C)</f>
        <v>Entretien</v>
      </c>
      <c r="D891" s="24" t="str">
        <f t="array" ref="D891">xlookup($A891,product!$A:$A,product!D:D)</f>
        <v>Lessives écologiques</v>
      </c>
      <c r="E891" s="25" t="str">
        <f t="shared" si="1"/>
        <v>110567-Entretien-Lessives écologiques</v>
      </c>
      <c r="F891" s="25">
        <v>0.0</v>
      </c>
      <c r="G891" s="25">
        <v>481.0</v>
      </c>
      <c r="H891" s="25">
        <v>156.0</v>
      </c>
      <c r="I891" s="26">
        <f t="array" ref="I891">XLOOKUP($A891,product!A:A,product!E:E)</f>
        <v>9.95</v>
      </c>
      <c r="J891" s="25">
        <f t="shared" si="2"/>
        <v>1552.2</v>
      </c>
      <c r="K891" s="27">
        <f t="shared" si="3"/>
        <v>1</v>
      </c>
      <c r="L891" s="25">
        <f t="shared" si="4"/>
        <v>1</v>
      </c>
    </row>
    <row r="892">
      <c r="A892" s="19">
        <v>122697.0</v>
      </c>
      <c r="B892" s="20" t="str">
        <f t="array" ref="B892">xlookup($A892,product!$A:$A,product!B:B)</f>
        <v>Maison</v>
      </c>
      <c r="C892" s="20" t="str">
        <f t="array" ref="C892">xlookup($A892,product!$A:$A,product!C:C)</f>
        <v>Entretien</v>
      </c>
      <c r="D892" s="20" t="str">
        <f t="array" ref="D892">xlookup($A892,product!$A:$A,product!D:D)</f>
        <v>Lessives écologiques</v>
      </c>
      <c r="E892" s="4" t="str">
        <f t="shared" si="1"/>
        <v>122697-Entretien-Lessives écologiques</v>
      </c>
      <c r="F892" s="4">
        <v>0.0</v>
      </c>
      <c r="G892" s="4">
        <v>410.0</v>
      </c>
      <c r="H892" s="4">
        <v>198.0</v>
      </c>
      <c r="I892" s="21">
        <f t="array" ref="I892">XLOOKUP($A892,product!A:A,product!E:E)</f>
        <v>5.63</v>
      </c>
      <c r="J892" s="4">
        <f t="shared" si="2"/>
        <v>1114.74</v>
      </c>
      <c r="K892" s="22">
        <f t="shared" si="3"/>
        <v>1</v>
      </c>
      <c r="L892" s="4">
        <f t="shared" si="4"/>
        <v>1</v>
      </c>
    </row>
    <row r="893">
      <c r="A893" s="23">
        <v>109190.0</v>
      </c>
      <c r="B893" s="24" t="str">
        <f t="array" ref="B893">xlookup($A893,product!$A:$A,product!B:B)</f>
        <v>Maison</v>
      </c>
      <c r="C893" s="24" t="str">
        <f t="array" ref="C893">xlookup($A893,product!$A:$A,product!C:C)</f>
        <v>Entretien</v>
      </c>
      <c r="D893" s="24" t="str">
        <f t="array" ref="D893">xlookup($A893,product!$A:$A,product!D:D)</f>
        <v>Lessives écologiques</v>
      </c>
      <c r="E893" s="25" t="str">
        <f t="shared" si="1"/>
        <v>109190-Entretien-Lessives écologiques</v>
      </c>
      <c r="F893" s="25">
        <v>1.0</v>
      </c>
      <c r="G893" s="25">
        <v>434.0</v>
      </c>
      <c r="H893" s="25">
        <v>43.0</v>
      </c>
      <c r="I893" s="26">
        <f t="array" ref="I893">XLOOKUP($A893,product!A:A,product!E:E)</f>
        <v>3.02</v>
      </c>
      <c r="J893" s="25">
        <f t="shared" si="2"/>
        <v>129.86</v>
      </c>
      <c r="K893" s="27">
        <f t="shared" si="3"/>
        <v>1</v>
      </c>
      <c r="L893" s="25">
        <f t="shared" si="4"/>
        <v>1</v>
      </c>
    </row>
    <row r="894">
      <c r="A894" s="19">
        <v>109191.0</v>
      </c>
      <c r="B894" s="20" t="str">
        <f t="array" ref="B894">xlookup($A894,product!$A:$A,product!B:B)</f>
        <v>Maison</v>
      </c>
      <c r="C894" s="20" t="str">
        <f t="array" ref="C894">xlookup($A894,product!$A:$A,product!C:C)</f>
        <v>Entretien</v>
      </c>
      <c r="D894" s="20" t="str">
        <f t="array" ref="D894">xlookup($A894,product!$A:$A,product!D:D)</f>
        <v>Lessives écologiques</v>
      </c>
      <c r="E894" s="4" t="str">
        <f t="shared" si="1"/>
        <v>109191-Entretien-Lessives écologiques</v>
      </c>
      <c r="F894" s="4">
        <v>0.0</v>
      </c>
      <c r="G894" s="4">
        <v>0.0</v>
      </c>
      <c r="H894" s="4">
        <v>0.0</v>
      </c>
      <c r="I894" s="21">
        <f t="array" ref="I894">XLOOKUP($A894,product!A:A,product!E:E)</f>
        <v>3.32</v>
      </c>
      <c r="J894" s="4">
        <f t="shared" si="2"/>
        <v>0</v>
      </c>
      <c r="K894" s="22">
        <f t="shared" si="3"/>
        <v>0</v>
      </c>
      <c r="L894" s="4">
        <f t="shared" si="4"/>
        <v>1</v>
      </c>
    </row>
    <row r="895">
      <c r="A895" s="23">
        <v>44759.0</v>
      </c>
      <c r="B895" s="24" t="str">
        <f t="array" ref="B895">xlookup($A895,product!$A:$A,product!B:B)</f>
        <v>Maison</v>
      </c>
      <c r="C895" s="24" t="str">
        <f t="array" ref="C895">xlookup($A895,product!$A:$A,product!C:C)</f>
        <v>Entretien</v>
      </c>
      <c r="D895" s="24" t="str">
        <f t="array" ref="D895">xlookup($A895,product!$A:$A,product!D:D)</f>
        <v>Lessives écologiques</v>
      </c>
      <c r="E895" s="25" t="str">
        <f t="shared" si="1"/>
        <v>44759-Entretien-Lessives écologiques</v>
      </c>
      <c r="F895" s="25">
        <v>1.0</v>
      </c>
      <c r="G895" s="25">
        <v>389.0</v>
      </c>
      <c r="H895" s="25">
        <v>312.0</v>
      </c>
      <c r="I895" s="26">
        <f t="array" ref="I895">XLOOKUP($A895,product!A:A,product!E:E)</f>
        <v>3.63</v>
      </c>
      <c r="J895" s="25">
        <f t="shared" si="2"/>
        <v>1132.56</v>
      </c>
      <c r="K895" s="27">
        <f t="shared" si="3"/>
        <v>1</v>
      </c>
      <c r="L895" s="25">
        <f t="shared" si="4"/>
        <v>1</v>
      </c>
    </row>
    <row r="896">
      <c r="A896" s="19">
        <v>109192.0</v>
      </c>
      <c r="B896" s="20" t="str">
        <f t="array" ref="B896">xlookup($A896,product!$A:$A,product!B:B)</f>
        <v>Maison</v>
      </c>
      <c r="C896" s="20" t="str">
        <f t="array" ref="C896">xlookup($A896,product!$A:$A,product!C:C)</f>
        <v>Entretien</v>
      </c>
      <c r="D896" s="20" t="str">
        <f t="array" ref="D896">xlookup($A896,product!$A:$A,product!D:D)</f>
        <v>Lessives écologiques</v>
      </c>
      <c r="E896" s="4" t="str">
        <f t="shared" si="1"/>
        <v>109192-Entretien-Lessives écologiques</v>
      </c>
      <c r="F896" s="4">
        <v>0.0</v>
      </c>
      <c r="G896" s="4">
        <v>488.0</v>
      </c>
      <c r="H896" s="4">
        <v>203.0</v>
      </c>
      <c r="I896" s="21">
        <f t="array" ref="I896">XLOOKUP($A896,product!A:A,product!E:E)</f>
        <v>3.16</v>
      </c>
      <c r="J896" s="4">
        <f t="shared" si="2"/>
        <v>641.48</v>
      </c>
      <c r="K896" s="22">
        <f t="shared" si="3"/>
        <v>1</v>
      </c>
      <c r="L896" s="4">
        <f t="shared" si="4"/>
        <v>1</v>
      </c>
    </row>
    <row r="897">
      <c r="A897" s="23">
        <v>113605.0</v>
      </c>
      <c r="B897" s="24" t="str">
        <f t="array" ref="B897">xlookup($A897,product!$A:$A,product!B:B)</f>
        <v>Maison</v>
      </c>
      <c r="C897" s="24" t="str">
        <f t="array" ref="C897">xlookup($A897,product!$A:$A,product!C:C)</f>
        <v>Entretien</v>
      </c>
      <c r="D897" s="24" t="str">
        <f t="array" ref="D897">xlookup($A897,product!$A:$A,product!D:D)</f>
        <v>Lessives écologiques</v>
      </c>
      <c r="E897" s="25" t="str">
        <f t="shared" si="1"/>
        <v>113605-Entretien-Lessives écologiques</v>
      </c>
      <c r="F897" s="25">
        <v>0.0</v>
      </c>
      <c r="G897" s="25">
        <v>786.0</v>
      </c>
      <c r="H897" s="25">
        <v>109.0</v>
      </c>
      <c r="I897" s="26">
        <f t="array" ref="I897">XLOOKUP($A897,product!A:A,product!E:E)</f>
        <v>6.49</v>
      </c>
      <c r="J897" s="25">
        <f t="shared" si="2"/>
        <v>707.41</v>
      </c>
      <c r="K897" s="27">
        <f t="shared" si="3"/>
        <v>1</v>
      </c>
      <c r="L897" s="25">
        <f t="shared" si="4"/>
        <v>1</v>
      </c>
    </row>
    <row r="898">
      <c r="A898" s="19">
        <v>147339.0</v>
      </c>
      <c r="B898" s="20" t="str">
        <f t="array" ref="B898">xlookup($A898,product!$A:$A,product!B:B)</f>
        <v>Maison</v>
      </c>
      <c r="C898" s="20" t="str">
        <f t="array" ref="C898">xlookup($A898,product!$A:$A,product!C:C)</f>
        <v>Entretien</v>
      </c>
      <c r="D898" s="20" t="str">
        <f t="array" ref="D898">xlookup($A898,product!$A:$A,product!D:D)</f>
        <v>Lessives écologiques</v>
      </c>
      <c r="E898" s="4" t="str">
        <f t="shared" si="1"/>
        <v>147339-Entretien-Lessives écologiques</v>
      </c>
      <c r="F898" s="4">
        <v>1.0</v>
      </c>
      <c r="G898" s="4">
        <v>848.0</v>
      </c>
      <c r="H898" s="4">
        <v>312.0</v>
      </c>
      <c r="I898" s="21">
        <f t="array" ref="I898">XLOOKUP($A898,product!A:A,product!E:E)</f>
        <v>10.77</v>
      </c>
      <c r="J898" s="4">
        <f t="shared" si="2"/>
        <v>3360.24</v>
      </c>
      <c r="K898" s="22">
        <f t="shared" si="3"/>
        <v>1</v>
      </c>
      <c r="L898" s="4">
        <f t="shared" si="4"/>
        <v>1</v>
      </c>
    </row>
    <row r="899">
      <c r="A899" s="23">
        <v>118068.0</v>
      </c>
      <c r="B899" s="24" t="str">
        <f t="array" ref="B899">xlookup($A899,product!$A:$A,product!B:B)</f>
        <v>Maison</v>
      </c>
      <c r="C899" s="24" t="str">
        <f t="array" ref="C899">xlookup($A899,product!$A:$A,product!C:C)</f>
        <v>Entretien</v>
      </c>
      <c r="D899" s="24" t="str">
        <f t="array" ref="D899">xlookup($A899,product!$A:$A,product!D:D)</f>
        <v>Lessives écologiques</v>
      </c>
      <c r="E899" s="25" t="str">
        <f t="shared" si="1"/>
        <v>118068-Entretien-Lessives écologiques</v>
      </c>
      <c r="F899" s="25">
        <v>0.0</v>
      </c>
      <c r="G899" s="25">
        <v>772.0</v>
      </c>
      <c r="H899" s="25">
        <v>197.0</v>
      </c>
      <c r="I899" s="26">
        <f t="array" ref="I899">XLOOKUP($A899,product!A:A,product!E:E)</f>
        <v>6.2</v>
      </c>
      <c r="J899" s="25">
        <f t="shared" si="2"/>
        <v>1221.4</v>
      </c>
      <c r="K899" s="27">
        <f t="shared" si="3"/>
        <v>1</v>
      </c>
      <c r="L899" s="25">
        <f t="shared" si="4"/>
        <v>1</v>
      </c>
    </row>
    <row r="900">
      <c r="A900" s="19">
        <v>44758.0</v>
      </c>
      <c r="B900" s="20" t="str">
        <f t="array" ref="B900">xlookup($A900,product!$A:$A,product!B:B)</f>
        <v>Maison</v>
      </c>
      <c r="C900" s="20" t="str">
        <f t="array" ref="C900">xlookup($A900,product!$A:$A,product!C:C)</f>
        <v>Entretien</v>
      </c>
      <c r="D900" s="20" t="str">
        <f t="array" ref="D900">xlookup($A900,product!$A:$A,product!D:D)</f>
        <v>Lessives écologiques</v>
      </c>
      <c r="E900" s="4" t="str">
        <f t="shared" si="1"/>
        <v>44758-Entretien-Lessives écologiques</v>
      </c>
      <c r="F900" s="4">
        <v>0.0</v>
      </c>
      <c r="G900" s="4">
        <v>122.0</v>
      </c>
      <c r="H900" s="4">
        <v>76.0</v>
      </c>
      <c r="I900" s="21">
        <f t="array" ref="I900">XLOOKUP($A900,product!A:A,product!E:E)</f>
        <v>5.75</v>
      </c>
      <c r="J900" s="4">
        <f t="shared" si="2"/>
        <v>437</v>
      </c>
      <c r="K900" s="22">
        <f t="shared" si="3"/>
        <v>1</v>
      </c>
      <c r="L900" s="4">
        <f t="shared" si="4"/>
        <v>1</v>
      </c>
    </row>
    <row r="901">
      <c r="A901" s="23">
        <v>110579.0</v>
      </c>
      <c r="B901" s="24" t="str">
        <f t="array" ref="B901">xlookup($A901,product!$A:$A,product!B:B)</f>
        <v>Maison</v>
      </c>
      <c r="C901" s="24" t="str">
        <f t="array" ref="C901">xlookup($A901,product!$A:$A,product!C:C)</f>
        <v>Entretien</v>
      </c>
      <c r="D901" s="24" t="str">
        <f t="array" ref="D901">xlookup($A901,product!$A:$A,product!D:D)</f>
        <v>Lessives écologiques</v>
      </c>
      <c r="E901" s="25" t="str">
        <f t="shared" si="1"/>
        <v>110579-Entretien-Lessives écologiques</v>
      </c>
      <c r="F901" s="25">
        <v>1.0</v>
      </c>
      <c r="G901" s="25">
        <v>328.0</v>
      </c>
      <c r="H901" s="25">
        <v>28.0</v>
      </c>
      <c r="I901" s="26">
        <f t="array" ref="I901">XLOOKUP($A901,product!A:A,product!E:E)</f>
        <v>8.37</v>
      </c>
      <c r="J901" s="25">
        <f t="shared" si="2"/>
        <v>234.36</v>
      </c>
      <c r="K901" s="27">
        <f t="shared" si="3"/>
        <v>1</v>
      </c>
      <c r="L901" s="25">
        <f t="shared" si="4"/>
        <v>1</v>
      </c>
    </row>
    <row r="902">
      <c r="A902" s="19">
        <v>116437.0</v>
      </c>
      <c r="B902" s="20" t="str">
        <f t="array" ref="B902">xlookup($A902,product!$A:$A,product!B:B)</f>
        <v>Maison</v>
      </c>
      <c r="C902" s="20" t="str">
        <f t="array" ref="C902">xlookup($A902,product!$A:$A,product!C:C)</f>
        <v>Entretien</v>
      </c>
      <c r="D902" s="20" t="str">
        <f t="array" ref="D902">xlookup($A902,product!$A:$A,product!D:D)</f>
        <v>Lessives écologiques</v>
      </c>
      <c r="E902" s="4" t="str">
        <f t="shared" si="1"/>
        <v>116437-Entretien-Lessives écologiques</v>
      </c>
      <c r="F902" s="4">
        <v>0.0</v>
      </c>
      <c r="G902" s="4">
        <v>749.0</v>
      </c>
      <c r="H902" s="4">
        <v>422.0</v>
      </c>
      <c r="I902" s="21">
        <f t="array" ref="I902">XLOOKUP($A902,product!A:A,product!E:E)</f>
        <v>6.3</v>
      </c>
      <c r="J902" s="4">
        <f t="shared" si="2"/>
        <v>2658.6</v>
      </c>
      <c r="K902" s="22">
        <f t="shared" si="3"/>
        <v>1</v>
      </c>
      <c r="L902" s="4">
        <f t="shared" si="4"/>
        <v>1</v>
      </c>
    </row>
    <row r="903">
      <c r="A903" s="23">
        <v>9519.0</v>
      </c>
      <c r="B903" s="24" t="str">
        <f t="array" ref="B903">xlookup($A903,product!$A:$A,product!B:B)</f>
        <v>Maison</v>
      </c>
      <c r="C903" s="24" t="str">
        <f t="array" ref="C903">xlookup($A903,product!$A:$A,product!C:C)</f>
        <v>Entretien</v>
      </c>
      <c r="D903" s="24" t="str">
        <f t="array" ref="D903">xlookup($A903,product!$A:$A,product!D:D)</f>
        <v>Lessives écologiques</v>
      </c>
      <c r="E903" s="25" t="str">
        <f t="shared" si="1"/>
        <v>9519-Entretien-Lessives écologiques</v>
      </c>
      <c r="F903" s="25">
        <v>0.0</v>
      </c>
      <c r="G903" s="25">
        <v>247.0</v>
      </c>
      <c r="H903" s="25">
        <v>169.0</v>
      </c>
      <c r="I903" s="26">
        <f t="array" ref="I903">XLOOKUP($A903,product!A:A,product!E:E)</f>
        <v>9.02</v>
      </c>
      <c r="J903" s="25">
        <f t="shared" si="2"/>
        <v>1524.38</v>
      </c>
      <c r="K903" s="27">
        <f t="shared" si="3"/>
        <v>1</v>
      </c>
      <c r="L903" s="25">
        <f t="shared" si="4"/>
        <v>1</v>
      </c>
    </row>
    <row r="904">
      <c r="A904" s="19">
        <v>147338.0</v>
      </c>
      <c r="B904" s="20" t="str">
        <f t="array" ref="B904">xlookup($A904,product!$A:$A,product!B:B)</f>
        <v>Maison</v>
      </c>
      <c r="C904" s="20" t="str">
        <f t="array" ref="C904">xlookup($A904,product!$A:$A,product!C:C)</f>
        <v>Entretien</v>
      </c>
      <c r="D904" s="20" t="str">
        <f t="array" ref="D904">xlookup($A904,product!$A:$A,product!D:D)</f>
        <v>Lessives écologiques</v>
      </c>
      <c r="E904" s="4" t="str">
        <f t="shared" si="1"/>
        <v>147338-Entretien-Lessives écologiques</v>
      </c>
      <c r="F904" s="4">
        <v>1.0</v>
      </c>
      <c r="G904" s="4">
        <v>419.0</v>
      </c>
      <c r="H904" s="4">
        <v>171.0</v>
      </c>
      <c r="I904" s="21">
        <f t="array" ref="I904">XLOOKUP($A904,product!A:A,product!E:E)</f>
        <v>4.56</v>
      </c>
      <c r="J904" s="4">
        <f t="shared" si="2"/>
        <v>779.76</v>
      </c>
      <c r="K904" s="22">
        <f t="shared" si="3"/>
        <v>1</v>
      </c>
      <c r="L904" s="4">
        <f t="shared" si="4"/>
        <v>1</v>
      </c>
    </row>
    <row r="905">
      <c r="A905" s="23">
        <v>118250.0</v>
      </c>
      <c r="B905" s="24" t="str">
        <f t="array" ref="B905">xlookup($A905,product!$A:$A,product!B:B)</f>
        <v>Maison</v>
      </c>
      <c r="C905" s="24" t="str">
        <f t="array" ref="C905">xlookup($A905,product!$A:$A,product!C:C)</f>
        <v>Entretien</v>
      </c>
      <c r="D905" s="24" t="str">
        <f t="array" ref="D905">xlookup($A905,product!$A:$A,product!D:D)</f>
        <v>Lessives écologiques</v>
      </c>
      <c r="E905" s="25" t="str">
        <f t="shared" si="1"/>
        <v>118250-Entretien-Lessives écologiques</v>
      </c>
      <c r="F905" s="25">
        <v>0.0</v>
      </c>
      <c r="G905" s="25">
        <v>77.0</v>
      </c>
      <c r="H905" s="25">
        <v>72.0</v>
      </c>
      <c r="I905" s="26">
        <f t="array" ref="I905">XLOOKUP($A905,product!A:A,product!E:E)</f>
        <v>3.69</v>
      </c>
      <c r="J905" s="25">
        <f t="shared" si="2"/>
        <v>265.68</v>
      </c>
      <c r="K905" s="27">
        <f t="shared" si="3"/>
        <v>1</v>
      </c>
      <c r="L905" s="25">
        <f t="shared" si="4"/>
        <v>1</v>
      </c>
    </row>
    <row r="906">
      <c r="A906" s="19">
        <v>20053.0</v>
      </c>
      <c r="B906" s="20" t="str">
        <f t="array" ref="B906">xlookup($A906,product!$A:$A,product!B:B)</f>
        <v>Maison</v>
      </c>
      <c r="C906" s="20" t="str">
        <f t="array" ref="C906">xlookup($A906,product!$A:$A,product!C:C)</f>
        <v>Entretien</v>
      </c>
      <c r="D906" s="20" t="str">
        <f t="array" ref="D906">xlookup($A906,product!$A:$A,product!D:D)</f>
        <v>Lessives écologiques</v>
      </c>
      <c r="E906" s="4" t="str">
        <f t="shared" si="1"/>
        <v>20053-Entretien-Lessives écologiques</v>
      </c>
      <c r="F906" s="4">
        <v>1.0</v>
      </c>
      <c r="G906" s="4">
        <v>32.0</v>
      </c>
      <c r="H906" s="4">
        <v>7.0</v>
      </c>
      <c r="I906" s="21">
        <f t="array" ref="I906">XLOOKUP($A906,product!A:A,product!E:E)</f>
        <v>2.55</v>
      </c>
      <c r="J906" s="4">
        <f t="shared" si="2"/>
        <v>17.85</v>
      </c>
      <c r="K906" s="22">
        <f t="shared" si="3"/>
        <v>1</v>
      </c>
      <c r="L906" s="4">
        <f t="shared" si="4"/>
        <v>1</v>
      </c>
    </row>
    <row r="907">
      <c r="A907" s="23">
        <v>71321.0</v>
      </c>
      <c r="B907" s="24" t="str">
        <f t="array" ref="B907">xlookup($A907,product!$A:$A,product!B:B)</f>
        <v>Maison</v>
      </c>
      <c r="C907" s="24" t="str">
        <f t="array" ref="C907">xlookup($A907,product!$A:$A,product!C:C)</f>
        <v>Entretien</v>
      </c>
      <c r="D907" s="24" t="str">
        <f t="array" ref="D907">xlookup($A907,product!$A:$A,product!D:D)</f>
        <v>Lessives écologiques</v>
      </c>
      <c r="E907" s="25" t="str">
        <f t="shared" si="1"/>
        <v>71321-Entretien-Lessives écologiques</v>
      </c>
      <c r="F907" s="25">
        <v>1.0</v>
      </c>
      <c r="G907" s="25">
        <v>927.0</v>
      </c>
      <c r="H907" s="25">
        <v>782.0</v>
      </c>
      <c r="I907" s="26">
        <f t="array" ref="I907">XLOOKUP($A907,product!A:A,product!E:E)</f>
        <v>10.3</v>
      </c>
      <c r="J907" s="25">
        <f t="shared" si="2"/>
        <v>8054.6</v>
      </c>
      <c r="K907" s="27">
        <f t="shared" si="3"/>
        <v>1</v>
      </c>
      <c r="L907" s="25">
        <f t="shared" si="4"/>
        <v>1</v>
      </c>
    </row>
    <row r="908">
      <c r="A908" s="19">
        <v>79503.0</v>
      </c>
      <c r="B908" s="20" t="str">
        <f t="array" ref="B908">xlookup($A908,product!$A:$A,product!B:B)</f>
        <v>Maison</v>
      </c>
      <c r="C908" s="20" t="str">
        <f t="array" ref="C908">xlookup($A908,product!$A:$A,product!C:C)</f>
        <v>Entretien</v>
      </c>
      <c r="D908" s="20" t="str">
        <f t="array" ref="D908">xlookup($A908,product!$A:$A,product!D:D)</f>
        <v>Lessives écologiques</v>
      </c>
      <c r="E908" s="4" t="str">
        <f t="shared" si="1"/>
        <v>79503-Entretien-Lessives écologiques</v>
      </c>
      <c r="F908" s="4">
        <v>0.0</v>
      </c>
      <c r="G908" s="4">
        <v>75.0</v>
      </c>
      <c r="H908" s="4">
        <v>62.0</v>
      </c>
      <c r="I908" s="21">
        <f t="array" ref="I908">XLOOKUP($A908,product!A:A,product!E:E)</f>
        <v>11.1</v>
      </c>
      <c r="J908" s="4">
        <f t="shared" si="2"/>
        <v>688.2</v>
      </c>
      <c r="K908" s="22">
        <f t="shared" si="3"/>
        <v>1</v>
      </c>
      <c r="L908" s="4">
        <f t="shared" si="4"/>
        <v>1</v>
      </c>
    </row>
    <row r="909">
      <c r="A909" s="23">
        <v>99270.0</v>
      </c>
      <c r="B909" s="24" t="str">
        <f t="array" ref="B909">xlookup($A909,product!$A:$A,product!B:B)</f>
        <v>Maison</v>
      </c>
      <c r="C909" s="24" t="str">
        <f t="array" ref="C909">xlookup($A909,product!$A:$A,product!C:C)</f>
        <v>Entretien</v>
      </c>
      <c r="D909" s="24" t="str">
        <f t="array" ref="D909">xlookup($A909,product!$A:$A,product!D:D)</f>
        <v>Lessives écologiques</v>
      </c>
      <c r="E909" s="25" t="str">
        <f t="shared" si="1"/>
        <v>99270-Entretien-Lessives écologiques</v>
      </c>
      <c r="F909" s="25">
        <v>1.0</v>
      </c>
      <c r="G909" s="25">
        <v>844.0</v>
      </c>
      <c r="H909" s="25">
        <v>219.0</v>
      </c>
      <c r="I909" s="26">
        <f t="array" ref="I909">XLOOKUP($A909,product!A:A,product!E:E)</f>
        <v>4.19</v>
      </c>
      <c r="J909" s="25">
        <f t="shared" si="2"/>
        <v>917.61</v>
      </c>
      <c r="K909" s="27">
        <f t="shared" si="3"/>
        <v>1</v>
      </c>
      <c r="L909" s="25">
        <f t="shared" si="4"/>
        <v>1</v>
      </c>
    </row>
    <row r="910">
      <c r="A910" s="19">
        <v>112848.0</v>
      </c>
      <c r="B910" s="20" t="str">
        <f t="array" ref="B910">xlookup($A910,product!$A:$A,product!B:B)</f>
        <v>Maison</v>
      </c>
      <c r="C910" s="20" t="str">
        <f t="array" ref="C910">xlookup($A910,product!$A:$A,product!C:C)</f>
        <v>Entretien</v>
      </c>
      <c r="D910" s="20" t="str">
        <f t="array" ref="D910">xlookup($A910,product!$A:$A,product!D:D)</f>
        <v>Lessives écologiques</v>
      </c>
      <c r="E910" s="4" t="str">
        <f t="shared" si="1"/>
        <v>112848-Entretien-Lessives écologiques</v>
      </c>
      <c r="F910" s="4">
        <v>1.0</v>
      </c>
      <c r="G910" s="4">
        <v>685.0</v>
      </c>
      <c r="H910" s="4">
        <v>346.0</v>
      </c>
      <c r="I910" s="21">
        <f t="array" ref="I910">XLOOKUP($A910,product!A:A,product!E:E)</f>
        <v>5.08</v>
      </c>
      <c r="J910" s="4">
        <f t="shared" si="2"/>
        <v>1757.68</v>
      </c>
      <c r="K910" s="22">
        <f t="shared" si="3"/>
        <v>1</v>
      </c>
      <c r="L910" s="4">
        <f t="shared" si="4"/>
        <v>1</v>
      </c>
    </row>
    <row r="911">
      <c r="A911" s="23">
        <v>13369.0</v>
      </c>
      <c r="B911" s="24" t="str">
        <f t="array" ref="B911">xlookup($A911,product!$A:$A,product!B:B)</f>
        <v>Maison</v>
      </c>
      <c r="C911" s="24" t="str">
        <f t="array" ref="C911">xlookup($A911,product!$A:$A,product!C:C)</f>
        <v>Entretien</v>
      </c>
      <c r="D911" s="24" t="str">
        <f t="array" ref="D911">xlookup($A911,product!$A:$A,product!D:D)</f>
        <v>Lessives écologiques</v>
      </c>
      <c r="E911" s="25" t="str">
        <f t="shared" si="1"/>
        <v>13369-Entretien-Lessives écologiques</v>
      </c>
      <c r="F911" s="25">
        <v>0.0</v>
      </c>
      <c r="G911" s="25">
        <v>386.0</v>
      </c>
      <c r="H911" s="25">
        <v>3.0</v>
      </c>
      <c r="I911" s="26">
        <f t="array" ref="I911">XLOOKUP($A911,product!A:A,product!E:E)</f>
        <v>4.38</v>
      </c>
      <c r="J911" s="25">
        <f t="shared" si="2"/>
        <v>13.14</v>
      </c>
      <c r="K911" s="27">
        <f t="shared" si="3"/>
        <v>1</v>
      </c>
      <c r="L911" s="25">
        <f t="shared" si="4"/>
        <v>1</v>
      </c>
    </row>
    <row r="912">
      <c r="A912" s="19">
        <v>147336.0</v>
      </c>
      <c r="B912" s="20" t="str">
        <f t="array" ref="B912">xlookup($A912,product!$A:$A,product!B:B)</f>
        <v>Maison</v>
      </c>
      <c r="C912" s="20" t="str">
        <f t="array" ref="C912">xlookup($A912,product!$A:$A,product!C:C)</f>
        <v>Entretien</v>
      </c>
      <c r="D912" s="20" t="str">
        <f t="array" ref="D912">xlookup($A912,product!$A:$A,product!D:D)</f>
        <v>Lessives écologiques</v>
      </c>
      <c r="E912" s="4" t="str">
        <f t="shared" si="1"/>
        <v>147336-Entretien-Lessives écologiques</v>
      </c>
      <c r="F912" s="4">
        <v>1.0</v>
      </c>
      <c r="G912" s="4">
        <v>47.0</v>
      </c>
      <c r="H912" s="4">
        <v>0.0</v>
      </c>
      <c r="I912" s="21">
        <f t="array" ref="I912">XLOOKUP($A912,product!A:A,product!E:E)</f>
        <v>4.56</v>
      </c>
      <c r="J912" s="4">
        <f t="shared" si="2"/>
        <v>0</v>
      </c>
      <c r="K912" s="22">
        <f t="shared" si="3"/>
        <v>0</v>
      </c>
      <c r="L912" s="4">
        <f t="shared" si="4"/>
        <v>1</v>
      </c>
    </row>
    <row r="913">
      <c r="A913" s="23">
        <v>114899.0</v>
      </c>
      <c r="B913" s="24" t="str">
        <f t="array" ref="B913">xlookup($A913,product!$A:$A,product!B:B)</f>
        <v>Maison</v>
      </c>
      <c r="C913" s="24" t="str">
        <f t="array" ref="C913">xlookup($A913,product!$A:$A,product!C:C)</f>
        <v>Entretien</v>
      </c>
      <c r="D913" s="24" t="str">
        <f t="array" ref="D913">xlookup($A913,product!$A:$A,product!D:D)</f>
        <v>Lessives écologiques</v>
      </c>
      <c r="E913" s="25" t="str">
        <f t="shared" si="1"/>
        <v>114899-Entretien-Lessives écologiques</v>
      </c>
      <c r="F913" s="25">
        <v>0.0</v>
      </c>
      <c r="G913" s="25">
        <v>970.0</v>
      </c>
      <c r="H913" s="25">
        <v>709.0</v>
      </c>
      <c r="I913" s="26">
        <f t="array" ref="I913">XLOOKUP($A913,product!A:A,product!E:E)</f>
        <v>4.6</v>
      </c>
      <c r="J913" s="25">
        <f t="shared" si="2"/>
        <v>3261.4</v>
      </c>
      <c r="K913" s="27">
        <f t="shared" si="3"/>
        <v>1</v>
      </c>
      <c r="L913" s="25">
        <f t="shared" si="4"/>
        <v>1</v>
      </c>
    </row>
    <row r="914">
      <c r="A914" s="19">
        <v>113607.0</v>
      </c>
      <c r="B914" s="20" t="str">
        <f t="array" ref="B914">xlookup($A914,product!$A:$A,product!B:B)</f>
        <v>Maison</v>
      </c>
      <c r="C914" s="20" t="str">
        <f t="array" ref="C914">xlookup($A914,product!$A:$A,product!C:C)</f>
        <v>Entretien</v>
      </c>
      <c r="D914" s="20" t="str">
        <f t="array" ref="D914">xlookup($A914,product!$A:$A,product!D:D)</f>
        <v>Lessives écologiques</v>
      </c>
      <c r="E914" s="4" t="str">
        <f t="shared" si="1"/>
        <v>113607-Entretien-Lessives écologiques</v>
      </c>
      <c r="F914" s="4">
        <v>1.0</v>
      </c>
      <c r="G914" s="4">
        <v>476.0</v>
      </c>
      <c r="H914" s="4">
        <v>352.0</v>
      </c>
      <c r="I914" s="21">
        <f t="array" ref="I914">XLOOKUP($A914,product!A:A,product!E:E)</f>
        <v>6.49</v>
      </c>
      <c r="J914" s="4">
        <f t="shared" si="2"/>
        <v>2284.48</v>
      </c>
      <c r="K914" s="22">
        <f t="shared" si="3"/>
        <v>1</v>
      </c>
      <c r="L914" s="4">
        <f t="shared" si="4"/>
        <v>1</v>
      </c>
    </row>
    <row r="915">
      <c r="A915" s="23">
        <v>47183.0</v>
      </c>
      <c r="B915" s="24" t="str">
        <f t="array" ref="B915">xlookup($A915,product!$A:$A,product!B:B)</f>
        <v>Maison</v>
      </c>
      <c r="C915" s="24" t="str">
        <f t="array" ref="C915">xlookup($A915,product!$A:$A,product!C:C)</f>
        <v>Entretien</v>
      </c>
      <c r="D915" s="24" t="str">
        <f t="array" ref="D915">xlookup($A915,product!$A:$A,product!D:D)</f>
        <v>Lessives écologiques</v>
      </c>
      <c r="E915" s="25" t="str">
        <f t="shared" si="1"/>
        <v>47183-Entretien-Lessives écologiques</v>
      </c>
      <c r="F915" s="25">
        <v>0.0</v>
      </c>
      <c r="G915" s="25">
        <v>689.0</v>
      </c>
      <c r="H915" s="25">
        <v>212.0</v>
      </c>
      <c r="I915" s="26">
        <f t="array" ref="I915">XLOOKUP($A915,product!A:A,product!E:E)</f>
        <v>3.97</v>
      </c>
      <c r="J915" s="25">
        <f t="shared" si="2"/>
        <v>841.64</v>
      </c>
      <c r="K915" s="27">
        <f t="shared" si="3"/>
        <v>1</v>
      </c>
      <c r="L915" s="25">
        <f t="shared" si="4"/>
        <v>1</v>
      </c>
    </row>
    <row r="916">
      <c r="A916" s="19">
        <v>78338.0</v>
      </c>
      <c r="B916" s="20" t="str">
        <f t="array" ref="B916">xlookup($A916,product!$A:$A,product!B:B)</f>
        <v>Maison</v>
      </c>
      <c r="C916" s="20" t="str">
        <f t="array" ref="C916">xlookup($A916,product!$A:$A,product!C:C)</f>
        <v>Entretien</v>
      </c>
      <c r="D916" s="20" t="str">
        <f t="array" ref="D916">xlookup($A916,product!$A:$A,product!D:D)</f>
        <v>Lessives écologiques</v>
      </c>
      <c r="E916" s="4" t="str">
        <f t="shared" si="1"/>
        <v>78338-Entretien-Lessives écologiques</v>
      </c>
      <c r="F916" s="4">
        <v>0.0</v>
      </c>
      <c r="G916" s="4">
        <v>482.0</v>
      </c>
      <c r="H916" s="4">
        <v>458.0</v>
      </c>
      <c r="I916" s="21">
        <f t="array" ref="I916">XLOOKUP($A916,product!A:A,product!E:E)</f>
        <v>12.7</v>
      </c>
      <c r="J916" s="4">
        <f t="shared" si="2"/>
        <v>5816.6</v>
      </c>
      <c r="K916" s="22">
        <f t="shared" si="3"/>
        <v>1</v>
      </c>
      <c r="L916" s="4">
        <f t="shared" si="4"/>
        <v>1</v>
      </c>
    </row>
    <row r="917">
      <c r="A917" s="23">
        <v>9526.0</v>
      </c>
      <c r="B917" s="24" t="str">
        <f t="array" ref="B917">xlookup($A917,product!$A:$A,product!B:B)</f>
        <v>Maison</v>
      </c>
      <c r="C917" s="24" t="str">
        <f t="array" ref="C917">xlookup($A917,product!$A:$A,product!C:C)</f>
        <v>Entretien</v>
      </c>
      <c r="D917" s="24" t="str">
        <f t="array" ref="D917">xlookup($A917,product!$A:$A,product!D:D)</f>
        <v>Lessives écologiques</v>
      </c>
      <c r="E917" s="25" t="str">
        <f t="shared" si="1"/>
        <v>9526-Entretien-Lessives écologiques</v>
      </c>
      <c r="F917" s="25">
        <v>0.0</v>
      </c>
      <c r="G917" s="25">
        <v>36.0</v>
      </c>
      <c r="H917" s="25">
        <v>25.0</v>
      </c>
      <c r="I917" s="26">
        <f t="array" ref="I917">XLOOKUP($A917,product!A:A,product!E:E)</f>
        <v>10.24</v>
      </c>
      <c r="J917" s="25">
        <f t="shared" si="2"/>
        <v>256</v>
      </c>
      <c r="K917" s="27">
        <f t="shared" si="3"/>
        <v>1</v>
      </c>
      <c r="L917" s="25">
        <f t="shared" si="4"/>
        <v>1</v>
      </c>
    </row>
    <row r="918">
      <c r="A918" s="19">
        <v>107910.0</v>
      </c>
      <c r="B918" s="20" t="str">
        <f t="array" ref="B918">xlookup($A918,product!$A:$A,product!B:B)</f>
        <v>Maison</v>
      </c>
      <c r="C918" s="20" t="str">
        <f t="array" ref="C918">xlookup($A918,product!$A:$A,product!C:C)</f>
        <v>Entretien</v>
      </c>
      <c r="D918" s="20" t="str">
        <f t="array" ref="D918">xlookup($A918,product!$A:$A,product!D:D)</f>
        <v>Lessives écologiques</v>
      </c>
      <c r="E918" s="4" t="str">
        <f t="shared" si="1"/>
        <v>107910-Entretien-Lessives écologiques</v>
      </c>
      <c r="F918" s="4">
        <v>0.0</v>
      </c>
      <c r="G918" s="4">
        <v>142.0</v>
      </c>
      <c r="H918" s="4">
        <v>16.0</v>
      </c>
      <c r="I918" s="21">
        <f t="array" ref="I918">XLOOKUP($A918,product!A:A,product!E:E)</f>
        <v>7.57</v>
      </c>
      <c r="J918" s="4">
        <f t="shared" si="2"/>
        <v>121.12</v>
      </c>
      <c r="K918" s="22">
        <f t="shared" si="3"/>
        <v>1</v>
      </c>
      <c r="L918" s="4">
        <f t="shared" si="4"/>
        <v>1</v>
      </c>
    </row>
    <row r="919">
      <c r="A919" s="23">
        <v>20056.0</v>
      </c>
      <c r="B919" s="24" t="str">
        <f t="array" ref="B919">xlookup($A919,product!$A:$A,product!B:B)</f>
        <v>Maison</v>
      </c>
      <c r="C919" s="24" t="str">
        <f t="array" ref="C919">xlookup($A919,product!$A:$A,product!C:C)</f>
        <v>Entretien</v>
      </c>
      <c r="D919" s="24" t="str">
        <f t="array" ref="D919">xlookup($A919,product!$A:$A,product!D:D)</f>
        <v>Nettoyants multi-usages</v>
      </c>
      <c r="E919" s="25" t="str">
        <f t="shared" si="1"/>
        <v>20056-Entretien-Nettoyants multi-usages</v>
      </c>
      <c r="F919" s="25">
        <v>0.0</v>
      </c>
      <c r="G919" s="25">
        <v>182.0</v>
      </c>
      <c r="H919" s="25">
        <v>91.0</v>
      </c>
      <c r="I919" s="26">
        <f t="array" ref="I919">XLOOKUP($A919,product!A:A,product!E:E)</f>
        <v>1.78</v>
      </c>
      <c r="J919" s="25">
        <f t="shared" si="2"/>
        <v>161.98</v>
      </c>
      <c r="K919" s="27">
        <f t="shared" si="3"/>
        <v>1</v>
      </c>
      <c r="L919" s="25">
        <f t="shared" si="4"/>
        <v>1</v>
      </c>
    </row>
    <row r="920">
      <c r="A920" s="19">
        <v>108951.0</v>
      </c>
      <c r="B920" s="20" t="str">
        <f t="array" ref="B920">xlookup($A920,product!$A:$A,product!B:B)</f>
        <v>Maison</v>
      </c>
      <c r="C920" s="20" t="str">
        <f t="array" ref="C920">xlookup($A920,product!$A:$A,product!C:C)</f>
        <v>Entretien</v>
      </c>
      <c r="D920" s="20" t="str">
        <f t="array" ref="D920">xlookup($A920,product!$A:$A,product!D:D)</f>
        <v>Nettoyants multi-usages</v>
      </c>
      <c r="E920" s="4" t="str">
        <f t="shared" si="1"/>
        <v>108951-Entretien-Nettoyants multi-usages</v>
      </c>
      <c r="F920" s="4">
        <v>0.0</v>
      </c>
      <c r="G920" s="4">
        <v>266.0</v>
      </c>
      <c r="H920" s="4">
        <v>231.0</v>
      </c>
      <c r="I920" s="21">
        <f t="array" ref="I920">XLOOKUP($A920,product!A:A,product!E:E)</f>
        <v>2.25</v>
      </c>
      <c r="J920" s="4">
        <f t="shared" si="2"/>
        <v>519.75</v>
      </c>
      <c r="K920" s="22">
        <f t="shared" si="3"/>
        <v>1</v>
      </c>
      <c r="L920" s="4">
        <f t="shared" si="4"/>
        <v>1</v>
      </c>
    </row>
    <row r="921">
      <c r="A921" s="23">
        <v>107783.0</v>
      </c>
      <c r="B921" s="24" t="str">
        <f t="array" ref="B921">xlookup($A921,product!$A:$A,product!B:B)</f>
        <v>Maison</v>
      </c>
      <c r="C921" s="24" t="str">
        <f t="array" ref="C921">xlookup($A921,product!$A:$A,product!C:C)</f>
        <v>Entretien</v>
      </c>
      <c r="D921" s="24" t="str">
        <f t="array" ref="D921">xlookup($A921,product!$A:$A,product!D:D)</f>
        <v>Nettoyants multi-usages</v>
      </c>
      <c r="E921" s="25" t="str">
        <f t="shared" si="1"/>
        <v>107783-Entretien-Nettoyants multi-usages</v>
      </c>
      <c r="F921" s="25">
        <v>1.0</v>
      </c>
      <c r="G921" s="25">
        <v>921.0</v>
      </c>
      <c r="H921" s="25">
        <v>351.0</v>
      </c>
      <c r="I921" s="26">
        <f t="array" ref="I921">XLOOKUP($A921,product!A:A,product!E:E)</f>
        <v>1.69</v>
      </c>
      <c r="J921" s="25">
        <f t="shared" si="2"/>
        <v>593.19</v>
      </c>
      <c r="K921" s="27">
        <f t="shared" si="3"/>
        <v>1</v>
      </c>
      <c r="L921" s="25">
        <f t="shared" si="4"/>
        <v>1</v>
      </c>
    </row>
    <row r="922">
      <c r="A922" s="19">
        <v>80798.0</v>
      </c>
      <c r="B922" s="20" t="str">
        <f t="array" ref="B922">xlookup($A922,product!$A:$A,product!B:B)</f>
        <v>Maison</v>
      </c>
      <c r="C922" s="20" t="str">
        <f t="array" ref="C922">xlookup($A922,product!$A:$A,product!C:C)</f>
        <v>Entretien</v>
      </c>
      <c r="D922" s="20" t="str">
        <f t="array" ref="D922">xlookup($A922,product!$A:$A,product!D:D)</f>
        <v>Nettoyants multi-usages</v>
      </c>
      <c r="E922" s="4" t="str">
        <f t="shared" si="1"/>
        <v>80798-Entretien-Nettoyants multi-usages</v>
      </c>
      <c r="F922" s="4">
        <v>1.0</v>
      </c>
      <c r="G922" s="4">
        <v>844.0</v>
      </c>
      <c r="H922" s="4">
        <v>643.0</v>
      </c>
      <c r="I922" s="21">
        <f t="array" ref="I922">XLOOKUP($A922,product!A:A,product!E:E)</f>
        <v>2.8</v>
      </c>
      <c r="J922" s="4">
        <f t="shared" si="2"/>
        <v>1800.4</v>
      </c>
      <c r="K922" s="22">
        <f t="shared" si="3"/>
        <v>1</v>
      </c>
      <c r="L922" s="4">
        <f t="shared" si="4"/>
        <v>1</v>
      </c>
    </row>
    <row r="923">
      <c r="A923" s="23">
        <v>108950.0</v>
      </c>
      <c r="B923" s="24" t="str">
        <f t="array" ref="B923">xlookup($A923,product!$A:$A,product!B:B)</f>
        <v>Maison</v>
      </c>
      <c r="C923" s="24" t="str">
        <f t="array" ref="C923">xlookup($A923,product!$A:$A,product!C:C)</f>
        <v>Entretien</v>
      </c>
      <c r="D923" s="24" t="str">
        <f t="array" ref="D923">xlookup($A923,product!$A:$A,product!D:D)</f>
        <v>Nettoyants multi-usages</v>
      </c>
      <c r="E923" s="25" t="str">
        <f t="shared" si="1"/>
        <v>108950-Entretien-Nettoyants multi-usages</v>
      </c>
      <c r="F923" s="25">
        <v>0.0</v>
      </c>
      <c r="G923" s="25">
        <v>914.0</v>
      </c>
      <c r="H923" s="25">
        <v>636.0</v>
      </c>
      <c r="I923" s="26">
        <f t="array" ref="I923">XLOOKUP($A923,product!A:A,product!E:E)</f>
        <v>4.06</v>
      </c>
      <c r="J923" s="25">
        <f t="shared" si="2"/>
        <v>2582.16</v>
      </c>
      <c r="K923" s="27">
        <f t="shared" si="3"/>
        <v>1</v>
      </c>
      <c r="L923" s="25">
        <f t="shared" si="4"/>
        <v>1</v>
      </c>
    </row>
    <row r="924">
      <c r="A924" s="19">
        <v>112847.0</v>
      </c>
      <c r="B924" s="20" t="str">
        <f t="array" ref="B924">xlookup($A924,product!$A:$A,product!B:B)</f>
        <v>Maison</v>
      </c>
      <c r="C924" s="20" t="str">
        <f t="array" ref="C924">xlookup($A924,product!$A:$A,product!C:C)</f>
        <v>Entretien</v>
      </c>
      <c r="D924" s="20" t="str">
        <f t="array" ref="D924">xlookup($A924,product!$A:$A,product!D:D)</f>
        <v>Nettoyants multi-usages</v>
      </c>
      <c r="E924" s="4" t="str">
        <f t="shared" si="1"/>
        <v>112847-Entretien-Nettoyants multi-usages</v>
      </c>
      <c r="F924" s="4">
        <v>1.0</v>
      </c>
      <c r="G924" s="4">
        <v>708.0</v>
      </c>
      <c r="H924" s="4">
        <v>174.0</v>
      </c>
      <c r="I924" s="21">
        <f t="array" ref="I924">XLOOKUP($A924,product!A:A,product!E:E)</f>
        <v>1.82</v>
      </c>
      <c r="J924" s="4">
        <f t="shared" si="2"/>
        <v>316.68</v>
      </c>
      <c r="K924" s="22">
        <f t="shared" si="3"/>
        <v>1</v>
      </c>
      <c r="L924" s="4">
        <f t="shared" si="4"/>
        <v>1</v>
      </c>
    </row>
    <row r="925">
      <c r="A925" s="23">
        <v>109202.0</v>
      </c>
      <c r="B925" s="24" t="str">
        <f t="array" ref="B925">xlookup($A925,product!$A:$A,product!B:B)</f>
        <v>Maison</v>
      </c>
      <c r="C925" s="24" t="str">
        <f t="array" ref="C925">xlookup($A925,product!$A:$A,product!C:C)</f>
        <v>Entretien</v>
      </c>
      <c r="D925" s="24" t="str">
        <f t="array" ref="D925">xlookup($A925,product!$A:$A,product!D:D)</f>
        <v>Nettoyants multi-usages</v>
      </c>
      <c r="E925" s="25" t="str">
        <f t="shared" si="1"/>
        <v>109202-Entretien-Nettoyants multi-usages</v>
      </c>
      <c r="F925" s="25">
        <v>0.0</v>
      </c>
      <c r="G925" s="25">
        <v>873.0</v>
      </c>
      <c r="H925" s="25">
        <v>268.0</v>
      </c>
      <c r="I925" s="26">
        <f t="array" ref="I925">XLOOKUP($A925,product!A:A,product!E:E)</f>
        <v>2.26</v>
      </c>
      <c r="J925" s="25">
        <f t="shared" si="2"/>
        <v>605.68</v>
      </c>
      <c r="K925" s="27">
        <f t="shared" si="3"/>
        <v>1</v>
      </c>
      <c r="L925" s="25">
        <f t="shared" si="4"/>
        <v>1</v>
      </c>
    </row>
    <row r="926">
      <c r="A926" s="19">
        <v>109198.0</v>
      </c>
      <c r="B926" s="20" t="str">
        <f t="array" ref="B926">xlookup($A926,product!$A:$A,product!B:B)</f>
        <v>Maison</v>
      </c>
      <c r="C926" s="20" t="str">
        <f t="array" ref="C926">xlookup($A926,product!$A:$A,product!C:C)</f>
        <v>Entretien</v>
      </c>
      <c r="D926" s="20" t="str">
        <f t="array" ref="D926">xlookup($A926,product!$A:$A,product!D:D)</f>
        <v>Nettoyants multi-usages</v>
      </c>
      <c r="E926" s="4" t="str">
        <f t="shared" si="1"/>
        <v>109198-Entretien-Nettoyants multi-usages</v>
      </c>
      <c r="F926" s="4">
        <v>0.0</v>
      </c>
      <c r="G926" s="4">
        <v>323.0</v>
      </c>
      <c r="H926" s="4">
        <v>315.0</v>
      </c>
      <c r="I926" s="21">
        <f t="array" ref="I926">XLOOKUP($A926,product!A:A,product!E:E)</f>
        <v>2.54</v>
      </c>
      <c r="J926" s="4">
        <f t="shared" si="2"/>
        <v>800.1</v>
      </c>
      <c r="K926" s="22">
        <f t="shared" si="3"/>
        <v>1</v>
      </c>
      <c r="L926" s="4">
        <f t="shared" si="4"/>
        <v>1</v>
      </c>
    </row>
    <row r="927">
      <c r="A927" s="23">
        <v>108990.0</v>
      </c>
      <c r="B927" s="24" t="str">
        <f t="array" ref="B927">xlookup($A927,product!$A:$A,product!B:B)</f>
        <v>Maison</v>
      </c>
      <c r="C927" s="24" t="str">
        <f t="array" ref="C927">xlookup($A927,product!$A:$A,product!C:C)</f>
        <v>Entretien</v>
      </c>
      <c r="D927" s="24" t="str">
        <f t="array" ref="D927">xlookup($A927,product!$A:$A,product!D:D)</f>
        <v>Nettoyants multi-usages</v>
      </c>
      <c r="E927" s="25" t="str">
        <f t="shared" si="1"/>
        <v>108990-Entretien-Nettoyants multi-usages</v>
      </c>
      <c r="F927" s="25">
        <v>1.0</v>
      </c>
      <c r="G927" s="25">
        <v>128.0</v>
      </c>
      <c r="H927" s="25">
        <v>81.0</v>
      </c>
      <c r="I927" s="26">
        <f t="array" ref="I927">XLOOKUP($A927,product!A:A,product!E:E)</f>
        <v>2.96</v>
      </c>
      <c r="J927" s="25">
        <f t="shared" si="2"/>
        <v>239.76</v>
      </c>
      <c r="K927" s="27">
        <f t="shared" si="3"/>
        <v>1</v>
      </c>
      <c r="L927" s="25">
        <f t="shared" si="4"/>
        <v>1</v>
      </c>
    </row>
    <row r="928">
      <c r="A928" s="19">
        <v>72815.0</v>
      </c>
      <c r="B928" s="20" t="str">
        <f t="array" ref="B928">xlookup($A928,product!$A:$A,product!B:B)</f>
        <v>Maison</v>
      </c>
      <c r="C928" s="20" t="str">
        <f t="array" ref="C928">xlookup($A928,product!$A:$A,product!C:C)</f>
        <v>Entretien</v>
      </c>
      <c r="D928" s="20" t="str">
        <f t="array" ref="D928">xlookup($A928,product!$A:$A,product!D:D)</f>
        <v>Nettoyants multi-usages</v>
      </c>
      <c r="E928" s="4" t="str">
        <f t="shared" si="1"/>
        <v>72815-Entretien-Nettoyants multi-usages</v>
      </c>
      <c r="F928" s="4">
        <v>1.0</v>
      </c>
      <c r="G928" s="4">
        <v>252.0</v>
      </c>
      <c r="H928" s="4">
        <v>65.0</v>
      </c>
      <c r="I928" s="21">
        <f t="array" ref="I928">XLOOKUP($A928,product!A:A,product!E:E)</f>
        <v>2.24</v>
      </c>
      <c r="J928" s="4">
        <f t="shared" si="2"/>
        <v>145.6</v>
      </c>
      <c r="K928" s="22">
        <f t="shared" si="3"/>
        <v>1</v>
      </c>
      <c r="L928" s="4">
        <f t="shared" si="4"/>
        <v>1</v>
      </c>
    </row>
    <row r="929">
      <c r="A929" s="23">
        <v>9479.0</v>
      </c>
      <c r="B929" s="24" t="str">
        <f t="array" ref="B929">xlookup($A929,product!$A:$A,product!B:B)</f>
        <v>Maison</v>
      </c>
      <c r="C929" s="24" t="str">
        <f t="array" ref="C929">xlookup($A929,product!$A:$A,product!C:C)</f>
        <v>Entretien</v>
      </c>
      <c r="D929" s="24" t="str">
        <f t="array" ref="D929">xlookup($A929,product!$A:$A,product!D:D)</f>
        <v>Nettoyants multi-usages</v>
      </c>
      <c r="E929" s="25" t="str">
        <f t="shared" si="1"/>
        <v>9479-Entretien-Nettoyants multi-usages</v>
      </c>
      <c r="F929" s="25">
        <v>1.0</v>
      </c>
      <c r="G929" s="25">
        <v>199.0</v>
      </c>
      <c r="H929" s="25">
        <v>102.0</v>
      </c>
      <c r="I929" s="26">
        <f t="array" ref="I929">XLOOKUP($A929,product!A:A,product!E:E)</f>
        <v>1.54</v>
      </c>
      <c r="J929" s="25">
        <f t="shared" si="2"/>
        <v>157.08</v>
      </c>
      <c r="K929" s="27">
        <f t="shared" si="3"/>
        <v>1</v>
      </c>
      <c r="L929" s="25">
        <f t="shared" si="4"/>
        <v>1</v>
      </c>
    </row>
    <row r="930">
      <c r="A930" s="19">
        <v>46961.0</v>
      </c>
      <c r="B930" s="20" t="str">
        <f t="array" ref="B930">xlookup($A930,product!$A:$A,product!B:B)</f>
        <v>Maison</v>
      </c>
      <c r="C930" s="20" t="str">
        <f t="array" ref="C930">xlookup($A930,product!$A:$A,product!C:C)</f>
        <v>Entretien</v>
      </c>
      <c r="D930" s="20" t="str">
        <f t="array" ref="D930">xlookup($A930,product!$A:$A,product!D:D)</f>
        <v>Nettoyants multi-usages</v>
      </c>
      <c r="E930" s="4" t="str">
        <f t="shared" si="1"/>
        <v>46961-Entretien-Nettoyants multi-usages</v>
      </c>
      <c r="F930" s="4">
        <v>1.0</v>
      </c>
      <c r="G930" s="4">
        <v>709.0</v>
      </c>
      <c r="H930" s="4">
        <v>242.0</v>
      </c>
      <c r="I930" s="21">
        <f t="array" ref="I930">XLOOKUP($A930,product!A:A,product!E:E)</f>
        <v>2.29</v>
      </c>
      <c r="J930" s="4">
        <f t="shared" si="2"/>
        <v>554.18</v>
      </c>
      <c r="K930" s="22">
        <f t="shared" si="3"/>
        <v>1</v>
      </c>
      <c r="L930" s="4">
        <f t="shared" si="4"/>
        <v>1</v>
      </c>
    </row>
    <row r="931">
      <c r="A931" s="23">
        <v>122352.0</v>
      </c>
      <c r="B931" s="24" t="str">
        <f t="array" ref="B931">xlookup($A931,product!$A:$A,product!B:B)</f>
        <v>Maison</v>
      </c>
      <c r="C931" s="24" t="str">
        <f t="array" ref="C931">xlookup($A931,product!$A:$A,product!C:C)</f>
        <v>Entretien</v>
      </c>
      <c r="D931" s="24" t="str">
        <f t="array" ref="D931">xlookup($A931,product!$A:$A,product!D:D)</f>
        <v>Nettoyants multi-usages</v>
      </c>
      <c r="E931" s="25" t="str">
        <f t="shared" si="1"/>
        <v>122352-Entretien-Nettoyants multi-usages</v>
      </c>
      <c r="F931" s="25">
        <v>0.0</v>
      </c>
      <c r="G931" s="25">
        <v>260.0</v>
      </c>
      <c r="H931" s="25">
        <v>25.0</v>
      </c>
      <c r="I931" s="26">
        <f t="array" ref="I931">XLOOKUP($A931,product!A:A,product!E:E)</f>
        <v>2.22</v>
      </c>
      <c r="J931" s="25">
        <f t="shared" si="2"/>
        <v>55.5</v>
      </c>
      <c r="K931" s="27">
        <f t="shared" si="3"/>
        <v>1</v>
      </c>
      <c r="L931" s="25">
        <f t="shared" si="4"/>
        <v>1</v>
      </c>
    </row>
    <row r="932">
      <c r="A932" s="19">
        <v>44750.0</v>
      </c>
      <c r="B932" s="20" t="str">
        <f t="array" ref="B932">xlookup($A932,product!$A:$A,product!B:B)</f>
        <v>Maison</v>
      </c>
      <c r="C932" s="20" t="str">
        <f t="array" ref="C932">xlookup($A932,product!$A:$A,product!C:C)</f>
        <v>Entretien</v>
      </c>
      <c r="D932" s="20" t="str">
        <f t="array" ref="D932">xlookup($A932,product!$A:$A,product!D:D)</f>
        <v>Nettoyants multi-usages</v>
      </c>
      <c r="E932" s="4" t="str">
        <f t="shared" si="1"/>
        <v>44750-Entretien-Nettoyants multi-usages</v>
      </c>
      <c r="F932" s="4">
        <v>1.0</v>
      </c>
      <c r="G932" s="4">
        <v>717.0</v>
      </c>
      <c r="H932" s="4">
        <v>370.0</v>
      </c>
      <c r="I932" s="21">
        <f t="array" ref="I932">XLOOKUP($A932,product!A:A,product!E:E)</f>
        <v>5.48</v>
      </c>
      <c r="J932" s="4">
        <f t="shared" si="2"/>
        <v>2027.6</v>
      </c>
      <c r="K932" s="22">
        <f t="shared" si="3"/>
        <v>1</v>
      </c>
      <c r="L932" s="4">
        <f t="shared" si="4"/>
        <v>1</v>
      </c>
    </row>
    <row r="933">
      <c r="A933" s="23">
        <v>114405.0</v>
      </c>
      <c r="B933" s="24" t="str">
        <f t="array" ref="B933">xlookup($A933,product!$A:$A,product!B:B)</f>
        <v>Maison</v>
      </c>
      <c r="C933" s="24" t="str">
        <f t="array" ref="C933">xlookup($A933,product!$A:$A,product!C:C)</f>
        <v>Entretien</v>
      </c>
      <c r="D933" s="24" t="str">
        <f t="array" ref="D933">xlookup($A933,product!$A:$A,product!D:D)</f>
        <v>Nettoyants multi-usages</v>
      </c>
      <c r="E933" s="25" t="str">
        <f t="shared" si="1"/>
        <v>114405-Entretien-Nettoyants multi-usages</v>
      </c>
      <c r="F933" s="25">
        <v>1.0</v>
      </c>
      <c r="G933" s="25">
        <v>387.0</v>
      </c>
      <c r="H933" s="25">
        <v>199.0</v>
      </c>
      <c r="I933" s="26">
        <f t="array" ref="I933">XLOOKUP($A933,product!A:A,product!E:E)</f>
        <v>1.71</v>
      </c>
      <c r="J933" s="25">
        <f t="shared" si="2"/>
        <v>340.29</v>
      </c>
      <c r="K933" s="27">
        <f t="shared" si="3"/>
        <v>1</v>
      </c>
      <c r="L933" s="25">
        <f t="shared" si="4"/>
        <v>1</v>
      </c>
    </row>
    <row r="934">
      <c r="A934" s="19">
        <v>2797.0</v>
      </c>
      <c r="B934" s="20" t="str">
        <f t="array" ref="B934">xlookup($A934,product!$A:$A,product!B:B)</f>
        <v>Maison</v>
      </c>
      <c r="C934" s="20" t="str">
        <f t="array" ref="C934">xlookup($A934,product!$A:$A,product!C:C)</f>
        <v>Entretien</v>
      </c>
      <c r="D934" s="20" t="str">
        <f t="array" ref="D934">xlookup($A934,product!$A:$A,product!D:D)</f>
        <v>Nettoyants multi-usages</v>
      </c>
      <c r="E934" s="4" t="str">
        <f t="shared" si="1"/>
        <v>2797-Entretien-Nettoyants multi-usages</v>
      </c>
      <c r="F934" s="4">
        <v>1.0</v>
      </c>
      <c r="G934" s="4">
        <v>911.0</v>
      </c>
      <c r="H934" s="4">
        <v>388.0</v>
      </c>
      <c r="I934" s="21">
        <f t="array" ref="I934">XLOOKUP($A934,product!A:A,product!E:E)</f>
        <v>2.63</v>
      </c>
      <c r="J934" s="4">
        <f t="shared" si="2"/>
        <v>1020.44</v>
      </c>
      <c r="K934" s="22">
        <f t="shared" si="3"/>
        <v>1</v>
      </c>
      <c r="L934" s="4">
        <f t="shared" si="4"/>
        <v>1</v>
      </c>
    </row>
    <row r="935">
      <c r="A935" s="23">
        <v>79499.0</v>
      </c>
      <c r="B935" s="24" t="str">
        <f t="array" ref="B935">xlookup($A935,product!$A:$A,product!B:B)</f>
        <v>Maison</v>
      </c>
      <c r="C935" s="24" t="str">
        <f t="array" ref="C935">xlookup($A935,product!$A:$A,product!C:C)</f>
        <v>Entretien</v>
      </c>
      <c r="D935" s="24" t="str">
        <f t="array" ref="D935">xlookup($A935,product!$A:$A,product!D:D)</f>
        <v>Nettoyants multi-usages</v>
      </c>
      <c r="E935" s="25" t="str">
        <f t="shared" si="1"/>
        <v>79499-Entretien-Nettoyants multi-usages</v>
      </c>
      <c r="F935" s="25">
        <v>1.0</v>
      </c>
      <c r="G935" s="25">
        <v>402.0</v>
      </c>
      <c r="H935" s="25">
        <v>41.0</v>
      </c>
      <c r="I935" s="26">
        <f t="array" ref="I935">XLOOKUP($A935,product!A:A,product!E:E)</f>
        <v>1.71</v>
      </c>
      <c r="J935" s="25">
        <f t="shared" si="2"/>
        <v>70.11</v>
      </c>
      <c r="K935" s="27">
        <f t="shared" si="3"/>
        <v>1</v>
      </c>
      <c r="L935" s="25">
        <f t="shared" si="4"/>
        <v>1</v>
      </c>
    </row>
    <row r="936">
      <c r="A936" s="19">
        <v>5902.0</v>
      </c>
      <c r="B936" s="20" t="str">
        <f t="array" ref="B936">xlookup($A936,product!$A:$A,product!B:B)</f>
        <v>Maison</v>
      </c>
      <c r="C936" s="20" t="str">
        <f t="array" ref="C936">xlookup($A936,product!$A:$A,product!C:C)</f>
        <v>Entretien</v>
      </c>
      <c r="D936" s="20" t="str">
        <f t="array" ref="D936">xlookup($A936,product!$A:$A,product!D:D)</f>
        <v>Nettoyants multi-usages</v>
      </c>
      <c r="E936" s="4" t="str">
        <f t="shared" si="1"/>
        <v>5902-Entretien-Nettoyants multi-usages</v>
      </c>
      <c r="F936" s="4">
        <v>1.0</v>
      </c>
      <c r="G936" s="4">
        <v>845.0</v>
      </c>
      <c r="H936" s="4">
        <v>146.0</v>
      </c>
      <c r="I936" s="21">
        <f t="array" ref="I936">XLOOKUP($A936,product!A:A,product!E:E)</f>
        <v>4.88</v>
      </c>
      <c r="J936" s="4">
        <f t="shared" si="2"/>
        <v>712.48</v>
      </c>
      <c r="K936" s="22">
        <f t="shared" si="3"/>
        <v>1</v>
      </c>
      <c r="L936" s="4">
        <f t="shared" si="4"/>
        <v>1</v>
      </c>
    </row>
    <row r="937">
      <c r="A937" s="23">
        <v>46956.0</v>
      </c>
      <c r="B937" s="24" t="str">
        <f t="array" ref="B937">xlookup($A937,product!$A:$A,product!B:B)</f>
        <v>Maison</v>
      </c>
      <c r="C937" s="24" t="str">
        <f t="array" ref="C937">xlookup($A937,product!$A:$A,product!C:C)</f>
        <v>Entretien</v>
      </c>
      <c r="D937" s="24" t="str">
        <f t="array" ref="D937">xlookup($A937,product!$A:$A,product!D:D)</f>
        <v>Nettoyants multi-usages</v>
      </c>
      <c r="E937" s="25" t="str">
        <f t="shared" si="1"/>
        <v>46956-Entretien-Nettoyants multi-usages</v>
      </c>
      <c r="F937" s="25">
        <v>0.0</v>
      </c>
      <c r="G937" s="25">
        <v>209.0</v>
      </c>
      <c r="H937" s="25">
        <v>100.0</v>
      </c>
      <c r="I937" s="26">
        <f t="array" ref="I937">XLOOKUP($A937,product!A:A,product!E:E)</f>
        <v>1.7</v>
      </c>
      <c r="J937" s="25">
        <f t="shared" si="2"/>
        <v>170</v>
      </c>
      <c r="K937" s="27">
        <f t="shared" si="3"/>
        <v>1</v>
      </c>
      <c r="L937" s="25">
        <f t="shared" si="4"/>
        <v>1</v>
      </c>
    </row>
    <row r="938">
      <c r="A938" s="19">
        <v>11490.0</v>
      </c>
      <c r="B938" s="20" t="str">
        <f t="array" ref="B938">xlookup($A938,product!$A:$A,product!B:B)</f>
        <v>Maison</v>
      </c>
      <c r="C938" s="20" t="str">
        <f t="array" ref="C938">xlookup($A938,product!$A:$A,product!C:C)</f>
        <v>Entretien</v>
      </c>
      <c r="D938" s="20" t="str">
        <f t="array" ref="D938">xlookup($A938,product!$A:$A,product!D:D)</f>
        <v>Nettoyants multi-usages</v>
      </c>
      <c r="E938" s="4" t="str">
        <f t="shared" si="1"/>
        <v>11490-Entretien-Nettoyants multi-usages</v>
      </c>
      <c r="F938" s="4">
        <v>1.0</v>
      </c>
      <c r="G938" s="4">
        <v>339.0</v>
      </c>
      <c r="H938" s="4">
        <v>145.0</v>
      </c>
      <c r="I938" s="21">
        <f t="array" ref="I938">XLOOKUP($A938,product!A:A,product!E:E)</f>
        <v>1.74</v>
      </c>
      <c r="J938" s="4">
        <f t="shared" si="2"/>
        <v>252.3</v>
      </c>
      <c r="K938" s="22">
        <f t="shared" si="3"/>
        <v>1</v>
      </c>
      <c r="L938" s="4">
        <f t="shared" si="4"/>
        <v>1</v>
      </c>
    </row>
    <row r="939">
      <c r="A939" s="23">
        <v>8027.0</v>
      </c>
      <c r="B939" s="24" t="str">
        <f t="array" ref="B939">xlookup($A939,product!$A:$A,product!B:B)</f>
        <v>Maison</v>
      </c>
      <c r="C939" s="24" t="str">
        <f t="array" ref="C939">xlookup($A939,product!$A:$A,product!C:C)</f>
        <v>Entretien</v>
      </c>
      <c r="D939" s="24" t="str">
        <f t="array" ref="D939">xlookup($A939,product!$A:$A,product!D:D)</f>
        <v>Nettoyants multi-usages</v>
      </c>
      <c r="E939" s="25" t="str">
        <f t="shared" si="1"/>
        <v>8027-Entretien-Nettoyants multi-usages</v>
      </c>
      <c r="F939" s="25">
        <v>1.0</v>
      </c>
      <c r="G939" s="25">
        <v>957.0</v>
      </c>
      <c r="H939" s="25">
        <v>39.0</v>
      </c>
      <c r="I939" s="26">
        <f t="array" ref="I939">XLOOKUP($A939,product!A:A,product!E:E)</f>
        <v>2.69</v>
      </c>
      <c r="J939" s="25">
        <f t="shared" si="2"/>
        <v>104.91</v>
      </c>
      <c r="K939" s="27">
        <f t="shared" si="3"/>
        <v>1</v>
      </c>
      <c r="L939" s="25">
        <f t="shared" si="4"/>
        <v>1</v>
      </c>
    </row>
    <row r="940">
      <c r="A940" s="19">
        <v>121588.0</v>
      </c>
      <c r="B940" s="20" t="str">
        <f t="array" ref="B940">xlookup($A940,product!$A:$A,product!B:B)</f>
        <v>Maison</v>
      </c>
      <c r="C940" s="20" t="str">
        <f t="array" ref="C940">xlookup($A940,product!$A:$A,product!C:C)</f>
        <v>Entretien</v>
      </c>
      <c r="D940" s="20" t="str">
        <f t="array" ref="D940">xlookup($A940,product!$A:$A,product!D:D)</f>
        <v>Nettoyants multi-usages</v>
      </c>
      <c r="E940" s="4" t="str">
        <f t="shared" si="1"/>
        <v>121588-Entretien-Nettoyants multi-usages</v>
      </c>
      <c r="F940" s="4">
        <v>0.0</v>
      </c>
      <c r="G940" s="4">
        <v>622.0</v>
      </c>
      <c r="H940" s="4">
        <v>447.0</v>
      </c>
      <c r="I940" s="21">
        <f t="array" ref="I940">XLOOKUP($A940,product!A:A,product!E:E)</f>
        <v>4.44</v>
      </c>
      <c r="J940" s="4">
        <f t="shared" si="2"/>
        <v>1984.68</v>
      </c>
      <c r="K940" s="22">
        <f t="shared" si="3"/>
        <v>1</v>
      </c>
      <c r="L940" s="4">
        <f t="shared" si="4"/>
        <v>1</v>
      </c>
    </row>
    <row r="941">
      <c r="A941" s="23">
        <v>1279.0</v>
      </c>
      <c r="B941" s="24" t="str">
        <f t="array" ref="B941">xlookup($A941,product!$A:$A,product!B:B)</f>
        <v>Maison</v>
      </c>
      <c r="C941" s="24" t="str">
        <f t="array" ref="C941">xlookup($A941,product!$A:$A,product!C:C)</f>
        <v>Entretien</v>
      </c>
      <c r="D941" s="24" t="str">
        <f t="array" ref="D941">xlookup($A941,product!$A:$A,product!D:D)</f>
        <v>Nettoyants multi-usages</v>
      </c>
      <c r="E941" s="25" t="str">
        <f t="shared" si="1"/>
        <v>1279-Entretien-Nettoyants multi-usages</v>
      </c>
      <c r="F941" s="25">
        <v>0.0</v>
      </c>
      <c r="G941" s="25">
        <v>253.0</v>
      </c>
      <c r="H941" s="25">
        <v>172.0</v>
      </c>
      <c r="I941" s="26">
        <f t="array" ref="I941">XLOOKUP($A941,product!A:A,product!E:E)</f>
        <v>1.69</v>
      </c>
      <c r="J941" s="25">
        <f t="shared" si="2"/>
        <v>290.68</v>
      </c>
      <c r="K941" s="27">
        <f t="shared" si="3"/>
        <v>1</v>
      </c>
      <c r="L941" s="25">
        <f t="shared" si="4"/>
        <v>1</v>
      </c>
    </row>
    <row r="942">
      <c r="A942" s="19">
        <v>5978.0</v>
      </c>
      <c r="B942" s="20" t="str">
        <f t="array" ref="B942">xlookup($A942,product!$A:$A,product!B:B)</f>
        <v>Maison</v>
      </c>
      <c r="C942" s="20" t="str">
        <f t="array" ref="C942">xlookup($A942,product!$A:$A,product!C:C)</f>
        <v>Entretien</v>
      </c>
      <c r="D942" s="20" t="str">
        <f t="array" ref="D942">xlookup($A942,product!$A:$A,product!D:D)</f>
        <v>Nettoyants multi-usages</v>
      </c>
      <c r="E942" s="4" t="str">
        <f t="shared" si="1"/>
        <v>5978-Entretien-Nettoyants multi-usages</v>
      </c>
      <c r="F942" s="4">
        <v>1.0</v>
      </c>
      <c r="G942" s="4">
        <v>34.0</v>
      </c>
      <c r="H942" s="4">
        <v>15.0</v>
      </c>
      <c r="I942" s="21">
        <f t="array" ref="I942">XLOOKUP($A942,product!A:A,product!E:E)</f>
        <v>3.82</v>
      </c>
      <c r="J942" s="4">
        <f t="shared" si="2"/>
        <v>57.3</v>
      </c>
      <c r="K942" s="22">
        <f t="shared" si="3"/>
        <v>1</v>
      </c>
      <c r="L942" s="4">
        <f t="shared" si="4"/>
        <v>1</v>
      </c>
    </row>
    <row r="943">
      <c r="A943" s="23">
        <v>72813.0</v>
      </c>
      <c r="B943" s="24" t="str">
        <f t="array" ref="B943">xlookup($A943,product!$A:$A,product!B:B)</f>
        <v>Maison</v>
      </c>
      <c r="C943" s="24" t="str">
        <f t="array" ref="C943">xlookup($A943,product!$A:$A,product!C:C)</f>
        <v>Entretien</v>
      </c>
      <c r="D943" s="24" t="str">
        <f t="array" ref="D943">xlookup($A943,product!$A:$A,product!D:D)</f>
        <v>Nettoyants multi-usages</v>
      </c>
      <c r="E943" s="25" t="str">
        <f t="shared" si="1"/>
        <v>72813-Entretien-Nettoyants multi-usages</v>
      </c>
      <c r="F943" s="25">
        <v>0.0</v>
      </c>
      <c r="G943" s="25">
        <v>182.0</v>
      </c>
      <c r="H943" s="25">
        <v>1.0</v>
      </c>
      <c r="I943" s="26">
        <f t="array" ref="I943">XLOOKUP($A943,product!A:A,product!E:E)</f>
        <v>2.23</v>
      </c>
      <c r="J943" s="25">
        <f t="shared" si="2"/>
        <v>2.23</v>
      </c>
      <c r="K943" s="27">
        <f t="shared" si="3"/>
        <v>1</v>
      </c>
      <c r="L943" s="25">
        <f t="shared" si="4"/>
        <v>1</v>
      </c>
    </row>
    <row r="944">
      <c r="A944" s="19">
        <v>9486.0</v>
      </c>
      <c r="B944" s="20" t="str">
        <f t="array" ref="B944">xlookup($A944,product!$A:$A,product!B:B)</f>
        <v>Maison</v>
      </c>
      <c r="C944" s="20" t="str">
        <f t="array" ref="C944">xlookup($A944,product!$A:$A,product!C:C)</f>
        <v>Entretien</v>
      </c>
      <c r="D944" s="20" t="str">
        <f t="array" ref="D944">xlookup($A944,product!$A:$A,product!D:D)</f>
        <v>Nettoyants multi-usages</v>
      </c>
      <c r="E944" s="4" t="str">
        <f t="shared" si="1"/>
        <v>9486-Entretien-Nettoyants multi-usages</v>
      </c>
      <c r="F944" s="4">
        <v>1.0</v>
      </c>
      <c r="G944" s="4">
        <v>285.0</v>
      </c>
      <c r="H944" s="4">
        <v>87.0</v>
      </c>
      <c r="I944" s="21">
        <f t="array" ref="I944">XLOOKUP($A944,product!A:A,product!E:E)</f>
        <v>14.35</v>
      </c>
      <c r="J944" s="4">
        <f t="shared" si="2"/>
        <v>1248.45</v>
      </c>
      <c r="K944" s="22">
        <f t="shared" si="3"/>
        <v>1</v>
      </c>
      <c r="L944" s="4">
        <f t="shared" si="4"/>
        <v>1</v>
      </c>
    </row>
    <row r="945">
      <c r="A945" s="23">
        <v>2791.0</v>
      </c>
      <c r="B945" s="24" t="str">
        <f t="array" ref="B945">xlookup($A945,product!$A:$A,product!B:B)</f>
        <v>Maison</v>
      </c>
      <c r="C945" s="24" t="str">
        <f t="array" ref="C945">xlookup($A945,product!$A:$A,product!C:C)</f>
        <v>Entretien</v>
      </c>
      <c r="D945" s="24" t="str">
        <f t="array" ref="D945">xlookup($A945,product!$A:$A,product!D:D)</f>
        <v>Nettoyants multi-usages</v>
      </c>
      <c r="E945" s="25" t="str">
        <f t="shared" si="1"/>
        <v>2791-Entretien-Nettoyants multi-usages</v>
      </c>
      <c r="F945" s="25">
        <v>0.0</v>
      </c>
      <c r="G945" s="25">
        <v>122.0</v>
      </c>
      <c r="H945" s="25">
        <v>26.0</v>
      </c>
      <c r="I945" s="26">
        <f t="array" ref="I945">XLOOKUP($A945,product!A:A,product!E:E)</f>
        <v>2.2</v>
      </c>
      <c r="J945" s="25">
        <f t="shared" si="2"/>
        <v>57.2</v>
      </c>
      <c r="K945" s="27">
        <f t="shared" si="3"/>
        <v>1</v>
      </c>
      <c r="L945" s="25">
        <f t="shared" si="4"/>
        <v>1</v>
      </c>
    </row>
    <row r="946">
      <c r="A946" s="19">
        <v>109206.0</v>
      </c>
      <c r="B946" s="20" t="str">
        <f t="array" ref="B946">xlookup($A946,product!$A:$A,product!B:B)</f>
        <v>Maison</v>
      </c>
      <c r="C946" s="20" t="str">
        <f t="array" ref="C946">xlookup($A946,product!$A:$A,product!C:C)</f>
        <v>Entretien</v>
      </c>
      <c r="D946" s="20" t="str">
        <f t="array" ref="D946">xlookup($A946,product!$A:$A,product!D:D)</f>
        <v>Nettoyants multi-usages</v>
      </c>
      <c r="E946" s="4" t="str">
        <f t="shared" si="1"/>
        <v>109206-Entretien-Nettoyants multi-usages</v>
      </c>
      <c r="F946" s="4">
        <v>0.0</v>
      </c>
      <c r="G946" s="4">
        <v>219.0</v>
      </c>
      <c r="H946" s="4">
        <v>205.0</v>
      </c>
      <c r="I946" s="21">
        <f t="array" ref="I946">XLOOKUP($A946,product!A:A,product!E:E)</f>
        <v>2.5</v>
      </c>
      <c r="J946" s="4">
        <f t="shared" si="2"/>
        <v>512.5</v>
      </c>
      <c r="K946" s="22">
        <f t="shared" si="3"/>
        <v>1</v>
      </c>
      <c r="L946" s="4">
        <f t="shared" si="4"/>
        <v>1</v>
      </c>
    </row>
    <row r="947">
      <c r="A947" s="23">
        <v>9478.0</v>
      </c>
      <c r="B947" s="24" t="str">
        <f t="array" ref="B947">xlookup($A947,product!$A:$A,product!B:B)</f>
        <v>Maison</v>
      </c>
      <c r="C947" s="24" t="str">
        <f t="array" ref="C947">xlookup($A947,product!$A:$A,product!C:C)</f>
        <v>Entretien</v>
      </c>
      <c r="D947" s="24" t="str">
        <f t="array" ref="D947">xlookup($A947,product!$A:$A,product!D:D)</f>
        <v>Nettoyants multi-usages</v>
      </c>
      <c r="E947" s="25" t="str">
        <f t="shared" si="1"/>
        <v>9478-Entretien-Nettoyants multi-usages</v>
      </c>
      <c r="F947" s="25">
        <v>1.0</v>
      </c>
      <c r="G947" s="25">
        <v>451.0</v>
      </c>
      <c r="H947" s="25">
        <v>412.0</v>
      </c>
      <c r="I947" s="26">
        <f t="array" ref="I947">XLOOKUP($A947,product!A:A,product!E:E)</f>
        <v>3.06</v>
      </c>
      <c r="J947" s="25">
        <f t="shared" si="2"/>
        <v>1260.72</v>
      </c>
      <c r="K947" s="27">
        <f t="shared" si="3"/>
        <v>1</v>
      </c>
      <c r="L947" s="25">
        <f t="shared" si="4"/>
        <v>1</v>
      </c>
    </row>
    <row r="948">
      <c r="A948" s="19">
        <v>122699.0</v>
      </c>
      <c r="B948" s="20" t="str">
        <f t="array" ref="B948">xlookup($A948,product!$A:$A,product!B:B)</f>
        <v>Maison</v>
      </c>
      <c r="C948" s="20" t="str">
        <f t="array" ref="C948">xlookup($A948,product!$A:$A,product!C:C)</f>
        <v>Entretien</v>
      </c>
      <c r="D948" s="20" t="str">
        <f t="array" ref="D948">xlookup($A948,product!$A:$A,product!D:D)</f>
        <v>Nettoyants multi-usages</v>
      </c>
      <c r="E948" s="4" t="str">
        <f t="shared" si="1"/>
        <v>122699-Entretien-Nettoyants multi-usages</v>
      </c>
      <c r="F948" s="4">
        <v>1.0</v>
      </c>
      <c r="G948" s="4">
        <v>418.0</v>
      </c>
      <c r="H948" s="4">
        <v>38.0</v>
      </c>
      <c r="I948" s="21">
        <f t="array" ref="I948">XLOOKUP($A948,product!A:A,product!E:E)</f>
        <v>3.69</v>
      </c>
      <c r="J948" s="4">
        <f t="shared" si="2"/>
        <v>140.22</v>
      </c>
      <c r="K948" s="22">
        <f t="shared" si="3"/>
        <v>1</v>
      </c>
      <c r="L948" s="4">
        <f t="shared" si="4"/>
        <v>1</v>
      </c>
    </row>
    <row r="949">
      <c r="A949" s="23">
        <v>2794.0</v>
      </c>
      <c r="B949" s="24" t="str">
        <f t="array" ref="B949">xlookup($A949,product!$A:$A,product!B:B)</f>
        <v>Maison</v>
      </c>
      <c r="C949" s="24" t="str">
        <f t="array" ref="C949">xlookup($A949,product!$A:$A,product!C:C)</f>
        <v>Entretien</v>
      </c>
      <c r="D949" s="24" t="str">
        <f t="array" ref="D949">xlookup($A949,product!$A:$A,product!D:D)</f>
        <v>Nettoyants multi-usages</v>
      </c>
      <c r="E949" s="25" t="str">
        <f t="shared" si="1"/>
        <v>2794-Entretien-Nettoyants multi-usages</v>
      </c>
      <c r="F949" s="25">
        <v>0.0</v>
      </c>
      <c r="G949" s="25">
        <v>699.0</v>
      </c>
      <c r="H949" s="25">
        <v>447.0</v>
      </c>
      <c r="I949" s="26">
        <f t="array" ref="I949">XLOOKUP($A949,product!A:A,product!E:E)</f>
        <v>2.12</v>
      </c>
      <c r="J949" s="25">
        <f t="shared" si="2"/>
        <v>947.64</v>
      </c>
      <c r="K949" s="27">
        <f t="shared" si="3"/>
        <v>1</v>
      </c>
      <c r="L949" s="25">
        <f t="shared" si="4"/>
        <v>1</v>
      </c>
    </row>
    <row r="950">
      <c r="A950" s="19">
        <v>109200.0</v>
      </c>
      <c r="B950" s="20" t="str">
        <f t="array" ref="B950">xlookup($A950,product!$A:$A,product!B:B)</f>
        <v>Maison</v>
      </c>
      <c r="C950" s="20" t="str">
        <f t="array" ref="C950">xlookup($A950,product!$A:$A,product!C:C)</f>
        <v>Entretien</v>
      </c>
      <c r="D950" s="20" t="str">
        <f t="array" ref="D950">xlookup($A950,product!$A:$A,product!D:D)</f>
        <v>Nettoyants multi-usages</v>
      </c>
      <c r="E950" s="4" t="str">
        <f t="shared" si="1"/>
        <v>109200-Entretien-Nettoyants multi-usages</v>
      </c>
      <c r="F950" s="4">
        <v>1.0</v>
      </c>
      <c r="G950" s="4">
        <v>962.0</v>
      </c>
      <c r="H950" s="4">
        <v>408.0</v>
      </c>
      <c r="I950" s="21">
        <f t="array" ref="I950">XLOOKUP($A950,product!A:A,product!E:E)</f>
        <v>2.08</v>
      </c>
      <c r="J950" s="4">
        <f t="shared" si="2"/>
        <v>848.64</v>
      </c>
      <c r="K950" s="22">
        <f t="shared" si="3"/>
        <v>1</v>
      </c>
      <c r="L950" s="4">
        <f t="shared" si="4"/>
        <v>1</v>
      </c>
    </row>
    <row r="951">
      <c r="A951" s="23">
        <v>118263.0</v>
      </c>
      <c r="B951" s="24" t="str">
        <f t="array" ref="B951">xlookup($A951,product!$A:$A,product!B:B)</f>
        <v>Maison</v>
      </c>
      <c r="C951" s="24" t="str">
        <f t="array" ref="C951">xlookup($A951,product!$A:$A,product!C:C)</f>
        <v>Entretien</v>
      </c>
      <c r="D951" s="24" t="str">
        <f t="array" ref="D951">xlookup($A951,product!$A:$A,product!D:D)</f>
        <v>Nettoyants multi-usages</v>
      </c>
      <c r="E951" s="25" t="str">
        <f t="shared" si="1"/>
        <v>118263-Entretien-Nettoyants multi-usages</v>
      </c>
      <c r="F951" s="25">
        <v>1.0</v>
      </c>
      <c r="G951" s="25">
        <v>659.0</v>
      </c>
      <c r="H951" s="25">
        <v>434.0</v>
      </c>
      <c r="I951" s="26">
        <f t="array" ref="I951">XLOOKUP($A951,product!A:A,product!E:E)</f>
        <v>1.23</v>
      </c>
      <c r="J951" s="25">
        <f t="shared" si="2"/>
        <v>533.82</v>
      </c>
      <c r="K951" s="27">
        <f t="shared" si="3"/>
        <v>1</v>
      </c>
      <c r="L951" s="25">
        <f t="shared" si="4"/>
        <v>1</v>
      </c>
    </row>
    <row r="952">
      <c r="A952" s="19">
        <v>71320.0</v>
      </c>
      <c r="B952" s="20" t="str">
        <f t="array" ref="B952">xlookup($A952,product!$A:$A,product!B:B)</f>
        <v>Maison</v>
      </c>
      <c r="C952" s="20" t="str">
        <f t="array" ref="C952">xlookup($A952,product!$A:$A,product!C:C)</f>
        <v>Entretien</v>
      </c>
      <c r="D952" s="20" t="str">
        <f t="array" ref="D952">xlookup($A952,product!$A:$A,product!D:D)</f>
        <v>Nettoyants multi-usages</v>
      </c>
      <c r="E952" s="4" t="str">
        <f t="shared" si="1"/>
        <v>71320-Entretien-Nettoyants multi-usages</v>
      </c>
      <c r="F952" s="4">
        <v>0.0</v>
      </c>
      <c r="G952" s="4">
        <v>741.0</v>
      </c>
      <c r="H952" s="4">
        <v>645.0</v>
      </c>
      <c r="I952" s="21">
        <f t="array" ref="I952">XLOOKUP($A952,product!A:A,product!E:E)</f>
        <v>13.17</v>
      </c>
      <c r="J952" s="4">
        <f t="shared" si="2"/>
        <v>8494.65</v>
      </c>
      <c r="K952" s="22">
        <f t="shared" si="3"/>
        <v>1</v>
      </c>
      <c r="L952" s="4">
        <f t="shared" si="4"/>
        <v>1</v>
      </c>
    </row>
    <row r="953">
      <c r="A953" s="23">
        <v>108944.0</v>
      </c>
      <c r="B953" s="24" t="str">
        <f t="array" ref="B953">xlookup($A953,product!$A:$A,product!B:B)</f>
        <v>Maison</v>
      </c>
      <c r="C953" s="24" t="str">
        <f t="array" ref="C953">xlookup($A953,product!$A:$A,product!C:C)</f>
        <v>Entretien</v>
      </c>
      <c r="D953" s="24" t="str">
        <f t="array" ref="D953">xlookup($A953,product!$A:$A,product!D:D)</f>
        <v>Nettoyants multi-usages</v>
      </c>
      <c r="E953" s="25" t="str">
        <f t="shared" si="1"/>
        <v>108944-Entretien-Nettoyants multi-usages</v>
      </c>
      <c r="F953" s="25">
        <v>1.0</v>
      </c>
      <c r="G953" s="25">
        <v>450.0</v>
      </c>
      <c r="H953" s="25">
        <v>382.0</v>
      </c>
      <c r="I953" s="26">
        <f t="array" ref="I953">XLOOKUP($A953,product!A:A,product!E:E)</f>
        <v>3.43</v>
      </c>
      <c r="J953" s="25">
        <f t="shared" si="2"/>
        <v>1310.26</v>
      </c>
      <c r="K953" s="27">
        <f t="shared" si="3"/>
        <v>1</v>
      </c>
      <c r="L953" s="25">
        <f t="shared" si="4"/>
        <v>1</v>
      </c>
    </row>
    <row r="954">
      <c r="A954" s="19">
        <v>122693.0</v>
      </c>
      <c r="B954" s="20" t="str">
        <f t="array" ref="B954">xlookup($A954,product!$A:$A,product!B:B)</f>
        <v>Maison</v>
      </c>
      <c r="C954" s="20" t="str">
        <f t="array" ref="C954">xlookup($A954,product!$A:$A,product!C:C)</f>
        <v>Entretien</v>
      </c>
      <c r="D954" s="20" t="str">
        <f t="array" ref="D954">xlookup($A954,product!$A:$A,product!D:D)</f>
        <v>Nettoyants multi-usages</v>
      </c>
      <c r="E954" s="4" t="str">
        <f t="shared" si="1"/>
        <v>122693-Entretien-Nettoyants multi-usages</v>
      </c>
      <c r="F954" s="4">
        <v>1.0</v>
      </c>
      <c r="G954" s="4">
        <v>390.0</v>
      </c>
      <c r="H954" s="4">
        <v>49.0</v>
      </c>
      <c r="I954" s="21">
        <f t="array" ref="I954">XLOOKUP($A954,product!A:A,product!E:E)</f>
        <v>2.79</v>
      </c>
      <c r="J954" s="4">
        <f t="shared" si="2"/>
        <v>136.71</v>
      </c>
      <c r="K954" s="22">
        <f t="shared" si="3"/>
        <v>1</v>
      </c>
      <c r="L954" s="4">
        <f t="shared" si="4"/>
        <v>1</v>
      </c>
    </row>
    <row r="955">
      <c r="A955" s="23">
        <v>20049.0</v>
      </c>
      <c r="B955" s="24" t="str">
        <f t="array" ref="B955">xlookup($A955,product!$A:$A,product!B:B)</f>
        <v>Maison</v>
      </c>
      <c r="C955" s="24" t="str">
        <f t="array" ref="C955">xlookup($A955,product!$A:$A,product!C:C)</f>
        <v>Entretien</v>
      </c>
      <c r="D955" s="24" t="str">
        <f t="array" ref="D955">xlookup($A955,product!$A:$A,product!D:D)</f>
        <v>Nettoyants multi-usages</v>
      </c>
      <c r="E955" s="25" t="str">
        <f t="shared" si="1"/>
        <v>20049-Entretien-Nettoyants multi-usages</v>
      </c>
      <c r="F955" s="25">
        <v>1.0</v>
      </c>
      <c r="G955" s="25">
        <v>922.0</v>
      </c>
      <c r="H955" s="25">
        <v>26.0</v>
      </c>
      <c r="I955" s="26">
        <f t="array" ref="I955">XLOOKUP($A955,product!A:A,product!E:E)</f>
        <v>2.02</v>
      </c>
      <c r="J955" s="25">
        <f t="shared" si="2"/>
        <v>52.52</v>
      </c>
      <c r="K955" s="27">
        <f t="shared" si="3"/>
        <v>1</v>
      </c>
      <c r="L955" s="25">
        <f t="shared" si="4"/>
        <v>1</v>
      </c>
    </row>
    <row r="956">
      <c r="A956" s="19">
        <v>20055.0</v>
      </c>
      <c r="B956" s="20" t="str">
        <f t="array" ref="B956">xlookup($A956,product!$A:$A,product!B:B)</f>
        <v>Maison</v>
      </c>
      <c r="C956" s="20" t="str">
        <f t="array" ref="C956">xlookup($A956,product!$A:$A,product!C:C)</f>
        <v>Entretien</v>
      </c>
      <c r="D956" s="20" t="str">
        <f t="array" ref="D956">xlookup($A956,product!$A:$A,product!D:D)</f>
        <v>Nettoyants multi-usages</v>
      </c>
      <c r="E956" s="4" t="str">
        <f t="shared" si="1"/>
        <v>20055-Entretien-Nettoyants multi-usages</v>
      </c>
      <c r="F956" s="4">
        <v>0.0</v>
      </c>
      <c r="G956" s="4">
        <v>294.0</v>
      </c>
      <c r="H956" s="4">
        <v>49.0</v>
      </c>
      <c r="I956" s="21">
        <f t="array" ref="I956">XLOOKUP($A956,product!A:A,product!E:E)</f>
        <v>1.52</v>
      </c>
      <c r="J956" s="4">
        <f t="shared" si="2"/>
        <v>74.48</v>
      </c>
      <c r="K956" s="22">
        <f t="shared" si="3"/>
        <v>1</v>
      </c>
      <c r="L956" s="4">
        <f t="shared" si="4"/>
        <v>1</v>
      </c>
    </row>
    <row r="957">
      <c r="A957" s="23">
        <v>112845.0</v>
      </c>
      <c r="B957" s="24" t="str">
        <f t="array" ref="B957">xlookup($A957,product!$A:$A,product!B:B)</f>
        <v>Maison</v>
      </c>
      <c r="C957" s="24" t="str">
        <f t="array" ref="C957">xlookup($A957,product!$A:$A,product!C:C)</f>
        <v>Entretien</v>
      </c>
      <c r="D957" s="24" t="str">
        <f t="array" ref="D957">xlookup($A957,product!$A:$A,product!D:D)</f>
        <v>Nettoyants multi-usages</v>
      </c>
      <c r="E957" s="25" t="str">
        <f t="shared" si="1"/>
        <v>112845-Entretien-Nettoyants multi-usages</v>
      </c>
      <c r="F957" s="25">
        <v>0.0</v>
      </c>
      <c r="G957" s="25">
        <v>757.0</v>
      </c>
      <c r="H957" s="25">
        <v>679.0</v>
      </c>
      <c r="I957" s="26">
        <f t="array" ref="I957">XLOOKUP($A957,product!A:A,product!E:E)</f>
        <v>2.1</v>
      </c>
      <c r="J957" s="25">
        <f t="shared" si="2"/>
        <v>1425.9</v>
      </c>
      <c r="K957" s="27">
        <f t="shared" si="3"/>
        <v>1</v>
      </c>
      <c r="L957" s="25">
        <f t="shared" si="4"/>
        <v>1</v>
      </c>
    </row>
    <row r="958">
      <c r="A958" s="19">
        <v>9490.0</v>
      </c>
      <c r="B958" s="20" t="str">
        <f t="array" ref="B958">xlookup($A958,product!$A:$A,product!B:B)</f>
        <v>Maison</v>
      </c>
      <c r="C958" s="20" t="str">
        <f t="array" ref="C958">xlookup($A958,product!$A:$A,product!C:C)</f>
        <v>Entretien</v>
      </c>
      <c r="D958" s="20" t="str">
        <f t="array" ref="D958">xlookup($A958,product!$A:$A,product!D:D)</f>
        <v>Nettoyants multi-usages</v>
      </c>
      <c r="E958" s="4" t="str">
        <f t="shared" si="1"/>
        <v>9490-Entretien-Nettoyants multi-usages</v>
      </c>
      <c r="F958" s="4">
        <v>1.0</v>
      </c>
      <c r="G958" s="4">
        <v>734.0</v>
      </c>
      <c r="H958" s="4">
        <v>359.0</v>
      </c>
      <c r="I958" s="21">
        <f t="array" ref="I958">XLOOKUP($A958,product!A:A,product!E:E)</f>
        <v>1.56</v>
      </c>
      <c r="J958" s="4">
        <f t="shared" si="2"/>
        <v>560.04</v>
      </c>
      <c r="K958" s="22">
        <f t="shared" si="3"/>
        <v>1</v>
      </c>
      <c r="L958" s="4">
        <f t="shared" si="4"/>
        <v>1</v>
      </c>
    </row>
    <row r="959">
      <c r="A959" s="23">
        <v>105034.0</v>
      </c>
      <c r="B959" s="24" t="str">
        <f t="array" ref="B959">xlookup($A959,product!$A:$A,product!B:B)</f>
        <v>Maison</v>
      </c>
      <c r="C959" s="24" t="str">
        <f t="array" ref="C959">xlookup($A959,product!$A:$A,product!C:C)</f>
        <v>Entretien</v>
      </c>
      <c r="D959" s="24" t="str">
        <f t="array" ref="D959">xlookup($A959,product!$A:$A,product!D:D)</f>
        <v>Nettoyants multi-usages</v>
      </c>
      <c r="E959" s="25" t="str">
        <f t="shared" si="1"/>
        <v>105034-Entretien-Nettoyants multi-usages</v>
      </c>
      <c r="F959" s="25">
        <v>1.0</v>
      </c>
      <c r="G959" s="25">
        <v>186.0</v>
      </c>
      <c r="H959" s="25">
        <v>66.0</v>
      </c>
      <c r="I959" s="26">
        <f t="array" ref="I959">XLOOKUP($A959,product!A:A,product!E:E)</f>
        <v>2.37</v>
      </c>
      <c r="J959" s="25">
        <f t="shared" si="2"/>
        <v>156.42</v>
      </c>
      <c r="K959" s="27">
        <f t="shared" si="3"/>
        <v>1</v>
      </c>
      <c r="L959" s="25">
        <f t="shared" si="4"/>
        <v>1</v>
      </c>
    </row>
    <row r="960">
      <c r="A960" s="19">
        <v>122680.0</v>
      </c>
      <c r="B960" s="20" t="str">
        <f t="array" ref="B960">xlookup($A960,product!$A:$A,product!B:B)</f>
        <v>Maison</v>
      </c>
      <c r="C960" s="20" t="str">
        <f t="array" ref="C960">xlookup($A960,product!$A:$A,product!C:C)</f>
        <v>Entretien</v>
      </c>
      <c r="D960" s="20" t="str">
        <f t="array" ref="D960">xlookup($A960,product!$A:$A,product!D:D)</f>
        <v>Nettoyants multi-usages</v>
      </c>
      <c r="E960" s="4" t="str">
        <f t="shared" si="1"/>
        <v>122680-Entretien-Nettoyants multi-usages</v>
      </c>
      <c r="F960" s="4">
        <v>0.0</v>
      </c>
      <c r="G960" s="4">
        <v>115.0</v>
      </c>
      <c r="H960" s="4">
        <v>25.0</v>
      </c>
      <c r="I960" s="21">
        <f t="array" ref="I960">XLOOKUP($A960,product!A:A,product!E:E)</f>
        <v>2.56</v>
      </c>
      <c r="J960" s="4">
        <f t="shared" si="2"/>
        <v>64</v>
      </c>
      <c r="K960" s="22">
        <f t="shared" si="3"/>
        <v>1</v>
      </c>
      <c r="L960" s="4">
        <f t="shared" si="4"/>
        <v>1</v>
      </c>
    </row>
    <row r="961">
      <c r="A961" s="23">
        <v>112846.0</v>
      </c>
      <c r="B961" s="24" t="str">
        <f t="array" ref="B961">xlookup($A961,product!$A:$A,product!B:B)</f>
        <v>Maison</v>
      </c>
      <c r="C961" s="24" t="str">
        <f t="array" ref="C961">xlookup($A961,product!$A:$A,product!C:C)</f>
        <v>Entretien</v>
      </c>
      <c r="D961" s="24" t="str">
        <f t="array" ref="D961">xlookup($A961,product!$A:$A,product!D:D)</f>
        <v>Nettoyants multi-usages</v>
      </c>
      <c r="E961" s="25" t="str">
        <f t="shared" si="1"/>
        <v>112846-Entretien-Nettoyants multi-usages</v>
      </c>
      <c r="F961" s="25">
        <v>1.0</v>
      </c>
      <c r="G961" s="25">
        <v>857.0</v>
      </c>
      <c r="H961" s="25">
        <v>117.0</v>
      </c>
      <c r="I961" s="26">
        <f t="array" ref="I961">XLOOKUP($A961,product!A:A,product!E:E)</f>
        <v>1.82</v>
      </c>
      <c r="J961" s="25">
        <f t="shared" si="2"/>
        <v>212.94</v>
      </c>
      <c r="K961" s="27">
        <f t="shared" si="3"/>
        <v>1</v>
      </c>
      <c r="L961" s="25">
        <f t="shared" si="4"/>
        <v>1</v>
      </c>
    </row>
    <row r="962">
      <c r="A962" s="19">
        <v>80816.0</v>
      </c>
      <c r="B962" s="20" t="str">
        <f t="array" ref="B962">xlookup($A962,product!$A:$A,product!B:B)</f>
        <v>Maison</v>
      </c>
      <c r="C962" s="20" t="str">
        <f t="array" ref="C962">xlookup($A962,product!$A:$A,product!C:C)</f>
        <v>Entretien</v>
      </c>
      <c r="D962" s="20" t="str">
        <f t="array" ref="D962">xlookup($A962,product!$A:$A,product!D:D)</f>
        <v>Nettoyants multi-usages</v>
      </c>
      <c r="E962" s="4" t="str">
        <f t="shared" si="1"/>
        <v>80816-Entretien-Nettoyants multi-usages</v>
      </c>
      <c r="F962" s="4">
        <v>1.0</v>
      </c>
      <c r="G962" s="4">
        <v>908.0</v>
      </c>
      <c r="H962" s="4">
        <v>681.0</v>
      </c>
      <c r="I962" s="21">
        <f t="array" ref="I962">XLOOKUP($A962,product!A:A,product!E:E)</f>
        <v>1.91</v>
      </c>
      <c r="J962" s="4">
        <f t="shared" si="2"/>
        <v>1300.71</v>
      </c>
      <c r="K962" s="22">
        <f t="shared" si="3"/>
        <v>1</v>
      </c>
      <c r="L962" s="4">
        <f t="shared" si="4"/>
        <v>1</v>
      </c>
    </row>
    <row r="963">
      <c r="A963" s="23">
        <v>44749.0</v>
      </c>
      <c r="B963" s="24" t="str">
        <f t="array" ref="B963">xlookup($A963,product!$A:$A,product!B:B)</f>
        <v>Maison</v>
      </c>
      <c r="C963" s="24" t="str">
        <f t="array" ref="C963">xlookup($A963,product!$A:$A,product!C:C)</f>
        <v>Entretien</v>
      </c>
      <c r="D963" s="24" t="str">
        <f t="array" ref="D963">xlookup($A963,product!$A:$A,product!D:D)</f>
        <v>Nettoyants multi-usages</v>
      </c>
      <c r="E963" s="25" t="str">
        <f t="shared" si="1"/>
        <v>44749-Entretien-Nettoyants multi-usages</v>
      </c>
      <c r="F963" s="25">
        <v>1.0</v>
      </c>
      <c r="G963" s="25">
        <v>257.0</v>
      </c>
      <c r="H963" s="25">
        <v>51.0</v>
      </c>
      <c r="I963" s="26">
        <f t="array" ref="I963">XLOOKUP($A963,product!A:A,product!E:E)</f>
        <v>3.94</v>
      </c>
      <c r="J963" s="25">
        <f t="shared" si="2"/>
        <v>200.94</v>
      </c>
      <c r="K963" s="27">
        <f t="shared" si="3"/>
        <v>1</v>
      </c>
      <c r="L963" s="25">
        <f t="shared" si="4"/>
        <v>1</v>
      </c>
    </row>
    <row r="964">
      <c r="A964" s="19">
        <v>79498.0</v>
      </c>
      <c r="B964" s="20" t="str">
        <f t="array" ref="B964">xlookup($A964,product!$A:$A,product!B:B)</f>
        <v>Maison</v>
      </c>
      <c r="C964" s="20" t="str">
        <f t="array" ref="C964">xlookup($A964,product!$A:$A,product!C:C)</f>
        <v>Entretien</v>
      </c>
      <c r="D964" s="20" t="str">
        <f t="array" ref="D964">xlookup($A964,product!$A:$A,product!D:D)</f>
        <v>Nettoyants multi-usages</v>
      </c>
      <c r="E964" s="4" t="str">
        <f t="shared" si="1"/>
        <v>79498-Entretien-Nettoyants multi-usages</v>
      </c>
      <c r="F964" s="4">
        <v>0.0</v>
      </c>
      <c r="G964" s="4">
        <v>194.0</v>
      </c>
      <c r="H964" s="4">
        <v>57.0</v>
      </c>
      <c r="I964" s="21">
        <f t="array" ref="I964">XLOOKUP($A964,product!A:A,product!E:E)</f>
        <v>5.1</v>
      </c>
      <c r="J964" s="4">
        <f t="shared" si="2"/>
        <v>290.7</v>
      </c>
      <c r="K964" s="22">
        <f t="shared" si="3"/>
        <v>1</v>
      </c>
      <c r="L964" s="4">
        <f t="shared" si="4"/>
        <v>1</v>
      </c>
    </row>
    <row r="965">
      <c r="A965" s="23">
        <v>2799.0</v>
      </c>
      <c r="B965" s="24" t="str">
        <f t="array" ref="B965">xlookup($A965,product!$A:$A,product!B:B)</f>
        <v>Maison</v>
      </c>
      <c r="C965" s="24" t="str">
        <f t="array" ref="C965">xlookup($A965,product!$A:$A,product!C:C)</f>
        <v>Entretien</v>
      </c>
      <c r="D965" s="24" t="str">
        <f t="array" ref="D965">xlookup($A965,product!$A:$A,product!D:D)</f>
        <v>Nettoyants multi-usages</v>
      </c>
      <c r="E965" s="25" t="str">
        <f t="shared" si="1"/>
        <v>2799-Entretien-Nettoyants multi-usages</v>
      </c>
      <c r="F965" s="25">
        <v>1.0</v>
      </c>
      <c r="G965" s="25">
        <v>578.0</v>
      </c>
      <c r="H965" s="25">
        <v>49.0</v>
      </c>
      <c r="I965" s="26">
        <f t="array" ref="I965">XLOOKUP($A965,product!A:A,product!E:E)</f>
        <v>4.87</v>
      </c>
      <c r="J965" s="25">
        <f t="shared" si="2"/>
        <v>238.63</v>
      </c>
      <c r="K965" s="27">
        <f t="shared" si="3"/>
        <v>1</v>
      </c>
      <c r="L965" s="25">
        <f t="shared" si="4"/>
        <v>1</v>
      </c>
    </row>
    <row r="966">
      <c r="A966" s="19">
        <v>194401.0</v>
      </c>
      <c r="B966" s="20" t="str">
        <f t="array" ref="B966">xlookup($A966,product!$A:$A,product!B:B)</f>
        <v>Maison</v>
      </c>
      <c r="C966" s="20" t="str">
        <f t="array" ref="C966">xlookup($A966,product!$A:$A,product!C:C)</f>
        <v>Entretien</v>
      </c>
      <c r="D966" s="20" t="str">
        <f t="array" ref="D966">xlookup($A966,product!$A:$A,product!D:D)</f>
        <v>Nettoyants multi-usages</v>
      </c>
      <c r="E966" s="4" t="str">
        <f t="shared" si="1"/>
        <v>194401-Entretien-Nettoyants multi-usages</v>
      </c>
      <c r="F966" s="4">
        <v>1.0</v>
      </c>
      <c r="G966" s="4">
        <v>880.0</v>
      </c>
      <c r="H966" s="4">
        <v>459.0</v>
      </c>
      <c r="I966" s="21">
        <f t="array" ref="I966">XLOOKUP($A966,product!A:A,product!E:E)</f>
        <v>2.35</v>
      </c>
      <c r="J966" s="4">
        <f t="shared" si="2"/>
        <v>1078.65</v>
      </c>
      <c r="K966" s="22">
        <f t="shared" si="3"/>
        <v>1</v>
      </c>
      <c r="L966" s="4">
        <f t="shared" si="4"/>
        <v>1</v>
      </c>
    </row>
    <row r="967">
      <c r="A967" s="23">
        <v>5291.0</v>
      </c>
      <c r="B967" s="24" t="str">
        <f t="array" ref="B967">xlookup($A967,product!$A:$A,product!B:B)</f>
        <v>Maison</v>
      </c>
      <c r="C967" s="24" t="str">
        <f t="array" ref="C967">xlookup($A967,product!$A:$A,product!C:C)</f>
        <v>Entretien</v>
      </c>
      <c r="D967" s="24" t="str">
        <f t="array" ref="D967">xlookup($A967,product!$A:$A,product!D:D)</f>
        <v>Nettoyants multi-usages</v>
      </c>
      <c r="E967" s="25" t="str">
        <f t="shared" si="1"/>
        <v>5291-Entretien-Nettoyants multi-usages</v>
      </c>
      <c r="F967" s="25">
        <v>0.0</v>
      </c>
      <c r="G967" s="25">
        <v>711.0</v>
      </c>
      <c r="H967" s="25">
        <v>385.0</v>
      </c>
      <c r="I967" s="26">
        <f t="array" ref="I967">XLOOKUP($A967,product!A:A,product!E:E)</f>
        <v>2.17</v>
      </c>
      <c r="J967" s="25">
        <f t="shared" si="2"/>
        <v>835.45</v>
      </c>
      <c r="K967" s="27">
        <f t="shared" si="3"/>
        <v>1</v>
      </c>
      <c r="L967" s="25">
        <f t="shared" si="4"/>
        <v>1</v>
      </c>
    </row>
    <row r="968">
      <c r="A968" s="19">
        <v>2796.0</v>
      </c>
      <c r="B968" s="20" t="str">
        <f t="array" ref="B968">xlookup($A968,product!$A:$A,product!B:B)</f>
        <v>Maison</v>
      </c>
      <c r="C968" s="20" t="str">
        <f t="array" ref="C968">xlookup($A968,product!$A:$A,product!C:C)</f>
        <v>Entretien</v>
      </c>
      <c r="D968" s="20" t="str">
        <f t="array" ref="D968">xlookup($A968,product!$A:$A,product!D:D)</f>
        <v>Nettoyants multi-usages</v>
      </c>
      <c r="E968" s="4" t="str">
        <f t="shared" si="1"/>
        <v>2796-Entretien-Nettoyants multi-usages</v>
      </c>
      <c r="F968" s="4">
        <v>1.0</v>
      </c>
      <c r="G968" s="4">
        <v>806.0</v>
      </c>
      <c r="H968" s="4">
        <v>419.0</v>
      </c>
      <c r="I968" s="21">
        <f t="array" ref="I968">XLOOKUP($A968,product!A:A,product!E:E)</f>
        <v>2.8</v>
      </c>
      <c r="J968" s="4">
        <f t="shared" si="2"/>
        <v>1173.2</v>
      </c>
      <c r="K968" s="22">
        <f t="shared" si="3"/>
        <v>1</v>
      </c>
      <c r="L968" s="4">
        <f t="shared" si="4"/>
        <v>1</v>
      </c>
    </row>
    <row r="969">
      <c r="A969" s="23">
        <v>71325.0</v>
      </c>
      <c r="B969" s="24" t="str">
        <f t="array" ref="B969">xlookup($A969,product!$A:$A,product!B:B)</f>
        <v>Maison</v>
      </c>
      <c r="C969" s="24" t="str">
        <f t="array" ref="C969">xlookup($A969,product!$A:$A,product!C:C)</f>
        <v>Entretien</v>
      </c>
      <c r="D969" s="24" t="str">
        <f t="array" ref="D969">xlookup($A969,product!$A:$A,product!D:D)</f>
        <v>Nettoyants multi-usages</v>
      </c>
      <c r="E969" s="25" t="str">
        <f t="shared" si="1"/>
        <v>71325-Entretien-Nettoyants multi-usages</v>
      </c>
      <c r="F969" s="25">
        <v>1.0</v>
      </c>
      <c r="G969" s="25">
        <v>349.0</v>
      </c>
      <c r="H969" s="25">
        <v>335.0</v>
      </c>
      <c r="I969" s="26">
        <f t="array" ref="I969">XLOOKUP($A969,product!A:A,product!E:E)</f>
        <v>11.38</v>
      </c>
      <c r="J969" s="25">
        <f t="shared" si="2"/>
        <v>3812.3</v>
      </c>
      <c r="K969" s="27">
        <f t="shared" si="3"/>
        <v>1</v>
      </c>
      <c r="L969" s="25">
        <f t="shared" si="4"/>
        <v>1</v>
      </c>
    </row>
    <row r="970">
      <c r="A970" s="19">
        <v>2793.0</v>
      </c>
      <c r="B970" s="20" t="str">
        <f t="array" ref="B970">xlookup($A970,product!$A:$A,product!B:B)</f>
        <v>Maison</v>
      </c>
      <c r="C970" s="20" t="str">
        <f t="array" ref="C970">xlookup($A970,product!$A:$A,product!C:C)</f>
        <v>Entretien</v>
      </c>
      <c r="D970" s="20" t="str">
        <f t="array" ref="D970">xlookup($A970,product!$A:$A,product!D:D)</f>
        <v>Nettoyants multi-usages</v>
      </c>
      <c r="E970" s="4" t="str">
        <f t="shared" si="1"/>
        <v>2793-Entretien-Nettoyants multi-usages</v>
      </c>
      <c r="F970" s="4">
        <v>0.0</v>
      </c>
      <c r="G970" s="4">
        <v>70.0</v>
      </c>
      <c r="H970" s="4">
        <v>25.0</v>
      </c>
      <c r="I970" s="21">
        <f t="array" ref="I970">XLOOKUP($A970,product!A:A,product!E:E)</f>
        <v>2.56</v>
      </c>
      <c r="J970" s="4">
        <f t="shared" si="2"/>
        <v>64</v>
      </c>
      <c r="K970" s="22">
        <f t="shared" si="3"/>
        <v>1</v>
      </c>
      <c r="L970" s="4">
        <f t="shared" si="4"/>
        <v>1</v>
      </c>
    </row>
    <row r="971">
      <c r="A971" s="23">
        <v>102781.0</v>
      </c>
      <c r="B971" s="24" t="str">
        <f t="array" ref="B971">xlookup($A971,product!$A:$A,product!B:B)</f>
        <v>Maison</v>
      </c>
      <c r="C971" s="24" t="str">
        <f t="array" ref="C971">xlookup($A971,product!$A:$A,product!C:C)</f>
        <v>Entretien</v>
      </c>
      <c r="D971" s="24" t="str">
        <f t="array" ref="D971">xlookup($A971,product!$A:$A,product!D:D)</f>
        <v>Nettoyants multi-usages</v>
      </c>
      <c r="E971" s="25" t="str">
        <f t="shared" si="1"/>
        <v>102781-Entretien-Nettoyants multi-usages</v>
      </c>
      <c r="F971" s="25">
        <v>1.0</v>
      </c>
      <c r="G971" s="25">
        <v>866.0</v>
      </c>
      <c r="H971" s="25">
        <v>807.0</v>
      </c>
      <c r="I971" s="26">
        <f t="array" ref="I971">XLOOKUP($A971,product!A:A,product!E:E)</f>
        <v>2.99</v>
      </c>
      <c r="J971" s="25">
        <f t="shared" si="2"/>
        <v>2412.93</v>
      </c>
      <c r="K971" s="27">
        <f t="shared" si="3"/>
        <v>1</v>
      </c>
      <c r="L971" s="25">
        <f t="shared" si="4"/>
        <v>1</v>
      </c>
    </row>
    <row r="972">
      <c r="A972" s="19">
        <v>109201.0</v>
      </c>
      <c r="B972" s="20" t="str">
        <f t="array" ref="B972">xlookup($A972,product!$A:$A,product!B:B)</f>
        <v>Maison</v>
      </c>
      <c r="C972" s="20" t="str">
        <f t="array" ref="C972">xlookup($A972,product!$A:$A,product!C:C)</f>
        <v>Entretien</v>
      </c>
      <c r="D972" s="20" t="str">
        <f t="array" ref="D972">xlookup($A972,product!$A:$A,product!D:D)</f>
        <v>Nettoyants multi-usages</v>
      </c>
      <c r="E972" s="4" t="str">
        <f t="shared" si="1"/>
        <v>109201-Entretien-Nettoyants multi-usages</v>
      </c>
      <c r="F972" s="4">
        <v>1.0</v>
      </c>
      <c r="G972" s="4">
        <v>493.0</v>
      </c>
      <c r="H972" s="4">
        <v>304.0</v>
      </c>
      <c r="I972" s="21">
        <f t="array" ref="I972">XLOOKUP($A972,product!A:A,product!E:E)</f>
        <v>2.26</v>
      </c>
      <c r="J972" s="4">
        <f t="shared" si="2"/>
        <v>687.04</v>
      </c>
      <c r="K972" s="22">
        <f t="shared" si="3"/>
        <v>1</v>
      </c>
      <c r="L972" s="4">
        <f t="shared" si="4"/>
        <v>1</v>
      </c>
    </row>
    <row r="973">
      <c r="A973" s="23">
        <v>72814.0</v>
      </c>
      <c r="B973" s="24" t="str">
        <f t="array" ref="B973">xlookup($A973,product!$A:$A,product!B:B)</f>
        <v>Maison</v>
      </c>
      <c r="C973" s="24" t="str">
        <f t="array" ref="C973">xlookup($A973,product!$A:$A,product!C:C)</f>
        <v>Entretien</v>
      </c>
      <c r="D973" s="24" t="str">
        <f t="array" ref="D973">xlookup($A973,product!$A:$A,product!D:D)</f>
        <v>Nettoyants multi-usages</v>
      </c>
      <c r="E973" s="25" t="str">
        <f t="shared" si="1"/>
        <v>72814-Entretien-Nettoyants multi-usages</v>
      </c>
      <c r="F973" s="25">
        <v>0.0</v>
      </c>
      <c r="G973" s="25">
        <v>862.0</v>
      </c>
      <c r="H973" s="25">
        <v>580.0</v>
      </c>
      <c r="I973" s="26">
        <f t="array" ref="I973">XLOOKUP($A973,product!A:A,product!E:E)</f>
        <v>2.29</v>
      </c>
      <c r="J973" s="25">
        <f t="shared" si="2"/>
        <v>1328.2</v>
      </c>
      <c r="K973" s="27">
        <f t="shared" si="3"/>
        <v>1</v>
      </c>
      <c r="L973" s="25">
        <f t="shared" si="4"/>
        <v>1</v>
      </c>
    </row>
    <row r="974">
      <c r="A974" s="19">
        <v>122351.0</v>
      </c>
      <c r="B974" s="20" t="str">
        <f t="array" ref="B974">xlookup($A974,product!$A:$A,product!B:B)</f>
        <v>Maison</v>
      </c>
      <c r="C974" s="20" t="str">
        <f t="array" ref="C974">xlookup($A974,product!$A:$A,product!C:C)</f>
        <v>Entretien</v>
      </c>
      <c r="D974" s="20" t="str">
        <f t="array" ref="D974">xlookup($A974,product!$A:$A,product!D:D)</f>
        <v>Nettoyants multi-usages</v>
      </c>
      <c r="E974" s="4" t="str">
        <f t="shared" si="1"/>
        <v>122351-Entretien-Nettoyants multi-usages</v>
      </c>
      <c r="F974" s="4">
        <v>1.0</v>
      </c>
      <c r="G974" s="4">
        <v>218.0</v>
      </c>
      <c r="H974" s="4">
        <v>188.0</v>
      </c>
      <c r="I974" s="21">
        <f t="array" ref="I974">XLOOKUP($A974,product!A:A,product!E:E)</f>
        <v>2.42</v>
      </c>
      <c r="J974" s="4">
        <f t="shared" si="2"/>
        <v>454.96</v>
      </c>
      <c r="K974" s="22">
        <f t="shared" si="3"/>
        <v>1</v>
      </c>
      <c r="L974" s="4">
        <f t="shared" si="4"/>
        <v>1</v>
      </c>
    </row>
    <row r="975">
      <c r="A975" s="23">
        <v>99298.0</v>
      </c>
      <c r="B975" s="24" t="str">
        <f t="array" ref="B975">xlookup($A975,product!$A:$A,product!B:B)</f>
        <v>Maison</v>
      </c>
      <c r="C975" s="24" t="str">
        <f t="array" ref="C975">xlookup($A975,product!$A:$A,product!C:C)</f>
        <v>Entretien</v>
      </c>
      <c r="D975" s="24" t="str">
        <f t="array" ref="D975">xlookup($A975,product!$A:$A,product!D:D)</f>
        <v>Nettoyants multi-usages</v>
      </c>
      <c r="E975" s="25" t="str">
        <f t="shared" si="1"/>
        <v>99298-Entretien-Nettoyants multi-usages</v>
      </c>
      <c r="F975" s="25">
        <v>0.0</v>
      </c>
      <c r="G975" s="25">
        <v>680.0</v>
      </c>
      <c r="H975" s="25">
        <v>91.0</v>
      </c>
      <c r="I975" s="26">
        <f t="array" ref="I975">XLOOKUP($A975,product!A:A,product!E:E)</f>
        <v>4.97</v>
      </c>
      <c r="J975" s="25">
        <f t="shared" si="2"/>
        <v>452.27</v>
      </c>
      <c r="K975" s="27">
        <f t="shared" si="3"/>
        <v>1</v>
      </c>
      <c r="L975" s="25">
        <f t="shared" si="4"/>
        <v>1</v>
      </c>
    </row>
    <row r="976">
      <c r="A976" s="19">
        <v>3731.0</v>
      </c>
      <c r="B976" s="20" t="str">
        <f t="array" ref="B976">xlookup($A976,product!$A:$A,product!B:B)</f>
        <v>Maison</v>
      </c>
      <c r="C976" s="20" t="str">
        <f t="array" ref="C976">xlookup($A976,product!$A:$A,product!C:C)</f>
        <v>Entretien</v>
      </c>
      <c r="D976" s="20" t="str">
        <f t="array" ref="D976">xlookup($A976,product!$A:$A,product!D:D)</f>
        <v>Nettoyants multi-usages</v>
      </c>
      <c r="E976" s="4" t="str">
        <f t="shared" si="1"/>
        <v>3731-Entretien-Nettoyants multi-usages</v>
      </c>
      <c r="F976" s="4">
        <v>0.0</v>
      </c>
      <c r="G976" s="4">
        <v>608.0</v>
      </c>
      <c r="H976" s="4">
        <v>23.0</v>
      </c>
      <c r="I976" s="21">
        <f t="array" ref="I976">XLOOKUP($A976,product!A:A,product!E:E)</f>
        <v>1.69</v>
      </c>
      <c r="J976" s="4">
        <f t="shared" si="2"/>
        <v>38.87</v>
      </c>
      <c r="K976" s="22">
        <f t="shared" si="3"/>
        <v>1</v>
      </c>
      <c r="L976" s="4">
        <f t="shared" si="4"/>
        <v>1</v>
      </c>
    </row>
    <row r="977">
      <c r="A977" s="23">
        <v>11489.0</v>
      </c>
      <c r="B977" s="24" t="str">
        <f t="array" ref="B977">xlookup($A977,product!$A:$A,product!B:B)</f>
        <v>Maison</v>
      </c>
      <c r="C977" s="24" t="str">
        <f t="array" ref="C977">xlookup($A977,product!$A:$A,product!C:C)</f>
        <v>Entretien</v>
      </c>
      <c r="D977" s="24" t="str">
        <f t="array" ref="D977">xlookup($A977,product!$A:$A,product!D:D)</f>
        <v>Nettoyants multi-usages</v>
      </c>
      <c r="E977" s="25" t="str">
        <f t="shared" si="1"/>
        <v>11489-Entretien-Nettoyants multi-usages</v>
      </c>
      <c r="F977" s="25">
        <v>0.0</v>
      </c>
      <c r="G977" s="25">
        <v>397.0</v>
      </c>
      <c r="H977" s="25">
        <v>193.0</v>
      </c>
      <c r="I977" s="26">
        <f t="array" ref="I977">XLOOKUP($A977,product!A:A,product!E:E)</f>
        <v>1.74</v>
      </c>
      <c r="J977" s="25">
        <f t="shared" si="2"/>
        <v>335.82</v>
      </c>
      <c r="K977" s="27">
        <f t="shared" si="3"/>
        <v>1</v>
      </c>
      <c r="L977" s="25">
        <f t="shared" si="4"/>
        <v>1</v>
      </c>
    </row>
    <row r="978">
      <c r="A978" s="19">
        <v>122302.0</v>
      </c>
      <c r="B978" s="20" t="str">
        <f t="array" ref="B978">xlookup($A978,product!$A:$A,product!B:B)</f>
        <v>Maison</v>
      </c>
      <c r="C978" s="20" t="str">
        <f t="array" ref="C978">xlookup($A978,product!$A:$A,product!C:C)</f>
        <v>Entretien</v>
      </c>
      <c r="D978" s="20" t="str">
        <f t="array" ref="D978">xlookup($A978,product!$A:$A,product!D:D)</f>
        <v>Nettoyants multi-usages</v>
      </c>
      <c r="E978" s="4" t="str">
        <f t="shared" si="1"/>
        <v>122302-Entretien-Nettoyants multi-usages</v>
      </c>
      <c r="F978" s="4">
        <v>0.0</v>
      </c>
      <c r="G978" s="4">
        <v>57.0</v>
      </c>
      <c r="H978" s="4">
        <v>48.0</v>
      </c>
      <c r="I978" s="21">
        <f t="array" ref="I978">XLOOKUP($A978,product!A:A,product!E:E)</f>
        <v>10.62</v>
      </c>
      <c r="J978" s="4">
        <f t="shared" si="2"/>
        <v>509.76</v>
      </c>
      <c r="K978" s="22">
        <f t="shared" si="3"/>
        <v>1</v>
      </c>
      <c r="L978" s="4">
        <f t="shared" si="4"/>
        <v>1</v>
      </c>
    </row>
    <row r="979">
      <c r="A979" s="23">
        <v>28838.0</v>
      </c>
      <c r="B979" s="24" t="str">
        <f t="array" ref="B979">xlookup($A979,product!$A:$A,product!B:B)</f>
        <v>Maison</v>
      </c>
      <c r="C979" s="24" t="str">
        <f t="array" ref="C979">xlookup($A979,product!$A:$A,product!C:C)</f>
        <v>Entretien</v>
      </c>
      <c r="D979" s="24" t="str">
        <f t="array" ref="D979">xlookup($A979,product!$A:$A,product!D:D)</f>
        <v>Nettoyants multi-usages</v>
      </c>
      <c r="E979" s="25" t="str">
        <f t="shared" si="1"/>
        <v>28838-Entretien-Nettoyants multi-usages</v>
      </c>
      <c r="F979" s="25">
        <v>0.0</v>
      </c>
      <c r="G979" s="25">
        <v>413.0</v>
      </c>
      <c r="H979" s="25">
        <v>249.0</v>
      </c>
      <c r="I979" s="26">
        <f t="array" ref="I979">XLOOKUP($A979,product!A:A,product!E:E)</f>
        <v>5.16</v>
      </c>
      <c r="J979" s="25">
        <f t="shared" si="2"/>
        <v>1284.84</v>
      </c>
      <c r="K979" s="27">
        <f t="shared" si="3"/>
        <v>1</v>
      </c>
      <c r="L979" s="25">
        <f t="shared" si="4"/>
        <v>1</v>
      </c>
    </row>
    <row r="980">
      <c r="A980" s="19">
        <v>72843.0</v>
      </c>
      <c r="B980" s="20" t="str">
        <f t="array" ref="B980">xlookup($A980,product!$A:$A,product!B:B)</f>
        <v>Maison</v>
      </c>
      <c r="C980" s="20" t="str">
        <f t="array" ref="C980">xlookup($A980,product!$A:$A,product!C:C)</f>
        <v>Entretien</v>
      </c>
      <c r="D980" s="20" t="str">
        <f t="array" ref="D980">xlookup($A980,product!$A:$A,product!D:D)</f>
        <v>Nettoyants multi-usages</v>
      </c>
      <c r="E980" s="4" t="str">
        <f t="shared" si="1"/>
        <v>72843-Entretien-Nettoyants multi-usages</v>
      </c>
      <c r="F980" s="4">
        <v>1.0</v>
      </c>
      <c r="G980" s="4">
        <v>964.0</v>
      </c>
      <c r="H980" s="4">
        <v>563.0</v>
      </c>
      <c r="I980" s="21">
        <f t="array" ref="I980">XLOOKUP($A980,product!A:A,product!E:E)</f>
        <v>3.25</v>
      </c>
      <c r="J980" s="4">
        <f t="shared" si="2"/>
        <v>1829.75</v>
      </c>
      <c r="K980" s="22">
        <f t="shared" si="3"/>
        <v>1</v>
      </c>
      <c r="L980" s="4">
        <f t="shared" si="4"/>
        <v>1</v>
      </c>
    </row>
    <row r="981">
      <c r="A981" s="23">
        <v>80809.0</v>
      </c>
      <c r="B981" s="24" t="str">
        <f t="array" ref="B981">xlookup($A981,product!$A:$A,product!B:B)</f>
        <v>Maison</v>
      </c>
      <c r="C981" s="24" t="str">
        <f t="array" ref="C981">xlookup($A981,product!$A:$A,product!C:C)</f>
        <v>Entretien</v>
      </c>
      <c r="D981" s="24" t="str">
        <f t="array" ref="D981">xlookup($A981,product!$A:$A,product!D:D)</f>
        <v>Nettoyants multi-usages</v>
      </c>
      <c r="E981" s="25" t="str">
        <f t="shared" si="1"/>
        <v>80809-Entretien-Nettoyants multi-usages</v>
      </c>
      <c r="F981" s="25">
        <v>0.0</v>
      </c>
      <c r="G981" s="25">
        <v>541.0</v>
      </c>
      <c r="H981" s="25">
        <v>20.0</v>
      </c>
      <c r="I981" s="26">
        <f t="array" ref="I981">XLOOKUP($A981,product!A:A,product!E:E)</f>
        <v>1.25</v>
      </c>
      <c r="J981" s="25">
        <f t="shared" si="2"/>
        <v>25</v>
      </c>
      <c r="K981" s="27">
        <f t="shared" si="3"/>
        <v>1</v>
      </c>
      <c r="L981" s="25">
        <f t="shared" si="4"/>
        <v>1</v>
      </c>
    </row>
    <row r="982">
      <c r="A982" s="19">
        <v>127006.0</v>
      </c>
      <c r="B982" s="20" t="str">
        <f t="array" ref="B982">xlookup($A982,product!$A:$A,product!B:B)</f>
        <v>Beauté &amp; Hygiène</v>
      </c>
      <c r="C982" s="20" t="str">
        <f t="array" ref="C982">xlookup($A982,product!$A:$A,product!C:C)</f>
        <v>Epilation</v>
      </c>
      <c r="D982" s="20" t="str">
        <f t="array" ref="D982">xlookup($A982,product!$A:$A,product!D:D)</f>
        <v>Soins épilation</v>
      </c>
      <c r="E982" s="4" t="str">
        <f t="shared" si="1"/>
        <v>127006-Epilation-Soins épilation</v>
      </c>
      <c r="F982" s="4">
        <v>1.0</v>
      </c>
      <c r="G982" s="4">
        <v>611.0</v>
      </c>
      <c r="H982" s="4">
        <v>179.0</v>
      </c>
      <c r="I982" s="21">
        <f t="array" ref="I982">XLOOKUP($A982,product!A:A,product!E:E)</f>
        <v>3.45</v>
      </c>
      <c r="J982" s="4">
        <f t="shared" si="2"/>
        <v>617.55</v>
      </c>
      <c r="K982" s="22">
        <f t="shared" si="3"/>
        <v>1</v>
      </c>
      <c r="L982" s="4">
        <f t="shared" si="4"/>
        <v>1</v>
      </c>
    </row>
    <row r="983">
      <c r="A983" s="23">
        <v>82448.0</v>
      </c>
      <c r="B983" s="24" t="str">
        <f t="array" ref="B983">xlookup($A983,product!$A:$A,product!B:B)</f>
        <v>Beauté &amp; Hygiène</v>
      </c>
      <c r="C983" s="24" t="str">
        <f t="array" ref="C983">xlookup($A983,product!$A:$A,product!C:C)</f>
        <v>Epilation</v>
      </c>
      <c r="D983" s="24" t="str">
        <f t="array" ref="D983">xlookup($A983,product!$A:$A,product!D:D)</f>
        <v>Soins épilation</v>
      </c>
      <c r="E983" s="25" t="str">
        <f t="shared" si="1"/>
        <v>82448-Epilation-Soins épilation</v>
      </c>
      <c r="F983" s="25">
        <v>1.0</v>
      </c>
      <c r="G983" s="25">
        <v>909.0</v>
      </c>
      <c r="H983" s="25">
        <v>866.0</v>
      </c>
      <c r="I983" s="26">
        <f t="array" ref="I983">XLOOKUP($A983,product!A:A,product!E:E)</f>
        <v>3.26</v>
      </c>
      <c r="J983" s="25">
        <f t="shared" si="2"/>
        <v>2823.16</v>
      </c>
      <c r="K983" s="27">
        <f t="shared" si="3"/>
        <v>1</v>
      </c>
      <c r="L983" s="25">
        <f t="shared" si="4"/>
        <v>1</v>
      </c>
    </row>
    <row r="984">
      <c r="A984" s="19">
        <v>13028.0</v>
      </c>
      <c r="B984" s="20" t="str">
        <f t="array" ref="B984">xlookup($A984,product!$A:$A,product!B:B)</f>
        <v>Beauté &amp; Hygiène</v>
      </c>
      <c r="C984" s="20" t="str">
        <f t="array" ref="C984">xlookup($A984,product!$A:$A,product!C:C)</f>
        <v>Epilation</v>
      </c>
      <c r="D984" s="20" t="str">
        <f t="array" ref="D984">xlookup($A984,product!$A:$A,product!D:D)</f>
        <v>Soins épilation</v>
      </c>
      <c r="E984" s="4" t="str">
        <f t="shared" si="1"/>
        <v>13028-Epilation-Soins épilation</v>
      </c>
      <c r="F984" s="4">
        <v>1.0</v>
      </c>
      <c r="G984" s="4">
        <v>836.0</v>
      </c>
      <c r="H984" s="4">
        <v>649.0</v>
      </c>
      <c r="I984" s="21">
        <f t="array" ref="I984">XLOOKUP($A984,product!A:A,product!E:E)</f>
        <v>5.23</v>
      </c>
      <c r="J984" s="4">
        <f t="shared" si="2"/>
        <v>3394.27</v>
      </c>
      <c r="K984" s="22">
        <f t="shared" si="3"/>
        <v>1</v>
      </c>
      <c r="L984" s="4">
        <f t="shared" si="4"/>
        <v>1</v>
      </c>
    </row>
    <row r="985">
      <c r="A985" s="23">
        <v>118577.0</v>
      </c>
      <c r="B985" s="24" t="str">
        <f t="array" ref="B985">xlookup($A985,product!$A:$A,product!B:B)</f>
        <v>Beauté &amp; Hygiène</v>
      </c>
      <c r="C985" s="24" t="str">
        <f t="array" ref="C985">xlookup($A985,product!$A:$A,product!C:C)</f>
        <v>Epilation</v>
      </c>
      <c r="D985" s="24" t="str">
        <f t="array" ref="D985">xlookup($A985,product!$A:$A,product!D:D)</f>
        <v>Cires épilatoires</v>
      </c>
      <c r="E985" s="25" t="str">
        <f t="shared" si="1"/>
        <v>118577-Epilation-Cires épilatoires</v>
      </c>
      <c r="F985" s="25">
        <v>0.0</v>
      </c>
      <c r="G985" s="25">
        <v>963.0</v>
      </c>
      <c r="H985" s="25">
        <v>775.0</v>
      </c>
      <c r="I985" s="26">
        <f t="array" ref="I985">XLOOKUP($A985,product!A:A,product!E:E)</f>
        <v>3.91</v>
      </c>
      <c r="J985" s="25">
        <f t="shared" si="2"/>
        <v>3030.25</v>
      </c>
      <c r="K985" s="27">
        <f t="shared" si="3"/>
        <v>1</v>
      </c>
      <c r="L985" s="25">
        <f t="shared" si="4"/>
        <v>1</v>
      </c>
    </row>
    <row r="986">
      <c r="A986" s="19">
        <v>117890.0</v>
      </c>
      <c r="B986" s="20" t="str">
        <f t="array" ref="B986">xlookup($A986,product!$A:$A,product!B:B)</f>
        <v>Beauté &amp; Hygiène</v>
      </c>
      <c r="C986" s="20" t="str">
        <f t="array" ref="C986">xlookup($A986,product!$A:$A,product!C:C)</f>
        <v>Epilation</v>
      </c>
      <c r="D986" s="20" t="str">
        <f t="array" ref="D986">xlookup($A986,product!$A:$A,product!D:D)</f>
        <v>Cires épilatoires</v>
      </c>
      <c r="E986" s="4" t="str">
        <f t="shared" si="1"/>
        <v>117890-Epilation-Cires épilatoires</v>
      </c>
      <c r="F986" s="4">
        <v>1.0</v>
      </c>
      <c r="G986" s="4">
        <v>449.0</v>
      </c>
      <c r="H986" s="4">
        <v>448.0</v>
      </c>
      <c r="I986" s="21">
        <f t="array" ref="I986">XLOOKUP($A986,product!A:A,product!E:E)</f>
        <v>4.92</v>
      </c>
      <c r="J986" s="4">
        <f t="shared" si="2"/>
        <v>2204.16</v>
      </c>
      <c r="K986" s="22">
        <f t="shared" si="3"/>
        <v>1</v>
      </c>
      <c r="L986" s="4">
        <f t="shared" si="4"/>
        <v>1</v>
      </c>
    </row>
    <row r="987">
      <c r="A987" s="23">
        <v>118617.0</v>
      </c>
      <c r="B987" s="24" t="str">
        <f t="array" ref="B987">xlookup($A987,product!$A:$A,product!B:B)</f>
        <v>Beauté &amp; Hygiène</v>
      </c>
      <c r="C987" s="24" t="str">
        <f t="array" ref="C987">xlookup($A987,product!$A:$A,product!C:C)</f>
        <v>Epilation</v>
      </c>
      <c r="D987" s="24" t="str">
        <f t="array" ref="D987">xlookup($A987,product!$A:$A,product!D:D)</f>
        <v>Cires épilatoires</v>
      </c>
      <c r="E987" s="25" t="str">
        <f t="shared" si="1"/>
        <v>118617-Epilation-Cires épilatoires</v>
      </c>
      <c r="F987" s="25">
        <v>1.0</v>
      </c>
      <c r="G987" s="25">
        <v>377.0</v>
      </c>
      <c r="H987" s="25">
        <v>90.0</v>
      </c>
      <c r="I987" s="26">
        <f t="array" ref="I987">XLOOKUP($A987,product!A:A,product!E:E)</f>
        <v>3.91</v>
      </c>
      <c r="J987" s="25">
        <f t="shared" si="2"/>
        <v>351.9</v>
      </c>
      <c r="K987" s="27">
        <f t="shared" si="3"/>
        <v>1</v>
      </c>
      <c r="L987" s="25">
        <f t="shared" si="4"/>
        <v>1</v>
      </c>
    </row>
    <row r="988">
      <c r="A988" s="19">
        <v>109995.0</v>
      </c>
      <c r="B988" s="20" t="str">
        <f t="array" ref="B988">xlookup($A988,product!$A:$A,product!B:B)</f>
        <v>Beauté &amp; Hygiène</v>
      </c>
      <c r="C988" s="20" t="str">
        <f t="array" ref="C988">xlookup($A988,product!$A:$A,product!C:C)</f>
        <v>Epilation</v>
      </c>
      <c r="D988" s="20" t="str">
        <f t="array" ref="D988">xlookup($A988,product!$A:$A,product!D:D)</f>
        <v>Crèmes dépilatoires</v>
      </c>
      <c r="E988" s="4" t="str">
        <f t="shared" si="1"/>
        <v>109995-Epilation-Crèmes dépilatoires</v>
      </c>
      <c r="F988" s="4">
        <v>0.0</v>
      </c>
      <c r="G988" s="4">
        <v>413.0</v>
      </c>
      <c r="H988" s="4">
        <v>195.0</v>
      </c>
      <c r="I988" s="21">
        <f t="array" ref="I988">XLOOKUP($A988,product!A:A,product!E:E)</f>
        <v>5.68</v>
      </c>
      <c r="J988" s="4">
        <f t="shared" si="2"/>
        <v>1107.6</v>
      </c>
      <c r="K988" s="22">
        <f t="shared" si="3"/>
        <v>1</v>
      </c>
      <c r="L988" s="4">
        <f t="shared" si="4"/>
        <v>1</v>
      </c>
    </row>
    <row r="989">
      <c r="A989" s="23">
        <v>109996.0</v>
      </c>
      <c r="B989" s="24" t="str">
        <f t="array" ref="B989">xlookup($A989,product!$A:$A,product!B:B)</f>
        <v>Beauté &amp; Hygiène</v>
      </c>
      <c r="C989" s="24" t="str">
        <f t="array" ref="C989">xlookup($A989,product!$A:$A,product!C:C)</f>
        <v>Epilation</v>
      </c>
      <c r="D989" s="24" t="str">
        <f t="array" ref="D989">xlookup($A989,product!$A:$A,product!D:D)</f>
        <v>Crèmes dépilatoires</v>
      </c>
      <c r="E989" s="25" t="str">
        <f t="shared" si="1"/>
        <v>109996-Epilation-Crèmes dépilatoires</v>
      </c>
      <c r="F989" s="25">
        <v>0.0</v>
      </c>
      <c r="G989" s="25">
        <v>0.0</v>
      </c>
      <c r="H989" s="25">
        <v>0.0</v>
      </c>
      <c r="I989" s="26">
        <f t="array" ref="I989">XLOOKUP($A989,product!A:A,product!E:E)</f>
        <v>5.93</v>
      </c>
      <c r="J989" s="25">
        <f t="shared" si="2"/>
        <v>0</v>
      </c>
      <c r="K989" s="27">
        <f t="shared" si="3"/>
        <v>0</v>
      </c>
      <c r="L989" s="25">
        <f t="shared" si="4"/>
        <v>1</v>
      </c>
    </row>
    <row r="990">
      <c r="A990" s="19">
        <v>49107.0</v>
      </c>
      <c r="B990" s="20" t="str">
        <f t="array" ref="B990">xlookup($A990,product!$A:$A,product!B:B)</f>
        <v>Beauté &amp; Hygiène</v>
      </c>
      <c r="C990" s="20" t="str">
        <f t="array" ref="C990">xlookup($A990,product!$A:$A,product!C:C)</f>
        <v>Maquillage</v>
      </c>
      <c r="D990" s="20" t="str">
        <f t="array" ref="D990">xlookup($A990,product!$A:$A,product!D:D)</f>
        <v>Le Teint</v>
      </c>
      <c r="E990" s="4" t="str">
        <f t="shared" si="1"/>
        <v>49107-Maquillage-Le Teint</v>
      </c>
      <c r="F990" s="4">
        <v>1.0</v>
      </c>
      <c r="G990" s="4">
        <v>832.0</v>
      </c>
      <c r="H990" s="4">
        <v>321.0</v>
      </c>
      <c r="I990" s="21">
        <f t="array" ref="I990">XLOOKUP($A990,product!A:A,product!E:E)</f>
        <v>3.38</v>
      </c>
      <c r="J990" s="4">
        <f t="shared" si="2"/>
        <v>1084.98</v>
      </c>
      <c r="K990" s="22">
        <f t="shared" si="3"/>
        <v>1</v>
      </c>
      <c r="L990" s="4">
        <f t="shared" si="4"/>
        <v>1</v>
      </c>
    </row>
    <row r="991">
      <c r="A991" s="23">
        <v>29585.0</v>
      </c>
      <c r="B991" s="24" t="str">
        <f t="array" ref="B991">xlookup($A991,product!$A:$A,product!B:B)</f>
        <v>Beauté &amp; Hygiène</v>
      </c>
      <c r="C991" s="24" t="str">
        <f t="array" ref="C991">xlookup($A991,product!$A:$A,product!C:C)</f>
        <v>Maquillage</v>
      </c>
      <c r="D991" s="24" t="str">
        <f t="array" ref="D991">xlookup($A991,product!$A:$A,product!D:D)</f>
        <v>Le Teint</v>
      </c>
      <c r="E991" s="25" t="str">
        <f t="shared" si="1"/>
        <v>29585-Maquillage-Le Teint</v>
      </c>
      <c r="F991" s="25">
        <v>0.0</v>
      </c>
      <c r="G991" s="25">
        <v>111.0</v>
      </c>
      <c r="H991" s="25">
        <v>108.0</v>
      </c>
      <c r="I991" s="26">
        <f t="array" ref="I991">XLOOKUP($A991,product!A:A,product!E:E)</f>
        <v>4</v>
      </c>
      <c r="J991" s="25">
        <f t="shared" si="2"/>
        <v>432</v>
      </c>
      <c r="K991" s="27">
        <f t="shared" si="3"/>
        <v>1</v>
      </c>
      <c r="L991" s="25">
        <f t="shared" si="4"/>
        <v>1</v>
      </c>
    </row>
    <row r="992">
      <c r="A992" s="19">
        <v>111677.0</v>
      </c>
      <c r="B992" s="20" t="str">
        <f t="array" ref="B992">xlookup($A992,product!$A:$A,product!B:B)</f>
        <v>Beauté &amp; Hygiène</v>
      </c>
      <c r="C992" s="20" t="str">
        <f t="array" ref="C992">xlookup($A992,product!$A:$A,product!C:C)</f>
        <v>Maquillage</v>
      </c>
      <c r="D992" s="20" t="str">
        <f t="array" ref="D992">xlookup($A992,product!$A:$A,product!D:D)</f>
        <v>Le Teint</v>
      </c>
      <c r="E992" s="4" t="str">
        <f t="shared" si="1"/>
        <v>111677-Maquillage-Le Teint</v>
      </c>
      <c r="F992" s="4">
        <v>1.0</v>
      </c>
      <c r="G992" s="4">
        <v>318.0</v>
      </c>
      <c r="H992" s="4">
        <v>173.0</v>
      </c>
      <c r="I992" s="21">
        <f t="array" ref="I992">XLOOKUP($A992,product!A:A,product!E:E)</f>
        <v>11.59</v>
      </c>
      <c r="J992" s="4">
        <f t="shared" si="2"/>
        <v>2005.07</v>
      </c>
      <c r="K992" s="22">
        <f t="shared" si="3"/>
        <v>1</v>
      </c>
      <c r="L992" s="4">
        <f t="shared" si="4"/>
        <v>1</v>
      </c>
    </row>
    <row r="993">
      <c r="A993" s="23">
        <v>93102.0</v>
      </c>
      <c r="B993" s="24" t="str">
        <f t="array" ref="B993">xlookup($A993,product!$A:$A,product!B:B)</f>
        <v>Beauté &amp; Hygiène</v>
      </c>
      <c r="C993" s="24" t="str">
        <f t="array" ref="C993">xlookup($A993,product!$A:$A,product!C:C)</f>
        <v>Maquillage</v>
      </c>
      <c r="D993" s="24" t="str">
        <f t="array" ref="D993">xlookup($A993,product!$A:$A,product!D:D)</f>
        <v>Le Teint</v>
      </c>
      <c r="E993" s="25" t="str">
        <f t="shared" si="1"/>
        <v>93102-Maquillage-Le Teint</v>
      </c>
      <c r="F993" s="25">
        <v>1.0</v>
      </c>
      <c r="G993" s="25">
        <v>296.0</v>
      </c>
      <c r="H993" s="25">
        <v>141.0</v>
      </c>
      <c r="I993" s="26">
        <f t="array" ref="I993">XLOOKUP($A993,product!A:A,product!E:E)</f>
        <v>3.88</v>
      </c>
      <c r="J993" s="25">
        <f t="shared" si="2"/>
        <v>547.08</v>
      </c>
      <c r="K993" s="27">
        <f t="shared" si="3"/>
        <v>1</v>
      </c>
      <c r="L993" s="25">
        <f t="shared" si="4"/>
        <v>1</v>
      </c>
    </row>
    <row r="994">
      <c r="A994" s="19">
        <v>30712.0</v>
      </c>
      <c r="B994" s="20" t="str">
        <f t="array" ref="B994">xlookup($A994,product!$A:$A,product!B:B)</f>
        <v>Beauté &amp; Hygiène</v>
      </c>
      <c r="C994" s="20" t="str">
        <f t="array" ref="C994">xlookup($A994,product!$A:$A,product!C:C)</f>
        <v>Maquillage</v>
      </c>
      <c r="D994" s="20" t="str">
        <f t="array" ref="D994">xlookup($A994,product!$A:$A,product!D:D)</f>
        <v>Le Teint</v>
      </c>
      <c r="E994" s="4" t="str">
        <f t="shared" si="1"/>
        <v>30712-Maquillage-Le Teint</v>
      </c>
      <c r="F994" s="4">
        <v>0.0</v>
      </c>
      <c r="G994" s="4">
        <v>541.0</v>
      </c>
      <c r="H994" s="4">
        <v>17.0</v>
      </c>
      <c r="I994" s="21">
        <f t="array" ref="I994">XLOOKUP($A994,product!A:A,product!E:E)</f>
        <v>4.31</v>
      </c>
      <c r="J994" s="4">
        <f t="shared" si="2"/>
        <v>73.27</v>
      </c>
      <c r="K994" s="22">
        <f t="shared" si="3"/>
        <v>1</v>
      </c>
      <c r="L994" s="4">
        <f t="shared" si="4"/>
        <v>1</v>
      </c>
    </row>
    <row r="995">
      <c r="A995" s="23">
        <v>89128.0</v>
      </c>
      <c r="B995" s="24" t="str">
        <f t="array" ref="B995">xlookup($A995,product!$A:$A,product!B:B)</f>
        <v>Beauté &amp; Hygiène</v>
      </c>
      <c r="C995" s="24" t="str">
        <f t="array" ref="C995">xlookup($A995,product!$A:$A,product!C:C)</f>
        <v>Maquillage</v>
      </c>
      <c r="D995" s="24" t="str">
        <f t="array" ref="D995">xlookup($A995,product!$A:$A,product!D:D)</f>
        <v>Le Teint</v>
      </c>
      <c r="E995" s="25" t="str">
        <f t="shared" si="1"/>
        <v>89128-Maquillage-Le Teint</v>
      </c>
      <c r="F995" s="25">
        <v>1.0</v>
      </c>
      <c r="G995" s="25">
        <v>921.0</v>
      </c>
      <c r="H995" s="25">
        <v>736.0</v>
      </c>
      <c r="I995" s="26">
        <f t="array" ref="I995">XLOOKUP($A995,product!A:A,product!E:E)</f>
        <v>3.01</v>
      </c>
      <c r="J995" s="25">
        <f t="shared" si="2"/>
        <v>2215.36</v>
      </c>
      <c r="K995" s="27">
        <f t="shared" si="3"/>
        <v>1</v>
      </c>
      <c r="L995" s="25">
        <f t="shared" si="4"/>
        <v>1</v>
      </c>
    </row>
    <row r="996">
      <c r="A996" s="19">
        <v>29587.0</v>
      </c>
      <c r="B996" s="20" t="str">
        <f t="array" ref="B996">xlookup($A996,product!$A:$A,product!B:B)</f>
        <v>Beauté &amp; Hygiène</v>
      </c>
      <c r="C996" s="20" t="str">
        <f t="array" ref="C996">xlookup($A996,product!$A:$A,product!C:C)</f>
        <v>Maquillage</v>
      </c>
      <c r="D996" s="20" t="str">
        <f t="array" ref="D996">xlookup($A996,product!$A:$A,product!D:D)</f>
        <v>Le Teint</v>
      </c>
      <c r="E996" s="4" t="str">
        <f t="shared" si="1"/>
        <v>29587-Maquillage-Le Teint</v>
      </c>
      <c r="F996" s="4">
        <v>1.0</v>
      </c>
      <c r="G996" s="4">
        <v>542.0</v>
      </c>
      <c r="H996" s="4">
        <v>404.0</v>
      </c>
      <c r="I996" s="21">
        <f t="array" ref="I996">XLOOKUP($A996,product!A:A,product!E:E)</f>
        <v>4</v>
      </c>
      <c r="J996" s="4">
        <f t="shared" si="2"/>
        <v>1616</v>
      </c>
      <c r="K996" s="22">
        <f t="shared" si="3"/>
        <v>1</v>
      </c>
      <c r="L996" s="4">
        <f t="shared" si="4"/>
        <v>1</v>
      </c>
    </row>
    <row r="997">
      <c r="A997" s="23">
        <v>30711.0</v>
      </c>
      <c r="B997" s="24" t="str">
        <f t="array" ref="B997">xlookup($A997,product!$A:$A,product!B:B)</f>
        <v>Beauté &amp; Hygiène</v>
      </c>
      <c r="C997" s="24" t="str">
        <f t="array" ref="C997">xlookup($A997,product!$A:$A,product!C:C)</f>
        <v>Maquillage</v>
      </c>
      <c r="D997" s="24" t="str">
        <f t="array" ref="D997">xlookup($A997,product!$A:$A,product!D:D)</f>
        <v>Le Teint</v>
      </c>
      <c r="E997" s="25" t="str">
        <f t="shared" si="1"/>
        <v>30711-Maquillage-Le Teint</v>
      </c>
      <c r="F997" s="25">
        <v>0.0</v>
      </c>
      <c r="G997" s="25">
        <v>701.0</v>
      </c>
      <c r="H997" s="25">
        <v>334.0</v>
      </c>
      <c r="I997" s="26">
        <f t="array" ref="I997">XLOOKUP($A997,product!A:A,product!E:E)</f>
        <v>4.31</v>
      </c>
      <c r="J997" s="25">
        <f t="shared" si="2"/>
        <v>1439.54</v>
      </c>
      <c r="K997" s="27">
        <f t="shared" si="3"/>
        <v>1</v>
      </c>
      <c r="L997" s="25">
        <f t="shared" si="4"/>
        <v>1</v>
      </c>
    </row>
    <row r="998">
      <c r="A998" s="19">
        <v>45306.0</v>
      </c>
      <c r="B998" s="20" t="str">
        <f t="array" ref="B998">xlookup($A998,product!$A:$A,product!B:B)</f>
        <v>Beauté &amp; Hygiène</v>
      </c>
      <c r="C998" s="20" t="str">
        <f t="array" ref="C998">xlookup($A998,product!$A:$A,product!C:C)</f>
        <v>Maquillage</v>
      </c>
      <c r="D998" s="20" t="str">
        <f t="array" ref="D998">xlookup($A998,product!$A:$A,product!D:D)</f>
        <v>Le Teint</v>
      </c>
      <c r="E998" s="4" t="str">
        <f t="shared" si="1"/>
        <v>45306-Maquillage-Le Teint</v>
      </c>
      <c r="F998" s="4">
        <v>1.0</v>
      </c>
      <c r="G998" s="4">
        <v>112.0</v>
      </c>
      <c r="H998" s="4">
        <v>17.0</v>
      </c>
      <c r="I998" s="21">
        <f t="array" ref="I998">XLOOKUP($A998,product!A:A,product!E:E)</f>
        <v>5.83</v>
      </c>
      <c r="J998" s="4">
        <f t="shared" si="2"/>
        <v>99.11</v>
      </c>
      <c r="K998" s="22">
        <f t="shared" si="3"/>
        <v>1</v>
      </c>
      <c r="L998" s="4">
        <f t="shared" si="4"/>
        <v>1</v>
      </c>
    </row>
    <row r="999">
      <c r="A999" s="23">
        <v>120803.0</v>
      </c>
      <c r="B999" s="24" t="str">
        <f t="array" ref="B999">xlookup($A999,product!$A:$A,product!B:B)</f>
        <v>Beauté &amp; Hygiène</v>
      </c>
      <c r="C999" s="24" t="str">
        <f t="array" ref="C999">xlookup($A999,product!$A:$A,product!C:C)</f>
        <v>Maquillage</v>
      </c>
      <c r="D999" s="24" t="str">
        <f t="array" ref="D999">xlookup($A999,product!$A:$A,product!D:D)</f>
        <v>Le Teint</v>
      </c>
      <c r="E999" s="25" t="str">
        <f t="shared" si="1"/>
        <v>120803-Maquillage-Le Teint</v>
      </c>
      <c r="F999" s="25">
        <v>0.0</v>
      </c>
      <c r="G999" s="25">
        <v>162.0</v>
      </c>
      <c r="H999" s="25">
        <v>37.0</v>
      </c>
      <c r="I999" s="26">
        <f t="array" ref="I999">XLOOKUP($A999,product!A:A,product!E:E)</f>
        <v>6.87</v>
      </c>
      <c r="J999" s="25">
        <f t="shared" si="2"/>
        <v>254.19</v>
      </c>
      <c r="K999" s="27">
        <f t="shared" si="3"/>
        <v>1</v>
      </c>
      <c r="L999" s="25">
        <f t="shared" si="4"/>
        <v>1</v>
      </c>
    </row>
    <row r="1000">
      <c r="A1000" s="19">
        <v>108004.0</v>
      </c>
      <c r="B1000" s="20" t="str">
        <f t="array" ref="B1000">xlookup($A1000,product!$A:$A,product!B:B)</f>
        <v>Beauté &amp; Hygiène</v>
      </c>
      <c r="C1000" s="20" t="str">
        <f t="array" ref="C1000">xlookup($A1000,product!$A:$A,product!C:C)</f>
        <v>Maquillage</v>
      </c>
      <c r="D1000" s="20" t="str">
        <f t="array" ref="D1000">xlookup($A1000,product!$A:$A,product!D:D)</f>
        <v>Le Teint</v>
      </c>
      <c r="E1000" s="4" t="str">
        <f t="shared" si="1"/>
        <v>108004-Maquillage-Le Teint</v>
      </c>
      <c r="F1000" s="4">
        <v>0.0</v>
      </c>
      <c r="G1000" s="4">
        <v>27.0</v>
      </c>
      <c r="H1000" s="4">
        <v>24.0</v>
      </c>
      <c r="I1000" s="21">
        <f t="array" ref="I1000">XLOOKUP($A1000,product!A:A,product!E:E)</f>
        <v>4.96</v>
      </c>
      <c r="J1000" s="4">
        <f t="shared" si="2"/>
        <v>119.04</v>
      </c>
      <c r="K1000" s="22">
        <f t="shared" si="3"/>
        <v>1</v>
      </c>
      <c r="L1000" s="4">
        <f t="shared" si="4"/>
        <v>1</v>
      </c>
    </row>
    <row r="1001">
      <c r="A1001" s="23">
        <v>92205.0</v>
      </c>
      <c r="B1001" s="24" t="str">
        <f t="array" ref="B1001">xlookup($A1001,product!$A:$A,product!B:B)</f>
        <v>Beauté &amp; Hygiène</v>
      </c>
      <c r="C1001" s="24" t="str">
        <f t="array" ref="C1001">xlookup($A1001,product!$A:$A,product!C:C)</f>
        <v>Maquillage</v>
      </c>
      <c r="D1001" s="24" t="str">
        <f t="array" ref="D1001">xlookup($A1001,product!$A:$A,product!D:D)</f>
        <v>Le Teint</v>
      </c>
      <c r="E1001" s="25" t="str">
        <f t="shared" si="1"/>
        <v>92205-Maquillage-Le Teint</v>
      </c>
      <c r="F1001" s="25">
        <v>1.0</v>
      </c>
      <c r="G1001" s="25">
        <v>731.0</v>
      </c>
      <c r="H1001" s="25">
        <v>225.0</v>
      </c>
      <c r="I1001" s="26">
        <f t="array" ref="I1001">XLOOKUP($A1001,product!A:A,product!E:E)</f>
        <v>10.41</v>
      </c>
      <c r="J1001" s="25">
        <f t="shared" si="2"/>
        <v>2342.25</v>
      </c>
      <c r="K1001" s="27">
        <f t="shared" si="3"/>
        <v>1</v>
      </c>
      <c r="L1001" s="25">
        <f t="shared" si="4"/>
        <v>1</v>
      </c>
    </row>
    <row r="1002">
      <c r="A1002" s="19">
        <v>119509.0</v>
      </c>
      <c r="B1002" s="20" t="str">
        <f t="array" ref="B1002">xlookup($A1002,product!$A:$A,product!B:B)</f>
        <v>Beauté &amp; Hygiène</v>
      </c>
      <c r="C1002" s="20" t="str">
        <f t="array" ref="C1002">xlookup($A1002,product!$A:$A,product!C:C)</f>
        <v>Maquillage</v>
      </c>
      <c r="D1002" s="20" t="str">
        <f t="array" ref="D1002">xlookup($A1002,product!$A:$A,product!D:D)</f>
        <v>Le Teint</v>
      </c>
      <c r="E1002" s="4" t="str">
        <f t="shared" si="1"/>
        <v>119509-Maquillage-Le Teint</v>
      </c>
      <c r="F1002" s="4">
        <v>1.0</v>
      </c>
      <c r="G1002" s="4">
        <v>242.0</v>
      </c>
      <c r="H1002" s="4">
        <v>57.0</v>
      </c>
      <c r="I1002" s="21">
        <f t="array" ref="I1002">XLOOKUP($A1002,product!A:A,product!E:E)</f>
        <v>13.31</v>
      </c>
      <c r="J1002" s="4">
        <f t="shared" si="2"/>
        <v>758.67</v>
      </c>
      <c r="K1002" s="22">
        <f t="shared" si="3"/>
        <v>1</v>
      </c>
      <c r="L1002" s="4">
        <f t="shared" si="4"/>
        <v>1</v>
      </c>
    </row>
    <row r="1003">
      <c r="A1003" s="23">
        <v>109056.0</v>
      </c>
      <c r="B1003" s="24" t="str">
        <f t="array" ref="B1003">xlookup($A1003,product!$A:$A,product!B:B)</f>
        <v>Beauté &amp; Hygiène</v>
      </c>
      <c r="C1003" s="24" t="str">
        <f t="array" ref="C1003">xlookup($A1003,product!$A:$A,product!C:C)</f>
        <v>Maquillage</v>
      </c>
      <c r="D1003" s="24" t="str">
        <f t="array" ref="D1003">xlookup($A1003,product!$A:$A,product!D:D)</f>
        <v>Le Teint</v>
      </c>
      <c r="E1003" s="25" t="str">
        <f t="shared" si="1"/>
        <v>109056-Maquillage-Le Teint</v>
      </c>
      <c r="F1003" s="25">
        <v>1.0</v>
      </c>
      <c r="G1003" s="25">
        <v>803.0</v>
      </c>
      <c r="H1003" s="25">
        <v>500.0</v>
      </c>
      <c r="I1003" s="26">
        <f t="array" ref="I1003">XLOOKUP($A1003,product!A:A,product!E:E)</f>
        <v>5.83</v>
      </c>
      <c r="J1003" s="25">
        <f t="shared" si="2"/>
        <v>2915</v>
      </c>
      <c r="K1003" s="27">
        <f t="shared" si="3"/>
        <v>1</v>
      </c>
      <c r="L1003" s="25">
        <f t="shared" si="4"/>
        <v>1</v>
      </c>
    </row>
    <row r="1004">
      <c r="A1004" s="19">
        <v>45305.0</v>
      </c>
      <c r="B1004" s="20" t="str">
        <f t="array" ref="B1004">xlookup($A1004,product!$A:$A,product!B:B)</f>
        <v>Beauté &amp; Hygiène</v>
      </c>
      <c r="C1004" s="20" t="str">
        <f t="array" ref="C1004">xlookup($A1004,product!$A:$A,product!C:C)</f>
        <v>Maquillage</v>
      </c>
      <c r="D1004" s="20" t="str">
        <f t="array" ref="D1004">xlookup($A1004,product!$A:$A,product!D:D)</f>
        <v>Le Teint</v>
      </c>
      <c r="E1004" s="4" t="str">
        <f t="shared" si="1"/>
        <v>45305-Maquillage-Le Teint</v>
      </c>
      <c r="F1004" s="4">
        <v>0.0</v>
      </c>
      <c r="G1004" s="4">
        <v>195.0</v>
      </c>
      <c r="H1004" s="4">
        <v>139.0</v>
      </c>
      <c r="I1004" s="21">
        <f t="array" ref="I1004">XLOOKUP($A1004,product!A:A,product!E:E)</f>
        <v>5.83</v>
      </c>
      <c r="J1004" s="4">
        <f t="shared" si="2"/>
        <v>810.37</v>
      </c>
      <c r="K1004" s="22">
        <f t="shared" si="3"/>
        <v>1</v>
      </c>
      <c r="L1004" s="4">
        <f t="shared" si="4"/>
        <v>1</v>
      </c>
    </row>
    <row r="1005">
      <c r="A1005" s="23">
        <v>29582.0</v>
      </c>
      <c r="B1005" s="24" t="str">
        <f t="array" ref="B1005">xlookup($A1005,product!$A:$A,product!B:B)</f>
        <v>Beauté &amp; Hygiène</v>
      </c>
      <c r="C1005" s="24" t="str">
        <f t="array" ref="C1005">xlookup($A1005,product!$A:$A,product!C:C)</f>
        <v>Maquillage</v>
      </c>
      <c r="D1005" s="24" t="str">
        <f t="array" ref="D1005">xlookup($A1005,product!$A:$A,product!D:D)</f>
        <v>Le Teint</v>
      </c>
      <c r="E1005" s="25" t="str">
        <f t="shared" si="1"/>
        <v>29582-Maquillage-Le Teint</v>
      </c>
      <c r="F1005" s="25">
        <v>1.0</v>
      </c>
      <c r="G1005" s="25">
        <v>135.0</v>
      </c>
      <c r="H1005" s="25">
        <v>44.0</v>
      </c>
      <c r="I1005" s="26">
        <f t="array" ref="I1005">XLOOKUP($A1005,product!A:A,product!E:E)</f>
        <v>3.99</v>
      </c>
      <c r="J1005" s="25">
        <f t="shared" si="2"/>
        <v>175.56</v>
      </c>
      <c r="K1005" s="27">
        <f t="shared" si="3"/>
        <v>1</v>
      </c>
      <c r="L1005" s="25">
        <f t="shared" si="4"/>
        <v>1</v>
      </c>
    </row>
    <row r="1006">
      <c r="A1006" s="19">
        <v>111676.0</v>
      </c>
      <c r="B1006" s="20" t="str">
        <f t="array" ref="B1006">xlookup($A1006,product!$A:$A,product!B:B)</f>
        <v>Beauté &amp; Hygiène</v>
      </c>
      <c r="C1006" s="20" t="str">
        <f t="array" ref="C1006">xlookup($A1006,product!$A:$A,product!C:C)</f>
        <v>Maquillage</v>
      </c>
      <c r="D1006" s="20" t="str">
        <f t="array" ref="D1006">xlookup($A1006,product!$A:$A,product!D:D)</f>
        <v>Le Teint</v>
      </c>
      <c r="E1006" s="4" t="str">
        <f t="shared" si="1"/>
        <v>111676-Maquillage-Le Teint</v>
      </c>
      <c r="F1006" s="4">
        <v>1.0</v>
      </c>
      <c r="G1006" s="4">
        <v>766.0</v>
      </c>
      <c r="H1006" s="4">
        <v>638.0</v>
      </c>
      <c r="I1006" s="21">
        <f t="array" ref="I1006">XLOOKUP($A1006,product!A:A,product!E:E)</f>
        <v>11.59</v>
      </c>
      <c r="J1006" s="4">
        <f t="shared" si="2"/>
        <v>7394.42</v>
      </c>
      <c r="K1006" s="22">
        <f t="shared" si="3"/>
        <v>1</v>
      </c>
      <c r="L1006" s="4">
        <f t="shared" si="4"/>
        <v>1</v>
      </c>
    </row>
    <row r="1007">
      <c r="A1007" s="23">
        <v>30578.0</v>
      </c>
      <c r="B1007" s="24" t="str">
        <f t="array" ref="B1007">xlookup($A1007,product!$A:$A,product!B:B)</f>
        <v>Beauté &amp; Hygiène</v>
      </c>
      <c r="C1007" s="24" t="str">
        <f t="array" ref="C1007">xlookup($A1007,product!$A:$A,product!C:C)</f>
        <v>Maquillage</v>
      </c>
      <c r="D1007" s="24" t="str">
        <f t="array" ref="D1007">xlookup($A1007,product!$A:$A,product!D:D)</f>
        <v>Le Teint</v>
      </c>
      <c r="E1007" s="25" t="str">
        <f t="shared" si="1"/>
        <v>30578-Maquillage-Le Teint</v>
      </c>
      <c r="F1007" s="25">
        <v>0.0</v>
      </c>
      <c r="G1007" s="25">
        <v>267.0</v>
      </c>
      <c r="H1007" s="25">
        <v>149.0</v>
      </c>
      <c r="I1007" s="26">
        <f t="array" ref="I1007">XLOOKUP($A1007,product!A:A,product!E:E)</f>
        <v>12.07</v>
      </c>
      <c r="J1007" s="25">
        <f t="shared" si="2"/>
        <v>1798.43</v>
      </c>
      <c r="K1007" s="27">
        <f t="shared" si="3"/>
        <v>1</v>
      </c>
      <c r="L1007" s="25">
        <f t="shared" si="4"/>
        <v>1</v>
      </c>
    </row>
    <row r="1008">
      <c r="A1008" s="19">
        <v>93095.0</v>
      </c>
      <c r="B1008" s="20" t="str">
        <f t="array" ref="B1008">xlookup($A1008,product!$A:$A,product!B:B)</f>
        <v>Beauté &amp; Hygiène</v>
      </c>
      <c r="C1008" s="20" t="str">
        <f t="array" ref="C1008">xlookup($A1008,product!$A:$A,product!C:C)</f>
        <v>Maquillage</v>
      </c>
      <c r="D1008" s="20" t="str">
        <f t="array" ref="D1008">xlookup($A1008,product!$A:$A,product!D:D)</f>
        <v>Le Teint</v>
      </c>
      <c r="E1008" s="4" t="str">
        <f t="shared" si="1"/>
        <v>93095-Maquillage-Le Teint</v>
      </c>
      <c r="F1008" s="4">
        <v>1.0</v>
      </c>
      <c r="G1008" s="4">
        <v>231.0</v>
      </c>
      <c r="H1008" s="4">
        <v>131.0</v>
      </c>
      <c r="I1008" s="21">
        <f t="array" ref="I1008">XLOOKUP($A1008,product!A:A,product!E:E)</f>
        <v>3.99</v>
      </c>
      <c r="J1008" s="4">
        <f t="shared" si="2"/>
        <v>522.69</v>
      </c>
      <c r="K1008" s="22">
        <f t="shared" si="3"/>
        <v>1</v>
      </c>
      <c r="L1008" s="4">
        <f t="shared" si="4"/>
        <v>1</v>
      </c>
    </row>
    <row r="1009">
      <c r="A1009" s="23">
        <v>70036.0</v>
      </c>
      <c r="B1009" s="24" t="str">
        <f t="array" ref="B1009">xlookup($A1009,product!$A:$A,product!B:B)</f>
        <v>Beauté &amp; Hygiène</v>
      </c>
      <c r="C1009" s="24" t="str">
        <f t="array" ref="C1009">xlookup($A1009,product!$A:$A,product!C:C)</f>
        <v>Maquillage</v>
      </c>
      <c r="D1009" s="24" t="str">
        <f t="array" ref="D1009">xlookup($A1009,product!$A:$A,product!D:D)</f>
        <v>Le Teint</v>
      </c>
      <c r="E1009" s="25" t="str">
        <f t="shared" si="1"/>
        <v>70036-Maquillage-Le Teint</v>
      </c>
      <c r="F1009" s="25">
        <v>0.0</v>
      </c>
      <c r="G1009" s="25">
        <v>454.0</v>
      </c>
      <c r="H1009" s="25">
        <v>317.0</v>
      </c>
      <c r="I1009" s="26">
        <f t="array" ref="I1009">XLOOKUP($A1009,product!A:A,product!E:E)</f>
        <v>4</v>
      </c>
      <c r="J1009" s="25">
        <f t="shared" si="2"/>
        <v>1268</v>
      </c>
      <c r="K1009" s="27">
        <f t="shared" si="3"/>
        <v>1</v>
      </c>
      <c r="L1009" s="25">
        <f t="shared" si="4"/>
        <v>1</v>
      </c>
    </row>
    <row r="1010">
      <c r="A1010" s="19">
        <v>90498.0</v>
      </c>
      <c r="B1010" s="20" t="str">
        <f t="array" ref="B1010">xlookup($A1010,product!$A:$A,product!B:B)</f>
        <v>Beauté &amp; Hygiène</v>
      </c>
      <c r="C1010" s="20" t="str">
        <f t="array" ref="C1010">xlookup($A1010,product!$A:$A,product!C:C)</f>
        <v>Maquillage</v>
      </c>
      <c r="D1010" s="20" t="str">
        <f t="array" ref="D1010">xlookup($A1010,product!$A:$A,product!D:D)</f>
        <v>Le Teint</v>
      </c>
      <c r="E1010" s="4" t="str">
        <f t="shared" si="1"/>
        <v>90498-Maquillage-Le Teint</v>
      </c>
      <c r="F1010" s="4">
        <v>0.0</v>
      </c>
      <c r="G1010" s="4">
        <v>371.0</v>
      </c>
      <c r="H1010" s="4">
        <v>266.0</v>
      </c>
      <c r="I1010" s="21">
        <f t="array" ref="I1010">XLOOKUP($A1010,product!A:A,product!E:E)</f>
        <v>16.97</v>
      </c>
      <c r="J1010" s="4">
        <f t="shared" si="2"/>
        <v>4514.02</v>
      </c>
      <c r="K1010" s="22">
        <f t="shared" si="3"/>
        <v>1</v>
      </c>
      <c r="L1010" s="4">
        <f t="shared" si="4"/>
        <v>1</v>
      </c>
    </row>
    <row r="1011">
      <c r="A1011" s="23">
        <v>89127.0</v>
      </c>
      <c r="B1011" s="24" t="str">
        <f t="array" ref="B1011">xlookup($A1011,product!$A:$A,product!B:B)</f>
        <v>Beauté &amp; Hygiène</v>
      </c>
      <c r="C1011" s="24" t="str">
        <f t="array" ref="C1011">xlookup($A1011,product!$A:$A,product!C:C)</f>
        <v>Maquillage</v>
      </c>
      <c r="D1011" s="24" t="str">
        <f t="array" ref="D1011">xlookup($A1011,product!$A:$A,product!D:D)</f>
        <v>Le Teint</v>
      </c>
      <c r="E1011" s="25" t="str">
        <f t="shared" si="1"/>
        <v>89127-Maquillage-Le Teint</v>
      </c>
      <c r="F1011" s="25">
        <v>1.0</v>
      </c>
      <c r="G1011" s="25">
        <v>752.0</v>
      </c>
      <c r="H1011" s="25">
        <v>350.0</v>
      </c>
      <c r="I1011" s="26">
        <f t="array" ref="I1011">XLOOKUP($A1011,product!A:A,product!E:E)</f>
        <v>3.01</v>
      </c>
      <c r="J1011" s="25">
        <f t="shared" si="2"/>
        <v>1053.5</v>
      </c>
      <c r="K1011" s="27">
        <f t="shared" si="3"/>
        <v>1</v>
      </c>
      <c r="L1011" s="25">
        <f t="shared" si="4"/>
        <v>1</v>
      </c>
    </row>
    <row r="1012">
      <c r="A1012" s="19">
        <v>75215.0</v>
      </c>
      <c r="B1012" s="20" t="str">
        <f t="array" ref="B1012">xlookup($A1012,product!$A:$A,product!B:B)</f>
        <v>Beauté &amp; Hygiène</v>
      </c>
      <c r="C1012" s="20" t="str">
        <f t="array" ref="C1012">xlookup($A1012,product!$A:$A,product!C:C)</f>
        <v>Maquillage</v>
      </c>
      <c r="D1012" s="20" t="str">
        <f t="array" ref="D1012">xlookup($A1012,product!$A:$A,product!D:D)</f>
        <v>Le Teint</v>
      </c>
      <c r="E1012" s="4" t="str">
        <f t="shared" si="1"/>
        <v>75215-Maquillage-Le Teint</v>
      </c>
      <c r="F1012" s="4">
        <v>0.0</v>
      </c>
      <c r="G1012" s="4">
        <v>758.0</v>
      </c>
      <c r="H1012" s="4">
        <v>126.0</v>
      </c>
      <c r="I1012" s="21">
        <f t="array" ref="I1012">XLOOKUP($A1012,product!A:A,product!E:E)</f>
        <v>8.87</v>
      </c>
      <c r="J1012" s="4">
        <f t="shared" si="2"/>
        <v>1117.62</v>
      </c>
      <c r="K1012" s="22">
        <f t="shared" si="3"/>
        <v>1</v>
      </c>
      <c r="L1012" s="4">
        <f t="shared" si="4"/>
        <v>1</v>
      </c>
    </row>
    <row r="1013">
      <c r="A1013" s="23">
        <v>119566.0</v>
      </c>
      <c r="B1013" s="24" t="str">
        <f t="array" ref="B1013">xlookup($A1013,product!$A:$A,product!B:B)</f>
        <v>Beauté &amp; Hygiène</v>
      </c>
      <c r="C1013" s="24" t="str">
        <f t="array" ref="C1013">xlookup($A1013,product!$A:$A,product!C:C)</f>
        <v>Maquillage</v>
      </c>
      <c r="D1013" s="24" t="str">
        <f t="array" ref="D1013">xlookup($A1013,product!$A:$A,product!D:D)</f>
        <v>Le Teint</v>
      </c>
      <c r="E1013" s="25" t="str">
        <f t="shared" si="1"/>
        <v>119566-Maquillage-Le Teint</v>
      </c>
      <c r="F1013" s="25">
        <v>0.0</v>
      </c>
      <c r="G1013" s="25">
        <v>939.0</v>
      </c>
      <c r="H1013" s="25">
        <v>505.0</v>
      </c>
      <c r="I1013" s="26">
        <f t="array" ref="I1013">XLOOKUP($A1013,product!A:A,product!E:E)</f>
        <v>12.87</v>
      </c>
      <c r="J1013" s="25">
        <f t="shared" si="2"/>
        <v>6499.35</v>
      </c>
      <c r="K1013" s="27">
        <f t="shared" si="3"/>
        <v>1</v>
      </c>
      <c r="L1013" s="25">
        <f t="shared" si="4"/>
        <v>1</v>
      </c>
    </row>
    <row r="1014">
      <c r="A1014" s="19">
        <v>92208.0</v>
      </c>
      <c r="B1014" s="20" t="str">
        <f t="array" ref="B1014">xlookup($A1014,product!$A:$A,product!B:B)</f>
        <v>Beauté &amp; Hygiène</v>
      </c>
      <c r="C1014" s="20" t="str">
        <f t="array" ref="C1014">xlookup($A1014,product!$A:$A,product!C:C)</f>
        <v>Maquillage</v>
      </c>
      <c r="D1014" s="20" t="str">
        <f t="array" ref="D1014">xlookup($A1014,product!$A:$A,product!D:D)</f>
        <v>Le Teint</v>
      </c>
      <c r="E1014" s="4" t="str">
        <f t="shared" si="1"/>
        <v>92208-Maquillage-Le Teint</v>
      </c>
      <c r="F1014" s="4">
        <v>0.0</v>
      </c>
      <c r="G1014" s="4">
        <v>535.0</v>
      </c>
      <c r="H1014" s="4">
        <v>212.0</v>
      </c>
      <c r="I1014" s="21">
        <f t="array" ref="I1014">XLOOKUP($A1014,product!A:A,product!E:E)</f>
        <v>10.41</v>
      </c>
      <c r="J1014" s="4">
        <f t="shared" si="2"/>
        <v>2206.92</v>
      </c>
      <c r="K1014" s="22">
        <f t="shared" si="3"/>
        <v>1</v>
      </c>
      <c r="L1014" s="4">
        <f t="shared" si="4"/>
        <v>1</v>
      </c>
    </row>
    <row r="1015">
      <c r="A1015" s="23">
        <v>119579.0</v>
      </c>
      <c r="B1015" s="24" t="str">
        <f t="array" ref="B1015">xlookup($A1015,product!$A:$A,product!B:B)</f>
        <v>Beauté &amp; Hygiène</v>
      </c>
      <c r="C1015" s="24" t="str">
        <f t="array" ref="C1015">xlookup($A1015,product!$A:$A,product!C:C)</f>
        <v>Maquillage</v>
      </c>
      <c r="D1015" s="24" t="str">
        <f t="array" ref="D1015">xlookup($A1015,product!$A:$A,product!D:D)</f>
        <v>Le Teint</v>
      </c>
      <c r="E1015" s="25" t="str">
        <f t="shared" si="1"/>
        <v>119579-Maquillage-Le Teint</v>
      </c>
      <c r="F1015" s="25">
        <v>0.0</v>
      </c>
      <c r="G1015" s="25">
        <v>606.0</v>
      </c>
      <c r="H1015" s="25">
        <v>29.0</v>
      </c>
      <c r="I1015" s="26">
        <f t="array" ref="I1015">XLOOKUP($A1015,product!A:A,product!E:E)</f>
        <v>7.08</v>
      </c>
      <c r="J1015" s="25">
        <f t="shared" si="2"/>
        <v>205.32</v>
      </c>
      <c r="K1015" s="27">
        <f t="shared" si="3"/>
        <v>1</v>
      </c>
      <c r="L1015" s="25">
        <f t="shared" si="4"/>
        <v>1</v>
      </c>
    </row>
    <row r="1016">
      <c r="A1016" s="19">
        <v>45309.0</v>
      </c>
      <c r="B1016" s="20" t="str">
        <f t="array" ref="B1016">xlookup($A1016,product!$A:$A,product!B:B)</f>
        <v>Beauté &amp; Hygiène</v>
      </c>
      <c r="C1016" s="20" t="str">
        <f t="array" ref="C1016">xlookup($A1016,product!$A:$A,product!C:C)</f>
        <v>Maquillage</v>
      </c>
      <c r="D1016" s="20" t="str">
        <f t="array" ref="D1016">xlookup($A1016,product!$A:$A,product!D:D)</f>
        <v>Le Teint</v>
      </c>
      <c r="E1016" s="4" t="str">
        <f t="shared" si="1"/>
        <v>45309-Maquillage-Le Teint</v>
      </c>
      <c r="F1016" s="4">
        <v>1.0</v>
      </c>
      <c r="G1016" s="4">
        <v>734.0</v>
      </c>
      <c r="H1016" s="4">
        <v>611.0</v>
      </c>
      <c r="I1016" s="21">
        <f t="array" ref="I1016">XLOOKUP($A1016,product!A:A,product!E:E)</f>
        <v>6.39</v>
      </c>
      <c r="J1016" s="4">
        <f t="shared" si="2"/>
        <v>3904.29</v>
      </c>
      <c r="K1016" s="22">
        <f t="shared" si="3"/>
        <v>1</v>
      </c>
      <c r="L1016" s="4">
        <f t="shared" si="4"/>
        <v>1</v>
      </c>
    </row>
    <row r="1017">
      <c r="A1017" s="23">
        <v>30743.0</v>
      </c>
      <c r="B1017" s="24" t="str">
        <f t="array" ref="B1017">xlookup($A1017,product!$A:$A,product!B:B)</f>
        <v>Beauté &amp; Hygiène</v>
      </c>
      <c r="C1017" s="24" t="str">
        <f t="array" ref="C1017">xlookup($A1017,product!$A:$A,product!C:C)</f>
        <v>Maquillage</v>
      </c>
      <c r="D1017" s="24" t="str">
        <f t="array" ref="D1017">xlookup($A1017,product!$A:$A,product!D:D)</f>
        <v>Le Teint</v>
      </c>
      <c r="E1017" s="25" t="str">
        <f t="shared" si="1"/>
        <v>30743-Maquillage-Le Teint</v>
      </c>
      <c r="F1017" s="25">
        <v>0.0</v>
      </c>
      <c r="G1017" s="25">
        <v>444.0</v>
      </c>
      <c r="H1017" s="25">
        <v>45.0</v>
      </c>
      <c r="I1017" s="26">
        <f t="array" ref="I1017">XLOOKUP($A1017,product!A:A,product!E:E)</f>
        <v>5.58</v>
      </c>
      <c r="J1017" s="25">
        <f t="shared" si="2"/>
        <v>251.1</v>
      </c>
      <c r="K1017" s="27">
        <f t="shared" si="3"/>
        <v>1</v>
      </c>
      <c r="L1017" s="25">
        <f t="shared" si="4"/>
        <v>1</v>
      </c>
    </row>
    <row r="1018">
      <c r="A1018" s="19">
        <v>49108.0</v>
      </c>
      <c r="B1018" s="20" t="str">
        <f t="array" ref="B1018">xlookup($A1018,product!$A:$A,product!B:B)</f>
        <v>Beauté &amp; Hygiène</v>
      </c>
      <c r="C1018" s="20" t="str">
        <f t="array" ref="C1018">xlookup($A1018,product!$A:$A,product!C:C)</f>
        <v>Maquillage</v>
      </c>
      <c r="D1018" s="20" t="str">
        <f t="array" ref="D1018">xlookup($A1018,product!$A:$A,product!D:D)</f>
        <v>Le Teint</v>
      </c>
      <c r="E1018" s="4" t="str">
        <f t="shared" si="1"/>
        <v>49108-Maquillage-Le Teint</v>
      </c>
      <c r="F1018" s="4">
        <v>0.0</v>
      </c>
      <c r="G1018" s="4">
        <v>463.0</v>
      </c>
      <c r="H1018" s="4">
        <v>196.0</v>
      </c>
      <c r="I1018" s="21">
        <f t="array" ref="I1018">XLOOKUP($A1018,product!A:A,product!E:E)</f>
        <v>3.38</v>
      </c>
      <c r="J1018" s="4">
        <f t="shared" si="2"/>
        <v>662.48</v>
      </c>
      <c r="K1018" s="22">
        <f t="shared" si="3"/>
        <v>1</v>
      </c>
      <c r="L1018" s="4">
        <f t="shared" si="4"/>
        <v>1</v>
      </c>
    </row>
    <row r="1019">
      <c r="A1019" s="23">
        <v>29584.0</v>
      </c>
      <c r="B1019" s="24" t="str">
        <f t="array" ref="B1019">xlookup($A1019,product!$A:$A,product!B:B)</f>
        <v>Beauté &amp; Hygiène</v>
      </c>
      <c r="C1019" s="24" t="str">
        <f t="array" ref="C1019">xlookup($A1019,product!$A:$A,product!C:C)</f>
        <v>Maquillage</v>
      </c>
      <c r="D1019" s="24" t="str">
        <f t="array" ref="D1019">xlookup($A1019,product!$A:$A,product!D:D)</f>
        <v>Le Teint</v>
      </c>
      <c r="E1019" s="25" t="str">
        <f t="shared" si="1"/>
        <v>29584-Maquillage-Le Teint</v>
      </c>
      <c r="F1019" s="25">
        <v>0.0</v>
      </c>
      <c r="G1019" s="25">
        <v>86.0</v>
      </c>
      <c r="H1019" s="25">
        <v>14.0</v>
      </c>
      <c r="I1019" s="26">
        <f t="array" ref="I1019">XLOOKUP($A1019,product!A:A,product!E:E)</f>
        <v>4</v>
      </c>
      <c r="J1019" s="25">
        <f t="shared" si="2"/>
        <v>56</v>
      </c>
      <c r="K1019" s="27">
        <f t="shared" si="3"/>
        <v>1</v>
      </c>
      <c r="L1019" s="25">
        <f t="shared" si="4"/>
        <v>1</v>
      </c>
    </row>
    <row r="1020">
      <c r="A1020" s="19">
        <v>119501.0</v>
      </c>
      <c r="B1020" s="20" t="str">
        <f t="array" ref="B1020">xlookup($A1020,product!$A:$A,product!B:B)</f>
        <v>Beauté &amp; Hygiène</v>
      </c>
      <c r="C1020" s="20" t="str">
        <f t="array" ref="C1020">xlookup($A1020,product!$A:$A,product!C:C)</f>
        <v>Maquillage</v>
      </c>
      <c r="D1020" s="20" t="str">
        <f t="array" ref="D1020">xlookup($A1020,product!$A:$A,product!D:D)</f>
        <v>Le Teint</v>
      </c>
      <c r="E1020" s="4" t="str">
        <f t="shared" si="1"/>
        <v>119501-Maquillage-Le Teint</v>
      </c>
      <c r="F1020" s="4">
        <v>1.0</v>
      </c>
      <c r="G1020" s="4">
        <v>500.0</v>
      </c>
      <c r="H1020" s="4">
        <v>437.0</v>
      </c>
      <c r="I1020" s="21">
        <f t="array" ref="I1020">XLOOKUP($A1020,product!A:A,product!E:E)</f>
        <v>11.53</v>
      </c>
      <c r="J1020" s="4">
        <f t="shared" si="2"/>
        <v>5038.61</v>
      </c>
      <c r="K1020" s="22">
        <f t="shared" si="3"/>
        <v>1</v>
      </c>
      <c r="L1020" s="4">
        <f t="shared" si="4"/>
        <v>1</v>
      </c>
    </row>
    <row r="1021">
      <c r="A1021" s="23">
        <v>30504.0</v>
      </c>
      <c r="B1021" s="24" t="str">
        <f t="array" ref="B1021">xlookup($A1021,product!$A:$A,product!B:B)</f>
        <v>Beauté &amp; Hygiène</v>
      </c>
      <c r="C1021" s="24" t="str">
        <f t="array" ref="C1021">xlookup($A1021,product!$A:$A,product!C:C)</f>
        <v>Maquillage</v>
      </c>
      <c r="D1021" s="24" t="str">
        <f t="array" ref="D1021">xlookup($A1021,product!$A:$A,product!D:D)</f>
        <v>Le Teint</v>
      </c>
      <c r="E1021" s="25" t="str">
        <f t="shared" si="1"/>
        <v>30504-Maquillage-Le Teint</v>
      </c>
      <c r="F1021" s="25">
        <v>0.0</v>
      </c>
      <c r="G1021" s="25">
        <v>238.0</v>
      </c>
      <c r="H1021" s="25">
        <v>172.0</v>
      </c>
      <c r="I1021" s="26">
        <f t="array" ref="I1021">XLOOKUP($A1021,product!A:A,product!E:E)</f>
        <v>10.62</v>
      </c>
      <c r="J1021" s="25">
        <f t="shared" si="2"/>
        <v>1826.64</v>
      </c>
      <c r="K1021" s="27">
        <f t="shared" si="3"/>
        <v>1</v>
      </c>
      <c r="L1021" s="25">
        <f t="shared" si="4"/>
        <v>1</v>
      </c>
    </row>
    <row r="1022">
      <c r="A1022" s="19">
        <v>93101.0</v>
      </c>
      <c r="B1022" s="20" t="str">
        <f t="array" ref="B1022">xlookup($A1022,product!$A:$A,product!B:B)</f>
        <v>Beauté &amp; Hygiène</v>
      </c>
      <c r="C1022" s="20" t="str">
        <f t="array" ref="C1022">xlookup($A1022,product!$A:$A,product!C:C)</f>
        <v>Maquillage</v>
      </c>
      <c r="D1022" s="20" t="str">
        <f t="array" ref="D1022">xlookup($A1022,product!$A:$A,product!D:D)</f>
        <v>Le Teint</v>
      </c>
      <c r="E1022" s="4" t="str">
        <f t="shared" si="1"/>
        <v>93101-Maquillage-Le Teint</v>
      </c>
      <c r="F1022" s="4">
        <v>1.0</v>
      </c>
      <c r="G1022" s="4">
        <v>852.0</v>
      </c>
      <c r="H1022" s="4">
        <v>641.0</v>
      </c>
      <c r="I1022" s="21">
        <f t="array" ref="I1022">XLOOKUP($A1022,product!A:A,product!E:E)</f>
        <v>3.88</v>
      </c>
      <c r="J1022" s="4">
        <f t="shared" si="2"/>
        <v>2487.08</v>
      </c>
      <c r="K1022" s="22">
        <f t="shared" si="3"/>
        <v>1</v>
      </c>
      <c r="L1022" s="4">
        <f t="shared" si="4"/>
        <v>1</v>
      </c>
    </row>
    <row r="1023">
      <c r="A1023" s="23">
        <v>30749.0</v>
      </c>
      <c r="B1023" s="24" t="str">
        <f t="array" ref="B1023">xlookup($A1023,product!$A:$A,product!B:B)</f>
        <v>Beauté &amp; Hygiène</v>
      </c>
      <c r="C1023" s="24" t="str">
        <f t="array" ref="C1023">xlookup($A1023,product!$A:$A,product!C:C)</f>
        <v>Maquillage</v>
      </c>
      <c r="D1023" s="24" t="str">
        <f t="array" ref="D1023">xlookup($A1023,product!$A:$A,product!D:D)</f>
        <v>Le Teint</v>
      </c>
      <c r="E1023" s="25" t="str">
        <f t="shared" si="1"/>
        <v>30749-Maquillage-Le Teint</v>
      </c>
      <c r="F1023" s="25">
        <v>0.0</v>
      </c>
      <c r="G1023" s="25">
        <v>2.0</v>
      </c>
      <c r="H1023" s="25">
        <v>0.0</v>
      </c>
      <c r="I1023" s="26">
        <f t="array" ref="I1023">XLOOKUP($A1023,product!A:A,product!E:E)</f>
        <v>7.22</v>
      </c>
      <c r="J1023" s="25">
        <f t="shared" si="2"/>
        <v>0</v>
      </c>
      <c r="K1023" s="27">
        <f t="shared" si="3"/>
        <v>0</v>
      </c>
      <c r="L1023" s="25">
        <f t="shared" si="4"/>
        <v>1</v>
      </c>
    </row>
    <row r="1024">
      <c r="A1024" s="19">
        <v>120813.0</v>
      </c>
      <c r="B1024" s="20" t="str">
        <f t="array" ref="B1024">xlookup($A1024,product!$A:$A,product!B:B)</f>
        <v>Beauté &amp; Hygiène</v>
      </c>
      <c r="C1024" s="20" t="str">
        <f t="array" ref="C1024">xlookup($A1024,product!$A:$A,product!C:C)</f>
        <v>Maquillage</v>
      </c>
      <c r="D1024" s="20" t="str">
        <f t="array" ref="D1024">xlookup($A1024,product!$A:$A,product!D:D)</f>
        <v>Le Teint</v>
      </c>
      <c r="E1024" s="4" t="str">
        <f t="shared" si="1"/>
        <v>120813-Maquillage-Le Teint</v>
      </c>
      <c r="F1024" s="4">
        <v>1.0</v>
      </c>
      <c r="G1024" s="4">
        <v>283.0</v>
      </c>
      <c r="H1024" s="4">
        <v>28.0</v>
      </c>
      <c r="I1024" s="21">
        <f t="array" ref="I1024">XLOOKUP($A1024,product!A:A,product!E:E)</f>
        <v>5.39</v>
      </c>
      <c r="J1024" s="4">
        <f t="shared" si="2"/>
        <v>150.92</v>
      </c>
      <c r="K1024" s="22">
        <f t="shared" si="3"/>
        <v>1</v>
      </c>
      <c r="L1024" s="4">
        <f t="shared" si="4"/>
        <v>1</v>
      </c>
    </row>
    <row r="1025">
      <c r="A1025" s="23">
        <v>29590.0</v>
      </c>
      <c r="B1025" s="24" t="str">
        <f t="array" ref="B1025">xlookup($A1025,product!$A:$A,product!B:B)</f>
        <v>Beauté &amp; Hygiène</v>
      </c>
      <c r="C1025" s="24" t="str">
        <f t="array" ref="C1025">xlookup($A1025,product!$A:$A,product!C:C)</f>
        <v>Maquillage</v>
      </c>
      <c r="D1025" s="24" t="str">
        <f t="array" ref="D1025">xlookup($A1025,product!$A:$A,product!D:D)</f>
        <v>Le Teint</v>
      </c>
      <c r="E1025" s="25" t="str">
        <f t="shared" si="1"/>
        <v>29590-Maquillage-Le Teint</v>
      </c>
      <c r="F1025" s="25">
        <v>1.0</v>
      </c>
      <c r="G1025" s="25">
        <v>176.0</v>
      </c>
      <c r="H1025" s="25">
        <v>133.0</v>
      </c>
      <c r="I1025" s="26">
        <f t="array" ref="I1025">XLOOKUP($A1025,product!A:A,product!E:E)</f>
        <v>3.01</v>
      </c>
      <c r="J1025" s="25">
        <f t="shared" si="2"/>
        <v>400.33</v>
      </c>
      <c r="K1025" s="27">
        <f t="shared" si="3"/>
        <v>1</v>
      </c>
      <c r="L1025" s="25">
        <f t="shared" si="4"/>
        <v>1</v>
      </c>
    </row>
    <row r="1026">
      <c r="A1026" s="19">
        <v>118662.0</v>
      </c>
      <c r="B1026" s="20" t="str">
        <f t="array" ref="B1026">xlookup($A1026,product!$A:$A,product!B:B)</f>
        <v>Beauté &amp; Hygiène</v>
      </c>
      <c r="C1026" s="20" t="str">
        <f t="array" ref="C1026">xlookup($A1026,product!$A:$A,product!C:C)</f>
        <v>Maquillage</v>
      </c>
      <c r="D1026" s="20" t="str">
        <f t="array" ref="D1026">xlookup($A1026,product!$A:$A,product!D:D)</f>
        <v>Les Yeux</v>
      </c>
      <c r="E1026" s="4" t="str">
        <f t="shared" si="1"/>
        <v>118662-Maquillage-Les Yeux</v>
      </c>
      <c r="F1026" s="4">
        <v>0.0</v>
      </c>
      <c r="G1026" s="4">
        <v>313.0</v>
      </c>
      <c r="H1026" s="4">
        <v>192.0</v>
      </c>
      <c r="I1026" s="21">
        <f t="array" ref="I1026">XLOOKUP($A1026,product!A:A,product!E:E)</f>
        <v>4.31</v>
      </c>
      <c r="J1026" s="4">
        <f t="shared" si="2"/>
        <v>827.52</v>
      </c>
      <c r="K1026" s="22">
        <f t="shared" si="3"/>
        <v>1</v>
      </c>
      <c r="L1026" s="4">
        <f t="shared" si="4"/>
        <v>1</v>
      </c>
    </row>
    <row r="1027">
      <c r="A1027" s="23">
        <v>30478.0</v>
      </c>
      <c r="B1027" s="24" t="str">
        <f t="array" ref="B1027">xlookup($A1027,product!$A:$A,product!B:B)</f>
        <v>Beauté &amp; Hygiène</v>
      </c>
      <c r="C1027" s="24" t="str">
        <f t="array" ref="C1027">xlookup($A1027,product!$A:$A,product!C:C)</f>
        <v>Maquillage</v>
      </c>
      <c r="D1027" s="24" t="str">
        <f t="array" ref="D1027">xlookup($A1027,product!$A:$A,product!D:D)</f>
        <v>Les Yeux</v>
      </c>
      <c r="E1027" s="25" t="str">
        <f t="shared" si="1"/>
        <v>30478-Maquillage-Les Yeux</v>
      </c>
      <c r="F1027" s="25">
        <v>0.0</v>
      </c>
      <c r="G1027" s="25">
        <v>201.0</v>
      </c>
      <c r="H1027" s="25">
        <v>1.0</v>
      </c>
      <c r="I1027" s="26">
        <f t="array" ref="I1027">XLOOKUP($A1027,product!A:A,product!E:E)</f>
        <v>7.71</v>
      </c>
      <c r="J1027" s="25">
        <f t="shared" si="2"/>
        <v>7.71</v>
      </c>
      <c r="K1027" s="27">
        <f t="shared" si="3"/>
        <v>1</v>
      </c>
      <c r="L1027" s="25">
        <f t="shared" si="4"/>
        <v>1</v>
      </c>
    </row>
    <row r="1028">
      <c r="A1028" s="19">
        <v>90475.0</v>
      </c>
      <c r="B1028" s="20" t="str">
        <f t="array" ref="B1028">xlookup($A1028,product!$A:$A,product!B:B)</f>
        <v>Beauté &amp; Hygiène</v>
      </c>
      <c r="C1028" s="20" t="str">
        <f t="array" ref="C1028">xlookup($A1028,product!$A:$A,product!C:C)</f>
        <v>Maquillage</v>
      </c>
      <c r="D1028" s="20" t="str">
        <f t="array" ref="D1028">xlookup($A1028,product!$A:$A,product!D:D)</f>
        <v>Les Yeux</v>
      </c>
      <c r="E1028" s="4" t="str">
        <f t="shared" si="1"/>
        <v>90475-Maquillage-Les Yeux</v>
      </c>
      <c r="F1028" s="4">
        <v>0.0</v>
      </c>
      <c r="G1028" s="4">
        <v>99.0</v>
      </c>
      <c r="H1028" s="4">
        <v>2.0</v>
      </c>
      <c r="I1028" s="21">
        <f t="array" ref="I1028">XLOOKUP($A1028,product!A:A,product!E:E)</f>
        <v>7.71</v>
      </c>
      <c r="J1028" s="4">
        <f t="shared" si="2"/>
        <v>15.42</v>
      </c>
      <c r="K1028" s="22">
        <f t="shared" si="3"/>
        <v>1</v>
      </c>
      <c r="L1028" s="4">
        <f t="shared" si="4"/>
        <v>1</v>
      </c>
    </row>
    <row r="1029">
      <c r="A1029" s="23">
        <v>29530.0</v>
      </c>
      <c r="B1029" s="24" t="str">
        <f t="array" ref="B1029">xlookup($A1029,product!$A:$A,product!B:B)</f>
        <v>Beauté &amp; Hygiène</v>
      </c>
      <c r="C1029" s="24" t="str">
        <f t="array" ref="C1029">xlookup($A1029,product!$A:$A,product!C:C)</f>
        <v>Maquillage</v>
      </c>
      <c r="D1029" s="24" t="str">
        <f t="array" ref="D1029">xlookup($A1029,product!$A:$A,product!D:D)</f>
        <v>Les Yeux</v>
      </c>
      <c r="E1029" s="25" t="str">
        <f t="shared" si="1"/>
        <v>29530-Maquillage-Les Yeux</v>
      </c>
      <c r="F1029" s="25">
        <v>0.0</v>
      </c>
      <c r="G1029" s="25">
        <v>111.0</v>
      </c>
      <c r="H1029" s="25">
        <v>64.0</v>
      </c>
      <c r="I1029" s="26">
        <f t="array" ref="I1029">XLOOKUP($A1029,product!A:A,product!E:E)</f>
        <v>1.34</v>
      </c>
      <c r="J1029" s="25">
        <f t="shared" si="2"/>
        <v>85.76</v>
      </c>
      <c r="K1029" s="27">
        <f t="shared" si="3"/>
        <v>1</v>
      </c>
      <c r="L1029" s="25">
        <f t="shared" si="4"/>
        <v>1</v>
      </c>
    </row>
    <row r="1030">
      <c r="A1030" s="19">
        <v>81528.0</v>
      </c>
      <c r="B1030" s="20" t="str">
        <f t="array" ref="B1030">xlookup($A1030,product!$A:$A,product!B:B)</f>
        <v>Beauté &amp; Hygiène</v>
      </c>
      <c r="C1030" s="20" t="str">
        <f t="array" ref="C1030">xlookup($A1030,product!$A:$A,product!C:C)</f>
        <v>Maquillage</v>
      </c>
      <c r="D1030" s="20" t="str">
        <f t="array" ref="D1030">xlookup($A1030,product!$A:$A,product!D:D)</f>
        <v>Les Yeux</v>
      </c>
      <c r="E1030" s="4" t="str">
        <f t="shared" si="1"/>
        <v>81528-Maquillage-Les Yeux</v>
      </c>
      <c r="F1030" s="4">
        <v>1.0</v>
      </c>
      <c r="G1030" s="4">
        <v>569.0</v>
      </c>
      <c r="H1030" s="4">
        <v>502.0</v>
      </c>
      <c r="I1030" s="21">
        <f t="array" ref="I1030">XLOOKUP($A1030,product!A:A,product!E:E)</f>
        <v>1.34</v>
      </c>
      <c r="J1030" s="4">
        <f t="shared" si="2"/>
        <v>672.68</v>
      </c>
      <c r="K1030" s="22">
        <f t="shared" si="3"/>
        <v>1</v>
      </c>
      <c r="L1030" s="4">
        <f t="shared" si="4"/>
        <v>1</v>
      </c>
    </row>
    <row r="1031">
      <c r="A1031" s="23">
        <v>100436.0</v>
      </c>
      <c r="B1031" s="24" t="str">
        <f t="array" ref="B1031">xlookup($A1031,product!$A:$A,product!B:B)</f>
        <v>Beauté &amp; Hygiène</v>
      </c>
      <c r="C1031" s="24" t="str">
        <f t="array" ref="C1031">xlookup($A1031,product!$A:$A,product!C:C)</f>
        <v>Maquillage</v>
      </c>
      <c r="D1031" s="24" t="str">
        <f t="array" ref="D1031">xlookup($A1031,product!$A:$A,product!D:D)</f>
        <v>Les Yeux</v>
      </c>
      <c r="E1031" s="25" t="str">
        <f t="shared" si="1"/>
        <v>100436-Maquillage-Les Yeux</v>
      </c>
      <c r="F1031" s="25">
        <v>1.0</v>
      </c>
      <c r="G1031" s="25">
        <v>831.0</v>
      </c>
      <c r="H1031" s="25">
        <v>10.0</v>
      </c>
      <c r="I1031" s="26">
        <f t="array" ref="I1031">XLOOKUP($A1031,product!A:A,product!E:E)</f>
        <v>3.38</v>
      </c>
      <c r="J1031" s="25">
        <f t="shared" si="2"/>
        <v>33.8</v>
      </c>
      <c r="K1031" s="27">
        <f t="shared" si="3"/>
        <v>1</v>
      </c>
      <c r="L1031" s="25">
        <f t="shared" si="4"/>
        <v>1</v>
      </c>
    </row>
    <row r="1032">
      <c r="A1032" s="19">
        <v>29499.0</v>
      </c>
      <c r="B1032" s="20" t="str">
        <f t="array" ref="B1032">xlookup($A1032,product!$A:$A,product!B:B)</f>
        <v>Beauté &amp; Hygiène</v>
      </c>
      <c r="C1032" s="20" t="str">
        <f t="array" ref="C1032">xlookup($A1032,product!$A:$A,product!C:C)</f>
        <v>Maquillage</v>
      </c>
      <c r="D1032" s="20" t="str">
        <f t="array" ref="D1032">xlookup($A1032,product!$A:$A,product!D:D)</f>
        <v>Les Yeux</v>
      </c>
      <c r="E1032" s="4" t="str">
        <f t="shared" si="1"/>
        <v>29499-Maquillage-Les Yeux</v>
      </c>
      <c r="F1032" s="4">
        <v>0.0</v>
      </c>
      <c r="G1032" s="4">
        <v>331.0</v>
      </c>
      <c r="H1032" s="4">
        <v>18.0</v>
      </c>
      <c r="I1032" s="21">
        <f t="array" ref="I1032">XLOOKUP($A1032,product!A:A,product!E:E)</f>
        <v>3.38</v>
      </c>
      <c r="J1032" s="4">
        <f t="shared" si="2"/>
        <v>60.84</v>
      </c>
      <c r="K1032" s="22">
        <f t="shared" si="3"/>
        <v>1</v>
      </c>
      <c r="L1032" s="4">
        <f t="shared" si="4"/>
        <v>1</v>
      </c>
    </row>
    <row r="1033">
      <c r="A1033" s="23">
        <v>30683.0</v>
      </c>
      <c r="B1033" s="24" t="str">
        <f t="array" ref="B1033">xlookup($A1033,product!$A:$A,product!B:B)</f>
        <v>Beauté &amp; Hygiène</v>
      </c>
      <c r="C1033" s="24" t="str">
        <f t="array" ref="C1033">xlookup($A1033,product!$A:$A,product!C:C)</f>
        <v>Maquillage</v>
      </c>
      <c r="D1033" s="24" t="str">
        <f t="array" ref="D1033">xlookup($A1033,product!$A:$A,product!D:D)</f>
        <v>Les Yeux</v>
      </c>
      <c r="E1033" s="25" t="str">
        <f t="shared" si="1"/>
        <v>30683-Maquillage-Les Yeux</v>
      </c>
      <c r="F1033" s="25">
        <v>1.0</v>
      </c>
      <c r="G1033" s="25">
        <v>24.0</v>
      </c>
      <c r="H1033" s="25">
        <v>15.0</v>
      </c>
      <c r="I1033" s="26">
        <f t="array" ref="I1033">XLOOKUP($A1033,product!A:A,product!E:E)</f>
        <v>3.35</v>
      </c>
      <c r="J1033" s="25">
        <f t="shared" si="2"/>
        <v>50.25</v>
      </c>
      <c r="K1033" s="27">
        <f t="shared" si="3"/>
        <v>1</v>
      </c>
      <c r="L1033" s="25">
        <f t="shared" si="4"/>
        <v>1</v>
      </c>
    </row>
    <row r="1034">
      <c r="A1034" s="19">
        <v>69906.0</v>
      </c>
      <c r="B1034" s="20" t="str">
        <f t="array" ref="B1034">xlookup($A1034,product!$A:$A,product!B:B)</f>
        <v>Beauté &amp; Hygiène</v>
      </c>
      <c r="C1034" s="20" t="str">
        <f t="array" ref="C1034">xlookup($A1034,product!$A:$A,product!C:C)</f>
        <v>Maquillage</v>
      </c>
      <c r="D1034" s="20" t="str">
        <f t="array" ref="D1034">xlookup($A1034,product!$A:$A,product!D:D)</f>
        <v>Les Yeux</v>
      </c>
      <c r="E1034" s="4" t="str">
        <f t="shared" si="1"/>
        <v>69906-Maquillage-Les Yeux</v>
      </c>
      <c r="F1034" s="4">
        <v>0.0</v>
      </c>
      <c r="G1034" s="4">
        <v>906.0</v>
      </c>
      <c r="H1034" s="4">
        <v>878.0</v>
      </c>
      <c r="I1034" s="21">
        <f t="array" ref="I1034">XLOOKUP($A1034,product!A:A,product!E:E)</f>
        <v>7.5</v>
      </c>
      <c r="J1034" s="4">
        <f t="shared" si="2"/>
        <v>6585</v>
      </c>
      <c r="K1034" s="22">
        <f t="shared" si="3"/>
        <v>1</v>
      </c>
      <c r="L1034" s="4">
        <f t="shared" si="4"/>
        <v>1</v>
      </c>
    </row>
    <row r="1035">
      <c r="A1035" s="23">
        <v>90174.0</v>
      </c>
      <c r="B1035" s="24" t="str">
        <f t="array" ref="B1035">xlookup($A1035,product!$A:$A,product!B:B)</f>
        <v>Beauté &amp; Hygiène</v>
      </c>
      <c r="C1035" s="24" t="str">
        <f t="array" ref="C1035">xlookup($A1035,product!$A:$A,product!C:C)</f>
        <v>Maquillage</v>
      </c>
      <c r="D1035" s="24" t="str">
        <f t="array" ref="D1035">xlookup($A1035,product!$A:$A,product!D:D)</f>
        <v>Les Yeux</v>
      </c>
      <c r="E1035" s="25" t="str">
        <f t="shared" si="1"/>
        <v>90174-Maquillage-Les Yeux</v>
      </c>
      <c r="F1035" s="25">
        <v>0.0</v>
      </c>
      <c r="G1035" s="25">
        <v>309.0</v>
      </c>
      <c r="H1035" s="25">
        <v>46.0</v>
      </c>
      <c r="I1035" s="26">
        <f t="array" ref="I1035">XLOOKUP($A1035,product!A:A,product!E:E)</f>
        <v>3.58</v>
      </c>
      <c r="J1035" s="25">
        <f t="shared" si="2"/>
        <v>164.68</v>
      </c>
      <c r="K1035" s="27">
        <f t="shared" si="3"/>
        <v>1</v>
      </c>
      <c r="L1035" s="25">
        <f t="shared" si="4"/>
        <v>1</v>
      </c>
    </row>
    <row r="1036">
      <c r="A1036" s="19">
        <v>90168.0</v>
      </c>
      <c r="B1036" s="20" t="str">
        <f t="array" ref="B1036">xlookup($A1036,product!$A:$A,product!B:B)</f>
        <v>Beauté &amp; Hygiène</v>
      </c>
      <c r="C1036" s="20" t="str">
        <f t="array" ref="C1036">xlookup($A1036,product!$A:$A,product!C:C)</f>
        <v>Maquillage</v>
      </c>
      <c r="D1036" s="20" t="str">
        <f t="array" ref="D1036">xlookup($A1036,product!$A:$A,product!D:D)</f>
        <v>Les Yeux</v>
      </c>
      <c r="E1036" s="4" t="str">
        <f t="shared" si="1"/>
        <v>90168-Maquillage-Les Yeux</v>
      </c>
      <c r="F1036" s="4">
        <v>0.0</v>
      </c>
      <c r="G1036" s="4">
        <v>598.0</v>
      </c>
      <c r="H1036" s="4">
        <v>297.0</v>
      </c>
      <c r="I1036" s="21">
        <f t="array" ref="I1036">XLOOKUP($A1036,product!A:A,product!E:E)</f>
        <v>3.52</v>
      </c>
      <c r="J1036" s="4">
        <f t="shared" si="2"/>
        <v>1045.44</v>
      </c>
      <c r="K1036" s="22">
        <f t="shared" si="3"/>
        <v>1</v>
      </c>
      <c r="L1036" s="4">
        <f t="shared" si="4"/>
        <v>1</v>
      </c>
    </row>
    <row r="1037">
      <c r="A1037" s="23">
        <v>79488.0</v>
      </c>
      <c r="B1037" s="24" t="str">
        <f t="array" ref="B1037">xlookup($A1037,product!$A:$A,product!B:B)</f>
        <v>Beauté &amp; Hygiène</v>
      </c>
      <c r="C1037" s="24" t="str">
        <f t="array" ref="C1037">xlookup($A1037,product!$A:$A,product!C:C)</f>
        <v>Maquillage</v>
      </c>
      <c r="D1037" s="24" t="str">
        <f t="array" ref="D1037">xlookup($A1037,product!$A:$A,product!D:D)</f>
        <v>Les Yeux</v>
      </c>
      <c r="E1037" s="25" t="str">
        <f t="shared" si="1"/>
        <v>79488-Maquillage-Les Yeux</v>
      </c>
      <c r="F1037" s="25">
        <v>0.0</v>
      </c>
      <c r="G1037" s="25">
        <v>844.0</v>
      </c>
      <c r="H1037" s="25">
        <v>359.0</v>
      </c>
      <c r="I1037" s="26">
        <f t="array" ref="I1037">XLOOKUP($A1037,product!A:A,product!E:E)</f>
        <v>15.07</v>
      </c>
      <c r="J1037" s="25">
        <f t="shared" si="2"/>
        <v>5410.13</v>
      </c>
      <c r="K1037" s="27">
        <f t="shared" si="3"/>
        <v>1</v>
      </c>
      <c r="L1037" s="25">
        <f t="shared" si="4"/>
        <v>1</v>
      </c>
    </row>
    <row r="1038">
      <c r="A1038" s="19">
        <v>119640.0</v>
      </c>
      <c r="B1038" s="20" t="str">
        <f t="array" ref="B1038">xlookup($A1038,product!$A:$A,product!B:B)</f>
        <v>Beauté &amp; Hygiène</v>
      </c>
      <c r="C1038" s="20" t="str">
        <f t="array" ref="C1038">xlookup($A1038,product!$A:$A,product!C:C)</f>
        <v>Maquillage</v>
      </c>
      <c r="D1038" s="20" t="str">
        <f t="array" ref="D1038">xlookup($A1038,product!$A:$A,product!D:D)</f>
        <v>Les Yeux</v>
      </c>
      <c r="E1038" s="4" t="str">
        <f t="shared" si="1"/>
        <v>119640-Maquillage-Les Yeux</v>
      </c>
      <c r="F1038" s="4">
        <v>0.0</v>
      </c>
      <c r="G1038" s="4">
        <v>861.0</v>
      </c>
      <c r="H1038" s="4">
        <v>532.0</v>
      </c>
      <c r="I1038" s="21">
        <f t="array" ref="I1038">XLOOKUP($A1038,product!A:A,product!E:E)</f>
        <v>6.01</v>
      </c>
      <c r="J1038" s="4">
        <f t="shared" si="2"/>
        <v>3197.32</v>
      </c>
      <c r="K1038" s="22">
        <f t="shared" si="3"/>
        <v>1</v>
      </c>
      <c r="L1038" s="4">
        <f t="shared" si="4"/>
        <v>1</v>
      </c>
    </row>
    <row r="1039">
      <c r="A1039" s="23">
        <v>119515.0</v>
      </c>
      <c r="B1039" s="24" t="str">
        <f t="array" ref="B1039">xlookup($A1039,product!$A:$A,product!B:B)</f>
        <v>Beauté &amp; Hygiène</v>
      </c>
      <c r="C1039" s="24" t="str">
        <f t="array" ref="C1039">xlookup($A1039,product!$A:$A,product!C:C)</f>
        <v>Maquillage</v>
      </c>
      <c r="D1039" s="24" t="str">
        <f t="array" ref="D1039">xlookup($A1039,product!$A:$A,product!D:D)</f>
        <v>Les Yeux</v>
      </c>
      <c r="E1039" s="25" t="str">
        <f t="shared" si="1"/>
        <v>119515-Maquillage-Les Yeux</v>
      </c>
      <c r="F1039" s="25">
        <v>0.0</v>
      </c>
      <c r="G1039" s="25">
        <v>341.0</v>
      </c>
      <c r="H1039" s="25">
        <v>76.0</v>
      </c>
      <c r="I1039" s="26">
        <f t="array" ref="I1039">XLOOKUP($A1039,product!A:A,product!E:E)</f>
        <v>4.41</v>
      </c>
      <c r="J1039" s="25">
        <f t="shared" si="2"/>
        <v>335.16</v>
      </c>
      <c r="K1039" s="27">
        <f t="shared" si="3"/>
        <v>1</v>
      </c>
      <c r="L1039" s="25">
        <f t="shared" si="4"/>
        <v>1</v>
      </c>
    </row>
    <row r="1040">
      <c r="A1040" s="19">
        <v>103685.0</v>
      </c>
      <c r="B1040" s="20" t="str">
        <f t="array" ref="B1040">xlookup($A1040,product!$A:$A,product!B:B)</f>
        <v>Beauté &amp; Hygiène</v>
      </c>
      <c r="C1040" s="20" t="str">
        <f t="array" ref="C1040">xlookup($A1040,product!$A:$A,product!C:C)</f>
        <v>Maquillage</v>
      </c>
      <c r="D1040" s="20" t="str">
        <f t="array" ref="D1040">xlookup($A1040,product!$A:$A,product!D:D)</f>
        <v>Les Yeux</v>
      </c>
      <c r="E1040" s="4" t="str">
        <f t="shared" si="1"/>
        <v>103685-Maquillage-Les Yeux</v>
      </c>
      <c r="F1040" s="4">
        <v>1.0</v>
      </c>
      <c r="G1040" s="4">
        <v>899.0</v>
      </c>
      <c r="H1040" s="4">
        <v>619.0</v>
      </c>
      <c r="I1040" s="21">
        <f t="array" ref="I1040">XLOOKUP($A1040,product!A:A,product!E:E)</f>
        <v>8.68</v>
      </c>
      <c r="J1040" s="4">
        <f t="shared" si="2"/>
        <v>5372.92</v>
      </c>
      <c r="K1040" s="22">
        <f t="shared" si="3"/>
        <v>1</v>
      </c>
      <c r="L1040" s="4">
        <f t="shared" si="4"/>
        <v>1</v>
      </c>
    </row>
    <row r="1041">
      <c r="A1041" s="23">
        <v>111617.0</v>
      </c>
      <c r="B1041" s="24" t="str">
        <f t="array" ref="B1041">xlookup($A1041,product!$A:$A,product!B:B)</f>
        <v>Beauté &amp; Hygiène</v>
      </c>
      <c r="C1041" s="24" t="str">
        <f t="array" ref="C1041">xlookup($A1041,product!$A:$A,product!C:C)</f>
        <v>Maquillage</v>
      </c>
      <c r="D1041" s="24" t="str">
        <f t="array" ref="D1041">xlookup($A1041,product!$A:$A,product!D:D)</f>
        <v>Les Yeux</v>
      </c>
      <c r="E1041" s="25" t="str">
        <f t="shared" si="1"/>
        <v>111617-Maquillage-Les Yeux</v>
      </c>
      <c r="F1041" s="25">
        <v>0.0</v>
      </c>
      <c r="G1041" s="25">
        <v>115.0</v>
      </c>
      <c r="H1041" s="25">
        <v>10.0</v>
      </c>
      <c r="I1041" s="26">
        <f t="array" ref="I1041">XLOOKUP($A1041,product!A:A,product!E:E)</f>
        <v>3.38</v>
      </c>
      <c r="J1041" s="25">
        <f t="shared" si="2"/>
        <v>33.8</v>
      </c>
      <c r="K1041" s="27">
        <f t="shared" si="3"/>
        <v>1</v>
      </c>
      <c r="L1041" s="25">
        <f t="shared" si="4"/>
        <v>1</v>
      </c>
    </row>
    <row r="1042">
      <c r="A1042" s="19">
        <v>98637.0</v>
      </c>
      <c r="B1042" s="20" t="str">
        <f t="array" ref="B1042">xlookup($A1042,product!$A:$A,product!B:B)</f>
        <v>Beauté &amp; Hygiène</v>
      </c>
      <c r="C1042" s="20" t="str">
        <f t="array" ref="C1042">xlookup($A1042,product!$A:$A,product!C:C)</f>
        <v>Maquillage</v>
      </c>
      <c r="D1042" s="20" t="str">
        <f t="array" ref="D1042">xlookup($A1042,product!$A:$A,product!D:D)</f>
        <v>Les Yeux</v>
      </c>
      <c r="E1042" s="4" t="str">
        <f t="shared" si="1"/>
        <v>98637-Maquillage-Les Yeux</v>
      </c>
      <c r="F1042" s="4">
        <v>0.0</v>
      </c>
      <c r="G1042" s="4">
        <v>648.0</v>
      </c>
      <c r="H1042" s="4">
        <v>529.0</v>
      </c>
      <c r="I1042" s="21">
        <f t="array" ref="I1042">XLOOKUP($A1042,product!A:A,product!E:E)</f>
        <v>4.95</v>
      </c>
      <c r="J1042" s="4">
        <f t="shared" si="2"/>
        <v>2618.55</v>
      </c>
      <c r="K1042" s="22">
        <f t="shared" si="3"/>
        <v>1</v>
      </c>
      <c r="L1042" s="4">
        <f t="shared" si="4"/>
        <v>1</v>
      </c>
    </row>
    <row r="1043">
      <c r="A1043" s="23">
        <v>90159.0</v>
      </c>
      <c r="B1043" s="24" t="str">
        <f t="array" ref="B1043">xlookup($A1043,product!$A:$A,product!B:B)</f>
        <v>Beauté &amp; Hygiène</v>
      </c>
      <c r="C1043" s="24" t="str">
        <f t="array" ref="C1043">xlookup($A1043,product!$A:$A,product!C:C)</f>
        <v>Maquillage</v>
      </c>
      <c r="D1043" s="24" t="str">
        <f t="array" ref="D1043">xlookup($A1043,product!$A:$A,product!D:D)</f>
        <v>Les Yeux</v>
      </c>
      <c r="E1043" s="25" t="str">
        <f t="shared" si="1"/>
        <v>90159-Maquillage-Les Yeux</v>
      </c>
      <c r="F1043" s="25">
        <v>1.0</v>
      </c>
      <c r="G1043" s="25">
        <v>501.0</v>
      </c>
      <c r="H1043" s="25">
        <v>481.0</v>
      </c>
      <c r="I1043" s="26">
        <f t="array" ref="I1043">XLOOKUP($A1043,product!A:A,product!E:E)</f>
        <v>3.14</v>
      </c>
      <c r="J1043" s="25">
        <f t="shared" si="2"/>
        <v>1510.34</v>
      </c>
      <c r="K1043" s="27">
        <f t="shared" si="3"/>
        <v>1</v>
      </c>
      <c r="L1043" s="25">
        <f t="shared" si="4"/>
        <v>1</v>
      </c>
    </row>
    <row r="1044">
      <c r="A1044" s="19">
        <v>76651.0</v>
      </c>
      <c r="B1044" s="20" t="str">
        <f t="array" ref="B1044">xlookup($A1044,product!$A:$A,product!B:B)</f>
        <v>Beauté &amp; Hygiène</v>
      </c>
      <c r="C1044" s="20" t="str">
        <f t="array" ref="C1044">xlookup($A1044,product!$A:$A,product!C:C)</f>
        <v>Maquillage</v>
      </c>
      <c r="D1044" s="20" t="str">
        <f t="array" ref="D1044">xlookup($A1044,product!$A:$A,product!D:D)</f>
        <v>Les Yeux</v>
      </c>
      <c r="E1044" s="4" t="str">
        <f t="shared" si="1"/>
        <v>76651-Maquillage-Les Yeux</v>
      </c>
      <c r="F1044" s="4">
        <v>0.0</v>
      </c>
      <c r="G1044" s="4">
        <v>799.0</v>
      </c>
      <c r="H1044" s="4">
        <v>766.0</v>
      </c>
      <c r="I1044" s="21">
        <f t="array" ref="I1044">XLOOKUP($A1044,product!A:A,product!E:E)</f>
        <v>1.34</v>
      </c>
      <c r="J1044" s="4">
        <f t="shared" si="2"/>
        <v>1026.44</v>
      </c>
      <c r="K1044" s="22">
        <f t="shared" si="3"/>
        <v>1</v>
      </c>
      <c r="L1044" s="4">
        <f t="shared" si="4"/>
        <v>1</v>
      </c>
    </row>
    <row r="1045">
      <c r="A1045" s="23">
        <v>119531.0</v>
      </c>
      <c r="B1045" s="24" t="str">
        <f t="array" ref="B1045">xlookup($A1045,product!$A:$A,product!B:B)</f>
        <v>Beauté &amp; Hygiène</v>
      </c>
      <c r="C1045" s="24" t="str">
        <f t="array" ref="C1045">xlookup($A1045,product!$A:$A,product!C:C)</f>
        <v>Maquillage</v>
      </c>
      <c r="D1045" s="24" t="str">
        <f t="array" ref="D1045">xlookup($A1045,product!$A:$A,product!D:D)</f>
        <v>Les Yeux</v>
      </c>
      <c r="E1045" s="25" t="str">
        <f t="shared" si="1"/>
        <v>119531-Maquillage-Les Yeux</v>
      </c>
      <c r="F1045" s="25">
        <v>1.0</v>
      </c>
      <c r="G1045" s="25">
        <v>678.0</v>
      </c>
      <c r="H1045" s="25">
        <v>388.0</v>
      </c>
      <c r="I1045" s="26">
        <f t="array" ref="I1045">XLOOKUP($A1045,product!A:A,product!E:E)</f>
        <v>9.75</v>
      </c>
      <c r="J1045" s="25">
        <f t="shared" si="2"/>
        <v>3783</v>
      </c>
      <c r="K1045" s="27">
        <f t="shared" si="3"/>
        <v>1</v>
      </c>
      <c r="L1045" s="25">
        <f t="shared" si="4"/>
        <v>1</v>
      </c>
    </row>
    <row r="1046">
      <c r="A1046" s="19">
        <v>93884.0</v>
      </c>
      <c r="B1046" s="20" t="str">
        <f t="array" ref="B1046">xlookup($A1046,product!$A:$A,product!B:B)</f>
        <v>Beauté &amp; Hygiène</v>
      </c>
      <c r="C1046" s="20" t="str">
        <f t="array" ref="C1046">xlookup($A1046,product!$A:$A,product!C:C)</f>
        <v>Maquillage</v>
      </c>
      <c r="D1046" s="20" t="str">
        <f t="array" ref="D1046">xlookup($A1046,product!$A:$A,product!D:D)</f>
        <v>Les Yeux</v>
      </c>
      <c r="E1046" s="4" t="str">
        <f t="shared" si="1"/>
        <v>93884-Maquillage-Les Yeux</v>
      </c>
      <c r="F1046" s="4">
        <v>0.0</v>
      </c>
      <c r="G1046" s="4">
        <v>176.0</v>
      </c>
      <c r="H1046" s="4">
        <v>39.0</v>
      </c>
      <c r="I1046" s="21">
        <f t="array" ref="I1046">XLOOKUP($A1046,product!A:A,product!E:E)</f>
        <v>4.97</v>
      </c>
      <c r="J1046" s="4">
        <f t="shared" si="2"/>
        <v>193.83</v>
      </c>
      <c r="K1046" s="22">
        <f t="shared" si="3"/>
        <v>1</v>
      </c>
      <c r="L1046" s="4">
        <f t="shared" si="4"/>
        <v>1</v>
      </c>
    </row>
    <row r="1047">
      <c r="A1047" s="23">
        <v>79467.0</v>
      </c>
      <c r="B1047" s="24" t="str">
        <f t="array" ref="B1047">xlookup($A1047,product!$A:$A,product!B:B)</f>
        <v>Beauté &amp; Hygiène</v>
      </c>
      <c r="C1047" s="24" t="str">
        <f t="array" ref="C1047">xlookup($A1047,product!$A:$A,product!C:C)</f>
        <v>Maquillage</v>
      </c>
      <c r="D1047" s="24" t="str">
        <f t="array" ref="D1047">xlookup($A1047,product!$A:$A,product!D:D)</f>
        <v>Les Yeux</v>
      </c>
      <c r="E1047" s="25" t="str">
        <f t="shared" si="1"/>
        <v>79467-Maquillage-Les Yeux</v>
      </c>
      <c r="F1047" s="25">
        <v>1.0</v>
      </c>
      <c r="G1047" s="25">
        <v>709.0</v>
      </c>
      <c r="H1047" s="25">
        <v>613.0</v>
      </c>
      <c r="I1047" s="26">
        <f t="array" ref="I1047">XLOOKUP($A1047,product!A:A,product!E:E)</f>
        <v>6.71</v>
      </c>
      <c r="J1047" s="25">
        <f t="shared" si="2"/>
        <v>4113.23</v>
      </c>
      <c r="K1047" s="27">
        <f t="shared" si="3"/>
        <v>1</v>
      </c>
      <c r="L1047" s="25">
        <f t="shared" si="4"/>
        <v>1</v>
      </c>
    </row>
    <row r="1048">
      <c r="A1048" s="19">
        <v>29532.0</v>
      </c>
      <c r="B1048" s="20" t="str">
        <f t="array" ref="B1048">xlookup($A1048,product!$A:$A,product!B:B)</f>
        <v>Beauté &amp; Hygiène</v>
      </c>
      <c r="C1048" s="20" t="str">
        <f t="array" ref="C1048">xlookup($A1048,product!$A:$A,product!C:C)</f>
        <v>Maquillage</v>
      </c>
      <c r="D1048" s="20" t="str">
        <f t="array" ref="D1048">xlookup($A1048,product!$A:$A,product!D:D)</f>
        <v>Les Yeux</v>
      </c>
      <c r="E1048" s="4" t="str">
        <f t="shared" si="1"/>
        <v>29532-Maquillage-Les Yeux</v>
      </c>
      <c r="F1048" s="4">
        <v>1.0</v>
      </c>
      <c r="G1048" s="4">
        <v>92.0</v>
      </c>
      <c r="H1048" s="4">
        <v>35.0</v>
      </c>
      <c r="I1048" s="21">
        <f t="array" ref="I1048">XLOOKUP($A1048,product!A:A,product!E:E)</f>
        <v>1.34</v>
      </c>
      <c r="J1048" s="4">
        <f t="shared" si="2"/>
        <v>46.9</v>
      </c>
      <c r="K1048" s="22">
        <f t="shared" si="3"/>
        <v>1</v>
      </c>
      <c r="L1048" s="4">
        <f t="shared" si="4"/>
        <v>1</v>
      </c>
    </row>
    <row r="1049">
      <c r="A1049" s="23">
        <v>104063.0</v>
      </c>
      <c r="B1049" s="24" t="str">
        <f t="array" ref="B1049">xlookup($A1049,product!$A:$A,product!B:B)</f>
        <v>Beauté &amp; Hygiène</v>
      </c>
      <c r="C1049" s="24" t="str">
        <f t="array" ref="C1049">xlookup($A1049,product!$A:$A,product!C:C)</f>
        <v>Maquillage</v>
      </c>
      <c r="D1049" s="24" t="str">
        <f t="array" ref="D1049">xlookup($A1049,product!$A:$A,product!D:D)</f>
        <v>Les Yeux</v>
      </c>
      <c r="E1049" s="25" t="str">
        <f t="shared" si="1"/>
        <v>104063-Maquillage-Les Yeux</v>
      </c>
      <c r="F1049" s="25">
        <v>1.0</v>
      </c>
      <c r="G1049" s="25">
        <v>352.0</v>
      </c>
      <c r="H1049" s="25">
        <v>97.0</v>
      </c>
      <c r="I1049" s="26">
        <f t="array" ref="I1049">XLOOKUP($A1049,product!A:A,product!E:E)</f>
        <v>5.61</v>
      </c>
      <c r="J1049" s="25">
        <f t="shared" si="2"/>
        <v>544.17</v>
      </c>
      <c r="K1049" s="27">
        <f t="shared" si="3"/>
        <v>1</v>
      </c>
      <c r="L1049" s="25">
        <f t="shared" si="4"/>
        <v>1</v>
      </c>
    </row>
    <row r="1050">
      <c r="A1050" s="19">
        <v>90166.0</v>
      </c>
      <c r="B1050" s="20" t="str">
        <f t="array" ref="B1050">xlookup($A1050,product!$A:$A,product!B:B)</f>
        <v>Beauté &amp; Hygiène</v>
      </c>
      <c r="C1050" s="20" t="str">
        <f t="array" ref="C1050">xlookup($A1050,product!$A:$A,product!C:C)</f>
        <v>Maquillage</v>
      </c>
      <c r="D1050" s="20" t="str">
        <f t="array" ref="D1050">xlookup($A1050,product!$A:$A,product!D:D)</f>
        <v>Les Yeux</v>
      </c>
      <c r="E1050" s="4" t="str">
        <f t="shared" si="1"/>
        <v>90166-Maquillage-Les Yeux</v>
      </c>
      <c r="F1050" s="4">
        <v>0.0</v>
      </c>
      <c r="G1050" s="4">
        <v>731.0</v>
      </c>
      <c r="H1050" s="4">
        <v>123.0</v>
      </c>
      <c r="I1050" s="21">
        <f t="array" ref="I1050">XLOOKUP($A1050,product!A:A,product!E:E)</f>
        <v>3.14</v>
      </c>
      <c r="J1050" s="4">
        <f t="shared" si="2"/>
        <v>386.22</v>
      </c>
      <c r="K1050" s="22">
        <f t="shared" si="3"/>
        <v>1</v>
      </c>
      <c r="L1050" s="4">
        <f t="shared" si="4"/>
        <v>1</v>
      </c>
    </row>
    <row r="1051">
      <c r="A1051" s="23">
        <v>29538.0</v>
      </c>
      <c r="B1051" s="24" t="str">
        <f t="array" ref="B1051">xlookup($A1051,product!$A:$A,product!B:B)</f>
        <v>Beauté &amp; Hygiène</v>
      </c>
      <c r="C1051" s="24" t="str">
        <f t="array" ref="C1051">xlookup($A1051,product!$A:$A,product!C:C)</f>
        <v>Maquillage</v>
      </c>
      <c r="D1051" s="24" t="str">
        <f t="array" ref="D1051">xlookup($A1051,product!$A:$A,product!D:D)</f>
        <v>Les Yeux</v>
      </c>
      <c r="E1051" s="25" t="str">
        <f t="shared" si="1"/>
        <v>29538-Maquillage-Les Yeux</v>
      </c>
      <c r="F1051" s="25">
        <v>1.0</v>
      </c>
      <c r="G1051" s="25">
        <v>972.0</v>
      </c>
      <c r="H1051" s="25">
        <v>69.0</v>
      </c>
      <c r="I1051" s="26">
        <f t="array" ref="I1051">XLOOKUP($A1051,product!A:A,product!E:E)</f>
        <v>1.34</v>
      </c>
      <c r="J1051" s="25">
        <f t="shared" si="2"/>
        <v>92.46</v>
      </c>
      <c r="K1051" s="27">
        <f t="shared" si="3"/>
        <v>1</v>
      </c>
      <c r="L1051" s="25">
        <f t="shared" si="4"/>
        <v>1</v>
      </c>
    </row>
    <row r="1052">
      <c r="A1052" s="19">
        <v>70538.0</v>
      </c>
      <c r="B1052" s="20" t="str">
        <f t="array" ref="B1052">xlookup($A1052,product!$A:$A,product!B:B)</f>
        <v>Beauté &amp; Hygiène</v>
      </c>
      <c r="C1052" s="20" t="str">
        <f t="array" ref="C1052">xlookup($A1052,product!$A:$A,product!C:C)</f>
        <v>Maquillage</v>
      </c>
      <c r="D1052" s="20" t="str">
        <f t="array" ref="D1052">xlookup($A1052,product!$A:$A,product!D:D)</f>
        <v>Les Yeux</v>
      </c>
      <c r="E1052" s="4" t="str">
        <f t="shared" si="1"/>
        <v>70538-Maquillage-Les Yeux</v>
      </c>
      <c r="F1052" s="4">
        <v>0.0</v>
      </c>
      <c r="G1052" s="4">
        <v>372.0</v>
      </c>
      <c r="H1052" s="4">
        <v>190.0</v>
      </c>
      <c r="I1052" s="21">
        <f t="array" ref="I1052">XLOOKUP($A1052,product!A:A,product!E:E)</f>
        <v>6.73</v>
      </c>
      <c r="J1052" s="4">
        <f t="shared" si="2"/>
        <v>1278.7</v>
      </c>
      <c r="K1052" s="22">
        <f t="shared" si="3"/>
        <v>1</v>
      </c>
      <c r="L1052" s="4">
        <f t="shared" si="4"/>
        <v>1</v>
      </c>
    </row>
    <row r="1053">
      <c r="A1053" s="23">
        <v>93893.0</v>
      </c>
      <c r="B1053" s="24" t="str">
        <f t="array" ref="B1053">xlookup($A1053,product!$A:$A,product!B:B)</f>
        <v>Beauté &amp; Hygiène</v>
      </c>
      <c r="C1053" s="24" t="str">
        <f t="array" ref="C1053">xlookup($A1053,product!$A:$A,product!C:C)</f>
        <v>Maquillage</v>
      </c>
      <c r="D1053" s="24" t="str">
        <f t="array" ref="D1053">xlookup($A1053,product!$A:$A,product!D:D)</f>
        <v>Les Yeux</v>
      </c>
      <c r="E1053" s="25" t="str">
        <f t="shared" si="1"/>
        <v>93893-Maquillage-Les Yeux</v>
      </c>
      <c r="F1053" s="25">
        <v>1.0</v>
      </c>
      <c r="G1053" s="25">
        <v>531.0</v>
      </c>
      <c r="H1053" s="25">
        <v>353.0</v>
      </c>
      <c r="I1053" s="26">
        <f t="array" ref="I1053">XLOOKUP($A1053,product!A:A,product!E:E)</f>
        <v>4.97</v>
      </c>
      <c r="J1053" s="25">
        <f t="shared" si="2"/>
        <v>1754.41</v>
      </c>
      <c r="K1053" s="27">
        <f t="shared" si="3"/>
        <v>1</v>
      </c>
      <c r="L1053" s="25">
        <f t="shared" si="4"/>
        <v>1</v>
      </c>
    </row>
    <row r="1054">
      <c r="A1054" s="19">
        <v>119518.0</v>
      </c>
      <c r="B1054" s="20" t="str">
        <f t="array" ref="B1054">xlookup($A1054,product!$A:$A,product!B:B)</f>
        <v>Beauté &amp; Hygiène</v>
      </c>
      <c r="C1054" s="20" t="str">
        <f t="array" ref="C1054">xlookup($A1054,product!$A:$A,product!C:C)</f>
        <v>Maquillage</v>
      </c>
      <c r="D1054" s="20" t="str">
        <f t="array" ref="D1054">xlookup($A1054,product!$A:$A,product!D:D)</f>
        <v>Les Yeux</v>
      </c>
      <c r="E1054" s="4" t="str">
        <f t="shared" si="1"/>
        <v>119518-Maquillage-Les Yeux</v>
      </c>
      <c r="F1054" s="4">
        <v>1.0</v>
      </c>
      <c r="G1054" s="4">
        <v>511.0</v>
      </c>
      <c r="H1054" s="4">
        <v>98.0</v>
      </c>
      <c r="I1054" s="21">
        <f t="array" ref="I1054">XLOOKUP($A1054,product!A:A,product!E:E)</f>
        <v>4.41</v>
      </c>
      <c r="J1054" s="4">
        <f t="shared" si="2"/>
        <v>432.18</v>
      </c>
      <c r="K1054" s="22">
        <f t="shared" si="3"/>
        <v>1</v>
      </c>
      <c r="L1054" s="4">
        <f t="shared" si="4"/>
        <v>1</v>
      </c>
    </row>
    <row r="1055">
      <c r="A1055" s="23">
        <v>111338.0</v>
      </c>
      <c r="B1055" s="24" t="str">
        <f t="array" ref="B1055">xlookup($A1055,product!$A:$A,product!B:B)</f>
        <v>Beauté &amp; Hygiène</v>
      </c>
      <c r="C1055" s="24" t="str">
        <f t="array" ref="C1055">xlookup($A1055,product!$A:$A,product!C:C)</f>
        <v>Maquillage</v>
      </c>
      <c r="D1055" s="24" t="str">
        <f t="array" ref="D1055">xlookup($A1055,product!$A:$A,product!D:D)</f>
        <v>Les Yeux</v>
      </c>
      <c r="E1055" s="25" t="str">
        <f t="shared" si="1"/>
        <v>111338-Maquillage-Les Yeux</v>
      </c>
      <c r="F1055" s="25">
        <v>0.0</v>
      </c>
      <c r="G1055" s="25">
        <v>826.0</v>
      </c>
      <c r="H1055" s="25">
        <v>84.0</v>
      </c>
      <c r="I1055" s="26">
        <f t="array" ref="I1055">XLOOKUP($A1055,product!A:A,product!E:E)</f>
        <v>4.05</v>
      </c>
      <c r="J1055" s="25">
        <f t="shared" si="2"/>
        <v>340.2</v>
      </c>
      <c r="K1055" s="27">
        <f t="shared" si="3"/>
        <v>1</v>
      </c>
      <c r="L1055" s="25">
        <f t="shared" si="4"/>
        <v>1</v>
      </c>
    </row>
    <row r="1056">
      <c r="A1056" s="19">
        <v>100435.0</v>
      </c>
      <c r="B1056" s="20" t="str">
        <f t="array" ref="B1056">xlookup($A1056,product!$A:$A,product!B:B)</f>
        <v>Beauté &amp; Hygiène</v>
      </c>
      <c r="C1056" s="20" t="str">
        <f t="array" ref="C1056">xlookup($A1056,product!$A:$A,product!C:C)</f>
        <v>Maquillage</v>
      </c>
      <c r="D1056" s="20" t="str">
        <f t="array" ref="D1056">xlookup($A1056,product!$A:$A,product!D:D)</f>
        <v>Les Yeux</v>
      </c>
      <c r="E1056" s="4" t="str">
        <f t="shared" si="1"/>
        <v>100435-Maquillage-Les Yeux</v>
      </c>
      <c r="F1056" s="4">
        <v>0.0</v>
      </c>
      <c r="G1056" s="4">
        <v>221.0</v>
      </c>
      <c r="H1056" s="4">
        <v>69.0</v>
      </c>
      <c r="I1056" s="21">
        <f t="array" ref="I1056">XLOOKUP($A1056,product!A:A,product!E:E)</f>
        <v>3.38</v>
      </c>
      <c r="J1056" s="4">
        <f t="shared" si="2"/>
        <v>233.22</v>
      </c>
      <c r="K1056" s="22">
        <f t="shared" si="3"/>
        <v>1</v>
      </c>
      <c r="L1056" s="4">
        <f t="shared" si="4"/>
        <v>1</v>
      </c>
    </row>
    <row r="1057">
      <c r="A1057" s="23">
        <v>89130.0</v>
      </c>
      <c r="B1057" s="24" t="str">
        <f t="array" ref="B1057">xlookup($A1057,product!$A:$A,product!B:B)</f>
        <v>Beauté &amp; Hygiène</v>
      </c>
      <c r="C1057" s="24" t="str">
        <f t="array" ref="C1057">xlookup($A1057,product!$A:$A,product!C:C)</f>
        <v>Maquillage</v>
      </c>
      <c r="D1057" s="24" t="str">
        <f t="array" ref="D1057">xlookup($A1057,product!$A:$A,product!D:D)</f>
        <v>Les Yeux</v>
      </c>
      <c r="E1057" s="25" t="str">
        <f t="shared" si="1"/>
        <v>89130-Maquillage-Les Yeux</v>
      </c>
      <c r="F1057" s="25">
        <v>1.0</v>
      </c>
      <c r="G1057" s="25">
        <v>666.0</v>
      </c>
      <c r="H1057" s="25">
        <v>468.0</v>
      </c>
      <c r="I1057" s="26">
        <f t="array" ref="I1057">XLOOKUP($A1057,product!A:A,product!E:E)</f>
        <v>3.38</v>
      </c>
      <c r="J1057" s="25">
        <f t="shared" si="2"/>
        <v>1581.84</v>
      </c>
      <c r="K1057" s="27">
        <f t="shared" si="3"/>
        <v>1</v>
      </c>
      <c r="L1057" s="25">
        <f t="shared" si="4"/>
        <v>1</v>
      </c>
    </row>
    <row r="1058">
      <c r="A1058" s="19">
        <v>103695.0</v>
      </c>
      <c r="B1058" s="20" t="str">
        <f t="array" ref="B1058">xlookup($A1058,product!$A:$A,product!B:B)</f>
        <v>Beauté &amp; Hygiène</v>
      </c>
      <c r="C1058" s="20" t="str">
        <f t="array" ref="C1058">xlookup($A1058,product!$A:$A,product!C:C)</f>
        <v>Maquillage</v>
      </c>
      <c r="D1058" s="20" t="str">
        <f t="array" ref="D1058">xlookup($A1058,product!$A:$A,product!D:D)</f>
        <v>Les Yeux</v>
      </c>
      <c r="E1058" s="4" t="str">
        <f t="shared" si="1"/>
        <v>103695-Maquillage-Les Yeux</v>
      </c>
      <c r="F1058" s="4">
        <v>0.0</v>
      </c>
      <c r="G1058" s="4">
        <v>302.0</v>
      </c>
      <c r="H1058" s="4">
        <v>212.0</v>
      </c>
      <c r="I1058" s="21">
        <f t="array" ref="I1058">XLOOKUP($A1058,product!A:A,product!E:E)</f>
        <v>4.8</v>
      </c>
      <c r="J1058" s="4">
        <f t="shared" si="2"/>
        <v>1017.6</v>
      </c>
      <c r="K1058" s="22">
        <f t="shared" si="3"/>
        <v>1</v>
      </c>
      <c r="L1058" s="4">
        <f t="shared" si="4"/>
        <v>1</v>
      </c>
    </row>
    <row r="1059">
      <c r="A1059" s="23">
        <v>90201.0</v>
      </c>
      <c r="B1059" s="24" t="str">
        <f t="array" ref="B1059">xlookup($A1059,product!$A:$A,product!B:B)</f>
        <v>Beauté &amp; Hygiène</v>
      </c>
      <c r="C1059" s="24" t="str">
        <f t="array" ref="C1059">xlookup($A1059,product!$A:$A,product!C:C)</f>
        <v>Maquillage</v>
      </c>
      <c r="D1059" s="24" t="str">
        <f t="array" ref="D1059">xlookup($A1059,product!$A:$A,product!D:D)</f>
        <v>Les Yeux</v>
      </c>
      <c r="E1059" s="25" t="str">
        <f t="shared" si="1"/>
        <v>90201-Maquillage-Les Yeux</v>
      </c>
      <c r="F1059" s="25">
        <v>1.0</v>
      </c>
      <c r="G1059" s="25">
        <v>205.0</v>
      </c>
      <c r="H1059" s="25">
        <v>139.0</v>
      </c>
      <c r="I1059" s="26">
        <f t="array" ref="I1059">XLOOKUP($A1059,product!A:A,product!E:E)</f>
        <v>4.96</v>
      </c>
      <c r="J1059" s="25">
        <f t="shared" si="2"/>
        <v>689.44</v>
      </c>
      <c r="K1059" s="27">
        <f t="shared" si="3"/>
        <v>1</v>
      </c>
      <c r="L1059" s="25">
        <f t="shared" si="4"/>
        <v>1</v>
      </c>
    </row>
    <row r="1060">
      <c r="A1060" s="19">
        <v>70025.0</v>
      </c>
      <c r="B1060" s="20" t="str">
        <f t="array" ref="B1060">xlookup($A1060,product!$A:$A,product!B:B)</f>
        <v>Beauté &amp; Hygiène</v>
      </c>
      <c r="C1060" s="20" t="str">
        <f t="array" ref="C1060">xlookup($A1060,product!$A:$A,product!C:C)</f>
        <v>Maquillage</v>
      </c>
      <c r="D1060" s="20" t="str">
        <f t="array" ref="D1060">xlookup($A1060,product!$A:$A,product!D:D)</f>
        <v>Les Yeux</v>
      </c>
      <c r="E1060" s="4" t="str">
        <f t="shared" si="1"/>
        <v>70025-Maquillage-Les Yeux</v>
      </c>
      <c r="F1060" s="4">
        <v>0.0</v>
      </c>
      <c r="G1060" s="4">
        <v>479.0</v>
      </c>
      <c r="H1060" s="4">
        <v>324.0</v>
      </c>
      <c r="I1060" s="21">
        <f t="array" ref="I1060">XLOOKUP($A1060,product!A:A,product!E:E)</f>
        <v>1.34</v>
      </c>
      <c r="J1060" s="4">
        <f t="shared" si="2"/>
        <v>434.16</v>
      </c>
      <c r="K1060" s="22">
        <f t="shared" si="3"/>
        <v>1</v>
      </c>
      <c r="L1060" s="4">
        <f t="shared" si="4"/>
        <v>1</v>
      </c>
    </row>
    <row r="1061">
      <c r="A1061" s="23">
        <v>29485.0</v>
      </c>
      <c r="B1061" s="24" t="str">
        <f t="array" ref="B1061">xlookup($A1061,product!$A:$A,product!B:B)</f>
        <v>Beauté &amp; Hygiène</v>
      </c>
      <c r="C1061" s="24" t="str">
        <f t="array" ref="C1061">xlookup($A1061,product!$A:$A,product!C:C)</f>
        <v>Maquillage</v>
      </c>
      <c r="D1061" s="24" t="str">
        <f t="array" ref="D1061">xlookup($A1061,product!$A:$A,product!D:D)</f>
        <v>Les Yeux</v>
      </c>
      <c r="E1061" s="25" t="str">
        <f t="shared" si="1"/>
        <v>29485-Maquillage-Les Yeux</v>
      </c>
      <c r="F1061" s="25">
        <v>0.0</v>
      </c>
      <c r="G1061" s="25">
        <v>593.0</v>
      </c>
      <c r="H1061" s="25">
        <v>537.0</v>
      </c>
      <c r="I1061" s="26">
        <f t="array" ref="I1061">XLOOKUP($A1061,product!A:A,product!E:E)</f>
        <v>3.38</v>
      </c>
      <c r="J1061" s="25">
        <f t="shared" si="2"/>
        <v>1815.06</v>
      </c>
      <c r="K1061" s="27">
        <f t="shared" si="3"/>
        <v>1</v>
      </c>
      <c r="L1061" s="25">
        <f t="shared" si="4"/>
        <v>1</v>
      </c>
    </row>
    <row r="1062">
      <c r="A1062" s="19">
        <v>119530.0</v>
      </c>
      <c r="B1062" s="20" t="str">
        <f t="array" ref="B1062">xlookup($A1062,product!$A:$A,product!B:B)</f>
        <v>Beauté &amp; Hygiène</v>
      </c>
      <c r="C1062" s="20" t="str">
        <f t="array" ref="C1062">xlookup($A1062,product!$A:$A,product!C:C)</f>
        <v>Maquillage</v>
      </c>
      <c r="D1062" s="20" t="str">
        <f t="array" ref="D1062">xlookup($A1062,product!$A:$A,product!D:D)</f>
        <v>Les Yeux</v>
      </c>
      <c r="E1062" s="4" t="str">
        <f t="shared" si="1"/>
        <v>119530-Maquillage-Les Yeux</v>
      </c>
      <c r="F1062" s="4">
        <v>0.0</v>
      </c>
      <c r="G1062" s="4">
        <v>464.0</v>
      </c>
      <c r="H1062" s="4">
        <v>438.0</v>
      </c>
      <c r="I1062" s="21">
        <f t="array" ref="I1062">XLOOKUP($A1062,product!A:A,product!E:E)</f>
        <v>9.75</v>
      </c>
      <c r="J1062" s="4">
        <f t="shared" si="2"/>
        <v>4270.5</v>
      </c>
      <c r="K1062" s="22">
        <f t="shared" si="3"/>
        <v>1</v>
      </c>
      <c r="L1062" s="4">
        <f t="shared" si="4"/>
        <v>1</v>
      </c>
    </row>
    <row r="1063">
      <c r="A1063" s="23">
        <v>103671.0</v>
      </c>
      <c r="B1063" s="24" t="str">
        <f t="array" ref="B1063">xlookup($A1063,product!$A:$A,product!B:B)</f>
        <v>Beauté &amp; Hygiène</v>
      </c>
      <c r="C1063" s="24" t="str">
        <f t="array" ref="C1063">xlookup($A1063,product!$A:$A,product!C:C)</f>
        <v>Maquillage</v>
      </c>
      <c r="D1063" s="24" t="str">
        <f t="array" ref="D1063">xlookup($A1063,product!$A:$A,product!D:D)</f>
        <v>Les Yeux</v>
      </c>
      <c r="E1063" s="25" t="str">
        <f t="shared" si="1"/>
        <v>103671-Maquillage-Les Yeux</v>
      </c>
      <c r="F1063" s="25">
        <v>1.0</v>
      </c>
      <c r="G1063" s="25">
        <v>666.0</v>
      </c>
      <c r="H1063" s="25">
        <v>507.0</v>
      </c>
      <c r="I1063" s="26">
        <f t="array" ref="I1063">XLOOKUP($A1063,product!A:A,product!E:E)</f>
        <v>8.68</v>
      </c>
      <c r="J1063" s="25">
        <f t="shared" si="2"/>
        <v>4400.76</v>
      </c>
      <c r="K1063" s="27">
        <f t="shared" si="3"/>
        <v>1</v>
      </c>
      <c r="L1063" s="25">
        <f t="shared" si="4"/>
        <v>1</v>
      </c>
    </row>
    <row r="1064">
      <c r="A1064" s="19">
        <v>102803.0</v>
      </c>
      <c r="B1064" s="20" t="str">
        <f t="array" ref="B1064">xlookup($A1064,product!$A:$A,product!B:B)</f>
        <v>Beauté &amp; Hygiène</v>
      </c>
      <c r="C1064" s="20" t="str">
        <f t="array" ref="C1064">xlookup($A1064,product!$A:$A,product!C:C)</f>
        <v>Maquillage</v>
      </c>
      <c r="D1064" s="20" t="str">
        <f t="array" ref="D1064">xlookup($A1064,product!$A:$A,product!D:D)</f>
        <v>Les Yeux</v>
      </c>
      <c r="E1064" s="4" t="str">
        <f t="shared" si="1"/>
        <v>102803-Maquillage-Les Yeux</v>
      </c>
      <c r="F1064" s="4">
        <v>1.0</v>
      </c>
      <c r="G1064" s="4">
        <v>211.0</v>
      </c>
      <c r="H1064" s="4">
        <v>118.0</v>
      </c>
      <c r="I1064" s="21">
        <f t="array" ref="I1064">XLOOKUP($A1064,product!A:A,product!E:E)</f>
        <v>14.81</v>
      </c>
      <c r="J1064" s="4">
        <f t="shared" si="2"/>
        <v>1747.58</v>
      </c>
      <c r="K1064" s="22">
        <f t="shared" si="3"/>
        <v>1</v>
      </c>
      <c r="L1064" s="4">
        <f t="shared" si="4"/>
        <v>1</v>
      </c>
    </row>
    <row r="1065">
      <c r="A1065" s="23">
        <v>122156.0</v>
      </c>
      <c r="B1065" s="24" t="str">
        <f t="array" ref="B1065">xlookup($A1065,product!$A:$A,product!B:B)</f>
        <v>Beauté &amp; Hygiène</v>
      </c>
      <c r="C1065" s="24" t="str">
        <f t="array" ref="C1065">xlookup($A1065,product!$A:$A,product!C:C)</f>
        <v>Maquillage</v>
      </c>
      <c r="D1065" s="24" t="str">
        <f t="array" ref="D1065">xlookup($A1065,product!$A:$A,product!D:D)</f>
        <v>Les Ongles</v>
      </c>
      <c r="E1065" s="25" t="str">
        <f t="shared" si="1"/>
        <v>122156-Maquillage-Les Ongles</v>
      </c>
      <c r="F1065" s="25">
        <v>0.0</v>
      </c>
      <c r="G1065" s="25">
        <v>816.0</v>
      </c>
      <c r="H1065" s="25">
        <v>747.0</v>
      </c>
      <c r="I1065" s="26">
        <f t="array" ref="I1065">XLOOKUP($A1065,product!A:A,product!E:E)</f>
        <v>1.45</v>
      </c>
      <c r="J1065" s="25">
        <f t="shared" si="2"/>
        <v>1083.15</v>
      </c>
      <c r="K1065" s="27">
        <f t="shared" si="3"/>
        <v>1</v>
      </c>
      <c r="L1065" s="25">
        <f t="shared" si="4"/>
        <v>1</v>
      </c>
    </row>
    <row r="1066">
      <c r="A1066" s="19">
        <v>103688.0</v>
      </c>
      <c r="B1066" s="20" t="str">
        <f t="array" ref="B1066">xlookup($A1066,product!$A:$A,product!B:B)</f>
        <v>Beauté &amp; Hygiène</v>
      </c>
      <c r="C1066" s="20" t="str">
        <f t="array" ref="C1066">xlookup($A1066,product!$A:$A,product!C:C)</f>
        <v>Maquillage</v>
      </c>
      <c r="D1066" s="20" t="str">
        <f t="array" ref="D1066">xlookup($A1066,product!$A:$A,product!D:D)</f>
        <v>Les Ongles</v>
      </c>
      <c r="E1066" s="4" t="str">
        <f t="shared" si="1"/>
        <v>103688-Maquillage-Les Ongles</v>
      </c>
      <c r="F1066" s="4">
        <v>1.0</v>
      </c>
      <c r="G1066" s="4">
        <v>687.0</v>
      </c>
      <c r="H1066" s="4">
        <v>630.0</v>
      </c>
      <c r="I1066" s="21">
        <f t="array" ref="I1066">XLOOKUP($A1066,product!A:A,product!E:E)</f>
        <v>1.45</v>
      </c>
      <c r="J1066" s="4">
        <f t="shared" si="2"/>
        <v>913.5</v>
      </c>
      <c r="K1066" s="22">
        <f t="shared" si="3"/>
        <v>1</v>
      </c>
      <c r="L1066" s="4">
        <f t="shared" si="4"/>
        <v>1</v>
      </c>
    </row>
    <row r="1067">
      <c r="A1067" s="23">
        <v>128303.0</v>
      </c>
      <c r="B1067" s="24" t="str">
        <f t="array" ref="B1067">xlookup($A1067,product!$A:$A,product!B:B)</f>
        <v>Beauté &amp; Hygiène</v>
      </c>
      <c r="C1067" s="24" t="str">
        <f t="array" ref="C1067">xlookup($A1067,product!$A:$A,product!C:C)</f>
        <v>Maquillage</v>
      </c>
      <c r="D1067" s="24" t="str">
        <f t="array" ref="D1067">xlookup($A1067,product!$A:$A,product!D:D)</f>
        <v>Les Ongles</v>
      </c>
      <c r="E1067" s="25" t="str">
        <f t="shared" si="1"/>
        <v>128303-Maquillage-Les Ongles</v>
      </c>
      <c r="F1067" s="25">
        <v>1.0</v>
      </c>
      <c r="G1067" s="25">
        <v>78.0</v>
      </c>
      <c r="H1067" s="25">
        <v>44.0</v>
      </c>
      <c r="I1067" s="26">
        <f t="array" ref="I1067">XLOOKUP($A1067,product!A:A,product!E:E)</f>
        <v>4.4</v>
      </c>
      <c r="J1067" s="25">
        <f t="shared" si="2"/>
        <v>193.6</v>
      </c>
      <c r="K1067" s="27">
        <f t="shared" si="3"/>
        <v>1</v>
      </c>
      <c r="L1067" s="25">
        <f t="shared" si="4"/>
        <v>1</v>
      </c>
    </row>
    <row r="1068">
      <c r="A1068" s="19">
        <v>122164.0</v>
      </c>
      <c r="B1068" s="20" t="str">
        <f t="array" ref="B1068">xlookup($A1068,product!$A:$A,product!B:B)</f>
        <v>Beauté &amp; Hygiène</v>
      </c>
      <c r="C1068" s="20" t="str">
        <f t="array" ref="C1068">xlookup($A1068,product!$A:$A,product!C:C)</f>
        <v>Maquillage</v>
      </c>
      <c r="D1068" s="20" t="str">
        <f t="array" ref="D1068">xlookup($A1068,product!$A:$A,product!D:D)</f>
        <v>Les Ongles</v>
      </c>
      <c r="E1068" s="4" t="str">
        <f t="shared" si="1"/>
        <v>122164-Maquillage-Les Ongles</v>
      </c>
      <c r="F1068" s="4">
        <v>1.0</v>
      </c>
      <c r="G1068" s="4">
        <v>834.0</v>
      </c>
      <c r="H1068" s="4">
        <v>733.0</v>
      </c>
      <c r="I1068" s="21">
        <f t="array" ref="I1068">XLOOKUP($A1068,product!A:A,product!E:E)</f>
        <v>1.45</v>
      </c>
      <c r="J1068" s="4">
        <f t="shared" si="2"/>
        <v>1062.85</v>
      </c>
      <c r="K1068" s="22">
        <f t="shared" si="3"/>
        <v>1</v>
      </c>
      <c r="L1068" s="4">
        <f t="shared" si="4"/>
        <v>1</v>
      </c>
    </row>
    <row r="1069">
      <c r="A1069" s="23">
        <v>119629.0</v>
      </c>
      <c r="B1069" s="24" t="str">
        <f t="array" ref="B1069">xlookup($A1069,product!$A:$A,product!B:B)</f>
        <v>Beauté &amp; Hygiène</v>
      </c>
      <c r="C1069" s="24" t="str">
        <f t="array" ref="C1069">xlookup($A1069,product!$A:$A,product!C:C)</f>
        <v>Maquillage</v>
      </c>
      <c r="D1069" s="24" t="str">
        <f t="array" ref="D1069">xlookup($A1069,product!$A:$A,product!D:D)</f>
        <v>Les Ongles</v>
      </c>
      <c r="E1069" s="25" t="str">
        <f t="shared" si="1"/>
        <v>119629-Maquillage-Les Ongles</v>
      </c>
      <c r="F1069" s="25">
        <v>1.0</v>
      </c>
      <c r="G1069" s="25">
        <v>516.0</v>
      </c>
      <c r="H1069" s="25">
        <v>456.0</v>
      </c>
      <c r="I1069" s="26">
        <f t="array" ref="I1069">XLOOKUP($A1069,product!A:A,product!E:E)</f>
        <v>3.96</v>
      </c>
      <c r="J1069" s="25">
        <f t="shared" si="2"/>
        <v>1805.76</v>
      </c>
      <c r="K1069" s="27">
        <f t="shared" si="3"/>
        <v>1</v>
      </c>
      <c r="L1069" s="25">
        <f t="shared" si="4"/>
        <v>1</v>
      </c>
    </row>
    <row r="1070">
      <c r="A1070" s="19">
        <v>122238.0</v>
      </c>
      <c r="B1070" s="20" t="str">
        <f t="array" ref="B1070">xlookup($A1070,product!$A:$A,product!B:B)</f>
        <v>Beauté &amp; Hygiène</v>
      </c>
      <c r="C1070" s="20" t="str">
        <f t="array" ref="C1070">xlookup($A1070,product!$A:$A,product!C:C)</f>
        <v>Maquillage</v>
      </c>
      <c r="D1070" s="20" t="str">
        <f t="array" ref="D1070">xlookup($A1070,product!$A:$A,product!D:D)</f>
        <v>Les Ongles</v>
      </c>
      <c r="E1070" s="4" t="str">
        <f t="shared" si="1"/>
        <v>122238-Maquillage-Les Ongles</v>
      </c>
      <c r="F1070" s="4">
        <v>1.0</v>
      </c>
      <c r="G1070" s="4">
        <v>766.0</v>
      </c>
      <c r="H1070" s="4">
        <v>277.0</v>
      </c>
      <c r="I1070" s="21">
        <f t="array" ref="I1070">XLOOKUP($A1070,product!A:A,product!E:E)</f>
        <v>1.45</v>
      </c>
      <c r="J1070" s="4">
        <f t="shared" si="2"/>
        <v>401.65</v>
      </c>
      <c r="K1070" s="22">
        <f t="shared" si="3"/>
        <v>1</v>
      </c>
      <c r="L1070" s="4">
        <f t="shared" si="4"/>
        <v>1</v>
      </c>
    </row>
    <row r="1071">
      <c r="A1071" s="23">
        <v>100106.0</v>
      </c>
      <c r="B1071" s="24" t="str">
        <f t="array" ref="B1071">xlookup($A1071,product!$A:$A,product!B:B)</f>
        <v>Beauté &amp; Hygiène</v>
      </c>
      <c r="C1071" s="24" t="str">
        <f t="array" ref="C1071">xlookup($A1071,product!$A:$A,product!C:C)</f>
        <v>Maquillage</v>
      </c>
      <c r="D1071" s="24" t="str">
        <f t="array" ref="D1071">xlookup($A1071,product!$A:$A,product!D:D)</f>
        <v>Les Ongles</v>
      </c>
      <c r="E1071" s="25" t="str">
        <f t="shared" si="1"/>
        <v>100106-Maquillage-Les Ongles</v>
      </c>
      <c r="F1071" s="25">
        <v>1.0</v>
      </c>
      <c r="G1071" s="25">
        <v>357.0</v>
      </c>
      <c r="H1071" s="25">
        <v>211.0</v>
      </c>
      <c r="I1071" s="26">
        <f t="array" ref="I1071">XLOOKUP($A1071,product!A:A,product!E:E)</f>
        <v>3</v>
      </c>
      <c r="J1071" s="25">
        <f t="shared" si="2"/>
        <v>633</v>
      </c>
      <c r="K1071" s="27">
        <f t="shared" si="3"/>
        <v>1</v>
      </c>
      <c r="L1071" s="25">
        <f t="shared" si="4"/>
        <v>1</v>
      </c>
    </row>
    <row r="1072">
      <c r="A1072" s="19">
        <v>74260.0</v>
      </c>
      <c r="B1072" s="20" t="str">
        <f t="array" ref="B1072">xlookup($A1072,product!$A:$A,product!B:B)</f>
        <v>Beauté &amp; Hygiène</v>
      </c>
      <c r="C1072" s="20" t="str">
        <f t="array" ref="C1072">xlookup($A1072,product!$A:$A,product!C:C)</f>
        <v>Maquillage</v>
      </c>
      <c r="D1072" s="20" t="str">
        <f t="array" ref="D1072">xlookup($A1072,product!$A:$A,product!D:D)</f>
        <v>Les Ongles</v>
      </c>
      <c r="E1072" s="4" t="str">
        <f t="shared" si="1"/>
        <v>74260-Maquillage-Les Ongles</v>
      </c>
      <c r="F1072" s="4">
        <v>0.0</v>
      </c>
      <c r="G1072" s="4">
        <v>284.0</v>
      </c>
      <c r="H1072" s="4">
        <v>223.0</v>
      </c>
      <c r="I1072" s="21">
        <f t="array" ref="I1072">XLOOKUP($A1072,product!A:A,product!E:E)</f>
        <v>1.45</v>
      </c>
      <c r="J1072" s="4">
        <f t="shared" si="2"/>
        <v>323.35</v>
      </c>
      <c r="K1072" s="22">
        <f t="shared" si="3"/>
        <v>1</v>
      </c>
      <c r="L1072" s="4">
        <f t="shared" si="4"/>
        <v>1</v>
      </c>
    </row>
    <row r="1073">
      <c r="A1073" s="23">
        <v>122159.0</v>
      </c>
      <c r="B1073" s="24" t="str">
        <f t="array" ref="B1073">xlookup($A1073,product!$A:$A,product!B:B)</f>
        <v>Beauté &amp; Hygiène</v>
      </c>
      <c r="C1073" s="24" t="str">
        <f t="array" ref="C1073">xlookup($A1073,product!$A:$A,product!C:C)</f>
        <v>Maquillage</v>
      </c>
      <c r="D1073" s="24" t="str">
        <f t="array" ref="D1073">xlookup($A1073,product!$A:$A,product!D:D)</f>
        <v>Les Ongles</v>
      </c>
      <c r="E1073" s="25" t="str">
        <f t="shared" si="1"/>
        <v>122159-Maquillage-Les Ongles</v>
      </c>
      <c r="F1073" s="25">
        <v>0.0</v>
      </c>
      <c r="G1073" s="25">
        <v>270.0</v>
      </c>
      <c r="H1073" s="25">
        <v>102.0</v>
      </c>
      <c r="I1073" s="26">
        <f t="array" ref="I1073">XLOOKUP($A1073,product!A:A,product!E:E)</f>
        <v>1.45</v>
      </c>
      <c r="J1073" s="25">
        <f t="shared" si="2"/>
        <v>147.9</v>
      </c>
      <c r="K1073" s="27">
        <f t="shared" si="3"/>
        <v>1</v>
      </c>
      <c r="L1073" s="25">
        <f t="shared" si="4"/>
        <v>1</v>
      </c>
    </row>
    <row r="1074">
      <c r="A1074" s="19">
        <v>100104.0</v>
      </c>
      <c r="B1074" s="20" t="str">
        <f t="array" ref="B1074">xlookup($A1074,product!$A:$A,product!B:B)</f>
        <v>Beauté &amp; Hygiène</v>
      </c>
      <c r="C1074" s="20" t="str">
        <f t="array" ref="C1074">xlookup($A1074,product!$A:$A,product!C:C)</f>
        <v>Maquillage</v>
      </c>
      <c r="D1074" s="20" t="str">
        <f t="array" ref="D1074">xlookup($A1074,product!$A:$A,product!D:D)</f>
        <v>Les Ongles</v>
      </c>
      <c r="E1074" s="4" t="str">
        <f t="shared" si="1"/>
        <v>100104-Maquillage-Les Ongles</v>
      </c>
      <c r="F1074" s="4">
        <v>1.0</v>
      </c>
      <c r="G1074" s="4">
        <v>814.0</v>
      </c>
      <c r="H1074" s="4">
        <v>72.0</v>
      </c>
      <c r="I1074" s="21">
        <f t="array" ref="I1074">XLOOKUP($A1074,product!A:A,product!E:E)</f>
        <v>3</v>
      </c>
      <c r="J1074" s="4">
        <f t="shared" si="2"/>
        <v>216</v>
      </c>
      <c r="K1074" s="22">
        <f t="shared" si="3"/>
        <v>1</v>
      </c>
      <c r="L1074" s="4">
        <f t="shared" si="4"/>
        <v>1</v>
      </c>
    </row>
    <row r="1075">
      <c r="A1075" s="23">
        <v>103702.0</v>
      </c>
      <c r="B1075" s="24" t="str">
        <f t="array" ref="B1075">xlookup($A1075,product!$A:$A,product!B:B)</f>
        <v>Beauté &amp; Hygiène</v>
      </c>
      <c r="C1075" s="24" t="str">
        <f t="array" ref="C1075">xlookup($A1075,product!$A:$A,product!C:C)</f>
        <v>Maquillage</v>
      </c>
      <c r="D1075" s="24" t="str">
        <f t="array" ref="D1075">xlookup($A1075,product!$A:$A,product!D:D)</f>
        <v>Les Ongles</v>
      </c>
      <c r="E1075" s="25" t="str">
        <f t="shared" si="1"/>
        <v>103702-Maquillage-Les Ongles</v>
      </c>
      <c r="F1075" s="25">
        <v>0.0</v>
      </c>
      <c r="G1075" s="25">
        <v>602.0</v>
      </c>
      <c r="H1075" s="25">
        <v>430.0</v>
      </c>
      <c r="I1075" s="26">
        <f t="array" ref="I1075">XLOOKUP($A1075,product!A:A,product!E:E)</f>
        <v>1.45</v>
      </c>
      <c r="J1075" s="25">
        <f t="shared" si="2"/>
        <v>623.5</v>
      </c>
      <c r="K1075" s="27">
        <f t="shared" si="3"/>
        <v>1</v>
      </c>
      <c r="L1075" s="25">
        <f t="shared" si="4"/>
        <v>1</v>
      </c>
    </row>
    <row r="1076">
      <c r="A1076" s="19">
        <v>103696.0</v>
      </c>
      <c r="B1076" s="20" t="str">
        <f t="array" ref="B1076">xlookup($A1076,product!$A:$A,product!B:B)</f>
        <v>Beauté &amp; Hygiène</v>
      </c>
      <c r="C1076" s="20" t="str">
        <f t="array" ref="C1076">xlookup($A1076,product!$A:$A,product!C:C)</f>
        <v>Maquillage</v>
      </c>
      <c r="D1076" s="20" t="str">
        <f t="array" ref="D1076">xlookup($A1076,product!$A:$A,product!D:D)</f>
        <v>Les Ongles</v>
      </c>
      <c r="E1076" s="4" t="str">
        <f t="shared" si="1"/>
        <v>103696-Maquillage-Les Ongles</v>
      </c>
      <c r="F1076" s="4">
        <v>0.0</v>
      </c>
      <c r="G1076" s="4">
        <v>199.0</v>
      </c>
      <c r="H1076" s="4">
        <v>151.0</v>
      </c>
      <c r="I1076" s="21">
        <f t="array" ref="I1076">XLOOKUP($A1076,product!A:A,product!E:E)</f>
        <v>1.45</v>
      </c>
      <c r="J1076" s="4">
        <f t="shared" si="2"/>
        <v>218.95</v>
      </c>
      <c r="K1076" s="22">
        <f t="shared" si="3"/>
        <v>1</v>
      </c>
      <c r="L1076" s="4">
        <f t="shared" si="4"/>
        <v>1</v>
      </c>
    </row>
    <row r="1077">
      <c r="A1077" s="23">
        <v>111083.0</v>
      </c>
      <c r="B1077" s="24" t="str">
        <f t="array" ref="B1077">xlookup($A1077,product!$A:$A,product!B:B)</f>
        <v>Beauté &amp; Hygiène</v>
      </c>
      <c r="C1077" s="24" t="str">
        <f t="array" ref="C1077">xlookup($A1077,product!$A:$A,product!C:C)</f>
        <v>Maquillage</v>
      </c>
      <c r="D1077" s="24" t="str">
        <f t="array" ref="D1077">xlookup($A1077,product!$A:$A,product!D:D)</f>
        <v>Les Ongles</v>
      </c>
      <c r="E1077" s="25" t="str">
        <f t="shared" si="1"/>
        <v>111083-Maquillage-Les Ongles</v>
      </c>
      <c r="F1077" s="25">
        <v>1.0</v>
      </c>
      <c r="G1077" s="25">
        <v>420.0</v>
      </c>
      <c r="H1077" s="25">
        <v>95.0</v>
      </c>
      <c r="I1077" s="26">
        <f t="array" ref="I1077">XLOOKUP($A1077,product!A:A,product!E:E)</f>
        <v>3.96</v>
      </c>
      <c r="J1077" s="25">
        <f t="shared" si="2"/>
        <v>376.2</v>
      </c>
      <c r="K1077" s="27">
        <f t="shared" si="3"/>
        <v>1</v>
      </c>
      <c r="L1077" s="25">
        <f t="shared" si="4"/>
        <v>1</v>
      </c>
    </row>
    <row r="1078">
      <c r="A1078" s="19">
        <v>76658.0</v>
      </c>
      <c r="B1078" s="20" t="str">
        <f t="array" ref="B1078">xlookup($A1078,product!$A:$A,product!B:B)</f>
        <v>Beauté &amp; Hygiène</v>
      </c>
      <c r="C1078" s="20" t="str">
        <f t="array" ref="C1078">xlookup($A1078,product!$A:$A,product!C:C)</f>
        <v>Maquillage</v>
      </c>
      <c r="D1078" s="20" t="str">
        <f t="array" ref="D1078">xlookup($A1078,product!$A:$A,product!D:D)</f>
        <v>Les Lèvres</v>
      </c>
      <c r="E1078" s="4" t="str">
        <f t="shared" si="1"/>
        <v>76658-Maquillage-Les Lèvres</v>
      </c>
      <c r="F1078" s="4">
        <v>0.0</v>
      </c>
      <c r="G1078" s="4">
        <v>168.0</v>
      </c>
      <c r="H1078" s="4">
        <v>57.0</v>
      </c>
      <c r="I1078" s="21">
        <f t="array" ref="I1078">XLOOKUP($A1078,product!A:A,product!E:E)</f>
        <v>1.85</v>
      </c>
      <c r="J1078" s="4">
        <f t="shared" si="2"/>
        <v>105.45</v>
      </c>
      <c r="K1078" s="22">
        <f t="shared" si="3"/>
        <v>1</v>
      </c>
      <c r="L1078" s="4">
        <f t="shared" si="4"/>
        <v>1</v>
      </c>
    </row>
    <row r="1079">
      <c r="A1079" s="23">
        <v>111339.0</v>
      </c>
      <c r="B1079" s="24" t="str">
        <f t="array" ref="B1079">xlookup($A1079,product!$A:$A,product!B:B)</f>
        <v>Beauté &amp; Hygiène</v>
      </c>
      <c r="C1079" s="24" t="str">
        <f t="array" ref="C1079">xlookup($A1079,product!$A:$A,product!C:C)</f>
        <v>Maquillage</v>
      </c>
      <c r="D1079" s="24" t="str">
        <f t="array" ref="D1079">xlookup($A1079,product!$A:$A,product!D:D)</f>
        <v>Les Lèvres</v>
      </c>
      <c r="E1079" s="25" t="str">
        <f t="shared" si="1"/>
        <v>111339-Maquillage-Les Lèvres</v>
      </c>
      <c r="F1079" s="25">
        <v>1.0</v>
      </c>
      <c r="G1079" s="25">
        <v>783.0</v>
      </c>
      <c r="H1079" s="25">
        <v>607.0</v>
      </c>
      <c r="I1079" s="26">
        <f t="array" ref="I1079">XLOOKUP($A1079,product!A:A,product!E:E)</f>
        <v>4.49</v>
      </c>
      <c r="J1079" s="25">
        <f t="shared" si="2"/>
        <v>2725.43</v>
      </c>
      <c r="K1079" s="27">
        <f t="shared" si="3"/>
        <v>1</v>
      </c>
      <c r="L1079" s="25">
        <f t="shared" si="4"/>
        <v>1</v>
      </c>
    </row>
    <row r="1080">
      <c r="A1080" s="19">
        <v>79491.0</v>
      </c>
      <c r="B1080" s="20" t="str">
        <f t="array" ref="B1080">xlookup($A1080,product!$A:$A,product!B:B)</f>
        <v>Beauté &amp; Hygiène</v>
      </c>
      <c r="C1080" s="20" t="str">
        <f t="array" ref="C1080">xlookup($A1080,product!$A:$A,product!C:C)</f>
        <v>Maquillage</v>
      </c>
      <c r="D1080" s="20" t="str">
        <f t="array" ref="D1080">xlookup($A1080,product!$A:$A,product!D:D)</f>
        <v>Les Lèvres</v>
      </c>
      <c r="E1080" s="4" t="str">
        <f t="shared" si="1"/>
        <v>79491-Maquillage-Les Lèvres</v>
      </c>
      <c r="F1080" s="4">
        <v>1.0</v>
      </c>
      <c r="G1080" s="4">
        <v>86.0</v>
      </c>
      <c r="H1080" s="4">
        <v>30.0</v>
      </c>
      <c r="I1080" s="21">
        <f t="array" ref="I1080">XLOOKUP($A1080,product!A:A,product!E:E)</f>
        <v>5.07</v>
      </c>
      <c r="J1080" s="4">
        <f t="shared" si="2"/>
        <v>152.1</v>
      </c>
      <c r="K1080" s="22">
        <f t="shared" si="3"/>
        <v>1</v>
      </c>
      <c r="L1080" s="4">
        <f t="shared" si="4"/>
        <v>1</v>
      </c>
    </row>
    <row r="1081">
      <c r="A1081" s="23">
        <v>110380.0</v>
      </c>
      <c r="B1081" s="24" t="str">
        <f t="array" ref="B1081">xlookup($A1081,product!$A:$A,product!B:B)</f>
        <v>Beauté &amp; Hygiène</v>
      </c>
      <c r="C1081" s="24" t="str">
        <f t="array" ref="C1081">xlookup($A1081,product!$A:$A,product!C:C)</f>
        <v>Maquillage</v>
      </c>
      <c r="D1081" s="24" t="str">
        <f t="array" ref="D1081">xlookup($A1081,product!$A:$A,product!D:D)</f>
        <v>Les Lèvres</v>
      </c>
      <c r="E1081" s="25" t="str">
        <f t="shared" si="1"/>
        <v>110380-Maquillage-Les Lèvres</v>
      </c>
      <c r="F1081" s="25">
        <v>1.0</v>
      </c>
      <c r="G1081" s="25">
        <v>930.0</v>
      </c>
      <c r="H1081" s="25">
        <v>429.0</v>
      </c>
      <c r="I1081" s="26">
        <f t="array" ref="I1081">XLOOKUP($A1081,product!A:A,product!E:E)</f>
        <v>8.68</v>
      </c>
      <c r="J1081" s="25">
        <f t="shared" si="2"/>
        <v>3723.72</v>
      </c>
      <c r="K1081" s="27">
        <f t="shared" si="3"/>
        <v>1</v>
      </c>
      <c r="L1081" s="25">
        <f t="shared" si="4"/>
        <v>1</v>
      </c>
    </row>
    <row r="1082">
      <c r="A1082" s="19">
        <v>111341.0</v>
      </c>
      <c r="B1082" s="20" t="str">
        <f t="array" ref="B1082">xlookup($A1082,product!$A:$A,product!B:B)</f>
        <v>Beauté &amp; Hygiène</v>
      </c>
      <c r="C1082" s="20" t="str">
        <f t="array" ref="C1082">xlookup($A1082,product!$A:$A,product!C:C)</f>
        <v>Maquillage</v>
      </c>
      <c r="D1082" s="20" t="str">
        <f t="array" ref="D1082">xlookup($A1082,product!$A:$A,product!D:D)</f>
        <v>Les Lèvres</v>
      </c>
      <c r="E1082" s="4" t="str">
        <f t="shared" si="1"/>
        <v>111341-Maquillage-Les Lèvres</v>
      </c>
      <c r="F1082" s="4">
        <v>1.0</v>
      </c>
      <c r="G1082" s="4">
        <v>608.0</v>
      </c>
      <c r="H1082" s="4">
        <v>458.0</v>
      </c>
      <c r="I1082" s="21">
        <f t="array" ref="I1082">XLOOKUP($A1082,product!A:A,product!E:E)</f>
        <v>4.49</v>
      </c>
      <c r="J1082" s="4">
        <f t="shared" si="2"/>
        <v>2056.42</v>
      </c>
      <c r="K1082" s="22">
        <f t="shared" si="3"/>
        <v>1</v>
      </c>
      <c r="L1082" s="4">
        <f t="shared" si="4"/>
        <v>1</v>
      </c>
    </row>
    <row r="1083">
      <c r="A1083" s="23">
        <v>81785.0</v>
      </c>
      <c r="B1083" s="24" t="str">
        <f t="array" ref="B1083">xlookup($A1083,product!$A:$A,product!B:B)</f>
        <v>Beauté &amp; Hygiène</v>
      </c>
      <c r="C1083" s="24" t="str">
        <f t="array" ref="C1083">xlookup($A1083,product!$A:$A,product!C:C)</f>
        <v>Maquillage</v>
      </c>
      <c r="D1083" s="24" t="str">
        <f t="array" ref="D1083">xlookup($A1083,product!$A:$A,product!D:D)</f>
        <v>Les Lèvres</v>
      </c>
      <c r="E1083" s="25" t="str">
        <f t="shared" si="1"/>
        <v>81785-Maquillage-Les Lèvres</v>
      </c>
      <c r="F1083" s="25">
        <v>1.0</v>
      </c>
      <c r="G1083" s="25">
        <v>568.0</v>
      </c>
      <c r="H1083" s="25">
        <v>362.0</v>
      </c>
      <c r="I1083" s="26">
        <f t="array" ref="I1083">XLOOKUP($A1083,product!A:A,product!E:E)</f>
        <v>1.85</v>
      </c>
      <c r="J1083" s="25">
        <f t="shared" si="2"/>
        <v>669.7</v>
      </c>
      <c r="K1083" s="27">
        <f t="shared" si="3"/>
        <v>1</v>
      </c>
      <c r="L1083" s="25">
        <f t="shared" si="4"/>
        <v>1</v>
      </c>
    </row>
    <row r="1084">
      <c r="A1084" s="19">
        <v>89155.0</v>
      </c>
      <c r="B1084" s="20" t="str">
        <f t="array" ref="B1084">xlookup($A1084,product!$A:$A,product!B:B)</f>
        <v>Beauté &amp; Hygiène</v>
      </c>
      <c r="C1084" s="20" t="str">
        <f t="array" ref="C1084">xlookup($A1084,product!$A:$A,product!C:C)</f>
        <v>Maquillage</v>
      </c>
      <c r="D1084" s="20" t="str">
        <f t="array" ref="D1084">xlookup($A1084,product!$A:$A,product!D:D)</f>
        <v>Les Lèvres</v>
      </c>
      <c r="E1084" s="4" t="str">
        <f t="shared" si="1"/>
        <v>89155-Maquillage-Les Lèvres</v>
      </c>
      <c r="F1084" s="4">
        <v>1.0</v>
      </c>
      <c r="G1084" s="4">
        <v>712.0</v>
      </c>
      <c r="H1084" s="4">
        <v>670.0</v>
      </c>
      <c r="I1084" s="21">
        <f t="array" ref="I1084">XLOOKUP($A1084,product!A:A,product!E:E)</f>
        <v>2.97</v>
      </c>
      <c r="J1084" s="4">
        <f t="shared" si="2"/>
        <v>1989.9</v>
      </c>
      <c r="K1084" s="22">
        <f t="shared" si="3"/>
        <v>1</v>
      </c>
      <c r="L1084" s="4">
        <f t="shared" si="4"/>
        <v>1</v>
      </c>
    </row>
    <row r="1085">
      <c r="A1085" s="23">
        <v>90253.0</v>
      </c>
      <c r="B1085" s="24" t="str">
        <f t="array" ref="B1085">xlookup($A1085,product!$A:$A,product!B:B)</f>
        <v>Beauté &amp; Hygiène</v>
      </c>
      <c r="C1085" s="24" t="str">
        <f t="array" ref="C1085">xlookup($A1085,product!$A:$A,product!C:C)</f>
        <v>Maquillage</v>
      </c>
      <c r="D1085" s="24" t="str">
        <f t="array" ref="D1085">xlookup($A1085,product!$A:$A,product!D:D)</f>
        <v>Base de maquillage</v>
      </c>
      <c r="E1085" s="25" t="str">
        <f t="shared" si="1"/>
        <v>90253-Maquillage-Base de maquillage</v>
      </c>
      <c r="F1085" s="25">
        <v>0.0</v>
      </c>
      <c r="G1085" s="25">
        <v>187.0</v>
      </c>
      <c r="H1085" s="25">
        <v>85.0</v>
      </c>
      <c r="I1085" s="26">
        <f t="array" ref="I1085">XLOOKUP($A1085,product!A:A,product!E:E)</f>
        <v>4.05</v>
      </c>
      <c r="J1085" s="25">
        <f t="shared" si="2"/>
        <v>344.25</v>
      </c>
      <c r="K1085" s="27">
        <f t="shared" si="3"/>
        <v>1</v>
      </c>
      <c r="L1085" s="25">
        <f t="shared" si="4"/>
        <v>1</v>
      </c>
    </row>
    <row r="1086">
      <c r="A1086" s="19">
        <v>119544.0</v>
      </c>
      <c r="B1086" s="20" t="str">
        <f t="array" ref="B1086">xlookup($A1086,product!$A:$A,product!B:B)</f>
        <v>Beauté &amp; Hygiène</v>
      </c>
      <c r="C1086" s="20" t="str">
        <f t="array" ref="C1086">xlookup($A1086,product!$A:$A,product!C:C)</f>
        <v>Maquillage</v>
      </c>
      <c r="D1086" s="20" t="str">
        <f t="array" ref="D1086">xlookup($A1086,product!$A:$A,product!D:D)</f>
        <v>Pinceaux et accessoires</v>
      </c>
      <c r="E1086" s="4" t="str">
        <f t="shared" si="1"/>
        <v>119544-Maquillage-Pinceaux et accessoires</v>
      </c>
      <c r="F1086" s="4">
        <v>0.0</v>
      </c>
      <c r="G1086" s="4">
        <v>48.0</v>
      </c>
      <c r="H1086" s="4">
        <v>36.0</v>
      </c>
      <c r="I1086" s="21">
        <f t="array" ref="I1086">XLOOKUP($A1086,product!A:A,product!E:E)</f>
        <v>2.4</v>
      </c>
      <c r="J1086" s="4">
        <f t="shared" si="2"/>
        <v>86.4</v>
      </c>
      <c r="K1086" s="22">
        <f t="shared" si="3"/>
        <v>1</v>
      </c>
      <c r="L1086" s="4">
        <f t="shared" si="4"/>
        <v>1</v>
      </c>
    </row>
    <row r="1087">
      <c r="A1087" s="23">
        <v>108675.0</v>
      </c>
      <c r="B1087" s="24" t="str">
        <f t="array" ref="B1087">xlookup($A1087,product!$A:$A,product!B:B)</f>
        <v>Beauté &amp; Hygiène</v>
      </c>
      <c r="C1087" s="24" t="str">
        <f t="array" ref="C1087">xlookup($A1087,product!$A:$A,product!C:C)</f>
        <v>Maquillage</v>
      </c>
      <c r="D1087" s="24" t="str">
        <f t="array" ref="D1087">xlookup($A1087,product!$A:$A,product!D:D)</f>
        <v>Pinceaux et accessoires</v>
      </c>
      <c r="E1087" s="25" t="str">
        <f t="shared" si="1"/>
        <v>108675-Maquillage-Pinceaux et accessoires</v>
      </c>
      <c r="F1087" s="25">
        <v>1.0</v>
      </c>
      <c r="G1087" s="25">
        <v>82.0</v>
      </c>
      <c r="H1087" s="25">
        <v>27.0</v>
      </c>
      <c r="I1087" s="26">
        <f t="array" ref="I1087">XLOOKUP($A1087,product!A:A,product!E:E)</f>
        <v>3.74</v>
      </c>
      <c r="J1087" s="25">
        <f t="shared" si="2"/>
        <v>100.98</v>
      </c>
      <c r="K1087" s="27">
        <f t="shared" si="3"/>
        <v>1</v>
      </c>
      <c r="L1087" s="25">
        <f t="shared" si="4"/>
        <v>1</v>
      </c>
    </row>
    <row r="1088">
      <c r="A1088" s="19">
        <v>119542.0</v>
      </c>
      <c r="B1088" s="20" t="str">
        <f t="array" ref="B1088">xlookup($A1088,product!$A:$A,product!B:B)</f>
        <v>Beauté &amp; Hygiène</v>
      </c>
      <c r="C1088" s="20" t="str">
        <f t="array" ref="C1088">xlookup($A1088,product!$A:$A,product!C:C)</f>
        <v>Maquillage</v>
      </c>
      <c r="D1088" s="20" t="str">
        <f t="array" ref="D1088">xlookup($A1088,product!$A:$A,product!D:D)</f>
        <v>Pinceaux et accessoires</v>
      </c>
      <c r="E1088" s="4" t="str">
        <f t="shared" si="1"/>
        <v>119542-Maquillage-Pinceaux et accessoires</v>
      </c>
      <c r="F1088" s="4">
        <v>0.0</v>
      </c>
      <c r="G1088" s="4">
        <v>53.0</v>
      </c>
      <c r="H1088" s="4">
        <v>10.0</v>
      </c>
      <c r="I1088" s="21">
        <f t="array" ref="I1088">XLOOKUP($A1088,product!A:A,product!E:E)</f>
        <v>2.18</v>
      </c>
      <c r="J1088" s="4">
        <f t="shared" si="2"/>
        <v>21.8</v>
      </c>
      <c r="K1088" s="22">
        <f t="shared" si="3"/>
        <v>1</v>
      </c>
      <c r="L1088" s="4">
        <f t="shared" si="4"/>
        <v>1</v>
      </c>
    </row>
    <row r="1089">
      <c r="A1089" s="23">
        <v>30752.0</v>
      </c>
      <c r="B1089" s="24" t="str">
        <f t="array" ref="B1089">xlookup($A1089,product!$A:$A,product!B:B)</f>
        <v>Beauté &amp; Hygiène</v>
      </c>
      <c r="C1089" s="24" t="str">
        <f t="array" ref="C1089">xlookup($A1089,product!$A:$A,product!C:C)</f>
        <v>Maquillage</v>
      </c>
      <c r="D1089" s="24" t="str">
        <f t="array" ref="D1089">xlookup($A1089,product!$A:$A,product!D:D)</f>
        <v>Pinceaux et accessoires</v>
      </c>
      <c r="E1089" s="25" t="str">
        <f t="shared" si="1"/>
        <v>30752-Maquillage-Pinceaux et accessoires</v>
      </c>
      <c r="F1089" s="25">
        <v>1.0</v>
      </c>
      <c r="G1089" s="25">
        <v>961.0</v>
      </c>
      <c r="H1089" s="25">
        <v>539.0</v>
      </c>
      <c r="I1089" s="26">
        <f t="array" ref="I1089">XLOOKUP($A1089,product!A:A,product!E:E)</f>
        <v>6.51</v>
      </c>
      <c r="J1089" s="25">
        <f t="shared" si="2"/>
        <v>3508.89</v>
      </c>
      <c r="K1089" s="27">
        <f t="shared" si="3"/>
        <v>1</v>
      </c>
      <c r="L1089" s="25">
        <f t="shared" si="4"/>
        <v>1</v>
      </c>
    </row>
    <row r="1090">
      <c r="A1090" s="19">
        <v>116180.0</v>
      </c>
      <c r="B1090" s="20" t="str">
        <f t="array" ref="B1090">xlookup($A1090,product!$A:$A,product!B:B)</f>
        <v>Epicerie salée</v>
      </c>
      <c r="C1090" s="20" t="str">
        <f t="array" ref="C1090">xlookup($A1090,product!$A:$A,product!C:C)</f>
        <v>Pâtes bio</v>
      </c>
      <c r="D1090" s="20" t="str">
        <f t="array" ref="D1090">xlookup($A1090,product!$A:$A,product!D:D)</f>
        <v>Pâtes Blanches</v>
      </c>
      <c r="E1090" s="4" t="str">
        <f t="shared" si="1"/>
        <v>116180-Pâtes bio-Pâtes Blanches</v>
      </c>
      <c r="F1090" s="4">
        <v>0.0</v>
      </c>
      <c r="G1090" s="4">
        <v>914.0</v>
      </c>
      <c r="H1090" s="4">
        <v>740.0</v>
      </c>
      <c r="I1090" s="21">
        <f t="array" ref="I1090">XLOOKUP($A1090,product!A:A,product!E:E)</f>
        <v>0.98</v>
      </c>
      <c r="J1090" s="4">
        <f t="shared" si="2"/>
        <v>725.2</v>
      </c>
      <c r="K1090" s="22">
        <f t="shared" si="3"/>
        <v>1</v>
      </c>
      <c r="L1090" s="4">
        <f t="shared" si="4"/>
        <v>1</v>
      </c>
    </row>
    <row r="1091">
      <c r="A1091" s="23">
        <v>96953.0</v>
      </c>
      <c r="B1091" s="24" t="str">
        <f t="array" ref="B1091">xlookup($A1091,product!$A:$A,product!B:B)</f>
        <v>Epicerie salée</v>
      </c>
      <c r="C1091" s="24" t="str">
        <f t="array" ref="C1091">xlookup($A1091,product!$A:$A,product!C:C)</f>
        <v>Pâtes bio</v>
      </c>
      <c r="D1091" s="24" t="str">
        <f t="array" ref="D1091">xlookup($A1091,product!$A:$A,product!D:D)</f>
        <v>Pâtes Blanches</v>
      </c>
      <c r="E1091" s="25" t="str">
        <f t="shared" si="1"/>
        <v>96953-Pâtes bio-Pâtes Blanches</v>
      </c>
      <c r="F1091" s="25">
        <v>1.0</v>
      </c>
      <c r="G1091" s="25">
        <v>60.0</v>
      </c>
      <c r="H1091" s="25">
        <v>38.0</v>
      </c>
      <c r="I1091" s="26">
        <f t="array" ref="I1091">XLOOKUP($A1091,product!A:A,product!E:E)</f>
        <v>1.15</v>
      </c>
      <c r="J1091" s="25">
        <f t="shared" si="2"/>
        <v>43.7</v>
      </c>
      <c r="K1091" s="27">
        <f t="shared" si="3"/>
        <v>1</v>
      </c>
      <c r="L1091" s="25">
        <f t="shared" si="4"/>
        <v>1</v>
      </c>
    </row>
    <row r="1092">
      <c r="A1092" s="19">
        <v>118303.0</v>
      </c>
      <c r="B1092" s="20" t="str">
        <f t="array" ref="B1092">xlookup($A1092,product!$A:$A,product!B:B)</f>
        <v>Epicerie salée</v>
      </c>
      <c r="C1092" s="20" t="str">
        <f t="array" ref="C1092">xlookup($A1092,product!$A:$A,product!C:C)</f>
        <v>Pâtes bio</v>
      </c>
      <c r="D1092" s="20" t="str">
        <f t="array" ref="D1092">xlookup($A1092,product!$A:$A,product!D:D)</f>
        <v>Pâtes Blanches</v>
      </c>
      <c r="E1092" s="4" t="str">
        <f t="shared" si="1"/>
        <v>118303-Pâtes bio-Pâtes Blanches</v>
      </c>
      <c r="F1092" s="4">
        <v>0.0</v>
      </c>
      <c r="G1092" s="4">
        <v>975.0</v>
      </c>
      <c r="H1092" s="4">
        <v>141.0</v>
      </c>
      <c r="I1092" s="21">
        <f t="array" ref="I1092">XLOOKUP($A1092,product!A:A,product!E:E)</f>
        <v>1.76</v>
      </c>
      <c r="J1092" s="4">
        <f t="shared" si="2"/>
        <v>248.16</v>
      </c>
      <c r="K1092" s="22">
        <f t="shared" si="3"/>
        <v>1</v>
      </c>
      <c r="L1092" s="4">
        <f t="shared" si="4"/>
        <v>1</v>
      </c>
    </row>
    <row r="1093">
      <c r="A1093" s="23">
        <v>117222.0</v>
      </c>
      <c r="B1093" s="24" t="str">
        <f t="array" ref="B1093">xlookup($A1093,product!$A:$A,product!B:B)</f>
        <v>Epicerie salée</v>
      </c>
      <c r="C1093" s="24" t="str">
        <f t="array" ref="C1093">xlookup($A1093,product!$A:$A,product!C:C)</f>
        <v>Pâtes bio</v>
      </c>
      <c r="D1093" s="24" t="str">
        <f t="array" ref="D1093">xlookup($A1093,product!$A:$A,product!D:D)</f>
        <v>Pâtes Blanches</v>
      </c>
      <c r="E1093" s="25" t="str">
        <f t="shared" si="1"/>
        <v>117222-Pâtes bio-Pâtes Blanches</v>
      </c>
      <c r="F1093" s="25">
        <v>1.0</v>
      </c>
      <c r="G1093" s="25">
        <v>657.0</v>
      </c>
      <c r="H1093" s="25">
        <v>431.0</v>
      </c>
      <c r="I1093" s="26">
        <f t="array" ref="I1093">XLOOKUP($A1093,product!A:A,product!E:E)</f>
        <v>0.91</v>
      </c>
      <c r="J1093" s="25">
        <f t="shared" si="2"/>
        <v>392.21</v>
      </c>
      <c r="K1093" s="27">
        <f t="shared" si="3"/>
        <v>1</v>
      </c>
      <c r="L1093" s="25">
        <f t="shared" si="4"/>
        <v>1</v>
      </c>
    </row>
    <row r="1094">
      <c r="A1094" s="19">
        <v>5620.0</v>
      </c>
      <c r="B1094" s="20" t="str">
        <f t="array" ref="B1094">xlookup($A1094,product!$A:$A,product!B:B)</f>
        <v>Epicerie salée</v>
      </c>
      <c r="C1094" s="20" t="str">
        <f t="array" ref="C1094">xlookup($A1094,product!$A:$A,product!C:C)</f>
        <v>Pâtes bio</v>
      </c>
      <c r="D1094" s="20" t="str">
        <f t="array" ref="D1094">xlookup($A1094,product!$A:$A,product!D:D)</f>
        <v>Pâtes Blanches</v>
      </c>
      <c r="E1094" s="4" t="str">
        <f t="shared" si="1"/>
        <v>5620-Pâtes bio-Pâtes Blanches</v>
      </c>
      <c r="F1094" s="4">
        <v>0.0</v>
      </c>
      <c r="G1094" s="4">
        <v>33.0</v>
      </c>
      <c r="H1094" s="4">
        <v>15.0</v>
      </c>
      <c r="I1094" s="21">
        <f t="array" ref="I1094">XLOOKUP($A1094,product!A:A,product!E:E)</f>
        <v>1.13</v>
      </c>
      <c r="J1094" s="4">
        <f t="shared" si="2"/>
        <v>16.95</v>
      </c>
      <c r="K1094" s="22">
        <f t="shared" si="3"/>
        <v>1</v>
      </c>
      <c r="L1094" s="4">
        <f t="shared" si="4"/>
        <v>1</v>
      </c>
    </row>
    <row r="1095">
      <c r="A1095" s="23">
        <v>122346.0</v>
      </c>
      <c r="B1095" s="24" t="str">
        <f t="array" ref="B1095">xlookup($A1095,product!$A:$A,product!B:B)</f>
        <v>Epicerie salée</v>
      </c>
      <c r="C1095" s="24" t="str">
        <f t="array" ref="C1095">xlookup($A1095,product!$A:$A,product!C:C)</f>
        <v>Pâtes bio</v>
      </c>
      <c r="D1095" s="24" t="str">
        <f t="array" ref="D1095">xlookup($A1095,product!$A:$A,product!D:D)</f>
        <v>Pâtes Blanches</v>
      </c>
      <c r="E1095" s="25" t="str">
        <f t="shared" si="1"/>
        <v>122346-Pâtes bio-Pâtes Blanches</v>
      </c>
      <c r="F1095" s="25">
        <v>0.0</v>
      </c>
      <c r="G1095" s="25">
        <v>237.0</v>
      </c>
      <c r="H1095" s="25">
        <v>108.0</v>
      </c>
      <c r="I1095" s="26">
        <f t="array" ref="I1095">XLOOKUP($A1095,product!A:A,product!E:E)</f>
        <v>0.85</v>
      </c>
      <c r="J1095" s="25">
        <f t="shared" si="2"/>
        <v>91.8</v>
      </c>
      <c r="K1095" s="27">
        <f t="shared" si="3"/>
        <v>1</v>
      </c>
      <c r="L1095" s="25">
        <f t="shared" si="4"/>
        <v>1</v>
      </c>
    </row>
    <row r="1096">
      <c r="A1096" s="19">
        <v>96968.0</v>
      </c>
      <c r="B1096" s="20" t="str">
        <f t="array" ref="B1096">xlookup($A1096,product!$A:$A,product!B:B)</f>
        <v>Epicerie salée</v>
      </c>
      <c r="C1096" s="20" t="str">
        <f t="array" ref="C1096">xlookup($A1096,product!$A:$A,product!C:C)</f>
        <v>Pâtes bio</v>
      </c>
      <c r="D1096" s="20" t="str">
        <f t="array" ref="D1096">xlookup($A1096,product!$A:$A,product!D:D)</f>
        <v>Pâtes Blanches</v>
      </c>
      <c r="E1096" s="4" t="str">
        <f t="shared" si="1"/>
        <v>96968-Pâtes bio-Pâtes Blanches</v>
      </c>
      <c r="F1096" s="4">
        <v>1.0</v>
      </c>
      <c r="G1096" s="4">
        <v>423.0</v>
      </c>
      <c r="H1096" s="4">
        <v>408.0</v>
      </c>
      <c r="I1096" s="21">
        <f t="array" ref="I1096">XLOOKUP($A1096,product!A:A,product!E:E)</f>
        <v>2</v>
      </c>
      <c r="J1096" s="4">
        <f t="shared" si="2"/>
        <v>816</v>
      </c>
      <c r="K1096" s="22">
        <f t="shared" si="3"/>
        <v>1</v>
      </c>
      <c r="L1096" s="4">
        <f t="shared" si="4"/>
        <v>1</v>
      </c>
    </row>
    <row r="1097">
      <c r="A1097" s="23">
        <v>126578.0</v>
      </c>
      <c r="B1097" s="24" t="str">
        <f t="array" ref="B1097">xlookup($A1097,product!$A:$A,product!B:B)</f>
        <v>Epicerie salée</v>
      </c>
      <c r="C1097" s="24" t="str">
        <f t="array" ref="C1097">xlookup($A1097,product!$A:$A,product!C:C)</f>
        <v>Pâtes bio</v>
      </c>
      <c r="D1097" s="24" t="str">
        <f t="array" ref="D1097">xlookup($A1097,product!$A:$A,product!D:D)</f>
        <v>Pâtes Blanches</v>
      </c>
      <c r="E1097" s="25" t="str">
        <f t="shared" si="1"/>
        <v>126578-Pâtes bio-Pâtes Blanches</v>
      </c>
      <c r="F1097" s="25">
        <v>0.0</v>
      </c>
      <c r="G1097" s="25">
        <v>627.0</v>
      </c>
      <c r="H1097" s="25">
        <v>364.0</v>
      </c>
      <c r="I1097" s="26">
        <f t="array" ref="I1097">XLOOKUP($A1097,product!A:A,product!E:E)</f>
        <v>1.16</v>
      </c>
      <c r="J1097" s="25">
        <f t="shared" si="2"/>
        <v>422.24</v>
      </c>
      <c r="K1097" s="27">
        <f t="shared" si="3"/>
        <v>1</v>
      </c>
      <c r="L1097" s="25">
        <f t="shared" si="4"/>
        <v>1</v>
      </c>
    </row>
    <row r="1098">
      <c r="A1098" s="19">
        <v>126581.0</v>
      </c>
      <c r="B1098" s="20" t="str">
        <f t="array" ref="B1098">xlookup($A1098,product!$A:$A,product!B:B)</f>
        <v>Epicerie salée</v>
      </c>
      <c r="C1098" s="20" t="str">
        <f t="array" ref="C1098">xlookup($A1098,product!$A:$A,product!C:C)</f>
        <v>Pâtes bio</v>
      </c>
      <c r="D1098" s="20" t="str">
        <f t="array" ref="D1098">xlookup($A1098,product!$A:$A,product!D:D)</f>
        <v>Pâtes Blanches</v>
      </c>
      <c r="E1098" s="4" t="str">
        <f t="shared" si="1"/>
        <v>126581-Pâtes bio-Pâtes Blanches</v>
      </c>
      <c r="F1098" s="4">
        <v>0.0</v>
      </c>
      <c r="G1098" s="4">
        <v>507.0</v>
      </c>
      <c r="H1098" s="4">
        <v>280.0</v>
      </c>
      <c r="I1098" s="21">
        <f t="array" ref="I1098">XLOOKUP($A1098,product!A:A,product!E:E)</f>
        <v>1.16</v>
      </c>
      <c r="J1098" s="4">
        <f t="shared" si="2"/>
        <v>324.8</v>
      </c>
      <c r="K1098" s="22">
        <f t="shared" si="3"/>
        <v>1</v>
      </c>
      <c r="L1098" s="4">
        <f t="shared" si="4"/>
        <v>1</v>
      </c>
    </row>
    <row r="1099">
      <c r="A1099" s="23">
        <v>96956.0</v>
      </c>
      <c r="B1099" s="24" t="str">
        <f t="array" ref="B1099">xlookup($A1099,product!$A:$A,product!B:B)</f>
        <v>Epicerie salée</v>
      </c>
      <c r="C1099" s="24" t="str">
        <f t="array" ref="C1099">xlookup($A1099,product!$A:$A,product!C:C)</f>
        <v>Pâtes bio</v>
      </c>
      <c r="D1099" s="24" t="str">
        <f t="array" ref="D1099">xlookup($A1099,product!$A:$A,product!D:D)</f>
        <v>Pâtes Blanches</v>
      </c>
      <c r="E1099" s="25" t="str">
        <f t="shared" si="1"/>
        <v>96956-Pâtes bio-Pâtes Blanches</v>
      </c>
      <c r="F1099" s="25">
        <v>0.0</v>
      </c>
      <c r="G1099" s="25">
        <v>39.0</v>
      </c>
      <c r="H1099" s="25">
        <v>26.0</v>
      </c>
      <c r="I1099" s="26">
        <f t="array" ref="I1099">XLOOKUP($A1099,product!A:A,product!E:E)</f>
        <v>1.15</v>
      </c>
      <c r="J1099" s="25">
        <f t="shared" si="2"/>
        <v>29.9</v>
      </c>
      <c r="K1099" s="27">
        <f t="shared" si="3"/>
        <v>1</v>
      </c>
      <c r="L1099" s="25">
        <f t="shared" si="4"/>
        <v>1</v>
      </c>
    </row>
    <row r="1100">
      <c r="A1100" s="19">
        <v>116774.0</v>
      </c>
      <c r="B1100" s="20" t="str">
        <f t="array" ref="B1100">xlookup($A1100,product!$A:$A,product!B:B)</f>
        <v>Epicerie salée</v>
      </c>
      <c r="C1100" s="20" t="str">
        <f t="array" ref="C1100">xlookup($A1100,product!$A:$A,product!C:C)</f>
        <v>Pâtes bio</v>
      </c>
      <c r="D1100" s="20" t="str">
        <f t="array" ref="D1100">xlookup($A1100,product!$A:$A,product!D:D)</f>
        <v>Pâtes Blanches</v>
      </c>
      <c r="E1100" s="4" t="str">
        <f t="shared" si="1"/>
        <v>116774-Pâtes bio-Pâtes Blanches</v>
      </c>
      <c r="F1100" s="4">
        <v>1.0</v>
      </c>
      <c r="G1100" s="4">
        <v>374.0</v>
      </c>
      <c r="H1100" s="4">
        <v>262.0</v>
      </c>
      <c r="I1100" s="21">
        <f t="array" ref="I1100">XLOOKUP($A1100,product!A:A,product!E:E)</f>
        <v>0.89</v>
      </c>
      <c r="J1100" s="4">
        <f t="shared" si="2"/>
        <v>233.18</v>
      </c>
      <c r="K1100" s="22">
        <f t="shared" si="3"/>
        <v>1</v>
      </c>
      <c r="L1100" s="4">
        <f t="shared" si="4"/>
        <v>1</v>
      </c>
    </row>
    <row r="1101">
      <c r="A1101" s="23">
        <v>147293.0</v>
      </c>
      <c r="B1101" s="24" t="str">
        <f t="array" ref="B1101">xlookup($A1101,product!$A:$A,product!B:B)</f>
        <v>Epicerie salée</v>
      </c>
      <c r="C1101" s="24" t="str">
        <f t="array" ref="C1101">xlookup($A1101,product!$A:$A,product!C:C)</f>
        <v>Pâtes bio</v>
      </c>
      <c r="D1101" s="24" t="str">
        <f t="array" ref="D1101">xlookup($A1101,product!$A:$A,product!D:D)</f>
        <v>Pâtes Blanches</v>
      </c>
      <c r="E1101" s="25" t="str">
        <f t="shared" si="1"/>
        <v>147293-Pâtes bio-Pâtes Blanches</v>
      </c>
      <c r="F1101" s="25">
        <v>1.0</v>
      </c>
      <c r="G1101" s="25">
        <v>757.0</v>
      </c>
      <c r="H1101" s="25">
        <v>695.0</v>
      </c>
      <c r="I1101" s="26">
        <f t="array" ref="I1101">XLOOKUP($A1101,product!A:A,product!E:E)</f>
        <v>1.13</v>
      </c>
      <c r="J1101" s="25">
        <f t="shared" si="2"/>
        <v>785.35</v>
      </c>
      <c r="K1101" s="27">
        <f t="shared" si="3"/>
        <v>1</v>
      </c>
      <c r="L1101" s="25">
        <f t="shared" si="4"/>
        <v>1</v>
      </c>
    </row>
    <row r="1102">
      <c r="A1102" s="19">
        <v>119228.0</v>
      </c>
      <c r="B1102" s="20" t="str">
        <f t="array" ref="B1102">xlookup($A1102,product!$A:$A,product!B:B)</f>
        <v>Epicerie salée</v>
      </c>
      <c r="C1102" s="20" t="str">
        <f t="array" ref="C1102">xlookup($A1102,product!$A:$A,product!C:C)</f>
        <v>Pâtes bio</v>
      </c>
      <c r="D1102" s="20" t="str">
        <f t="array" ref="D1102">xlookup($A1102,product!$A:$A,product!D:D)</f>
        <v>Pâtes Blanches</v>
      </c>
      <c r="E1102" s="4" t="str">
        <f t="shared" si="1"/>
        <v>119228-Pâtes bio-Pâtes Blanches</v>
      </c>
      <c r="F1102" s="4">
        <v>1.0</v>
      </c>
      <c r="G1102" s="4">
        <v>533.0</v>
      </c>
      <c r="H1102" s="4">
        <v>275.0</v>
      </c>
      <c r="I1102" s="21">
        <f t="array" ref="I1102">XLOOKUP($A1102,product!A:A,product!E:E)</f>
        <v>0.95</v>
      </c>
      <c r="J1102" s="4">
        <f t="shared" si="2"/>
        <v>261.25</v>
      </c>
      <c r="K1102" s="22">
        <f t="shared" si="3"/>
        <v>1</v>
      </c>
      <c r="L1102" s="4">
        <f t="shared" si="4"/>
        <v>1</v>
      </c>
    </row>
    <row r="1103">
      <c r="A1103" s="23">
        <v>5618.0</v>
      </c>
      <c r="B1103" s="24" t="str">
        <f t="array" ref="B1103">xlookup($A1103,product!$A:$A,product!B:B)</f>
        <v>Epicerie salée</v>
      </c>
      <c r="C1103" s="24" t="str">
        <f t="array" ref="C1103">xlookup($A1103,product!$A:$A,product!C:C)</f>
        <v>Pâtes bio</v>
      </c>
      <c r="D1103" s="24" t="str">
        <f t="array" ref="D1103">xlookup($A1103,product!$A:$A,product!D:D)</f>
        <v>Pâtes Blanches</v>
      </c>
      <c r="E1103" s="25" t="str">
        <f t="shared" si="1"/>
        <v>5618-Pâtes bio-Pâtes Blanches</v>
      </c>
      <c r="F1103" s="25">
        <v>0.0</v>
      </c>
      <c r="G1103" s="25">
        <v>964.0</v>
      </c>
      <c r="H1103" s="25">
        <v>862.0</v>
      </c>
      <c r="I1103" s="26">
        <f t="array" ref="I1103">XLOOKUP($A1103,product!A:A,product!E:E)</f>
        <v>1.13</v>
      </c>
      <c r="J1103" s="25">
        <f t="shared" si="2"/>
        <v>974.06</v>
      </c>
      <c r="K1103" s="27">
        <f t="shared" si="3"/>
        <v>1</v>
      </c>
      <c r="L1103" s="25">
        <f t="shared" si="4"/>
        <v>1</v>
      </c>
    </row>
    <row r="1104">
      <c r="A1104" s="19">
        <v>126579.0</v>
      </c>
      <c r="B1104" s="20" t="str">
        <f t="array" ref="B1104">xlookup($A1104,product!$A:$A,product!B:B)</f>
        <v>Epicerie salée</v>
      </c>
      <c r="C1104" s="20" t="str">
        <f t="array" ref="C1104">xlookup($A1104,product!$A:$A,product!C:C)</f>
        <v>Pâtes bio</v>
      </c>
      <c r="D1104" s="20" t="str">
        <f t="array" ref="D1104">xlookup($A1104,product!$A:$A,product!D:D)</f>
        <v>Pâtes Blanches</v>
      </c>
      <c r="E1104" s="4" t="str">
        <f t="shared" si="1"/>
        <v>126579-Pâtes bio-Pâtes Blanches</v>
      </c>
      <c r="F1104" s="4">
        <v>1.0</v>
      </c>
      <c r="G1104" s="4">
        <v>345.0</v>
      </c>
      <c r="H1104" s="4">
        <v>343.0</v>
      </c>
      <c r="I1104" s="21">
        <f t="array" ref="I1104">XLOOKUP($A1104,product!A:A,product!E:E)</f>
        <v>1.16</v>
      </c>
      <c r="J1104" s="4">
        <f t="shared" si="2"/>
        <v>397.88</v>
      </c>
      <c r="K1104" s="22">
        <f t="shared" si="3"/>
        <v>1</v>
      </c>
      <c r="L1104" s="4">
        <f t="shared" si="4"/>
        <v>1</v>
      </c>
    </row>
    <row r="1105">
      <c r="A1105" s="23">
        <v>117219.0</v>
      </c>
      <c r="B1105" s="24" t="str">
        <f t="array" ref="B1105">xlookup($A1105,product!$A:$A,product!B:B)</f>
        <v>Epicerie salée</v>
      </c>
      <c r="C1105" s="24" t="str">
        <f t="array" ref="C1105">xlookup($A1105,product!$A:$A,product!C:C)</f>
        <v>Pâtes bio</v>
      </c>
      <c r="D1105" s="24" t="str">
        <f t="array" ref="D1105">xlookup($A1105,product!$A:$A,product!D:D)</f>
        <v>Pâtes Blanches</v>
      </c>
      <c r="E1105" s="25" t="str">
        <f t="shared" si="1"/>
        <v>117219-Pâtes bio-Pâtes Blanches</v>
      </c>
      <c r="F1105" s="25">
        <v>1.0</v>
      </c>
      <c r="G1105" s="25">
        <v>82.0</v>
      </c>
      <c r="H1105" s="25">
        <v>28.0</v>
      </c>
      <c r="I1105" s="26">
        <f t="array" ref="I1105">XLOOKUP($A1105,product!A:A,product!E:E)</f>
        <v>0.91</v>
      </c>
      <c r="J1105" s="25">
        <f t="shared" si="2"/>
        <v>25.48</v>
      </c>
      <c r="K1105" s="27">
        <f t="shared" si="3"/>
        <v>1</v>
      </c>
      <c r="L1105" s="25">
        <f t="shared" si="4"/>
        <v>1</v>
      </c>
    </row>
    <row r="1106">
      <c r="A1106" s="19">
        <v>44110.0</v>
      </c>
      <c r="B1106" s="20" t="str">
        <f t="array" ref="B1106">xlookup($A1106,product!$A:$A,product!B:B)</f>
        <v>Epicerie salée</v>
      </c>
      <c r="C1106" s="20" t="str">
        <f t="array" ref="C1106">xlookup($A1106,product!$A:$A,product!C:C)</f>
        <v>Pâtes bio</v>
      </c>
      <c r="D1106" s="20" t="str">
        <f t="array" ref="D1106">xlookup($A1106,product!$A:$A,product!D:D)</f>
        <v>Pâtes Blanches</v>
      </c>
      <c r="E1106" s="4" t="str">
        <f t="shared" si="1"/>
        <v>44110-Pâtes bio-Pâtes Blanches</v>
      </c>
      <c r="F1106" s="4">
        <v>0.0</v>
      </c>
      <c r="G1106" s="4">
        <v>831.0</v>
      </c>
      <c r="H1106" s="4">
        <v>118.0</v>
      </c>
      <c r="I1106" s="21">
        <f t="array" ref="I1106">XLOOKUP($A1106,product!A:A,product!E:E)</f>
        <v>1.23</v>
      </c>
      <c r="J1106" s="4">
        <f t="shared" si="2"/>
        <v>145.14</v>
      </c>
      <c r="K1106" s="22">
        <f t="shared" si="3"/>
        <v>1</v>
      </c>
      <c r="L1106" s="4">
        <f t="shared" si="4"/>
        <v>1</v>
      </c>
    </row>
    <row r="1107">
      <c r="A1107" s="23">
        <v>76223.0</v>
      </c>
      <c r="B1107" s="24" t="str">
        <f t="array" ref="B1107">xlookup($A1107,product!$A:$A,product!B:B)</f>
        <v>Epicerie salée</v>
      </c>
      <c r="C1107" s="24" t="str">
        <f t="array" ref="C1107">xlookup($A1107,product!$A:$A,product!C:C)</f>
        <v>Pâtes bio</v>
      </c>
      <c r="D1107" s="24" t="str">
        <f t="array" ref="D1107">xlookup($A1107,product!$A:$A,product!D:D)</f>
        <v>Pâtes Blanches</v>
      </c>
      <c r="E1107" s="25" t="str">
        <f t="shared" si="1"/>
        <v>76223-Pâtes bio-Pâtes Blanches</v>
      </c>
      <c r="F1107" s="25">
        <v>1.0</v>
      </c>
      <c r="G1107" s="25">
        <v>330.0</v>
      </c>
      <c r="H1107" s="25">
        <v>235.0</v>
      </c>
      <c r="I1107" s="26">
        <f t="array" ref="I1107">XLOOKUP($A1107,product!A:A,product!E:E)</f>
        <v>0.82</v>
      </c>
      <c r="J1107" s="25">
        <f t="shared" si="2"/>
        <v>192.7</v>
      </c>
      <c r="K1107" s="27">
        <f t="shared" si="3"/>
        <v>1</v>
      </c>
      <c r="L1107" s="25">
        <f t="shared" si="4"/>
        <v>1</v>
      </c>
    </row>
    <row r="1108">
      <c r="A1108" s="19">
        <v>48406.0</v>
      </c>
      <c r="B1108" s="20" t="str">
        <f t="array" ref="B1108">xlookup($A1108,product!$A:$A,product!B:B)</f>
        <v>Epicerie salée</v>
      </c>
      <c r="C1108" s="20" t="str">
        <f t="array" ref="C1108">xlookup($A1108,product!$A:$A,product!C:C)</f>
        <v>Pâtes bio</v>
      </c>
      <c r="D1108" s="20" t="str">
        <f t="array" ref="D1108">xlookup($A1108,product!$A:$A,product!D:D)</f>
        <v>Pâtes Blanches</v>
      </c>
      <c r="E1108" s="4" t="str">
        <f t="shared" si="1"/>
        <v>48406-Pâtes bio-Pâtes Blanches</v>
      </c>
      <c r="F1108" s="4">
        <v>0.0</v>
      </c>
      <c r="G1108" s="4">
        <v>39.0</v>
      </c>
      <c r="H1108" s="4">
        <v>34.0</v>
      </c>
      <c r="I1108" s="21">
        <f t="array" ref="I1108">XLOOKUP($A1108,product!A:A,product!E:E)</f>
        <v>2.24</v>
      </c>
      <c r="J1108" s="4">
        <f t="shared" si="2"/>
        <v>76.16</v>
      </c>
      <c r="K1108" s="22">
        <f t="shared" si="3"/>
        <v>1</v>
      </c>
      <c r="L1108" s="4">
        <f t="shared" si="4"/>
        <v>1</v>
      </c>
    </row>
    <row r="1109">
      <c r="A1109" s="23">
        <v>77514.0</v>
      </c>
      <c r="B1109" s="24" t="str">
        <f t="array" ref="B1109">xlookup($A1109,product!$A:$A,product!B:B)</f>
        <v>Epicerie salée</v>
      </c>
      <c r="C1109" s="24" t="str">
        <f t="array" ref="C1109">xlookup($A1109,product!$A:$A,product!C:C)</f>
        <v>Pâtes bio</v>
      </c>
      <c r="D1109" s="24" t="str">
        <f t="array" ref="D1109">xlookup($A1109,product!$A:$A,product!D:D)</f>
        <v>Pâtes Blanches</v>
      </c>
      <c r="E1109" s="25" t="str">
        <f t="shared" si="1"/>
        <v>77514-Pâtes bio-Pâtes Blanches</v>
      </c>
      <c r="F1109" s="25">
        <v>0.0</v>
      </c>
      <c r="G1109" s="25">
        <v>554.0</v>
      </c>
      <c r="H1109" s="25">
        <v>360.0</v>
      </c>
      <c r="I1109" s="26">
        <f t="array" ref="I1109">XLOOKUP($A1109,product!A:A,product!E:E)</f>
        <v>0.82</v>
      </c>
      <c r="J1109" s="25">
        <f t="shared" si="2"/>
        <v>295.2</v>
      </c>
      <c r="K1109" s="27">
        <f t="shared" si="3"/>
        <v>1</v>
      </c>
      <c r="L1109" s="25">
        <f t="shared" si="4"/>
        <v>1</v>
      </c>
    </row>
    <row r="1110">
      <c r="A1110" s="19">
        <v>117221.0</v>
      </c>
      <c r="B1110" s="20" t="str">
        <f t="array" ref="B1110">xlookup($A1110,product!$A:$A,product!B:B)</f>
        <v>Epicerie salée</v>
      </c>
      <c r="C1110" s="20" t="str">
        <f t="array" ref="C1110">xlookup($A1110,product!$A:$A,product!C:C)</f>
        <v>Pâtes bio</v>
      </c>
      <c r="D1110" s="20" t="str">
        <f t="array" ref="D1110">xlookup($A1110,product!$A:$A,product!D:D)</f>
        <v>Pâtes Blanches</v>
      </c>
      <c r="E1110" s="4" t="str">
        <f t="shared" si="1"/>
        <v>117221-Pâtes bio-Pâtes Blanches</v>
      </c>
      <c r="F1110" s="4">
        <v>1.0</v>
      </c>
      <c r="G1110" s="4">
        <v>869.0</v>
      </c>
      <c r="H1110" s="4">
        <v>384.0</v>
      </c>
      <c r="I1110" s="21">
        <f t="array" ref="I1110">XLOOKUP($A1110,product!A:A,product!E:E)</f>
        <v>0.91</v>
      </c>
      <c r="J1110" s="4">
        <f t="shared" si="2"/>
        <v>349.44</v>
      </c>
      <c r="K1110" s="22">
        <f t="shared" si="3"/>
        <v>1</v>
      </c>
      <c r="L1110" s="4">
        <f t="shared" si="4"/>
        <v>1</v>
      </c>
    </row>
    <row r="1111">
      <c r="A1111" s="23">
        <v>115602.0</v>
      </c>
      <c r="B1111" s="24" t="str">
        <f t="array" ref="B1111">xlookup($A1111,product!$A:$A,product!B:B)</f>
        <v>Epicerie salée</v>
      </c>
      <c r="C1111" s="24" t="str">
        <f t="array" ref="C1111">xlookup($A1111,product!$A:$A,product!C:C)</f>
        <v>Pâtes bio</v>
      </c>
      <c r="D1111" s="24" t="str">
        <f t="array" ref="D1111">xlookup($A1111,product!$A:$A,product!D:D)</f>
        <v>Pâtes Blanches</v>
      </c>
      <c r="E1111" s="25" t="str">
        <f t="shared" si="1"/>
        <v>115602-Pâtes bio-Pâtes Blanches</v>
      </c>
      <c r="F1111" s="25">
        <v>0.0</v>
      </c>
      <c r="G1111" s="25">
        <v>479.0</v>
      </c>
      <c r="H1111" s="25">
        <v>444.0</v>
      </c>
      <c r="I1111" s="26">
        <f t="array" ref="I1111">XLOOKUP($A1111,product!A:A,product!E:E)</f>
        <v>2.33</v>
      </c>
      <c r="J1111" s="25">
        <f t="shared" si="2"/>
        <v>1034.52</v>
      </c>
      <c r="K1111" s="27">
        <f t="shared" si="3"/>
        <v>1</v>
      </c>
      <c r="L1111" s="25">
        <f t="shared" si="4"/>
        <v>1</v>
      </c>
    </row>
    <row r="1112">
      <c r="A1112" s="19">
        <v>44107.0</v>
      </c>
      <c r="B1112" s="20" t="str">
        <f t="array" ref="B1112">xlookup($A1112,product!$A:$A,product!B:B)</f>
        <v>Epicerie salée</v>
      </c>
      <c r="C1112" s="20" t="str">
        <f t="array" ref="C1112">xlookup($A1112,product!$A:$A,product!C:C)</f>
        <v>Pâtes bio</v>
      </c>
      <c r="D1112" s="20" t="str">
        <f t="array" ref="D1112">xlookup($A1112,product!$A:$A,product!D:D)</f>
        <v>Pâtes Blanches</v>
      </c>
      <c r="E1112" s="4" t="str">
        <f t="shared" si="1"/>
        <v>44107-Pâtes bio-Pâtes Blanches</v>
      </c>
      <c r="F1112" s="4">
        <v>1.0</v>
      </c>
      <c r="G1112" s="4">
        <v>797.0</v>
      </c>
      <c r="H1112" s="4">
        <v>293.0</v>
      </c>
      <c r="I1112" s="21">
        <f t="array" ref="I1112">XLOOKUP($A1112,product!A:A,product!E:E)</f>
        <v>1</v>
      </c>
      <c r="J1112" s="4">
        <f t="shared" si="2"/>
        <v>293</v>
      </c>
      <c r="K1112" s="22">
        <f t="shared" si="3"/>
        <v>1</v>
      </c>
      <c r="L1112" s="4">
        <f t="shared" si="4"/>
        <v>1</v>
      </c>
    </row>
    <row r="1113">
      <c r="A1113" s="23">
        <v>115604.0</v>
      </c>
      <c r="B1113" s="24" t="str">
        <f t="array" ref="B1113">xlookup($A1113,product!$A:$A,product!B:B)</f>
        <v>Epicerie salée</v>
      </c>
      <c r="C1113" s="24" t="str">
        <f t="array" ref="C1113">xlookup($A1113,product!$A:$A,product!C:C)</f>
        <v>Pâtes bio</v>
      </c>
      <c r="D1113" s="24" t="str">
        <f t="array" ref="D1113">xlookup($A1113,product!$A:$A,product!D:D)</f>
        <v>Pâtes Blanches</v>
      </c>
      <c r="E1113" s="25" t="str">
        <f t="shared" si="1"/>
        <v>115604-Pâtes bio-Pâtes Blanches</v>
      </c>
      <c r="F1113" s="25">
        <v>0.0</v>
      </c>
      <c r="G1113" s="25">
        <v>680.0</v>
      </c>
      <c r="H1113" s="25">
        <v>437.0</v>
      </c>
      <c r="I1113" s="26">
        <f t="array" ref="I1113">XLOOKUP($A1113,product!A:A,product!E:E)</f>
        <v>1.44</v>
      </c>
      <c r="J1113" s="25">
        <f t="shared" si="2"/>
        <v>629.28</v>
      </c>
      <c r="K1113" s="27">
        <f t="shared" si="3"/>
        <v>1</v>
      </c>
      <c r="L1113" s="25">
        <f t="shared" si="4"/>
        <v>1</v>
      </c>
    </row>
    <row r="1114">
      <c r="A1114" s="19">
        <v>118926.0</v>
      </c>
      <c r="B1114" s="20" t="str">
        <f t="array" ref="B1114">xlookup($A1114,product!$A:$A,product!B:B)</f>
        <v>Epicerie salée</v>
      </c>
      <c r="C1114" s="20" t="str">
        <f t="array" ref="C1114">xlookup($A1114,product!$A:$A,product!C:C)</f>
        <v>Pâtes bio</v>
      </c>
      <c r="D1114" s="20" t="str">
        <f t="array" ref="D1114">xlookup($A1114,product!$A:$A,product!D:D)</f>
        <v>Pâtes Blanches</v>
      </c>
      <c r="E1114" s="4" t="str">
        <f t="shared" si="1"/>
        <v>118926-Pâtes bio-Pâtes Blanches</v>
      </c>
      <c r="F1114" s="4">
        <v>1.0</v>
      </c>
      <c r="G1114" s="4">
        <v>871.0</v>
      </c>
      <c r="H1114" s="4">
        <v>317.0</v>
      </c>
      <c r="I1114" s="21">
        <f t="array" ref="I1114">XLOOKUP($A1114,product!A:A,product!E:E)</f>
        <v>0.93</v>
      </c>
      <c r="J1114" s="4">
        <f t="shared" si="2"/>
        <v>294.81</v>
      </c>
      <c r="K1114" s="22">
        <f t="shared" si="3"/>
        <v>1</v>
      </c>
      <c r="L1114" s="4">
        <f t="shared" si="4"/>
        <v>1</v>
      </c>
    </row>
    <row r="1115">
      <c r="A1115" s="23">
        <v>118304.0</v>
      </c>
      <c r="B1115" s="24" t="str">
        <f t="array" ref="B1115">xlookup($A1115,product!$A:$A,product!B:B)</f>
        <v>Epicerie salée</v>
      </c>
      <c r="C1115" s="24" t="str">
        <f t="array" ref="C1115">xlookup($A1115,product!$A:$A,product!C:C)</f>
        <v>Pâtes bio</v>
      </c>
      <c r="D1115" s="24" t="str">
        <f t="array" ref="D1115">xlookup($A1115,product!$A:$A,product!D:D)</f>
        <v>Pâtes Blanches</v>
      </c>
      <c r="E1115" s="25" t="str">
        <f t="shared" si="1"/>
        <v>118304-Pâtes bio-Pâtes Blanches</v>
      </c>
      <c r="F1115" s="25">
        <v>1.0</v>
      </c>
      <c r="G1115" s="25">
        <v>534.0</v>
      </c>
      <c r="H1115" s="25">
        <v>264.0</v>
      </c>
      <c r="I1115" s="26">
        <f t="array" ref="I1115">XLOOKUP($A1115,product!A:A,product!E:E)</f>
        <v>1.61</v>
      </c>
      <c r="J1115" s="25">
        <f t="shared" si="2"/>
        <v>425.04</v>
      </c>
      <c r="K1115" s="27">
        <f t="shared" si="3"/>
        <v>1</v>
      </c>
      <c r="L1115" s="25">
        <f t="shared" si="4"/>
        <v>1</v>
      </c>
    </row>
    <row r="1116">
      <c r="A1116" s="19">
        <v>5621.0</v>
      </c>
      <c r="B1116" s="20" t="str">
        <f t="array" ref="B1116">xlookup($A1116,product!$A:$A,product!B:B)</f>
        <v>Epicerie salée</v>
      </c>
      <c r="C1116" s="20" t="str">
        <f t="array" ref="C1116">xlookup($A1116,product!$A:$A,product!C:C)</f>
        <v>Pâtes bio</v>
      </c>
      <c r="D1116" s="20" t="str">
        <f t="array" ref="D1116">xlookup($A1116,product!$A:$A,product!D:D)</f>
        <v>Pâtes Blanches</v>
      </c>
      <c r="E1116" s="4" t="str">
        <f t="shared" si="1"/>
        <v>5621-Pâtes bio-Pâtes Blanches</v>
      </c>
      <c r="F1116" s="4">
        <v>0.0</v>
      </c>
      <c r="G1116" s="4">
        <v>849.0</v>
      </c>
      <c r="H1116" s="4">
        <v>491.0</v>
      </c>
      <c r="I1116" s="21">
        <f t="array" ref="I1116">XLOOKUP($A1116,product!A:A,product!E:E)</f>
        <v>0.96</v>
      </c>
      <c r="J1116" s="4">
        <f t="shared" si="2"/>
        <v>471.36</v>
      </c>
      <c r="K1116" s="22">
        <f t="shared" si="3"/>
        <v>1</v>
      </c>
      <c r="L1116" s="4">
        <f t="shared" si="4"/>
        <v>1</v>
      </c>
    </row>
    <row r="1117">
      <c r="A1117" s="23">
        <v>44105.0</v>
      </c>
      <c r="B1117" s="24" t="str">
        <f t="array" ref="B1117">xlookup($A1117,product!$A:$A,product!B:B)</f>
        <v>Epicerie salée</v>
      </c>
      <c r="C1117" s="24" t="str">
        <f t="array" ref="C1117">xlookup($A1117,product!$A:$A,product!C:C)</f>
        <v>Pâtes bio</v>
      </c>
      <c r="D1117" s="24" t="str">
        <f t="array" ref="D1117">xlookup($A1117,product!$A:$A,product!D:D)</f>
        <v>Pâtes Blanches</v>
      </c>
      <c r="E1117" s="25" t="str">
        <f t="shared" si="1"/>
        <v>44105-Pâtes bio-Pâtes Blanches</v>
      </c>
      <c r="F1117" s="25">
        <v>1.0</v>
      </c>
      <c r="G1117" s="25">
        <v>837.0</v>
      </c>
      <c r="H1117" s="25">
        <v>133.0</v>
      </c>
      <c r="I1117" s="26">
        <f t="array" ref="I1117">XLOOKUP($A1117,product!A:A,product!E:E)</f>
        <v>1</v>
      </c>
      <c r="J1117" s="25">
        <f t="shared" si="2"/>
        <v>133</v>
      </c>
      <c r="K1117" s="27">
        <f t="shared" si="3"/>
        <v>1</v>
      </c>
      <c r="L1117" s="25">
        <f t="shared" si="4"/>
        <v>1</v>
      </c>
    </row>
    <row r="1118">
      <c r="A1118" s="19">
        <v>126580.0</v>
      </c>
      <c r="B1118" s="20" t="str">
        <f t="array" ref="B1118">xlookup($A1118,product!$A:$A,product!B:B)</f>
        <v>Epicerie salée</v>
      </c>
      <c r="C1118" s="20" t="str">
        <f t="array" ref="C1118">xlookup($A1118,product!$A:$A,product!C:C)</f>
        <v>Pâtes bio</v>
      </c>
      <c r="D1118" s="20" t="str">
        <f t="array" ref="D1118">xlookup($A1118,product!$A:$A,product!D:D)</f>
        <v>Pâtes Blanches</v>
      </c>
      <c r="E1118" s="4" t="str">
        <f t="shared" si="1"/>
        <v>126580-Pâtes bio-Pâtes Blanches</v>
      </c>
      <c r="F1118" s="4">
        <v>0.0</v>
      </c>
      <c r="G1118" s="4">
        <v>541.0</v>
      </c>
      <c r="H1118" s="4">
        <v>69.0</v>
      </c>
      <c r="I1118" s="21">
        <f t="array" ref="I1118">XLOOKUP($A1118,product!A:A,product!E:E)</f>
        <v>1.16</v>
      </c>
      <c r="J1118" s="4">
        <f t="shared" si="2"/>
        <v>80.04</v>
      </c>
      <c r="K1118" s="22">
        <f t="shared" si="3"/>
        <v>1</v>
      </c>
      <c r="L1118" s="4">
        <f t="shared" si="4"/>
        <v>1</v>
      </c>
    </row>
    <row r="1119">
      <c r="A1119" s="23">
        <v>5624.0</v>
      </c>
      <c r="B1119" s="24" t="str">
        <f t="array" ref="B1119">xlookup($A1119,product!$A:$A,product!B:B)</f>
        <v>Epicerie salée</v>
      </c>
      <c r="C1119" s="24" t="str">
        <f t="array" ref="C1119">xlookup($A1119,product!$A:$A,product!C:C)</f>
        <v>Pâtes bio</v>
      </c>
      <c r="D1119" s="24" t="str">
        <f t="array" ref="D1119">xlookup($A1119,product!$A:$A,product!D:D)</f>
        <v>Pâtes Blanches</v>
      </c>
      <c r="E1119" s="25" t="str">
        <f t="shared" si="1"/>
        <v>5624-Pâtes bio-Pâtes Blanches</v>
      </c>
      <c r="F1119" s="25">
        <v>0.0</v>
      </c>
      <c r="G1119" s="25">
        <v>455.0</v>
      </c>
      <c r="H1119" s="25">
        <v>262.0</v>
      </c>
      <c r="I1119" s="26">
        <f t="array" ref="I1119">XLOOKUP($A1119,product!A:A,product!E:E)</f>
        <v>0.95</v>
      </c>
      <c r="J1119" s="25">
        <f t="shared" si="2"/>
        <v>248.9</v>
      </c>
      <c r="K1119" s="27">
        <f t="shared" si="3"/>
        <v>1</v>
      </c>
      <c r="L1119" s="25">
        <f t="shared" si="4"/>
        <v>1</v>
      </c>
    </row>
    <row r="1120">
      <c r="A1120" s="19">
        <v>88679.0</v>
      </c>
      <c r="B1120" s="20" t="str">
        <f t="array" ref="B1120">xlookup($A1120,product!$A:$A,product!B:B)</f>
        <v>Epicerie salée</v>
      </c>
      <c r="C1120" s="20" t="str">
        <f t="array" ref="C1120">xlookup($A1120,product!$A:$A,product!C:C)</f>
        <v>Pâtes bio</v>
      </c>
      <c r="D1120" s="20" t="str">
        <f t="array" ref="D1120">xlookup($A1120,product!$A:$A,product!D:D)</f>
        <v>Pâtes Blanches</v>
      </c>
      <c r="E1120" s="4" t="str">
        <f t="shared" si="1"/>
        <v>88679-Pâtes bio-Pâtes Blanches</v>
      </c>
      <c r="F1120" s="4">
        <v>1.0</v>
      </c>
      <c r="G1120" s="4">
        <v>530.0</v>
      </c>
      <c r="H1120" s="4">
        <v>38.0</v>
      </c>
      <c r="I1120" s="21">
        <f t="array" ref="I1120">XLOOKUP($A1120,product!A:A,product!E:E)</f>
        <v>2.42</v>
      </c>
      <c r="J1120" s="4">
        <f t="shared" si="2"/>
        <v>91.96</v>
      </c>
      <c r="K1120" s="22">
        <f t="shared" si="3"/>
        <v>1</v>
      </c>
      <c r="L1120" s="4">
        <f t="shared" si="4"/>
        <v>1</v>
      </c>
    </row>
    <row r="1121">
      <c r="A1121" s="23">
        <v>118305.0</v>
      </c>
      <c r="B1121" s="24" t="str">
        <f t="array" ref="B1121">xlookup($A1121,product!$A:$A,product!B:B)</f>
        <v>Epicerie salée</v>
      </c>
      <c r="C1121" s="24" t="str">
        <f t="array" ref="C1121">xlookup($A1121,product!$A:$A,product!C:C)</f>
        <v>Pâtes bio</v>
      </c>
      <c r="D1121" s="24" t="str">
        <f t="array" ref="D1121">xlookup($A1121,product!$A:$A,product!D:D)</f>
        <v>Pâtes Blanches</v>
      </c>
      <c r="E1121" s="25" t="str">
        <f t="shared" si="1"/>
        <v>118305-Pâtes bio-Pâtes Blanches</v>
      </c>
      <c r="F1121" s="25">
        <v>0.0</v>
      </c>
      <c r="G1121" s="25">
        <v>46.0</v>
      </c>
      <c r="H1121" s="25">
        <v>1.0</v>
      </c>
      <c r="I1121" s="26">
        <f t="array" ref="I1121">XLOOKUP($A1121,product!A:A,product!E:E)</f>
        <v>1.76</v>
      </c>
      <c r="J1121" s="25">
        <f t="shared" si="2"/>
        <v>1.76</v>
      </c>
      <c r="K1121" s="27">
        <f t="shared" si="3"/>
        <v>1</v>
      </c>
      <c r="L1121" s="25">
        <f t="shared" si="4"/>
        <v>1</v>
      </c>
    </row>
    <row r="1122">
      <c r="A1122" s="19">
        <v>60380.0</v>
      </c>
      <c r="B1122" s="20" t="str">
        <f t="array" ref="B1122">xlookup($A1122,product!$A:$A,product!B:B)</f>
        <v>Epicerie salée</v>
      </c>
      <c r="C1122" s="20" t="str">
        <f t="array" ref="C1122">xlookup($A1122,product!$A:$A,product!C:C)</f>
        <v>Pâtes bio</v>
      </c>
      <c r="D1122" s="20" t="str">
        <f t="array" ref="D1122">xlookup($A1122,product!$A:$A,product!D:D)</f>
        <v>Pâtes Blanches</v>
      </c>
      <c r="E1122" s="4" t="str">
        <f t="shared" si="1"/>
        <v>60380-Pâtes bio-Pâtes Blanches</v>
      </c>
      <c r="F1122" s="4">
        <v>0.0</v>
      </c>
      <c r="G1122" s="4">
        <v>160.0</v>
      </c>
      <c r="H1122" s="4">
        <v>108.0</v>
      </c>
      <c r="I1122" s="21">
        <f t="array" ref="I1122">XLOOKUP($A1122,product!A:A,product!E:E)</f>
        <v>1.28</v>
      </c>
      <c r="J1122" s="4">
        <f t="shared" si="2"/>
        <v>138.24</v>
      </c>
      <c r="K1122" s="22">
        <f t="shared" si="3"/>
        <v>1</v>
      </c>
      <c r="L1122" s="4">
        <f t="shared" si="4"/>
        <v>1</v>
      </c>
    </row>
    <row r="1123">
      <c r="A1123" s="23">
        <v>77475.0</v>
      </c>
      <c r="B1123" s="24" t="str">
        <f t="array" ref="B1123">xlookup($A1123,product!$A:$A,product!B:B)</f>
        <v>Epicerie salée</v>
      </c>
      <c r="C1123" s="24" t="str">
        <f t="array" ref="C1123">xlookup($A1123,product!$A:$A,product!C:C)</f>
        <v>Pâtes bio</v>
      </c>
      <c r="D1123" s="24" t="str">
        <f t="array" ref="D1123">xlookup($A1123,product!$A:$A,product!D:D)</f>
        <v>Pâtes complètes</v>
      </c>
      <c r="E1123" s="25" t="str">
        <f t="shared" si="1"/>
        <v>77475-Pâtes bio-Pâtes complètes</v>
      </c>
      <c r="F1123" s="25">
        <v>0.0</v>
      </c>
      <c r="G1123" s="25">
        <v>806.0</v>
      </c>
      <c r="H1123" s="25">
        <v>122.0</v>
      </c>
      <c r="I1123" s="26">
        <f t="array" ref="I1123">XLOOKUP($A1123,product!A:A,product!E:E)</f>
        <v>0.82</v>
      </c>
      <c r="J1123" s="25">
        <f t="shared" si="2"/>
        <v>100.04</v>
      </c>
      <c r="K1123" s="27">
        <f t="shared" si="3"/>
        <v>1</v>
      </c>
      <c r="L1123" s="25">
        <f t="shared" si="4"/>
        <v>1</v>
      </c>
    </row>
    <row r="1124">
      <c r="A1124" s="19">
        <v>110577.0</v>
      </c>
      <c r="B1124" s="20" t="str">
        <f t="array" ref="B1124">xlookup($A1124,product!$A:$A,product!B:B)</f>
        <v>Epicerie salée</v>
      </c>
      <c r="C1124" s="20" t="str">
        <f t="array" ref="C1124">xlookup($A1124,product!$A:$A,product!C:C)</f>
        <v>Pâtes bio</v>
      </c>
      <c r="D1124" s="20" t="str">
        <f t="array" ref="D1124">xlookup($A1124,product!$A:$A,product!D:D)</f>
        <v>Pâtes complètes</v>
      </c>
      <c r="E1124" s="4" t="str">
        <f t="shared" si="1"/>
        <v>110577-Pâtes bio-Pâtes complètes</v>
      </c>
      <c r="F1124" s="4">
        <v>1.0</v>
      </c>
      <c r="G1124" s="4">
        <v>85.0</v>
      </c>
      <c r="H1124" s="4">
        <v>37.0</v>
      </c>
      <c r="I1124" s="21">
        <f t="array" ref="I1124">XLOOKUP($A1124,product!A:A,product!E:E)</f>
        <v>0.91</v>
      </c>
      <c r="J1124" s="4">
        <f t="shared" si="2"/>
        <v>33.67</v>
      </c>
      <c r="K1124" s="22">
        <f t="shared" si="3"/>
        <v>1</v>
      </c>
      <c r="L1124" s="4">
        <f t="shared" si="4"/>
        <v>1</v>
      </c>
    </row>
    <row r="1125">
      <c r="A1125" s="23">
        <v>110571.0</v>
      </c>
      <c r="B1125" s="24" t="str">
        <f t="array" ref="B1125">xlookup($A1125,product!$A:$A,product!B:B)</f>
        <v>Epicerie salée</v>
      </c>
      <c r="C1125" s="24" t="str">
        <f t="array" ref="C1125">xlookup($A1125,product!$A:$A,product!C:C)</f>
        <v>Pâtes bio</v>
      </c>
      <c r="D1125" s="24" t="str">
        <f t="array" ref="D1125">xlookup($A1125,product!$A:$A,product!D:D)</f>
        <v>Pâtes complètes</v>
      </c>
      <c r="E1125" s="25" t="str">
        <f t="shared" si="1"/>
        <v>110571-Pâtes bio-Pâtes complètes</v>
      </c>
      <c r="F1125" s="25">
        <v>1.0</v>
      </c>
      <c r="G1125" s="25">
        <v>870.0</v>
      </c>
      <c r="H1125" s="25">
        <v>143.0</v>
      </c>
      <c r="I1125" s="26">
        <f t="array" ref="I1125">XLOOKUP($A1125,product!A:A,product!E:E)</f>
        <v>0.91</v>
      </c>
      <c r="J1125" s="25">
        <f t="shared" si="2"/>
        <v>130.13</v>
      </c>
      <c r="K1125" s="27">
        <f t="shared" si="3"/>
        <v>1</v>
      </c>
      <c r="L1125" s="25">
        <f t="shared" si="4"/>
        <v>1</v>
      </c>
    </row>
    <row r="1126">
      <c r="A1126" s="19">
        <v>103835.0</v>
      </c>
      <c r="B1126" s="20" t="str">
        <f t="array" ref="B1126">xlookup($A1126,product!$A:$A,product!B:B)</f>
        <v>Epicerie salée</v>
      </c>
      <c r="C1126" s="20" t="str">
        <f t="array" ref="C1126">xlookup($A1126,product!$A:$A,product!C:C)</f>
        <v>Pâtes bio</v>
      </c>
      <c r="D1126" s="20" t="str">
        <f t="array" ref="D1126">xlookup($A1126,product!$A:$A,product!D:D)</f>
        <v>Pâtes complètes</v>
      </c>
      <c r="E1126" s="4" t="str">
        <f t="shared" si="1"/>
        <v>103835-Pâtes bio-Pâtes complètes</v>
      </c>
      <c r="F1126" s="4">
        <v>1.0</v>
      </c>
      <c r="G1126" s="4">
        <v>676.0</v>
      </c>
      <c r="H1126" s="4">
        <v>86.0</v>
      </c>
      <c r="I1126" s="21">
        <f t="array" ref="I1126">XLOOKUP($A1126,product!A:A,product!E:E)</f>
        <v>1.21</v>
      </c>
      <c r="J1126" s="4">
        <f t="shared" si="2"/>
        <v>104.06</v>
      </c>
      <c r="K1126" s="22">
        <f t="shared" si="3"/>
        <v>1</v>
      </c>
      <c r="L1126" s="4">
        <f t="shared" si="4"/>
        <v>1</v>
      </c>
    </row>
    <row r="1127">
      <c r="A1127" s="23">
        <v>5646.0</v>
      </c>
      <c r="B1127" s="24" t="str">
        <f t="array" ref="B1127">xlookup($A1127,product!$A:$A,product!B:B)</f>
        <v>Epicerie salée</v>
      </c>
      <c r="C1127" s="24" t="str">
        <f t="array" ref="C1127">xlookup($A1127,product!$A:$A,product!C:C)</f>
        <v>Pâtes bio</v>
      </c>
      <c r="D1127" s="24" t="str">
        <f t="array" ref="D1127">xlookup($A1127,product!$A:$A,product!D:D)</f>
        <v>Pâtes complètes</v>
      </c>
      <c r="E1127" s="25" t="str">
        <f t="shared" si="1"/>
        <v>5646-Pâtes bio-Pâtes complètes</v>
      </c>
      <c r="F1127" s="25">
        <v>0.0</v>
      </c>
      <c r="G1127" s="25">
        <v>915.0</v>
      </c>
      <c r="H1127" s="25">
        <v>35.0</v>
      </c>
      <c r="I1127" s="26">
        <f t="array" ref="I1127">XLOOKUP($A1127,product!A:A,product!E:E)</f>
        <v>0.91</v>
      </c>
      <c r="J1127" s="25">
        <f t="shared" si="2"/>
        <v>31.85</v>
      </c>
      <c r="K1127" s="27">
        <f t="shared" si="3"/>
        <v>1</v>
      </c>
      <c r="L1127" s="25">
        <f t="shared" si="4"/>
        <v>1</v>
      </c>
    </row>
    <row r="1128">
      <c r="A1128" s="19">
        <v>5649.0</v>
      </c>
      <c r="B1128" s="20" t="str">
        <f t="array" ref="B1128">xlookup($A1128,product!$A:$A,product!B:B)</f>
        <v>Epicerie salée</v>
      </c>
      <c r="C1128" s="20" t="str">
        <f t="array" ref="C1128">xlookup($A1128,product!$A:$A,product!C:C)</f>
        <v>Pâtes bio</v>
      </c>
      <c r="D1128" s="20" t="str">
        <f t="array" ref="D1128">xlookup($A1128,product!$A:$A,product!D:D)</f>
        <v>Pâtes complètes</v>
      </c>
      <c r="E1128" s="4" t="str">
        <f t="shared" si="1"/>
        <v>5649-Pâtes bio-Pâtes complètes</v>
      </c>
      <c r="F1128" s="4">
        <v>1.0</v>
      </c>
      <c r="G1128" s="4">
        <v>23.0</v>
      </c>
      <c r="H1128" s="4">
        <v>20.0</v>
      </c>
      <c r="I1128" s="21">
        <f t="array" ref="I1128">XLOOKUP($A1128,product!A:A,product!E:E)</f>
        <v>0.98</v>
      </c>
      <c r="J1128" s="4">
        <f t="shared" si="2"/>
        <v>19.6</v>
      </c>
      <c r="K1128" s="22">
        <f t="shared" si="3"/>
        <v>1</v>
      </c>
      <c r="L1128" s="4">
        <f t="shared" si="4"/>
        <v>1</v>
      </c>
    </row>
    <row r="1129">
      <c r="A1129" s="23">
        <v>5647.0</v>
      </c>
      <c r="B1129" s="24" t="str">
        <f t="array" ref="B1129">xlookup($A1129,product!$A:$A,product!B:B)</f>
        <v>Epicerie salée</v>
      </c>
      <c r="C1129" s="24" t="str">
        <f t="array" ref="C1129">xlookup($A1129,product!$A:$A,product!C:C)</f>
        <v>Pâtes bio</v>
      </c>
      <c r="D1129" s="24" t="str">
        <f t="array" ref="D1129">xlookup($A1129,product!$A:$A,product!D:D)</f>
        <v>Pâtes complètes</v>
      </c>
      <c r="E1129" s="25" t="str">
        <f t="shared" si="1"/>
        <v>5647-Pâtes bio-Pâtes complètes</v>
      </c>
      <c r="F1129" s="25">
        <v>0.0</v>
      </c>
      <c r="G1129" s="25">
        <v>831.0</v>
      </c>
      <c r="H1129" s="25">
        <v>460.0</v>
      </c>
      <c r="I1129" s="26">
        <f t="array" ref="I1129">XLOOKUP($A1129,product!A:A,product!E:E)</f>
        <v>0.91</v>
      </c>
      <c r="J1129" s="25">
        <f t="shared" si="2"/>
        <v>418.6</v>
      </c>
      <c r="K1129" s="27">
        <f t="shared" si="3"/>
        <v>1</v>
      </c>
      <c r="L1129" s="25">
        <f t="shared" si="4"/>
        <v>1</v>
      </c>
    </row>
    <row r="1130">
      <c r="A1130" s="19">
        <v>5648.0</v>
      </c>
      <c r="B1130" s="20" t="str">
        <f t="array" ref="B1130">xlookup($A1130,product!$A:$A,product!B:B)</f>
        <v>Epicerie salée</v>
      </c>
      <c r="C1130" s="20" t="str">
        <f t="array" ref="C1130">xlookup($A1130,product!$A:$A,product!C:C)</f>
        <v>Pâtes bio</v>
      </c>
      <c r="D1130" s="20" t="str">
        <f t="array" ref="D1130">xlookup($A1130,product!$A:$A,product!D:D)</f>
        <v>Pâtes complètes</v>
      </c>
      <c r="E1130" s="4" t="str">
        <f t="shared" si="1"/>
        <v>5648-Pâtes bio-Pâtes complètes</v>
      </c>
      <c r="F1130" s="4">
        <v>0.0</v>
      </c>
      <c r="G1130" s="4">
        <v>669.0</v>
      </c>
      <c r="H1130" s="4">
        <v>597.0</v>
      </c>
      <c r="I1130" s="21">
        <f t="array" ref="I1130">XLOOKUP($A1130,product!A:A,product!E:E)</f>
        <v>0.96</v>
      </c>
      <c r="J1130" s="4">
        <f t="shared" si="2"/>
        <v>573.12</v>
      </c>
      <c r="K1130" s="22">
        <f t="shared" si="3"/>
        <v>1</v>
      </c>
      <c r="L1130" s="4">
        <f t="shared" si="4"/>
        <v>1</v>
      </c>
    </row>
    <row r="1131">
      <c r="A1131" s="23">
        <v>108292.0</v>
      </c>
      <c r="B1131" s="24" t="str">
        <f t="array" ref="B1131">xlookup($A1131,product!$A:$A,product!B:B)</f>
        <v>Epicerie salée</v>
      </c>
      <c r="C1131" s="24" t="str">
        <f t="array" ref="C1131">xlookup($A1131,product!$A:$A,product!C:C)</f>
        <v>Pâtes bio</v>
      </c>
      <c r="D1131" s="24" t="str">
        <f t="array" ref="D1131">xlookup($A1131,product!$A:$A,product!D:D)</f>
        <v>Pâtes complètes</v>
      </c>
      <c r="E1131" s="25" t="str">
        <f t="shared" si="1"/>
        <v>108292-Pâtes bio-Pâtes complètes</v>
      </c>
      <c r="F1131" s="25">
        <v>1.0</v>
      </c>
      <c r="G1131" s="25">
        <v>623.0</v>
      </c>
      <c r="H1131" s="25">
        <v>161.0</v>
      </c>
      <c r="I1131" s="26">
        <f t="array" ref="I1131">XLOOKUP($A1131,product!A:A,product!E:E)</f>
        <v>8.48</v>
      </c>
      <c r="J1131" s="25">
        <f t="shared" si="2"/>
        <v>1365.28</v>
      </c>
      <c r="K1131" s="27">
        <f t="shared" si="3"/>
        <v>1</v>
      </c>
      <c r="L1131" s="25">
        <f t="shared" si="4"/>
        <v>1</v>
      </c>
    </row>
    <row r="1132">
      <c r="A1132" s="19">
        <v>110572.0</v>
      </c>
      <c r="B1132" s="20" t="str">
        <f t="array" ref="B1132">xlookup($A1132,product!$A:$A,product!B:B)</f>
        <v>Epicerie salée</v>
      </c>
      <c r="C1132" s="20" t="str">
        <f t="array" ref="C1132">xlookup($A1132,product!$A:$A,product!C:C)</f>
        <v>Pâtes bio</v>
      </c>
      <c r="D1132" s="20" t="str">
        <f t="array" ref="D1132">xlookup($A1132,product!$A:$A,product!D:D)</f>
        <v>Pâtes complètes</v>
      </c>
      <c r="E1132" s="4" t="str">
        <f t="shared" si="1"/>
        <v>110572-Pâtes bio-Pâtes complètes</v>
      </c>
      <c r="F1132" s="4">
        <v>1.0</v>
      </c>
      <c r="G1132" s="4">
        <v>366.0</v>
      </c>
      <c r="H1132" s="4">
        <v>42.0</v>
      </c>
      <c r="I1132" s="21">
        <f t="array" ref="I1132">XLOOKUP($A1132,product!A:A,product!E:E)</f>
        <v>0.91</v>
      </c>
      <c r="J1132" s="4">
        <f t="shared" si="2"/>
        <v>38.22</v>
      </c>
      <c r="K1132" s="22">
        <f t="shared" si="3"/>
        <v>1</v>
      </c>
      <c r="L1132" s="4">
        <f t="shared" si="4"/>
        <v>1</v>
      </c>
    </row>
    <row r="1133">
      <c r="A1133" s="23">
        <v>77456.0</v>
      </c>
      <c r="B1133" s="24" t="str">
        <f t="array" ref="B1133">xlookup($A1133,product!$A:$A,product!B:B)</f>
        <v>Epicerie salée</v>
      </c>
      <c r="C1133" s="24" t="str">
        <f t="array" ref="C1133">xlookup($A1133,product!$A:$A,product!C:C)</f>
        <v>Pâtes bio</v>
      </c>
      <c r="D1133" s="24" t="str">
        <f t="array" ref="D1133">xlookup($A1133,product!$A:$A,product!D:D)</f>
        <v>Pâtes complètes</v>
      </c>
      <c r="E1133" s="25" t="str">
        <f t="shared" si="1"/>
        <v>77456-Pâtes bio-Pâtes complètes</v>
      </c>
      <c r="F1133" s="25">
        <v>1.0</v>
      </c>
      <c r="G1133" s="25">
        <v>129.0</v>
      </c>
      <c r="H1133" s="25">
        <v>15.0</v>
      </c>
      <c r="I1133" s="26">
        <f t="array" ref="I1133">XLOOKUP($A1133,product!A:A,product!E:E)</f>
        <v>0.82</v>
      </c>
      <c r="J1133" s="25">
        <f t="shared" si="2"/>
        <v>12.3</v>
      </c>
      <c r="K1133" s="27">
        <f t="shared" si="3"/>
        <v>1</v>
      </c>
      <c r="L1133" s="25">
        <f t="shared" si="4"/>
        <v>1</v>
      </c>
    </row>
    <row r="1134">
      <c r="A1134" s="19">
        <v>77454.0</v>
      </c>
      <c r="B1134" s="20" t="str">
        <f t="array" ref="B1134">xlookup($A1134,product!$A:$A,product!B:B)</f>
        <v>Epicerie salée</v>
      </c>
      <c r="C1134" s="20" t="str">
        <f t="array" ref="C1134">xlookup($A1134,product!$A:$A,product!C:C)</f>
        <v>Pâtes bio</v>
      </c>
      <c r="D1134" s="20" t="str">
        <f t="array" ref="D1134">xlookup($A1134,product!$A:$A,product!D:D)</f>
        <v>Pâtes parfumées</v>
      </c>
      <c r="E1134" s="4" t="str">
        <f t="shared" si="1"/>
        <v>77454-Pâtes bio-Pâtes parfumées</v>
      </c>
      <c r="F1134" s="4">
        <v>0.0</v>
      </c>
      <c r="G1134" s="4">
        <v>932.0</v>
      </c>
      <c r="H1134" s="4">
        <v>131.0</v>
      </c>
      <c r="I1134" s="21">
        <f t="array" ref="I1134">XLOOKUP($A1134,product!A:A,product!E:E)</f>
        <v>1.32</v>
      </c>
      <c r="J1134" s="4">
        <f t="shared" si="2"/>
        <v>172.92</v>
      </c>
      <c r="K1134" s="22">
        <f t="shared" si="3"/>
        <v>1</v>
      </c>
      <c r="L1134" s="4">
        <f t="shared" si="4"/>
        <v>1</v>
      </c>
    </row>
    <row r="1135">
      <c r="A1135" s="23">
        <v>44095.0</v>
      </c>
      <c r="B1135" s="24" t="str">
        <f t="array" ref="B1135">xlookup($A1135,product!$A:$A,product!B:B)</f>
        <v>Epicerie salée</v>
      </c>
      <c r="C1135" s="24" t="str">
        <f t="array" ref="C1135">xlookup($A1135,product!$A:$A,product!C:C)</f>
        <v>Pâtes bio</v>
      </c>
      <c r="D1135" s="24" t="str">
        <f t="array" ref="D1135">xlookup($A1135,product!$A:$A,product!D:D)</f>
        <v>Pâtes parfumées</v>
      </c>
      <c r="E1135" s="25" t="str">
        <f t="shared" si="1"/>
        <v>44095-Pâtes bio-Pâtes parfumées</v>
      </c>
      <c r="F1135" s="25">
        <v>1.0</v>
      </c>
      <c r="G1135" s="25">
        <v>524.0</v>
      </c>
      <c r="H1135" s="25">
        <v>284.0</v>
      </c>
      <c r="I1135" s="26">
        <f t="array" ref="I1135">XLOOKUP($A1135,product!A:A,product!E:E)</f>
        <v>1.72</v>
      </c>
      <c r="J1135" s="25">
        <f t="shared" si="2"/>
        <v>488.48</v>
      </c>
      <c r="K1135" s="27">
        <f t="shared" si="3"/>
        <v>1</v>
      </c>
      <c r="L1135" s="25">
        <f t="shared" si="4"/>
        <v>1</v>
      </c>
    </row>
    <row r="1136">
      <c r="A1136" s="19">
        <v>87419.0</v>
      </c>
      <c r="B1136" s="20" t="str">
        <f t="array" ref="B1136">xlookup($A1136,product!$A:$A,product!B:B)</f>
        <v>Epicerie salée</v>
      </c>
      <c r="C1136" s="20" t="str">
        <f t="array" ref="C1136">xlookup($A1136,product!$A:$A,product!C:C)</f>
        <v>Pâtes bio</v>
      </c>
      <c r="D1136" s="20" t="str">
        <f t="array" ref="D1136">xlookup($A1136,product!$A:$A,product!D:D)</f>
        <v>Pâtes parfumées</v>
      </c>
      <c r="E1136" s="4" t="str">
        <f t="shared" si="1"/>
        <v>87419-Pâtes bio-Pâtes parfumées</v>
      </c>
      <c r="F1136" s="4">
        <v>1.0</v>
      </c>
      <c r="G1136" s="4">
        <v>234.0</v>
      </c>
      <c r="H1136" s="4">
        <v>120.0</v>
      </c>
      <c r="I1136" s="21">
        <f t="array" ref="I1136">XLOOKUP($A1136,product!A:A,product!E:E)</f>
        <v>1.92</v>
      </c>
      <c r="J1136" s="4">
        <f t="shared" si="2"/>
        <v>230.4</v>
      </c>
      <c r="K1136" s="22">
        <f t="shared" si="3"/>
        <v>1</v>
      </c>
      <c r="L1136" s="4">
        <f t="shared" si="4"/>
        <v>1</v>
      </c>
    </row>
    <row r="1137">
      <c r="A1137" s="23">
        <v>44087.0</v>
      </c>
      <c r="B1137" s="24" t="str">
        <f t="array" ref="B1137">xlookup($A1137,product!$A:$A,product!B:B)</f>
        <v>Epicerie salée</v>
      </c>
      <c r="C1137" s="24" t="str">
        <f t="array" ref="C1137">xlookup($A1137,product!$A:$A,product!C:C)</f>
        <v>Pâtes bio</v>
      </c>
      <c r="D1137" s="24" t="str">
        <f t="array" ref="D1137">xlookup($A1137,product!$A:$A,product!D:D)</f>
        <v>Pâtes parfumées</v>
      </c>
      <c r="E1137" s="25" t="str">
        <f t="shared" si="1"/>
        <v>44087-Pâtes bio-Pâtes parfumées</v>
      </c>
      <c r="F1137" s="25">
        <v>1.0</v>
      </c>
      <c r="G1137" s="25">
        <v>329.0</v>
      </c>
      <c r="H1137" s="25">
        <v>299.0</v>
      </c>
      <c r="I1137" s="26">
        <f t="array" ref="I1137">XLOOKUP($A1137,product!A:A,product!E:E)</f>
        <v>1.72</v>
      </c>
      <c r="J1137" s="25">
        <f t="shared" si="2"/>
        <v>514.28</v>
      </c>
      <c r="K1137" s="27">
        <f t="shared" si="3"/>
        <v>1</v>
      </c>
      <c r="L1137" s="25">
        <f t="shared" si="4"/>
        <v>1</v>
      </c>
    </row>
    <row r="1138">
      <c r="A1138" s="19">
        <v>44129.0</v>
      </c>
      <c r="B1138" s="20" t="str">
        <f t="array" ref="B1138">xlookup($A1138,product!$A:$A,product!B:B)</f>
        <v>Epicerie salée</v>
      </c>
      <c r="C1138" s="20" t="str">
        <f t="array" ref="C1138">xlookup($A1138,product!$A:$A,product!C:C)</f>
        <v>Pâtes bio</v>
      </c>
      <c r="D1138" s="20" t="str">
        <f t="array" ref="D1138">xlookup($A1138,product!$A:$A,product!D:D)</f>
        <v>Pâtes parfumées</v>
      </c>
      <c r="E1138" s="4" t="str">
        <f t="shared" si="1"/>
        <v>44129-Pâtes bio-Pâtes parfumées</v>
      </c>
      <c r="F1138" s="4">
        <v>0.0</v>
      </c>
      <c r="G1138" s="4">
        <v>554.0</v>
      </c>
      <c r="H1138" s="4">
        <v>18.0</v>
      </c>
      <c r="I1138" s="21">
        <f t="array" ref="I1138">XLOOKUP($A1138,product!A:A,product!E:E)</f>
        <v>1.72</v>
      </c>
      <c r="J1138" s="4">
        <f t="shared" si="2"/>
        <v>30.96</v>
      </c>
      <c r="K1138" s="22">
        <f t="shared" si="3"/>
        <v>1</v>
      </c>
      <c r="L1138" s="4">
        <f t="shared" si="4"/>
        <v>1</v>
      </c>
    </row>
    <row r="1139">
      <c r="A1139" s="23">
        <v>103832.0</v>
      </c>
      <c r="B1139" s="24" t="str">
        <f t="array" ref="B1139">xlookup($A1139,product!$A:$A,product!B:B)</f>
        <v>Epicerie salée</v>
      </c>
      <c r="C1139" s="24" t="str">
        <f t="array" ref="C1139">xlookup($A1139,product!$A:$A,product!C:C)</f>
        <v>Pâtes bio</v>
      </c>
      <c r="D1139" s="24" t="str">
        <f t="array" ref="D1139">xlookup($A1139,product!$A:$A,product!D:D)</f>
        <v>Pâtes parfumées</v>
      </c>
      <c r="E1139" s="25" t="str">
        <f t="shared" si="1"/>
        <v>103832-Pâtes bio-Pâtes parfumées</v>
      </c>
      <c r="F1139" s="25">
        <v>1.0</v>
      </c>
      <c r="G1139" s="25">
        <v>827.0</v>
      </c>
      <c r="H1139" s="25">
        <v>97.0</v>
      </c>
      <c r="I1139" s="26">
        <f t="array" ref="I1139">XLOOKUP($A1139,product!A:A,product!E:E)</f>
        <v>1.68</v>
      </c>
      <c r="J1139" s="25">
        <f t="shared" si="2"/>
        <v>162.96</v>
      </c>
      <c r="K1139" s="27">
        <f t="shared" si="3"/>
        <v>1</v>
      </c>
      <c r="L1139" s="25">
        <f t="shared" si="4"/>
        <v>1</v>
      </c>
    </row>
    <row r="1140">
      <c r="A1140" s="19">
        <v>103819.0</v>
      </c>
      <c r="B1140" s="20" t="str">
        <f t="array" ref="B1140">xlookup($A1140,product!$A:$A,product!B:B)</f>
        <v>Epicerie salée</v>
      </c>
      <c r="C1140" s="20" t="str">
        <f t="array" ref="C1140">xlookup($A1140,product!$A:$A,product!C:C)</f>
        <v>Pâtes bio</v>
      </c>
      <c r="D1140" s="20" t="str">
        <f t="array" ref="D1140">xlookup($A1140,product!$A:$A,product!D:D)</f>
        <v>Pâtes parfumées</v>
      </c>
      <c r="E1140" s="4" t="str">
        <f t="shared" si="1"/>
        <v>103819-Pâtes bio-Pâtes parfumées</v>
      </c>
      <c r="F1140" s="4">
        <v>0.0</v>
      </c>
      <c r="G1140" s="4">
        <v>599.0</v>
      </c>
      <c r="H1140" s="4">
        <v>291.0</v>
      </c>
      <c r="I1140" s="21">
        <f t="array" ref="I1140">XLOOKUP($A1140,product!A:A,product!E:E)</f>
        <v>1.72</v>
      </c>
      <c r="J1140" s="4">
        <f t="shared" si="2"/>
        <v>500.52</v>
      </c>
      <c r="K1140" s="22">
        <f t="shared" si="3"/>
        <v>1</v>
      </c>
      <c r="L1140" s="4">
        <f t="shared" si="4"/>
        <v>1</v>
      </c>
    </row>
    <row r="1141">
      <c r="A1141" s="23">
        <v>88683.0</v>
      </c>
      <c r="B1141" s="24" t="str">
        <f t="array" ref="B1141">xlookup($A1141,product!$A:$A,product!B:B)</f>
        <v>Epicerie salée</v>
      </c>
      <c r="C1141" s="24" t="str">
        <f t="array" ref="C1141">xlookup($A1141,product!$A:$A,product!C:C)</f>
        <v>Pâtes bio</v>
      </c>
      <c r="D1141" s="24" t="str">
        <f t="array" ref="D1141">xlookup($A1141,product!$A:$A,product!D:D)</f>
        <v>Pâtes parfumées</v>
      </c>
      <c r="E1141" s="25" t="str">
        <f t="shared" si="1"/>
        <v>88683-Pâtes bio-Pâtes parfumées</v>
      </c>
      <c r="F1141" s="25">
        <v>0.0</v>
      </c>
      <c r="G1141" s="25">
        <v>276.0</v>
      </c>
      <c r="H1141" s="25">
        <v>142.0</v>
      </c>
      <c r="I1141" s="26">
        <f t="array" ref="I1141">XLOOKUP($A1141,product!A:A,product!E:E)</f>
        <v>1.66</v>
      </c>
      <c r="J1141" s="25">
        <f t="shared" si="2"/>
        <v>235.72</v>
      </c>
      <c r="K1141" s="27">
        <f t="shared" si="3"/>
        <v>1</v>
      </c>
      <c r="L1141" s="25">
        <f t="shared" si="4"/>
        <v>1</v>
      </c>
    </row>
    <row r="1142">
      <c r="A1142" s="19">
        <v>5676.0</v>
      </c>
      <c r="B1142" s="20" t="str">
        <f t="array" ref="B1142">xlookup($A1142,product!$A:$A,product!B:B)</f>
        <v>Epicerie salée</v>
      </c>
      <c r="C1142" s="20" t="str">
        <f t="array" ref="C1142">xlookup($A1142,product!$A:$A,product!C:C)</f>
        <v>Pâtes bio</v>
      </c>
      <c r="D1142" s="20" t="str">
        <f t="array" ref="D1142">xlookup($A1142,product!$A:$A,product!D:D)</f>
        <v>Pâtes parfumées</v>
      </c>
      <c r="E1142" s="4" t="str">
        <f t="shared" si="1"/>
        <v>5676-Pâtes bio-Pâtes parfumées</v>
      </c>
      <c r="F1142" s="4">
        <v>1.0</v>
      </c>
      <c r="G1142" s="4">
        <v>158.0</v>
      </c>
      <c r="H1142" s="4">
        <v>144.0</v>
      </c>
      <c r="I1142" s="21">
        <f t="array" ref="I1142">XLOOKUP($A1142,product!A:A,product!E:E)</f>
        <v>1.89</v>
      </c>
      <c r="J1142" s="4">
        <f t="shared" si="2"/>
        <v>272.16</v>
      </c>
      <c r="K1142" s="22">
        <f t="shared" si="3"/>
        <v>1</v>
      </c>
      <c r="L1142" s="4">
        <f t="shared" si="4"/>
        <v>1</v>
      </c>
    </row>
    <row r="1143">
      <c r="A1143" s="23">
        <v>116776.0</v>
      </c>
      <c r="B1143" s="24" t="str">
        <f t="array" ref="B1143">xlookup($A1143,product!$A:$A,product!B:B)</f>
        <v>Epicerie salée</v>
      </c>
      <c r="C1143" s="24" t="str">
        <f t="array" ref="C1143">xlookup($A1143,product!$A:$A,product!C:C)</f>
        <v>Pâtes bio</v>
      </c>
      <c r="D1143" s="24" t="str">
        <f t="array" ref="D1143">xlookup($A1143,product!$A:$A,product!D:D)</f>
        <v>Pâtes parfumées</v>
      </c>
      <c r="E1143" s="25" t="str">
        <f t="shared" si="1"/>
        <v>116776-Pâtes bio-Pâtes parfumées</v>
      </c>
      <c r="F1143" s="25">
        <v>0.0</v>
      </c>
      <c r="G1143" s="25">
        <v>284.0</v>
      </c>
      <c r="H1143" s="25">
        <v>23.0</v>
      </c>
      <c r="I1143" s="26">
        <f t="array" ref="I1143">XLOOKUP($A1143,product!A:A,product!E:E)</f>
        <v>1.13</v>
      </c>
      <c r="J1143" s="25">
        <f t="shared" si="2"/>
        <v>25.99</v>
      </c>
      <c r="K1143" s="27">
        <f t="shared" si="3"/>
        <v>1</v>
      </c>
      <c r="L1143" s="25">
        <f t="shared" si="4"/>
        <v>1</v>
      </c>
    </row>
    <row r="1144">
      <c r="A1144" s="19">
        <v>5668.0</v>
      </c>
      <c r="B1144" s="20" t="str">
        <f t="array" ref="B1144">xlookup($A1144,product!$A:$A,product!B:B)</f>
        <v>Epicerie salée</v>
      </c>
      <c r="C1144" s="20" t="str">
        <f t="array" ref="C1144">xlookup($A1144,product!$A:$A,product!C:C)</f>
        <v>Pâtes bio</v>
      </c>
      <c r="D1144" s="20" t="str">
        <f t="array" ref="D1144">xlookup($A1144,product!$A:$A,product!D:D)</f>
        <v>Pâtes parfumées</v>
      </c>
      <c r="E1144" s="4" t="str">
        <f t="shared" si="1"/>
        <v>5668-Pâtes bio-Pâtes parfumées</v>
      </c>
      <c r="F1144" s="4">
        <v>0.0</v>
      </c>
      <c r="G1144" s="4">
        <v>800.0</v>
      </c>
      <c r="H1144" s="4">
        <v>417.0</v>
      </c>
      <c r="I1144" s="21">
        <f t="array" ref="I1144">XLOOKUP($A1144,product!A:A,product!E:E)</f>
        <v>2.45</v>
      </c>
      <c r="J1144" s="4">
        <f t="shared" si="2"/>
        <v>1021.65</v>
      </c>
      <c r="K1144" s="22">
        <f t="shared" si="3"/>
        <v>1</v>
      </c>
      <c r="L1144" s="4">
        <f t="shared" si="4"/>
        <v>1</v>
      </c>
    </row>
    <row r="1145">
      <c r="A1145" s="23">
        <v>119052.0</v>
      </c>
      <c r="B1145" s="24" t="str">
        <f t="array" ref="B1145">xlookup($A1145,product!$A:$A,product!B:B)</f>
        <v>Epicerie salée</v>
      </c>
      <c r="C1145" s="24" t="str">
        <f t="array" ref="C1145">xlookup($A1145,product!$A:$A,product!C:C)</f>
        <v>Pâtes bio</v>
      </c>
      <c r="D1145" s="24" t="str">
        <f t="array" ref="D1145">xlookup($A1145,product!$A:$A,product!D:D)</f>
        <v>Pâtes parfumées</v>
      </c>
      <c r="E1145" s="25" t="str">
        <f t="shared" si="1"/>
        <v>119052-Pâtes bio-Pâtes parfumées</v>
      </c>
      <c r="F1145" s="25">
        <v>1.0</v>
      </c>
      <c r="G1145" s="25">
        <v>7.0</v>
      </c>
      <c r="H1145" s="25">
        <v>7.0</v>
      </c>
      <c r="I1145" s="26">
        <f t="array" ref="I1145">XLOOKUP($A1145,product!A:A,product!E:E)</f>
        <v>2.05</v>
      </c>
      <c r="J1145" s="25">
        <f t="shared" si="2"/>
        <v>14.35</v>
      </c>
      <c r="K1145" s="27">
        <f t="shared" si="3"/>
        <v>1</v>
      </c>
      <c r="L1145" s="25">
        <f t="shared" si="4"/>
        <v>1</v>
      </c>
    </row>
    <row r="1146">
      <c r="A1146" s="19">
        <v>118920.0</v>
      </c>
      <c r="B1146" s="20" t="str">
        <f t="array" ref="B1146">xlookup($A1146,product!$A:$A,product!B:B)</f>
        <v>Epicerie salée</v>
      </c>
      <c r="C1146" s="20" t="str">
        <f t="array" ref="C1146">xlookup($A1146,product!$A:$A,product!C:C)</f>
        <v>Pâtes bio</v>
      </c>
      <c r="D1146" s="20" t="str">
        <f t="array" ref="D1146">xlookup($A1146,product!$A:$A,product!D:D)</f>
        <v>Pâtes parfumées</v>
      </c>
      <c r="E1146" s="4" t="str">
        <f t="shared" si="1"/>
        <v>118920-Pâtes bio-Pâtes parfumées</v>
      </c>
      <c r="F1146" s="4">
        <v>1.0</v>
      </c>
      <c r="G1146" s="4">
        <v>441.0</v>
      </c>
      <c r="H1146" s="4">
        <v>54.0</v>
      </c>
      <c r="I1146" s="21">
        <f t="array" ref="I1146">XLOOKUP($A1146,product!A:A,product!E:E)</f>
        <v>0.93</v>
      </c>
      <c r="J1146" s="4">
        <f t="shared" si="2"/>
        <v>50.22</v>
      </c>
      <c r="K1146" s="22">
        <f t="shared" si="3"/>
        <v>1</v>
      </c>
      <c r="L1146" s="4">
        <f t="shared" si="4"/>
        <v>1</v>
      </c>
    </row>
    <row r="1147">
      <c r="A1147" s="23">
        <v>96003.0</v>
      </c>
      <c r="B1147" s="24" t="str">
        <f t="array" ref="B1147">xlookup($A1147,product!$A:$A,product!B:B)</f>
        <v>Epicerie salée</v>
      </c>
      <c r="C1147" s="24" t="str">
        <f t="array" ref="C1147">xlookup($A1147,product!$A:$A,product!C:C)</f>
        <v>Pâtes bio</v>
      </c>
      <c r="D1147" s="24" t="str">
        <f t="array" ref="D1147">xlookup($A1147,product!$A:$A,product!D:D)</f>
        <v>Pâtes aux céréales</v>
      </c>
      <c r="E1147" s="25" t="str">
        <f t="shared" si="1"/>
        <v>96003-Pâtes bio-Pâtes aux céréales</v>
      </c>
      <c r="F1147" s="25">
        <v>0.0</v>
      </c>
      <c r="G1147" s="25">
        <v>696.0</v>
      </c>
      <c r="H1147" s="25">
        <v>256.0</v>
      </c>
      <c r="I1147" s="26">
        <f t="array" ref="I1147">XLOOKUP($A1147,product!A:A,product!E:E)</f>
        <v>2</v>
      </c>
      <c r="J1147" s="25">
        <f t="shared" si="2"/>
        <v>512</v>
      </c>
      <c r="K1147" s="27">
        <f t="shared" si="3"/>
        <v>1</v>
      </c>
      <c r="L1147" s="25">
        <f t="shared" si="4"/>
        <v>1</v>
      </c>
    </row>
    <row r="1148">
      <c r="A1148" s="19">
        <v>116380.0</v>
      </c>
      <c r="B1148" s="20" t="str">
        <f t="array" ref="B1148">xlookup($A1148,product!$A:$A,product!B:B)</f>
        <v>Epicerie salée</v>
      </c>
      <c r="C1148" s="20" t="str">
        <f t="array" ref="C1148">xlookup($A1148,product!$A:$A,product!C:C)</f>
        <v>Pâtes bio</v>
      </c>
      <c r="D1148" s="20" t="str">
        <f t="array" ref="D1148">xlookup($A1148,product!$A:$A,product!D:D)</f>
        <v>Pâtes aux céréales</v>
      </c>
      <c r="E1148" s="4" t="str">
        <f t="shared" si="1"/>
        <v>116380-Pâtes bio-Pâtes aux céréales</v>
      </c>
      <c r="F1148" s="4">
        <v>0.0</v>
      </c>
      <c r="G1148" s="4">
        <v>711.0</v>
      </c>
      <c r="H1148" s="4">
        <v>97.0</v>
      </c>
      <c r="I1148" s="21">
        <f t="array" ref="I1148">XLOOKUP($A1148,product!A:A,product!E:E)</f>
        <v>3.06</v>
      </c>
      <c r="J1148" s="4">
        <f t="shared" si="2"/>
        <v>296.82</v>
      </c>
      <c r="K1148" s="22">
        <f t="shared" si="3"/>
        <v>1</v>
      </c>
      <c r="L1148" s="4">
        <f t="shared" si="4"/>
        <v>1</v>
      </c>
    </row>
    <row r="1149">
      <c r="A1149" s="23">
        <v>46291.0</v>
      </c>
      <c r="B1149" s="24" t="str">
        <f t="array" ref="B1149">xlookup($A1149,product!$A:$A,product!B:B)</f>
        <v>Epicerie salée</v>
      </c>
      <c r="C1149" s="24" t="str">
        <f t="array" ref="C1149">xlookup($A1149,product!$A:$A,product!C:C)</f>
        <v>Pâtes bio</v>
      </c>
      <c r="D1149" s="24" t="str">
        <f t="array" ref="D1149">xlookup($A1149,product!$A:$A,product!D:D)</f>
        <v>Pâtes aux céréales</v>
      </c>
      <c r="E1149" s="25" t="str">
        <f t="shared" si="1"/>
        <v>46291-Pâtes bio-Pâtes aux céréales</v>
      </c>
      <c r="F1149" s="25">
        <v>0.0</v>
      </c>
      <c r="G1149" s="25">
        <v>919.0</v>
      </c>
      <c r="H1149" s="25">
        <v>444.0</v>
      </c>
      <c r="I1149" s="26">
        <f t="array" ref="I1149">XLOOKUP($A1149,product!A:A,product!E:E)</f>
        <v>1.85</v>
      </c>
      <c r="J1149" s="25">
        <f t="shared" si="2"/>
        <v>821.4</v>
      </c>
      <c r="K1149" s="27">
        <f t="shared" si="3"/>
        <v>1</v>
      </c>
      <c r="L1149" s="25">
        <f t="shared" si="4"/>
        <v>1</v>
      </c>
    </row>
    <row r="1150">
      <c r="A1150" s="19">
        <v>148742.0</v>
      </c>
      <c r="B1150" s="20" t="str">
        <f t="array" ref="B1150">xlookup($A1150,product!$A:$A,product!B:B)</f>
        <v>Epicerie salée</v>
      </c>
      <c r="C1150" s="20" t="str">
        <f t="array" ref="C1150">xlookup($A1150,product!$A:$A,product!C:C)</f>
        <v>Pâtes bio</v>
      </c>
      <c r="D1150" s="20" t="str">
        <f t="array" ref="D1150">xlookup($A1150,product!$A:$A,product!D:D)</f>
        <v>Pâtes aux céréales</v>
      </c>
      <c r="E1150" s="4" t="str">
        <f t="shared" si="1"/>
        <v>148742-Pâtes bio-Pâtes aux céréales</v>
      </c>
      <c r="F1150" s="4">
        <v>0.0</v>
      </c>
      <c r="G1150" s="4">
        <v>536.0</v>
      </c>
      <c r="H1150" s="4">
        <v>504.0</v>
      </c>
      <c r="I1150" s="21">
        <f t="array" ref="I1150">XLOOKUP($A1150,product!A:A,product!E:E)</f>
        <v>1.68</v>
      </c>
      <c r="J1150" s="4">
        <f t="shared" si="2"/>
        <v>846.72</v>
      </c>
      <c r="K1150" s="22">
        <f t="shared" si="3"/>
        <v>1</v>
      </c>
      <c r="L1150" s="4">
        <f t="shared" si="4"/>
        <v>1</v>
      </c>
    </row>
    <row r="1151">
      <c r="A1151" s="23">
        <v>83634.0</v>
      </c>
      <c r="B1151" s="24" t="str">
        <f t="array" ref="B1151">xlookup($A1151,product!$A:$A,product!B:B)</f>
        <v>Epicerie salée</v>
      </c>
      <c r="C1151" s="24" t="str">
        <f t="array" ref="C1151">xlookup($A1151,product!$A:$A,product!C:C)</f>
        <v>Pâtes bio</v>
      </c>
      <c r="D1151" s="24" t="str">
        <f t="array" ref="D1151">xlookup($A1151,product!$A:$A,product!D:D)</f>
        <v>Pâtes aux céréales</v>
      </c>
      <c r="E1151" s="25" t="str">
        <f t="shared" si="1"/>
        <v>83634-Pâtes bio-Pâtes aux céréales</v>
      </c>
      <c r="F1151" s="25">
        <v>0.0</v>
      </c>
      <c r="G1151" s="25">
        <v>80.0</v>
      </c>
      <c r="H1151" s="25">
        <v>59.0</v>
      </c>
      <c r="I1151" s="26">
        <f t="array" ref="I1151">XLOOKUP($A1151,product!A:A,product!E:E)</f>
        <v>3.24</v>
      </c>
      <c r="J1151" s="25">
        <f t="shared" si="2"/>
        <v>191.16</v>
      </c>
      <c r="K1151" s="27">
        <f t="shared" si="3"/>
        <v>1</v>
      </c>
      <c r="L1151" s="25">
        <f t="shared" si="4"/>
        <v>1</v>
      </c>
    </row>
    <row r="1152">
      <c r="A1152" s="19">
        <v>5657.0</v>
      </c>
      <c r="B1152" s="20" t="str">
        <f t="array" ref="B1152">xlookup($A1152,product!$A:$A,product!B:B)</f>
        <v>Epicerie salée</v>
      </c>
      <c r="C1152" s="20" t="str">
        <f t="array" ref="C1152">xlookup($A1152,product!$A:$A,product!C:C)</f>
        <v>Pâtes bio</v>
      </c>
      <c r="D1152" s="20" t="str">
        <f t="array" ref="D1152">xlookup($A1152,product!$A:$A,product!D:D)</f>
        <v>Pâtes aux céréales</v>
      </c>
      <c r="E1152" s="4" t="str">
        <f t="shared" si="1"/>
        <v>5657-Pâtes bio-Pâtes aux céréales</v>
      </c>
      <c r="F1152" s="4">
        <v>0.0</v>
      </c>
      <c r="G1152" s="4">
        <v>680.0</v>
      </c>
      <c r="H1152" s="4">
        <v>253.0</v>
      </c>
      <c r="I1152" s="21">
        <f t="array" ref="I1152">XLOOKUP($A1152,product!A:A,product!E:E)</f>
        <v>1.87</v>
      </c>
      <c r="J1152" s="4">
        <f t="shared" si="2"/>
        <v>473.11</v>
      </c>
      <c r="K1152" s="22">
        <f t="shared" si="3"/>
        <v>1</v>
      </c>
      <c r="L1152" s="4">
        <f t="shared" si="4"/>
        <v>1</v>
      </c>
    </row>
    <row r="1153">
      <c r="A1153" s="23">
        <v>78856.0</v>
      </c>
      <c r="B1153" s="24" t="str">
        <f t="array" ref="B1153">xlookup($A1153,product!$A:$A,product!B:B)</f>
        <v>Epicerie salée</v>
      </c>
      <c r="C1153" s="24" t="str">
        <f t="array" ref="C1153">xlookup($A1153,product!$A:$A,product!C:C)</f>
        <v>Pâtes bio</v>
      </c>
      <c r="D1153" s="24" t="str">
        <f t="array" ref="D1153">xlookup($A1153,product!$A:$A,product!D:D)</f>
        <v>Pâtes aux céréales</v>
      </c>
      <c r="E1153" s="25" t="str">
        <f t="shared" si="1"/>
        <v>78856-Pâtes bio-Pâtes aux céréales</v>
      </c>
      <c r="F1153" s="25">
        <v>0.0</v>
      </c>
      <c r="G1153" s="25">
        <v>651.0</v>
      </c>
      <c r="H1153" s="25">
        <v>302.0</v>
      </c>
      <c r="I1153" s="26">
        <f t="array" ref="I1153">XLOOKUP($A1153,product!A:A,product!E:E)</f>
        <v>1.93</v>
      </c>
      <c r="J1153" s="25">
        <f t="shared" si="2"/>
        <v>582.86</v>
      </c>
      <c r="K1153" s="27">
        <f t="shared" si="3"/>
        <v>1</v>
      </c>
      <c r="L1153" s="25">
        <f t="shared" si="4"/>
        <v>1</v>
      </c>
    </row>
    <row r="1154">
      <c r="A1154" s="19">
        <v>44123.0</v>
      </c>
      <c r="B1154" s="20" t="str">
        <f t="array" ref="B1154">xlookup($A1154,product!$A:$A,product!B:B)</f>
        <v>Epicerie salée</v>
      </c>
      <c r="C1154" s="20" t="str">
        <f t="array" ref="C1154">xlookup($A1154,product!$A:$A,product!C:C)</f>
        <v>Pâtes bio</v>
      </c>
      <c r="D1154" s="20" t="str">
        <f t="array" ref="D1154">xlookup($A1154,product!$A:$A,product!D:D)</f>
        <v>Pâtes aux céréales</v>
      </c>
      <c r="E1154" s="4" t="str">
        <f t="shared" si="1"/>
        <v>44123-Pâtes bio-Pâtes aux céréales</v>
      </c>
      <c r="F1154" s="4">
        <v>0.0</v>
      </c>
      <c r="G1154" s="4">
        <v>9.0</v>
      </c>
      <c r="H1154" s="4">
        <v>0.0</v>
      </c>
      <c r="I1154" s="21">
        <f t="array" ref="I1154">XLOOKUP($A1154,product!A:A,product!E:E)</f>
        <v>3.03</v>
      </c>
      <c r="J1154" s="4">
        <f t="shared" si="2"/>
        <v>0</v>
      </c>
      <c r="K1154" s="22">
        <f t="shared" si="3"/>
        <v>0</v>
      </c>
      <c r="L1154" s="4">
        <f t="shared" si="4"/>
        <v>1</v>
      </c>
    </row>
    <row r="1155">
      <c r="A1155" s="23">
        <v>78855.0</v>
      </c>
      <c r="B1155" s="24" t="str">
        <f t="array" ref="B1155">xlookup($A1155,product!$A:$A,product!B:B)</f>
        <v>Epicerie salée</v>
      </c>
      <c r="C1155" s="24" t="str">
        <f t="array" ref="C1155">xlookup($A1155,product!$A:$A,product!C:C)</f>
        <v>Pâtes bio</v>
      </c>
      <c r="D1155" s="24" t="str">
        <f t="array" ref="D1155">xlookup($A1155,product!$A:$A,product!D:D)</f>
        <v>Pâtes aux céréales</v>
      </c>
      <c r="E1155" s="25" t="str">
        <f t="shared" si="1"/>
        <v>78855-Pâtes bio-Pâtes aux céréales</v>
      </c>
      <c r="F1155" s="25">
        <v>0.0</v>
      </c>
      <c r="G1155" s="25">
        <v>714.0</v>
      </c>
      <c r="H1155" s="25">
        <v>184.0</v>
      </c>
      <c r="I1155" s="26">
        <f t="array" ref="I1155">XLOOKUP($A1155,product!A:A,product!E:E)</f>
        <v>2.06</v>
      </c>
      <c r="J1155" s="25">
        <f t="shared" si="2"/>
        <v>379.04</v>
      </c>
      <c r="K1155" s="27">
        <f t="shared" si="3"/>
        <v>1</v>
      </c>
      <c r="L1155" s="25">
        <f t="shared" si="4"/>
        <v>1</v>
      </c>
    </row>
    <row r="1156">
      <c r="A1156" s="19">
        <v>48408.0</v>
      </c>
      <c r="B1156" s="20" t="str">
        <f t="array" ref="B1156">xlookup($A1156,product!$A:$A,product!B:B)</f>
        <v>Epicerie salée</v>
      </c>
      <c r="C1156" s="20" t="str">
        <f t="array" ref="C1156">xlookup($A1156,product!$A:$A,product!C:C)</f>
        <v>Pâtes bio</v>
      </c>
      <c r="D1156" s="20" t="str">
        <f t="array" ref="D1156">xlookup($A1156,product!$A:$A,product!D:D)</f>
        <v>Pâtes aux céréales</v>
      </c>
      <c r="E1156" s="4" t="str">
        <f t="shared" si="1"/>
        <v>48408-Pâtes bio-Pâtes aux céréales</v>
      </c>
      <c r="F1156" s="4">
        <v>0.0</v>
      </c>
      <c r="G1156" s="4">
        <v>219.0</v>
      </c>
      <c r="H1156" s="4">
        <v>19.0</v>
      </c>
      <c r="I1156" s="21">
        <f t="array" ref="I1156">XLOOKUP($A1156,product!A:A,product!E:E)</f>
        <v>2.26</v>
      </c>
      <c r="J1156" s="4">
        <f t="shared" si="2"/>
        <v>42.94</v>
      </c>
      <c r="K1156" s="22">
        <f t="shared" si="3"/>
        <v>1</v>
      </c>
      <c r="L1156" s="4">
        <f t="shared" si="4"/>
        <v>1</v>
      </c>
    </row>
    <row r="1157">
      <c r="A1157" s="23">
        <v>46303.0</v>
      </c>
      <c r="B1157" s="24" t="str">
        <f t="array" ref="B1157">xlookup($A1157,product!$A:$A,product!B:B)</f>
        <v>Epicerie salée</v>
      </c>
      <c r="C1157" s="24" t="str">
        <f t="array" ref="C1157">xlookup($A1157,product!$A:$A,product!C:C)</f>
        <v>Pâtes bio</v>
      </c>
      <c r="D1157" s="24" t="str">
        <f t="array" ref="D1157">xlookup($A1157,product!$A:$A,product!D:D)</f>
        <v>Pâtes aux céréales</v>
      </c>
      <c r="E1157" s="25" t="str">
        <f t="shared" si="1"/>
        <v>46303-Pâtes bio-Pâtes aux céréales</v>
      </c>
      <c r="F1157" s="25">
        <v>0.0</v>
      </c>
      <c r="G1157" s="25">
        <v>604.0</v>
      </c>
      <c r="H1157" s="25">
        <v>293.0</v>
      </c>
      <c r="I1157" s="26">
        <f t="array" ref="I1157">XLOOKUP($A1157,product!A:A,product!E:E)</f>
        <v>1.85</v>
      </c>
      <c r="J1157" s="25">
        <f t="shared" si="2"/>
        <v>542.05</v>
      </c>
      <c r="K1157" s="27">
        <f t="shared" si="3"/>
        <v>1</v>
      </c>
      <c r="L1157" s="25">
        <f t="shared" si="4"/>
        <v>1</v>
      </c>
    </row>
    <row r="1158">
      <c r="A1158" s="19">
        <v>147274.0</v>
      </c>
      <c r="B1158" s="20" t="str">
        <f t="array" ref="B1158">xlookup($A1158,product!$A:$A,product!B:B)</f>
        <v>Epicerie salée</v>
      </c>
      <c r="C1158" s="20" t="str">
        <f t="array" ref="C1158">xlookup($A1158,product!$A:$A,product!C:C)</f>
        <v>Pâtes bio</v>
      </c>
      <c r="D1158" s="20" t="str">
        <f t="array" ref="D1158">xlookup($A1158,product!$A:$A,product!D:D)</f>
        <v>Pâtes aux céréales</v>
      </c>
      <c r="E1158" s="4" t="str">
        <f t="shared" si="1"/>
        <v>147274-Pâtes bio-Pâtes aux céréales</v>
      </c>
      <c r="F1158" s="4">
        <v>0.0</v>
      </c>
      <c r="G1158" s="4">
        <v>433.0</v>
      </c>
      <c r="H1158" s="4">
        <v>337.0</v>
      </c>
      <c r="I1158" s="21">
        <f t="array" ref="I1158">XLOOKUP($A1158,product!A:A,product!E:E)</f>
        <v>1.86</v>
      </c>
      <c r="J1158" s="4">
        <f t="shared" si="2"/>
        <v>626.82</v>
      </c>
      <c r="K1158" s="22">
        <f t="shared" si="3"/>
        <v>1</v>
      </c>
      <c r="L1158" s="4">
        <f t="shared" si="4"/>
        <v>1</v>
      </c>
    </row>
    <row r="1159">
      <c r="A1159" s="23">
        <v>44144.0</v>
      </c>
      <c r="B1159" s="24" t="str">
        <f t="array" ref="B1159">xlookup($A1159,product!$A:$A,product!B:B)</f>
        <v>Epicerie salée</v>
      </c>
      <c r="C1159" s="24" t="str">
        <f t="array" ref="C1159">xlookup($A1159,product!$A:$A,product!C:C)</f>
        <v>Pâtes bio</v>
      </c>
      <c r="D1159" s="24" t="str">
        <f t="array" ref="D1159">xlookup($A1159,product!$A:$A,product!D:D)</f>
        <v>Pâtes aux céréales</v>
      </c>
      <c r="E1159" s="25" t="str">
        <f t="shared" si="1"/>
        <v>44144-Pâtes bio-Pâtes aux céréales</v>
      </c>
      <c r="F1159" s="25">
        <v>1.0</v>
      </c>
      <c r="G1159" s="25">
        <v>344.0</v>
      </c>
      <c r="H1159" s="25">
        <v>184.0</v>
      </c>
      <c r="I1159" s="26">
        <f t="array" ref="I1159">XLOOKUP($A1159,product!A:A,product!E:E)</f>
        <v>2.25</v>
      </c>
      <c r="J1159" s="25">
        <f t="shared" si="2"/>
        <v>414</v>
      </c>
      <c r="K1159" s="27">
        <f t="shared" si="3"/>
        <v>1</v>
      </c>
      <c r="L1159" s="25">
        <f t="shared" si="4"/>
        <v>1</v>
      </c>
    </row>
    <row r="1160">
      <c r="A1160" s="19">
        <v>96972.0</v>
      </c>
      <c r="B1160" s="20" t="str">
        <f t="array" ref="B1160">xlookup($A1160,product!$A:$A,product!B:B)</f>
        <v>Epicerie salée</v>
      </c>
      <c r="C1160" s="20" t="str">
        <f t="array" ref="C1160">xlookup($A1160,product!$A:$A,product!C:C)</f>
        <v>Pâtes bio</v>
      </c>
      <c r="D1160" s="20" t="str">
        <f t="array" ref="D1160">xlookup($A1160,product!$A:$A,product!D:D)</f>
        <v>Pâtes aux céréales</v>
      </c>
      <c r="E1160" s="4" t="str">
        <f t="shared" si="1"/>
        <v>96972-Pâtes bio-Pâtes aux céréales</v>
      </c>
      <c r="F1160" s="4">
        <v>0.0</v>
      </c>
      <c r="G1160" s="4">
        <v>497.0</v>
      </c>
      <c r="H1160" s="4">
        <v>494.0</v>
      </c>
      <c r="I1160" s="21">
        <f t="array" ref="I1160">XLOOKUP($A1160,product!A:A,product!E:E)</f>
        <v>1.9</v>
      </c>
      <c r="J1160" s="4">
        <f t="shared" si="2"/>
        <v>938.6</v>
      </c>
      <c r="K1160" s="22">
        <f t="shared" si="3"/>
        <v>1</v>
      </c>
      <c r="L1160" s="4">
        <f t="shared" si="4"/>
        <v>1</v>
      </c>
    </row>
    <row r="1161">
      <c r="A1161" s="23">
        <v>5665.0</v>
      </c>
      <c r="B1161" s="24" t="str">
        <f t="array" ref="B1161">xlookup($A1161,product!$A:$A,product!B:B)</f>
        <v>Epicerie salée</v>
      </c>
      <c r="C1161" s="24" t="str">
        <f t="array" ref="C1161">xlookup($A1161,product!$A:$A,product!C:C)</f>
        <v>Pâtes bio</v>
      </c>
      <c r="D1161" s="24" t="str">
        <f t="array" ref="D1161">xlookup($A1161,product!$A:$A,product!D:D)</f>
        <v>Pâtes aux céréales</v>
      </c>
      <c r="E1161" s="25" t="str">
        <f t="shared" si="1"/>
        <v>5665-Pâtes bio-Pâtes aux céréales</v>
      </c>
      <c r="F1161" s="25">
        <v>0.0</v>
      </c>
      <c r="G1161" s="25">
        <v>121.0</v>
      </c>
      <c r="H1161" s="25">
        <v>38.0</v>
      </c>
      <c r="I1161" s="26">
        <f t="array" ref="I1161">XLOOKUP($A1161,product!A:A,product!E:E)</f>
        <v>2.67</v>
      </c>
      <c r="J1161" s="25">
        <f t="shared" si="2"/>
        <v>101.46</v>
      </c>
      <c r="K1161" s="27">
        <f t="shared" si="3"/>
        <v>1</v>
      </c>
      <c r="L1161" s="25">
        <f t="shared" si="4"/>
        <v>1</v>
      </c>
    </row>
    <row r="1162">
      <c r="A1162" s="19">
        <v>26072.0</v>
      </c>
      <c r="B1162" s="20" t="str">
        <f t="array" ref="B1162">xlookup($A1162,product!$A:$A,product!B:B)</f>
        <v>Epicerie salée</v>
      </c>
      <c r="C1162" s="20" t="str">
        <f t="array" ref="C1162">xlookup($A1162,product!$A:$A,product!C:C)</f>
        <v>Pâtes bio</v>
      </c>
      <c r="D1162" s="20" t="str">
        <f t="array" ref="D1162">xlookup($A1162,product!$A:$A,product!D:D)</f>
        <v>Pâtes aux céréales</v>
      </c>
      <c r="E1162" s="4" t="str">
        <f t="shared" si="1"/>
        <v>26072-Pâtes bio-Pâtes aux céréales</v>
      </c>
      <c r="F1162" s="4">
        <v>1.0</v>
      </c>
      <c r="G1162" s="4">
        <v>161.0</v>
      </c>
      <c r="H1162" s="4">
        <v>95.0</v>
      </c>
      <c r="I1162" s="21">
        <f t="array" ref="I1162">XLOOKUP($A1162,product!A:A,product!E:E)</f>
        <v>1.83</v>
      </c>
      <c r="J1162" s="4">
        <f t="shared" si="2"/>
        <v>173.85</v>
      </c>
      <c r="K1162" s="22">
        <f t="shared" si="3"/>
        <v>1</v>
      </c>
      <c r="L1162" s="4">
        <f t="shared" si="4"/>
        <v>1</v>
      </c>
    </row>
    <row r="1163">
      <c r="A1163" s="23">
        <v>5631.0</v>
      </c>
      <c r="B1163" s="24" t="str">
        <f t="array" ref="B1163">xlookup($A1163,product!$A:$A,product!B:B)</f>
        <v>Epicerie salée</v>
      </c>
      <c r="C1163" s="24" t="str">
        <f t="array" ref="C1163">xlookup($A1163,product!$A:$A,product!C:C)</f>
        <v>Pâtes bio</v>
      </c>
      <c r="D1163" s="24" t="str">
        <f t="array" ref="D1163">xlookup($A1163,product!$A:$A,product!D:D)</f>
        <v>Pâtes aux céréales</v>
      </c>
      <c r="E1163" s="25" t="str">
        <f t="shared" si="1"/>
        <v>5631-Pâtes bio-Pâtes aux céréales</v>
      </c>
      <c r="F1163" s="25">
        <v>0.0</v>
      </c>
      <c r="G1163" s="25">
        <v>355.0</v>
      </c>
      <c r="H1163" s="25">
        <v>56.0</v>
      </c>
      <c r="I1163" s="26">
        <f t="array" ref="I1163">XLOOKUP($A1163,product!A:A,product!E:E)</f>
        <v>2.36</v>
      </c>
      <c r="J1163" s="25">
        <f t="shared" si="2"/>
        <v>132.16</v>
      </c>
      <c r="K1163" s="27">
        <f t="shared" si="3"/>
        <v>1</v>
      </c>
      <c r="L1163" s="25">
        <f t="shared" si="4"/>
        <v>1</v>
      </c>
    </row>
    <row r="1164">
      <c r="A1164" s="19">
        <v>104316.0</v>
      </c>
      <c r="B1164" s="20" t="str">
        <f t="array" ref="B1164">xlookup($A1164,product!$A:$A,product!B:B)</f>
        <v>Epicerie salée</v>
      </c>
      <c r="C1164" s="20" t="str">
        <f t="array" ref="C1164">xlookup($A1164,product!$A:$A,product!C:C)</f>
        <v>Pâtes bio</v>
      </c>
      <c r="D1164" s="20" t="str">
        <f t="array" ref="D1164">xlookup($A1164,product!$A:$A,product!D:D)</f>
        <v>Pâtes aux céréales</v>
      </c>
      <c r="E1164" s="4" t="str">
        <f t="shared" si="1"/>
        <v>104316-Pâtes bio-Pâtes aux céréales</v>
      </c>
      <c r="F1164" s="4">
        <v>1.0</v>
      </c>
      <c r="G1164" s="4">
        <v>313.0</v>
      </c>
      <c r="H1164" s="4">
        <v>274.0</v>
      </c>
      <c r="I1164" s="21">
        <f t="array" ref="I1164">XLOOKUP($A1164,product!A:A,product!E:E)</f>
        <v>1.93</v>
      </c>
      <c r="J1164" s="4">
        <f t="shared" si="2"/>
        <v>528.82</v>
      </c>
      <c r="K1164" s="22">
        <f t="shared" si="3"/>
        <v>1</v>
      </c>
      <c r="L1164" s="4">
        <f t="shared" si="4"/>
        <v>1</v>
      </c>
    </row>
    <row r="1165">
      <c r="A1165" s="23">
        <v>83612.0</v>
      </c>
      <c r="B1165" s="24" t="str">
        <f t="array" ref="B1165">xlookup($A1165,product!$A:$A,product!B:B)</f>
        <v>Epicerie salée</v>
      </c>
      <c r="C1165" s="24" t="str">
        <f t="array" ref="C1165">xlookup($A1165,product!$A:$A,product!C:C)</f>
        <v>Pâtes bio</v>
      </c>
      <c r="D1165" s="24" t="str">
        <f t="array" ref="D1165">xlookup($A1165,product!$A:$A,product!D:D)</f>
        <v>Pâtes aux céréales</v>
      </c>
      <c r="E1165" s="25" t="str">
        <f t="shared" si="1"/>
        <v>83612-Pâtes bio-Pâtes aux céréales</v>
      </c>
      <c r="F1165" s="25">
        <v>1.0</v>
      </c>
      <c r="G1165" s="25">
        <v>38.0</v>
      </c>
      <c r="H1165" s="25">
        <v>31.0</v>
      </c>
      <c r="I1165" s="26">
        <f t="array" ref="I1165">XLOOKUP($A1165,product!A:A,product!E:E)</f>
        <v>2.68</v>
      </c>
      <c r="J1165" s="25">
        <f t="shared" si="2"/>
        <v>83.08</v>
      </c>
      <c r="K1165" s="27">
        <f t="shared" si="3"/>
        <v>1</v>
      </c>
      <c r="L1165" s="25">
        <f t="shared" si="4"/>
        <v>1</v>
      </c>
    </row>
    <row r="1166">
      <c r="A1166" s="19">
        <v>87425.0</v>
      </c>
      <c r="B1166" s="20" t="str">
        <f t="array" ref="B1166">xlookup($A1166,product!$A:$A,product!B:B)</f>
        <v>Epicerie salée</v>
      </c>
      <c r="C1166" s="20" t="str">
        <f t="array" ref="C1166">xlookup($A1166,product!$A:$A,product!C:C)</f>
        <v>Pâtes bio</v>
      </c>
      <c r="D1166" s="20" t="str">
        <f t="array" ref="D1166">xlookup($A1166,product!$A:$A,product!D:D)</f>
        <v>Pâtes aux céréales</v>
      </c>
      <c r="E1166" s="4" t="str">
        <f t="shared" si="1"/>
        <v>87425-Pâtes bio-Pâtes aux céréales</v>
      </c>
      <c r="F1166" s="4">
        <v>0.0</v>
      </c>
      <c r="G1166" s="4">
        <v>694.0</v>
      </c>
      <c r="H1166" s="4">
        <v>463.0</v>
      </c>
      <c r="I1166" s="21">
        <f t="array" ref="I1166">XLOOKUP($A1166,product!A:A,product!E:E)</f>
        <v>2.49</v>
      </c>
      <c r="J1166" s="4">
        <f t="shared" si="2"/>
        <v>1152.87</v>
      </c>
      <c r="K1166" s="22">
        <f t="shared" si="3"/>
        <v>1</v>
      </c>
      <c r="L1166" s="4">
        <f t="shared" si="4"/>
        <v>1</v>
      </c>
    </row>
    <row r="1167">
      <c r="A1167" s="23">
        <v>115611.0</v>
      </c>
      <c r="B1167" s="24" t="str">
        <f t="array" ref="B1167">xlookup($A1167,product!$A:$A,product!B:B)</f>
        <v>Epicerie salée</v>
      </c>
      <c r="C1167" s="24" t="str">
        <f t="array" ref="C1167">xlookup($A1167,product!$A:$A,product!C:C)</f>
        <v>Pâtes bio</v>
      </c>
      <c r="D1167" s="24" t="str">
        <f t="array" ref="D1167">xlookup($A1167,product!$A:$A,product!D:D)</f>
        <v>Pâtes aux céréales</v>
      </c>
      <c r="E1167" s="25" t="str">
        <f t="shared" si="1"/>
        <v>115611-Pâtes bio-Pâtes aux céréales</v>
      </c>
      <c r="F1167" s="25">
        <v>0.0</v>
      </c>
      <c r="G1167" s="25">
        <v>706.0</v>
      </c>
      <c r="H1167" s="25">
        <v>58.0</v>
      </c>
      <c r="I1167" s="26">
        <f t="array" ref="I1167">XLOOKUP($A1167,product!A:A,product!E:E)</f>
        <v>2.1</v>
      </c>
      <c r="J1167" s="25">
        <f t="shared" si="2"/>
        <v>121.8</v>
      </c>
      <c r="K1167" s="27">
        <f t="shared" si="3"/>
        <v>1</v>
      </c>
      <c r="L1167" s="25">
        <f t="shared" si="4"/>
        <v>1</v>
      </c>
    </row>
    <row r="1168">
      <c r="A1168" s="19">
        <v>88688.0</v>
      </c>
      <c r="B1168" s="20" t="str">
        <f t="array" ref="B1168">xlookup($A1168,product!$A:$A,product!B:B)</f>
        <v>Epicerie salée</v>
      </c>
      <c r="C1168" s="20" t="str">
        <f t="array" ref="C1168">xlookup($A1168,product!$A:$A,product!C:C)</f>
        <v>Pâtes bio</v>
      </c>
      <c r="D1168" s="20" t="str">
        <f t="array" ref="D1168">xlookup($A1168,product!$A:$A,product!D:D)</f>
        <v>Pâtes aux céréales</v>
      </c>
      <c r="E1168" s="4" t="str">
        <f t="shared" si="1"/>
        <v>88688-Pâtes bio-Pâtes aux céréales</v>
      </c>
      <c r="F1168" s="4">
        <v>0.0</v>
      </c>
      <c r="G1168" s="4">
        <v>240.0</v>
      </c>
      <c r="H1168" s="4">
        <v>10.0</v>
      </c>
      <c r="I1168" s="21">
        <f t="array" ref="I1168">XLOOKUP($A1168,product!A:A,product!E:E)</f>
        <v>2.92</v>
      </c>
      <c r="J1168" s="4">
        <f t="shared" si="2"/>
        <v>29.2</v>
      </c>
      <c r="K1168" s="22">
        <f t="shared" si="3"/>
        <v>1</v>
      </c>
      <c r="L1168" s="4">
        <f t="shared" si="4"/>
        <v>1</v>
      </c>
    </row>
    <row r="1169">
      <c r="A1169" s="23">
        <v>83605.0</v>
      </c>
      <c r="B1169" s="24" t="str">
        <f t="array" ref="B1169">xlookup($A1169,product!$A:$A,product!B:B)</f>
        <v>Epicerie salée</v>
      </c>
      <c r="C1169" s="24" t="str">
        <f t="array" ref="C1169">xlookup($A1169,product!$A:$A,product!C:C)</f>
        <v>Pâtes bio</v>
      </c>
      <c r="D1169" s="24" t="str">
        <f t="array" ref="D1169">xlookup($A1169,product!$A:$A,product!D:D)</f>
        <v>Pâtes aux céréales</v>
      </c>
      <c r="E1169" s="25" t="str">
        <f t="shared" si="1"/>
        <v>83605-Pâtes bio-Pâtes aux céréales</v>
      </c>
      <c r="F1169" s="25">
        <v>0.0</v>
      </c>
      <c r="G1169" s="25">
        <v>119.0</v>
      </c>
      <c r="H1169" s="25">
        <v>109.0</v>
      </c>
      <c r="I1169" s="26">
        <f t="array" ref="I1169">XLOOKUP($A1169,product!A:A,product!E:E)</f>
        <v>3.24</v>
      </c>
      <c r="J1169" s="25">
        <f t="shared" si="2"/>
        <v>353.16</v>
      </c>
      <c r="K1169" s="27">
        <f t="shared" si="3"/>
        <v>1</v>
      </c>
      <c r="L1169" s="25">
        <f t="shared" si="4"/>
        <v>1</v>
      </c>
    </row>
    <row r="1170">
      <c r="A1170" s="19">
        <v>44125.0</v>
      </c>
      <c r="B1170" s="20" t="str">
        <f t="array" ref="B1170">xlookup($A1170,product!$A:$A,product!B:B)</f>
        <v>Epicerie salée</v>
      </c>
      <c r="C1170" s="20" t="str">
        <f t="array" ref="C1170">xlookup($A1170,product!$A:$A,product!C:C)</f>
        <v>Pâtes bio</v>
      </c>
      <c r="D1170" s="20" t="str">
        <f t="array" ref="D1170">xlookup($A1170,product!$A:$A,product!D:D)</f>
        <v>Pâtes aux céréales</v>
      </c>
      <c r="E1170" s="4" t="str">
        <f t="shared" si="1"/>
        <v>44125-Pâtes bio-Pâtes aux céréales</v>
      </c>
      <c r="F1170" s="4">
        <v>0.0</v>
      </c>
      <c r="G1170" s="4">
        <v>807.0</v>
      </c>
      <c r="H1170" s="4">
        <v>542.0</v>
      </c>
      <c r="I1170" s="21">
        <f t="array" ref="I1170">XLOOKUP($A1170,product!A:A,product!E:E)</f>
        <v>1.68</v>
      </c>
      <c r="J1170" s="4">
        <f t="shared" si="2"/>
        <v>910.56</v>
      </c>
      <c r="K1170" s="22">
        <f t="shared" si="3"/>
        <v>1</v>
      </c>
      <c r="L1170" s="4">
        <f t="shared" si="4"/>
        <v>1</v>
      </c>
    </row>
    <row r="1171">
      <c r="A1171" s="23">
        <v>83639.0</v>
      </c>
      <c r="B1171" s="24" t="str">
        <f t="array" ref="B1171">xlookup($A1171,product!$A:$A,product!B:B)</f>
        <v>Epicerie salée</v>
      </c>
      <c r="C1171" s="24" t="str">
        <f t="array" ref="C1171">xlookup($A1171,product!$A:$A,product!C:C)</f>
        <v>Pâtes bio</v>
      </c>
      <c r="D1171" s="24" t="str">
        <f t="array" ref="D1171">xlookup($A1171,product!$A:$A,product!D:D)</f>
        <v>Pâtes aux céréales</v>
      </c>
      <c r="E1171" s="25" t="str">
        <f t="shared" si="1"/>
        <v>83639-Pâtes bio-Pâtes aux céréales</v>
      </c>
      <c r="F1171" s="25">
        <v>1.0</v>
      </c>
      <c r="G1171" s="25">
        <v>64.0</v>
      </c>
      <c r="H1171" s="25">
        <v>9.0</v>
      </c>
      <c r="I1171" s="26">
        <f t="array" ref="I1171">XLOOKUP($A1171,product!A:A,product!E:E)</f>
        <v>3.31</v>
      </c>
      <c r="J1171" s="25">
        <f t="shared" si="2"/>
        <v>29.79</v>
      </c>
      <c r="K1171" s="27">
        <f t="shared" si="3"/>
        <v>1</v>
      </c>
      <c r="L1171" s="25">
        <f t="shared" si="4"/>
        <v>1</v>
      </c>
    </row>
    <row r="1172">
      <c r="A1172" s="19">
        <v>5656.0</v>
      </c>
      <c r="B1172" s="20" t="str">
        <f t="array" ref="B1172">xlookup($A1172,product!$A:$A,product!B:B)</f>
        <v>Epicerie salée</v>
      </c>
      <c r="C1172" s="20" t="str">
        <f t="array" ref="C1172">xlookup($A1172,product!$A:$A,product!C:C)</f>
        <v>Pâtes bio</v>
      </c>
      <c r="D1172" s="20" t="str">
        <f t="array" ref="D1172">xlookup($A1172,product!$A:$A,product!D:D)</f>
        <v>Pâtes aux céréales</v>
      </c>
      <c r="E1172" s="4" t="str">
        <f t="shared" si="1"/>
        <v>5656-Pâtes bio-Pâtes aux céréales</v>
      </c>
      <c r="F1172" s="4">
        <v>0.0</v>
      </c>
      <c r="G1172" s="4">
        <v>794.0</v>
      </c>
      <c r="H1172" s="4">
        <v>238.0</v>
      </c>
      <c r="I1172" s="21">
        <f t="array" ref="I1172">XLOOKUP($A1172,product!A:A,product!E:E)</f>
        <v>1.87</v>
      </c>
      <c r="J1172" s="4">
        <f t="shared" si="2"/>
        <v>445.06</v>
      </c>
      <c r="K1172" s="22">
        <f t="shared" si="3"/>
        <v>1</v>
      </c>
      <c r="L1172" s="4">
        <f t="shared" si="4"/>
        <v>1</v>
      </c>
    </row>
    <row r="1173">
      <c r="A1173" s="23">
        <v>88686.0</v>
      </c>
      <c r="B1173" s="24" t="str">
        <f t="array" ref="B1173">xlookup($A1173,product!$A:$A,product!B:B)</f>
        <v>Epicerie salée</v>
      </c>
      <c r="C1173" s="24" t="str">
        <f t="array" ref="C1173">xlookup($A1173,product!$A:$A,product!C:C)</f>
        <v>Pâtes bio</v>
      </c>
      <c r="D1173" s="24" t="str">
        <f t="array" ref="D1173">xlookup($A1173,product!$A:$A,product!D:D)</f>
        <v>Pâtes aux céréales</v>
      </c>
      <c r="E1173" s="25" t="str">
        <f t="shared" si="1"/>
        <v>88686-Pâtes bio-Pâtes aux céréales</v>
      </c>
      <c r="F1173" s="25">
        <v>1.0</v>
      </c>
      <c r="G1173" s="25">
        <v>835.0</v>
      </c>
      <c r="H1173" s="25">
        <v>165.0</v>
      </c>
      <c r="I1173" s="26">
        <f t="array" ref="I1173">XLOOKUP($A1173,product!A:A,product!E:E)</f>
        <v>2.94</v>
      </c>
      <c r="J1173" s="25">
        <f t="shared" si="2"/>
        <v>485.1</v>
      </c>
      <c r="K1173" s="27">
        <f t="shared" si="3"/>
        <v>1</v>
      </c>
      <c r="L1173" s="25">
        <f t="shared" si="4"/>
        <v>1</v>
      </c>
    </row>
    <row r="1174">
      <c r="A1174" s="19">
        <v>83601.0</v>
      </c>
      <c r="B1174" s="20" t="str">
        <f t="array" ref="B1174">xlookup($A1174,product!$A:$A,product!B:B)</f>
        <v>Epicerie salée</v>
      </c>
      <c r="C1174" s="20" t="str">
        <f t="array" ref="C1174">xlookup($A1174,product!$A:$A,product!C:C)</f>
        <v>Pâtes bio</v>
      </c>
      <c r="D1174" s="20" t="str">
        <f t="array" ref="D1174">xlookup($A1174,product!$A:$A,product!D:D)</f>
        <v>Pâtes aux céréales</v>
      </c>
      <c r="E1174" s="4" t="str">
        <f t="shared" si="1"/>
        <v>83601-Pâtes bio-Pâtes aux céréales</v>
      </c>
      <c r="F1174" s="4">
        <v>1.0</v>
      </c>
      <c r="G1174" s="4">
        <v>310.0</v>
      </c>
      <c r="H1174" s="4">
        <v>267.0</v>
      </c>
      <c r="I1174" s="21">
        <f t="array" ref="I1174">XLOOKUP($A1174,product!A:A,product!E:E)</f>
        <v>3.77</v>
      </c>
      <c r="J1174" s="4">
        <f t="shared" si="2"/>
        <v>1006.59</v>
      </c>
      <c r="K1174" s="22">
        <f t="shared" si="3"/>
        <v>1</v>
      </c>
      <c r="L1174" s="4">
        <f t="shared" si="4"/>
        <v>1</v>
      </c>
    </row>
    <row r="1175">
      <c r="A1175" s="23">
        <v>48407.0</v>
      </c>
      <c r="B1175" s="24" t="str">
        <f t="array" ref="B1175">xlookup($A1175,product!$A:$A,product!B:B)</f>
        <v>Epicerie salée</v>
      </c>
      <c r="C1175" s="24" t="str">
        <f t="array" ref="C1175">xlookup($A1175,product!$A:$A,product!C:C)</f>
        <v>Pâtes bio</v>
      </c>
      <c r="D1175" s="24" t="str">
        <f t="array" ref="D1175">xlookup($A1175,product!$A:$A,product!D:D)</f>
        <v>Pâtes aux céréales</v>
      </c>
      <c r="E1175" s="25" t="str">
        <f t="shared" si="1"/>
        <v>48407-Pâtes bio-Pâtes aux céréales</v>
      </c>
      <c r="F1175" s="25">
        <v>1.0</v>
      </c>
      <c r="G1175" s="25">
        <v>550.0</v>
      </c>
      <c r="H1175" s="25">
        <v>206.0</v>
      </c>
      <c r="I1175" s="26">
        <f t="array" ref="I1175">XLOOKUP($A1175,product!A:A,product!E:E)</f>
        <v>3.03</v>
      </c>
      <c r="J1175" s="25">
        <f t="shared" si="2"/>
        <v>624.18</v>
      </c>
      <c r="K1175" s="27">
        <f t="shared" si="3"/>
        <v>1</v>
      </c>
      <c r="L1175" s="25">
        <f t="shared" si="4"/>
        <v>1</v>
      </c>
    </row>
    <row r="1176">
      <c r="A1176" s="19">
        <v>5692.0</v>
      </c>
      <c r="B1176" s="20" t="str">
        <f t="array" ref="B1176">xlookup($A1176,product!$A:$A,product!B:B)</f>
        <v>Epicerie salée</v>
      </c>
      <c r="C1176" s="20" t="str">
        <f t="array" ref="C1176">xlookup($A1176,product!$A:$A,product!C:C)</f>
        <v>Pâtes bio</v>
      </c>
      <c r="D1176" s="20" t="str">
        <f t="array" ref="D1176">xlookup($A1176,product!$A:$A,product!D:D)</f>
        <v>Pâtes aux céréales</v>
      </c>
      <c r="E1176" s="4" t="str">
        <f t="shared" si="1"/>
        <v>5692-Pâtes bio-Pâtes aux céréales</v>
      </c>
      <c r="F1176" s="4">
        <v>1.0</v>
      </c>
      <c r="G1176" s="4">
        <v>923.0</v>
      </c>
      <c r="H1176" s="4">
        <v>63.0</v>
      </c>
      <c r="I1176" s="21">
        <f t="array" ref="I1176">XLOOKUP($A1176,product!A:A,product!E:E)</f>
        <v>2.82</v>
      </c>
      <c r="J1176" s="4">
        <f t="shared" si="2"/>
        <v>177.66</v>
      </c>
      <c r="K1176" s="22">
        <f t="shared" si="3"/>
        <v>1</v>
      </c>
      <c r="L1176" s="4">
        <f t="shared" si="4"/>
        <v>1</v>
      </c>
    </row>
    <row r="1177">
      <c r="A1177" s="23">
        <v>112803.0</v>
      </c>
      <c r="B1177" s="24" t="str">
        <f t="array" ref="B1177">xlookup($A1177,product!$A:$A,product!B:B)</f>
        <v>Epicerie salée</v>
      </c>
      <c r="C1177" s="24" t="str">
        <f t="array" ref="C1177">xlookup($A1177,product!$A:$A,product!C:C)</f>
        <v>Pâtes bio</v>
      </c>
      <c r="D1177" s="24" t="str">
        <f t="array" ref="D1177">xlookup($A1177,product!$A:$A,product!D:D)</f>
        <v>Pâtes aux céréales</v>
      </c>
      <c r="E1177" s="25" t="str">
        <f t="shared" si="1"/>
        <v>112803-Pâtes bio-Pâtes aux céréales</v>
      </c>
      <c r="F1177" s="25">
        <v>0.0</v>
      </c>
      <c r="G1177" s="25">
        <v>204.0</v>
      </c>
      <c r="H1177" s="25">
        <v>61.0</v>
      </c>
      <c r="I1177" s="26">
        <f t="array" ref="I1177">XLOOKUP($A1177,product!A:A,product!E:E)</f>
        <v>2.12</v>
      </c>
      <c r="J1177" s="25">
        <f t="shared" si="2"/>
        <v>129.32</v>
      </c>
      <c r="K1177" s="27">
        <f t="shared" si="3"/>
        <v>1</v>
      </c>
      <c r="L1177" s="25">
        <f t="shared" si="4"/>
        <v>1</v>
      </c>
    </row>
    <row r="1178">
      <c r="A1178" s="19">
        <v>83600.0</v>
      </c>
      <c r="B1178" s="20" t="str">
        <f t="array" ref="B1178">xlookup($A1178,product!$A:$A,product!B:B)</f>
        <v>Epicerie salée</v>
      </c>
      <c r="C1178" s="20" t="str">
        <f t="array" ref="C1178">xlookup($A1178,product!$A:$A,product!C:C)</f>
        <v>Pâtes bio</v>
      </c>
      <c r="D1178" s="20" t="str">
        <f t="array" ref="D1178">xlookup($A1178,product!$A:$A,product!D:D)</f>
        <v>Pâtes aux céréales</v>
      </c>
      <c r="E1178" s="4" t="str">
        <f t="shared" si="1"/>
        <v>83600-Pâtes bio-Pâtes aux céréales</v>
      </c>
      <c r="F1178" s="4">
        <v>0.0</v>
      </c>
      <c r="G1178" s="4">
        <v>220.0</v>
      </c>
      <c r="H1178" s="4">
        <v>177.0</v>
      </c>
      <c r="I1178" s="21">
        <f t="array" ref="I1178">XLOOKUP($A1178,product!A:A,product!E:E)</f>
        <v>3.43</v>
      </c>
      <c r="J1178" s="4">
        <f t="shared" si="2"/>
        <v>607.11</v>
      </c>
      <c r="K1178" s="22">
        <f t="shared" si="3"/>
        <v>1</v>
      </c>
      <c r="L1178" s="4">
        <f t="shared" si="4"/>
        <v>1</v>
      </c>
    </row>
    <row r="1179">
      <c r="A1179" s="23">
        <v>83621.0</v>
      </c>
      <c r="B1179" s="24" t="str">
        <f t="array" ref="B1179">xlookup($A1179,product!$A:$A,product!B:B)</f>
        <v>Epicerie salée</v>
      </c>
      <c r="C1179" s="24" t="str">
        <f t="array" ref="C1179">xlookup($A1179,product!$A:$A,product!C:C)</f>
        <v>Pâtes bio</v>
      </c>
      <c r="D1179" s="24" t="str">
        <f t="array" ref="D1179">xlookup($A1179,product!$A:$A,product!D:D)</f>
        <v>Pâtes aux céréales</v>
      </c>
      <c r="E1179" s="25" t="str">
        <f t="shared" si="1"/>
        <v>83621-Pâtes bio-Pâtes aux céréales</v>
      </c>
      <c r="F1179" s="25">
        <v>0.0</v>
      </c>
      <c r="G1179" s="25">
        <v>190.0</v>
      </c>
      <c r="H1179" s="25">
        <v>140.0</v>
      </c>
      <c r="I1179" s="26">
        <f t="array" ref="I1179">XLOOKUP($A1179,product!A:A,product!E:E)</f>
        <v>2.37</v>
      </c>
      <c r="J1179" s="25">
        <f t="shared" si="2"/>
        <v>331.8</v>
      </c>
      <c r="K1179" s="27">
        <f t="shared" si="3"/>
        <v>1</v>
      </c>
      <c r="L1179" s="25">
        <f t="shared" si="4"/>
        <v>1</v>
      </c>
    </row>
    <row r="1180">
      <c r="A1180" s="19">
        <v>115599.0</v>
      </c>
      <c r="B1180" s="20" t="str">
        <f t="array" ref="B1180">xlookup($A1180,product!$A:$A,product!B:B)</f>
        <v>Epicerie salée</v>
      </c>
      <c r="C1180" s="20" t="str">
        <f t="array" ref="C1180">xlookup($A1180,product!$A:$A,product!C:C)</f>
        <v>Pâtes bio</v>
      </c>
      <c r="D1180" s="20" t="str">
        <f t="array" ref="D1180">xlookup($A1180,product!$A:$A,product!D:D)</f>
        <v>Pâtes aux céréales</v>
      </c>
      <c r="E1180" s="4" t="str">
        <f t="shared" si="1"/>
        <v>115599-Pâtes bio-Pâtes aux céréales</v>
      </c>
      <c r="F1180" s="4">
        <v>0.0</v>
      </c>
      <c r="G1180" s="4">
        <v>80.0</v>
      </c>
      <c r="H1180" s="4">
        <v>43.0</v>
      </c>
      <c r="I1180" s="21">
        <f t="array" ref="I1180">XLOOKUP($A1180,product!A:A,product!E:E)</f>
        <v>2.1</v>
      </c>
      <c r="J1180" s="4">
        <f t="shared" si="2"/>
        <v>90.3</v>
      </c>
      <c r="K1180" s="22">
        <f t="shared" si="3"/>
        <v>1</v>
      </c>
      <c r="L1180" s="4">
        <f t="shared" si="4"/>
        <v>1</v>
      </c>
    </row>
    <row r="1181">
      <c r="A1181" s="23">
        <v>83598.0</v>
      </c>
      <c r="B1181" s="24" t="str">
        <f t="array" ref="B1181">xlookup($A1181,product!$A:$A,product!B:B)</f>
        <v>Epicerie salée</v>
      </c>
      <c r="C1181" s="24" t="str">
        <f t="array" ref="C1181">xlookup($A1181,product!$A:$A,product!C:C)</f>
        <v>Pâtes bio</v>
      </c>
      <c r="D1181" s="24" t="str">
        <f t="array" ref="D1181">xlookup($A1181,product!$A:$A,product!D:D)</f>
        <v>Pâtes aux céréales</v>
      </c>
      <c r="E1181" s="25" t="str">
        <f t="shared" si="1"/>
        <v>83598-Pâtes bio-Pâtes aux céréales</v>
      </c>
      <c r="F1181" s="25">
        <v>1.0</v>
      </c>
      <c r="G1181" s="25">
        <v>208.0</v>
      </c>
      <c r="H1181" s="25">
        <v>160.0</v>
      </c>
      <c r="I1181" s="26">
        <f t="array" ref="I1181">XLOOKUP($A1181,product!A:A,product!E:E)</f>
        <v>3.63</v>
      </c>
      <c r="J1181" s="25">
        <f t="shared" si="2"/>
        <v>580.8</v>
      </c>
      <c r="K1181" s="27">
        <f t="shared" si="3"/>
        <v>1</v>
      </c>
      <c r="L1181" s="25">
        <f t="shared" si="4"/>
        <v>1</v>
      </c>
    </row>
    <row r="1182">
      <c r="A1182" s="19">
        <v>5652.0</v>
      </c>
      <c r="B1182" s="20" t="str">
        <f t="array" ref="B1182">xlookup($A1182,product!$A:$A,product!B:B)</f>
        <v>Epicerie salée</v>
      </c>
      <c r="C1182" s="20" t="str">
        <f t="array" ref="C1182">xlookup($A1182,product!$A:$A,product!C:C)</f>
        <v>Pâtes bio</v>
      </c>
      <c r="D1182" s="20" t="str">
        <f t="array" ref="D1182">xlookup($A1182,product!$A:$A,product!D:D)</f>
        <v>Pâtes aux céréales</v>
      </c>
      <c r="E1182" s="4" t="str">
        <f t="shared" si="1"/>
        <v>5652-Pâtes bio-Pâtes aux céréales</v>
      </c>
      <c r="F1182" s="4">
        <v>1.0</v>
      </c>
      <c r="G1182" s="4">
        <v>777.0</v>
      </c>
      <c r="H1182" s="4">
        <v>738.0</v>
      </c>
      <c r="I1182" s="21">
        <f t="array" ref="I1182">XLOOKUP($A1182,product!A:A,product!E:E)</f>
        <v>2</v>
      </c>
      <c r="J1182" s="4">
        <f t="shared" si="2"/>
        <v>1476</v>
      </c>
      <c r="K1182" s="22">
        <f t="shared" si="3"/>
        <v>1</v>
      </c>
      <c r="L1182" s="4">
        <f t="shared" si="4"/>
        <v>1</v>
      </c>
    </row>
    <row r="1183">
      <c r="A1183" s="23">
        <v>122661.0</v>
      </c>
      <c r="B1183" s="24" t="str">
        <f t="array" ref="B1183">xlookup($A1183,product!$A:$A,product!B:B)</f>
        <v>Epicerie salée</v>
      </c>
      <c r="C1183" s="24" t="str">
        <f t="array" ref="C1183">xlookup($A1183,product!$A:$A,product!C:C)</f>
        <v>Pâtes bio</v>
      </c>
      <c r="D1183" s="24" t="str">
        <f t="array" ref="D1183">xlookup($A1183,product!$A:$A,product!D:D)</f>
        <v>Pâtes aux céréales</v>
      </c>
      <c r="E1183" s="25" t="str">
        <f t="shared" si="1"/>
        <v>122661-Pâtes bio-Pâtes aux céréales</v>
      </c>
      <c r="F1183" s="25">
        <v>0.0</v>
      </c>
      <c r="G1183" s="25">
        <v>712.0</v>
      </c>
      <c r="H1183" s="25">
        <v>383.0</v>
      </c>
      <c r="I1183" s="26">
        <f t="array" ref="I1183">XLOOKUP($A1183,product!A:A,product!E:E)</f>
        <v>2.65</v>
      </c>
      <c r="J1183" s="25">
        <f t="shared" si="2"/>
        <v>1014.95</v>
      </c>
      <c r="K1183" s="27">
        <f t="shared" si="3"/>
        <v>1</v>
      </c>
      <c r="L1183" s="25">
        <f t="shared" si="4"/>
        <v>1</v>
      </c>
    </row>
    <row r="1184">
      <c r="A1184" s="19">
        <v>116384.0</v>
      </c>
      <c r="B1184" s="20" t="str">
        <f t="array" ref="B1184">xlookup($A1184,product!$A:$A,product!B:B)</f>
        <v>Epicerie salée</v>
      </c>
      <c r="C1184" s="20" t="str">
        <f t="array" ref="C1184">xlookup($A1184,product!$A:$A,product!C:C)</f>
        <v>Pâtes bio</v>
      </c>
      <c r="D1184" s="20" t="str">
        <f t="array" ref="D1184">xlookup($A1184,product!$A:$A,product!D:D)</f>
        <v>Pâtes aux céréales</v>
      </c>
      <c r="E1184" s="4" t="str">
        <f t="shared" si="1"/>
        <v>116384-Pâtes bio-Pâtes aux céréales</v>
      </c>
      <c r="F1184" s="4">
        <v>0.0</v>
      </c>
      <c r="G1184" s="4">
        <v>405.0</v>
      </c>
      <c r="H1184" s="4">
        <v>297.0</v>
      </c>
      <c r="I1184" s="21">
        <f t="array" ref="I1184">XLOOKUP($A1184,product!A:A,product!E:E)</f>
        <v>2.74</v>
      </c>
      <c r="J1184" s="4">
        <f t="shared" si="2"/>
        <v>813.78</v>
      </c>
      <c r="K1184" s="22">
        <f t="shared" si="3"/>
        <v>1</v>
      </c>
      <c r="L1184" s="4">
        <f t="shared" si="4"/>
        <v>1</v>
      </c>
    </row>
    <row r="1185">
      <c r="A1185" s="23">
        <v>78859.0</v>
      </c>
      <c r="B1185" s="24" t="str">
        <f t="array" ref="B1185">xlookup($A1185,product!$A:$A,product!B:B)</f>
        <v>Epicerie salée</v>
      </c>
      <c r="C1185" s="24" t="str">
        <f t="array" ref="C1185">xlookup($A1185,product!$A:$A,product!C:C)</f>
        <v>Pâtes bio</v>
      </c>
      <c r="D1185" s="24" t="str">
        <f t="array" ref="D1185">xlookup($A1185,product!$A:$A,product!D:D)</f>
        <v>Pâtes aux céréales</v>
      </c>
      <c r="E1185" s="25" t="str">
        <f t="shared" si="1"/>
        <v>78859-Pâtes bio-Pâtes aux céréales</v>
      </c>
      <c r="F1185" s="25">
        <v>1.0</v>
      </c>
      <c r="G1185" s="25">
        <v>691.0</v>
      </c>
      <c r="H1185" s="25">
        <v>132.0</v>
      </c>
      <c r="I1185" s="26">
        <f t="array" ref="I1185">XLOOKUP($A1185,product!A:A,product!E:E)</f>
        <v>1.93</v>
      </c>
      <c r="J1185" s="25">
        <f t="shared" si="2"/>
        <v>254.76</v>
      </c>
      <c r="K1185" s="27">
        <f t="shared" si="3"/>
        <v>1</v>
      </c>
      <c r="L1185" s="25">
        <f t="shared" si="4"/>
        <v>1</v>
      </c>
    </row>
    <row r="1186">
      <c r="A1186" s="19">
        <v>87096.0</v>
      </c>
      <c r="B1186" s="20" t="str">
        <f t="array" ref="B1186">xlookup($A1186,product!$A:$A,product!B:B)</f>
        <v>Epicerie salée</v>
      </c>
      <c r="C1186" s="20" t="str">
        <f t="array" ref="C1186">xlookup($A1186,product!$A:$A,product!C:C)</f>
        <v>Pâtes bio</v>
      </c>
      <c r="D1186" s="20" t="str">
        <f t="array" ref="D1186">xlookup($A1186,product!$A:$A,product!D:D)</f>
        <v>Pâtes aux céréales</v>
      </c>
      <c r="E1186" s="4" t="str">
        <f t="shared" si="1"/>
        <v>87096-Pâtes bio-Pâtes aux céréales</v>
      </c>
      <c r="F1186" s="4">
        <v>0.0</v>
      </c>
      <c r="G1186" s="4">
        <v>225.0</v>
      </c>
      <c r="H1186" s="4">
        <v>140.0</v>
      </c>
      <c r="I1186" s="21">
        <f t="array" ref="I1186">XLOOKUP($A1186,product!A:A,product!E:E)</f>
        <v>2.29</v>
      </c>
      <c r="J1186" s="4">
        <f t="shared" si="2"/>
        <v>320.6</v>
      </c>
      <c r="K1186" s="22">
        <f t="shared" si="3"/>
        <v>1</v>
      </c>
      <c r="L1186" s="4">
        <f t="shared" si="4"/>
        <v>1</v>
      </c>
    </row>
    <row r="1187">
      <c r="A1187" s="23">
        <v>87428.0</v>
      </c>
      <c r="B1187" s="24" t="str">
        <f t="array" ref="B1187">xlookup($A1187,product!$A:$A,product!B:B)</f>
        <v>Epicerie salée</v>
      </c>
      <c r="C1187" s="24" t="str">
        <f t="array" ref="C1187">xlookup($A1187,product!$A:$A,product!C:C)</f>
        <v>Pâtes bio</v>
      </c>
      <c r="D1187" s="24" t="str">
        <f t="array" ref="D1187">xlookup($A1187,product!$A:$A,product!D:D)</f>
        <v>Pâtes aux céréales</v>
      </c>
      <c r="E1187" s="25" t="str">
        <f t="shared" si="1"/>
        <v>87428-Pâtes bio-Pâtes aux céréales</v>
      </c>
      <c r="F1187" s="25">
        <v>1.0</v>
      </c>
      <c r="G1187" s="25">
        <v>665.0</v>
      </c>
      <c r="H1187" s="25">
        <v>86.0</v>
      </c>
      <c r="I1187" s="26">
        <f t="array" ref="I1187">XLOOKUP($A1187,product!A:A,product!E:E)</f>
        <v>1.92</v>
      </c>
      <c r="J1187" s="25">
        <f t="shared" si="2"/>
        <v>165.12</v>
      </c>
      <c r="K1187" s="27">
        <f t="shared" si="3"/>
        <v>1</v>
      </c>
      <c r="L1187" s="25">
        <f t="shared" si="4"/>
        <v>1</v>
      </c>
    </row>
    <row r="1188">
      <c r="A1188" s="19">
        <v>5690.0</v>
      </c>
      <c r="B1188" s="20" t="str">
        <f t="array" ref="B1188">xlookup($A1188,product!$A:$A,product!B:B)</f>
        <v>Epicerie salée</v>
      </c>
      <c r="C1188" s="20" t="str">
        <f t="array" ref="C1188">xlookup($A1188,product!$A:$A,product!C:C)</f>
        <v>Pâtes bio</v>
      </c>
      <c r="D1188" s="20" t="str">
        <f t="array" ref="D1188">xlookup($A1188,product!$A:$A,product!D:D)</f>
        <v>Pâtes aux céréales</v>
      </c>
      <c r="E1188" s="4" t="str">
        <f t="shared" si="1"/>
        <v>5690-Pâtes bio-Pâtes aux céréales</v>
      </c>
      <c r="F1188" s="4">
        <v>0.0</v>
      </c>
      <c r="G1188" s="4">
        <v>889.0</v>
      </c>
      <c r="H1188" s="4">
        <v>356.0</v>
      </c>
      <c r="I1188" s="21">
        <f t="array" ref="I1188">XLOOKUP($A1188,product!A:A,product!E:E)</f>
        <v>2.36</v>
      </c>
      <c r="J1188" s="4">
        <f t="shared" si="2"/>
        <v>840.16</v>
      </c>
      <c r="K1188" s="22">
        <f t="shared" si="3"/>
        <v>1</v>
      </c>
      <c r="L1188" s="4">
        <f t="shared" si="4"/>
        <v>1</v>
      </c>
    </row>
    <row r="1189">
      <c r="A1189" s="23">
        <v>5663.0</v>
      </c>
      <c r="B1189" s="24" t="str">
        <f t="array" ref="B1189">xlookup($A1189,product!$A:$A,product!B:B)</f>
        <v>Epicerie salée</v>
      </c>
      <c r="C1189" s="24" t="str">
        <f t="array" ref="C1189">xlookup($A1189,product!$A:$A,product!C:C)</f>
        <v>Pâtes bio</v>
      </c>
      <c r="D1189" s="24" t="str">
        <f t="array" ref="D1189">xlookup($A1189,product!$A:$A,product!D:D)</f>
        <v>Pâtes aux céréales</v>
      </c>
      <c r="E1189" s="25" t="str">
        <f t="shared" si="1"/>
        <v>5663-Pâtes bio-Pâtes aux céréales</v>
      </c>
      <c r="F1189" s="25">
        <v>1.0</v>
      </c>
      <c r="G1189" s="25">
        <v>915.0</v>
      </c>
      <c r="H1189" s="25">
        <v>168.0</v>
      </c>
      <c r="I1189" s="26">
        <f t="array" ref="I1189">XLOOKUP($A1189,product!A:A,product!E:E)</f>
        <v>1.88</v>
      </c>
      <c r="J1189" s="25">
        <f t="shared" si="2"/>
        <v>315.84</v>
      </c>
      <c r="K1189" s="27">
        <f t="shared" si="3"/>
        <v>1</v>
      </c>
      <c r="L1189" s="25">
        <f t="shared" si="4"/>
        <v>1</v>
      </c>
    </row>
    <row r="1190">
      <c r="A1190" s="19">
        <v>5654.0</v>
      </c>
      <c r="B1190" s="20" t="str">
        <f t="array" ref="B1190">xlookup($A1190,product!$A:$A,product!B:B)</f>
        <v>Epicerie salée</v>
      </c>
      <c r="C1190" s="20" t="str">
        <f t="array" ref="C1190">xlookup($A1190,product!$A:$A,product!C:C)</f>
        <v>Pâtes bio</v>
      </c>
      <c r="D1190" s="20" t="str">
        <f t="array" ref="D1190">xlookup($A1190,product!$A:$A,product!D:D)</f>
        <v>Pâtes aux céréales</v>
      </c>
      <c r="E1190" s="4" t="str">
        <f t="shared" si="1"/>
        <v>5654-Pâtes bio-Pâtes aux céréales</v>
      </c>
      <c r="F1190" s="4">
        <v>0.0</v>
      </c>
      <c r="G1190" s="4">
        <v>479.0</v>
      </c>
      <c r="H1190" s="4">
        <v>445.0</v>
      </c>
      <c r="I1190" s="21">
        <f t="array" ref="I1190">XLOOKUP($A1190,product!A:A,product!E:E)</f>
        <v>1.87</v>
      </c>
      <c r="J1190" s="4">
        <f t="shared" si="2"/>
        <v>832.15</v>
      </c>
      <c r="K1190" s="22">
        <f t="shared" si="3"/>
        <v>1</v>
      </c>
      <c r="L1190" s="4">
        <f t="shared" si="4"/>
        <v>1</v>
      </c>
    </row>
    <row r="1191">
      <c r="A1191" s="23">
        <v>44607.0</v>
      </c>
      <c r="B1191" s="24" t="str">
        <f t="array" ref="B1191">xlookup($A1191,product!$A:$A,product!B:B)</f>
        <v>Epicerie salée</v>
      </c>
      <c r="C1191" s="24" t="str">
        <f t="array" ref="C1191">xlookup($A1191,product!$A:$A,product!C:C)</f>
        <v>Pâtes bio</v>
      </c>
      <c r="D1191" s="24" t="str">
        <f t="array" ref="D1191">xlookup($A1191,product!$A:$A,product!D:D)</f>
        <v>Pâtes aux céréales</v>
      </c>
      <c r="E1191" s="25" t="str">
        <f t="shared" si="1"/>
        <v>44607-Pâtes bio-Pâtes aux céréales</v>
      </c>
      <c r="F1191" s="25">
        <v>0.0</v>
      </c>
      <c r="G1191" s="25">
        <v>915.0</v>
      </c>
      <c r="H1191" s="25">
        <v>401.0</v>
      </c>
      <c r="I1191" s="26">
        <f t="array" ref="I1191">XLOOKUP($A1191,product!A:A,product!E:E)</f>
        <v>1.96</v>
      </c>
      <c r="J1191" s="25">
        <f t="shared" si="2"/>
        <v>785.96</v>
      </c>
      <c r="K1191" s="27">
        <f t="shared" si="3"/>
        <v>1</v>
      </c>
      <c r="L1191" s="25">
        <f t="shared" si="4"/>
        <v>1</v>
      </c>
    </row>
    <row r="1192">
      <c r="A1192" s="19">
        <v>5662.0</v>
      </c>
      <c r="B1192" s="20" t="str">
        <f t="array" ref="B1192">xlookup($A1192,product!$A:$A,product!B:B)</f>
        <v>Epicerie salée</v>
      </c>
      <c r="C1192" s="20" t="str">
        <f t="array" ref="C1192">xlookup($A1192,product!$A:$A,product!C:C)</f>
        <v>Pâtes bio</v>
      </c>
      <c r="D1192" s="20" t="str">
        <f t="array" ref="D1192">xlookup($A1192,product!$A:$A,product!D:D)</f>
        <v>Pâtes aux céréales</v>
      </c>
      <c r="E1192" s="4" t="str">
        <f t="shared" si="1"/>
        <v>5662-Pâtes bio-Pâtes aux céréales</v>
      </c>
      <c r="F1192" s="4">
        <v>1.0</v>
      </c>
      <c r="G1192" s="4">
        <v>319.0</v>
      </c>
      <c r="H1192" s="4">
        <v>205.0</v>
      </c>
      <c r="I1192" s="21">
        <f t="array" ref="I1192">XLOOKUP($A1192,product!A:A,product!E:E)</f>
        <v>1.94</v>
      </c>
      <c r="J1192" s="4">
        <f t="shared" si="2"/>
        <v>397.7</v>
      </c>
      <c r="K1192" s="22">
        <f t="shared" si="3"/>
        <v>1</v>
      </c>
      <c r="L1192" s="4">
        <f t="shared" si="4"/>
        <v>1</v>
      </c>
    </row>
    <row r="1193">
      <c r="A1193" s="23">
        <v>87426.0</v>
      </c>
      <c r="B1193" s="24" t="str">
        <f t="array" ref="B1193">xlookup($A1193,product!$A:$A,product!B:B)</f>
        <v>Epicerie salée</v>
      </c>
      <c r="C1193" s="24" t="str">
        <f t="array" ref="C1193">xlookup($A1193,product!$A:$A,product!C:C)</f>
        <v>Pâtes bio</v>
      </c>
      <c r="D1193" s="24" t="str">
        <f t="array" ref="D1193">xlookup($A1193,product!$A:$A,product!D:D)</f>
        <v>Pâtes aux céréales</v>
      </c>
      <c r="E1193" s="25" t="str">
        <f t="shared" si="1"/>
        <v>87426-Pâtes bio-Pâtes aux céréales</v>
      </c>
      <c r="F1193" s="25">
        <v>1.0</v>
      </c>
      <c r="G1193" s="25">
        <v>975.0</v>
      </c>
      <c r="H1193" s="25">
        <v>103.0</v>
      </c>
      <c r="I1193" s="26">
        <f t="array" ref="I1193">XLOOKUP($A1193,product!A:A,product!E:E)</f>
        <v>2.49</v>
      </c>
      <c r="J1193" s="25">
        <f t="shared" si="2"/>
        <v>256.47</v>
      </c>
      <c r="K1193" s="27">
        <f t="shared" si="3"/>
        <v>1</v>
      </c>
      <c r="L1193" s="25">
        <f t="shared" si="4"/>
        <v>1</v>
      </c>
    </row>
    <row r="1194">
      <c r="A1194" s="19">
        <v>5680.0</v>
      </c>
      <c r="B1194" s="20" t="str">
        <f t="array" ref="B1194">xlookup($A1194,product!$A:$A,product!B:B)</f>
        <v>Epicerie salée</v>
      </c>
      <c r="C1194" s="20" t="str">
        <f t="array" ref="C1194">xlookup($A1194,product!$A:$A,product!C:C)</f>
        <v>Pâtes bio</v>
      </c>
      <c r="D1194" s="20" t="str">
        <f t="array" ref="D1194">xlookup($A1194,product!$A:$A,product!D:D)</f>
        <v>Pâtes aux céréales</v>
      </c>
      <c r="E1194" s="4" t="str">
        <f t="shared" si="1"/>
        <v>5680-Pâtes bio-Pâtes aux céréales</v>
      </c>
      <c r="F1194" s="4">
        <v>1.0</v>
      </c>
      <c r="G1194" s="4">
        <v>124.0</v>
      </c>
      <c r="H1194" s="4">
        <v>35.0</v>
      </c>
      <c r="I1194" s="21">
        <f t="array" ref="I1194">XLOOKUP($A1194,product!A:A,product!E:E)</f>
        <v>1.56</v>
      </c>
      <c r="J1194" s="4">
        <f t="shared" si="2"/>
        <v>54.6</v>
      </c>
      <c r="K1194" s="22">
        <f t="shared" si="3"/>
        <v>1</v>
      </c>
      <c r="L1194" s="4">
        <f t="shared" si="4"/>
        <v>1</v>
      </c>
    </row>
    <row r="1195">
      <c r="A1195" s="23">
        <v>5661.0</v>
      </c>
      <c r="B1195" s="24" t="str">
        <f t="array" ref="B1195">xlookup($A1195,product!$A:$A,product!B:B)</f>
        <v>Epicerie salée</v>
      </c>
      <c r="C1195" s="24" t="str">
        <f t="array" ref="C1195">xlookup($A1195,product!$A:$A,product!C:C)</f>
        <v>Pâtes bio</v>
      </c>
      <c r="D1195" s="24" t="str">
        <f t="array" ref="D1195">xlookup($A1195,product!$A:$A,product!D:D)</f>
        <v>Pâtes aux céréales</v>
      </c>
      <c r="E1195" s="25" t="str">
        <f t="shared" si="1"/>
        <v>5661-Pâtes bio-Pâtes aux céréales</v>
      </c>
      <c r="F1195" s="25">
        <v>0.0</v>
      </c>
      <c r="G1195" s="25">
        <v>557.0</v>
      </c>
      <c r="H1195" s="25">
        <v>271.0</v>
      </c>
      <c r="I1195" s="26">
        <f t="array" ref="I1195">XLOOKUP($A1195,product!A:A,product!E:E)</f>
        <v>2.44</v>
      </c>
      <c r="J1195" s="25">
        <f t="shared" si="2"/>
        <v>661.24</v>
      </c>
      <c r="K1195" s="27">
        <f t="shared" si="3"/>
        <v>1</v>
      </c>
      <c r="L1195" s="25">
        <f t="shared" si="4"/>
        <v>1</v>
      </c>
    </row>
    <row r="1196">
      <c r="A1196" s="19">
        <v>83629.0</v>
      </c>
      <c r="B1196" s="20" t="str">
        <f t="array" ref="B1196">xlookup($A1196,product!$A:$A,product!B:B)</f>
        <v>Epicerie salée</v>
      </c>
      <c r="C1196" s="20" t="str">
        <f t="array" ref="C1196">xlookup($A1196,product!$A:$A,product!C:C)</f>
        <v>Pâtes bio</v>
      </c>
      <c r="D1196" s="20" t="str">
        <f t="array" ref="D1196">xlookup($A1196,product!$A:$A,product!D:D)</f>
        <v>Pâtes aux céréales</v>
      </c>
      <c r="E1196" s="4" t="str">
        <f t="shared" si="1"/>
        <v>83629-Pâtes bio-Pâtes aux céréales</v>
      </c>
      <c r="F1196" s="4">
        <v>0.0</v>
      </c>
      <c r="G1196" s="4">
        <v>884.0</v>
      </c>
      <c r="H1196" s="4">
        <v>769.0</v>
      </c>
      <c r="I1196" s="21">
        <f t="array" ref="I1196">XLOOKUP($A1196,product!A:A,product!E:E)</f>
        <v>3.63</v>
      </c>
      <c r="J1196" s="4">
        <f t="shared" si="2"/>
        <v>2791.47</v>
      </c>
      <c r="K1196" s="22">
        <f t="shared" si="3"/>
        <v>1</v>
      </c>
      <c r="L1196" s="4">
        <f t="shared" si="4"/>
        <v>1</v>
      </c>
    </row>
    <row r="1197">
      <c r="A1197" s="23">
        <v>83599.0</v>
      </c>
      <c r="B1197" s="24" t="str">
        <f t="array" ref="B1197">xlookup($A1197,product!$A:$A,product!B:B)</f>
        <v>Epicerie salée</v>
      </c>
      <c r="C1197" s="24" t="str">
        <f t="array" ref="C1197">xlookup($A1197,product!$A:$A,product!C:C)</f>
        <v>Pâtes bio</v>
      </c>
      <c r="D1197" s="24" t="str">
        <f t="array" ref="D1197">xlookup($A1197,product!$A:$A,product!D:D)</f>
        <v>Pâtes aux céréales</v>
      </c>
      <c r="E1197" s="25" t="str">
        <f t="shared" si="1"/>
        <v>83599-Pâtes bio-Pâtes aux céréales</v>
      </c>
      <c r="F1197" s="25">
        <v>0.0</v>
      </c>
      <c r="G1197" s="25">
        <v>72.0</v>
      </c>
      <c r="H1197" s="25">
        <v>49.0</v>
      </c>
      <c r="I1197" s="26">
        <f t="array" ref="I1197">XLOOKUP($A1197,product!A:A,product!E:E)</f>
        <v>3.63</v>
      </c>
      <c r="J1197" s="25">
        <f t="shared" si="2"/>
        <v>177.87</v>
      </c>
      <c r="K1197" s="27">
        <f t="shared" si="3"/>
        <v>1</v>
      </c>
      <c r="L1197" s="25">
        <f t="shared" si="4"/>
        <v>1</v>
      </c>
    </row>
    <row r="1198">
      <c r="A1198" s="19">
        <v>83625.0</v>
      </c>
      <c r="B1198" s="20" t="str">
        <f t="array" ref="B1198">xlookup($A1198,product!$A:$A,product!B:B)</f>
        <v>Epicerie salée</v>
      </c>
      <c r="C1198" s="20" t="str">
        <f t="array" ref="C1198">xlookup($A1198,product!$A:$A,product!C:C)</f>
        <v>Pâtes bio</v>
      </c>
      <c r="D1198" s="20" t="str">
        <f t="array" ref="D1198">xlookup($A1198,product!$A:$A,product!D:D)</f>
        <v>Pâtes aux céréales</v>
      </c>
      <c r="E1198" s="4" t="str">
        <f t="shared" si="1"/>
        <v>83625-Pâtes bio-Pâtes aux céréales</v>
      </c>
      <c r="F1198" s="4">
        <v>1.0</v>
      </c>
      <c r="G1198" s="4">
        <v>871.0</v>
      </c>
      <c r="H1198" s="4">
        <v>764.0</v>
      </c>
      <c r="I1198" s="21">
        <f t="array" ref="I1198">XLOOKUP($A1198,product!A:A,product!E:E)</f>
        <v>2.5</v>
      </c>
      <c r="J1198" s="4">
        <f t="shared" si="2"/>
        <v>1910</v>
      </c>
      <c r="K1198" s="22">
        <f t="shared" si="3"/>
        <v>1</v>
      </c>
      <c r="L1198" s="4">
        <f t="shared" si="4"/>
        <v>1</v>
      </c>
    </row>
    <row r="1199">
      <c r="A1199" s="23">
        <v>87887.0</v>
      </c>
      <c r="B1199" s="24" t="str">
        <f t="array" ref="B1199">xlookup($A1199,product!$A:$A,product!B:B)</f>
        <v>Epicerie salée</v>
      </c>
      <c r="C1199" s="24" t="str">
        <f t="array" ref="C1199">xlookup($A1199,product!$A:$A,product!C:C)</f>
        <v>Pâtes bio</v>
      </c>
      <c r="D1199" s="24" t="str">
        <f t="array" ref="D1199">xlookup($A1199,product!$A:$A,product!D:D)</f>
        <v>Pâtes de légumineuse</v>
      </c>
      <c r="E1199" s="25" t="str">
        <f t="shared" si="1"/>
        <v>87887-Pâtes bio-Pâtes de légumineuse</v>
      </c>
      <c r="F1199" s="25">
        <v>1.0</v>
      </c>
      <c r="G1199" s="25">
        <v>545.0</v>
      </c>
      <c r="H1199" s="25">
        <v>207.0</v>
      </c>
      <c r="I1199" s="26">
        <f t="array" ref="I1199">XLOOKUP($A1199,product!A:A,product!E:E)</f>
        <v>1.96</v>
      </c>
      <c r="J1199" s="25">
        <f t="shared" si="2"/>
        <v>405.72</v>
      </c>
      <c r="K1199" s="27">
        <f t="shared" si="3"/>
        <v>1</v>
      </c>
      <c r="L1199" s="25">
        <f t="shared" si="4"/>
        <v>1</v>
      </c>
    </row>
    <row r="1200">
      <c r="A1200" s="19">
        <v>118923.0</v>
      </c>
      <c r="B1200" s="20" t="str">
        <f t="array" ref="B1200">xlookup($A1200,product!$A:$A,product!B:B)</f>
        <v>Epicerie salée</v>
      </c>
      <c r="C1200" s="20" t="str">
        <f t="array" ref="C1200">xlookup($A1200,product!$A:$A,product!C:C)</f>
        <v>Pâtes bio</v>
      </c>
      <c r="D1200" s="20" t="str">
        <f t="array" ref="D1200">xlookup($A1200,product!$A:$A,product!D:D)</f>
        <v>Pâtes de légumineuse</v>
      </c>
      <c r="E1200" s="4" t="str">
        <f t="shared" si="1"/>
        <v>118923-Pâtes bio-Pâtes de légumineuse</v>
      </c>
      <c r="F1200" s="4">
        <v>0.0</v>
      </c>
      <c r="G1200" s="4">
        <v>95.0</v>
      </c>
      <c r="H1200" s="4">
        <v>46.0</v>
      </c>
      <c r="I1200" s="21">
        <f t="array" ref="I1200">XLOOKUP($A1200,product!A:A,product!E:E)</f>
        <v>1.63</v>
      </c>
      <c r="J1200" s="4">
        <f t="shared" si="2"/>
        <v>74.98</v>
      </c>
      <c r="K1200" s="22">
        <f t="shared" si="3"/>
        <v>1</v>
      </c>
      <c r="L1200" s="4">
        <f t="shared" si="4"/>
        <v>1</v>
      </c>
    </row>
    <row r="1201">
      <c r="A1201" s="23">
        <v>87421.0</v>
      </c>
      <c r="B1201" s="24" t="str">
        <f t="array" ref="B1201">xlookup($A1201,product!$A:$A,product!B:B)</f>
        <v>Epicerie salée</v>
      </c>
      <c r="C1201" s="24" t="str">
        <f t="array" ref="C1201">xlookup($A1201,product!$A:$A,product!C:C)</f>
        <v>Pâtes bio</v>
      </c>
      <c r="D1201" s="24" t="str">
        <f t="array" ref="D1201">xlookup($A1201,product!$A:$A,product!D:D)</f>
        <v>Pâtes de légumineuse</v>
      </c>
      <c r="E1201" s="25" t="str">
        <f t="shared" si="1"/>
        <v>87421-Pâtes bio-Pâtes de légumineuse</v>
      </c>
      <c r="F1201" s="25">
        <v>1.0</v>
      </c>
      <c r="G1201" s="25">
        <v>718.0</v>
      </c>
      <c r="H1201" s="25">
        <v>94.0</v>
      </c>
      <c r="I1201" s="26">
        <f t="array" ref="I1201">XLOOKUP($A1201,product!A:A,product!E:E)</f>
        <v>2.04</v>
      </c>
      <c r="J1201" s="25">
        <f t="shared" si="2"/>
        <v>191.76</v>
      </c>
      <c r="K1201" s="27">
        <f t="shared" si="3"/>
        <v>1</v>
      </c>
      <c r="L1201" s="25">
        <f t="shared" si="4"/>
        <v>1</v>
      </c>
    </row>
    <row r="1202">
      <c r="A1202" s="19">
        <v>117531.0</v>
      </c>
      <c r="B1202" s="20" t="str">
        <f t="array" ref="B1202">xlookup($A1202,product!$A:$A,product!B:B)</f>
        <v>Epicerie salée</v>
      </c>
      <c r="C1202" s="20" t="str">
        <f t="array" ref="C1202">xlookup($A1202,product!$A:$A,product!C:C)</f>
        <v>Pâtes bio</v>
      </c>
      <c r="D1202" s="20" t="str">
        <f t="array" ref="D1202">xlookup($A1202,product!$A:$A,product!D:D)</f>
        <v>Pâtes de légumineuse</v>
      </c>
      <c r="E1202" s="4" t="str">
        <f t="shared" si="1"/>
        <v>117531-Pâtes bio-Pâtes de légumineuse</v>
      </c>
      <c r="F1202" s="4">
        <v>0.0</v>
      </c>
      <c r="G1202" s="4">
        <v>782.0</v>
      </c>
      <c r="H1202" s="4">
        <v>376.0</v>
      </c>
      <c r="I1202" s="21">
        <f t="array" ref="I1202">XLOOKUP($A1202,product!A:A,product!E:E)</f>
        <v>1.78</v>
      </c>
      <c r="J1202" s="4">
        <f t="shared" si="2"/>
        <v>669.28</v>
      </c>
      <c r="K1202" s="22">
        <f t="shared" si="3"/>
        <v>1</v>
      </c>
      <c r="L1202" s="4">
        <f t="shared" si="4"/>
        <v>1</v>
      </c>
    </row>
    <row r="1203">
      <c r="A1203" s="23">
        <v>122267.0</v>
      </c>
      <c r="B1203" s="24" t="str">
        <f t="array" ref="B1203">xlookup($A1203,product!$A:$A,product!B:B)</f>
        <v>Epicerie salée</v>
      </c>
      <c r="C1203" s="24" t="str">
        <f t="array" ref="C1203">xlookup($A1203,product!$A:$A,product!C:C)</f>
        <v>Pâtes bio</v>
      </c>
      <c r="D1203" s="24" t="str">
        <f t="array" ref="D1203">xlookup($A1203,product!$A:$A,product!D:D)</f>
        <v>Pâtes de légumineuse</v>
      </c>
      <c r="E1203" s="25" t="str">
        <f t="shared" si="1"/>
        <v>122267-Pâtes bio-Pâtes de légumineuse</v>
      </c>
      <c r="F1203" s="25">
        <v>1.0</v>
      </c>
      <c r="G1203" s="25">
        <v>786.0</v>
      </c>
      <c r="H1203" s="25">
        <v>106.0</v>
      </c>
      <c r="I1203" s="26">
        <f t="array" ref="I1203">XLOOKUP($A1203,product!A:A,product!E:E)</f>
        <v>2.12</v>
      </c>
      <c r="J1203" s="25">
        <f t="shared" si="2"/>
        <v>224.72</v>
      </c>
      <c r="K1203" s="27">
        <f t="shared" si="3"/>
        <v>1</v>
      </c>
      <c r="L1203" s="25">
        <f t="shared" si="4"/>
        <v>1</v>
      </c>
    </row>
    <row r="1204">
      <c r="A1204" s="19">
        <v>117527.0</v>
      </c>
      <c r="B1204" s="20" t="str">
        <f t="array" ref="B1204">xlookup($A1204,product!$A:$A,product!B:B)</f>
        <v>Epicerie salée</v>
      </c>
      <c r="C1204" s="20" t="str">
        <f t="array" ref="C1204">xlookup($A1204,product!$A:$A,product!C:C)</f>
        <v>Pâtes bio</v>
      </c>
      <c r="D1204" s="20" t="str">
        <f t="array" ref="D1204">xlookup($A1204,product!$A:$A,product!D:D)</f>
        <v>Pâtes de légumineuse</v>
      </c>
      <c r="E1204" s="4" t="str">
        <f t="shared" si="1"/>
        <v>117527-Pâtes bio-Pâtes de légumineuse</v>
      </c>
      <c r="F1204" s="4">
        <v>0.0</v>
      </c>
      <c r="G1204" s="4">
        <v>803.0</v>
      </c>
      <c r="H1204" s="4">
        <v>276.0</v>
      </c>
      <c r="I1204" s="21">
        <f t="array" ref="I1204">XLOOKUP($A1204,product!A:A,product!E:E)</f>
        <v>1.78</v>
      </c>
      <c r="J1204" s="4">
        <f t="shared" si="2"/>
        <v>491.28</v>
      </c>
      <c r="K1204" s="22">
        <f t="shared" si="3"/>
        <v>1</v>
      </c>
      <c r="L1204" s="4">
        <f t="shared" si="4"/>
        <v>1</v>
      </c>
    </row>
    <row r="1205">
      <c r="A1205" s="23">
        <v>44138.0</v>
      </c>
      <c r="B1205" s="24" t="str">
        <f t="array" ref="B1205">xlookup($A1205,product!$A:$A,product!B:B)</f>
        <v>Epicerie salée</v>
      </c>
      <c r="C1205" s="24" t="str">
        <f t="array" ref="C1205">xlookup($A1205,product!$A:$A,product!C:C)</f>
        <v>Pâtes bio</v>
      </c>
      <c r="D1205" s="24" t="str">
        <f t="array" ref="D1205">xlookup($A1205,product!$A:$A,product!D:D)</f>
        <v>Pâtes de légumineuse</v>
      </c>
      <c r="E1205" s="25" t="str">
        <f t="shared" si="1"/>
        <v>44138-Pâtes bio-Pâtes de légumineuse</v>
      </c>
      <c r="F1205" s="25">
        <v>1.0</v>
      </c>
      <c r="G1205" s="25">
        <v>195.0</v>
      </c>
      <c r="H1205" s="25">
        <v>43.0</v>
      </c>
      <c r="I1205" s="26">
        <f t="array" ref="I1205">XLOOKUP($A1205,product!A:A,product!E:E)</f>
        <v>2.04</v>
      </c>
      <c r="J1205" s="25">
        <f t="shared" si="2"/>
        <v>87.72</v>
      </c>
      <c r="K1205" s="27">
        <f t="shared" si="3"/>
        <v>1</v>
      </c>
      <c r="L1205" s="25">
        <f t="shared" si="4"/>
        <v>1</v>
      </c>
    </row>
    <row r="1206">
      <c r="A1206" s="19">
        <v>117529.0</v>
      </c>
      <c r="B1206" s="20" t="str">
        <f t="array" ref="B1206">xlookup($A1206,product!$A:$A,product!B:B)</f>
        <v>Epicerie salée</v>
      </c>
      <c r="C1206" s="20" t="str">
        <f t="array" ref="C1206">xlookup($A1206,product!$A:$A,product!C:C)</f>
        <v>Pâtes bio</v>
      </c>
      <c r="D1206" s="20" t="str">
        <f t="array" ref="D1206">xlookup($A1206,product!$A:$A,product!D:D)</f>
        <v>Pâtes de légumineuse</v>
      </c>
      <c r="E1206" s="4" t="str">
        <f t="shared" si="1"/>
        <v>117529-Pâtes bio-Pâtes de légumineuse</v>
      </c>
      <c r="F1206" s="4">
        <v>1.0</v>
      </c>
      <c r="G1206" s="4">
        <v>393.0</v>
      </c>
      <c r="H1206" s="4">
        <v>187.0</v>
      </c>
      <c r="I1206" s="21">
        <f t="array" ref="I1206">XLOOKUP($A1206,product!A:A,product!E:E)</f>
        <v>1.78</v>
      </c>
      <c r="J1206" s="4">
        <f t="shared" si="2"/>
        <v>332.86</v>
      </c>
      <c r="K1206" s="22">
        <f t="shared" si="3"/>
        <v>1</v>
      </c>
      <c r="L1206" s="4">
        <f t="shared" si="4"/>
        <v>1</v>
      </c>
    </row>
    <row r="1207">
      <c r="A1207" s="23">
        <v>122269.0</v>
      </c>
      <c r="B1207" s="24" t="str">
        <f t="array" ref="B1207">xlookup($A1207,product!$A:$A,product!B:B)</f>
        <v>Epicerie salée</v>
      </c>
      <c r="C1207" s="24" t="str">
        <f t="array" ref="C1207">xlookup($A1207,product!$A:$A,product!C:C)</f>
        <v>Pâtes bio</v>
      </c>
      <c r="D1207" s="24" t="str">
        <f t="array" ref="D1207">xlookup($A1207,product!$A:$A,product!D:D)</f>
        <v>Pâtes de légumineuse</v>
      </c>
      <c r="E1207" s="25" t="str">
        <f t="shared" si="1"/>
        <v>122269-Pâtes bio-Pâtes de légumineuse</v>
      </c>
      <c r="F1207" s="25">
        <v>0.0</v>
      </c>
      <c r="G1207" s="25">
        <v>775.0</v>
      </c>
      <c r="H1207" s="25">
        <v>249.0</v>
      </c>
      <c r="I1207" s="26">
        <f t="array" ref="I1207">XLOOKUP($A1207,product!A:A,product!E:E)</f>
        <v>1.99</v>
      </c>
      <c r="J1207" s="25">
        <f t="shared" si="2"/>
        <v>495.51</v>
      </c>
      <c r="K1207" s="27">
        <f t="shared" si="3"/>
        <v>1</v>
      </c>
      <c r="L1207" s="25">
        <f t="shared" si="4"/>
        <v>1</v>
      </c>
    </row>
    <row r="1208">
      <c r="A1208" s="19">
        <v>87886.0</v>
      </c>
      <c r="B1208" s="20" t="str">
        <f t="array" ref="B1208">xlookup($A1208,product!$A:$A,product!B:B)</f>
        <v>Epicerie salée</v>
      </c>
      <c r="C1208" s="20" t="str">
        <f t="array" ref="C1208">xlookup($A1208,product!$A:$A,product!C:C)</f>
        <v>Pâtes bio</v>
      </c>
      <c r="D1208" s="20" t="str">
        <f t="array" ref="D1208">xlookup($A1208,product!$A:$A,product!D:D)</f>
        <v>Pâtes de légumineuse</v>
      </c>
      <c r="E1208" s="4" t="str">
        <f t="shared" si="1"/>
        <v>87886-Pâtes bio-Pâtes de légumineuse</v>
      </c>
      <c r="F1208" s="4">
        <v>0.0</v>
      </c>
      <c r="G1208" s="4">
        <v>407.0</v>
      </c>
      <c r="H1208" s="4">
        <v>192.0</v>
      </c>
      <c r="I1208" s="21">
        <f t="array" ref="I1208">XLOOKUP($A1208,product!A:A,product!E:E)</f>
        <v>1.96</v>
      </c>
      <c r="J1208" s="4">
        <f t="shared" si="2"/>
        <v>376.32</v>
      </c>
      <c r="K1208" s="22">
        <f t="shared" si="3"/>
        <v>1</v>
      </c>
      <c r="L1208" s="4">
        <f t="shared" si="4"/>
        <v>1</v>
      </c>
    </row>
    <row r="1209">
      <c r="A1209" s="23">
        <v>104317.0</v>
      </c>
      <c r="B1209" s="24" t="str">
        <f t="array" ref="B1209">xlookup($A1209,product!$A:$A,product!B:B)</f>
        <v>Epicerie salée</v>
      </c>
      <c r="C1209" s="24" t="str">
        <f t="array" ref="C1209">xlookup($A1209,product!$A:$A,product!C:C)</f>
        <v>Pâtes bio</v>
      </c>
      <c r="D1209" s="24" t="str">
        <f t="array" ref="D1209">xlookup($A1209,product!$A:$A,product!D:D)</f>
        <v>Pâtes de légumineuse</v>
      </c>
      <c r="E1209" s="25" t="str">
        <f t="shared" si="1"/>
        <v>104317-Pâtes bio-Pâtes de légumineuse</v>
      </c>
      <c r="F1209" s="25">
        <v>1.0</v>
      </c>
      <c r="G1209" s="25">
        <v>726.0</v>
      </c>
      <c r="H1209" s="25">
        <v>77.0</v>
      </c>
      <c r="I1209" s="26">
        <f t="array" ref="I1209">XLOOKUP($A1209,product!A:A,product!E:E)</f>
        <v>2.36</v>
      </c>
      <c r="J1209" s="25">
        <f t="shared" si="2"/>
        <v>181.72</v>
      </c>
      <c r="K1209" s="27">
        <f t="shared" si="3"/>
        <v>1</v>
      </c>
      <c r="L1209" s="25">
        <f t="shared" si="4"/>
        <v>1</v>
      </c>
    </row>
    <row r="1210">
      <c r="A1210" s="19">
        <v>114943.0</v>
      </c>
      <c r="B1210" s="20" t="str">
        <f t="array" ref="B1210">xlookup($A1210,product!$A:$A,product!B:B)</f>
        <v>Epicerie salée</v>
      </c>
      <c r="C1210" s="20" t="str">
        <f t="array" ref="C1210">xlookup($A1210,product!$A:$A,product!C:C)</f>
        <v>Pâtes bio</v>
      </c>
      <c r="D1210" s="20" t="str">
        <f t="array" ref="D1210">xlookup($A1210,product!$A:$A,product!D:D)</f>
        <v>Pâtes de légumineuse</v>
      </c>
      <c r="E1210" s="4" t="str">
        <f t="shared" si="1"/>
        <v>114943-Pâtes bio-Pâtes de légumineuse</v>
      </c>
      <c r="F1210" s="4">
        <v>1.0</v>
      </c>
      <c r="G1210" s="4">
        <v>309.0</v>
      </c>
      <c r="H1210" s="4">
        <v>246.0</v>
      </c>
      <c r="I1210" s="21">
        <f t="array" ref="I1210">XLOOKUP($A1210,product!A:A,product!E:E)</f>
        <v>2.58</v>
      </c>
      <c r="J1210" s="4">
        <f t="shared" si="2"/>
        <v>634.68</v>
      </c>
      <c r="K1210" s="22">
        <f t="shared" si="3"/>
        <v>1</v>
      </c>
      <c r="L1210" s="4">
        <f t="shared" si="4"/>
        <v>1</v>
      </c>
    </row>
    <row r="1211">
      <c r="A1211" s="23">
        <v>44134.0</v>
      </c>
      <c r="B1211" s="24" t="str">
        <f t="array" ref="B1211">xlookup($A1211,product!$A:$A,product!B:B)</f>
        <v>Epicerie salée</v>
      </c>
      <c r="C1211" s="24" t="str">
        <f t="array" ref="C1211">xlookup($A1211,product!$A:$A,product!C:C)</f>
        <v>Pâtes bio</v>
      </c>
      <c r="D1211" s="24" t="str">
        <f t="array" ref="D1211">xlookup($A1211,product!$A:$A,product!D:D)</f>
        <v>Pâtes de légumineuse</v>
      </c>
      <c r="E1211" s="25" t="str">
        <f t="shared" si="1"/>
        <v>44134-Pâtes bio-Pâtes de légumineuse</v>
      </c>
      <c r="F1211" s="25">
        <v>0.0</v>
      </c>
      <c r="G1211" s="25">
        <v>816.0</v>
      </c>
      <c r="H1211" s="25">
        <v>615.0</v>
      </c>
      <c r="I1211" s="26">
        <f t="array" ref="I1211">XLOOKUP($A1211,product!A:A,product!E:E)</f>
        <v>2.04</v>
      </c>
      <c r="J1211" s="25">
        <f t="shared" si="2"/>
        <v>1254.6</v>
      </c>
      <c r="K1211" s="27">
        <f t="shared" si="3"/>
        <v>1</v>
      </c>
      <c r="L1211" s="25">
        <f t="shared" si="4"/>
        <v>1</v>
      </c>
    </row>
    <row r="1212">
      <c r="A1212" s="19">
        <v>5637.0</v>
      </c>
      <c r="B1212" s="20" t="str">
        <f t="array" ref="B1212">xlookup($A1212,product!$A:$A,product!B:B)</f>
        <v>Epicerie salée</v>
      </c>
      <c r="C1212" s="20" t="str">
        <f t="array" ref="C1212">xlookup($A1212,product!$A:$A,product!C:C)</f>
        <v>Pâtes bio</v>
      </c>
      <c r="D1212" s="20" t="str">
        <f t="array" ref="D1212">xlookup($A1212,product!$A:$A,product!D:D)</f>
        <v>Pâtes demi complètes</v>
      </c>
      <c r="E1212" s="4" t="str">
        <f t="shared" si="1"/>
        <v>5637-Pâtes bio-Pâtes demi complètes</v>
      </c>
      <c r="F1212" s="4">
        <v>0.0</v>
      </c>
      <c r="G1212" s="4">
        <v>49.0</v>
      </c>
      <c r="H1212" s="4">
        <v>5.0</v>
      </c>
      <c r="I1212" s="21">
        <f t="array" ref="I1212">XLOOKUP($A1212,product!A:A,product!E:E)</f>
        <v>1.13</v>
      </c>
      <c r="J1212" s="4">
        <f t="shared" si="2"/>
        <v>5.65</v>
      </c>
      <c r="K1212" s="22">
        <f t="shared" si="3"/>
        <v>1</v>
      </c>
      <c r="L1212" s="4">
        <f t="shared" si="4"/>
        <v>1</v>
      </c>
    </row>
    <row r="1213">
      <c r="A1213" s="23">
        <v>5641.0</v>
      </c>
      <c r="B1213" s="24" t="str">
        <f t="array" ref="B1213">xlookup($A1213,product!$A:$A,product!B:B)</f>
        <v>Epicerie salée</v>
      </c>
      <c r="C1213" s="24" t="str">
        <f t="array" ref="C1213">xlookup($A1213,product!$A:$A,product!C:C)</f>
        <v>Pâtes bio</v>
      </c>
      <c r="D1213" s="24" t="str">
        <f t="array" ref="D1213">xlookup($A1213,product!$A:$A,product!D:D)</f>
        <v>Pâtes demi complètes</v>
      </c>
      <c r="E1213" s="25" t="str">
        <f t="shared" si="1"/>
        <v>5641-Pâtes bio-Pâtes demi complètes</v>
      </c>
      <c r="F1213" s="25">
        <v>0.0</v>
      </c>
      <c r="G1213" s="25">
        <v>677.0</v>
      </c>
      <c r="H1213" s="25">
        <v>155.0</v>
      </c>
      <c r="I1213" s="26">
        <f t="array" ref="I1213">XLOOKUP($A1213,product!A:A,product!E:E)</f>
        <v>1.09</v>
      </c>
      <c r="J1213" s="25">
        <f t="shared" si="2"/>
        <v>168.95</v>
      </c>
      <c r="K1213" s="27">
        <f t="shared" si="3"/>
        <v>1</v>
      </c>
      <c r="L1213" s="25">
        <f t="shared" si="4"/>
        <v>1</v>
      </c>
    </row>
    <row r="1214">
      <c r="A1214" s="19">
        <v>147323.0</v>
      </c>
      <c r="B1214" s="20" t="str">
        <f t="array" ref="B1214">xlookup($A1214,product!$A:$A,product!B:B)</f>
        <v>Epicerie salée</v>
      </c>
      <c r="C1214" s="20" t="str">
        <f t="array" ref="C1214">xlookup($A1214,product!$A:$A,product!C:C)</f>
        <v>Pâtes bio</v>
      </c>
      <c r="D1214" s="20" t="str">
        <f t="array" ref="D1214">xlookup($A1214,product!$A:$A,product!D:D)</f>
        <v>Pâtes demi complètes</v>
      </c>
      <c r="E1214" s="4" t="str">
        <f t="shared" si="1"/>
        <v>147323-Pâtes bio-Pâtes demi complètes</v>
      </c>
      <c r="F1214" s="4">
        <v>0.0</v>
      </c>
      <c r="G1214" s="4">
        <v>341.0</v>
      </c>
      <c r="H1214" s="4">
        <v>260.0</v>
      </c>
      <c r="I1214" s="21">
        <f t="array" ref="I1214">XLOOKUP($A1214,product!A:A,product!E:E)</f>
        <v>1.73</v>
      </c>
      <c r="J1214" s="4">
        <f t="shared" si="2"/>
        <v>449.8</v>
      </c>
      <c r="K1214" s="22">
        <f t="shared" si="3"/>
        <v>1</v>
      </c>
      <c r="L1214" s="4">
        <f t="shared" si="4"/>
        <v>1</v>
      </c>
    </row>
    <row r="1215">
      <c r="A1215" s="23">
        <v>44118.0</v>
      </c>
      <c r="B1215" s="24" t="str">
        <f t="array" ref="B1215">xlookup($A1215,product!$A:$A,product!B:B)</f>
        <v>Epicerie salée</v>
      </c>
      <c r="C1215" s="24" t="str">
        <f t="array" ref="C1215">xlookup($A1215,product!$A:$A,product!C:C)</f>
        <v>Pâtes bio</v>
      </c>
      <c r="D1215" s="24" t="str">
        <f t="array" ref="D1215">xlookup($A1215,product!$A:$A,product!D:D)</f>
        <v>Pâtes demi complètes</v>
      </c>
      <c r="E1215" s="25" t="str">
        <f t="shared" si="1"/>
        <v>44118-Pâtes bio-Pâtes demi complètes</v>
      </c>
      <c r="F1215" s="25">
        <v>1.0</v>
      </c>
      <c r="G1215" s="25">
        <v>436.0</v>
      </c>
      <c r="H1215" s="25">
        <v>152.0</v>
      </c>
      <c r="I1215" s="26">
        <f t="array" ref="I1215">XLOOKUP($A1215,product!A:A,product!E:E)</f>
        <v>1</v>
      </c>
      <c r="J1215" s="25">
        <f t="shared" si="2"/>
        <v>152</v>
      </c>
      <c r="K1215" s="27">
        <f t="shared" si="3"/>
        <v>1</v>
      </c>
      <c r="L1215" s="25">
        <f t="shared" si="4"/>
        <v>1</v>
      </c>
    </row>
    <row r="1216">
      <c r="A1216" s="19">
        <v>115608.0</v>
      </c>
      <c r="B1216" s="20" t="str">
        <f t="array" ref="B1216">xlookup($A1216,product!$A:$A,product!B:B)</f>
        <v>Epicerie salée</v>
      </c>
      <c r="C1216" s="20" t="str">
        <f t="array" ref="C1216">xlookup($A1216,product!$A:$A,product!C:C)</f>
        <v>Pâtes bio</v>
      </c>
      <c r="D1216" s="20" t="str">
        <f t="array" ref="D1216">xlookup($A1216,product!$A:$A,product!D:D)</f>
        <v>Pâtes demi complètes</v>
      </c>
      <c r="E1216" s="4" t="str">
        <f t="shared" si="1"/>
        <v>115608-Pâtes bio-Pâtes demi complètes</v>
      </c>
      <c r="F1216" s="4">
        <v>1.0</v>
      </c>
      <c r="G1216" s="4">
        <v>376.0</v>
      </c>
      <c r="H1216" s="4">
        <v>119.0</v>
      </c>
      <c r="I1216" s="21">
        <f t="array" ref="I1216">XLOOKUP($A1216,product!A:A,product!E:E)</f>
        <v>1.49</v>
      </c>
      <c r="J1216" s="4">
        <f t="shared" si="2"/>
        <v>177.31</v>
      </c>
      <c r="K1216" s="22">
        <f t="shared" si="3"/>
        <v>1</v>
      </c>
      <c r="L1216" s="4">
        <f t="shared" si="4"/>
        <v>1</v>
      </c>
    </row>
    <row r="1217">
      <c r="A1217" s="23">
        <v>44127.0</v>
      </c>
      <c r="B1217" s="24" t="str">
        <f t="array" ref="B1217">xlookup($A1217,product!$A:$A,product!B:B)</f>
        <v>Epicerie salée</v>
      </c>
      <c r="C1217" s="24" t="str">
        <f t="array" ref="C1217">xlookup($A1217,product!$A:$A,product!C:C)</f>
        <v>Pâtes bio</v>
      </c>
      <c r="D1217" s="24" t="str">
        <f t="array" ref="D1217">xlookup($A1217,product!$A:$A,product!D:D)</f>
        <v>Pâtes demi complètes</v>
      </c>
      <c r="E1217" s="25" t="str">
        <f t="shared" si="1"/>
        <v>44127-Pâtes bio-Pâtes demi complètes</v>
      </c>
      <c r="F1217" s="25">
        <v>0.0</v>
      </c>
      <c r="G1217" s="25">
        <v>652.0</v>
      </c>
      <c r="H1217" s="25">
        <v>150.0</v>
      </c>
      <c r="I1217" s="26">
        <f t="array" ref="I1217">XLOOKUP($A1217,product!A:A,product!E:E)</f>
        <v>1.27</v>
      </c>
      <c r="J1217" s="25">
        <f t="shared" si="2"/>
        <v>190.5</v>
      </c>
      <c r="K1217" s="27">
        <f t="shared" si="3"/>
        <v>1</v>
      </c>
      <c r="L1217" s="25">
        <f t="shared" si="4"/>
        <v>1</v>
      </c>
    </row>
    <row r="1218">
      <c r="A1218" s="19">
        <v>122348.0</v>
      </c>
      <c r="B1218" s="20" t="str">
        <f t="array" ref="B1218">xlookup($A1218,product!$A:$A,product!B:B)</f>
        <v>Epicerie salée</v>
      </c>
      <c r="C1218" s="20" t="str">
        <f t="array" ref="C1218">xlookup($A1218,product!$A:$A,product!C:C)</f>
        <v>Pâtes bio</v>
      </c>
      <c r="D1218" s="20" t="str">
        <f t="array" ref="D1218">xlookup($A1218,product!$A:$A,product!D:D)</f>
        <v>Pâtes demi complètes</v>
      </c>
      <c r="E1218" s="4" t="str">
        <f t="shared" si="1"/>
        <v>122348-Pâtes bio-Pâtes demi complètes</v>
      </c>
      <c r="F1218" s="4">
        <v>1.0</v>
      </c>
      <c r="G1218" s="4">
        <v>309.0</v>
      </c>
      <c r="H1218" s="4">
        <v>161.0</v>
      </c>
      <c r="I1218" s="21">
        <f t="array" ref="I1218">XLOOKUP($A1218,product!A:A,product!E:E)</f>
        <v>0.85</v>
      </c>
      <c r="J1218" s="4">
        <f t="shared" si="2"/>
        <v>136.85</v>
      </c>
      <c r="K1218" s="22">
        <f t="shared" si="3"/>
        <v>1</v>
      </c>
      <c r="L1218" s="4">
        <f t="shared" si="4"/>
        <v>1</v>
      </c>
    </row>
    <row r="1219">
      <c r="A1219" s="23">
        <v>147304.0</v>
      </c>
      <c r="B1219" s="24" t="str">
        <f t="array" ref="B1219">xlookup($A1219,product!$A:$A,product!B:B)</f>
        <v>Epicerie salée</v>
      </c>
      <c r="C1219" s="24" t="str">
        <f t="array" ref="C1219">xlookup($A1219,product!$A:$A,product!C:C)</f>
        <v>Pâtes bio</v>
      </c>
      <c r="D1219" s="24" t="str">
        <f t="array" ref="D1219">xlookup($A1219,product!$A:$A,product!D:D)</f>
        <v>Pâtes demi complètes</v>
      </c>
      <c r="E1219" s="25" t="str">
        <f t="shared" si="1"/>
        <v>147304-Pâtes bio-Pâtes demi complètes</v>
      </c>
      <c r="F1219" s="25">
        <v>0.0</v>
      </c>
      <c r="G1219" s="25">
        <v>944.0</v>
      </c>
      <c r="H1219" s="25">
        <v>812.0</v>
      </c>
      <c r="I1219" s="26">
        <f t="array" ref="I1219">XLOOKUP($A1219,product!A:A,product!E:E)</f>
        <v>0.94</v>
      </c>
      <c r="J1219" s="25">
        <f t="shared" si="2"/>
        <v>763.28</v>
      </c>
      <c r="K1219" s="27">
        <f t="shared" si="3"/>
        <v>1</v>
      </c>
      <c r="L1219" s="25">
        <f t="shared" si="4"/>
        <v>1</v>
      </c>
    </row>
    <row r="1220">
      <c r="A1220" s="19">
        <v>118310.0</v>
      </c>
      <c r="B1220" s="20" t="str">
        <f t="array" ref="B1220">xlookup($A1220,product!$A:$A,product!B:B)</f>
        <v>Epicerie salée</v>
      </c>
      <c r="C1220" s="20" t="str">
        <f t="array" ref="C1220">xlookup($A1220,product!$A:$A,product!C:C)</f>
        <v>Pâtes bio</v>
      </c>
      <c r="D1220" s="20" t="str">
        <f t="array" ref="D1220">xlookup($A1220,product!$A:$A,product!D:D)</f>
        <v>Pâtes demi complètes</v>
      </c>
      <c r="E1220" s="4" t="str">
        <f t="shared" si="1"/>
        <v>118310-Pâtes bio-Pâtes demi complètes</v>
      </c>
      <c r="F1220" s="4">
        <v>0.0</v>
      </c>
      <c r="G1220" s="4">
        <v>960.0</v>
      </c>
      <c r="H1220" s="4">
        <v>882.0</v>
      </c>
      <c r="I1220" s="21">
        <f t="array" ref="I1220">XLOOKUP($A1220,product!A:A,product!E:E)</f>
        <v>0.95</v>
      </c>
      <c r="J1220" s="4">
        <f t="shared" si="2"/>
        <v>837.9</v>
      </c>
      <c r="K1220" s="22">
        <f t="shared" si="3"/>
        <v>1</v>
      </c>
      <c r="L1220" s="4">
        <f t="shared" si="4"/>
        <v>1</v>
      </c>
    </row>
    <row r="1221">
      <c r="A1221" s="23">
        <v>77175.0</v>
      </c>
      <c r="B1221" s="24" t="str">
        <f t="array" ref="B1221">xlookup($A1221,product!$A:$A,product!B:B)</f>
        <v>Epicerie salée</v>
      </c>
      <c r="C1221" s="24" t="str">
        <f t="array" ref="C1221">xlookup($A1221,product!$A:$A,product!C:C)</f>
        <v>Pâtes bio</v>
      </c>
      <c r="D1221" s="24" t="str">
        <f t="array" ref="D1221">xlookup($A1221,product!$A:$A,product!D:D)</f>
        <v>Pâtes demi complètes</v>
      </c>
      <c r="E1221" s="25" t="str">
        <f t="shared" si="1"/>
        <v>77175-Pâtes bio-Pâtes demi complètes</v>
      </c>
      <c r="F1221" s="25">
        <v>1.0</v>
      </c>
      <c r="G1221" s="25">
        <v>797.0</v>
      </c>
      <c r="H1221" s="25">
        <v>313.0</v>
      </c>
      <c r="I1221" s="26">
        <f t="array" ref="I1221">XLOOKUP($A1221,product!A:A,product!E:E)</f>
        <v>0.82</v>
      </c>
      <c r="J1221" s="25">
        <f t="shared" si="2"/>
        <v>256.66</v>
      </c>
      <c r="K1221" s="27">
        <f t="shared" si="3"/>
        <v>1</v>
      </c>
      <c r="L1221" s="25">
        <f t="shared" si="4"/>
        <v>1</v>
      </c>
    </row>
    <row r="1222">
      <c r="A1222" s="19">
        <v>5645.0</v>
      </c>
      <c r="B1222" s="20" t="str">
        <f t="array" ref="B1222">xlookup($A1222,product!$A:$A,product!B:B)</f>
        <v>Epicerie salée</v>
      </c>
      <c r="C1222" s="20" t="str">
        <f t="array" ref="C1222">xlookup($A1222,product!$A:$A,product!C:C)</f>
        <v>Pâtes bio</v>
      </c>
      <c r="D1222" s="20" t="str">
        <f t="array" ref="D1222">xlookup($A1222,product!$A:$A,product!D:D)</f>
        <v>Pâtes demi complètes</v>
      </c>
      <c r="E1222" s="4" t="str">
        <f t="shared" si="1"/>
        <v>5645-Pâtes bio-Pâtes demi complètes</v>
      </c>
      <c r="F1222" s="4">
        <v>0.0</v>
      </c>
      <c r="G1222" s="4">
        <v>107.0</v>
      </c>
      <c r="H1222" s="4">
        <v>85.0</v>
      </c>
      <c r="I1222" s="21">
        <f t="array" ref="I1222">XLOOKUP($A1222,product!A:A,product!E:E)</f>
        <v>1.13</v>
      </c>
      <c r="J1222" s="4">
        <f t="shared" si="2"/>
        <v>96.05</v>
      </c>
      <c r="K1222" s="22">
        <f t="shared" si="3"/>
        <v>1</v>
      </c>
      <c r="L1222" s="4">
        <f t="shared" si="4"/>
        <v>1</v>
      </c>
    </row>
    <row r="1223">
      <c r="A1223" s="23">
        <v>76679.0</v>
      </c>
      <c r="B1223" s="24" t="str">
        <f t="array" ref="B1223">xlookup($A1223,product!$A:$A,product!B:B)</f>
        <v>Epicerie salée</v>
      </c>
      <c r="C1223" s="24" t="str">
        <f t="array" ref="C1223">xlookup($A1223,product!$A:$A,product!C:C)</f>
        <v>Pâtes bio</v>
      </c>
      <c r="D1223" s="24" t="str">
        <f t="array" ref="D1223">xlookup($A1223,product!$A:$A,product!D:D)</f>
        <v>Pâtes demi complètes</v>
      </c>
      <c r="E1223" s="25" t="str">
        <f t="shared" si="1"/>
        <v>76679-Pâtes bio-Pâtes demi complètes</v>
      </c>
      <c r="F1223" s="25">
        <v>1.0</v>
      </c>
      <c r="G1223" s="25">
        <v>829.0</v>
      </c>
      <c r="H1223" s="25">
        <v>287.0</v>
      </c>
      <c r="I1223" s="26">
        <f t="array" ref="I1223">XLOOKUP($A1223,product!A:A,product!E:E)</f>
        <v>1.01</v>
      </c>
      <c r="J1223" s="25">
        <f t="shared" si="2"/>
        <v>289.87</v>
      </c>
      <c r="K1223" s="27">
        <f t="shared" si="3"/>
        <v>1</v>
      </c>
      <c r="L1223" s="25">
        <f t="shared" si="4"/>
        <v>1</v>
      </c>
    </row>
    <row r="1224">
      <c r="A1224" s="19">
        <v>5635.0</v>
      </c>
      <c r="B1224" s="20" t="str">
        <f t="array" ref="B1224">xlookup($A1224,product!$A:$A,product!B:B)</f>
        <v>Epicerie salée</v>
      </c>
      <c r="C1224" s="20" t="str">
        <f t="array" ref="C1224">xlookup($A1224,product!$A:$A,product!C:C)</f>
        <v>Pâtes bio</v>
      </c>
      <c r="D1224" s="20" t="str">
        <f t="array" ref="D1224">xlookup($A1224,product!$A:$A,product!D:D)</f>
        <v>Pâtes demi complètes</v>
      </c>
      <c r="E1224" s="4" t="str">
        <f t="shared" si="1"/>
        <v>5635-Pâtes bio-Pâtes demi complètes</v>
      </c>
      <c r="F1224" s="4">
        <v>0.0</v>
      </c>
      <c r="G1224" s="4">
        <v>558.0</v>
      </c>
      <c r="H1224" s="4">
        <v>151.0</v>
      </c>
      <c r="I1224" s="21">
        <f t="array" ref="I1224">XLOOKUP($A1224,product!A:A,product!E:E)</f>
        <v>1.13</v>
      </c>
      <c r="J1224" s="4">
        <f t="shared" si="2"/>
        <v>170.63</v>
      </c>
      <c r="K1224" s="22">
        <f t="shared" si="3"/>
        <v>1</v>
      </c>
      <c r="L1224" s="4">
        <f t="shared" si="4"/>
        <v>1</v>
      </c>
    </row>
    <row r="1225">
      <c r="A1225" s="23">
        <v>110960.0</v>
      </c>
      <c r="B1225" s="24" t="str">
        <f t="array" ref="B1225">xlookup($A1225,product!$A:$A,product!B:B)</f>
        <v>Epicerie salée</v>
      </c>
      <c r="C1225" s="24" t="str">
        <f t="array" ref="C1225">xlookup($A1225,product!$A:$A,product!C:C)</f>
        <v>Pâtes bio</v>
      </c>
      <c r="D1225" s="24" t="str">
        <f t="array" ref="D1225">xlookup($A1225,product!$A:$A,product!D:D)</f>
        <v>Pâtes demi complètes</v>
      </c>
      <c r="E1225" s="25" t="str">
        <f t="shared" si="1"/>
        <v>110960-Pâtes bio-Pâtes demi complètes</v>
      </c>
      <c r="F1225" s="25">
        <v>1.0</v>
      </c>
      <c r="G1225" s="25">
        <v>670.0</v>
      </c>
      <c r="H1225" s="25">
        <v>241.0</v>
      </c>
      <c r="I1225" s="26">
        <f t="array" ref="I1225">XLOOKUP($A1225,product!A:A,product!E:E)</f>
        <v>0.98</v>
      </c>
      <c r="J1225" s="25">
        <f t="shared" si="2"/>
        <v>236.18</v>
      </c>
      <c r="K1225" s="27">
        <f t="shared" si="3"/>
        <v>1</v>
      </c>
      <c r="L1225" s="25">
        <f t="shared" si="4"/>
        <v>1</v>
      </c>
    </row>
    <row r="1226">
      <c r="A1226" s="19">
        <v>108290.0</v>
      </c>
      <c r="B1226" s="20" t="str">
        <f t="array" ref="B1226">xlookup($A1226,product!$A:$A,product!B:B)</f>
        <v>Epicerie salée</v>
      </c>
      <c r="C1226" s="20" t="str">
        <f t="array" ref="C1226">xlookup($A1226,product!$A:$A,product!C:C)</f>
        <v>Pâtes bio</v>
      </c>
      <c r="D1226" s="20" t="str">
        <f t="array" ref="D1226">xlookup($A1226,product!$A:$A,product!D:D)</f>
        <v>Pâtes demi complètes</v>
      </c>
      <c r="E1226" s="4" t="str">
        <f t="shared" si="1"/>
        <v>108290-Pâtes bio-Pâtes demi complètes</v>
      </c>
      <c r="F1226" s="4">
        <v>1.0</v>
      </c>
      <c r="G1226" s="4">
        <v>698.0</v>
      </c>
      <c r="H1226" s="4">
        <v>121.0</v>
      </c>
      <c r="I1226" s="21">
        <f t="array" ref="I1226">XLOOKUP($A1226,product!A:A,product!E:E)</f>
        <v>9.94</v>
      </c>
      <c r="J1226" s="4">
        <f t="shared" si="2"/>
        <v>1202.74</v>
      </c>
      <c r="K1226" s="22">
        <f t="shared" si="3"/>
        <v>1</v>
      </c>
      <c r="L1226" s="4">
        <f t="shared" si="4"/>
        <v>1</v>
      </c>
    </row>
    <row r="1227">
      <c r="A1227" s="23">
        <v>117680.0</v>
      </c>
      <c r="B1227" s="24" t="str">
        <f t="array" ref="B1227">xlookup($A1227,product!$A:$A,product!B:B)</f>
        <v>Epicerie salée</v>
      </c>
      <c r="C1227" s="24" t="str">
        <f t="array" ref="C1227">xlookup($A1227,product!$A:$A,product!C:C)</f>
        <v>Pâtes bio</v>
      </c>
      <c r="D1227" s="24" t="str">
        <f t="array" ref="D1227">xlookup($A1227,product!$A:$A,product!D:D)</f>
        <v>Pâtes demi complètes</v>
      </c>
      <c r="E1227" s="25" t="str">
        <f t="shared" si="1"/>
        <v>117680-Pâtes bio-Pâtes demi complètes</v>
      </c>
      <c r="F1227" s="25">
        <v>0.0</v>
      </c>
      <c r="G1227" s="25">
        <v>484.0</v>
      </c>
      <c r="H1227" s="25">
        <v>102.0</v>
      </c>
      <c r="I1227" s="26">
        <f t="array" ref="I1227">XLOOKUP($A1227,product!A:A,product!E:E)</f>
        <v>9.62</v>
      </c>
      <c r="J1227" s="25">
        <f t="shared" si="2"/>
        <v>981.24</v>
      </c>
      <c r="K1227" s="27">
        <f t="shared" si="3"/>
        <v>1</v>
      </c>
      <c r="L1227" s="25">
        <f t="shared" si="4"/>
        <v>1</v>
      </c>
    </row>
    <row r="1228">
      <c r="A1228" s="19">
        <v>77183.0</v>
      </c>
      <c r="B1228" s="20" t="str">
        <f t="array" ref="B1228">xlookup($A1228,product!$A:$A,product!B:B)</f>
        <v>Epicerie salée</v>
      </c>
      <c r="C1228" s="20" t="str">
        <f t="array" ref="C1228">xlookup($A1228,product!$A:$A,product!C:C)</f>
        <v>Pâtes bio</v>
      </c>
      <c r="D1228" s="20" t="str">
        <f t="array" ref="D1228">xlookup($A1228,product!$A:$A,product!D:D)</f>
        <v>Pâtes demi complètes</v>
      </c>
      <c r="E1228" s="4" t="str">
        <f t="shared" si="1"/>
        <v>77183-Pâtes bio-Pâtes demi complètes</v>
      </c>
      <c r="F1228" s="4">
        <v>1.0</v>
      </c>
      <c r="G1228" s="4">
        <v>98.0</v>
      </c>
      <c r="H1228" s="4">
        <v>92.0</v>
      </c>
      <c r="I1228" s="21">
        <f t="array" ref="I1228">XLOOKUP($A1228,product!A:A,product!E:E)</f>
        <v>0.8</v>
      </c>
      <c r="J1228" s="4">
        <f t="shared" si="2"/>
        <v>73.6</v>
      </c>
      <c r="K1228" s="22">
        <f t="shared" si="3"/>
        <v>1</v>
      </c>
      <c r="L1228" s="4">
        <f t="shared" si="4"/>
        <v>1</v>
      </c>
    </row>
    <row r="1229">
      <c r="A1229" s="23">
        <v>147322.0</v>
      </c>
      <c r="B1229" s="24" t="str">
        <f t="array" ref="B1229">xlookup($A1229,product!$A:$A,product!B:B)</f>
        <v>Epicerie salée</v>
      </c>
      <c r="C1229" s="24" t="str">
        <f t="array" ref="C1229">xlookup($A1229,product!$A:$A,product!C:C)</f>
        <v>Pâtes bio</v>
      </c>
      <c r="D1229" s="24" t="str">
        <f t="array" ref="D1229">xlookup($A1229,product!$A:$A,product!D:D)</f>
        <v>Pâtes demi complètes</v>
      </c>
      <c r="E1229" s="25" t="str">
        <f t="shared" si="1"/>
        <v>147322-Pâtes bio-Pâtes demi complètes</v>
      </c>
      <c r="F1229" s="25">
        <v>1.0</v>
      </c>
      <c r="G1229" s="25">
        <v>447.0</v>
      </c>
      <c r="H1229" s="25">
        <v>257.0</v>
      </c>
      <c r="I1229" s="26">
        <f t="array" ref="I1229">XLOOKUP($A1229,product!A:A,product!E:E)</f>
        <v>1.57</v>
      </c>
      <c r="J1229" s="25">
        <f t="shared" si="2"/>
        <v>403.49</v>
      </c>
      <c r="K1229" s="27">
        <f t="shared" si="3"/>
        <v>1</v>
      </c>
      <c r="L1229" s="25">
        <f t="shared" si="4"/>
        <v>1</v>
      </c>
    </row>
    <row r="1230">
      <c r="A1230" s="19">
        <v>44120.0</v>
      </c>
      <c r="B1230" s="20" t="str">
        <f t="array" ref="B1230">xlookup($A1230,product!$A:$A,product!B:B)</f>
        <v>Epicerie salée</v>
      </c>
      <c r="C1230" s="20" t="str">
        <f t="array" ref="C1230">xlookup($A1230,product!$A:$A,product!C:C)</f>
        <v>Pâtes bio</v>
      </c>
      <c r="D1230" s="20" t="str">
        <f t="array" ref="D1230">xlookup($A1230,product!$A:$A,product!D:D)</f>
        <v>Pâtes demi complètes</v>
      </c>
      <c r="E1230" s="4" t="str">
        <f t="shared" si="1"/>
        <v>44120-Pâtes bio-Pâtes demi complètes</v>
      </c>
      <c r="F1230" s="4">
        <v>1.0</v>
      </c>
      <c r="G1230" s="4">
        <v>611.0</v>
      </c>
      <c r="H1230" s="4">
        <v>100.0</v>
      </c>
      <c r="I1230" s="21">
        <f t="array" ref="I1230">XLOOKUP($A1230,product!A:A,product!E:E)</f>
        <v>1.02</v>
      </c>
      <c r="J1230" s="4">
        <f t="shared" si="2"/>
        <v>102</v>
      </c>
      <c r="K1230" s="22">
        <f t="shared" si="3"/>
        <v>1</v>
      </c>
      <c r="L1230" s="4">
        <f t="shared" si="4"/>
        <v>1</v>
      </c>
    </row>
    <row r="1231">
      <c r="A1231" s="23">
        <v>44115.0</v>
      </c>
      <c r="B1231" s="24" t="str">
        <f t="array" ref="B1231">xlookup($A1231,product!$A:$A,product!B:B)</f>
        <v>Epicerie salée</v>
      </c>
      <c r="C1231" s="24" t="str">
        <f t="array" ref="C1231">xlookup($A1231,product!$A:$A,product!C:C)</f>
        <v>Pâtes bio</v>
      </c>
      <c r="D1231" s="24" t="str">
        <f t="array" ref="D1231">xlookup($A1231,product!$A:$A,product!D:D)</f>
        <v>Pâtes demi complètes</v>
      </c>
      <c r="E1231" s="25" t="str">
        <f t="shared" si="1"/>
        <v>44115-Pâtes bio-Pâtes demi complètes</v>
      </c>
      <c r="F1231" s="25">
        <v>1.0</v>
      </c>
      <c r="G1231" s="25">
        <v>571.0</v>
      </c>
      <c r="H1231" s="25">
        <v>35.0</v>
      </c>
      <c r="I1231" s="26">
        <f t="array" ref="I1231">XLOOKUP($A1231,product!A:A,product!E:E)</f>
        <v>1</v>
      </c>
      <c r="J1231" s="25">
        <f t="shared" si="2"/>
        <v>35</v>
      </c>
      <c r="K1231" s="27">
        <f t="shared" si="3"/>
        <v>1</v>
      </c>
      <c r="L1231" s="25">
        <f t="shared" si="4"/>
        <v>1</v>
      </c>
    </row>
    <row r="1232">
      <c r="A1232" s="19">
        <v>44117.0</v>
      </c>
      <c r="B1232" s="20" t="str">
        <f t="array" ref="B1232">xlookup($A1232,product!$A:$A,product!B:B)</f>
        <v>Epicerie salée</v>
      </c>
      <c r="C1232" s="20" t="str">
        <f t="array" ref="C1232">xlookup($A1232,product!$A:$A,product!C:C)</f>
        <v>Pâtes bio</v>
      </c>
      <c r="D1232" s="20" t="str">
        <f t="array" ref="D1232">xlookup($A1232,product!$A:$A,product!D:D)</f>
        <v>Pâtes demi complètes</v>
      </c>
      <c r="E1232" s="4" t="str">
        <f t="shared" si="1"/>
        <v>44117-Pâtes bio-Pâtes demi complètes</v>
      </c>
      <c r="F1232" s="4">
        <v>1.0</v>
      </c>
      <c r="G1232" s="4">
        <v>463.0</v>
      </c>
      <c r="H1232" s="4">
        <v>418.0</v>
      </c>
      <c r="I1232" s="21">
        <f t="array" ref="I1232">XLOOKUP($A1232,product!A:A,product!E:E)</f>
        <v>1</v>
      </c>
      <c r="J1232" s="4">
        <f t="shared" si="2"/>
        <v>418</v>
      </c>
      <c r="K1232" s="22">
        <f t="shared" si="3"/>
        <v>1</v>
      </c>
      <c r="L1232" s="4">
        <f t="shared" si="4"/>
        <v>1</v>
      </c>
    </row>
    <row r="1233">
      <c r="A1233" s="23">
        <v>76670.0</v>
      </c>
      <c r="B1233" s="24" t="str">
        <f t="array" ref="B1233">xlookup($A1233,product!$A:$A,product!B:B)</f>
        <v>Epicerie salée</v>
      </c>
      <c r="C1233" s="24" t="str">
        <f t="array" ref="C1233">xlookup($A1233,product!$A:$A,product!C:C)</f>
        <v>Pâtes bio</v>
      </c>
      <c r="D1233" s="24" t="str">
        <f t="array" ref="D1233">xlookup($A1233,product!$A:$A,product!D:D)</f>
        <v>Pâtes demi complètes</v>
      </c>
      <c r="E1233" s="25" t="str">
        <f t="shared" si="1"/>
        <v>76670-Pâtes bio-Pâtes demi complètes</v>
      </c>
      <c r="F1233" s="25">
        <v>1.0</v>
      </c>
      <c r="G1233" s="25">
        <v>798.0</v>
      </c>
      <c r="H1233" s="25">
        <v>429.0</v>
      </c>
      <c r="I1233" s="26">
        <f t="array" ref="I1233">XLOOKUP($A1233,product!A:A,product!E:E)</f>
        <v>0.82</v>
      </c>
      <c r="J1233" s="25">
        <f t="shared" si="2"/>
        <v>351.78</v>
      </c>
      <c r="K1233" s="27">
        <f t="shared" si="3"/>
        <v>1</v>
      </c>
      <c r="L1233" s="25">
        <f t="shared" si="4"/>
        <v>1</v>
      </c>
    </row>
    <row r="1234">
      <c r="A1234" s="19">
        <v>122347.0</v>
      </c>
      <c r="B1234" s="20" t="str">
        <f t="array" ref="B1234">xlookup($A1234,product!$A:$A,product!B:B)</f>
        <v>Epicerie salée</v>
      </c>
      <c r="C1234" s="20" t="str">
        <f t="array" ref="C1234">xlookup($A1234,product!$A:$A,product!C:C)</f>
        <v>Pâtes bio</v>
      </c>
      <c r="D1234" s="20" t="str">
        <f t="array" ref="D1234">xlookup($A1234,product!$A:$A,product!D:D)</f>
        <v>Pâtes demi complètes</v>
      </c>
      <c r="E1234" s="4" t="str">
        <f t="shared" si="1"/>
        <v>122347-Pâtes bio-Pâtes demi complètes</v>
      </c>
      <c r="F1234" s="4">
        <v>1.0</v>
      </c>
      <c r="G1234" s="4">
        <v>587.0</v>
      </c>
      <c r="H1234" s="4">
        <v>172.0</v>
      </c>
      <c r="I1234" s="21">
        <f t="array" ref="I1234">XLOOKUP($A1234,product!A:A,product!E:E)</f>
        <v>0.85</v>
      </c>
      <c r="J1234" s="4">
        <f t="shared" si="2"/>
        <v>146.2</v>
      </c>
      <c r="K1234" s="22">
        <f t="shared" si="3"/>
        <v>1</v>
      </c>
      <c r="L1234" s="4">
        <f t="shared" si="4"/>
        <v>1</v>
      </c>
    </row>
    <row r="1235">
      <c r="A1235" s="23">
        <v>112462.0</v>
      </c>
      <c r="B1235" s="24" t="str">
        <f t="array" ref="B1235">xlookup($A1235,product!$A:$A,product!B:B)</f>
        <v>Epicerie salée</v>
      </c>
      <c r="C1235" s="24" t="str">
        <f t="array" ref="C1235">xlookup($A1235,product!$A:$A,product!C:C)</f>
        <v>Pâtes bio</v>
      </c>
      <c r="D1235" s="24" t="str">
        <f t="array" ref="D1235">xlookup($A1235,product!$A:$A,product!D:D)</f>
        <v>Pâtes demi complètes</v>
      </c>
      <c r="E1235" s="25" t="str">
        <f t="shared" si="1"/>
        <v>112462-Pâtes bio-Pâtes demi complètes</v>
      </c>
      <c r="F1235" s="25">
        <v>1.0</v>
      </c>
      <c r="G1235" s="25">
        <v>74.0</v>
      </c>
      <c r="H1235" s="25">
        <v>68.0</v>
      </c>
      <c r="I1235" s="26">
        <f t="array" ref="I1235">XLOOKUP($A1235,product!A:A,product!E:E)</f>
        <v>0.98</v>
      </c>
      <c r="J1235" s="25">
        <f t="shared" si="2"/>
        <v>66.64</v>
      </c>
      <c r="K1235" s="27">
        <f t="shared" si="3"/>
        <v>1</v>
      </c>
      <c r="L1235" s="25">
        <f t="shared" si="4"/>
        <v>1</v>
      </c>
    </row>
    <row r="1236">
      <c r="A1236" s="19">
        <v>5636.0</v>
      </c>
      <c r="B1236" s="20" t="str">
        <f t="array" ref="B1236">xlookup($A1236,product!$A:$A,product!B:B)</f>
        <v>Epicerie salée</v>
      </c>
      <c r="C1236" s="20" t="str">
        <f t="array" ref="C1236">xlookup($A1236,product!$A:$A,product!C:C)</f>
        <v>Pâtes bio</v>
      </c>
      <c r="D1236" s="20" t="str">
        <f t="array" ref="D1236">xlookup($A1236,product!$A:$A,product!D:D)</f>
        <v>Pâtes demi complètes</v>
      </c>
      <c r="E1236" s="4" t="str">
        <f t="shared" si="1"/>
        <v>5636-Pâtes bio-Pâtes demi complètes</v>
      </c>
      <c r="F1236" s="4">
        <v>1.0</v>
      </c>
      <c r="G1236" s="4">
        <v>32.0</v>
      </c>
      <c r="H1236" s="4">
        <v>3.0</v>
      </c>
      <c r="I1236" s="21">
        <f t="array" ref="I1236">XLOOKUP($A1236,product!A:A,product!E:E)</f>
        <v>1.13</v>
      </c>
      <c r="J1236" s="4">
        <f t="shared" si="2"/>
        <v>3.39</v>
      </c>
      <c r="K1236" s="22">
        <f t="shared" si="3"/>
        <v>1</v>
      </c>
      <c r="L1236" s="4">
        <f t="shared" si="4"/>
        <v>1</v>
      </c>
    </row>
    <row r="1237">
      <c r="A1237" s="23">
        <v>112464.0</v>
      </c>
      <c r="B1237" s="24" t="str">
        <f t="array" ref="B1237">xlookup($A1237,product!$A:$A,product!B:B)</f>
        <v>Epicerie salée</v>
      </c>
      <c r="C1237" s="24" t="str">
        <f t="array" ref="C1237">xlookup($A1237,product!$A:$A,product!C:C)</f>
        <v>Pâtes bio</v>
      </c>
      <c r="D1237" s="24" t="str">
        <f t="array" ref="D1237">xlookup($A1237,product!$A:$A,product!D:D)</f>
        <v>Pâtes demi complètes</v>
      </c>
      <c r="E1237" s="25" t="str">
        <f t="shared" si="1"/>
        <v>112464-Pâtes bio-Pâtes demi complètes</v>
      </c>
      <c r="F1237" s="25">
        <v>1.0</v>
      </c>
      <c r="G1237" s="25">
        <v>697.0</v>
      </c>
      <c r="H1237" s="25">
        <v>630.0</v>
      </c>
      <c r="I1237" s="26">
        <f t="array" ref="I1237">XLOOKUP($A1237,product!A:A,product!E:E)</f>
        <v>0.98</v>
      </c>
      <c r="J1237" s="25">
        <f t="shared" si="2"/>
        <v>617.4</v>
      </c>
      <c r="K1237" s="27">
        <f t="shared" si="3"/>
        <v>1</v>
      </c>
      <c r="L1237" s="25">
        <f t="shared" si="4"/>
        <v>1</v>
      </c>
    </row>
    <row r="1238">
      <c r="A1238" s="19">
        <v>5639.0</v>
      </c>
      <c r="B1238" s="20" t="str">
        <f t="array" ref="B1238">xlookup($A1238,product!$A:$A,product!B:B)</f>
        <v>Epicerie salée</v>
      </c>
      <c r="C1238" s="20" t="str">
        <f t="array" ref="C1238">xlookup($A1238,product!$A:$A,product!C:C)</f>
        <v>Pâtes bio</v>
      </c>
      <c r="D1238" s="20" t="str">
        <f t="array" ref="D1238">xlookup($A1238,product!$A:$A,product!D:D)</f>
        <v>Pâtes demi complètes</v>
      </c>
      <c r="E1238" s="4" t="str">
        <f t="shared" si="1"/>
        <v>5639-Pâtes bio-Pâtes demi complètes</v>
      </c>
      <c r="F1238" s="4">
        <v>0.0</v>
      </c>
      <c r="G1238" s="4">
        <v>692.0</v>
      </c>
      <c r="H1238" s="4">
        <v>381.0</v>
      </c>
      <c r="I1238" s="21">
        <f t="array" ref="I1238">XLOOKUP($A1238,product!A:A,product!E:E)</f>
        <v>0.92</v>
      </c>
      <c r="J1238" s="4">
        <f t="shared" si="2"/>
        <v>350.52</v>
      </c>
      <c r="K1238" s="22">
        <f t="shared" si="3"/>
        <v>1</v>
      </c>
      <c r="L1238" s="4">
        <f t="shared" si="4"/>
        <v>1</v>
      </c>
    </row>
    <row r="1239">
      <c r="A1239" s="23">
        <v>44147.0</v>
      </c>
      <c r="B1239" s="24" t="str">
        <f t="array" ref="B1239">xlookup($A1239,product!$A:$A,product!B:B)</f>
        <v>Epicerie salée</v>
      </c>
      <c r="C1239" s="24" t="str">
        <f t="array" ref="C1239">xlookup($A1239,product!$A:$A,product!C:C)</f>
        <v>Pâtes bio</v>
      </c>
      <c r="D1239" s="24" t="str">
        <f t="array" ref="D1239">xlookup($A1239,product!$A:$A,product!D:D)</f>
        <v>Pâtes demi complètes</v>
      </c>
      <c r="E1239" s="25" t="str">
        <f t="shared" si="1"/>
        <v>44147-Pâtes bio-Pâtes demi complètes</v>
      </c>
      <c r="F1239" s="25">
        <v>0.0</v>
      </c>
      <c r="G1239" s="25">
        <v>103.0</v>
      </c>
      <c r="H1239" s="25">
        <v>6.0</v>
      </c>
      <c r="I1239" s="26">
        <f t="array" ref="I1239">XLOOKUP($A1239,product!A:A,product!E:E)</f>
        <v>1.23</v>
      </c>
      <c r="J1239" s="25">
        <f t="shared" si="2"/>
        <v>7.38</v>
      </c>
      <c r="K1239" s="27">
        <f t="shared" si="3"/>
        <v>1</v>
      </c>
      <c r="L1239" s="25">
        <f t="shared" si="4"/>
        <v>1</v>
      </c>
    </row>
    <row r="1240">
      <c r="A1240" s="19">
        <v>5638.0</v>
      </c>
      <c r="B1240" s="20" t="str">
        <f t="array" ref="B1240">xlookup($A1240,product!$A:$A,product!B:B)</f>
        <v>Epicerie salée</v>
      </c>
      <c r="C1240" s="20" t="str">
        <f t="array" ref="C1240">xlookup($A1240,product!$A:$A,product!C:C)</f>
        <v>Pâtes bio</v>
      </c>
      <c r="D1240" s="20" t="str">
        <f t="array" ref="D1240">xlookup($A1240,product!$A:$A,product!D:D)</f>
        <v>Pâtes demi complètes</v>
      </c>
      <c r="E1240" s="4" t="str">
        <f t="shared" si="1"/>
        <v>5638-Pâtes bio-Pâtes demi complètes</v>
      </c>
      <c r="F1240" s="4">
        <v>1.0</v>
      </c>
      <c r="G1240" s="4">
        <v>172.0</v>
      </c>
      <c r="H1240" s="4">
        <v>113.0</v>
      </c>
      <c r="I1240" s="21">
        <f t="array" ref="I1240">XLOOKUP($A1240,product!A:A,product!E:E)</f>
        <v>0.95</v>
      </c>
      <c r="J1240" s="4">
        <f t="shared" si="2"/>
        <v>107.35</v>
      </c>
      <c r="K1240" s="22">
        <f t="shared" si="3"/>
        <v>1</v>
      </c>
      <c r="L1240" s="4">
        <f t="shared" si="4"/>
        <v>1</v>
      </c>
    </row>
    <row r="1241">
      <c r="A1241" s="23">
        <v>103074.0</v>
      </c>
      <c r="B1241" s="24" t="str">
        <f t="array" ref="B1241">xlookup($A1241,product!$A:$A,product!B:B)</f>
        <v>Epicerie salée</v>
      </c>
      <c r="C1241" s="24" t="str">
        <f t="array" ref="C1241">xlookup($A1241,product!$A:$A,product!C:C)</f>
        <v>Pâtes bio</v>
      </c>
      <c r="D1241" s="24" t="str">
        <f t="array" ref="D1241">xlookup($A1241,product!$A:$A,product!D:D)</f>
        <v>Pâtes demi complètes</v>
      </c>
      <c r="E1241" s="25" t="str">
        <f t="shared" si="1"/>
        <v>103074-Pâtes bio-Pâtes demi complètes</v>
      </c>
      <c r="F1241" s="25">
        <v>1.0</v>
      </c>
      <c r="G1241" s="25">
        <v>620.0</v>
      </c>
      <c r="H1241" s="25">
        <v>304.0</v>
      </c>
      <c r="I1241" s="26">
        <f t="array" ref="I1241">XLOOKUP($A1241,product!A:A,product!E:E)</f>
        <v>1.23</v>
      </c>
      <c r="J1241" s="25">
        <f t="shared" si="2"/>
        <v>373.92</v>
      </c>
      <c r="K1241" s="27">
        <f t="shared" si="3"/>
        <v>1</v>
      </c>
      <c r="L1241" s="25">
        <f t="shared" si="4"/>
        <v>1</v>
      </c>
    </row>
    <row r="1242">
      <c r="A1242" s="19">
        <v>45913.0</v>
      </c>
      <c r="B1242" s="20" t="str">
        <f t="array" ref="B1242">xlookup($A1242,product!$A:$A,product!B:B)</f>
        <v>Epicerie salée</v>
      </c>
      <c r="C1242" s="20" t="str">
        <f t="array" ref="C1242">xlookup($A1242,product!$A:$A,product!C:C)</f>
        <v>Pâtes bio</v>
      </c>
      <c r="D1242" s="20" t="str">
        <f t="array" ref="D1242">xlookup($A1242,product!$A:$A,product!D:D)</f>
        <v>Nouilles asiatiques, shirataki</v>
      </c>
      <c r="E1242" s="4" t="str">
        <f t="shared" si="1"/>
        <v>45913-Pâtes bio-Nouilles asiatiques, shirataki</v>
      </c>
      <c r="F1242" s="4">
        <v>1.0</v>
      </c>
      <c r="G1242" s="4">
        <v>408.0</v>
      </c>
      <c r="H1242" s="4">
        <v>133.0</v>
      </c>
      <c r="I1242" s="21">
        <f t="array" ref="I1242">XLOOKUP($A1242,product!A:A,product!E:E)</f>
        <v>3.32</v>
      </c>
      <c r="J1242" s="4">
        <f t="shared" si="2"/>
        <v>441.56</v>
      </c>
      <c r="K1242" s="22">
        <f t="shared" si="3"/>
        <v>1</v>
      </c>
      <c r="L1242" s="4">
        <f t="shared" si="4"/>
        <v>1</v>
      </c>
    </row>
    <row r="1243">
      <c r="A1243" s="23">
        <v>120044.0</v>
      </c>
      <c r="B1243" s="24" t="str">
        <f t="array" ref="B1243">xlookup($A1243,product!$A:$A,product!B:B)</f>
        <v>Epicerie salée</v>
      </c>
      <c r="C1243" s="24" t="str">
        <f t="array" ref="C1243">xlookup($A1243,product!$A:$A,product!C:C)</f>
        <v>Pâtes bio</v>
      </c>
      <c r="D1243" s="24" t="str">
        <f t="array" ref="D1243">xlookup($A1243,product!$A:$A,product!D:D)</f>
        <v>Nouilles asiatiques, shirataki</v>
      </c>
      <c r="E1243" s="25" t="str">
        <f t="shared" si="1"/>
        <v>120044-Pâtes bio-Nouilles asiatiques, shirataki</v>
      </c>
      <c r="F1243" s="25">
        <v>0.0</v>
      </c>
      <c r="G1243" s="25">
        <v>831.0</v>
      </c>
      <c r="H1243" s="25">
        <v>329.0</v>
      </c>
      <c r="I1243" s="26">
        <f t="array" ref="I1243">XLOOKUP($A1243,product!A:A,product!E:E)</f>
        <v>1.97</v>
      </c>
      <c r="J1243" s="25">
        <f t="shared" si="2"/>
        <v>648.13</v>
      </c>
      <c r="K1243" s="27">
        <f t="shared" si="3"/>
        <v>1</v>
      </c>
      <c r="L1243" s="25">
        <f t="shared" si="4"/>
        <v>1</v>
      </c>
    </row>
    <row r="1244">
      <c r="A1244" s="19">
        <v>90973.0</v>
      </c>
      <c r="B1244" s="20" t="str">
        <f t="array" ref="B1244">xlookup($A1244,product!$A:$A,product!B:B)</f>
        <v>Epicerie salée</v>
      </c>
      <c r="C1244" s="20" t="str">
        <f t="array" ref="C1244">xlookup($A1244,product!$A:$A,product!C:C)</f>
        <v>Pâtes bio</v>
      </c>
      <c r="D1244" s="20" t="str">
        <f t="array" ref="D1244">xlookup($A1244,product!$A:$A,product!D:D)</f>
        <v>Nouilles asiatiques, shirataki</v>
      </c>
      <c r="E1244" s="4" t="str">
        <f t="shared" si="1"/>
        <v>90973-Pâtes bio-Nouilles asiatiques, shirataki</v>
      </c>
      <c r="F1244" s="4">
        <v>1.0</v>
      </c>
      <c r="G1244" s="4">
        <v>806.0</v>
      </c>
      <c r="H1244" s="4">
        <v>749.0</v>
      </c>
      <c r="I1244" s="21">
        <f t="array" ref="I1244">XLOOKUP($A1244,product!A:A,product!E:E)</f>
        <v>1.96</v>
      </c>
      <c r="J1244" s="4">
        <f t="shared" si="2"/>
        <v>1468.04</v>
      </c>
      <c r="K1244" s="22">
        <f t="shared" si="3"/>
        <v>1</v>
      </c>
      <c r="L1244" s="4">
        <f t="shared" si="4"/>
        <v>1</v>
      </c>
    </row>
    <row r="1245">
      <c r="A1245" s="23">
        <v>103830.0</v>
      </c>
      <c r="B1245" s="24" t="str">
        <f t="array" ref="B1245">xlookup($A1245,product!$A:$A,product!B:B)</f>
        <v>Epicerie salée</v>
      </c>
      <c r="C1245" s="24" t="str">
        <f t="array" ref="C1245">xlookup($A1245,product!$A:$A,product!C:C)</f>
        <v>Pâtes bio</v>
      </c>
      <c r="D1245" s="24" t="str">
        <f t="array" ref="D1245">xlookup($A1245,product!$A:$A,product!D:D)</f>
        <v>Nouilles asiatiques, shirataki</v>
      </c>
      <c r="E1245" s="25" t="str">
        <f t="shared" si="1"/>
        <v>103830-Pâtes bio-Nouilles asiatiques, shirataki</v>
      </c>
      <c r="F1245" s="25">
        <v>0.0</v>
      </c>
      <c r="G1245" s="25">
        <v>724.0</v>
      </c>
      <c r="H1245" s="25">
        <v>319.0</v>
      </c>
      <c r="I1245" s="26">
        <f t="array" ref="I1245">XLOOKUP($A1245,product!A:A,product!E:E)</f>
        <v>2.25</v>
      </c>
      <c r="J1245" s="25">
        <f t="shared" si="2"/>
        <v>717.75</v>
      </c>
      <c r="K1245" s="27">
        <f t="shared" si="3"/>
        <v>1</v>
      </c>
      <c r="L1245" s="25">
        <f t="shared" si="4"/>
        <v>1</v>
      </c>
    </row>
    <row r="1246">
      <c r="A1246" s="19">
        <v>111765.0</v>
      </c>
      <c r="B1246" s="20" t="str">
        <f t="array" ref="B1246">xlookup($A1246,product!$A:$A,product!B:B)</f>
        <v>Epicerie salée</v>
      </c>
      <c r="C1246" s="20" t="str">
        <f t="array" ref="C1246">xlookup($A1246,product!$A:$A,product!C:C)</f>
        <v>Pâtes bio</v>
      </c>
      <c r="D1246" s="20" t="str">
        <f t="array" ref="D1246">xlookup($A1246,product!$A:$A,product!D:D)</f>
        <v>Nouilles asiatiques, shirataki</v>
      </c>
      <c r="E1246" s="4" t="str">
        <f t="shared" si="1"/>
        <v>111765-Pâtes bio-Nouilles asiatiques, shirataki</v>
      </c>
      <c r="F1246" s="4">
        <v>0.0</v>
      </c>
      <c r="G1246" s="4">
        <v>882.0</v>
      </c>
      <c r="H1246" s="4">
        <v>600.0</v>
      </c>
      <c r="I1246" s="21">
        <f t="array" ref="I1246">XLOOKUP($A1246,product!A:A,product!E:E)</f>
        <v>1.18</v>
      </c>
      <c r="J1246" s="4">
        <f t="shared" si="2"/>
        <v>708</v>
      </c>
      <c r="K1246" s="22">
        <f t="shared" si="3"/>
        <v>1</v>
      </c>
      <c r="L1246" s="4">
        <f t="shared" si="4"/>
        <v>1</v>
      </c>
    </row>
    <row r="1247">
      <c r="A1247" s="23">
        <v>45952.0</v>
      </c>
      <c r="B1247" s="24" t="str">
        <f t="array" ref="B1247">xlookup($A1247,product!$A:$A,product!B:B)</f>
        <v>Epicerie salée</v>
      </c>
      <c r="C1247" s="24" t="str">
        <f t="array" ref="C1247">xlookup($A1247,product!$A:$A,product!C:C)</f>
        <v>Pâtes bio</v>
      </c>
      <c r="D1247" s="24" t="str">
        <f t="array" ref="D1247">xlookup($A1247,product!$A:$A,product!D:D)</f>
        <v>Nouilles asiatiques, shirataki</v>
      </c>
      <c r="E1247" s="25" t="str">
        <f t="shared" si="1"/>
        <v>45952-Pâtes bio-Nouilles asiatiques, shirataki</v>
      </c>
      <c r="F1247" s="25">
        <v>1.0</v>
      </c>
      <c r="G1247" s="25">
        <v>371.0</v>
      </c>
      <c r="H1247" s="25">
        <v>88.0</v>
      </c>
      <c r="I1247" s="26">
        <f t="array" ref="I1247">XLOOKUP($A1247,product!A:A,product!E:E)</f>
        <v>3.3</v>
      </c>
      <c r="J1247" s="25">
        <f t="shared" si="2"/>
        <v>290.4</v>
      </c>
      <c r="K1247" s="27">
        <f t="shared" si="3"/>
        <v>1</v>
      </c>
      <c r="L1247" s="25">
        <f t="shared" si="4"/>
        <v>1</v>
      </c>
    </row>
    <row r="1248">
      <c r="A1248" s="19">
        <v>91749.0</v>
      </c>
      <c r="B1248" s="20" t="str">
        <f t="array" ref="B1248">xlookup($A1248,product!$A:$A,product!B:B)</f>
        <v>Epicerie salée</v>
      </c>
      <c r="C1248" s="20" t="str">
        <f t="array" ref="C1248">xlookup($A1248,product!$A:$A,product!C:C)</f>
        <v>Pâtes bio</v>
      </c>
      <c r="D1248" s="20" t="str">
        <f t="array" ref="D1248">xlookup($A1248,product!$A:$A,product!D:D)</f>
        <v>Nouilles asiatiques, shirataki</v>
      </c>
      <c r="E1248" s="4" t="str">
        <f t="shared" si="1"/>
        <v>91749-Pâtes bio-Nouilles asiatiques, shirataki</v>
      </c>
      <c r="F1248" s="4">
        <v>0.0</v>
      </c>
      <c r="G1248" s="4">
        <v>211.0</v>
      </c>
      <c r="H1248" s="4">
        <v>80.0</v>
      </c>
      <c r="I1248" s="21">
        <f t="array" ref="I1248">XLOOKUP($A1248,product!A:A,product!E:E)</f>
        <v>3.31</v>
      </c>
      <c r="J1248" s="4">
        <f t="shared" si="2"/>
        <v>264.8</v>
      </c>
      <c r="K1248" s="22">
        <f t="shared" si="3"/>
        <v>1</v>
      </c>
      <c r="L1248" s="4">
        <f t="shared" si="4"/>
        <v>1</v>
      </c>
    </row>
    <row r="1249">
      <c r="A1249" s="23">
        <v>120040.0</v>
      </c>
      <c r="B1249" s="24" t="str">
        <f t="array" ref="B1249">xlookup($A1249,product!$A:$A,product!B:B)</f>
        <v>Epicerie salée</v>
      </c>
      <c r="C1249" s="24" t="str">
        <f t="array" ref="C1249">xlookup($A1249,product!$A:$A,product!C:C)</f>
        <v>Pâtes bio</v>
      </c>
      <c r="D1249" s="24" t="str">
        <f t="array" ref="D1249">xlookup($A1249,product!$A:$A,product!D:D)</f>
        <v>Nouilles asiatiques, shirataki</v>
      </c>
      <c r="E1249" s="25" t="str">
        <f t="shared" si="1"/>
        <v>120040-Pâtes bio-Nouilles asiatiques, shirataki</v>
      </c>
      <c r="F1249" s="25">
        <v>0.0</v>
      </c>
      <c r="G1249" s="25">
        <v>434.0</v>
      </c>
      <c r="H1249" s="25">
        <v>65.0</v>
      </c>
      <c r="I1249" s="26">
        <f t="array" ref="I1249">XLOOKUP($A1249,product!A:A,product!E:E)</f>
        <v>2.85</v>
      </c>
      <c r="J1249" s="25">
        <f t="shared" si="2"/>
        <v>185.25</v>
      </c>
      <c r="K1249" s="27">
        <f t="shared" si="3"/>
        <v>1</v>
      </c>
      <c r="L1249" s="25">
        <f t="shared" si="4"/>
        <v>1</v>
      </c>
    </row>
    <row r="1250">
      <c r="A1250" s="19">
        <v>17143.0</v>
      </c>
      <c r="B1250" s="20" t="str">
        <f t="array" ref="B1250">xlookup($A1250,product!$A:$A,product!B:B)</f>
        <v>Epicerie salée</v>
      </c>
      <c r="C1250" s="20" t="str">
        <f t="array" ref="C1250">xlookup($A1250,product!$A:$A,product!C:C)</f>
        <v>Pâtes bio</v>
      </c>
      <c r="D1250" s="20" t="str">
        <f t="array" ref="D1250">xlookup($A1250,product!$A:$A,product!D:D)</f>
        <v>Nouilles asiatiques, shirataki</v>
      </c>
      <c r="E1250" s="4" t="str">
        <f t="shared" si="1"/>
        <v>17143-Pâtes bio-Nouilles asiatiques, shirataki</v>
      </c>
      <c r="F1250" s="4">
        <v>1.0</v>
      </c>
      <c r="G1250" s="4">
        <v>698.0</v>
      </c>
      <c r="H1250" s="4">
        <v>434.0</v>
      </c>
      <c r="I1250" s="21">
        <f t="array" ref="I1250">XLOOKUP($A1250,product!A:A,product!E:E)</f>
        <v>1.11</v>
      </c>
      <c r="J1250" s="4">
        <f t="shared" si="2"/>
        <v>481.74</v>
      </c>
      <c r="K1250" s="22">
        <f t="shared" si="3"/>
        <v>1</v>
      </c>
      <c r="L1250" s="4">
        <f t="shared" si="4"/>
        <v>1</v>
      </c>
    </row>
    <row r="1251">
      <c r="A1251" s="23">
        <v>120515.0</v>
      </c>
      <c r="B1251" s="24" t="str">
        <f t="array" ref="B1251">xlookup($A1251,product!$A:$A,product!B:B)</f>
        <v>Epicerie salée</v>
      </c>
      <c r="C1251" s="24" t="str">
        <f t="array" ref="C1251">xlookup($A1251,product!$A:$A,product!C:C)</f>
        <v>Pâtes bio</v>
      </c>
      <c r="D1251" s="24" t="str">
        <f t="array" ref="D1251">xlookup($A1251,product!$A:$A,product!D:D)</f>
        <v>Nouilles asiatiques, shirataki</v>
      </c>
      <c r="E1251" s="25" t="str">
        <f t="shared" si="1"/>
        <v>120515-Pâtes bio-Nouilles asiatiques, shirataki</v>
      </c>
      <c r="F1251" s="25">
        <v>1.0</v>
      </c>
      <c r="G1251" s="25">
        <v>236.0</v>
      </c>
      <c r="H1251" s="25">
        <v>98.0</v>
      </c>
      <c r="I1251" s="26">
        <f t="array" ref="I1251">XLOOKUP($A1251,product!A:A,product!E:E)</f>
        <v>1.91</v>
      </c>
      <c r="J1251" s="25">
        <f t="shared" si="2"/>
        <v>187.18</v>
      </c>
      <c r="K1251" s="27">
        <f t="shared" si="3"/>
        <v>1</v>
      </c>
      <c r="L1251" s="25">
        <f t="shared" si="4"/>
        <v>1</v>
      </c>
    </row>
    <row r="1252">
      <c r="A1252" s="19">
        <v>120045.0</v>
      </c>
      <c r="B1252" s="20" t="str">
        <f t="array" ref="B1252">xlookup($A1252,product!$A:$A,product!B:B)</f>
        <v>Epicerie salée</v>
      </c>
      <c r="C1252" s="20" t="str">
        <f t="array" ref="C1252">xlookup($A1252,product!$A:$A,product!C:C)</f>
        <v>Pâtes bio</v>
      </c>
      <c r="D1252" s="20" t="str">
        <f t="array" ref="D1252">xlookup($A1252,product!$A:$A,product!D:D)</f>
        <v>Nouilles asiatiques, shirataki</v>
      </c>
      <c r="E1252" s="4" t="str">
        <f t="shared" si="1"/>
        <v>120045-Pâtes bio-Nouilles asiatiques, shirataki</v>
      </c>
      <c r="F1252" s="4">
        <v>0.0</v>
      </c>
      <c r="G1252" s="4">
        <v>176.0</v>
      </c>
      <c r="H1252" s="4">
        <v>29.0</v>
      </c>
      <c r="I1252" s="21">
        <f t="array" ref="I1252">XLOOKUP($A1252,product!A:A,product!E:E)</f>
        <v>2.04</v>
      </c>
      <c r="J1252" s="4">
        <f t="shared" si="2"/>
        <v>59.16</v>
      </c>
      <c r="K1252" s="22">
        <f t="shared" si="3"/>
        <v>1</v>
      </c>
      <c r="L1252" s="4">
        <f t="shared" si="4"/>
        <v>1</v>
      </c>
    </row>
    <row r="1253">
      <c r="A1253" s="23">
        <v>122268.0</v>
      </c>
      <c r="B1253" s="24" t="str">
        <f t="array" ref="B1253">xlookup($A1253,product!$A:$A,product!B:B)</f>
        <v>Epicerie salée</v>
      </c>
      <c r="C1253" s="24" t="str">
        <f t="array" ref="C1253">xlookup($A1253,product!$A:$A,product!C:C)</f>
        <v>Pâtes bio</v>
      </c>
      <c r="D1253" s="24" t="str">
        <f t="array" ref="D1253">xlookup($A1253,product!$A:$A,product!D:D)</f>
        <v>Nouilles asiatiques, shirataki</v>
      </c>
      <c r="E1253" s="25" t="str">
        <f t="shared" si="1"/>
        <v>122268-Pâtes bio-Nouilles asiatiques, shirataki</v>
      </c>
      <c r="F1253" s="25">
        <v>1.0</v>
      </c>
      <c r="G1253" s="25">
        <v>558.0</v>
      </c>
      <c r="H1253" s="25">
        <v>60.0</v>
      </c>
      <c r="I1253" s="26">
        <f t="array" ref="I1253">XLOOKUP($A1253,product!A:A,product!E:E)</f>
        <v>1.99</v>
      </c>
      <c r="J1253" s="25">
        <f t="shared" si="2"/>
        <v>119.4</v>
      </c>
      <c r="K1253" s="27">
        <f t="shared" si="3"/>
        <v>1</v>
      </c>
      <c r="L1253" s="25">
        <f t="shared" si="4"/>
        <v>1</v>
      </c>
    </row>
    <row r="1254">
      <c r="A1254" s="19">
        <v>195737.0</v>
      </c>
      <c r="B1254" s="20" t="str">
        <f t="array" ref="B1254">xlookup($A1254,product!$A:$A,product!B:B)</f>
        <v>Epicerie salée</v>
      </c>
      <c r="C1254" s="20" t="str">
        <f t="array" ref="C1254">xlookup($A1254,product!$A:$A,product!C:C)</f>
        <v>Pâtes bio</v>
      </c>
      <c r="D1254" s="20" t="str">
        <f t="array" ref="D1254">xlookup($A1254,product!$A:$A,product!D:D)</f>
        <v>Nouilles asiatiques, shirataki</v>
      </c>
      <c r="E1254" s="4" t="str">
        <f t="shared" si="1"/>
        <v>195737-Pâtes bio-Nouilles asiatiques, shirataki</v>
      </c>
      <c r="F1254" s="4">
        <v>1.0</v>
      </c>
      <c r="G1254" s="4">
        <v>779.0</v>
      </c>
      <c r="H1254" s="4">
        <v>342.0</v>
      </c>
      <c r="I1254" s="21">
        <f t="array" ref="I1254">XLOOKUP($A1254,product!A:A,product!E:E)</f>
        <v>3.01</v>
      </c>
      <c r="J1254" s="4">
        <f t="shared" si="2"/>
        <v>1029.42</v>
      </c>
      <c r="K1254" s="22">
        <f t="shared" si="3"/>
        <v>1</v>
      </c>
      <c r="L1254" s="4">
        <f t="shared" si="4"/>
        <v>1</v>
      </c>
    </row>
    <row r="1255">
      <c r="A1255" s="23">
        <v>78759.0</v>
      </c>
      <c r="B1255" s="24" t="str">
        <f t="array" ref="B1255">xlookup($A1255,product!$A:$A,product!B:B)</f>
        <v>Epicerie salée</v>
      </c>
      <c r="C1255" s="24" t="str">
        <f t="array" ref="C1255">xlookup($A1255,product!$A:$A,product!C:C)</f>
        <v>Pâtes bio</v>
      </c>
      <c r="D1255" s="24" t="str">
        <f t="array" ref="D1255">xlookup($A1255,product!$A:$A,product!D:D)</f>
        <v>Nouilles asiatiques, shirataki</v>
      </c>
      <c r="E1255" s="25" t="str">
        <f t="shared" si="1"/>
        <v>78759-Pâtes bio-Nouilles asiatiques, shirataki</v>
      </c>
      <c r="F1255" s="25">
        <v>1.0</v>
      </c>
      <c r="G1255" s="25">
        <v>114.0</v>
      </c>
      <c r="H1255" s="25">
        <v>95.0</v>
      </c>
      <c r="I1255" s="26">
        <f t="array" ref="I1255">XLOOKUP($A1255,product!A:A,product!E:E)</f>
        <v>2.91</v>
      </c>
      <c r="J1255" s="25">
        <f t="shared" si="2"/>
        <v>276.45</v>
      </c>
      <c r="K1255" s="27">
        <f t="shared" si="3"/>
        <v>1</v>
      </c>
      <c r="L1255" s="25">
        <f t="shared" si="4"/>
        <v>1</v>
      </c>
    </row>
    <row r="1256">
      <c r="A1256" s="19">
        <v>8857.0</v>
      </c>
      <c r="B1256" s="20" t="str">
        <f t="array" ref="B1256">xlookup($A1256,product!$A:$A,product!B:B)</f>
        <v>Epicerie salée</v>
      </c>
      <c r="C1256" s="20" t="str">
        <f t="array" ref="C1256">xlookup($A1256,product!$A:$A,product!C:C)</f>
        <v>Pâtes bio</v>
      </c>
      <c r="D1256" s="20" t="str">
        <f t="array" ref="D1256">xlookup($A1256,product!$A:$A,product!D:D)</f>
        <v>Nouilles asiatiques, shirataki</v>
      </c>
      <c r="E1256" s="4" t="str">
        <f t="shared" si="1"/>
        <v>8857-Pâtes bio-Nouilles asiatiques, shirataki</v>
      </c>
      <c r="F1256" s="4">
        <v>0.0</v>
      </c>
      <c r="G1256" s="4">
        <v>906.0</v>
      </c>
      <c r="H1256" s="4">
        <v>355.0</v>
      </c>
      <c r="I1256" s="21">
        <f t="array" ref="I1256">XLOOKUP($A1256,product!A:A,product!E:E)</f>
        <v>2.45</v>
      </c>
      <c r="J1256" s="4">
        <f t="shared" si="2"/>
        <v>869.75</v>
      </c>
      <c r="K1256" s="22">
        <f t="shared" si="3"/>
        <v>1</v>
      </c>
      <c r="L1256" s="4">
        <f t="shared" si="4"/>
        <v>1</v>
      </c>
    </row>
    <row r="1257">
      <c r="A1257" s="23">
        <v>8860.0</v>
      </c>
      <c r="B1257" s="24" t="str">
        <f t="array" ref="B1257">xlookup($A1257,product!$A:$A,product!B:B)</f>
        <v>Epicerie salée</v>
      </c>
      <c r="C1257" s="24" t="str">
        <f t="array" ref="C1257">xlookup($A1257,product!$A:$A,product!C:C)</f>
        <v>Pâtes bio</v>
      </c>
      <c r="D1257" s="24" t="str">
        <f t="array" ref="D1257">xlookup($A1257,product!$A:$A,product!D:D)</f>
        <v>Nouilles asiatiques, shirataki</v>
      </c>
      <c r="E1257" s="25" t="str">
        <f t="shared" si="1"/>
        <v>8860-Pâtes bio-Nouilles asiatiques, shirataki</v>
      </c>
      <c r="F1257" s="25">
        <v>0.0</v>
      </c>
      <c r="G1257" s="25">
        <v>202.0</v>
      </c>
      <c r="H1257" s="25">
        <v>88.0</v>
      </c>
      <c r="I1257" s="26">
        <f t="array" ref="I1257">XLOOKUP($A1257,product!A:A,product!E:E)</f>
        <v>4.08</v>
      </c>
      <c r="J1257" s="25">
        <f t="shared" si="2"/>
        <v>359.04</v>
      </c>
      <c r="K1257" s="27">
        <f t="shared" si="3"/>
        <v>1</v>
      </c>
      <c r="L1257" s="25">
        <f t="shared" si="4"/>
        <v>1</v>
      </c>
    </row>
    <row r="1258">
      <c r="A1258" s="19">
        <v>182790.0</v>
      </c>
      <c r="B1258" s="20" t="str">
        <f t="array" ref="B1258">xlookup($A1258,product!$A:$A,product!B:B)</f>
        <v>Epicerie salée</v>
      </c>
      <c r="C1258" s="20" t="str">
        <f t="array" ref="C1258">xlookup($A1258,product!$A:$A,product!C:C)</f>
        <v>Pâtes bio</v>
      </c>
      <c r="D1258" s="20" t="str">
        <f t="array" ref="D1258">xlookup($A1258,product!$A:$A,product!D:D)</f>
        <v>Nouilles asiatiques, shirataki</v>
      </c>
      <c r="E1258" s="4" t="str">
        <f t="shared" si="1"/>
        <v>182790-Pâtes bio-Nouilles asiatiques, shirataki</v>
      </c>
      <c r="F1258" s="4">
        <v>0.0</v>
      </c>
      <c r="G1258" s="4">
        <v>80.0</v>
      </c>
      <c r="H1258" s="4">
        <v>70.0</v>
      </c>
      <c r="I1258" s="21">
        <f t="array" ref="I1258">XLOOKUP($A1258,product!A:A,product!E:E)</f>
        <v>2.12</v>
      </c>
      <c r="J1258" s="4">
        <f t="shared" si="2"/>
        <v>148.4</v>
      </c>
      <c r="K1258" s="22">
        <f t="shared" si="3"/>
        <v>1</v>
      </c>
      <c r="L1258" s="4">
        <f t="shared" si="4"/>
        <v>1</v>
      </c>
    </row>
    <row r="1259">
      <c r="A1259" s="23">
        <v>120042.0</v>
      </c>
      <c r="B1259" s="24" t="str">
        <f t="array" ref="B1259">xlookup($A1259,product!$A:$A,product!B:B)</f>
        <v>Epicerie salée</v>
      </c>
      <c r="C1259" s="24" t="str">
        <f t="array" ref="C1259">xlookup($A1259,product!$A:$A,product!C:C)</f>
        <v>Pâtes bio</v>
      </c>
      <c r="D1259" s="24" t="str">
        <f t="array" ref="D1259">xlookup($A1259,product!$A:$A,product!D:D)</f>
        <v>Nouilles asiatiques, shirataki</v>
      </c>
      <c r="E1259" s="25" t="str">
        <f t="shared" si="1"/>
        <v>120042-Pâtes bio-Nouilles asiatiques, shirataki</v>
      </c>
      <c r="F1259" s="25">
        <v>0.0</v>
      </c>
      <c r="G1259" s="25">
        <v>558.0</v>
      </c>
      <c r="H1259" s="25">
        <v>517.0</v>
      </c>
      <c r="I1259" s="26">
        <f t="array" ref="I1259">XLOOKUP($A1259,product!A:A,product!E:E)</f>
        <v>2.85</v>
      </c>
      <c r="J1259" s="25">
        <f t="shared" si="2"/>
        <v>1473.45</v>
      </c>
      <c r="K1259" s="27">
        <f t="shared" si="3"/>
        <v>1</v>
      </c>
      <c r="L1259" s="25">
        <f t="shared" si="4"/>
        <v>1</v>
      </c>
    </row>
    <row r="1260">
      <c r="A1260" s="19">
        <v>114941.0</v>
      </c>
      <c r="B1260" s="20" t="str">
        <f t="array" ref="B1260">xlookup($A1260,product!$A:$A,product!B:B)</f>
        <v>Epicerie salée</v>
      </c>
      <c r="C1260" s="20" t="str">
        <f t="array" ref="C1260">xlookup($A1260,product!$A:$A,product!C:C)</f>
        <v>Pâtes bio</v>
      </c>
      <c r="D1260" s="20" t="str">
        <f t="array" ref="D1260">xlookup($A1260,product!$A:$A,product!D:D)</f>
        <v>Nouilles asiatiques, shirataki</v>
      </c>
      <c r="E1260" s="4" t="str">
        <f t="shared" si="1"/>
        <v>114941-Pâtes bio-Nouilles asiatiques, shirataki</v>
      </c>
      <c r="F1260" s="4">
        <v>1.0</v>
      </c>
      <c r="G1260" s="4">
        <v>556.0</v>
      </c>
      <c r="H1260" s="4">
        <v>487.0</v>
      </c>
      <c r="I1260" s="21">
        <f t="array" ref="I1260">XLOOKUP($A1260,product!A:A,product!E:E)</f>
        <v>2.91</v>
      </c>
      <c r="J1260" s="4">
        <f t="shared" si="2"/>
        <v>1417.17</v>
      </c>
      <c r="K1260" s="22">
        <f t="shared" si="3"/>
        <v>1</v>
      </c>
      <c r="L1260" s="4">
        <f t="shared" si="4"/>
        <v>1</v>
      </c>
    </row>
    <row r="1261">
      <c r="A1261" s="23">
        <v>108473.0</v>
      </c>
      <c r="B1261" s="24" t="str">
        <f t="array" ref="B1261">xlookup($A1261,product!$A:$A,product!B:B)</f>
        <v>Epicerie salée</v>
      </c>
      <c r="C1261" s="24" t="str">
        <f t="array" ref="C1261">xlookup($A1261,product!$A:$A,product!C:C)</f>
        <v>Pâtes bio</v>
      </c>
      <c r="D1261" s="24" t="str">
        <f t="array" ref="D1261">xlookup($A1261,product!$A:$A,product!D:D)</f>
        <v>Nouilles asiatiques, shirataki</v>
      </c>
      <c r="E1261" s="25" t="str">
        <f t="shared" si="1"/>
        <v>108473-Pâtes bio-Nouilles asiatiques, shirataki</v>
      </c>
      <c r="F1261" s="25">
        <v>1.0</v>
      </c>
      <c r="G1261" s="25">
        <v>779.0</v>
      </c>
      <c r="H1261" s="25">
        <v>563.0</v>
      </c>
      <c r="I1261" s="26">
        <f t="array" ref="I1261">XLOOKUP($A1261,product!A:A,product!E:E)</f>
        <v>3.28</v>
      </c>
      <c r="J1261" s="25">
        <f t="shared" si="2"/>
        <v>1846.64</v>
      </c>
      <c r="K1261" s="27">
        <f t="shared" si="3"/>
        <v>1</v>
      </c>
      <c r="L1261" s="25">
        <f t="shared" si="4"/>
        <v>1</v>
      </c>
    </row>
    <row r="1262">
      <c r="A1262" s="19">
        <v>90968.0</v>
      </c>
      <c r="B1262" s="20" t="str">
        <f t="array" ref="B1262">xlookup($A1262,product!$A:$A,product!B:B)</f>
        <v>Epicerie salée</v>
      </c>
      <c r="C1262" s="20" t="str">
        <f t="array" ref="C1262">xlookup($A1262,product!$A:$A,product!C:C)</f>
        <v>Pâtes bio</v>
      </c>
      <c r="D1262" s="20" t="str">
        <f t="array" ref="D1262">xlookup($A1262,product!$A:$A,product!D:D)</f>
        <v>Nouilles asiatiques, shirataki</v>
      </c>
      <c r="E1262" s="4" t="str">
        <f t="shared" si="1"/>
        <v>90968-Pâtes bio-Nouilles asiatiques, shirataki</v>
      </c>
      <c r="F1262" s="4">
        <v>1.0</v>
      </c>
      <c r="G1262" s="4">
        <v>40.0</v>
      </c>
      <c r="H1262" s="4">
        <v>0.0</v>
      </c>
      <c r="I1262" s="21">
        <f t="array" ref="I1262">XLOOKUP($A1262,product!A:A,product!E:E)</f>
        <v>3.58</v>
      </c>
      <c r="J1262" s="4">
        <f t="shared" si="2"/>
        <v>0</v>
      </c>
      <c r="K1262" s="22">
        <f t="shared" si="3"/>
        <v>0</v>
      </c>
      <c r="L1262" s="4">
        <f t="shared" si="4"/>
        <v>1</v>
      </c>
    </row>
    <row r="1263">
      <c r="A1263" s="23">
        <v>114929.0</v>
      </c>
      <c r="B1263" s="24" t="str">
        <f t="array" ref="B1263">xlookup($A1263,product!$A:$A,product!B:B)</f>
        <v>Epicerie salée</v>
      </c>
      <c r="C1263" s="24" t="str">
        <f t="array" ref="C1263">xlookup($A1263,product!$A:$A,product!C:C)</f>
        <v>Pâtes bio</v>
      </c>
      <c r="D1263" s="24" t="str">
        <f t="array" ref="D1263">xlookup($A1263,product!$A:$A,product!D:D)</f>
        <v>Nouilles asiatiques, shirataki</v>
      </c>
      <c r="E1263" s="25" t="str">
        <f t="shared" si="1"/>
        <v>114929-Pâtes bio-Nouilles asiatiques, shirataki</v>
      </c>
      <c r="F1263" s="25">
        <v>0.0</v>
      </c>
      <c r="G1263" s="25">
        <v>300.0</v>
      </c>
      <c r="H1263" s="25">
        <v>65.0</v>
      </c>
      <c r="I1263" s="26">
        <f t="array" ref="I1263">XLOOKUP($A1263,product!A:A,product!E:E)</f>
        <v>2.58</v>
      </c>
      <c r="J1263" s="25">
        <f t="shared" si="2"/>
        <v>167.7</v>
      </c>
      <c r="K1263" s="27">
        <f t="shared" si="3"/>
        <v>1</v>
      </c>
      <c r="L1263" s="25">
        <f t="shared" si="4"/>
        <v>1</v>
      </c>
    </row>
    <row r="1264">
      <c r="A1264" s="19">
        <v>68868.0</v>
      </c>
      <c r="B1264" s="20" t="str">
        <f t="array" ref="B1264">xlookup($A1264,product!$A:$A,product!B:B)</f>
        <v>Epicerie salée</v>
      </c>
      <c r="C1264" s="20" t="str">
        <f t="array" ref="C1264">xlookup($A1264,product!$A:$A,product!C:C)</f>
        <v>Pâtes bio</v>
      </c>
      <c r="D1264" s="20" t="str">
        <f t="array" ref="D1264">xlookup($A1264,product!$A:$A,product!D:D)</f>
        <v>Nouilles asiatiques, shirataki</v>
      </c>
      <c r="E1264" s="4" t="str">
        <f t="shared" si="1"/>
        <v>68868-Pâtes bio-Nouilles asiatiques, shirataki</v>
      </c>
      <c r="F1264" s="4">
        <v>0.0</v>
      </c>
      <c r="G1264" s="4">
        <v>753.0</v>
      </c>
      <c r="H1264" s="4">
        <v>532.0</v>
      </c>
      <c r="I1264" s="21">
        <f t="array" ref="I1264">XLOOKUP($A1264,product!A:A,product!E:E)</f>
        <v>3.3</v>
      </c>
      <c r="J1264" s="4">
        <f t="shared" si="2"/>
        <v>1755.6</v>
      </c>
      <c r="K1264" s="22">
        <f t="shared" si="3"/>
        <v>1</v>
      </c>
      <c r="L1264" s="4">
        <f t="shared" si="4"/>
        <v>1</v>
      </c>
    </row>
    <row r="1265">
      <c r="A1265" s="23">
        <v>103831.0</v>
      </c>
      <c r="B1265" s="24" t="str">
        <f t="array" ref="B1265">xlookup($A1265,product!$A:$A,product!B:B)</f>
        <v>Epicerie salée</v>
      </c>
      <c r="C1265" s="24" t="str">
        <f t="array" ref="C1265">xlookup($A1265,product!$A:$A,product!C:C)</f>
        <v>Pâtes bio</v>
      </c>
      <c r="D1265" s="24" t="str">
        <f t="array" ref="D1265">xlookup($A1265,product!$A:$A,product!D:D)</f>
        <v>Nouilles asiatiques, shirataki</v>
      </c>
      <c r="E1265" s="25" t="str">
        <f t="shared" si="1"/>
        <v>103831-Pâtes bio-Nouilles asiatiques, shirataki</v>
      </c>
      <c r="F1265" s="25">
        <v>0.0</v>
      </c>
      <c r="G1265" s="25">
        <v>756.0</v>
      </c>
      <c r="H1265" s="25">
        <v>628.0</v>
      </c>
      <c r="I1265" s="26">
        <f t="array" ref="I1265">XLOOKUP($A1265,product!A:A,product!E:E)</f>
        <v>2.45</v>
      </c>
      <c r="J1265" s="25">
        <f t="shared" si="2"/>
        <v>1538.6</v>
      </c>
      <c r="K1265" s="27">
        <f t="shared" si="3"/>
        <v>1</v>
      </c>
      <c r="L1265" s="25">
        <f t="shared" si="4"/>
        <v>1</v>
      </c>
    </row>
    <row r="1266">
      <c r="A1266" s="19">
        <v>83272.0</v>
      </c>
      <c r="B1266" s="20" t="str">
        <f t="array" ref="B1266">xlookup($A1266,product!$A:$A,product!B:B)</f>
        <v>Epicerie salée</v>
      </c>
      <c r="C1266" s="20" t="str">
        <f t="array" ref="C1266">xlookup($A1266,product!$A:$A,product!C:C)</f>
        <v>Pâtes bio</v>
      </c>
      <c r="D1266" s="20" t="str">
        <f t="array" ref="D1266">xlookup($A1266,product!$A:$A,product!D:D)</f>
        <v>Nouilles asiatiques, shirataki</v>
      </c>
      <c r="E1266" s="4" t="str">
        <f t="shared" si="1"/>
        <v>83272-Pâtes bio-Nouilles asiatiques, shirataki</v>
      </c>
      <c r="F1266" s="4">
        <v>1.0</v>
      </c>
      <c r="G1266" s="4">
        <v>121.0</v>
      </c>
      <c r="H1266" s="4">
        <v>62.0</v>
      </c>
      <c r="I1266" s="21">
        <f t="array" ref="I1266">XLOOKUP($A1266,product!A:A,product!E:E)</f>
        <v>3.29</v>
      </c>
      <c r="J1266" s="4">
        <f t="shared" si="2"/>
        <v>203.98</v>
      </c>
      <c r="K1266" s="22">
        <f t="shared" si="3"/>
        <v>1</v>
      </c>
      <c r="L1266" s="4">
        <f t="shared" si="4"/>
        <v>1</v>
      </c>
    </row>
    <row r="1267">
      <c r="A1267" s="23">
        <v>120046.0</v>
      </c>
      <c r="B1267" s="24" t="str">
        <f t="array" ref="B1267">xlookup($A1267,product!$A:$A,product!B:B)</f>
        <v>Epicerie salée</v>
      </c>
      <c r="C1267" s="24" t="str">
        <f t="array" ref="C1267">xlookup($A1267,product!$A:$A,product!C:C)</f>
        <v>Pâtes bio</v>
      </c>
      <c r="D1267" s="24" t="str">
        <f t="array" ref="D1267">xlookup($A1267,product!$A:$A,product!D:D)</f>
        <v>Nouilles asiatiques, shirataki</v>
      </c>
      <c r="E1267" s="25" t="str">
        <f t="shared" si="1"/>
        <v>120046-Pâtes bio-Nouilles asiatiques, shirataki</v>
      </c>
      <c r="F1267" s="25">
        <v>1.0</v>
      </c>
      <c r="G1267" s="25">
        <v>732.0</v>
      </c>
      <c r="H1267" s="25">
        <v>301.0</v>
      </c>
      <c r="I1267" s="26">
        <f t="array" ref="I1267">XLOOKUP($A1267,product!A:A,product!E:E)</f>
        <v>1.97</v>
      </c>
      <c r="J1267" s="25">
        <f t="shared" si="2"/>
        <v>592.97</v>
      </c>
      <c r="K1267" s="27">
        <f t="shared" si="3"/>
        <v>1</v>
      </c>
      <c r="L1267" s="25">
        <f t="shared" si="4"/>
        <v>1</v>
      </c>
    </row>
    <row r="1268">
      <c r="A1268" s="19">
        <v>181989.0</v>
      </c>
      <c r="B1268" s="20" t="str">
        <f t="array" ref="B1268">xlookup($A1268,product!$A:$A,product!B:B)</f>
        <v>Enfant</v>
      </c>
      <c r="C1268" s="20" t="str">
        <f t="array" ref="C1268">xlookup($A1268,product!$A:$A,product!C:C)</f>
        <v>Allaitement</v>
      </c>
      <c r="D1268" s="20" t="str">
        <f t="array" ref="D1268">xlookup($A1268,product!$A:$A,product!D:D)</f>
        <v>Coussins d'allaitement</v>
      </c>
      <c r="E1268" s="4" t="str">
        <f t="shared" si="1"/>
        <v>181989-Allaitement-Coussins d'allaitement</v>
      </c>
      <c r="F1268" s="4">
        <v>1.0</v>
      </c>
      <c r="G1268" s="4">
        <v>232.0</v>
      </c>
      <c r="H1268" s="4">
        <v>209.0</v>
      </c>
      <c r="I1268" s="21">
        <f t="array" ref="I1268">XLOOKUP($A1268,product!A:A,product!E:E)</f>
        <v>7.65</v>
      </c>
      <c r="J1268" s="4">
        <f t="shared" si="2"/>
        <v>1598.85</v>
      </c>
      <c r="K1268" s="22">
        <f t="shared" si="3"/>
        <v>1</v>
      </c>
      <c r="L1268" s="4">
        <f t="shared" si="4"/>
        <v>1</v>
      </c>
    </row>
    <row r="1269">
      <c r="A1269" s="23">
        <v>84359.0</v>
      </c>
      <c r="B1269" s="24" t="str">
        <f t="array" ref="B1269">xlookup($A1269,product!$A:$A,product!B:B)</f>
        <v>Enfant</v>
      </c>
      <c r="C1269" s="24" t="str">
        <f t="array" ref="C1269">xlookup($A1269,product!$A:$A,product!C:C)</f>
        <v>Allaitement</v>
      </c>
      <c r="D1269" s="24" t="str">
        <f t="array" ref="D1269">xlookup($A1269,product!$A:$A,product!D:D)</f>
        <v>Accessoires d'allaitement</v>
      </c>
      <c r="E1269" s="25" t="str">
        <f t="shared" si="1"/>
        <v>84359-Allaitement-Accessoires d'allaitement</v>
      </c>
      <c r="F1269" s="25">
        <v>0.0</v>
      </c>
      <c r="G1269" s="25">
        <v>289.0</v>
      </c>
      <c r="H1269" s="25">
        <v>89.0</v>
      </c>
      <c r="I1269" s="26">
        <f t="array" ref="I1269">XLOOKUP($A1269,product!A:A,product!E:E)</f>
        <v>5.33</v>
      </c>
      <c r="J1269" s="25">
        <f t="shared" si="2"/>
        <v>474.37</v>
      </c>
      <c r="K1269" s="27">
        <f t="shared" si="3"/>
        <v>1</v>
      </c>
      <c r="L1269" s="25">
        <f t="shared" si="4"/>
        <v>1</v>
      </c>
    </row>
    <row r="1270">
      <c r="A1270" s="19">
        <v>102939.0</v>
      </c>
      <c r="B1270" s="20" t="str">
        <f t="array" ref="B1270">xlookup($A1270,product!$A:$A,product!B:B)</f>
        <v>Enfant</v>
      </c>
      <c r="C1270" s="20" t="str">
        <f t="array" ref="C1270">xlookup($A1270,product!$A:$A,product!C:C)</f>
        <v>Allaitement</v>
      </c>
      <c r="D1270" s="20" t="str">
        <f t="array" ref="D1270">xlookup($A1270,product!$A:$A,product!D:D)</f>
        <v>Accessoires d'allaitement</v>
      </c>
      <c r="E1270" s="4" t="str">
        <f t="shared" si="1"/>
        <v>102939-Allaitement-Accessoires d'allaitement</v>
      </c>
      <c r="F1270" s="4">
        <v>1.0</v>
      </c>
      <c r="G1270" s="4">
        <v>504.0</v>
      </c>
      <c r="H1270" s="4">
        <v>147.0</v>
      </c>
      <c r="I1270" s="21">
        <f t="array" ref="I1270">XLOOKUP($A1270,product!A:A,product!E:E)</f>
        <v>8.67</v>
      </c>
      <c r="J1270" s="4">
        <f t="shared" si="2"/>
        <v>1274.49</v>
      </c>
      <c r="K1270" s="22">
        <f t="shared" si="3"/>
        <v>1</v>
      </c>
      <c r="L1270" s="4">
        <f t="shared" si="4"/>
        <v>1</v>
      </c>
    </row>
    <row r="1271">
      <c r="A1271" s="23">
        <v>111504.0</v>
      </c>
      <c r="B1271" s="24" t="str">
        <f t="array" ref="B1271">xlookup($A1271,product!$A:$A,product!B:B)</f>
        <v>Enfant</v>
      </c>
      <c r="C1271" s="24" t="str">
        <f t="array" ref="C1271">xlookup($A1271,product!$A:$A,product!C:C)</f>
        <v>Allaitement</v>
      </c>
      <c r="D1271" s="24" t="str">
        <f t="array" ref="D1271">xlookup($A1271,product!$A:$A,product!D:D)</f>
        <v>Accessoires d'allaitement</v>
      </c>
      <c r="E1271" s="25" t="str">
        <f t="shared" si="1"/>
        <v>111504-Allaitement-Accessoires d'allaitement</v>
      </c>
      <c r="F1271" s="25">
        <v>1.0</v>
      </c>
      <c r="G1271" s="25">
        <v>33.0</v>
      </c>
      <c r="H1271" s="25">
        <v>30.0</v>
      </c>
      <c r="I1271" s="26">
        <f t="array" ref="I1271">XLOOKUP($A1271,product!A:A,product!E:E)</f>
        <v>4.45</v>
      </c>
      <c r="J1271" s="25">
        <f t="shared" si="2"/>
        <v>133.5</v>
      </c>
      <c r="K1271" s="27">
        <f t="shared" si="3"/>
        <v>1</v>
      </c>
      <c r="L1271" s="25">
        <f t="shared" si="4"/>
        <v>1</v>
      </c>
    </row>
    <row r="1272">
      <c r="A1272" s="19">
        <v>75678.0</v>
      </c>
      <c r="B1272" s="20" t="str">
        <f t="array" ref="B1272">xlookup($A1272,product!$A:$A,product!B:B)</f>
        <v>Enfant</v>
      </c>
      <c r="C1272" s="20" t="str">
        <f t="array" ref="C1272">xlookup($A1272,product!$A:$A,product!C:C)</f>
        <v>Allaitement</v>
      </c>
      <c r="D1272" s="20" t="str">
        <f t="array" ref="D1272">xlookup($A1272,product!$A:$A,product!D:D)</f>
        <v>Accessoires d'allaitement</v>
      </c>
      <c r="E1272" s="4" t="str">
        <f t="shared" si="1"/>
        <v>75678-Allaitement-Accessoires d'allaitement</v>
      </c>
      <c r="F1272" s="4">
        <v>1.0</v>
      </c>
      <c r="G1272" s="4">
        <v>450.0</v>
      </c>
      <c r="H1272" s="4">
        <v>232.0</v>
      </c>
      <c r="I1272" s="21">
        <f t="array" ref="I1272">XLOOKUP($A1272,product!A:A,product!E:E)</f>
        <v>6.43</v>
      </c>
      <c r="J1272" s="4">
        <f t="shared" si="2"/>
        <v>1491.76</v>
      </c>
      <c r="K1272" s="22">
        <f t="shared" si="3"/>
        <v>1</v>
      </c>
      <c r="L1272" s="4">
        <f t="shared" si="4"/>
        <v>1</v>
      </c>
    </row>
    <row r="1273">
      <c r="A1273" s="23">
        <v>79005.0</v>
      </c>
      <c r="B1273" s="24" t="str">
        <f t="array" ref="B1273">xlookup($A1273,product!$A:$A,product!B:B)</f>
        <v>Enfant</v>
      </c>
      <c r="C1273" s="24" t="str">
        <f t="array" ref="C1273">xlookup($A1273,product!$A:$A,product!C:C)</f>
        <v>Allaitement</v>
      </c>
      <c r="D1273" s="24" t="str">
        <f t="array" ref="D1273">xlookup($A1273,product!$A:$A,product!D:D)</f>
        <v>Accessoires d'allaitement</v>
      </c>
      <c r="E1273" s="25" t="str">
        <f t="shared" si="1"/>
        <v>79005-Allaitement-Accessoires d'allaitement</v>
      </c>
      <c r="F1273" s="25">
        <v>1.0</v>
      </c>
      <c r="G1273" s="25">
        <v>214.0</v>
      </c>
      <c r="H1273" s="25">
        <v>116.0</v>
      </c>
      <c r="I1273" s="26">
        <f t="array" ref="I1273">XLOOKUP($A1273,product!A:A,product!E:E)</f>
        <v>2.11</v>
      </c>
      <c r="J1273" s="25">
        <f t="shared" si="2"/>
        <v>244.76</v>
      </c>
      <c r="K1273" s="27">
        <f t="shared" si="3"/>
        <v>1</v>
      </c>
      <c r="L1273" s="25">
        <f t="shared" si="4"/>
        <v>1</v>
      </c>
    </row>
    <row r="1274">
      <c r="A1274" s="19">
        <v>188360.0</v>
      </c>
      <c r="B1274" s="20" t="str">
        <f t="array" ref="B1274">xlookup($A1274,product!$A:$A,product!B:B)</f>
        <v>Enfant</v>
      </c>
      <c r="C1274" s="20" t="str">
        <f t="array" ref="C1274">xlookup($A1274,product!$A:$A,product!C:C)</f>
        <v>Allaitement</v>
      </c>
      <c r="D1274" s="20" t="str">
        <f t="array" ref="D1274">xlookup($A1274,product!$A:$A,product!D:D)</f>
        <v>Accessoires d'allaitement</v>
      </c>
      <c r="E1274" s="4" t="str">
        <f t="shared" si="1"/>
        <v>188360-Allaitement-Accessoires d'allaitement</v>
      </c>
      <c r="F1274" s="4">
        <v>0.0</v>
      </c>
      <c r="G1274" s="4">
        <v>466.0</v>
      </c>
      <c r="H1274" s="4">
        <v>427.0</v>
      </c>
      <c r="I1274" s="21">
        <f t="array" ref="I1274">XLOOKUP($A1274,product!A:A,product!E:E)</f>
        <v>5.08</v>
      </c>
      <c r="J1274" s="4">
        <f t="shared" si="2"/>
        <v>2169.16</v>
      </c>
      <c r="K1274" s="22">
        <f t="shared" si="3"/>
        <v>1</v>
      </c>
      <c r="L1274" s="4">
        <f t="shared" si="4"/>
        <v>1</v>
      </c>
    </row>
    <row r="1275">
      <c r="A1275" s="23">
        <v>79695.0</v>
      </c>
      <c r="B1275" s="24" t="str">
        <f t="array" ref="B1275">xlookup($A1275,product!$A:$A,product!B:B)</f>
        <v>Extérieur</v>
      </c>
      <c r="C1275" s="24" t="str">
        <f t="array" ref="C1275">xlookup($A1275,product!$A:$A,product!C:C)</f>
        <v>Composteurs</v>
      </c>
      <c r="D1275" s="24" t="str">
        <f t="array" ref="D1275">xlookup($A1275,product!$A:$A,product!D:D)</f>
        <v>Poubelle, seau à compost</v>
      </c>
      <c r="E1275" s="25" t="str">
        <f t="shared" si="1"/>
        <v>79695-Composteurs-Poubelle, seau à compost</v>
      </c>
      <c r="F1275" s="25">
        <v>0.0</v>
      </c>
      <c r="G1275" s="25">
        <v>748.0</v>
      </c>
      <c r="H1275" s="25">
        <v>662.0</v>
      </c>
      <c r="I1275" s="26">
        <f t="array" ref="I1275">XLOOKUP($A1275,product!A:A,product!E:E)</f>
        <v>11.32</v>
      </c>
      <c r="J1275" s="25">
        <f t="shared" si="2"/>
        <v>7493.84</v>
      </c>
      <c r="K1275" s="27">
        <f t="shared" si="3"/>
        <v>1</v>
      </c>
      <c r="L1275" s="25">
        <f t="shared" si="4"/>
        <v>1</v>
      </c>
    </row>
    <row r="1276">
      <c r="A1276" s="19">
        <v>73768.0</v>
      </c>
      <c r="B1276" s="20" t="str">
        <f t="array" ref="B1276">xlookup($A1276,product!$A:$A,product!B:B)</f>
        <v>Extérieur</v>
      </c>
      <c r="C1276" s="20" t="str">
        <f t="array" ref="C1276">xlookup($A1276,product!$A:$A,product!C:C)</f>
        <v>Composteurs</v>
      </c>
      <c r="D1276" s="20" t="str">
        <f t="array" ref="D1276">xlookup($A1276,product!$A:$A,product!D:D)</f>
        <v>Poubelle, seau à compost</v>
      </c>
      <c r="E1276" s="4" t="str">
        <f t="shared" si="1"/>
        <v>73768-Composteurs-Poubelle, seau à compost</v>
      </c>
      <c r="F1276" s="4">
        <v>1.0</v>
      </c>
      <c r="G1276" s="4">
        <v>643.0</v>
      </c>
      <c r="H1276" s="4">
        <v>390.0</v>
      </c>
      <c r="I1276" s="21">
        <f t="array" ref="I1276">XLOOKUP($A1276,product!A:A,product!E:E)</f>
        <v>19.2</v>
      </c>
      <c r="J1276" s="4">
        <f t="shared" si="2"/>
        <v>7488</v>
      </c>
      <c r="K1276" s="22">
        <f t="shared" si="3"/>
        <v>1</v>
      </c>
      <c r="L1276" s="4">
        <f t="shared" si="4"/>
        <v>1</v>
      </c>
    </row>
    <row r="1277">
      <c r="A1277" s="23">
        <v>44663.0</v>
      </c>
      <c r="B1277" s="24" t="str">
        <f t="array" ref="B1277">xlookup($A1277,product!$A:$A,product!B:B)</f>
        <v>Extérieur</v>
      </c>
      <c r="C1277" s="24" t="str">
        <f t="array" ref="C1277">xlookup($A1277,product!$A:$A,product!C:C)</f>
        <v>Composteurs</v>
      </c>
      <c r="D1277" s="24" t="str">
        <f t="array" ref="D1277">xlookup($A1277,product!$A:$A,product!D:D)</f>
        <v>Poubelle, seau à compost</v>
      </c>
      <c r="E1277" s="25" t="str">
        <f t="shared" si="1"/>
        <v>44663-Composteurs-Poubelle, seau à compost</v>
      </c>
      <c r="F1277" s="25">
        <v>0.0</v>
      </c>
      <c r="G1277" s="25">
        <v>447.0</v>
      </c>
      <c r="H1277" s="25">
        <v>36.0</v>
      </c>
      <c r="I1277" s="26">
        <f t="array" ref="I1277">XLOOKUP($A1277,product!A:A,product!E:E)</f>
        <v>18.25</v>
      </c>
      <c r="J1277" s="25">
        <f t="shared" si="2"/>
        <v>657</v>
      </c>
      <c r="K1277" s="27">
        <f t="shared" si="3"/>
        <v>1</v>
      </c>
      <c r="L1277" s="25">
        <f t="shared" si="4"/>
        <v>1</v>
      </c>
    </row>
    <row r="1278">
      <c r="A1278" s="19">
        <v>766.0</v>
      </c>
      <c r="B1278" s="20" t="str">
        <f t="array" ref="B1278">xlookup($A1278,product!$A:$A,product!B:B)</f>
        <v>Extérieur</v>
      </c>
      <c r="C1278" s="20" t="str">
        <f t="array" ref="C1278">xlookup($A1278,product!$A:$A,product!C:C)</f>
        <v>Composteurs</v>
      </c>
      <c r="D1278" s="20" t="str">
        <f t="array" ref="D1278">xlookup($A1278,product!$A:$A,product!D:D)</f>
        <v>Poubelle, seau à compost</v>
      </c>
      <c r="E1278" s="4" t="str">
        <f t="shared" si="1"/>
        <v>766-Composteurs-Poubelle, seau à compost</v>
      </c>
      <c r="F1278" s="4">
        <v>1.0</v>
      </c>
      <c r="G1278" s="4">
        <v>314.0</v>
      </c>
      <c r="H1278" s="4">
        <v>260.0</v>
      </c>
      <c r="I1278" s="21">
        <f t="array" ref="I1278">XLOOKUP($A1278,product!A:A,product!E:E)</f>
        <v>5.82</v>
      </c>
      <c r="J1278" s="4">
        <f t="shared" si="2"/>
        <v>1513.2</v>
      </c>
      <c r="K1278" s="22">
        <f t="shared" si="3"/>
        <v>1</v>
      </c>
      <c r="L1278" s="4">
        <f t="shared" si="4"/>
        <v>1</v>
      </c>
    </row>
    <row r="1279">
      <c r="A1279" s="23">
        <v>109961.0</v>
      </c>
      <c r="B1279" s="24" t="str">
        <f t="array" ref="B1279">xlookup($A1279,product!$A:$A,product!B:B)</f>
        <v>Maison</v>
      </c>
      <c r="C1279" s="24" t="str">
        <f t="array" ref="C1279">xlookup($A1279,product!$A:$A,product!C:C)</f>
        <v>Décoration</v>
      </c>
      <c r="D1279" s="24" t="str">
        <f t="array" ref="D1279">xlookup($A1279,product!$A:$A,product!D:D)</f>
        <v>Bougies</v>
      </c>
      <c r="E1279" s="25" t="str">
        <f t="shared" si="1"/>
        <v>109961-Décoration-Bougies</v>
      </c>
      <c r="F1279" s="25">
        <v>0.0</v>
      </c>
      <c r="G1279" s="25">
        <v>812.0</v>
      </c>
      <c r="H1279" s="25">
        <v>235.0</v>
      </c>
      <c r="I1279" s="26">
        <f t="array" ref="I1279">XLOOKUP($A1279,product!A:A,product!E:E)</f>
        <v>4.33</v>
      </c>
      <c r="J1279" s="25">
        <f t="shared" si="2"/>
        <v>1017.55</v>
      </c>
      <c r="K1279" s="27">
        <f t="shared" si="3"/>
        <v>1</v>
      </c>
      <c r="L1279" s="25">
        <f t="shared" si="4"/>
        <v>1</v>
      </c>
    </row>
    <row r="1280">
      <c r="A1280" s="19">
        <v>109932.0</v>
      </c>
      <c r="B1280" s="20" t="str">
        <f t="array" ref="B1280">xlookup($A1280,product!$A:$A,product!B:B)</f>
        <v>Maison</v>
      </c>
      <c r="C1280" s="20" t="str">
        <f t="array" ref="C1280">xlookup($A1280,product!$A:$A,product!C:C)</f>
        <v>Décoration</v>
      </c>
      <c r="D1280" s="20" t="str">
        <f t="array" ref="D1280">xlookup($A1280,product!$A:$A,product!D:D)</f>
        <v>Bougies</v>
      </c>
      <c r="E1280" s="4" t="str">
        <f t="shared" si="1"/>
        <v>109932-Décoration-Bougies</v>
      </c>
      <c r="F1280" s="4">
        <v>0.0</v>
      </c>
      <c r="G1280" s="4">
        <v>834.0</v>
      </c>
      <c r="H1280" s="4">
        <v>90.0</v>
      </c>
      <c r="I1280" s="21">
        <f t="array" ref="I1280">XLOOKUP($A1280,product!A:A,product!E:E)</f>
        <v>6.79</v>
      </c>
      <c r="J1280" s="4">
        <f t="shared" si="2"/>
        <v>611.1</v>
      </c>
      <c r="K1280" s="22">
        <f t="shared" si="3"/>
        <v>1</v>
      </c>
      <c r="L1280" s="4">
        <f t="shared" si="4"/>
        <v>1</v>
      </c>
    </row>
    <row r="1281">
      <c r="A1281" s="23">
        <v>109956.0</v>
      </c>
      <c r="B1281" s="24" t="str">
        <f t="array" ref="B1281">xlookup($A1281,product!$A:$A,product!B:B)</f>
        <v>Maison</v>
      </c>
      <c r="C1281" s="24" t="str">
        <f t="array" ref="C1281">xlookup($A1281,product!$A:$A,product!C:C)</f>
        <v>Décoration</v>
      </c>
      <c r="D1281" s="24" t="str">
        <f t="array" ref="D1281">xlookup($A1281,product!$A:$A,product!D:D)</f>
        <v>Bougies</v>
      </c>
      <c r="E1281" s="25" t="str">
        <f t="shared" si="1"/>
        <v>109956-Décoration-Bougies</v>
      </c>
      <c r="F1281" s="25">
        <v>1.0</v>
      </c>
      <c r="G1281" s="25">
        <v>355.0</v>
      </c>
      <c r="H1281" s="25">
        <v>79.0</v>
      </c>
      <c r="I1281" s="26">
        <f t="array" ref="I1281">XLOOKUP($A1281,product!A:A,product!E:E)</f>
        <v>4.33</v>
      </c>
      <c r="J1281" s="25">
        <f t="shared" si="2"/>
        <v>342.07</v>
      </c>
      <c r="K1281" s="27">
        <f t="shared" si="3"/>
        <v>1</v>
      </c>
      <c r="L1281" s="25">
        <f t="shared" si="4"/>
        <v>1</v>
      </c>
    </row>
    <row r="1282">
      <c r="A1282" s="19">
        <v>109962.0</v>
      </c>
      <c r="B1282" s="20" t="str">
        <f t="array" ref="B1282">xlookup($A1282,product!$A:$A,product!B:B)</f>
        <v>Maison</v>
      </c>
      <c r="C1282" s="20" t="str">
        <f t="array" ref="C1282">xlookup($A1282,product!$A:$A,product!C:C)</f>
        <v>Décoration</v>
      </c>
      <c r="D1282" s="20" t="str">
        <f t="array" ref="D1282">xlookup($A1282,product!$A:$A,product!D:D)</f>
        <v>Bougies</v>
      </c>
      <c r="E1282" s="4" t="str">
        <f t="shared" si="1"/>
        <v>109962-Décoration-Bougies</v>
      </c>
      <c r="F1282" s="4">
        <v>1.0</v>
      </c>
      <c r="G1282" s="4">
        <v>283.0</v>
      </c>
      <c r="H1282" s="4">
        <v>121.0</v>
      </c>
      <c r="I1282" s="21">
        <f t="array" ref="I1282">XLOOKUP($A1282,product!A:A,product!E:E)</f>
        <v>4.33</v>
      </c>
      <c r="J1282" s="4">
        <f t="shared" si="2"/>
        <v>523.93</v>
      </c>
      <c r="K1282" s="22">
        <f t="shared" si="3"/>
        <v>1</v>
      </c>
      <c r="L1282" s="4">
        <f t="shared" si="4"/>
        <v>1</v>
      </c>
    </row>
    <row r="1283">
      <c r="A1283" s="23">
        <v>101622.0</v>
      </c>
      <c r="B1283" s="24" t="str">
        <f t="array" ref="B1283">xlookup($A1283,product!$A:$A,product!B:B)</f>
        <v>Maison</v>
      </c>
      <c r="C1283" s="24" t="str">
        <f t="array" ref="C1283">xlookup($A1283,product!$A:$A,product!C:C)</f>
        <v>Décoration</v>
      </c>
      <c r="D1283" s="24" t="str">
        <f t="array" ref="D1283">xlookup($A1283,product!$A:$A,product!D:D)</f>
        <v>Bougies</v>
      </c>
      <c r="E1283" s="25" t="str">
        <f t="shared" si="1"/>
        <v>101622-Décoration-Bougies</v>
      </c>
      <c r="F1283" s="25">
        <v>1.0</v>
      </c>
      <c r="G1283" s="25">
        <v>767.0</v>
      </c>
      <c r="H1283" s="25">
        <v>663.0</v>
      </c>
      <c r="I1283" s="26">
        <f t="array" ref="I1283">XLOOKUP($A1283,product!A:A,product!E:E)</f>
        <v>2.57</v>
      </c>
      <c r="J1283" s="25">
        <f t="shared" si="2"/>
        <v>1703.91</v>
      </c>
      <c r="K1283" s="27">
        <f t="shared" si="3"/>
        <v>1</v>
      </c>
      <c r="L1283" s="25">
        <f t="shared" si="4"/>
        <v>1</v>
      </c>
    </row>
    <row r="1284">
      <c r="A1284" s="19">
        <v>101623.0</v>
      </c>
      <c r="B1284" s="20" t="str">
        <f t="array" ref="B1284">xlookup($A1284,product!$A:$A,product!B:B)</f>
        <v>Maison</v>
      </c>
      <c r="C1284" s="20" t="str">
        <f t="array" ref="C1284">xlookup($A1284,product!$A:$A,product!C:C)</f>
        <v>Décoration</v>
      </c>
      <c r="D1284" s="20" t="str">
        <f t="array" ref="D1284">xlookup($A1284,product!$A:$A,product!D:D)</f>
        <v>Bougies</v>
      </c>
      <c r="E1284" s="4" t="str">
        <f t="shared" si="1"/>
        <v>101623-Décoration-Bougies</v>
      </c>
      <c r="F1284" s="4">
        <v>1.0</v>
      </c>
      <c r="G1284" s="4">
        <v>929.0</v>
      </c>
      <c r="H1284" s="4">
        <v>588.0</v>
      </c>
      <c r="I1284" s="21">
        <f t="array" ref="I1284">XLOOKUP($A1284,product!A:A,product!E:E)</f>
        <v>3.43</v>
      </c>
      <c r="J1284" s="4">
        <f t="shared" si="2"/>
        <v>2016.84</v>
      </c>
      <c r="K1284" s="22">
        <f t="shared" si="3"/>
        <v>1</v>
      </c>
      <c r="L1284" s="4">
        <f t="shared" si="4"/>
        <v>1</v>
      </c>
    </row>
    <row r="1285">
      <c r="A1285" s="23">
        <v>4513.0</v>
      </c>
      <c r="B1285" s="24" t="str">
        <f t="array" ref="B1285">xlookup($A1285,product!$A:$A,product!B:B)</f>
        <v>Maison</v>
      </c>
      <c r="C1285" s="24" t="str">
        <f t="array" ref="C1285">xlookup($A1285,product!$A:$A,product!C:C)</f>
        <v>Décoration</v>
      </c>
      <c r="D1285" s="24" t="str">
        <f t="array" ref="D1285">xlookup($A1285,product!$A:$A,product!D:D)</f>
        <v>Bougies</v>
      </c>
      <c r="E1285" s="25" t="str">
        <f t="shared" si="1"/>
        <v>4513-Décoration-Bougies</v>
      </c>
      <c r="F1285" s="25">
        <v>1.0</v>
      </c>
      <c r="G1285" s="25">
        <v>522.0</v>
      </c>
      <c r="H1285" s="25">
        <v>392.0</v>
      </c>
      <c r="I1285" s="26">
        <f t="array" ref="I1285">XLOOKUP($A1285,product!A:A,product!E:E)</f>
        <v>3.47</v>
      </c>
      <c r="J1285" s="25">
        <f t="shared" si="2"/>
        <v>1360.24</v>
      </c>
      <c r="K1285" s="27">
        <f t="shared" si="3"/>
        <v>1</v>
      </c>
      <c r="L1285" s="25">
        <f t="shared" si="4"/>
        <v>1</v>
      </c>
    </row>
    <row r="1286">
      <c r="A1286" s="19">
        <v>24648.0</v>
      </c>
      <c r="B1286" s="20" t="str">
        <f t="array" ref="B1286">xlookup($A1286,product!$A:$A,product!B:B)</f>
        <v>Maison</v>
      </c>
      <c r="C1286" s="20" t="str">
        <f t="array" ref="C1286">xlookup($A1286,product!$A:$A,product!C:C)</f>
        <v>Décoration</v>
      </c>
      <c r="D1286" s="20" t="str">
        <f t="array" ref="D1286">xlookup($A1286,product!$A:$A,product!D:D)</f>
        <v>Bougies</v>
      </c>
      <c r="E1286" s="4" t="str">
        <f t="shared" si="1"/>
        <v>24648-Décoration-Bougies</v>
      </c>
      <c r="F1286" s="4">
        <v>0.0</v>
      </c>
      <c r="G1286" s="4">
        <v>608.0</v>
      </c>
      <c r="H1286" s="4">
        <v>146.0</v>
      </c>
      <c r="I1286" s="21">
        <f t="array" ref="I1286">XLOOKUP($A1286,product!A:A,product!E:E)</f>
        <v>5.57</v>
      </c>
      <c r="J1286" s="4">
        <f t="shared" si="2"/>
        <v>813.22</v>
      </c>
      <c r="K1286" s="22">
        <f t="shared" si="3"/>
        <v>1</v>
      </c>
      <c r="L1286" s="4">
        <f t="shared" si="4"/>
        <v>1</v>
      </c>
    </row>
    <row r="1287">
      <c r="A1287" s="23">
        <v>16386.0</v>
      </c>
      <c r="B1287" s="24" t="str">
        <f t="array" ref="B1287">xlookup($A1287,product!$A:$A,product!B:B)</f>
        <v>Maison</v>
      </c>
      <c r="C1287" s="24" t="str">
        <f t="array" ref="C1287">xlookup($A1287,product!$A:$A,product!C:C)</f>
        <v>Décoration</v>
      </c>
      <c r="D1287" s="24" t="str">
        <f t="array" ref="D1287">xlookup($A1287,product!$A:$A,product!D:D)</f>
        <v>Lampes de sel</v>
      </c>
      <c r="E1287" s="25" t="str">
        <f t="shared" si="1"/>
        <v>16386-Décoration-Lampes de sel</v>
      </c>
      <c r="F1287" s="25">
        <v>1.0</v>
      </c>
      <c r="G1287" s="25">
        <v>27.0</v>
      </c>
      <c r="H1287" s="25">
        <v>15.0</v>
      </c>
      <c r="I1287" s="26">
        <f t="array" ref="I1287">XLOOKUP($A1287,product!A:A,product!E:E)</f>
        <v>7.52</v>
      </c>
      <c r="J1287" s="25">
        <f t="shared" si="2"/>
        <v>112.8</v>
      </c>
      <c r="K1287" s="27">
        <f t="shared" si="3"/>
        <v>1</v>
      </c>
      <c r="L1287" s="25">
        <f t="shared" si="4"/>
        <v>1</v>
      </c>
    </row>
    <row r="1288">
      <c r="A1288" s="19">
        <v>16383.0</v>
      </c>
      <c r="B1288" s="20" t="str">
        <f t="array" ref="B1288">xlookup($A1288,product!$A:$A,product!B:B)</f>
        <v>Maison</v>
      </c>
      <c r="C1288" s="20" t="str">
        <f t="array" ref="C1288">xlookup($A1288,product!$A:$A,product!C:C)</f>
        <v>Décoration</v>
      </c>
      <c r="D1288" s="20" t="str">
        <f t="array" ref="D1288">xlookup($A1288,product!$A:$A,product!D:D)</f>
        <v>Lampes de sel</v>
      </c>
      <c r="E1288" s="4" t="str">
        <f t="shared" si="1"/>
        <v>16383-Décoration-Lampes de sel</v>
      </c>
      <c r="F1288" s="4">
        <v>1.0</v>
      </c>
      <c r="G1288" s="4">
        <v>867.0</v>
      </c>
      <c r="H1288" s="4">
        <v>634.0</v>
      </c>
      <c r="I1288" s="21">
        <f t="array" ref="I1288">XLOOKUP($A1288,product!A:A,product!E:E)</f>
        <v>5.75</v>
      </c>
      <c r="J1288" s="4">
        <f t="shared" si="2"/>
        <v>3645.5</v>
      </c>
      <c r="K1288" s="22">
        <f t="shared" si="3"/>
        <v>1</v>
      </c>
      <c r="L1288" s="4">
        <f t="shared" si="4"/>
        <v>1</v>
      </c>
    </row>
    <row r="1289">
      <c r="A1289" s="23">
        <v>113588.0</v>
      </c>
      <c r="B1289" s="24" t="str">
        <f t="array" ref="B1289">xlookup($A1289,product!$A:$A,product!B:B)</f>
        <v>Maison</v>
      </c>
      <c r="C1289" s="24" t="str">
        <f t="array" ref="C1289">xlookup($A1289,product!$A:$A,product!C:C)</f>
        <v>Décoration</v>
      </c>
      <c r="D1289" s="24" t="str">
        <f t="array" ref="D1289">xlookup($A1289,product!$A:$A,product!D:D)</f>
        <v>Fleurs et plantes</v>
      </c>
      <c r="E1289" s="25" t="str">
        <f t="shared" si="1"/>
        <v>113588-Décoration-Fleurs et plantes</v>
      </c>
      <c r="F1289" s="25">
        <v>1.0</v>
      </c>
      <c r="G1289" s="25">
        <v>693.0</v>
      </c>
      <c r="H1289" s="25">
        <v>384.0</v>
      </c>
      <c r="I1289" s="26">
        <f t="array" ref="I1289">XLOOKUP($A1289,product!A:A,product!E:E)</f>
        <v>12.59</v>
      </c>
      <c r="J1289" s="25">
        <f t="shared" si="2"/>
        <v>4834.56</v>
      </c>
      <c r="K1289" s="27">
        <f t="shared" si="3"/>
        <v>1</v>
      </c>
      <c r="L1289" s="25">
        <f t="shared" si="4"/>
        <v>1</v>
      </c>
    </row>
    <row r="1290">
      <c r="A1290" s="19">
        <v>99392.0</v>
      </c>
      <c r="B1290" s="20" t="str">
        <f t="array" ref="B1290">xlookup($A1290,product!$A:$A,product!B:B)</f>
        <v>Maison</v>
      </c>
      <c r="C1290" s="20" t="str">
        <f t="array" ref="C1290">xlookup($A1290,product!$A:$A,product!C:C)</f>
        <v>Décoration</v>
      </c>
      <c r="D1290" s="20" t="str">
        <f t="array" ref="D1290">xlookup($A1290,product!$A:$A,product!D:D)</f>
        <v>Encens, porte encens</v>
      </c>
      <c r="E1290" s="4" t="str">
        <f t="shared" si="1"/>
        <v>99392-Décoration-Encens, porte encens</v>
      </c>
      <c r="F1290" s="4">
        <v>0.0</v>
      </c>
      <c r="G1290" s="4">
        <v>687.0</v>
      </c>
      <c r="H1290" s="4">
        <v>336.0</v>
      </c>
      <c r="I1290" s="21">
        <f t="array" ref="I1290">XLOOKUP($A1290,product!A:A,product!E:E)</f>
        <v>1.08</v>
      </c>
      <c r="J1290" s="4">
        <f t="shared" si="2"/>
        <v>362.88</v>
      </c>
      <c r="K1290" s="22">
        <f t="shared" si="3"/>
        <v>1</v>
      </c>
      <c r="L1290" s="4">
        <f t="shared" si="4"/>
        <v>1</v>
      </c>
    </row>
    <row r="1291">
      <c r="A1291" s="23">
        <v>99412.0</v>
      </c>
      <c r="B1291" s="24" t="str">
        <f t="array" ref="B1291">xlookup($A1291,product!$A:$A,product!B:B)</f>
        <v>Maison</v>
      </c>
      <c r="C1291" s="24" t="str">
        <f t="array" ref="C1291">xlookup($A1291,product!$A:$A,product!C:C)</f>
        <v>Décoration</v>
      </c>
      <c r="D1291" s="24" t="str">
        <f t="array" ref="D1291">xlookup($A1291,product!$A:$A,product!D:D)</f>
        <v>Encens, porte encens</v>
      </c>
      <c r="E1291" s="25" t="str">
        <f t="shared" si="1"/>
        <v>99412-Décoration-Encens, porte encens</v>
      </c>
      <c r="F1291" s="25">
        <v>1.0</v>
      </c>
      <c r="G1291" s="25">
        <v>941.0</v>
      </c>
      <c r="H1291" s="25">
        <v>841.0</v>
      </c>
      <c r="I1291" s="26">
        <f t="array" ref="I1291">XLOOKUP($A1291,product!A:A,product!E:E)</f>
        <v>1.42</v>
      </c>
      <c r="J1291" s="25">
        <f t="shared" si="2"/>
        <v>1194.22</v>
      </c>
      <c r="K1291" s="27">
        <f t="shared" si="3"/>
        <v>1</v>
      </c>
      <c r="L1291" s="25">
        <f t="shared" si="4"/>
        <v>1</v>
      </c>
    </row>
    <row r="1292">
      <c r="A1292" s="19">
        <v>25306.0</v>
      </c>
      <c r="B1292" s="20" t="str">
        <f t="array" ref="B1292">xlookup($A1292,product!$A:$A,product!B:B)</f>
        <v>Maison</v>
      </c>
      <c r="C1292" s="20" t="str">
        <f t="array" ref="C1292">xlookup($A1292,product!$A:$A,product!C:C)</f>
        <v>Décoration</v>
      </c>
      <c r="D1292" s="20" t="str">
        <f t="array" ref="D1292">xlookup($A1292,product!$A:$A,product!D:D)</f>
        <v>Encens, porte encens</v>
      </c>
      <c r="E1292" s="4" t="str">
        <f t="shared" si="1"/>
        <v>25306-Décoration-Encens, porte encens</v>
      </c>
      <c r="F1292" s="4">
        <v>0.0</v>
      </c>
      <c r="G1292" s="4">
        <v>227.0</v>
      </c>
      <c r="H1292" s="4">
        <v>177.0</v>
      </c>
      <c r="I1292" s="21">
        <f t="array" ref="I1292">XLOOKUP($A1292,product!A:A,product!E:E)</f>
        <v>1.75</v>
      </c>
      <c r="J1292" s="4">
        <f t="shared" si="2"/>
        <v>309.75</v>
      </c>
      <c r="K1292" s="22">
        <f t="shared" si="3"/>
        <v>1</v>
      </c>
      <c r="L1292" s="4">
        <f t="shared" si="4"/>
        <v>1</v>
      </c>
    </row>
    <row r="1293">
      <c r="A1293" s="23">
        <v>99399.0</v>
      </c>
      <c r="B1293" s="24" t="str">
        <f t="array" ref="B1293">xlookup($A1293,product!$A:$A,product!B:B)</f>
        <v>Maison</v>
      </c>
      <c r="C1293" s="24" t="str">
        <f t="array" ref="C1293">xlookup($A1293,product!$A:$A,product!C:C)</f>
        <v>Décoration</v>
      </c>
      <c r="D1293" s="24" t="str">
        <f t="array" ref="D1293">xlookup($A1293,product!$A:$A,product!D:D)</f>
        <v>Encens, porte encens</v>
      </c>
      <c r="E1293" s="25" t="str">
        <f t="shared" si="1"/>
        <v>99399-Décoration-Encens, porte encens</v>
      </c>
      <c r="F1293" s="25">
        <v>0.0</v>
      </c>
      <c r="G1293" s="25">
        <v>84.0</v>
      </c>
      <c r="H1293" s="25">
        <v>1.0</v>
      </c>
      <c r="I1293" s="26">
        <f t="array" ref="I1293">XLOOKUP($A1293,product!A:A,product!E:E)</f>
        <v>1.08</v>
      </c>
      <c r="J1293" s="25">
        <f t="shared" si="2"/>
        <v>1.08</v>
      </c>
      <c r="K1293" s="27">
        <f t="shared" si="3"/>
        <v>1</v>
      </c>
      <c r="L1293" s="25">
        <f t="shared" si="4"/>
        <v>1</v>
      </c>
    </row>
    <row r="1294">
      <c r="A1294" s="19">
        <v>25304.0</v>
      </c>
      <c r="B1294" s="20" t="str">
        <f t="array" ref="B1294">xlookup($A1294,product!$A:$A,product!B:B)</f>
        <v>Maison</v>
      </c>
      <c r="C1294" s="20" t="str">
        <f t="array" ref="C1294">xlookup($A1294,product!$A:$A,product!C:C)</f>
        <v>Décoration</v>
      </c>
      <c r="D1294" s="20" t="str">
        <f t="array" ref="D1294">xlookup($A1294,product!$A:$A,product!D:D)</f>
        <v>Encens, porte encens</v>
      </c>
      <c r="E1294" s="4" t="str">
        <f t="shared" si="1"/>
        <v>25304-Décoration-Encens, porte encens</v>
      </c>
      <c r="F1294" s="4">
        <v>0.0</v>
      </c>
      <c r="G1294" s="4">
        <v>455.0</v>
      </c>
      <c r="H1294" s="4">
        <v>360.0</v>
      </c>
      <c r="I1294" s="21">
        <f t="array" ref="I1294">XLOOKUP($A1294,product!A:A,product!E:E)</f>
        <v>1.75</v>
      </c>
      <c r="J1294" s="4">
        <f t="shared" si="2"/>
        <v>630</v>
      </c>
      <c r="K1294" s="22">
        <f t="shared" si="3"/>
        <v>1</v>
      </c>
      <c r="L1294" s="4">
        <f t="shared" si="4"/>
        <v>1</v>
      </c>
    </row>
    <row r="1295">
      <c r="A1295" s="23">
        <v>99400.0</v>
      </c>
      <c r="B1295" s="24" t="str">
        <f t="array" ref="B1295">xlookup($A1295,product!$A:$A,product!B:B)</f>
        <v>Maison</v>
      </c>
      <c r="C1295" s="24" t="str">
        <f t="array" ref="C1295">xlookup($A1295,product!$A:$A,product!C:C)</f>
        <v>Décoration</v>
      </c>
      <c r="D1295" s="24" t="str">
        <f t="array" ref="D1295">xlookup($A1295,product!$A:$A,product!D:D)</f>
        <v>Encens, porte encens</v>
      </c>
      <c r="E1295" s="25" t="str">
        <f t="shared" si="1"/>
        <v>99400-Décoration-Encens, porte encens</v>
      </c>
      <c r="F1295" s="25">
        <v>1.0</v>
      </c>
      <c r="G1295" s="25">
        <v>887.0</v>
      </c>
      <c r="H1295" s="25">
        <v>287.0</v>
      </c>
      <c r="I1295" s="26">
        <f t="array" ref="I1295">XLOOKUP($A1295,product!A:A,product!E:E)</f>
        <v>1.08</v>
      </c>
      <c r="J1295" s="25">
        <f t="shared" si="2"/>
        <v>309.96</v>
      </c>
      <c r="K1295" s="27">
        <f t="shared" si="3"/>
        <v>1</v>
      </c>
      <c r="L1295" s="25">
        <f t="shared" si="4"/>
        <v>1</v>
      </c>
    </row>
    <row r="1296">
      <c r="A1296" s="19">
        <v>80484.0</v>
      </c>
      <c r="B1296" s="20" t="str">
        <f t="array" ref="B1296">xlookup($A1296,product!$A:$A,product!B:B)</f>
        <v>Maison</v>
      </c>
      <c r="C1296" s="20" t="str">
        <f t="array" ref="C1296">xlookup($A1296,product!$A:$A,product!C:C)</f>
        <v>Décoration</v>
      </c>
      <c r="D1296" s="20" t="str">
        <f t="array" ref="D1296">xlookup($A1296,product!$A:$A,product!D:D)</f>
        <v>Encens, porte encens</v>
      </c>
      <c r="E1296" s="4" t="str">
        <f t="shared" si="1"/>
        <v>80484-Décoration-Encens, porte encens</v>
      </c>
      <c r="F1296" s="4">
        <v>1.0</v>
      </c>
      <c r="G1296" s="4">
        <v>123.0</v>
      </c>
      <c r="H1296" s="4">
        <v>14.0</v>
      </c>
      <c r="I1296" s="21">
        <f t="array" ref="I1296">XLOOKUP($A1296,product!A:A,product!E:E)</f>
        <v>1.42</v>
      </c>
      <c r="J1296" s="4">
        <f t="shared" si="2"/>
        <v>19.88</v>
      </c>
      <c r="K1296" s="22">
        <f t="shared" si="3"/>
        <v>1</v>
      </c>
      <c r="L1296" s="4">
        <f t="shared" si="4"/>
        <v>1</v>
      </c>
    </row>
    <row r="1297">
      <c r="A1297" s="23">
        <v>14477.0</v>
      </c>
      <c r="B1297" s="24" t="str">
        <f t="array" ref="B1297">xlookup($A1297,product!$A:$A,product!B:B)</f>
        <v>Maison</v>
      </c>
      <c r="C1297" s="24" t="str">
        <f t="array" ref="C1297">xlookup($A1297,product!$A:$A,product!C:C)</f>
        <v>Décoration</v>
      </c>
      <c r="D1297" s="24" t="str">
        <f t="array" ref="D1297">xlookup($A1297,product!$A:$A,product!D:D)</f>
        <v>Encens, porte encens</v>
      </c>
      <c r="E1297" s="25" t="str">
        <f t="shared" si="1"/>
        <v>14477-Décoration-Encens, porte encens</v>
      </c>
      <c r="F1297" s="25">
        <v>1.0</v>
      </c>
      <c r="G1297" s="25">
        <v>410.0</v>
      </c>
      <c r="H1297" s="25">
        <v>83.0</v>
      </c>
      <c r="I1297" s="26">
        <f t="array" ref="I1297">XLOOKUP($A1297,product!A:A,product!E:E)</f>
        <v>1.64</v>
      </c>
      <c r="J1297" s="25">
        <f t="shared" si="2"/>
        <v>136.12</v>
      </c>
      <c r="K1297" s="27">
        <f t="shared" si="3"/>
        <v>1</v>
      </c>
      <c r="L1297" s="25">
        <f t="shared" si="4"/>
        <v>1</v>
      </c>
    </row>
    <row r="1298">
      <c r="A1298" s="19">
        <v>95056.0</v>
      </c>
      <c r="B1298" s="20" t="str">
        <f t="array" ref="B1298">xlookup($A1298,product!$A:$A,product!B:B)</f>
        <v>Boisson</v>
      </c>
      <c r="C1298" s="20" t="str">
        <f t="array" ref="C1298">xlookup($A1298,product!$A:$A,product!C:C)</f>
        <v>Eau de coco</v>
      </c>
      <c r="D1298" s="20" t="str">
        <f t="array" ref="D1298">xlookup($A1298,product!$A:$A,product!D:D)</f>
        <v/>
      </c>
      <c r="E1298" s="4" t="str">
        <f t="shared" si="1"/>
        <v>95056-Eau de coco-</v>
      </c>
      <c r="F1298" s="4">
        <v>0.0</v>
      </c>
      <c r="G1298" s="4">
        <v>146.0</v>
      </c>
      <c r="H1298" s="4">
        <v>73.0</v>
      </c>
      <c r="I1298" s="21">
        <f t="array" ref="I1298">XLOOKUP($A1298,product!A:A,product!E:E)</f>
        <v>2.36</v>
      </c>
      <c r="J1298" s="4">
        <f t="shared" si="2"/>
        <v>172.28</v>
      </c>
      <c r="K1298" s="22">
        <f t="shared" si="3"/>
        <v>1</v>
      </c>
      <c r="L1298" s="4">
        <f t="shared" si="4"/>
        <v>1</v>
      </c>
    </row>
    <row r="1299">
      <c r="A1299" s="23">
        <v>78519.0</v>
      </c>
      <c r="B1299" s="24" t="str">
        <f t="array" ref="B1299">xlookup($A1299,product!$A:$A,product!B:B)</f>
        <v>Boisson</v>
      </c>
      <c r="C1299" s="24" t="str">
        <f t="array" ref="C1299">xlookup($A1299,product!$A:$A,product!C:C)</f>
        <v>Eau de coco</v>
      </c>
      <c r="D1299" s="24" t="str">
        <f t="array" ref="D1299">xlookup($A1299,product!$A:$A,product!D:D)</f>
        <v/>
      </c>
      <c r="E1299" s="25" t="str">
        <f t="shared" si="1"/>
        <v>78519-Eau de coco-</v>
      </c>
      <c r="F1299" s="25">
        <v>0.0</v>
      </c>
      <c r="G1299" s="25">
        <v>352.0</v>
      </c>
      <c r="H1299" s="25">
        <v>160.0</v>
      </c>
      <c r="I1299" s="26">
        <f t="array" ref="I1299">XLOOKUP($A1299,product!A:A,product!E:E)</f>
        <v>1.15</v>
      </c>
      <c r="J1299" s="25">
        <f t="shared" si="2"/>
        <v>184</v>
      </c>
      <c r="K1299" s="27">
        <f t="shared" si="3"/>
        <v>1</v>
      </c>
      <c r="L1299" s="25">
        <f t="shared" si="4"/>
        <v>1</v>
      </c>
    </row>
    <row r="1300">
      <c r="A1300" s="19">
        <v>90377.0</v>
      </c>
      <c r="B1300" s="20" t="str">
        <f t="array" ref="B1300">xlookup($A1300,product!$A:$A,product!B:B)</f>
        <v>Boisson</v>
      </c>
      <c r="C1300" s="20" t="str">
        <f t="array" ref="C1300">xlookup($A1300,product!$A:$A,product!C:C)</f>
        <v>Eau de coco</v>
      </c>
      <c r="D1300" s="20" t="str">
        <f t="array" ref="D1300">xlookup($A1300,product!$A:$A,product!D:D)</f>
        <v/>
      </c>
      <c r="E1300" s="4" t="str">
        <f t="shared" si="1"/>
        <v>90377-Eau de coco-</v>
      </c>
      <c r="F1300" s="4">
        <v>0.0</v>
      </c>
      <c r="G1300" s="4">
        <v>30.0</v>
      </c>
      <c r="H1300" s="4">
        <v>13.0</v>
      </c>
      <c r="I1300" s="21">
        <f t="array" ref="I1300">XLOOKUP($A1300,product!A:A,product!E:E)</f>
        <v>3.02</v>
      </c>
      <c r="J1300" s="4">
        <f t="shared" si="2"/>
        <v>39.26</v>
      </c>
      <c r="K1300" s="22">
        <f t="shared" si="3"/>
        <v>1</v>
      </c>
      <c r="L1300" s="4">
        <f t="shared" si="4"/>
        <v>1</v>
      </c>
    </row>
    <row r="1301">
      <c r="A1301" s="23">
        <v>90375.0</v>
      </c>
      <c r="B1301" s="24" t="str">
        <f t="array" ref="B1301">xlookup($A1301,product!$A:$A,product!B:B)</f>
        <v>Boisson</v>
      </c>
      <c r="C1301" s="24" t="str">
        <f t="array" ref="C1301">xlookup($A1301,product!$A:$A,product!C:C)</f>
        <v>Eau de coco</v>
      </c>
      <c r="D1301" s="24" t="str">
        <f t="array" ref="D1301">xlookup($A1301,product!$A:$A,product!D:D)</f>
        <v/>
      </c>
      <c r="E1301" s="25" t="str">
        <f t="shared" si="1"/>
        <v>90375-Eau de coco-</v>
      </c>
      <c r="F1301" s="25">
        <v>1.0</v>
      </c>
      <c r="G1301" s="25">
        <v>676.0</v>
      </c>
      <c r="H1301" s="25">
        <v>276.0</v>
      </c>
      <c r="I1301" s="26">
        <f t="array" ref="I1301">XLOOKUP($A1301,product!A:A,product!E:E)</f>
        <v>1.78</v>
      </c>
      <c r="J1301" s="25">
        <f t="shared" si="2"/>
        <v>491.28</v>
      </c>
      <c r="K1301" s="27">
        <f t="shared" si="3"/>
        <v>1</v>
      </c>
      <c r="L1301" s="25">
        <f t="shared" si="4"/>
        <v>1</v>
      </c>
    </row>
    <row r="1302">
      <c r="A1302" s="19">
        <v>112073.0</v>
      </c>
      <c r="B1302" s="20" t="str">
        <f t="array" ref="B1302">xlookup($A1302,product!$A:$A,product!B:B)</f>
        <v>Epicerie sucrée</v>
      </c>
      <c r="C1302" s="20" t="str">
        <f t="array" ref="C1302">xlookup($A1302,product!$A:$A,product!C:C)</f>
        <v>Fruits secs</v>
      </c>
      <c r="D1302" s="20" t="str">
        <f t="array" ref="D1302">xlookup($A1302,product!$A:$A,product!D:D)</f>
        <v>Fruit confit</v>
      </c>
      <c r="E1302" s="4" t="str">
        <f t="shared" si="1"/>
        <v>112073-Fruits secs-Fruit confit</v>
      </c>
      <c r="F1302" s="4">
        <v>1.0</v>
      </c>
      <c r="G1302" s="4">
        <v>104.0</v>
      </c>
      <c r="H1302" s="4">
        <v>41.0</v>
      </c>
      <c r="I1302" s="21">
        <f t="array" ref="I1302">XLOOKUP($A1302,product!A:A,product!E:E)</f>
        <v>2.57</v>
      </c>
      <c r="J1302" s="4">
        <f t="shared" si="2"/>
        <v>105.37</v>
      </c>
      <c r="K1302" s="22">
        <f t="shared" si="3"/>
        <v>1</v>
      </c>
      <c r="L1302" s="4">
        <f t="shared" si="4"/>
        <v>1</v>
      </c>
    </row>
    <row r="1303">
      <c r="A1303" s="23">
        <v>101339.0</v>
      </c>
      <c r="B1303" s="24" t="str">
        <f t="array" ref="B1303">xlookup($A1303,product!$A:$A,product!B:B)</f>
        <v>Epicerie sucrée</v>
      </c>
      <c r="C1303" s="24" t="str">
        <f t="array" ref="C1303">xlookup($A1303,product!$A:$A,product!C:C)</f>
        <v>Fruits secs</v>
      </c>
      <c r="D1303" s="24" t="str">
        <f t="array" ref="D1303">xlookup($A1303,product!$A:$A,product!D:D)</f>
        <v>Fruit confit</v>
      </c>
      <c r="E1303" s="25" t="str">
        <f t="shared" si="1"/>
        <v>101339-Fruits secs-Fruit confit</v>
      </c>
      <c r="F1303" s="25">
        <v>1.0</v>
      </c>
      <c r="G1303" s="25">
        <v>511.0</v>
      </c>
      <c r="H1303" s="25">
        <v>491.0</v>
      </c>
      <c r="I1303" s="26">
        <f t="array" ref="I1303">XLOOKUP($A1303,product!A:A,product!E:E)</f>
        <v>5.24</v>
      </c>
      <c r="J1303" s="25">
        <f t="shared" si="2"/>
        <v>2572.84</v>
      </c>
      <c r="K1303" s="27">
        <f t="shared" si="3"/>
        <v>1</v>
      </c>
      <c r="L1303" s="25">
        <f t="shared" si="4"/>
        <v>1</v>
      </c>
    </row>
    <row r="1304">
      <c r="A1304" s="19">
        <v>92421.0</v>
      </c>
      <c r="B1304" s="20" t="str">
        <f t="array" ref="B1304">xlookup($A1304,product!$A:$A,product!B:B)</f>
        <v>Epicerie sucrée</v>
      </c>
      <c r="C1304" s="20" t="str">
        <f t="array" ref="C1304">xlookup($A1304,product!$A:$A,product!C:C)</f>
        <v>Fruits secs</v>
      </c>
      <c r="D1304" s="20" t="str">
        <f t="array" ref="D1304">xlookup($A1304,product!$A:$A,product!D:D)</f>
        <v>Fruit confit</v>
      </c>
      <c r="E1304" s="4" t="str">
        <f t="shared" si="1"/>
        <v>92421-Fruits secs-Fruit confit</v>
      </c>
      <c r="F1304" s="4">
        <v>1.0</v>
      </c>
      <c r="G1304" s="4">
        <v>621.0</v>
      </c>
      <c r="H1304" s="4">
        <v>431.0</v>
      </c>
      <c r="I1304" s="21">
        <f t="array" ref="I1304">XLOOKUP($A1304,product!A:A,product!E:E)</f>
        <v>1.22</v>
      </c>
      <c r="J1304" s="4">
        <f t="shared" si="2"/>
        <v>525.82</v>
      </c>
      <c r="K1304" s="22">
        <f t="shared" si="3"/>
        <v>1</v>
      </c>
      <c r="L1304" s="4">
        <f t="shared" si="4"/>
        <v>1</v>
      </c>
    </row>
    <row r="1305">
      <c r="A1305" s="23">
        <v>112079.0</v>
      </c>
      <c r="B1305" s="24" t="str">
        <f t="array" ref="B1305">xlookup($A1305,product!$A:$A,product!B:B)</f>
        <v>Epicerie sucrée</v>
      </c>
      <c r="C1305" s="24" t="str">
        <f t="array" ref="C1305">xlookup($A1305,product!$A:$A,product!C:C)</f>
        <v>Fruits secs</v>
      </c>
      <c r="D1305" s="24" t="str">
        <f t="array" ref="D1305">xlookup($A1305,product!$A:$A,product!D:D)</f>
        <v>Fruit confit</v>
      </c>
      <c r="E1305" s="25" t="str">
        <f t="shared" si="1"/>
        <v>112079-Fruits secs-Fruit confit</v>
      </c>
      <c r="F1305" s="25">
        <v>0.0</v>
      </c>
      <c r="G1305" s="25">
        <v>101.0</v>
      </c>
      <c r="H1305" s="25">
        <v>94.0</v>
      </c>
      <c r="I1305" s="26">
        <f t="array" ref="I1305">XLOOKUP($A1305,product!A:A,product!E:E)</f>
        <v>1.95</v>
      </c>
      <c r="J1305" s="25">
        <f t="shared" si="2"/>
        <v>183.3</v>
      </c>
      <c r="K1305" s="27">
        <f t="shared" si="3"/>
        <v>1</v>
      </c>
      <c r="L1305" s="25">
        <f t="shared" si="4"/>
        <v>1</v>
      </c>
    </row>
    <row r="1306">
      <c r="A1306" s="19">
        <v>44716.0</v>
      </c>
      <c r="B1306" s="20" t="str">
        <f t="array" ref="B1306">xlookup($A1306,product!$A:$A,product!B:B)</f>
        <v>Epicerie sucrée</v>
      </c>
      <c r="C1306" s="20" t="str">
        <f t="array" ref="C1306">xlookup($A1306,product!$A:$A,product!C:C)</f>
        <v>Fruits secs</v>
      </c>
      <c r="D1306" s="20" t="str">
        <f t="array" ref="D1306">xlookup($A1306,product!$A:$A,product!D:D)</f>
        <v>Fruit confit</v>
      </c>
      <c r="E1306" s="4" t="str">
        <f t="shared" si="1"/>
        <v>44716-Fruits secs-Fruit confit</v>
      </c>
      <c r="F1306" s="4">
        <v>0.0</v>
      </c>
      <c r="G1306" s="4">
        <v>595.0</v>
      </c>
      <c r="H1306" s="4">
        <v>62.0</v>
      </c>
      <c r="I1306" s="21">
        <f t="array" ref="I1306">XLOOKUP($A1306,product!A:A,product!E:E)</f>
        <v>1.27</v>
      </c>
      <c r="J1306" s="4">
        <f t="shared" si="2"/>
        <v>78.74</v>
      </c>
      <c r="K1306" s="22">
        <f t="shared" si="3"/>
        <v>1</v>
      </c>
      <c r="L1306" s="4">
        <f t="shared" si="4"/>
        <v>1</v>
      </c>
    </row>
    <row r="1307">
      <c r="A1307" s="23">
        <v>89640.0</v>
      </c>
      <c r="B1307" s="24" t="str">
        <f t="array" ref="B1307">xlookup($A1307,product!$A:$A,product!B:B)</f>
        <v>Epicerie sucrée</v>
      </c>
      <c r="C1307" s="24" t="str">
        <f t="array" ref="C1307">xlookup($A1307,product!$A:$A,product!C:C)</f>
        <v>Fruits secs</v>
      </c>
      <c r="D1307" s="24" t="str">
        <f t="array" ref="D1307">xlookup($A1307,product!$A:$A,product!D:D)</f>
        <v>Fruit confit</v>
      </c>
      <c r="E1307" s="25" t="str">
        <f t="shared" si="1"/>
        <v>89640-Fruits secs-Fruit confit</v>
      </c>
      <c r="F1307" s="25">
        <v>1.0</v>
      </c>
      <c r="G1307" s="25">
        <v>568.0</v>
      </c>
      <c r="H1307" s="25">
        <v>196.0</v>
      </c>
      <c r="I1307" s="26">
        <f t="array" ref="I1307">XLOOKUP($A1307,product!A:A,product!E:E)</f>
        <v>1.27</v>
      </c>
      <c r="J1307" s="25">
        <f t="shared" si="2"/>
        <v>248.92</v>
      </c>
      <c r="K1307" s="27">
        <f t="shared" si="3"/>
        <v>1</v>
      </c>
      <c r="L1307" s="25">
        <f t="shared" si="4"/>
        <v>1</v>
      </c>
    </row>
    <row r="1308">
      <c r="A1308" s="19">
        <v>112072.0</v>
      </c>
      <c r="B1308" s="20" t="str">
        <f t="array" ref="B1308">xlookup($A1308,product!$A:$A,product!B:B)</f>
        <v>Epicerie sucrée</v>
      </c>
      <c r="C1308" s="20" t="str">
        <f t="array" ref="C1308">xlookup($A1308,product!$A:$A,product!C:C)</f>
        <v>Fruits secs</v>
      </c>
      <c r="D1308" s="20" t="str">
        <f t="array" ref="D1308">xlookup($A1308,product!$A:$A,product!D:D)</f>
        <v>Fruit confit</v>
      </c>
      <c r="E1308" s="4" t="str">
        <f t="shared" si="1"/>
        <v>112072-Fruits secs-Fruit confit</v>
      </c>
      <c r="F1308" s="4">
        <v>1.0</v>
      </c>
      <c r="G1308" s="4">
        <v>117.0</v>
      </c>
      <c r="H1308" s="4">
        <v>12.0</v>
      </c>
      <c r="I1308" s="21">
        <f t="array" ref="I1308">XLOOKUP($A1308,product!A:A,product!E:E)</f>
        <v>3</v>
      </c>
      <c r="J1308" s="4">
        <f t="shared" si="2"/>
        <v>36</v>
      </c>
      <c r="K1308" s="22">
        <f t="shared" si="3"/>
        <v>1</v>
      </c>
      <c r="L1308" s="4">
        <f t="shared" si="4"/>
        <v>1</v>
      </c>
    </row>
    <row r="1309">
      <c r="A1309" s="23">
        <v>112991.0</v>
      </c>
      <c r="B1309" s="24" t="str">
        <f t="array" ref="B1309">xlookup($A1309,product!$A:$A,product!B:B)</f>
        <v>Epicerie sucrée</v>
      </c>
      <c r="C1309" s="24" t="str">
        <f t="array" ref="C1309">xlookup($A1309,product!$A:$A,product!C:C)</f>
        <v>Fruits secs</v>
      </c>
      <c r="D1309" s="24" t="str">
        <f t="array" ref="D1309">xlookup($A1309,product!$A:$A,product!D:D)</f>
        <v>Fruit confit</v>
      </c>
      <c r="E1309" s="25" t="str">
        <f t="shared" si="1"/>
        <v>112991-Fruits secs-Fruit confit</v>
      </c>
      <c r="F1309" s="25">
        <v>1.0</v>
      </c>
      <c r="G1309" s="25">
        <v>293.0</v>
      </c>
      <c r="H1309" s="25">
        <v>269.0</v>
      </c>
      <c r="I1309" s="26">
        <f t="array" ref="I1309">XLOOKUP($A1309,product!A:A,product!E:E)</f>
        <v>3.96</v>
      </c>
      <c r="J1309" s="25">
        <f t="shared" si="2"/>
        <v>1065.24</v>
      </c>
      <c r="K1309" s="27">
        <f t="shared" si="3"/>
        <v>1</v>
      </c>
      <c r="L1309" s="25">
        <f t="shared" si="4"/>
        <v>1</v>
      </c>
    </row>
    <row r="1310">
      <c r="A1310" s="19">
        <v>101587.0</v>
      </c>
      <c r="B1310" s="20" t="str">
        <f t="array" ref="B1310">xlookup($A1310,product!$A:$A,product!B:B)</f>
        <v>Epicerie sucrée</v>
      </c>
      <c r="C1310" s="20" t="str">
        <f t="array" ref="C1310">xlookup($A1310,product!$A:$A,product!C:C)</f>
        <v>Fruits secs</v>
      </c>
      <c r="D1310" s="20" t="str">
        <f t="array" ref="D1310">xlookup($A1310,product!$A:$A,product!D:D)</f>
        <v>Fruit séché</v>
      </c>
      <c r="E1310" s="4" t="str">
        <f t="shared" si="1"/>
        <v>101587-Fruits secs-Fruit séché</v>
      </c>
      <c r="F1310" s="4">
        <v>1.0</v>
      </c>
      <c r="G1310" s="4">
        <v>482.0</v>
      </c>
      <c r="H1310" s="4">
        <v>248.0</v>
      </c>
      <c r="I1310" s="21">
        <f t="array" ref="I1310">XLOOKUP($A1310,product!A:A,product!E:E)</f>
        <v>2.81</v>
      </c>
      <c r="J1310" s="4">
        <f t="shared" si="2"/>
        <v>696.88</v>
      </c>
      <c r="K1310" s="22">
        <f t="shared" si="3"/>
        <v>1</v>
      </c>
      <c r="L1310" s="4">
        <f t="shared" si="4"/>
        <v>1</v>
      </c>
    </row>
    <row r="1311">
      <c r="A1311" s="23">
        <v>10525.0</v>
      </c>
      <c r="B1311" s="24" t="str">
        <f t="array" ref="B1311">xlookup($A1311,product!$A:$A,product!B:B)</f>
        <v>Epicerie sucrée</v>
      </c>
      <c r="C1311" s="24" t="str">
        <f t="array" ref="C1311">xlookup($A1311,product!$A:$A,product!C:C)</f>
        <v>Fruits secs</v>
      </c>
      <c r="D1311" s="24" t="str">
        <f t="array" ref="D1311">xlookup($A1311,product!$A:$A,product!D:D)</f>
        <v>Fruit séché</v>
      </c>
      <c r="E1311" s="25" t="str">
        <f t="shared" si="1"/>
        <v>10525-Fruits secs-Fruit séché</v>
      </c>
      <c r="F1311" s="25">
        <v>0.0</v>
      </c>
      <c r="G1311" s="25">
        <v>572.0</v>
      </c>
      <c r="H1311" s="25">
        <v>104.0</v>
      </c>
      <c r="I1311" s="26">
        <f t="array" ref="I1311">XLOOKUP($A1311,product!A:A,product!E:E)</f>
        <v>2.44</v>
      </c>
      <c r="J1311" s="25">
        <f t="shared" si="2"/>
        <v>253.76</v>
      </c>
      <c r="K1311" s="27">
        <f t="shared" si="3"/>
        <v>1</v>
      </c>
      <c r="L1311" s="25">
        <f t="shared" si="4"/>
        <v>1</v>
      </c>
    </row>
    <row r="1312">
      <c r="A1312" s="19">
        <v>121349.0</v>
      </c>
      <c r="B1312" s="20" t="str">
        <f t="array" ref="B1312">xlookup($A1312,product!$A:$A,product!B:B)</f>
        <v>Epicerie sucrée</v>
      </c>
      <c r="C1312" s="20" t="str">
        <f t="array" ref="C1312">xlookup($A1312,product!$A:$A,product!C:C)</f>
        <v>Fruits secs</v>
      </c>
      <c r="D1312" s="20" t="str">
        <f t="array" ref="D1312">xlookup($A1312,product!$A:$A,product!D:D)</f>
        <v>Fruit séché</v>
      </c>
      <c r="E1312" s="4" t="str">
        <f t="shared" si="1"/>
        <v>121349-Fruits secs-Fruit séché</v>
      </c>
      <c r="F1312" s="4">
        <v>1.0</v>
      </c>
      <c r="G1312" s="4">
        <v>192.0</v>
      </c>
      <c r="H1312" s="4">
        <v>131.0</v>
      </c>
      <c r="I1312" s="21">
        <f t="array" ref="I1312">XLOOKUP($A1312,product!A:A,product!E:E)</f>
        <v>1.33</v>
      </c>
      <c r="J1312" s="4">
        <f t="shared" si="2"/>
        <v>174.23</v>
      </c>
      <c r="K1312" s="22">
        <f t="shared" si="3"/>
        <v>1</v>
      </c>
      <c r="L1312" s="4">
        <f t="shared" si="4"/>
        <v>1</v>
      </c>
    </row>
    <row r="1313">
      <c r="A1313" s="23">
        <v>127811.0</v>
      </c>
      <c r="B1313" s="24" t="str">
        <f t="array" ref="B1313">xlookup($A1313,product!$A:$A,product!B:B)</f>
        <v>Epicerie sucrée</v>
      </c>
      <c r="C1313" s="24" t="str">
        <f t="array" ref="C1313">xlookup($A1313,product!$A:$A,product!C:C)</f>
        <v>Fruits secs</v>
      </c>
      <c r="D1313" s="24" t="str">
        <f t="array" ref="D1313">xlookup($A1313,product!$A:$A,product!D:D)</f>
        <v>Fruit séché</v>
      </c>
      <c r="E1313" s="25" t="str">
        <f t="shared" si="1"/>
        <v>127811-Fruits secs-Fruit séché</v>
      </c>
      <c r="F1313" s="25">
        <v>1.0</v>
      </c>
      <c r="G1313" s="25">
        <v>446.0</v>
      </c>
      <c r="H1313" s="25">
        <v>367.0</v>
      </c>
      <c r="I1313" s="26">
        <f t="array" ref="I1313">XLOOKUP($A1313,product!A:A,product!E:E)</f>
        <v>3.16</v>
      </c>
      <c r="J1313" s="25">
        <f t="shared" si="2"/>
        <v>1159.72</v>
      </c>
      <c r="K1313" s="27">
        <f t="shared" si="3"/>
        <v>1</v>
      </c>
      <c r="L1313" s="25">
        <f t="shared" si="4"/>
        <v>1</v>
      </c>
    </row>
    <row r="1314">
      <c r="A1314" s="19">
        <v>81507.0</v>
      </c>
      <c r="B1314" s="20" t="str">
        <f t="array" ref="B1314">xlookup($A1314,product!$A:$A,product!B:B)</f>
        <v>Epicerie sucrée</v>
      </c>
      <c r="C1314" s="20" t="str">
        <f t="array" ref="C1314">xlookup($A1314,product!$A:$A,product!C:C)</f>
        <v>Fruits secs</v>
      </c>
      <c r="D1314" s="20" t="str">
        <f t="array" ref="D1314">xlookup($A1314,product!$A:$A,product!D:D)</f>
        <v>Fruit séché</v>
      </c>
      <c r="E1314" s="4" t="str">
        <f t="shared" si="1"/>
        <v>81507-Fruits secs-Fruit séché</v>
      </c>
      <c r="F1314" s="4">
        <v>1.0</v>
      </c>
      <c r="G1314" s="4">
        <v>67.0</v>
      </c>
      <c r="H1314" s="4">
        <v>5.0</v>
      </c>
      <c r="I1314" s="21">
        <f t="array" ref="I1314">XLOOKUP($A1314,product!A:A,product!E:E)</f>
        <v>8.37</v>
      </c>
      <c r="J1314" s="4">
        <f t="shared" si="2"/>
        <v>41.85</v>
      </c>
      <c r="K1314" s="22">
        <f t="shared" si="3"/>
        <v>1</v>
      </c>
      <c r="L1314" s="4">
        <f t="shared" si="4"/>
        <v>1</v>
      </c>
    </row>
    <row r="1315">
      <c r="A1315" s="23">
        <v>78412.0</v>
      </c>
      <c r="B1315" s="24" t="str">
        <f t="array" ref="B1315">xlookup($A1315,product!$A:$A,product!B:B)</f>
        <v>Epicerie sucrée</v>
      </c>
      <c r="C1315" s="24" t="str">
        <f t="array" ref="C1315">xlookup($A1315,product!$A:$A,product!C:C)</f>
        <v>Fruits secs</v>
      </c>
      <c r="D1315" s="24" t="str">
        <f t="array" ref="D1315">xlookup($A1315,product!$A:$A,product!D:D)</f>
        <v>Fruit séché</v>
      </c>
      <c r="E1315" s="25" t="str">
        <f t="shared" si="1"/>
        <v>78412-Fruits secs-Fruit séché</v>
      </c>
      <c r="F1315" s="25">
        <v>0.0</v>
      </c>
      <c r="G1315" s="25">
        <v>920.0</v>
      </c>
      <c r="H1315" s="25">
        <v>787.0</v>
      </c>
      <c r="I1315" s="26">
        <f t="array" ref="I1315">XLOOKUP($A1315,product!A:A,product!E:E)</f>
        <v>2.02</v>
      </c>
      <c r="J1315" s="25">
        <f t="shared" si="2"/>
        <v>1589.74</v>
      </c>
      <c r="K1315" s="27">
        <f t="shared" si="3"/>
        <v>1</v>
      </c>
      <c r="L1315" s="25">
        <f t="shared" si="4"/>
        <v>1</v>
      </c>
    </row>
    <row r="1316">
      <c r="A1316" s="19">
        <v>109312.0</v>
      </c>
      <c r="B1316" s="20" t="str">
        <f t="array" ref="B1316">xlookup($A1316,product!$A:$A,product!B:B)</f>
        <v>Epicerie sucrée</v>
      </c>
      <c r="C1316" s="20" t="str">
        <f t="array" ref="C1316">xlookup($A1316,product!$A:$A,product!C:C)</f>
        <v>Fruits secs</v>
      </c>
      <c r="D1316" s="20" t="str">
        <f t="array" ref="D1316">xlookup($A1316,product!$A:$A,product!D:D)</f>
        <v>Fruit séché</v>
      </c>
      <c r="E1316" s="4" t="str">
        <f t="shared" si="1"/>
        <v>109312-Fruits secs-Fruit séché</v>
      </c>
      <c r="F1316" s="4">
        <v>0.0</v>
      </c>
      <c r="G1316" s="4">
        <v>457.0</v>
      </c>
      <c r="H1316" s="4">
        <v>450.0</v>
      </c>
      <c r="I1316" s="21">
        <f t="array" ref="I1316">XLOOKUP($A1316,product!A:A,product!E:E)</f>
        <v>1.7</v>
      </c>
      <c r="J1316" s="4">
        <f t="shared" si="2"/>
        <v>765</v>
      </c>
      <c r="K1316" s="22">
        <f t="shared" si="3"/>
        <v>1</v>
      </c>
      <c r="L1316" s="4">
        <f t="shared" si="4"/>
        <v>1</v>
      </c>
    </row>
    <row r="1317">
      <c r="A1317" s="23">
        <v>78502.0</v>
      </c>
      <c r="B1317" s="24" t="str">
        <f t="array" ref="B1317">xlookup($A1317,product!$A:$A,product!B:B)</f>
        <v>Epicerie sucrée</v>
      </c>
      <c r="C1317" s="24" t="str">
        <f t="array" ref="C1317">xlookup($A1317,product!$A:$A,product!C:C)</f>
        <v>Fruits secs</v>
      </c>
      <c r="D1317" s="24" t="str">
        <f t="array" ref="D1317">xlookup($A1317,product!$A:$A,product!D:D)</f>
        <v>Fruit séché</v>
      </c>
      <c r="E1317" s="25" t="str">
        <f t="shared" si="1"/>
        <v>78502-Fruits secs-Fruit séché</v>
      </c>
      <c r="F1317" s="25">
        <v>1.0</v>
      </c>
      <c r="G1317" s="25">
        <v>968.0</v>
      </c>
      <c r="H1317" s="25">
        <v>927.0</v>
      </c>
      <c r="I1317" s="26">
        <f t="array" ref="I1317">XLOOKUP($A1317,product!A:A,product!E:E)</f>
        <v>4.75</v>
      </c>
      <c r="J1317" s="25">
        <f t="shared" si="2"/>
        <v>4403.25</v>
      </c>
      <c r="K1317" s="27">
        <f t="shared" si="3"/>
        <v>1</v>
      </c>
      <c r="L1317" s="25">
        <f t="shared" si="4"/>
        <v>1</v>
      </c>
    </row>
    <row r="1318">
      <c r="A1318" s="19">
        <v>111498.0</v>
      </c>
      <c r="B1318" s="20" t="str">
        <f t="array" ref="B1318">xlookup($A1318,product!$A:$A,product!B:B)</f>
        <v>Epicerie sucrée</v>
      </c>
      <c r="C1318" s="20" t="str">
        <f t="array" ref="C1318">xlookup($A1318,product!$A:$A,product!C:C)</f>
        <v>Fruits secs</v>
      </c>
      <c r="D1318" s="20" t="str">
        <f t="array" ref="D1318">xlookup($A1318,product!$A:$A,product!D:D)</f>
        <v>Fruit séché</v>
      </c>
      <c r="E1318" s="4" t="str">
        <f t="shared" si="1"/>
        <v>111498-Fruits secs-Fruit séché</v>
      </c>
      <c r="F1318" s="4">
        <v>0.0</v>
      </c>
      <c r="G1318" s="4">
        <v>869.0</v>
      </c>
      <c r="H1318" s="4">
        <v>472.0</v>
      </c>
      <c r="I1318" s="21">
        <f t="array" ref="I1318">XLOOKUP($A1318,product!A:A,product!E:E)</f>
        <v>1.69</v>
      </c>
      <c r="J1318" s="4">
        <f t="shared" si="2"/>
        <v>797.68</v>
      </c>
      <c r="K1318" s="22">
        <f t="shared" si="3"/>
        <v>1</v>
      </c>
      <c r="L1318" s="4">
        <f t="shared" si="4"/>
        <v>1</v>
      </c>
    </row>
    <row r="1319">
      <c r="A1319" s="23">
        <v>87242.0</v>
      </c>
      <c r="B1319" s="24" t="str">
        <f t="array" ref="B1319">xlookup($A1319,product!$A:$A,product!B:B)</f>
        <v>Epicerie sucrée</v>
      </c>
      <c r="C1319" s="24" t="str">
        <f t="array" ref="C1319">xlookup($A1319,product!$A:$A,product!C:C)</f>
        <v>Fruits secs</v>
      </c>
      <c r="D1319" s="24" t="str">
        <f t="array" ref="D1319">xlookup($A1319,product!$A:$A,product!D:D)</f>
        <v>Fruit séché</v>
      </c>
      <c r="E1319" s="25" t="str">
        <f t="shared" si="1"/>
        <v>87242-Fruits secs-Fruit séché</v>
      </c>
      <c r="F1319" s="25">
        <v>0.0</v>
      </c>
      <c r="G1319" s="25">
        <v>739.0</v>
      </c>
      <c r="H1319" s="25">
        <v>535.0</v>
      </c>
      <c r="I1319" s="26">
        <f t="array" ref="I1319">XLOOKUP($A1319,product!A:A,product!E:E)</f>
        <v>3.66</v>
      </c>
      <c r="J1319" s="25">
        <f t="shared" si="2"/>
        <v>1958.1</v>
      </c>
      <c r="K1319" s="27">
        <f t="shared" si="3"/>
        <v>1</v>
      </c>
      <c r="L1319" s="25">
        <f t="shared" si="4"/>
        <v>1</v>
      </c>
    </row>
    <row r="1320">
      <c r="A1320" s="19">
        <v>139286.0</v>
      </c>
      <c r="B1320" s="20" t="str">
        <f t="array" ref="B1320">xlookup($A1320,product!$A:$A,product!B:B)</f>
        <v>Epicerie sucrée</v>
      </c>
      <c r="C1320" s="20" t="str">
        <f t="array" ref="C1320">xlookup($A1320,product!$A:$A,product!C:C)</f>
        <v>Fruits secs</v>
      </c>
      <c r="D1320" s="20" t="str">
        <f t="array" ref="D1320">xlookup($A1320,product!$A:$A,product!D:D)</f>
        <v>Fruit séché</v>
      </c>
      <c r="E1320" s="4" t="str">
        <f t="shared" si="1"/>
        <v>139286-Fruits secs-Fruit séché</v>
      </c>
      <c r="F1320" s="4">
        <v>1.0</v>
      </c>
      <c r="G1320" s="4">
        <v>204.0</v>
      </c>
      <c r="H1320" s="4">
        <v>121.0</v>
      </c>
      <c r="I1320" s="21">
        <f t="array" ref="I1320">XLOOKUP($A1320,product!A:A,product!E:E)</f>
        <v>2.77</v>
      </c>
      <c r="J1320" s="4">
        <f t="shared" si="2"/>
        <v>335.17</v>
      </c>
      <c r="K1320" s="22">
        <f t="shared" si="3"/>
        <v>1</v>
      </c>
      <c r="L1320" s="4">
        <f t="shared" si="4"/>
        <v>1</v>
      </c>
    </row>
    <row r="1321">
      <c r="A1321" s="23">
        <v>10524.0</v>
      </c>
      <c r="B1321" s="24" t="str">
        <f t="array" ref="B1321">xlookup($A1321,product!$A:$A,product!B:B)</f>
        <v>Epicerie sucrée</v>
      </c>
      <c r="C1321" s="24" t="str">
        <f t="array" ref="C1321">xlookup($A1321,product!$A:$A,product!C:C)</f>
        <v>Fruits secs</v>
      </c>
      <c r="D1321" s="24" t="str">
        <f t="array" ref="D1321">xlookup($A1321,product!$A:$A,product!D:D)</f>
        <v>Fruit séché</v>
      </c>
      <c r="E1321" s="25" t="str">
        <f t="shared" si="1"/>
        <v>10524-Fruits secs-Fruit séché</v>
      </c>
      <c r="F1321" s="25">
        <v>0.0</v>
      </c>
      <c r="G1321" s="25">
        <v>52.0</v>
      </c>
      <c r="H1321" s="25">
        <v>1.0</v>
      </c>
      <c r="I1321" s="26">
        <f t="array" ref="I1321">XLOOKUP($A1321,product!A:A,product!E:E)</f>
        <v>4.71</v>
      </c>
      <c r="J1321" s="25">
        <f t="shared" si="2"/>
        <v>4.71</v>
      </c>
      <c r="K1321" s="27">
        <f t="shared" si="3"/>
        <v>1</v>
      </c>
      <c r="L1321" s="25">
        <f t="shared" si="4"/>
        <v>1</v>
      </c>
    </row>
    <row r="1322">
      <c r="A1322" s="19">
        <v>78397.0</v>
      </c>
      <c r="B1322" s="20" t="str">
        <f t="array" ref="B1322">xlookup($A1322,product!$A:$A,product!B:B)</f>
        <v>Epicerie sucrée</v>
      </c>
      <c r="C1322" s="20" t="str">
        <f t="array" ref="C1322">xlookup($A1322,product!$A:$A,product!C:C)</f>
        <v>Fruits secs</v>
      </c>
      <c r="D1322" s="20" t="str">
        <f t="array" ref="D1322">xlookup($A1322,product!$A:$A,product!D:D)</f>
        <v>Fruit séché</v>
      </c>
      <c r="E1322" s="4" t="str">
        <f t="shared" si="1"/>
        <v>78397-Fruits secs-Fruit séché</v>
      </c>
      <c r="F1322" s="4">
        <v>1.0</v>
      </c>
      <c r="G1322" s="4">
        <v>854.0</v>
      </c>
      <c r="H1322" s="4">
        <v>841.0</v>
      </c>
      <c r="I1322" s="21">
        <f t="array" ref="I1322">XLOOKUP($A1322,product!A:A,product!E:E)</f>
        <v>2.33</v>
      </c>
      <c r="J1322" s="4">
        <f t="shared" si="2"/>
        <v>1959.53</v>
      </c>
      <c r="K1322" s="22">
        <f t="shared" si="3"/>
        <v>1</v>
      </c>
      <c r="L1322" s="4">
        <f t="shared" si="4"/>
        <v>1</v>
      </c>
    </row>
    <row r="1323">
      <c r="A1323" s="23">
        <v>78421.0</v>
      </c>
      <c r="B1323" s="24" t="str">
        <f t="array" ref="B1323">xlookup($A1323,product!$A:$A,product!B:B)</f>
        <v>Epicerie sucrée</v>
      </c>
      <c r="C1323" s="24" t="str">
        <f t="array" ref="C1323">xlookup($A1323,product!$A:$A,product!C:C)</f>
        <v>Fruits secs</v>
      </c>
      <c r="D1323" s="24" t="str">
        <f t="array" ref="D1323">xlookup($A1323,product!$A:$A,product!D:D)</f>
        <v>Fruit séché</v>
      </c>
      <c r="E1323" s="25" t="str">
        <f t="shared" si="1"/>
        <v>78421-Fruits secs-Fruit séché</v>
      </c>
      <c r="F1323" s="25">
        <v>0.0</v>
      </c>
      <c r="G1323" s="25">
        <v>345.0</v>
      </c>
      <c r="H1323" s="25">
        <v>113.0</v>
      </c>
      <c r="I1323" s="26">
        <f t="array" ref="I1323">XLOOKUP($A1323,product!A:A,product!E:E)</f>
        <v>1.7</v>
      </c>
      <c r="J1323" s="25">
        <f t="shared" si="2"/>
        <v>192.1</v>
      </c>
      <c r="K1323" s="27">
        <f t="shared" si="3"/>
        <v>1</v>
      </c>
      <c r="L1323" s="25">
        <f t="shared" si="4"/>
        <v>1</v>
      </c>
    </row>
    <row r="1324">
      <c r="A1324" s="19">
        <v>23420.0</v>
      </c>
      <c r="B1324" s="20" t="str">
        <f t="array" ref="B1324">xlookup($A1324,product!$A:$A,product!B:B)</f>
        <v>Epicerie sucrée</v>
      </c>
      <c r="C1324" s="20" t="str">
        <f t="array" ref="C1324">xlookup($A1324,product!$A:$A,product!C:C)</f>
        <v>Fruits secs</v>
      </c>
      <c r="D1324" s="20" t="str">
        <f t="array" ref="D1324">xlookup($A1324,product!$A:$A,product!D:D)</f>
        <v>Fruit séché</v>
      </c>
      <c r="E1324" s="4" t="str">
        <f t="shared" si="1"/>
        <v>23420-Fruits secs-Fruit séché</v>
      </c>
      <c r="F1324" s="4">
        <v>1.0</v>
      </c>
      <c r="G1324" s="4">
        <v>164.0</v>
      </c>
      <c r="H1324" s="4">
        <v>90.0</v>
      </c>
      <c r="I1324" s="21">
        <f t="array" ref="I1324">XLOOKUP($A1324,product!A:A,product!E:E)</f>
        <v>11.09</v>
      </c>
      <c r="J1324" s="4">
        <f t="shared" si="2"/>
        <v>998.1</v>
      </c>
      <c r="K1324" s="22">
        <f t="shared" si="3"/>
        <v>1</v>
      </c>
      <c r="L1324" s="4">
        <f t="shared" si="4"/>
        <v>1</v>
      </c>
    </row>
    <row r="1325">
      <c r="A1325" s="23">
        <v>78498.0</v>
      </c>
      <c r="B1325" s="24" t="str">
        <f t="array" ref="B1325">xlookup($A1325,product!$A:$A,product!B:B)</f>
        <v>Epicerie sucrée</v>
      </c>
      <c r="C1325" s="24" t="str">
        <f t="array" ref="C1325">xlookup($A1325,product!$A:$A,product!C:C)</f>
        <v>Fruits secs</v>
      </c>
      <c r="D1325" s="24" t="str">
        <f t="array" ref="D1325">xlookup($A1325,product!$A:$A,product!D:D)</f>
        <v>Fruit séché</v>
      </c>
      <c r="E1325" s="25" t="str">
        <f t="shared" si="1"/>
        <v>78498-Fruits secs-Fruit séché</v>
      </c>
      <c r="F1325" s="25">
        <v>1.0</v>
      </c>
      <c r="G1325" s="25">
        <v>941.0</v>
      </c>
      <c r="H1325" s="25">
        <v>609.0</v>
      </c>
      <c r="I1325" s="26">
        <f t="array" ref="I1325">XLOOKUP($A1325,product!A:A,product!E:E)</f>
        <v>9</v>
      </c>
      <c r="J1325" s="25">
        <f t="shared" si="2"/>
        <v>5481</v>
      </c>
      <c r="K1325" s="27">
        <f t="shared" si="3"/>
        <v>1</v>
      </c>
      <c r="L1325" s="25">
        <f t="shared" si="4"/>
        <v>1</v>
      </c>
    </row>
    <row r="1326">
      <c r="A1326" s="19">
        <v>78427.0</v>
      </c>
      <c r="B1326" s="20" t="str">
        <f t="array" ref="B1326">xlookup($A1326,product!$A:$A,product!B:B)</f>
        <v>Epicerie sucrée</v>
      </c>
      <c r="C1326" s="20" t="str">
        <f t="array" ref="C1326">xlookup($A1326,product!$A:$A,product!C:C)</f>
        <v>Fruits secs</v>
      </c>
      <c r="D1326" s="20" t="str">
        <f t="array" ref="D1326">xlookup($A1326,product!$A:$A,product!D:D)</f>
        <v>Fruit séché</v>
      </c>
      <c r="E1326" s="4" t="str">
        <f t="shared" si="1"/>
        <v>78427-Fruits secs-Fruit séché</v>
      </c>
      <c r="F1326" s="4">
        <v>0.0</v>
      </c>
      <c r="G1326" s="4">
        <v>835.0</v>
      </c>
      <c r="H1326" s="4">
        <v>556.0</v>
      </c>
      <c r="I1326" s="21">
        <f t="array" ref="I1326">XLOOKUP($A1326,product!A:A,product!E:E)</f>
        <v>4.91</v>
      </c>
      <c r="J1326" s="4">
        <f t="shared" si="2"/>
        <v>2729.96</v>
      </c>
      <c r="K1326" s="22">
        <f t="shared" si="3"/>
        <v>1</v>
      </c>
      <c r="L1326" s="4">
        <f t="shared" si="4"/>
        <v>1</v>
      </c>
    </row>
    <row r="1327">
      <c r="A1327" s="23">
        <v>119256.0</v>
      </c>
      <c r="B1327" s="24" t="str">
        <f t="array" ref="B1327">xlookup($A1327,product!$A:$A,product!B:B)</f>
        <v>Epicerie sucrée</v>
      </c>
      <c r="C1327" s="24" t="str">
        <f t="array" ref="C1327">xlookup($A1327,product!$A:$A,product!C:C)</f>
        <v>Fruits secs</v>
      </c>
      <c r="D1327" s="24" t="str">
        <f t="array" ref="D1327">xlookup($A1327,product!$A:$A,product!D:D)</f>
        <v>Fruit séché</v>
      </c>
      <c r="E1327" s="25" t="str">
        <f t="shared" si="1"/>
        <v>119256-Fruits secs-Fruit séché</v>
      </c>
      <c r="F1327" s="25">
        <v>0.0</v>
      </c>
      <c r="G1327" s="25">
        <v>171.0</v>
      </c>
      <c r="H1327" s="25">
        <v>78.0</v>
      </c>
      <c r="I1327" s="26">
        <f t="array" ref="I1327">XLOOKUP($A1327,product!A:A,product!E:E)</f>
        <v>1.54</v>
      </c>
      <c r="J1327" s="25">
        <f t="shared" si="2"/>
        <v>120.12</v>
      </c>
      <c r="K1327" s="27">
        <f t="shared" si="3"/>
        <v>1</v>
      </c>
      <c r="L1327" s="25">
        <f t="shared" si="4"/>
        <v>1</v>
      </c>
    </row>
    <row r="1328">
      <c r="A1328" s="19">
        <v>44731.0</v>
      </c>
      <c r="B1328" s="20" t="str">
        <f t="array" ref="B1328">xlookup($A1328,product!$A:$A,product!B:B)</f>
        <v>Epicerie sucrée</v>
      </c>
      <c r="C1328" s="20" t="str">
        <f t="array" ref="C1328">xlookup($A1328,product!$A:$A,product!C:C)</f>
        <v>Fruits secs</v>
      </c>
      <c r="D1328" s="20" t="str">
        <f t="array" ref="D1328">xlookup($A1328,product!$A:$A,product!D:D)</f>
        <v>Fruit séché</v>
      </c>
      <c r="E1328" s="4" t="str">
        <f t="shared" si="1"/>
        <v>44731-Fruits secs-Fruit séché</v>
      </c>
      <c r="F1328" s="4">
        <v>1.0</v>
      </c>
      <c r="G1328" s="4">
        <v>685.0</v>
      </c>
      <c r="H1328" s="4">
        <v>590.0</v>
      </c>
      <c r="I1328" s="21">
        <f t="array" ref="I1328">XLOOKUP($A1328,product!A:A,product!E:E)</f>
        <v>7.61</v>
      </c>
      <c r="J1328" s="4">
        <f t="shared" si="2"/>
        <v>4489.9</v>
      </c>
      <c r="K1328" s="22">
        <f t="shared" si="3"/>
        <v>1</v>
      </c>
      <c r="L1328" s="4">
        <f t="shared" si="4"/>
        <v>1</v>
      </c>
    </row>
    <row r="1329">
      <c r="A1329" s="23">
        <v>86852.0</v>
      </c>
      <c r="B1329" s="24" t="str">
        <f t="array" ref="B1329">xlookup($A1329,product!$A:$A,product!B:B)</f>
        <v>Epicerie sucrée</v>
      </c>
      <c r="C1329" s="24" t="str">
        <f t="array" ref="C1329">xlookup($A1329,product!$A:$A,product!C:C)</f>
        <v>Fruits secs</v>
      </c>
      <c r="D1329" s="24" t="str">
        <f t="array" ref="D1329">xlookup($A1329,product!$A:$A,product!D:D)</f>
        <v>Fruit séché</v>
      </c>
      <c r="E1329" s="25" t="str">
        <f t="shared" si="1"/>
        <v>86852-Fruits secs-Fruit séché</v>
      </c>
      <c r="F1329" s="25">
        <v>0.0</v>
      </c>
      <c r="G1329" s="25">
        <v>868.0</v>
      </c>
      <c r="H1329" s="25">
        <v>322.0</v>
      </c>
      <c r="I1329" s="26">
        <f t="array" ref="I1329">XLOOKUP($A1329,product!A:A,product!E:E)</f>
        <v>1.89</v>
      </c>
      <c r="J1329" s="25">
        <f t="shared" si="2"/>
        <v>608.58</v>
      </c>
      <c r="K1329" s="27">
        <f t="shared" si="3"/>
        <v>1</v>
      </c>
      <c r="L1329" s="25">
        <f t="shared" si="4"/>
        <v>1</v>
      </c>
    </row>
    <row r="1330">
      <c r="A1330" s="19">
        <v>103137.0</v>
      </c>
      <c r="B1330" s="20" t="str">
        <f t="array" ref="B1330">xlookup($A1330,product!$A:$A,product!B:B)</f>
        <v>Epicerie sucrée</v>
      </c>
      <c r="C1330" s="20" t="str">
        <f t="array" ref="C1330">xlookup($A1330,product!$A:$A,product!C:C)</f>
        <v>Fruits secs</v>
      </c>
      <c r="D1330" s="20" t="str">
        <f t="array" ref="D1330">xlookup($A1330,product!$A:$A,product!D:D)</f>
        <v>Fruit séché</v>
      </c>
      <c r="E1330" s="4" t="str">
        <f t="shared" si="1"/>
        <v>103137-Fruits secs-Fruit séché</v>
      </c>
      <c r="F1330" s="4">
        <v>0.0</v>
      </c>
      <c r="G1330" s="4">
        <v>671.0</v>
      </c>
      <c r="H1330" s="4">
        <v>164.0</v>
      </c>
      <c r="I1330" s="21">
        <f t="array" ref="I1330">XLOOKUP($A1330,product!A:A,product!E:E)</f>
        <v>1.36</v>
      </c>
      <c r="J1330" s="4">
        <f t="shared" si="2"/>
        <v>223.04</v>
      </c>
      <c r="K1330" s="22">
        <f t="shared" si="3"/>
        <v>1</v>
      </c>
      <c r="L1330" s="4">
        <f t="shared" si="4"/>
        <v>1</v>
      </c>
    </row>
    <row r="1331">
      <c r="A1331" s="23">
        <v>95079.0</v>
      </c>
      <c r="B1331" s="24" t="str">
        <f t="array" ref="B1331">xlookup($A1331,product!$A:$A,product!B:B)</f>
        <v>Epicerie sucrée</v>
      </c>
      <c r="C1331" s="24" t="str">
        <f t="array" ref="C1331">xlookup($A1331,product!$A:$A,product!C:C)</f>
        <v>Fruits secs</v>
      </c>
      <c r="D1331" s="24" t="str">
        <f t="array" ref="D1331">xlookup($A1331,product!$A:$A,product!D:D)</f>
        <v>Fruit séché</v>
      </c>
      <c r="E1331" s="25" t="str">
        <f t="shared" si="1"/>
        <v>95079-Fruits secs-Fruit séché</v>
      </c>
      <c r="F1331" s="25">
        <v>0.0</v>
      </c>
      <c r="G1331" s="25">
        <v>252.0</v>
      </c>
      <c r="H1331" s="25">
        <v>234.0</v>
      </c>
      <c r="I1331" s="26">
        <f t="array" ref="I1331">XLOOKUP($A1331,product!A:A,product!E:E)</f>
        <v>4.35</v>
      </c>
      <c r="J1331" s="25">
        <f t="shared" si="2"/>
        <v>1017.9</v>
      </c>
      <c r="K1331" s="27">
        <f t="shared" si="3"/>
        <v>1</v>
      </c>
      <c r="L1331" s="25">
        <f t="shared" si="4"/>
        <v>1</v>
      </c>
    </row>
    <row r="1332">
      <c r="A1332" s="19">
        <v>121568.0</v>
      </c>
      <c r="B1332" s="20" t="str">
        <f t="array" ref="B1332">xlookup($A1332,product!$A:$A,product!B:B)</f>
        <v>Epicerie sucrée</v>
      </c>
      <c r="C1332" s="20" t="str">
        <f t="array" ref="C1332">xlookup($A1332,product!$A:$A,product!C:C)</f>
        <v>Fruits secs</v>
      </c>
      <c r="D1332" s="20" t="str">
        <f t="array" ref="D1332">xlookup($A1332,product!$A:$A,product!D:D)</f>
        <v>Fruit séché</v>
      </c>
      <c r="E1332" s="4" t="str">
        <f t="shared" si="1"/>
        <v>121568-Fruits secs-Fruit séché</v>
      </c>
      <c r="F1332" s="4">
        <v>1.0</v>
      </c>
      <c r="G1332" s="4">
        <v>502.0</v>
      </c>
      <c r="H1332" s="4">
        <v>356.0</v>
      </c>
      <c r="I1332" s="21">
        <f t="array" ref="I1332">XLOOKUP($A1332,product!A:A,product!E:E)</f>
        <v>8.48</v>
      </c>
      <c r="J1332" s="4">
        <f t="shared" si="2"/>
        <v>3018.88</v>
      </c>
      <c r="K1332" s="22">
        <f t="shared" si="3"/>
        <v>1</v>
      </c>
      <c r="L1332" s="4">
        <f t="shared" si="4"/>
        <v>1</v>
      </c>
    </row>
    <row r="1333">
      <c r="A1333" s="23">
        <v>89645.0</v>
      </c>
      <c r="B1333" s="24" t="str">
        <f t="array" ref="B1333">xlookup($A1333,product!$A:$A,product!B:B)</f>
        <v>Epicerie sucrée</v>
      </c>
      <c r="C1333" s="24" t="str">
        <f t="array" ref="C1333">xlookup($A1333,product!$A:$A,product!C:C)</f>
        <v>Fruits secs</v>
      </c>
      <c r="D1333" s="24" t="str">
        <f t="array" ref="D1333">xlookup($A1333,product!$A:$A,product!D:D)</f>
        <v>Fruit séché</v>
      </c>
      <c r="E1333" s="25" t="str">
        <f t="shared" si="1"/>
        <v>89645-Fruits secs-Fruit séché</v>
      </c>
      <c r="F1333" s="25">
        <v>0.0</v>
      </c>
      <c r="G1333" s="25">
        <v>23.0</v>
      </c>
      <c r="H1333" s="25">
        <v>12.0</v>
      </c>
      <c r="I1333" s="26">
        <f t="array" ref="I1333">XLOOKUP($A1333,product!A:A,product!E:E)</f>
        <v>2.55</v>
      </c>
      <c r="J1333" s="25">
        <f t="shared" si="2"/>
        <v>30.6</v>
      </c>
      <c r="K1333" s="27">
        <f t="shared" si="3"/>
        <v>1</v>
      </c>
      <c r="L1333" s="25">
        <f t="shared" si="4"/>
        <v>1</v>
      </c>
    </row>
    <row r="1334">
      <c r="A1334" s="19">
        <v>44691.0</v>
      </c>
      <c r="B1334" s="20" t="str">
        <f t="array" ref="B1334">xlookup($A1334,product!$A:$A,product!B:B)</f>
        <v>Epicerie sucrée</v>
      </c>
      <c r="C1334" s="20" t="str">
        <f t="array" ref="C1334">xlookup($A1334,product!$A:$A,product!C:C)</f>
        <v>Fruits secs</v>
      </c>
      <c r="D1334" s="20" t="str">
        <f t="array" ref="D1334">xlookup($A1334,product!$A:$A,product!D:D)</f>
        <v>Fruit séché</v>
      </c>
      <c r="E1334" s="4" t="str">
        <f t="shared" si="1"/>
        <v>44691-Fruits secs-Fruit séché</v>
      </c>
      <c r="F1334" s="4">
        <v>0.0</v>
      </c>
      <c r="G1334" s="4">
        <v>18.0</v>
      </c>
      <c r="H1334" s="4">
        <v>6.0</v>
      </c>
      <c r="I1334" s="21">
        <f t="array" ref="I1334">XLOOKUP($A1334,product!A:A,product!E:E)</f>
        <v>1.39</v>
      </c>
      <c r="J1334" s="4">
        <f t="shared" si="2"/>
        <v>8.34</v>
      </c>
      <c r="K1334" s="22">
        <f t="shared" si="3"/>
        <v>1</v>
      </c>
      <c r="L1334" s="4">
        <f t="shared" si="4"/>
        <v>1</v>
      </c>
    </row>
    <row r="1335">
      <c r="A1335" s="23">
        <v>94055.0</v>
      </c>
      <c r="B1335" s="24" t="str">
        <f t="array" ref="B1335">xlookup($A1335,product!$A:$A,product!B:B)</f>
        <v>Epicerie sucrée</v>
      </c>
      <c r="C1335" s="24" t="str">
        <f t="array" ref="C1335">xlookup($A1335,product!$A:$A,product!C:C)</f>
        <v>Fruits secs</v>
      </c>
      <c r="D1335" s="24" t="str">
        <f t="array" ref="D1335">xlookup($A1335,product!$A:$A,product!D:D)</f>
        <v>Fruit séché</v>
      </c>
      <c r="E1335" s="25" t="str">
        <f t="shared" si="1"/>
        <v>94055-Fruits secs-Fruit séché</v>
      </c>
      <c r="F1335" s="25">
        <v>0.0</v>
      </c>
      <c r="G1335" s="25">
        <v>185.0</v>
      </c>
      <c r="H1335" s="25">
        <v>66.0</v>
      </c>
      <c r="I1335" s="26">
        <f t="array" ref="I1335">XLOOKUP($A1335,product!A:A,product!E:E)</f>
        <v>3.98</v>
      </c>
      <c r="J1335" s="25">
        <f t="shared" si="2"/>
        <v>262.68</v>
      </c>
      <c r="K1335" s="27">
        <f t="shared" si="3"/>
        <v>1</v>
      </c>
      <c r="L1335" s="25">
        <f t="shared" si="4"/>
        <v>1</v>
      </c>
    </row>
    <row r="1336">
      <c r="A1336" s="19">
        <v>101586.0</v>
      </c>
      <c r="B1336" s="20" t="str">
        <f t="array" ref="B1336">xlookup($A1336,product!$A:$A,product!B:B)</f>
        <v>Epicerie sucrée</v>
      </c>
      <c r="C1336" s="20" t="str">
        <f t="array" ref="C1336">xlookup($A1336,product!$A:$A,product!C:C)</f>
        <v>Fruits secs</v>
      </c>
      <c r="D1336" s="20" t="str">
        <f t="array" ref="D1336">xlookup($A1336,product!$A:$A,product!D:D)</f>
        <v>Fruit séché</v>
      </c>
      <c r="E1336" s="4" t="str">
        <f t="shared" si="1"/>
        <v>101586-Fruits secs-Fruit séché</v>
      </c>
      <c r="F1336" s="4">
        <v>1.0</v>
      </c>
      <c r="G1336" s="4">
        <v>271.0</v>
      </c>
      <c r="H1336" s="4">
        <v>157.0</v>
      </c>
      <c r="I1336" s="21">
        <f t="array" ref="I1336">XLOOKUP($A1336,product!A:A,product!E:E)</f>
        <v>3.73</v>
      </c>
      <c r="J1336" s="4">
        <f t="shared" si="2"/>
        <v>585.61</v>
      </c>
      <c r="K1336" s="22">
        <f t="shared" si="3"/>
        <v>1</v>
      </c>
      <c r="L1336" s="4">
        <f t="shared" si="4"/>
        <v>1</v>
      </c>
    </row>
    <row r="1337">
      <c r="A1337" s="23">
        <v>106731.0</v>
      </c>
      <c r="B1337" s="24" t="str">
        <f t="array" ref="B1337">xlookup($A1337,product!$A:$A,product!B:B)</f>
        <v>Epicerie sucrée</v>
      </c>
      <c r="C1337" s="24" t="str">
        <f t="array" ref="C1337">xlookup($A1337,product!$A:$A,product!C:C)</f>
        <v>Fruits secs</v>
      </c>
      <c r="D1337" s="24" t="str">
        <f t="array" ref="D1337">xlookup($A1337,product!$A:$A,product!D:D)</f>
        <v>Fruit séché</v>
      </c>
      <c r="E1337" s="25" t="str">
        <f t="shared" si="1"/>
        <v>106731-Fruits secs-Fruit séché</v>
      </c>
      <c r="F1337" s="25">
        <v>0.0</v>
      </c>
      <c r="G1337" s="25">
        <v>369.0</v>
      </c>
      <c r="H1337" s="25">
        <v>262.0</v>
      </c>
      <c r="I1337" s="26">
        <f t="array" ref="I1337">XLOOKUP($A1337,product!A:A,product!E:E)</f>
        <v>1.94</v>
      </c>
      <c r="J1337" s="25">
        <f t="shared" si="2"/>
        <v>508.28</v>
      </c>
      <c r="K1337" s="27">
        <f t="shared" si="3"/>
        <v>1</v>
      </c>
      <c r="L1337" s="25">
        <f t="shared" si="4"/>
        <v>1</v>
      </c>
    </row>
    <row r="1338">
      <c r="A1338" s="19">
        <v>87072.0</v>
      </c>
      <c r="B1338" s="20" t="str">
        <f t="array" ref="B1338">xlookup($A1338,product!$A:$A,product!B:B)</f>
        <v>Epicerie sucrée</v>
      </c>
      <c r="C1338" s="20" t="str">
        <f t="array" ref="C1338">xlookup($A1338,product!$A:$A,product!C:C)</f>
        <v>Fruits secs</v>
      </c>
      <c r="D1338" s="20" t="str">
        <f t="array" ref="D1338">xlookup($A1338,product!$A:$A,product!D:D)</f>
        <v>Fruit séché</v>
      </c>
      <c r="E1338" s="4" t="str">
        <f t="shared" si="1"/>
        <v>87072-Fruits secs-Fruit séché</v>
      </c>
      <c r="F1338" s="4">
        <v>0.0</v>
      </c>
      <c r="G1338" s="4">
        <v>245.0</v>
      </c>
      <c r="H1338" s="4">
        <v>101.0</v>
      </c>
      <c r="I1338" s="21">
        <f t="array" ref="I1338">XLOOKUP($A1338,product!A:A,product!E:E)</f>
        <v>4.45</v>
      </c>
      <c r="J1338" s="4">
        <f t="shared" si="2"/>
        <v>449.45</v>
      </c>
      <c r="K1338" s="22">
        <f t="shared" si="3"/>
        <v>1</v>
      </c>
      <c r="L1338" s="4">
        <f t="shared" si="4"/>
        <v>1</v>
      </c>
    </row>
    <row r="1339">
      <c r="A1339" s="23">
        <v>44711.0</v>
      </c>
      <c r="B1339" s="24" t="str">
        <f t="array" ref="B1339">xlookup($A1339,product!$A:$A,product!B:B)</f>
        <v>Epicerie sucrée</v>
      </c>
      <c r="C1339" s="24" t="str">
        <f t="array" ref="C1339">xlookup($A1339,product!$A:$A,product!C:C)</f>
        <v>Fruits secs</v>
      </c>
      <c r="D1339" s="24" t="str">
        <f t="array" ref="D1339">xlookup($A1339,product!$A:$A,product!D:D)</f>
        <v>Fruit séché</v>
      </c>
      <c r="E1339" s="25" t="str">
        <f t="shared" si="1"/>
        <v>44711-Fruits secs-Fruit séché</v>
      </c>
      <c r="F1339" s="25">
        <v>0.0</v>
      </c>
      <c r="G1339" s="25">
        <v>183.0</v>
      </c>
      <c r="H1339" s="25">
        <v>130.0</v>
      </c>
      <c r="I1339" s="26">
        <f t="array" ref="I1339">XLOOKUP($A1339,product!A:A,product!E:E)</f>
        <v>2.16</v>
      </c>
      <c r="J1339" s="25">
        <f t="shared" si="2"/>
        <v>280.8</v>
      </c>
      <c r="K1339" s="27">
        <f t="shared" si="3"/>
        <v>1</v>
      </c>
      <c r="L1339" s="25">
        <f t="shared" si="4"/>
        <v>1</v>
      </c>
    </row>
    <row r="1340">
      <c r="A1340" s="19">
        <v>78428.0</v>
      </c>
      <c r="B1340" s="20" t="str">
        <f t="array" ref="B1340">xlookup($A1340,product!$A:$A,product!B:B)</f>
        <v>Epicerie sucrée</v>
      </c>
      <c r="C1340" s="20" t="str">
        <f t="array" ref="C1340">xlookup($A1340,product!$A:$A,product!C:C)</f>
        <v>Fruits secs</v>
      </c>
      <c r="D1340" s="20" t="str">
        <f t="array" ref="D1340">xlookup($A1340,product!$A:$A,product!D:D)</f>
        <v>Fruit séché</v>
      </c>
      <c r="E1340" s="4" t="str">
        <f t="shared" si="1"/>
        <v>78428-Fruits secs-Fruit séché</v>
      </c>
      <c r="F1340" s="4">
        <v>0.0</v>
      </c>
      <c r="G1340" s="4">
        <v>562.0</v>
      </c>
      <c r="H1340" s="4">
        <v>543.0</v>
      </c>
      <c r="I1340" s="21">
        <f t="array" ref="I1340">XLOOKUP($A1340,product!A:A,product!E:E)</f>
        <v>2.19</v>
      </c>
      <c r="J1340" s="4">
        <f t="shared" si="2"/>
        <v>1189.17</v>
      </c>
      <c r="K1340" s="22">
        <f t="shared" si="3"/>
        <v>1</v>
      </c>
      <c r="L1340" s="4">
        <f t="shared" si="4"/>
        <v>1</v>
      </c>
    </row>
    <row r="1341">
      <c r="A1341" s="23">
        <v>10531.0</v>
      </c>
      <c r="B1341" s="24" t="str">
        <f t="array" ref="B1341">xlookup($A1341,product!$A:$A,product!B:B)</f>
        <v>Epicerie sucrée</v>
      </c>
      <c r="C1341" s="24" t="str">
        <f t="array" ref="C1341">xlookup($A1341,product!$A:$A,product!C:C)</f>
        <v>Fruits secs</v>
      </c>
      <c r="D1341" s="24" t="str">
        <f t="array" ref="D1341">xlookup($A1341,product!$A:$A,product!D:D)</f>
        <v>Fruit séché</v>
      </c>
      <c r="E1341" s="25" t="str">
        <f t="shared" si="1"/>
        <v>10531-Fruits secs-Fruit séché</v>
      </c>
      <c r="F1341" s="25">
        <v>1.0</v>
      </c>
      <c r="G1341" s="25">
        <v>926.0</v>
      </c>
      <c r="H1341" s="25">
        <v>44.0</v>
      </c>
      <c r="I1341" s="26">
        <f t="array" ref="I1341">XLOOKUP($A1341,product!A:A,product!E:E)</f>
        <v>1.8</v>
      </c>
      <c r="J1341" s="25">
        <f t="shared" si="2"/>
        <v>79.2</v>
      </c>
      <c r="K1341" s="27">
        <f t="shared" si="3"/>
        <v>1</v>
      </c>
      <c r="L1341" s="25">
        <f t="shared" si="4"/>
        <v>1</v>
      </c>
    </row>
    <row r="1342">
      <c r="A1342" s="19">
        <v>158475.0</v>
      </c>
      <c r="B1342" s="20" t="str">
        <f t="array" ref="B1342">xlookup($A1342,product!$A:$A,product!B:B)</f>
        <v>Epicerie sucrée</v>
      </c>
      <c r="C1342" s="20" t="str">
        <f t="array" ref="C1342">xlookup($A1342,product!$A:$A,product!C:C)</f>
        <v>Fruits secs</v>
      </c>
      <c r="D1342" s="20" t="str">
        <f t="array" ref="D1342">xlookup($A1342,product!$A:$A,product!D:D)</f>
        <v>Fruit séché</v>
      </c>
      <c r="E1342" s="4" t="str">
        <f t="shared" si="1"/>
        <v>158475-Fruits secs-Fruit séché</v>
      </c>
      <c r="F1342" s="4">
        <v>0.0</v>
      </c>
      <c r="G1342" s="4">
        <v>362.0</v>
      </c>
      <c r="H1342" s="4">
        <v>318.0</v>
      </c>
      <c r="I1342" s="21">
        <f t="array" ref="I1342">XLOOKUP($A1342,product!A:A,product!E:E)</f>
        <v>3.06</v>
      </c>
      <c r="J1342" s="4">
        <f t="shared" si="2"/>
        <v>973.08</v>
      </c>
      <c r="K1342" s="22">
        <f t="shared" si="3"/>
        <v>1</v>
      </c>
      <c r="L1342" s="4">
        <f t="shared" si="4"/>
        <v>1</v>
      </c>
    </row>
    <row r="1343">
      <c r="A1343" s="23">
        <v>89633.0</v>
      </c>
      <c r="B1343" s="24" t="str">
        <f t="array" ref="B1343">xlookup($A1343,product!$A:$A,product!B:B)</f>
        <v>Epicerie sucrée</v>
      </c>
      <c r="C1343" s="24" t="str">
        <f t="array" ref="C1343">xlookup($A1343,product!$A:$A,product!C:C)</f>
        <v>Fruits secs</v>
      </c>
      <c r="D1343" s="24" t="str">
        <f t="array" ref="D1343">xlookup($A1343,product!$A:$A,product!D:D)</f>
        <v>Fruit séché</v>
      </c>
      <c r="E1343" s="25" t="str">
        <f t="shared" si="1"/>
        <v>89633-Fruits secs-Fruit séché</v>
      </c>
      <c r="F1343" s="25">
        <v>1.0</v>
      </c>
      <c r="G1343" s="25">
        <v>490.0</v>
      </c>
      <c r="H1343" s="25">
        <v>490.0</v>
      </c>
      <c r="I1343" s="26">
        <f t="array" ref="I1343">XLOOKUP($A1343,product!A:A,product!E:E)</f>
        <v>1.35</v>
      </c>
      <c r="J1343" s="25">
        <f t="shared" si="2"/>
        <v>661.5</v>
      </c>
      <c r="K1343" s="27">
        <f t="shared" si="3"/>
        <v>1</v>
      </c>
      <c r="L1343" s="25">
        <f t="shared" si="4"/>
        <v>1</v>
      </c>
    </row>
    <row r="1344">
      <c r="A1344" s="19">
        <v>86836.0</v>
      </c>
      <c r="B1344" s="20" t="str">
        <f t="array" ref="B1344">xlookup($A1344,product!$A:$A,product!B:B)</f>
        <v>Epicerie sucrée</v>
      </c>
      <c r="C1344" s="20" t="str">
        <f t="array" ref="C1344">xlookup($A1344,product!$A:$A,product!C:C)</f>
        <v>Fruits secs</v>
      </c>
      <c r="D1344" s="20" t="str">
        <f t="array" ref="D1344">xlookup($A1344,product!$A:$A,product!D:D)</f>
        <v>Fruit séché</v>
      </c>
      <c r="E1344" s="4" t="str">
        <f t="shared" si="1"/>
        <v>86836-Fruits secs-Fruit séché</v>
      </c>
      <c r="F1344" s="4">
        <v>1.0</v>
      </c>
      <c r="G1344" s="4">
        <v>29.0</v>
      </c>
      <c r="H1344" s="4">
        <v>18.0</v>
      </c>
      <c r="I1344" s="21">
        <f t="array" ref="I1344">XLOOKUP($A1344,product!A:A,product!E:E)</f>
        <v>1.93</v>
      </c>
      <c r="J1344" s="4">
        <f t="shared" si="2"/>
        <v>34.74</v>
      </c>
      <c r="K1344" s="22">
        <f t="shared" si="3"/>
        <v>1</v>
      </c>
      <c r="L1344" s="4">
        <f t="shared" si="4"/>
        <v>1</v>
      </c>
    </row>
    <row r="1345">
      <c r="A1345" s="23">
        <v>44698.0</v>
      </c>
      <c r="B1345" s="24" t="str">
        <f t="array" ref="B1345">xlookup($A1345,product!$A:$A,product!B:B)</f>
        <v>Epicerie sucrée</v>
      </c>
      <c r="C1345" s="24" t="str">
        <f t="array" ref="C1345">xlookup($A1345,product!$A:$A,product!C:C)</f>
        <v>Fruits secs</v>
      </c>
      <c r="D1345" s="24" t="str">
        <f t="array" ref="D1345">xlookup($A1345,product!$A:$A,product!D:D)</f>
        <v>Fruit séché</v>
      </c>
      <c r="E1345" s="25" t="str">
        <f t="shared" si="1"/>
        <v>44698-Fruits secs-Fruit séché</v>
      </c>
      <c r="F1345" s="25">
        <v>0.0</v>
      </c>
      <c r="G1345" s="25">
        <v>968.0</v>
      </c>
      <c r="H1345" s="25">
        <v>60.0</v>
      </c>
      <c r="I1345" s="26">
        <f t="array" ref="I1345">XLOOKUP($A1345,product!A:A,product!E:E)</f>
        <v>4.59</v>
      </c>
      <c r="J1345" s="25">
        <f t="shared" si="2"/>
        <v>275.4</v>
      </c>
      <c r="K1345" s="27">
        <f t="shared" si="3"/>
        <v>1</v>
      </c>
      <c r="L1345" s="25">
        <f t="shared" si="4"/>
        <v>1</v>
      </c>
    </row>
    <row r="1346">
      <c r="A1346" s="19">
        <v>127870.0</v>
      </c>
      <c r="B1346" s="20" t="str">
        <f t="array" ref="B1346">xlookup($A1346,product!$A:$A,product!B:B)</f>
        <v>Epicerie sucrée</v>
      </c>
      <c r="C1346" s="20" t="str">
        <f t="array" ref="C1346">xlookup($A1346,product!$A:$A,product!C:C)</f>
        <v>Fruits secs</v>
      </c>
      <c r="D1346" s="20" t="str">
        <f t="array" ref="D1346">xlookup($A1346,product!$A:$A,product!D:D)</f>
        <v>Fruit séché</v>
      </c>
      <c r="E1346" s="4" t="str">
        <f t="shared" si="1"/>
        <v>127870-Fruits secs-Fruit séché</v>
      </c>
      <c r="F1346" s="4">
        <v>1.0</v>
      </c>
      <c r="G1346" s="4">
        <v>192.0</v>
      </c>
      <c r="H1346" s="4">
        <v>124.0</v>
      </c>
      <c r="I1346" s="21">
        <f t="array" ref="I1346">XLOOKUP($A1346,product!A:A,product!E:E)</f>
        <v>2.2</v>
      </c>
      <c r="J1346" s="4">
        <f t="shared" si="2"/>
        <v>272.8</v>
      </c>
      <c r="K1346" s="22">
        <f t="shared" si="3"/>
        <v>1</v>
      </c>
      <c r="L1346" s="4">
        <f t="shared" si="4"/>
        <v>1</v>
      </c>
    </row>
    <row r="1347">
      <c r="A1347" s="23">
        <v>141891.0</v>
      </c>
      <c r="B1347" s="24" t="str">
        <f t="array" ref="B1347">xlookup($A1347,product!$A:$A,product!B:B)</f>
        <v>Epicerie sucrée</v>
      </c>
      <c r="C1347" s="24" t="str">
        <f t="array" ref="C1347">xlookup($A1347,product!$A:$A,product!C:C)</f>
        <v>Fruits secs</v>
      </c>
      <c r="D1347" s="24" t="str">
        <f t="array" ref="D1347">xlookup($A1347,product!$A:$A,product!D:D)</f>
        <v>Fruit séché</v>
      </c>
      <c r="E1347" s="25" t="str">
        <f t="shared" si="1"/>
        <v>141891-Fruits secs-Fruit séché</v>
      </c>
      <c r="F1347" s="25">
        <v>1.0</v>
      </c>
      <c r="G1347" s="25">
        <v>861.0</v>
      </c>
      <c r="H1347" s="25">
        <v>284.0</v>
      </c>
      <c r="I1347" s="26">
        <f t="array" ref="I1347">XLOOKUP($A1347,product!A:A,product!E:E)</f>
        <v>5.19</v>
      </c>
      <c r="J1347" s="25">
        <f t="shared" si="2"/>
        <v>1473.96</v>
      </c>
      <c r="K1347" s="27">
        <f t="shared" si="3"/>
        <v>1</v>
      </c>
      <c r="L1347" s="25">
        <f t="shared" si="4"/>
        <v>1</v>
      </c>
    </row>
    <row r="1348">
      <c r="A1348" s="19">
        <v>78426.0</v>
      </c>
      <c r="B1348" s="20" t="str">
        <f t="array" ref="B1348">xlookup($A1348,product!$A:$A,product!B:B)</f>
        <v>Epicerie sucrée</v>
      </c>
      <c r="C1348" s="20" t="str">
        <f t="array" ref="C1348">xlookup($A1348,product!$A:$A,product!C:C)</f>
        <v>Fruits secs</v>
      </c>
      <c r="D1348" s="20" t="str">
        <f t="array" ref="D1348">xlookup($A1348,product!$A:$A,product!D:D)</f>
        <v>Fruit séché</v>
      </c>
      <c r="E1348" s="4" t="str">
        <f t="shared" si="1"/>
        <v>78426-Fruits secs-Fruit séché</v>
      </c>
      <c r="F1348" s="4">
        <v>1.0</v>
      </c>
      <c r="G1348" s="4">
        <v>954.0</v>
      </c>
      <c r="H1348" s="4">
        <v>543.0</v>
      </c>
      <c r="I1348" s="21">
        <f t="array" ref="I1348">XLOOKUP($A1348,product!A:A,product!E:E)</f>
        <v>6.51</v>
      </c>
      <c r="J1348" s="4">
        <f t="shared" si="2"/>
        <v>3534.93</v>
      </c>
      <c r="K1348" s="22">
        <f t="shared" si="3"/>
        <v>1</v>
      </c>
      <c r="L1348" s="4">
        <f t="shared" si="4"/>
        <v>1</v>
      </c>
    </row>
    <row r="1349">
      <c r="A1349" s="23">
        <v>77792.0</v>
      </c>
      <c r="B1349" s="24" t="str">
        <f t="array" ref="B1349">xlookup($A1349,product!$A:$A,product!B:B)</f>
        <v>Epicerie sucrée</v>
      </c>
      <c r="C1349" s="24" t="str">
        <f t="array" ref="C1349">xlookup($A1349,product!$A:$A,product!C:C)</f>
        <v>Fruits secs</v>
      </c>
      <c r="D1349" s="24" t="str">
        <f t="array" ref="D1349">xlookup($A1349,product!$A:$A,product!D:D)</f>
        <v>Fruit séché</v>
      </c>
      <c r="E1349" s="25" t="str">
        <f t="shared" si="1"/>
        <v>77792-Fruits secs-Fruit séché</v>
      </c>
      <c r="F1349" s="25">
        <v>0.0</v>
      </c>
      <c r="G1349" s="25">
        <v>352.0</v>
      </c>
      <c r="H1349" s="25">
        <v>225.0</v>
      </c>
      <c r="I1349" s="26">
        <f t="array" ref="I1349">XLOOKUP($A1349,product!A:A,product!E:E)</f>
        <v>9.15</v>
      </c>
      <c r="J1349" s="25">
        <f t="shared" si="2"/>
        <v>2058.75</v>
      </c>
      <c r="K1349" s="27">
        <f t="shared" si="3"/>
        <v>1</v>
      </c>
      <c r="L1349" s="25">
        <f t="shared" si="4"/>
        <v>1</v>
      </c>
    </row>
    <row r="1350">
      <c r="A1350" s="19">
        <v>21027.0</v>
      </c>
      <c r="B1350" s="20" t="str">
        <f t="array" ref="B1350">xlookup($A1350,product!$A:$A,product!B:B)</f>
        <v>Epicerie sucrée</v>
      </c>
      <c r="C1350" s="20" t="str">
        <f t="array" ref="C1350">xlookup($A1350,product!$A:$A,product!C:C)</f>
        <v>Fruits secs</v>
      </c>
      <c r="D1350" s="20" t="str">
        <f t="array" ref="D1350">xlookup($A1350,product!$A:$A,product!D:D)</f>
        <v>Fruit séché</v>
      </c>
      <c r="E1350" s="4" t="str">
        <f t="shared" si="1"/>
        <v>21027-Fruits secs-Fruit séché</v>
      </c>
      <c r="F1350" s="4">
        <v>0.0</v>
      </c>
      <c r="G1350" s="4">
        <v>970.0</v>
      </c>
      <c r="H1350" s="4">
        <v>593.0</v>
      </c>
      <c r="I1350" s="21">
        <f t="array" ref="I1350">XLOOKUP($A1350,product!A:A,product!E:E)</f>
        <v>3.6</v>
      </c>
      <c r="J1350" s="4">
        <f t="shared" si="2"/>
        <v>2134.8</v>
      </c>
      <c r="K1350" s="22">
        <f t="shared" si="3"/>
        <v>1</v>
      </c>
      <c r="L1350" s="4">
        <f t="shared" si="4"/>
        <v>1</v>
      </c>
    </row>
    <row r="1351">
      <c r="A1351" s="23">
        <v>95063.0</v>
      </c>
      <c r="B1351" s="24" t="str">
        <f t="array" ref="B1351">xlookup($A1351,product!$A:$A,product!B:B)</f>
        <v>Epicerie sucrée</v>
      </c>
      <c r="C1351" s="24" t="str">
        <f t="array" ref="C1351">xlookup($A1351,product!$A:$A,product!C:C)</f>
        <v>Fruits secs</v>
      </c>
      <c r="D1351" s="24" t="str">
        <f t="array" ref="D1351">xlookup($A1351,product!$A:$A,product!D:D)</f>
        <v>Fruit séché</v>
      </c>
      <c r="E1351" s="25" t="str">
        <f t="shared" si="1"/>
        <v>95063-Fruits secs-Fruit séché</v>
      </c>
      <c r="F1351" s="25">
        <v>1.0</v>
      </c>
      <c r="G1351" s="25">
        <v>238.0</v>
      </c>
      <c r="H1351" s="25">
        <v>141.0</v>
      </c>
      <c r="I1351" s="26">
        <f t="array" ref="I1351">XLOOKUP($A1351,product!A:A,product!E:E)</f>
        <v>3.03</v>
      </c>
      <c r="J1351" s="25">
        <f t="shared" si="2"/>
        <v>427.23</v>
      </c>
      <c r="K1351" s="27">
        <f t="shared" si="3"/>
        <v>1</v>
      </c>
      <c r="L1351" s="25">
        <f t="shared" si="4"/>
        <v>1</v>
      </c>
    </row>
    <row r="1352">
      <c r="A1352" s="19">
        <v>30314.0</v>
      </c>
      <c r="B1352" s="20" t="str">
        <f t="array" ref="B1352">xlookup($A1352,product!$A:$A,product!B:B)</f>
        <v>Epicerie sucrée</v>
      </c>
      <c r="C1352" s="20" t="str">
        <f t="array" ref="C1352">xlookup($A1352,product!$A:$A,product!C:C)</f>
        <v>Fruits secs</v>
      </c>
      <c r="D1352" s="20" t="str">
        <f t="array" ref="D1352">xlookup($A1352,product!$A:$A,product!D:D)</f>
        <v>Fruit séché</v>
      </c>
      <c r="E1352" s="4" t="str">
        <f t="shared" si="1"/>
        <v>30314-Fruits secs-Fruit séché</v>
      </c>
      <c r="F1352" s="4">
        <v>0.0</v>
      </c>
      <c r="G1352" s="4">
        <v>618.0</v>
      </c>
      <c r="H1352" s="4">
        <v>319.0</v>
      </c>
      <c r="I1352" s="21">
        <f t="array" ref="I1352">XLOOKUP($A1352,product!A:A,product!E:E)</f>
        <v>4.83</v>
      </c>
      <c r="J1352" s="4">
        <f t="shared" si="2"/>
        <v>1540.77</v>
      </c>
      <c r="K1352" s="22">
        <f t="shared" si="3"/>
        <v>1</v>
      </c>
      <c r="L1352" s="4">
        <f t="shared" si="4"/>
        <v>1</v>
      </c>
    </row>
    <row r="1353">
      <c r="A1353" s="23">
        <v>19838.0</v>
      </c>
      <c r="B1353" s="24" t="str">
        <f t="array" ref="B1353">xlookup($A1353,product!$A:$A,product!B:B)</f>
        <v>Epicerie sucrée</v>
      </c>
      <c r="C1353" s="24" t="str">
        <f t="array" ref="C1353">xlookup($A1353,product!$A:$A,product!C:C)</f>
        <v>Fruits secs</v>
      </c>
      <c r="D1353" s="24" t="str">
        <f t="array" ref="D1353">xlookup($A1353,product!$A:$A,product!D:D)</f>
        <v>Fruit séché</v>
      </c>
      <c r="E1353" s="25" t="str">
        <f t="shared" si="1"/>
        <v>19838-Fruits secs-Fruit séché</v>
      </c>
      <c r="F1353" s="25">
        <v>1.0</v>
      </c>
      <c r="G1353" s="25">
        <v>661.0</v>
      </c>
      <c r="H1353" s="25">
        <v>468.0</v>
      </c>
      <c r="I1353" s="26">
        <f t="array" ref="I1353">XLOOKUP($A1353,product!A:A,product!E:E)</f>
        <v>4.83</v>
      </c>
      <c r="J1353" s="25">
        <f t="shared" si="2"/>
        <v>2260.44</v>
      </c>
      <c r="K1353" s="27">
        <f t="shared" si="3"/>
        <v>1</v>
      </c>
      <c r="L1353" s="25">
        <f t="shared" si="4"/>
        <v>1</v>
      </c>
    </row>
    <row r="1354">
      <c r="A1354" s="19">
        <v>111283.0</v>
      </c>
      <c r="B1354" s="20" t="str">
        <f t="array" ref="B1354">xlookup($A1354,product!$A:$A,product!B:B)</f>
        <v>Epicerie sucrée</v>
      </c>
      <c r="C1354" s="20" t="str">
        <f t="array" ref="C1354">xlookup($A1354,product!$A:$A,product!C:C)</f>
        <v>Fruits secs</v>
      </c>
      <c r="D1354" s="20" t="str">
        <f t="array" ref="D1354">xlookup($A1354,product!$A:$A,product!D:D)</f>
        <v>Fruit séché</v>
      </c>
      <c r="E1354" s="4" t="str">
        <f t="shared" si="1"/>
        <v>111283-Fruits secs-Fruit séché</v>
      </c>
      <c r="F1354" s="4">
        <v>1.0</v>
      </c>
      <c r="G1354" s="4">
        <v>510.0</v>
      </c>
      <c r="H1354" s="4">
        <v>379.0</v>
      </c>
      <c r="I1354" s="21">
        <f t="array" ref="I1354">XLOOKUP($A1354,product!A:A,product!E:E)</f>
        <v>4.53</v>
      </c>
      <c r="J1354" s="4">
        <f t="shared" si="2"/>
        <v>1716.87</v>
      </c>
      <c r="K1354" s="22">
        <f t="shared" si="3"/>
        <v>1</v>
      </c>
      <c r="L1354" s="4">
        <f t="shared" si="4"/>
        <v>1</v>
      </c>
    </row>
    <row r="1355">
      <c r="A1355" s="23">
        <v>87568.0</v>
      </c>
      <c r="B1355" s="24" t="str">
        <f t="array" ref="B1355">xlookup($A1355,product!$A:$A,product!B:B)</f>
        <v>Epicerie sucrée</v>
      </c>
      <c r="C1355" s="24" t="str">
        <f t="array" ref="C1355">xlookup($A1355,product!$A:$A,product!C:C)</f>
        <v>Fruits secs</v>
      </c>
      <c r="D1355" s="24" t="str">
        <f t="array" ref="D1355">xlookup($A1355,product!$A:$A,product!D:D)</f>
        <v>Fruit séché</v>
      </c>
      <c r="E1355" s="25" t="str">
        <f t="shared" si="1"/>
        <v>87568-Fruits secs-Fruit séché</v>
      </c>
      <c r="F1355" s="25">
        <v>0.0</v>
      </c>
      <c r="G1355" s="25">
        <v>7.0</v>
      </c>
      <c r="H1355" s="25">
        <v>7.0</v>
      </c>
      <c r="I1355" s="26">
        <f t="array" ref="I1355">XLOOKUP($A1355,product!A:A,product!E:E)</f>
        <v>5.78</v>
      </c>
      <c r="J1355" s="25">
        <f t="shared" si="2"/>
        <v>40.46</v>
      </c>
      <c r="K1355" s="27">
        <f t="shared" si="3"/>
        <v>1</v>
      </c>
      <c r="L1355" s="25">
        <f t="shared" si="4"/>
        <v>1</v>
      </c>
    </row>
    <row r="1356">
      <c r="A1356" s="19">
        <v>78419.0</v>
      </c>
      <c r="B1356" s="20" t="str">
        <f t="array" ref="B1356">xlookup($A1356,product!$A:$A,product!B:B)</f>
        <v>Epicerie sucrée</v>
      </c>
      <c r="C1356" s="20" t="str">
        <f t="array" ref="C1356">xlookup($A1356,product!$A:$A,product!C:C)</f>
        <v>Fruits secs</v>
      </c>
      <c r="D1356" s="20" t="str">
        <f t="array" ref="D1356">xlookup($A1356,product!$A:$A,product!D:D)</f>
        <v>Fruit séché</v>
      </c>
      <c r="E1356" s="4" t="str">
        <f t="shared" si="1"/>
        <v>78419-Fruits secs-Fruit séché</v>
      </c>
      <c r="F1356" s="4">
        <v>0.0</v>
      </c>
      <c r="G1356" s="4">
        <v>694.0</v>
      </c>
      <c r="H1356" s="4">
        <v>490.0</v>
      </c>
      <c r="I1356" s="21">
        <f t="array" ref="I1356">XLOOKUP($A1356,product!A:A,product!E:E)</f>
        <v>1.31</v>
      </c>
      <c r="J1356" s="4">
        <f t="shared" si="2"/>
        <v>641.9</v>
      </c>
      <c r="K1356" s="22">
        <f t="shared" si="3"/>
        <v>1</v>
      </c>
      <c r="L1356" s="4">
        <f t="shared" si="4"/>
        <v>1</v>
      </c>
    </row>
    <row r="1357">
      <c r="A1357" s="23">
        <v>106806.0</v>
      </c>
      <c r="B1357" s="24" t="str">
        <f t="array" ref="B1357">xlookup($A1357,product!$A:$A,product!B:B)</f>
        <v>Epicerie sucrée</v>
      </c>
      <c r="C1357" s="24" t="str">
        <f t="array" ref="C1357">xlookup($A1357,product!$A:$A,product!C:C)</f>
        <v>Fruits secs</v>
      </c>
      <c r="D1357" s="24" t="str">
        <f t="array" ref="D1357">xlookup($A1357,product!$A:$A,product!D:D)</f>
        <v>Fruit séché</v>
      </c>
      <c r="E1357" s="25" t="str">
        <f t="shared" si="1"/>
        <v>106806-Fruits secs-Fruit séché</v>
      </c>
      <c r="F1357" s="25">
        <v>1.0</v>
      </c>
      <c r="G1357" s="25">
        <v>171.0</v>
      </c>
      <c r="H1357" s="25">
        <v>170.0</v>
      </c>
      <c r="I1357" s="26">
        <f t="array" ref="I1357">XLOOKUP($A1357,product!A:A,product!E:E)</f>
        <v>4.6</v>
      </c>
      <c r="J1357" s="25">
        <f t="shared" si="2"/>
        <v>782</v>
      </c>
      <c r="K1357" s="27">
        <f t="shared" si="3"/>
        <v>1</v>
      </c>
      <c r="L1357" s="25">
        <f t="shared" si="4"/>
        <v>1</v>
      </c>
    </row>
    <row r="1358">
      <c r="A1358" s="19">
        <v>78420.0</v>
      </c>
      <c r="B1358" s="20" t="str">
        <f t="array" ref="B1358">xlookup($A1358,product!$A:$A,product!B:B)</f>
        <v>Epicerie sucrée</v>
      </c>
      <c r="C1358" s="20" t="str">
        <f t="array" ref="C1358">xlookup($A1358,product!$A:$A,product!C:C)</f>
        <v>Fruits secs</v>
      </c>
      <c r="D1358" s="20" t="str">
        <f t="array" ref="D1358">xlookup($A1358,product!$A:$A,product!D:D)</f>
        <v>Fruit séché</v>
      </c>
      <c r="E1358" s="4" t="str">
        <f t="shared" si="1"/>
        <v>78420-Fruits secs-Fruit séché</v>
      </c>
      <c r="F1358" s="4">
        <v>1.0</v>
      </c>
      <c r="G1358" s="4">
        <v>476.0</v>
      </c>
      <c r="H1358" s="4">
        <v>445.0</v>
      </c>
      <c r="I1358" s="21">
        <f t="array" ref="I1358">XLOOKUP($A1358,product!A:A,product!E:E)</f>
        <v>2.76</v>
      </c>
      <c r="J1358" s="4">
        <f t="shared" si="2"/>
        <v>1228.2</v>
      </c>
      <c r="K1358" s="22">
        <f t="shared" si="3"/>
        <v>1</v>
      </c>
      <c r="L1358" s="4">
        <f t="shared" si="4"/>
        <v>1</v>
      </c>
    </row>
    <row r="1359">
      <c r="A1359" s="23">
        <v>78442.0</v>
      </c>
      <c r="B1359" s="24" t="str">
        <f t="array" ref="B1359">xlookup($A1359,product!$A:$A,product!B:B)</f>
        <v>Epicerie sucrée</v>
      </c>
      <c r="C1359" s="24" t="str">
        <f t="array" ref="C1359">xlookup($A1359,product!$A:$A,product!C:C)</f>
        <v>Fruits secs</v>
      </c>
      <c r="D1359" s="24" t="str">
        <f t="array" ref="D1359">xlookup($A1359,product!$A:$A,product!D:D)</f>
        <v>Fruit séché</v>
      </c>
      <c r="E1359" s="25" t="str">
        <f t="shared" si="1"/>
        <v>78442-Fruits secs-Fruit séché</v>
      </c>
      <c r="F1359" s="25">
        <v>1.0</v>
      </c>
      <c r="G1359" s="25">
        <v>719.0</v>
      </c>
      <c r="H1359" s="25">
        <v>525.0</v>
      </c>
      <c r="I1359" s="26">
        <f t="array" ref="I1359">XLOOKUP($A1359,product!A:A,product!E:E)</f>
        <v>2</v>
      </c>
      <c r="J1359" s="25">
        <f t="shared" si="2"/>
        <v>1050</v>
      </c>
      <c r="K1359" s="27">
        <f t="shared" si="3"/>
        <v>1</v>
      </c>
      <c r="L1359" s="25">
        <f t="shared" si="4"/>
        <v>1</v>
      </c>
    </row>
    <row r="1360">
      <c r="A1360" s="19">
        <v>78492.0</v>
      </c>
      <c r="B1360" s="20" t="str">
        <f t="array" ref="B1360">xlookup($A1360,product!$A:$A,product!B:B)</f>
        <v>Epicerie sucrée</v>
      </c>
      <c r="C1360" s="20" t="str">
        <f t="array" ref="C1360">xlookup($A1360,product!$A:$A,product!C:C)</f>
        <v>Fruits secs</v>
      </c>
      <c r="D1360" s="20" t="str">
        <f t="array" ref="D1360">xlookup($A1360,product!$A:$A,product!D:D)</f>
        <v>Fruit séché</v>
      </c>
      <c r="E1360" s="4" t="str">
        <f t="shared" si="1"/>
        <v>78492-Fruits secs-Fruit séché</v>
      </c>
      <c r="F1360" s="4">
        <v>1.0</v>
      </c>
      <c r="G1360" s="4">
        <v>168.0</v>
      </c>
      <c r="H1360" s="4">
        <v>20.0</v>
      </c>
      <c r="I1360" s="21">
        <f t="array" ref="I1360">XLOOKUP($A1360,product!A:A,product!E:E)</f>
        <v>1.26</v>
      </c>
      <c r="J1360" s="4">
        <f t="shared" si="2"/>
        <v>25.2</v>
      </c>
      <c r="K1360" s="22">
        <f t="shared" si="3"/>
        <v>1</v>
      </c>
      <c r="L1360" s="4">
        <f t="shared" si="4"/>
        <v>1</v>
      </c>
    </row>
    <row r="1361">
      <c r="A1361" s="23">
        <v>80297.0</v>
      </c>
      <c r="B1361" s="24" t="str">
        <f t="array" ref="B1361">xlookup($A1361,product!$A:$A,product!B:B)</f>
        <v>Epicerie sucrée</v>
      </c>
      <c r="C1361" s="24" t="str">
        <f t="array" ref="C1361">xlookup($A1361,product!$A:$A,product!C:C)</f>
        <v>Fruits secs</v>
      </c>
      <c r="D1361" s="24" t="str">
        <f t="array" ref="D1361">xlookup($A1361,product!$A:$A,product!D:D)</f>
        <v>Fruit séché</v>
      </c>
      <c r="E1361" s="25" t="str">
        <f t="shared" si="1"/>
        <v>80297-Fruits secs-Fruit séché</v>
      </c>
      <c r="F1361" s="25">
        <v>0.0</v>
      </c>
      <c r="G1361" s="25">
        <v>755.0</v>
      </c>
      <c r="H1361" s="25">
        <v>623.0</v>
      </c>
      <c r="I1361" s="26">
        <f t="array" ref="I1361">XLOOKUP($A1361,product!A:A,product!E:E)</f>
        <v>2.55</v>
      </c>
      <c r="J1361" s="25">
        <f t="shared" si="2"/>
        <v>1588.65</v>
      </c>
      <c r="K1361" s="27">
        <f t="shared" si="3"/>
        <v>1</v>
      </c>
      <c r="L1361" s="25">
        <f t="shared" si="4"/>
        <v>1</v>
      </c>
    </row>
    <row r="1362">
      <c r="A1362" s="19">
        <v>44712.0</v>
      </c>
      <c r="B1362" s="20" t="str">
        <f t="array" ref="B1362">xlookup($A1362,product!$A:$A,product!B:B)</f>
        <v>Epicerie sucrée</v>
      </c>
      <c r="C1362" s="20" t="str">
        <f t="array" ref="C1362">xlookup($A1362,product!$A:$A,product!C:C)</f>
        <v>Fruits secs</v>
      </c>
      <c r="D1362" s="20" t="str">
        <f t="array" ref="D1362">xlookup($A1362,product!$A:$A,product!D:D)</f>
        <v>Fruit séché</v>
      </c>
      <c r="E1362" s="4" t="str">
        <f t="shared" si="1"/>
        <v>44712-Fruits secs-Fruit séché</v>
      </c>
      <c r="F1362" s="4">
        <v>1.0</v>
      </c>
      <c r="G1362" s="4">
        <v>557.0</v>
      </c>
      <c r="H1362" s="4">
        <v>150.0</v>
      </c>
      <c r="I1362" s="21">
        <f t="array" ref="I1362">XLOOKUP($A1362,product!A:A,product!E:E)</f>
        <v>1.31</v>
      </c>
      <c r="J1362" s="4">
        <f t="shared" si="2"/>
        <v>196.5</v>
      </c>
      <c r="K1362" s="22">
        <f t="shared" si="3"/>
        <v>1</v>
      </c>
      <c r="L1362" s="4">
        <f t="shared" si="4"/>
        <v>1</v>
      </c>
    </row>
    <row r="1363">
      <c r="A1363" s="23">
        <v>89736.0</v>
      </c>
      <c r="B1363" s="24" t="str">
        <f t="array" ref="B1363">xlookup($A1363,product!$A:$A,product!B:B)</f>
        <v>Epicerie sucrée</v>
      </c>
      <c r="C1363" s="24" t="str">
        <f t="array" ref="C1363">xlookup($A1363,product!$A:$A,product!C:C)</f>
        <v>Fruits secs</v>
      </c>
      <c r="D1363" s="24" t="str">
        <f t="array" ref="D1363">xlookup($A1363,product!$A:$A,product!D:D)</f>
        <v>Fruit séché</v>
      </c>
      <c r="E1363" s="25" t="str">
        <f t="shared" si="1"/>
        <v>89736-Fruits secs-Fruit séché</v>
      </c>
      <c r="F1363" s="25">
        <v>0.0</v>
      </c>
      <c r="G1363" s="25">
        <v>913.0</v>
      </c>
      <c r="H1363" s="25">
        <v>74.0</v>
      </c>
      <c r="I1363" s="26">
        <f t="array" ref="I1363">XLOOKUP($A1363,product!A:A,product!E:E)</f>
        <v>23.39</v>
      </c>
      <c r="J1363" s="25">
        <f t="shared" si="2"/>
        <v>1730.86</v>
      </c>
      <c r="K1363" s="27">
        <f t="shared" si="3"/>
        <v>1</v>
      </c>
      <c r="L1363" s="25">
        <f t="shared" si="4"/>
        <v>1</v>
      </c>
    </row>
    <row r="1364">
      <c r="A1364" s="19">
        <v>83270.0</v>
      </c>
      <c r="B1364" s="20" t="str">
        <f t="array" ref="B1364">xlookup($A1364,product!$A:$A,product!B:B)</f>
        <v>Epicerie sucrée</v>
      </c>
      <c r="C1364" s="20" t="str">
        <f t="array" ref="C1364">xlookup($A1364,product!$A:$A,product!C:C)</f>
        <v>Fruits secs</v>
      </c>
      <c r="D1364" s="20" t="str">
        <f t="array" ref="D1364">xlookup($A1364,product!$A:$A,product!D:D)</f>
        <v>Fruit séché</v>
      </c>
      <c r="E1364" s="4" t="str">
        <f t="shared" si="1"/>
        <v>83270-Fruits secs-Fruit séché</v>
      </c>
      <c r="F1364" s="4">
        <v>1.0</v>
      </c>
      <c r="G1364" s="4">
        <v>191.0</v>
      </c>
      <c r="H1364" s="4">
        <v>19.0</v>
      </c>
      <c r="I1364" s="21">
        <f t="array" ref="I1364">XLOOKUP($A1364,product!A:A,product!E:E)</f>
        <v>1.69</v>
      </c>
      <c r="J1364" s="4">
        <f t="shared" si="2"/>
        <v>32.11</v>
      </c>
      <c r="K1364" s="22">
        <f t="shared" si="3"/>
        <v>1</v>
      </c>
      <c r="L1364" s="4">
        <f t="shared" si="4"/>
        <v>1</v>
      </c>
    </row>
    <row r="1365">
      <c r="A1365" s="23">
        <v>101588.0</v>
      </c>
      <c r="B1365" s="24" t="str">
        <f t="array" ref="B1365">xlookup($A1365,product!$A:$A,product!B:B)</f>
        <v>Epicerie sucrée</v>
      </c>
      <c r="C1365" s="24" t="str">
        <f t="array" ref="C1365">xlookup($A1365,product!$A:$A,product!C:C)</f>
        <v>Fruits secs</v>
      </c>
      <c r="D1365" s="24" t="str">
        <f t="array" ref="D1365">xlookup($A1365,product!$A:$A,product!D:D)</f>
        <v>Fruit séché</v>
      </c>
      <c r="E1365" s="25" t="str">
        <f t="shared" si="1"/>
        <v>101588-Fruits secs-Fruit séché</v>
      </c>
      <c r="F1365" s="25">
        <v>0.0</v>
      </c>
      <c r="G1365" s="25">
        <v>613.0</v>
      </c>
      <c r="H1365" s="25">
        <v>599.0</v>
      </c>
      <c r="I1365" s="26">
        <f t="array" ref="I1365">XLOOKUP($A1365,product!A:A,product!E:E)</f>
        <v>1.46</v>
      </c>
      <c r="J1365" s="25">
        <f t="shared" si="2"/>
        <v>874.54</v>
      </c>
      <c r="K1365" s="27">
        <f t="shared" si="3"/>
        <v>1</v>
      </c>
      <c r="L1365" s="25">
        <f t="shared" si="4"/>
        <v>1</v>
      </c>
    </row>
    <row r="1366">
      <c r="A1366" s="19">
        <v>104171.0</v>
      </c>
      <c r="B1366" s="20" t="str">
        <f t="array" ref="B1366">xlookup($A1366,product!$A:$A,product!B:B)</f>
        <v>Epicerie sucrée</v>
      </c>
      <c r="C1366" s="20" t="str">
        <f t="array" ref="C1366">xlookup($A1366,product!$A:$A,product!C:C)</f>
        <v>Fruits secs</v>
      </c>
      <c r="D1366" s="20" t="str">
        <f t="array" ref="D1366">xlookup($A1366,product!$A:$A,product!D:D)</f>
        <v>Fruit séché</v>
      </c>
      <c r="E1366" s="4" t="str">
        <f t="shared" si="1"/>
        <v>104171-Fruits secs-Fruit séché</v>
      </c>
      <c r="F1366" s="4">
        <v>1.0</v>
      </c>
      <c r="G1366" s="4">
        <v>531.0</v>
      </c>
      <c r="H1366" s="4">
        <v>527.0</v>
      </c>
      <c r="I1366" s="21">
        <f t="array" ref="I1366">XLOOKUP($A1366,product!A:A,product!E:E)</f>
        <v>2.04</v>
      </c>
      <c r="J1366" s="4">
        <f t="shared" si="2"/>
        <v>1075.08</v>
      </c>
      <c r="K1366" s="22">
        <f t="shared" si="3"/>
        <v>1</v>
      </c>
      <c r="L1366" s="4">
        <f t="shared" si="4"/>
        <v>1</v>
      </c>
    </row>
    <row r="1367">
      <c r="A1367" s="23">
        <v>101042.0</v>
      </c>
      <c r="B1367" s="24" t="str">
        <f t="array" ref="B1367">xlookup($A1367,product!$A:$A,product!B:B)</f>
        <v>Epicerie sucrée</v>
      </c>
      <c r="C1367" s="24" t="str">
        <f t="array" ref="C1367">xlookup($A1367,product!$A:$A,product!C:C)</f>
        <v>Fruits secs</v>
      </c>
      <c r="D1367" s="24" t="str">
        <f t="array" ref="D1367">xlookup($A1367,product!$A:$A,product!D:D)</f>
        <v>Fruit séché</v>
      </c>
      <c r="E1367" s="25" t="str">
        <f t="shared" si="1"/>
        <v>101042-Fruits secs-Fruit séché</v>
      </c>
      <c r="F1367" s="25">
        <v>1.0</v>
      </c>
      <c r="G1367" s="25">
        <v>834.0</v>
      </c>
      <c r="H1367" s="25">
        <v>249.0</v>
      </c>
      <c r="I1367" s="26">
        <f t="array" ref="I1367">XLOOKUP($A1367,product!A:A,product!E:E)</f>
        <v>1.3</v>
      </c>
      <c r="J1367" s="25">
        <f t="shared" si="2"/>
        <v>323.7</v>
      </c>
      <c r="K1367" s="27">
        <f t="shared" si="3"/>
        <v>1</v>
      </c>
      <c r="L1367" s="25">
        <f t="shared" si="4"/>
        <v>1</v>
      </c>
    </row>
    <row r="1368">
      <c r="A1368" s="19">
        <v>108881.0</v>
      </c>
      <c r="B1368" s="20" t="str">
        <f t="array" ref="B1368">xlookup($A1368,product!$A:$A,product!B:B)</f>
        <v>Epicerie sucrée</v>
      </c>
      <c r="C1368" s="20" t="str">
        <f t="array" ref="C1368">xlookup($A1368,product!$A:$A,product!C:C)</f>
        <v>Fruits secs</v>
      </c>
      <c r="D1368" s="20" t="str">
        <f t="array" ref="D1368">xlookup($A1368,product!$A:$A,product!D:D)</f>
        <v>Fruit séché</v>
      </c>
      <c r="E1368" s="4" t="str">
        <f t="shared" si="1"/>
        <v>108881-Fruits secs-Fruit séché</v>
      </c>
      <c r="F1368" s="4">
        <v>1.0</v>
      </c>
      <c r="G1368" s="4">
        <v>504.0</v>
      </c>
      <c r="H1368" s="4">
        <v>290.0</v>
      </c>
      <c r="I1368" s="21">
        <f t="array" ref="I1368">XLOOKUP($A1368,product!A:A,product!E:E)</f>
        <v>3.47</v>
      </c>
      <c r="J1368" s="4">
        <f t="shared" si="2"/>
        <v>1006.3</v>
      </c>
      <c r="K1368" s="22">
        <f t="shared" si="3"/>
        <v>1</v>
      </c>
      <c r="L1368" s="4">
        <f t="shared" si="4"/>
        <v>1</v>
      </c>
    </row>
    <row r="1369">
      <c r="A1369" s="23">
        <v>87571.0</v>
      </c>
      <c r="B1369" s="24" t="str">
        <f t="array" ref="B1369">xlookup($A1369,product!$A:$A,product!B:B)</f>
        <v>Epicerie sucrée</v>
      </c>
      <c r="C1369" s="24" t="str">
        <f t="array" ref="C1369">xlookup($A1369,product!$A:$A,product!C:C)</f>
        <v>Fruits secs</v>
      </c>
      <c r="D1369" s="24" t="str">
        <f t="array" ref="D1369">xlookup($A1369,product!$A:$A,product!D:D)</f>
        <v>Fruit séché</v>
      </c>
      <c r="E1369" s="25" t="str">
        <f t="shared" si="1"/>
        <v>87571-Fruits secs-Fruit séché</v>
      </c>
      <c r="F1369" s="25">
        <v>0.0</v>
      </c>
      <c r="G1369" s="25">
        <v>77.0</v>
      </c>
      <c r="H1369" s="25">
        <v>34.0</v>
      </c>
      <c r="I1369" s="26">
        <f t="array" ref="I1369">XLOOKUP($A1369,product!A:A,product!E:E)</f>
        <v>5.26</v>
      </c>
      <c r="J1369" s="25">
        <f t="shared" si="2"/>
        <v>178.84</v>
      </c>
      <c r="K1369" s="27">
        <f t="shared" si="3"/>
        <v>1</v>
      </c>
      <c r="L1369" s="25">
        <f t="shared" si="4"/>
        <v>1</v>
      </c>
    </row>
    <row r="1370">
      <c r="A1370" s="19">
        <v>44718.0</v>
      </c>
      <c r="B1370" s="20" t="str">
        <f t="array" ref="B1370">xlookup($A1370,product!$A:$A,product!B:B)</f>
        <v>Epicerie sucrée</v>
      </c>
      <c r="C1370" s="20" t="str">
        <f t="array" ref="C1370">xlookup($A1370,product!$A:$A,product!C:C)</f>
        <v>Fruits secs</v>
      </c>
      <c r="D1370" s="20" t="str">
        <f t="array" ref="D1370">xlookup($A1370,product!$A:$A,product!D:D)</f>
        <v>Fruit séché</v>
      </c>
      <c r="E1370" s="4" t="str">
        <f t="shared" si="1"/>
        <v>44718-Fruits secs-Fruit séché</v>
      </c>
      <c r="F1370" s="4">
        <v>1.0</v>
      </c>
      <c r="G1370" s="4">
        <v>570.0</v>
      </c>
      <c r="H1370" s="4">
        <v>315.0</v>
      </c>
      <c r="I1370" s="21">
        <f t="array" ref="I1370">XLOOKUP($A1370,product!A:A,product!E:E)</f>
        <v>1.58</v>
      </c>
      <c r="J1370" s="4">
        <f t="shared" si="2"/>
        <v>497.7</v>
      </c>
      <c r="K1370" s="22">
        <f t="shared" si="3"/>
        <v>1</v>
      </c>
      <c r="L1370" s="4">
        <f t="shared" si="4"/>
        <v>1</v>
      </c>
    </row>
    <row r="1371">
      <c r="A1371" s="23">
        <v>44735.0</v>
      </c>
      <c r="B1371" s="24" t="str">
        <f t="array" ref="B1371">xlookup($A1371,product!$A:$A,product!B:B)</f>
        <v>Epicerie sucrée</v>
      </c>
      <c r="C1371" s="24" t="str">
        <f t="array" ref="C1371">xlookup($A1371,product!$A:$A,product!C:C)</f>
        <v>Fruits secs</v>
      </c>
      <c r="D1371" s="24" t="str">
        <f t="array" ref="D1371">xlookup($A1371,product!$A:$A,product!D:D)</f>
        <v>Fruit séché</v>
      </c>
      <c r="E1371" s="25" t="str">
        <f t="shared" si="1"/>
        <v>44735-Fruits secs-Fruit séché</v>
      </c>
      <c r="F1371" s="25">
        <v>0.0</v>
      </c>
      <c r="G1371" s="25">
        <v>37.0</v>
      </c>
      <c r="H1371" s="25">
        <v>34.0</v>
      </c>
      <c r="I1371" s="26">
        <f t="array" ref="I1371">XLOOKUP($A1371,product!A:A,product!E:E)</f>
        <v>0.89</v>
      </c>
      <c r="J1371" s="25">
        <f t="shared" si="2"/>
        <v>30.26</v>
      </c>
      <c r="K1371" s="27">
        <f t="shared" si="3"/>
        <v>1</v>
      </c>
      <c r="L1371" s="25">
        <f t="shared" si="4"/>
        <v>1</v>
      </c>
    </row>
    <row r="1372">
      <c r="A1372" s="19">
        <v>21035.0</v>
      </c>
      <c r="B1372" s="20" t="str">
        <f t="array" ref="B1372">xlookup($A1372,product!$A:$A,product!B:B)</f>
        <v>Epicerie sucrée</v>
      </c>
      <c r="C1372" s="20" t="str">
        <f t="array" ref="C1372">xlookup($A1372,product!$A:$A,product!C:C)</f>
        <v>Fruits secs</v>
      </c>
      <c r="D1372" s="20" t="str">
        <f t="array" ref="D1372">xlookup($A1372,product!$A:$A,product!D:D)</f>
        <v>Fruit séché</v>
      </c>
      <c r="E1372" s="4" t="str">
        <f t="shared" si="1"/>
        <v>21035-Fruits secs-Fruit séché</v>
      </c>
      <c r="F1372" s="4">
        <v>1.0</v>
      </c>
      <c r="G1372" s="4">
        <v>897.0</v>
      </c>
      <c r="H1372" s="4">
        <v>618.0</v>
      </c>
      <c r="I1372" s="21">
        <f t="array" ref="I1372">XLOOKUP($A1372,product!A:A,product!E:E)</f>
        <v>4.24</v>
      </c>
      <c r="J1372" s="4">
        <f t="shared" si="2"/>
        <v>2620.32</v>
      </c>
      <c r="K1372" s="22">
        <f t="shared" si="3"/>
        <v>1</v>
      </c>
      <c r="L1372" s="4">
        <f t="shared" si="4"/>
        <v>1</v>
      </c>
    </row>
    <row r="1373">
      <c r="A1373" s="23">
        <v>30308.0</v>
      </c>
      <c r="B1373" s="24" t="str">
        <f t="array" ref="B1373">xlookup($A1373,product!$A:$A,product!B:B)</f>
        <v>Epicerie sucrée</v>
      </c>
      <c r="C1373" s="24" t="str">
        <f t="array" ref="C1373">xlookup($A1373,product!$A:$A,product!C:C)</f>
        <v>Fruits secs</v>
      </c>
      <c r="D1373" s="24" t="str">
        <f t="array" ref="D1373">xlookup($A1373,product!$A:$A,product!D:D)</f>
        <v>Fruit séché</v>
      </c>
      <c r="E1373" s="25" t="str">
        <f t="shared" si="1"/>
        <v>30308-Fruits secs-Fruit séché</v>
      </c>
      <c r="F1373" s="25">
        <v>0.0</v>
      </c>
      <c r="G1373" s="25">
        <v>412.0</v>
      </c>
      <c r="H1373" s="25">
        <v>160.0</v>
      </c>
      <c r="I1373" s="26">
        <f t="array" ref="I1373">XLOOKUP($A1373,product!A:A,product!E:E)</f>
        <v>5.87</v>
      </c>
      <c r="J1373" s="25">
        <f t="shared" si="2"/>
        <v>939.2</v>
      </c>
      <c r="K1373" s="27">
        <f t="shared" si="3"/>
        <v>1</v>
      </c>
      <c r="L1373" s="25">
        <f t="shared" si="4"/>
        <v>1</v>
      </c>
    </row>
    <row r="1374">
      <c r="A1374" s="19">
        <v>44694.0</v>
      </c>
      <c r="B1374" s="20" t="str">
        <f t="array" ref="B1374">xlookup($A1374,product!$A:$A,product!B:B)</f>
        <v>Epicerie sucrée</v>
      </c>
      <c r="C1374" s="20" t="str">
        <f t="array" ref="C1374">xlookup($A1374,product!$A:$A,product!C:C)</f>
        <v>Fruits secs</v>
      </c>
      <c r="D1374" s="20" t="str">
        <f t="array" ref="D1374">xlookup($A1374,product!$A:$A,product!D:D)</f>
        <v>Fruit séché</v>
      </c>
      <c r="E1374" s="4" t="str">
        <f t="shared" si="1"/>
        <v>44694-Fruits secs-Fruit séché</v>
      </c>
      <c r="F1374" s="4">
        <v>1.0</v>
      </c>
      <c r="G1374" s="4">
        <v>296.0</v>
      </c>
      <c r="H1374" s="4">
        <v>215.0</v>
      </c>
      <c r="I1374" s="21">
        <f t="array" ref="I1374">XLOOKUP($A1374,product!A:A,product!E:E)</f>
        <v>2.28</v>
      </c>
      <c r="J1374" s="4">
        <f t="shared" si="2"/>
        <v>490.2</v>
      </c>
      <c r="K1374" s="22">
        <f t="shared" si="3"/>
        <v>1</v>
      </c>
      <c r="L1374" s="4">
        <f t="shared" si="4"/>
        <v>1</v>
      </c>
    </row>
    <row r="1375">
      <c r="A1375" s="23">
        <v>78493.0</v>
      </c>
      <c r="B1375" s="24" t="str">
        <f t="array" ref="B1375">xlookup($A1375,product!$A:$A,product!B:B)</f>
        <v>Epicerie sucrée</v>
      </c>
      <c r="C1375" s="24" t="str">
        <f t="array" ref="C1375">xlookup($A1375,product!$A:$A,product!C:C)</f>
        <v>Fruits secs</v>
      </c>
      <c r="D1375" s="24" t="str">
        <f t="array" ref="D1375">xlookup($A1375,product!$A:$A,product!D:D)</f>
        <v>Fruit séché</v>
      </c>
      <c r="E1375" s="25" t="str">
        <f t="shared" si="1"/>
        <v>78493-Fruits secs-Fruit séché</v>
      </c>
      <c r="F1375" s="25">
        <v>0.0</v>
      </c>
      <c r="G1375" s="25">
        <v>312.0</v>
      </c>
      <c r="H1375" s="25">
        <v>91.0</v>
      </c>
      <c r="I1375" s="26">
        <f t="array" ref="I1375">XLOOKUP($A1375,product!A:A,product!E:E)</f>
        <v>1.4</v>
      </c>
      <c r="J1375" s="25">
        <f t="shared" si="2"/>
        <v>127.4</v>
      </c>
      <c r="K1375" s="27">
        <f t="shared" si="3"/>
        <v>1</v>
      </c>
      <c r="L1375" s="25">
        <f t="shared" si="4"/>
        <v>1</v>
      </c>
    </row>
    <row r="1376">
      <c r="A1376" s="19">
        <v>78409.0</v>
      </c>
      <c r="B1376" s="20" t="str">
        <f t="array" ref="B1376">xlookup($A1376,product!$A:$A,product!B:B)</f>
        <v>Epicerie sucrée</v>
      </c>
      <c r="C1376" s="20" t="str">
        <f t="array" ref="C1376">xlookup($A1376,product!$A:$A,product!C:C)</f>
        <v>Fruits secs</v>
      </c>
      <c r="D1376" s="20" t="str">
        <f t="array" ref="D1376">xlookup($A1376,product!$A:$A,product!D:D)</f>
        <v>Fruit séché</v>
      </c>
      <c r="E1376" s="4" t="str">
        <f t="shared" si="1"/>
        <v>78409-Fruits secs-Fruit séché</v>
      </c>
      <c r="F1376" s="4">
        <v>0.0</v>
      </c>
      <c r="G1376" s="4">
        <v>137.0</v>
      </c>
      <c r="H1376" s="4">
        <v>40.0</v>
      </c>
      <c r="I1376" s="21">
        <f t="array" ref="I1376">XLOOKUP($A1376,product!A:A,product!E:E)</f>
        <v>2.11</v>
      </c>
      <c r="J1376" s="4">
        <f t="shared" si="2"/>
        <v>84.4</v>
      </c>
      <c r="K1376" s="22">
        <f t="shared" si="3"/>
        <v>1</v>
      </c>
      <c r="L1376" s="4">
        <f t="shared" si="4"/>
        <v>1</v>
      </c>
    </row>
    <row r="1377">
      <c r="A1377" s="23">
        <v>86844.0</v>
      </c>
      <c r="B1377" s="24" t="str">
        <f t="array" ref="B1377">xlookup($A1377,product!$A:$A,product!B:B)</f>
        <v>Epicerie sucrée</v>
      </c>
      <c r="C1377" s="24" t="str">
        <f t="array" ref="C1377">xlookup($A1377,product!$A:$A,product!C:C)</f>
        <v>Fruits secs</v>
      </c>
      <c r="D1377" s="24" t="str">
        <f t="array" ref="D1377">xlookup($A1377,product!$A:$A,product!D:D)</f>
        <v>Fruit séché</v>
      </c>
      <c r="E1377" s="25" t="str">
        <f t="shared" si="1"/>
        <v>86844-Fruits secs-Fruit séché</v>
      </c>
      <c r="F1377" s="25">
        <v>1.0</v>
      </c>
      <c r="G1377" s="25">
        <v>233.0</v>
      </c>
      <c r="H1377" s="25">
        <v>164.0</v>
      </c>
      <c r="I1377" s="26">
        <f t="array" ref="I1377">XLOOKUP($A1377,product!A:A,product!E:E)</f>
        <v>2.19</v>
      </c>
      <c r="J1377" s="25">
        <f t="shared" si="2"/>
        <v>359.16</v>
      </c>
      <c r="K1377" s="27">
        <f t="shared" si="3"/>
        <v>1</v>
      </c>
      <c r="L1377" s="25">
        <f t="shared" si="4"/>
        <v>1</v>
      </c>
    </row>
    <row r="1378">
      <c r="A1378" s="19">
        <v>86771.0</v>
      </c>
      <c r="B1378" s="20" t="str">
        <f t="array" ref="B1378">xlookup($A1378,product!$A:$A,product!B:B)</f>
        <v>Epicerie sucrée</v>
      </c>
      <c r="C1378" s="20" t="str">
        <f t="array" ref="C1378">xlookup($A1378,product!$A:$A,product!C:C)</f>
        <v>Fruits secs</v>
      </c>
      <c r="D1378" s="20" t="str">
        <f t="array" ref="D1378">xlookup($A1378,product!$A:$A,product!D:D)</f>
        <v>Fruit séché</v>
      </c>
      <c r="E1378" s="4" t="str">
        <f t="shared" si="1"/>
        <v>86771-Fruits secs-Fruit séché</v>
      </c>
      <c r="F1378" s="4">
        <v>0.0</v>
      </c>
      <c r="G1378" s="4">
        <v>162.0</v>
      </c>
      <c r="H1378" s="4">
        <v>101.0</v>
      </c>
      <c r="I1378" s="21">
        <f t="array" ref="I1378">XLOOKUP($A1378,product!A:A,product!E:E)</f>
        <v>19.31</v>
      </c>
      <c r="J1378" s="4">
        <f t="shared" si="2"/>
        <v>1950.31</v>
      </c>
      <c r="K1378" s="22">
        <f t="shared" si="3"/>
        <v>1</v>
      </c>
      <c r="L1378" s="4">
        <f t="shared" si="4"/>
        <v>1</v>
      </c>
    </row>
    <row r="1379">
      <c r="A1379" s="23">
        <v>78511.0</v>
      </c>
      <c r="B1379" s="24" t="str">
        <f t="array" ref="B1379">xlookup($A1379,product!$A:$A,product!B:B)</f>
        <v>Epicerie sucrée</v>
      </c>
      <c r="C1379" s="24" t="str">
        <f t="array" ref="C1379">xlookup($A1379,product!$A:$A,product!C:C)</f>
        <v>Fruits secs</v>
      </c>
      <c r="D1379" s="24" t="str">
        <f t="array" ref="D1379">xlookup($A1379,product!$A:$A,product!D:D)</f>
        <v>Fruit séché</v>
      </c>
      <c r="E1379" s="25" t="str">
        <f t="shared" si="1"/>
        <v>78511-Fruits secs-Fruit séché</v>
      </c>
      <c r="F1379" s="25">
        <v>0.0</v>
      </c>
      <c r="G1379" s="25">
        <v>560.0</v>
      </c>
      <c r="H1379" s="25">
        <v>284.0</v>
      </c>
      <c r="I1379" s="26">
        <f t="array" ref="I1379">XLOOKUP($A1379,product!A:A,product!E:E)</f>
        <v>2.8</v>
      </c>
      <c r="J1379" s="25">
        <f t="shared" si="2"/>
        <v>795.2</v>
      </c>
      <c r="K1379" s="27">
        <f t="shared" si="3"/>
        <v>1</v>
      </c>
      <c r="L1379" s="25">
        <f t="shared" si="4"/>
        <v>1</v>
      </c>
    </row>
    <row r="1380">
      <c r="A1380" s="19">
        <v>83267.0</v>
      </c>
      <c r="B1380" s="20" t="str">
        <f t="array" ref="B1380">xlookup($A1380,product!$A:$A,product!B:B)</f>
        <v>Epicerie sucrée</v>
      </c>
      <c r="C1380" s="20" t="str">
        <f t="array" ref="C1380">xlookup($A1380,product!$A:$A,product!C:C)</f>
        <v>Fruits secs</v>
      </c>
      <c r="D1380" s="20" t="str">
        <f t="array" ref="D1380">xlookup($A1380,product!$A:$A,product!D:D)</f>
        <v>Fruit séché</v>
      </c>
      <c r="E1380" s="4" t="str">
        <f t="shared" si="1"/>
        <v>83267-Fruits secs-Fruit séché</v>
      </c>
      <c r="F1380" s="4">
        <v>0.0</v>
      </c>
      <c r="G1380" s="4">
        <v>300.0</v>
      </c>
      <c r="H1380" s="4">
        <v>41.0</v>
      </c>
      <c r="I1380" s="21">
        <f t="array" ref="I1380">XLOOKUP($A1380,product!A:A,product!E:E)</f>
        <v>1.69</v>
      </c>
      <c r="J1380" s="4">
        <f t="shared" si="2"/>
        <v>69.29</v>
      </c>
      <c r="K1380" s="22">
        <f t="shared" si="3"/>
        <v>1</v>
      </c>
      <c r="L1380" s="4">
        <f t="shared" si="4"/>
        <v>1</v>
      </c>
    </row>
    <row r="1381">
      <c r="A1381" s="23">
        <v>78490.0</v>
      </c>
      <c r="B1381" s="24" t="str">
        <f t="array" ref="B1381">xlookup($A1381,product!$A:$A,product!B:B)</f>
        <v>Epicerie sucrée</v>
      </c>
      <c r="C1381" s="24" t="str">
        <f t="array" ref="C1381">xlookup($A1381,product!$A:$A,product!C:C)</f>
        <v>Fruits secs</v>
      </c>
      <c r="D1381" s="24" t="str">
        <f t="array" ref="D1381">xlookup($A1381,product!$A:$A,product!D:D)</f>
        <v>Fruit séché</v>
      </c>
      <c r="E1381" s="25" t="str">
        <f t="shared" si="1"/>
        <v>78490-Fruits secs-Fruit séché</v>
      </c>
      <c r="F1381" s="25">
        <v>1.0</v>
      </c>
      <c r="G1381" s="25">
        <v>634.0</v>
      </c>
      <c r="H1381" s="25">
        <v>176.0</v>
      </c>
      <c r="I1381" s="26">
        <f t="array" ref="I1381">XLOOKUP($A1381,product!A:A,product!E:E)</f>
        <v>2.94</v>
      </c>
      <c r="J1381" s="25">
        <f t="shared" si="2"/>
        <v>517.44</v>
      </c>
      <c r="K1381" s="27">
        <f t="shared" si="3"/>
        <v>1</v>
      </c>
      <c r="L1381" s="25">
        <f t="shared" si="4"/>
        <v>1</v>
      </c>
    </row>
    <row r="1382">
      <c r="A1382" s="19">
        <v>73175.0</v>
      </c>
      <c r="B1382" s="20" t="str">
        <f t="array" ref="B1382">xlookup($A1382,product!$A:$A,product!B:B)</f>
        <v>Epicerie sucrée</v>
      </c>
      <c r="C1382" s="20" t="str">
        <f t="array" ref="C1382">xlookup($A1382,product!$A:$A,product!C:C)</f>
        <v>Fruits secs</v>
      </c>
      <c r="D1382" s="20" t="str">
        <f t="array" ref="D1382">xlookup($A1382,product!$A:$A,product!D:D)</f>
        <v>Fruit séché</v>
      </c>
      <c r="E1382" s="4" t="str">
        <f t="shared" si="1"/>
        <v>73175-Fruits secs-Fruit séché</v>
      </c>
      <c r="F1382" s="4">
        <v>0.0</v>
      </c>
      <c r="G1382" s="4">
        <v>545.0</v>
      </c>
      <c r="H1382" s="4">
        <v>442.0</v>
      </c>
      <c r="I1382" s="21">
        <f t="array" ref="I1382">XLOOKUP($A1382,product!A:A,product!E:E)</f>
        <v>10.7</v>
      </c>
      <c r="J1382" s="4">
        <f t="shared" si="2"/>
        <v>4729.4</v>
      </c>
      <c r="K1382" s="22">
        <f t="shared" si="3"/>
        <v>1</v>
      </c>
      <c r="L1382" s="4">
        <f t="shared" si="4"/>
        <v>1</v>
      </c>
    </row>
    <row r="1383">
      <c r="A1383" s="23">
        <v>44730.0</v>
      </c>
      <c r="B1383" s="24" t="str">
        <f t="array" ref="B1383">xlookup($A1383,product!$A:$A,product!B:B)</f>
        <v>Epicerie sucrée</v>
      </c>
      <c r="C1383" s="24" t="str">
        <f t="array" ref="C1383">xlookup($A1383,product!$A:$A,product!C:C)</f>
        <v>Fruits secs</v>
      </c>
      <c r="D1383" s="24" t="str">
        <f t="array" ref="D1383">xlookup($A1383,product!$A:$A,product!D:D)</f>
        <v>Fruit séché</v>
      </c>
      <c r="E1383" s="25" t="str">
        <f t="shared" si="1"/>
        <v>44730-Fruits secs-Fruit séché</v>
      </c>
      <c r="F1383" s="25">
        <v>1.0</v>
      </c>
      <c r="G1383" s="25">
        <v>354.0</v>
      </c>
      <c r="H1383" s="25">
        <v>161.0</v>
      </c>
      <c r="I1383" s="26">
        <f t="array" ref="I1383">XLOOKUP($A1383,product!A:A,product!E:E)</f>
        <v>3.94</v>
      </c>
      <c r="J1383" s="25">
        <f t="shared" si="2"/>
        <v>634.34</v>
      </c>
      <c r="K1383" s="27">
        <f t="shared" si="3"/>
        <v>1</v>
      </c>
      <c r="L1383" s="25">
        <f t="shared" si="4"/>
        <v>1</v>
      </c>
    </row>
    <row r="1384">
      <c r="A1384" s="19">
        <v>10535.0</v>
      </c>
      <c r="B1384" s="20" t="str">
        <f t="array" ref="B1384">xlookup($A1384,product!$A:$A,product!B:B)</f>
        <v>Epicerie sucrée</v>
      </c>
      <c r="C1384" s="20" t="str">
        <f t="array" ref="C1384">xlookup($A1384,product!$A:$A,product!C:C)</f>
        <v>Fruits secs</v>
      </c>
      <c r="D1384" s="20" t="str">
        <f t="array" ref="D1384">xlookup($A1384,product!$A:$A,product!D:D)</f>
        <v>Fruit séché</v>
      </c>
      <c r="E1384" s="4" t="str">
        <f t="shared" si="1"/>
        <v>10535-Fruits secs-Fruit séché</v>
      </c>
      <c r="F1384" s="4">
        <v>0.0</v>
      </c>
      <c r="G1384" s="4">
        <v>796.0</v>
      </c>
      <c r="H1384" s="4">
        <v>118.0</v>
      </c>
      <c r="I1384" s="21">
        <f t="array" ref="I1384">XLOOKUP($A1384,product!A:A,product!E:E)</f>
        <v>2.44</v>
      </c>
      <c r="J1384" s="4">
        <f t="shared" si="2"/>
        <v>287.92</v>
      </c>
      <c r="K1384" s="22">
        <f t="shared" si="3"/>
        <v>1</v>
      </c>
      <c r="L1384" s="4">
        <f t="shared" si="4"/>
        <v>1</v>
      </c>
    </row>
    <row r="1385">
      <c r="A1385" s="23">
        <v>80299.0</v>
      </c>
      <c r="B1385" s="24" t="str">
        <f t="array" ref="B1385">xlookup($A1385,product!$A:$A,product!B:B)</f>
        <v>Epicerie sucrée</v>
      </c>
      <c r="C1385" s="24" t="str">
        <f t="array" ref="C1385">xlookup($A1385,product!$A:$A,product!C:C)</f>
        <v>Fruits secs</v>
      </c>
      <c r="D1385" s="24" t="str">
        <f t="array" ref="D1385">xlookup($A1385,product!$A:$A,product!D:D)</f>
        <v>Fruit séché</v>
      </c>
      <c r="E1385" s="25" t="str">
        <f t="shared" si="1"/>
        <v>80299-Fruits secs-Fruit séché</v>
      </c>
      <c r="F1385" s="25">
        <v>0.0</v>
      </c>
      <c r="G1385" s="25">
        <v>639.0</v>
      </c>
      <c r="H1385" s="25">
        <v>434.0</v>
      </c>
      <c r="I1385" s="26">
        <f t="array" ref="I1385">XLOOKUP($A1385,product!A:A,product!E:E)</f>
        <v>4.58</v>
      </c>
      <c r="J1385" s="25">
        <f t="shared" si="2"/>
        <v>1987.72</v>
      </c>
      <c r="K1385" s="27">
        <f t="shared" si="3"/>
        <v>1</v>
      </c>
      <c r="L1385" s="25">
        <f t="shared" si="4"/>
        <v>1</v>
      </c>
    </row>
    <row r="1386">
      <c r="A1386" s="19">
        <v>121350.0</v>
      </c>
      <c r="B1386" s="20" t="str">
        <f t="array" ref="B1386">xlookup($A1386,product!$A:$A,product!B:B)</f>
        <v>Epicerie sucrée</v>
      </c>
      <c r="C1386" s="20" t="str">
        <f t="array" ref="C1386">xlookup($A1386,product!$A:$A,product!C:C)</f>
        <v>Fruits secs</v>
      </c>
      <c r="D1386" s="20" t="str">
        <f t="array" ref="D1386">xlookup($A1386,product!$A:$A,product!D:D)</f>
        <v>Fruit séché</v>
      </c>
      <c r="E1386" s="4" t="str">
        <f t="shared" si="1"/>
        <v>121350-Fruits secs-Fruit séché</v>
      </c>
      <c r="F1386" s="4">
        <v>1.0</v>
      </c>
      <c r="G1386" s="4">
        <v>235.0</v>
      </c>
      <c r="H1386" s="4">
        <v>100.0</v>
      </c>
      <c r="I1386" s="21">
        <f t="array" ref="I1386">XLOOKUP($A1386,product!A:A,product!E:E)</f>
        <v>2.62</v>
      </c>
      <c r="J1386" s="4">
        <f t="shared" si="2"/>
        <v>262</v>
      </c>
      <c r="K1386" s="22">
        <f t="shared" si="3"/>
        <v>1</v>
      </c>
      <c r="L1386" s="4">
        <f t="shared" si="4"/>
        <v>1</v>
      </c>
    </row>
    <row r="1387">
      <c r="A1387" s="23">
        <v>79958.0</v>
      </c>
      <c r="B1387" s="24" t="str">
        <f t="array" ref="B1387">xlookup($A1387,product!$A:$A,product!B:B)</f>
        <v>Epicerie sucrée</v>
      </c>
      <c r="C1387" s="24" t="str">
        <f t="array" ref="C1387">xlookup($A1387,product!$A:$A,product!C:C)</f>
        <v>Fruits secs</v>
      </c>
      <c r="D1387" s="24" t="str">
        <f t="array" ref="D1387">xlookup($A1387,product!$A:$A,product!D:D)</f>
        <v>Fruit séché</v>
      </c>
      <c r="E1387" s="25" t="str">
        <f t="shared" si="1"/>
        <v>79958-Fruits secs-Fruit séché</v>
      </c>
      <c r="F1387" s="25">
        <v>1.0</v>
      </c>
      <c r="G1387" s="25">
        <v>49.0</v>
      </c>
      <c r="H1387" s="25">
        <v>33.0</v>
      </c>
      <c r="I1387" s="26">
        <f t="array" ref="I1387">XLOOKUP($A1387,product!A:A,product!E:E)</f>
        <v>2.79</v>
      </c>
      <c r="J1387" s="25">
        <f t="shared" si="2"/>
        <v>92.07</v>
      </c>
      <c r="K1387" s="27">
        <f t="shared" si="3"/>
        <v>1</v>
      </c>
      <c r="L1387" s="25">
        <f t="shared" si="4"/>
        <v>1</v>
      </c>
    </row>
    <row r="1388">
      <c r="A1388" s="19">
        <v>95074.0</v>
      </c>
      <c r="B1388" s="20" t="str">
        <f t="array" ref="B1388">xlookup($A1388,product!$A:$A,product!B:B)</f>
        <v>Epicerie sucrée</v>
      </c>
      <c r="C1388" s="20" t="str">
        <f t="array" ref="C1388">xlookup($A1388,product!$A:$A,product!C:C)</f>
        <v>Fruits secs</v>
      </c>
      <c r="D1388" s="20" t="str">
        <f t="array" ref="D1388">xlookup($A1388,product!$A:$A,product!D:D)</f>
        <v>Fruit séché</v>
      </c>
      <c r="E1388" s="4" t="str">
        <f t="shared" si="1"/>
        <v>95074-Fruits secs-Fruit séché</v>
      </c>
      <c r="F1388" s="4">
        <v>0.0</v>
      </c>
      <c r="G1388" s="4">
        <v>794.0</v>
      </c>
      <c r="H1388" s="4">
        <v>330.0</v>
      </c>
      <c r="I1388" s="21">
        <f t="array" ref="I1388">XLOOKUP($A1388,product!A:A,product!E:E)</f>
        <v>2.77</v>
      </c>
      <c r="J1388" s="4">
        <f t="shared" si="2"/>
        <v>914.1</v>
      </c>
      <c r="K1388" s="22">
        <f t="shared" si="3"/>
        <v>1</v>
      </c>
      <c r="L1388" s="4">
        <f t="shared" si="4"/>
        <v>1</v>
      </c>
    </row>
    <row r="1389">
      <c r="A1389" s="23">
        <v>87574.0</v>
      </c>
      <c r="B1389" s="24" t="str">
        <f t="array" ref="B1389">xlookup($A1389,product!$A:$A,product!B:B)</f>
        <v>Epicerie sucrée</v>
      </c>
      <c r="C1389" s="24" t="str">
        <f t="array" ref="C1389">xlookup($A1389,product!$A:$A,product!C:C)</f>
        <v>Fruits secs</v>
      </c>
      <c r="D1389" s="24" t="str">
        <f t="array" ref="D1389">xlookup($A1389,product!$A:$A,product!D:D)</f>
        <v>Fruit séché</v>
      </c>
      <c r="E1389" s="25" t="str">
        <f t="shared" si="1"/>
        <v>87574-Fruits secs-Fruit séché</v>
      </c>
      <c r="F1389" s="25">
        <v>1.0</v>
      </c>
      <c r="G1389" s="25">
        <v>361.0</v>
      </c>
      <c r="H1389" s="25">
        <v>252.0</v>
      </c>
      <c r="I1389" s="26">
        <f t="array" ref="I1389">XLOOKUP($A1389,product!A:A,product!E:E)</f>
        <v>2.37</v>
      </c>
      <c r="J1389" s="25">
        <f t="shared" si="2"/>
        <v>597.24</v>
      </c>
      <c r="K1389" s="27">
        <f t="shared" si="3"/>
        <v>1</v>
      </c>
      <c r="L1389" s="25">
        <f t="shared" si="4"/>
        <v>1</v>
      </c>
    </row>
    <row r="1390">
      <c r="A1390" s="19">
        <v>77769.0</v>
      </c>
      <c r="B1390" s="20" t="str">
        <f t="array" ref="B1390">xlookup($A1390,product!$A:$A,product!B:B)</f>
        <v>Epicerie sucrée</v>
      </c>
      <c r="C1390" s="20" t="str">
        <f t="array" ref="C1390">xlookup($A1390,product!$A:$A,product!C:C)</f>
        <v>Fruits secs</v>
      </c>
      <c r="D1390" s="20" t="str">
        <f t="array" ref="D1390">xlookup($A1390,product!$A:$A,product!D:D)</f>
        <v>Fruit séché</v>
      </c>
      <c r="E1390" s="4" t="str">
        <f t="shared" si="1"/>
        <v>77769-Fruits secs-Fruit séché</v>
      </c>
      <c r="F1390" s="4">
        <v>0.0</v>
      </c>
      <c r="G1390" s="4">
        <v>904.0</v>
      </c>
      <c r="H1390" s="4">
        <v>423.0</v>
      </c>
      <c r="I1390" s="21">
        <f t="array" ref="I1390">XLOOKUP($A1390,product!A:A,product!E:E)</f>
        <v>3.73</v>
      </c>
      <c r="J1390" s="4">
        <f t="shared" si="2"/>
        <v>1577.79</v>
      </c>
      <c r="K1390" s="22">
        <f t="shared" si="3"/>
        <v>1</v>
      </c>
      <c r="L1390" s="4">
        <f t="shared" si="4"/>
        <v>1</v>
      </c>
    </row>
    <row r="1391">
      <c r="A1391" s="23">
        <v>141889.0</v>
      </c>
      <c r="B1391" s="24" t="str">
        <f t="array" ref="B1391">xlookup($A1391,product!$A:$A,product!B:B)</f>
        <v>Epicerie sucrée</v>
      </c>
      <c r="C1391" s="24" t="str">
        <f t="array" ref="C1391">xlookup($A1391,product!$A:$A,product!C:C)</f>
        <v>Fruits secs</v>
      </c>
      <c r="D1391" s="24" t="str">
        <f t="array" ref="D1391">xlookup($A1391,product!$A:$A,product!D:D)</f>
        <v>Fruit séché</v>
      </c>
      <c r="E1391" s="25" t="str">
        <f t="shared" si="1"/>
        <v>141889-Fruits secs-Fruit séché</v>
      </c>
      <c r="F1391" s="25">
        <v>0.0</v>
      </c>
      <c r="G1391" s="25">
        <v>459.0</v>
      </c>
      <c r="H1391" s="25">
        <v>445.0</v>
      </c>
      <c r="I1391" s="26">
        <f t="array" ref="I1391">XLOOKUP($A1391,product!A:A,product!E:E)</f>
        <v>5.19</v>
      </c>
      <c r="J1391" s="25">
        <f t="shared" si="2"/>
        <v>2309.55</v>
      </c>
      <c r="K1391" s="27">
        <f t="shared" si="3"/>
        <v>1</v>
      </c>
      <c r="L1391" s="25">
        <f t="shared" si="4"/>
        <v>1</v>
      </c>
    </row>
    <row r="1392">
      <c r="A1392" s="19">
        <v>83269.0</v>
      </c>
      <c r="B1392" s="20" t="str">
        <f t="array" ref="B1392">xlookup($A1392,product!$A:$A,product!B:B)</f>
        <v>Epicerie sucrée</v>
      </c>
      <c r="C1392" s="20" t="str">
        <f t="array" ref="C1392">xlookup($A1392,product!$A:$A,product!C:C)</f>
        <v>Fruits secs</v>
      </c>
      <c r="D1392" s="20" t="str">
        <f t="array" ref="D1392">xlookup($A1392,product!$A:$A,product!D:D)</f>
        <v>Fruit séché</v>
      </c>
      <c r="E1392" s="4" t="str">
        <f t="shared" si="1"/>
        <v>83269-Fruits secs-Fruit séché</v>
      </c>
      <c r="F1392" s="4">
        <v>1.0</v>
      </c>
      <c r="G1392" s="4">
        <v>525.0</v>
      </c>
      <c r="H1392" s="4">
        <v>384.0</v>
      </c>
      <c r="I1392" s="21">
        <f t="array" ref="I1392">XLOOKUP($A1392,product!A:A,product!E:E)</f>
        <v>1.69</v>
      </c>
      <c r="J1392" s="4">
        <f t="shared" si="2"/>
        <v>648.96</v>
      </c>
      <c r="K1392" s="22">
        <f t="shared" si="3"/>
        <v>1</v>
      </c>
      <c r="L1392" s="4">
        <f t="shared" si="4"/>
        <v>1</v>
      </c>
    </row>
    <row r="1393">
      <c r="A1393" s="23">
        <v>89647.0</v>
      </c>
      <c r="B1393" s="24" t="str">
        <f t="array" ref="B1393">xlookup($A1393,product!$A:$A,product!B:B)</f>
        <v>Epicerie sucrée</v>
      </c>
      <c r="C1393" s="24" t="str">
        <f t="array" ref="C1393">xlookup($A1393,product!$A:$A,product!C:C)</f>
        <v>Fruits secs</v>
      </c>
      <c r="D1393" s="24" t="str">
        <f t="array" ref="D1393">xlookup($A1393,product!$A:$A,product!D:D)</f>
        <v>Fruit séché</v>
      </c>
      <c r="E1393" s="25" t="str">
        <f t="shared" si="1"/>
        <v>89647-Fruits secs-Fruit séché</v>
      </c>
      <c r="F1393" s="25">
        <v>0.0</v>
      </c>
      <c r="G1393" s="25">
        <v>531.0</v>
      </c>
      <c r="H1393" s="25">
        <v>196.0</v>
      </c>
      <c r="I1393" s="26">
        <f t="array" ref="I1393">XLOOKUP($A1393,product!A:A,product!E:E)</f>
        <v>1.16</v>
      </c>
      <c r="J1393" s="25">
        <f t="shared" si="2"/>
        <v>227.36</v>
      </c>
      <c r="K1393" s="27">
        <f t="shared" si="3"/>
        <v>1</v>
      </c>
      <c r="L1393" s="25">
        <f t="shared" si="4"/>
        <v>1</v>
      </c>
    </row>
    <row r="1394">
      <c r="A1394" s="19">
        <v>77256.0</v>
      </c>
      <c r="B1394" s="20" t="str">
        <f t="array" ref="B1394">xlookup($A1394,product!$A:$A,product!B:B)</f>
        <v>Epicerie sucrée</v>
      </c>
      <c r="C1394" s="20" t="str">
        <f t="array" ref="C1394">xlookup($A1394,product!$A:$A,product!C:C)</f>
        <v>Fruits secs</v>
      </c>
      <c r="D1394" s="20" t="str">
        <f t="array" ref="D1394">xlookup($A1394,product!$A:$A,product!D:D)</f>
        <v>Fruit séché</v>
      </c>
      <c r="E1394" s="4" t="str">
        <f t="shared" si="1"/>
        <v>77256-Fruits secs-Fruit séché</v>
      </c>
      <c r="F1394" s="4">
        <v>0.0</v>
      </c>
      <c r="G1394" s="4">
        <v>309.0</v>
      </c>
      <c r="H1394" s="4">
        <v>237.0</v>
      </c>
      <c r="I1394" s="21">
        <f t="array" ref="I1394">XLOOKUP($A1394,product!A:A,product!E:E)</f>
        <v>2.9</v>
      </c>
      <c r="J1394" s="4">
        <f t="shared" si="2"/>
        <v>687.3</v>
      </c>
      <c r="K1394" s="22">
        <f t="shared" si="3"/>
        <v>1</v>
      </c>
      <c r="L1394" s="4">
        <f t="shared" si="4"/>
        <v>1</v>
      </c>
    </row>
    <row r="1395">
      <c r="A1395" s="23">
        <v>86840.0</v>
      </c>
      <c r="B1395" s="24" t="str">
        <f t="array" ref="B1395">xlookup($A1395,product!$A:$A,product!B:B)</f>
        <v>Epicerie sucrée</v>
      </c>
      <c r="C1395" s="24" t="str">
        <f t="array" ref="C1395">xlookup($A1395,product!$A:$A,product!C:C)</f>
        <v>Fruits secs</v>
      </c>
      <c r="D1395" s="24" t="str">
        <f t="array" ref="D1395">xlookup($A1395,product!$A:$A,product!D:D)</f>
        <v>Fruit séché</v>
      </c>
      <c r="E1395" s="25" t="str">
        <f t="shared" si="1"/>
        <v>86840-Fruits secs-Fruit séché</v>
      </c>
      <c r="F1395" s="25">
        <v>0.0</v>
      </c>
      <c r="G1395" s="25">
        <v>623.0</v>
      </c>
      <c r="H1395" s="25">
        <v>96.0</v>
      </c>
      <c r="I1395" s="26">
        <f t="array" ref="I1395">XLOOKUP($A1395,product!A:A,product!E:E)</f>
        <v>1.89</v>
      </c>
      <c r="J1395" s="25">
        <f t="shared" si="2"/>
        <v>181.44</v>
      </c>
      <c r="K1395" s="27">
        <f t="shared" si="3"/>
        <v>1</v>
      </c>
      <c r="L1395" s="25">
        <f t="shared" si="4"/>
        <v>1</v>
      </c>
    </row>
    <row r="1396">
      <c r="A1396" s="19">
        <v>30306.0</v>
      </c>
      <c r="B1396" s="20" t="str">
        <f t="array" ref="B1396">xlookup($A1396,product!$A:$A,product!B:B)</f>
        <v>Epicerie sucrée</v>
      </c>
      <c r="C1396" s="20" t="str">
        <f t="array" ref="C1396">xlookup($A1396,product!$A:$A,product!C:C)</f>
        <v>Fruits secs</v>
      </c>
      <c r="D1396" s="20" t="str">
        <f t="array" ref="D1396">xlookup($A1396,product!$A:$A,product!D:D)</f>
        <v>Fruit séché</v>
      </c>
      <c r="E1396" s="4" t="str">
        <f t="shared" si="1"/>
        <v>30306-Fruits secs-Fruit séché</v>
      </c>
      <c r="F1396" s="4">
        <v>1.0</v>
      </c>
      <c r="G1396" s="4">
        <v>188.0</v>
      </c>
      <c r="H1396" s="4">
        <v>138.0</v>
      </c>
      <c r="I1396" s="21">
        <f t="array" ref="I1396">XLOOKUP($A1396,product!A:A,product!E:E)</f>
        <v>3.5</v>
      </c>
      <c r="J1396" s="4">
        <f t="shared" si="2"/>
        <v>483</v>
      </c>
      <c r="K1396" s="22">
        <f t="shared" si="3"/>
        <v>1</v>
      </c>
      <c r="L1396" s="4">
        <f t="shared" si="4"/>
        <v>1</v>
      </c>
    </row>
    <row r="1397">
      <c r="A1397" s="23">
        <v>76427.0</v>
      </c>
      <c r="B1397" s="24" t="str">
        <f t="array" ref="B1397">xlookup($A1397,product!$A:$A,product!B:B)</f>
        <v>Epicerie sucrée</v>
      </c>
      <c r="C1397" s="24" t="str">
        <f t="array" ref="C1397">xlookup($A1397,product!$A:$A,product!C:C)</f>
        <v>Fruits secs</v>
      </c>
      <c r="D1397" s="24" t="str">
        <f t="array" ref="D1397">xlookup($A1397,product!$A:$A,product!D:D)</f>
        <v>Fruit sec à coque</v>
      </c>
      <c r="E1397" s="25" t="str">
        <f t="shared" si="1"/>
        <v>76427-Fruits secs-Fruit sec à coque</v>
      </c>
      <c r="F1397" s="25">
        <v>1.0</v>
      </c>
      <c r="G1397" s="25">
        <v>82.0</v>
      </c>
      <c r="H1397" s="25">
        <v>4.0</v>
      </c>
      <c r="I1397" s="26">
        <f t="array" ref="I1397">XLOOKUP($A1397,product!A:A,product!E:E)</f>
        <v>2.38</v>
      </c>
      <c r="J1397" s="25">
        <f t="shared" si="2"/>
        <v>9.52</v>
      </c>
      <c r="K1397" s="27">
        <f t="shared" si="3"/>
        <v>1</v>
      </c>
      <c r="L1397" s="25">
        <f t="shared" si="4"/>
        <v>1</v>
      </c>
    </row>
    <row r="1398">
      <c r="A1398" s="19">
        <v>44706.0</v>
      </c>
      <c r="B1398" s="20" t="str">
        <f t="array" ref="B1398">xlookup($A1398,product!$A:$A,product!B:B)</f>
        <v>Epicerie sucrée</v>
      </c>
      <c r="C1398" s="20" t="str">
        <f t="array" ref="C1398">xlookup($A1398,product!$A:$A,product!C:C)</f>
        <v>Fruits secs</v>
      </c>
      <c r="D1398" s="20" t="str">
        <f t="array" ref="D1398">xlookup($A1398,product!$A:$A,product!D:D)</f>
        <v>Fruit sec à coque</v>
      </c>
      <c r="E1398" s="4" t="str">
        <f t="shared" si="1"/>
        <v>44706-Fruits secs-Fruit sec à coque</v>
      </c>
      <c r="F1398" s="4">
        <v>1.0</v>
      </c>
      <c r="G1398" s="4">
        <v>473.0</v>
      </c>
      <c r="H1398" s="4">
        <v>151.0</v>
      </c>
      <c r="I1398" s="21">
        <f t="array" ref="I1398">XLOOKUP($A1398,product!A:A,product!E:E)</f>
        <v>1.93</v>
      </c>
      <c r="J1398" s="4">
        <f t="shared" si="2"/>
        <v>291.43</v>
      </c>
      <c r="K1398" s="22">
        <f t="shared" si="3"/>
        <v>1</v>
      </c>
      <c r="L1398" s="4">
        <f t="shared" si="4"/>
        <v>1</v>
      </c>
    </row>
    <row r="1399">
      <c r="A1399" s="23">
        <v>44701.0</v>
      </c>
      <c r="B1399" s="24" t="str">
        <f t="array" ref="B1399">xlookup($A1399,product!$A:$A,product!B:B)</f>
        <v>Epicerie sucrée</v>
      </c>
      <c r="C1399" s="24" t="str">
        <f t="array" ref="C1399">xlookup($A1399,product!$A:$A,product!C:C)</f>
        <v>Fruits secs</v>
      </c>
      <c r="D1399" s="24" t="str">
        <f t="array" ref="D1399">xlookup($A1399,product!$A:$A,product!D:D)</f>
        <v>Fruit sec à coque</v>
      </c>
      <c r="E1399" s="25" t="str">
        <f t="shared" si="1"/>
        <v>44701-Fruits secs-Fruit sec à coque</v>
      </c>
      <c r="F1399" s="25">
        <v>0.0</v>
      </c>
      <c r="G1399" s="25">
        <v>265.0</v>
      </c>
      <c r="H1399" s="25">
        <v>176.0</v>
      </c>
      <c r="I1399" s="26">
        <f t="array" ref="I1399">XLOOKUP($A1399,product!A:A,product!E:E)</f>
        <v>1.85</v>
      </c>
      <c r="J1399" s="25">
        <f t="shared" si="2"/>
        <v>325.6</v>
      </c>
      <c r="K1399" s="27">
        <f t="shared" si="3"/>
        <v>1</v>
      </c>
      <c r="L1399" s="25">
        <f t="shared" si="4"/>
        <v>1</v>
      </c>
    </row>
    <row r="1400">
      <c r="A1400" s="19">
        <v>10537.0</v>
      </c>
      <c r="B1400" s="20" t="str">
        <f t="array" ref="B1400">xlookup($A1400,product!$A:$A,product!B:B)</f>
        <v>Epicerie sucrée</v>
      </c>
      <c r="C1400" s="20" t="str">
        <f t="array" ref="C1400">xlookup($A1400,product!$A:$A,product!C:C)</f>
        <v>Fruits secs</v>
      </c>
      <c r="D1400" s="20" t="str">
        <f t="array" ref="D1400">xlookup($A1400,product!$A:$A,product!D:D)</f>
        <v>Fruit sec à coque</v>
      </c>
      <c r="E1400" s="4" t="str">
        <f t="shared" si="1"/>
        <v>10537-Fruits secs-Fruit sec à coque</v>
      </c>
      <c r="F1400" s="4">
        <v>1.0</v>
      </c>
      <c r="G1400" s="4">
        <v>588.0</v>
      </c>
      <c r="H1400" s="4">
        <v>359.0</v>
      </c>
      <c r="I1400" s="21">
        <f t="array" ref="I1400">XLOOKUP($A1400,product!A:A,product!E:E)</f>
        <v>3.58</v>
      </c>
      <c r="J1400" s="4">
        <f t="shared" si="2"/>
        <v>1285.22</v>
      </c>
      <c r="K1400" s="22">
        <f t="shared" si="3"/>
        <v>1</v>
      </c>
      <c r="L1400" s="4">
        <f t="shared" si="4"/>
        <v>1</v>
      </c>
    </row>
    <row r="1401">
      <c r="A1401" s="23">
        <v>10523.0</v>
      </c>
      <c r="B1401" s="24" t="str">
        <f t="array" ref="B1401">xlookup($A1401,product!$A:$A,product!B:B)</f>
        <v>Epicerie sucrée</v>
      </c>
      <c r="C1401" s="24" t="str">
        <f t="array" ref="C1401">xlookup($A1401,product!$A:$A,product!C:C)</f>
        <v>Fruits secs</v>
      </c>
      <c r="D1401" s="24" t="str">
        <f t="array" ref="D1401">xlookup($A1401,product!$A:$A,product!D:D)</f>
        <v>Fruit sec à coque</v>
      </c>
      <c r="E1401" s="25" t="str">
        <f t="shared" si="1"/>
        <v>10523-Fruits secs-Fruit sec à coque</v>
      </c>
      <c r="F1401" s="25">
        <v>1.0</v>
      </c>
      <c r="G1401" s="25">
        <v>902.0</v>
      </c>
      <c r="H1401" s="25">
        <v>455.0</v>
      </c>
      <c r="I1401" s="26">
        <f t="array" ref="I1401">XLOOKUP($A1401,product!A:A,product!E:E)</f>
        <v>4.62</v>
      </c>
      <c r="J1401" s="25">
        <f t="shared" si="2"/>
        <v>2102.1</v>
      </c>
      <c r="K1401" s="27">
        <f t="shared" si="3"/>
        <v>1</v>
      </c>
      <c r="L1401" s="25">
        <f t="shared" si="4"/>
        <v>1</v>
      </c>
    </row>
    <row r="1402">
      <c r="A1402" s="19">
        <v>76664.0</v>
      </c>
      <c r="B1402" s="20" t="str">
        <f t="array" ref="B1402">xlookup($A1402,product!$A:$A,product!B:B)</f>
        <v>Epicerie sucrée</v>
      </c>
      <c r="C1402" s="20" t="str">
        <f t="array" ref="C1402">xlookup($A1402,product!$A:$A,product!C:C)</f>
        <v>Fruits secs</v>
      </c>
      <c r="D1402" s="20" t="str">
        <f t="array" ref="D1402">xlookup($A1402,product!$A:$A,product!D:D)</f>
        <v>Fruit sec à coque</v>
      </c>
      <c r="E1402" s="4" t="str">
        <f t="shared" si="1"/>
        <v>76664-Fruits secs-Fruit sec à coque</v>
      </c>
      <c r="F1402" s="4">
        <v>1.0</v>
      </c>
      <c r="G1402" s="4">
        <v>171.0</v>
      </c>
      <c r="H1402" s="4">
        <v>155.0</v>
      </c>
      <c r="I1402" s="21">
        <f t="array" ref="I1402">XLOOKUP($A1402,product!A:A,product!E:E)</f>
        <v>2.52</v>
      </c>
      <c r="J1402" s="4">
        <f t="shared" si="2"/>
        <v>390.6</v>
      </c>
      <c r="K1402" s="22">
        <f t="shared" si="3"/>
        <v>1</v>
      </c>
      <c r="L1402" s="4">
        <f t="shared" si="4"/>
        <v>1</v>
      </c>
    </row>
    <row r="1403">
      <c r="A1403" s="23">
        <v>78472.0</v>
      </c>
      <c r="B1403" s="24" t="str">
        <f t="array" ref="B1403">xlookup($A1403,product!$A:$A,product!B:B)</f>
        <v>Epicerie sucrée</v>
      </c>
      <c r="C1403" s="24" t="str">
        <f t="array" ref="C1403">xlookup($A1403,product!$A:$A,product!C:C)</f>
        <v>Fruits secs</v>
      </c>
      <c r="D1403" s="24" t="str">
        <f t="array" ref="D1403">xlookup($A1403,product!$A:$A,product!D:D)</f>
        <v>Fruit sec à coque</v>
      </c>
      <c r="E1403" s="25" t="str">
        <f t="shared" si="1"/>
        <v>78472-Fruits secs-Fruit sec à coque</v>
      </c>
      <c r="F1403" s="25">
        <v>1.0</v>
      </c>
      <c r="G1403" s="25">
        <v>63.0</v>
      </c>
      <c r="H1403" s="25">
        <v>12.0</v>
      </c>
      <c r="I1403" s="26">
        <f t="array" ref="I1403">XLOOKUP($A1403,product!A:A,product!E:E)</f>
        <v>3.66</v>
      </c>
      <c r="J1403" s="25">
        <f t="shared" si="2"/>
        <v>43.92</v>
      </c>
      <c r="K1403" s="27">
        <f t="shared" si="3"/>
        <v>1</v>
      </c>
      <c r="L1403" s="25">
        <f t="shared" si="4"/>
        <v>1</v>
      </c>
    </row>
    <row r="1404">
      <c r="A1404" s="19">
        <v>44721.0</v>
      </c>
      <c r="B1404" s="20" t="str">
        <f t="array" ref="B1404">xlookup($A1404,product!$A:$A,product!B:B)</f>
        <v>Epicerie sucrée</v>
      </c>
      <c r="C1404" s="20" t="str">
        <f t="array" ref="C1404">xlookup($A1404,product!$A:$A,product!C:C)</f>
        <v>Fruits secs</v>
      </c>
      <c r="D1404" s="20" t="str">
        <f t="array" ref="D1404">xlookup($A1404,product!$A:$A,product!D:D)</f>
        <v>Fruit sec à coque</v>
      </c>
      <c r="E1404" s="4" t="str">
        <f t="shared" si="1"/>
        <v>44721-Fruits secs-Fruit sec à coque</v>
      </c>
      <c r="F1404" s="4">
        <v>1.0</v>
      </c>
      <c r="G1404" s="4">
        <v>551.0</v>
      </c>
      <c r="H1404" s="4">
        <v>242.0</v>
      </c>
      <c r="I1404" s="21">
        <f t="array" ref="I1404">XLOOKUP($A1404,product!A:A,product!E:E)</f>
        <v>2.51</v>
      </c>
      <c r="J1404" s="4">
        <f t="shared" si="2"/>
        <v>607.42</v>
      </c>
      <c r="K1404" s="22">
        <f t="shared" si="3"/>
        <v>1</v>
      </c>
      <c r="L1404" s="4">
        <f t="shared" si="4"/>
        <v>1</v>
      </c>
    </row>
    <row r="1405">
      <c r="A1405" s="23">
        <v>121576.0</v>
      </c>
      <c r="B1405" s="24" t="str">
        <f t="array" ref="B1405">xlookup($A1405,product!$A:$A,product!B:B)</f>
        <v>Epicerie sucrée</v>
      </c>
      <c r="C1405" s="24" t="str">
        <f t="array" ref="C1405">xlookup($A1405,product!$A:$A,product!C:C)</f>
        <v>Fruits secs</v>
      </c>
      <c r="D1405" s="24" t="str">
        <f t="array" ref="D1405">xlookup($A1405,product!$A:$A,product!D:D)</f>
        <v>Fruit sec à coque</v>
      </c>
      <c r="E1405" s="25" t="str">
        <f t="shared" si="1"/>
        <v>121576-Fruits secs-Fruit sec à coque</v>
      </c>
      <c r="F1405" s="25">
        <v>0.0</v>
      </c>
      <c r="G1405" s="25">
        <v>462.0</v>
      </c>
      <c r="H1405" s="25">
        <v>191.0</v>
      </c>
      <c r="I1405" s="26">
        <f t="array" ref="I1405">XLOOKUP($A1405,product!A:A,product!E:E)</f>
        <v>4.35</v>
      </c>
      <c r="J1405" s="25">
        <f t="shared" si="2"/>
        <v>830.85</v>
      </c>
      <c r="K1405" s="27">
        <f t="shared" si="3"/>
        <v>1</v>
      </c>
      <c r="L1405" s="25">
        <f t="shared" si="4"/>
        <v>1</v>
      </c>
    </row>
    <row r="1406">
      <c r="A1406" s="19">
        <v>117208.0</v>
      </c>
      <c r="B1406" s="20" t="str">
        <f t="array" ref="B1406">xlookup($A1406,product!$A:$A,product!B:B)</f>
        <v>Epicerie sucrée</v>
      </c>
      <c r="C1406" s="20" t="str">
        <f t="array" ref="C1406">xlookup($A1406,product!$A:$A,product!C:C)</f>
        <v>Fruits secs</v>
      </c>
      <c r="D1406" s="20" t="str">
        <f t="array" ref="D1406">xlookup($A1406,product!$A:$A,product!D:D)</f>
        <v>Fruit sec à coque</v>
      </c>
      <c r="E1406" s="4" t="str">
        <f t="shared" si="1"/>
        <v>117208-Fruits secs-Fruit sec à coque</v>
      </c>
      <c r="F1406" s="4">
        <v>1.0</v>
      </c>
      <c r="G1406" s="4">
        <v>585.0</v>
      </c>
      <c r="H1406" s="4">
        <v>403.0</v>
      </c>
      <c r="I1406" s="21">
        <f t="array" ref="I1406">XLOOKUP($A1406,product!A:A,product!E:E)</f>
        <v>1.06</v>
      </c>
      <c r="J1406" s="4">
        <f t="shared" si="2"/>
        <v>427.18</v>
      </c>
      <c r="K1406" s="22">
        <f t="shared" si="3"/>
        <v>1</v>
      </c>
      <c r="L1406" s="4">
        <f t="shared" si="4"/>
        <v>1</v>
      </c>
    </row>
    <row r="1407">
      <c r="A1407" s="23">
        <v>78497.0</v>
      </c>
      <c r="B1407" s="24" t="str">
        <f t="array" ref="B1407">xlookup($A1407,product!$A:$A,product!B:B)</f>
        <v>Epicerie sucrée</v>
      </c>
      <c r="C1407" s="24" t="str">
        <f t="array" ref="C1407">xlookup($A1407,product!$A:$A,product!C:C)</f>
        <v>Fruits secs</v>
      </c>
      <c r="D1407" s="24" t="str">
        <f t="array" ref="D1407">xlookup($A1407,product!$A:$A,product!D:D)</f>
        <v>Fruit sec à coque</v>
      </c>
      <c r="E1407" s="25" t="str">
        <f t="shared" si="1"/>
        <v>78497-Fruits secs-Fruit sec à coque</v>
      </c>
      <c r="F1407" s="25">
        <v>0.0</v>
      </c>
      <c r="G1407" s="25">
        <v>733.0</v>
      </c>
      <c r="H1407" s="25">
        <v>302.0</v>
      </c>
      <c r="I1407" s="26">
        <f t="array" ref="I1407">XLOOKUP($A1407,product!A:A,product!E:E)</f>
        <v>8.21</v>
      </c>
      <c r="J1407" s="25">
        <f t="shared" si="2"/>
        <v>2479.42</v>
      </c>
      <c r="K1407" s="27">
        <f t="shared" si="3"/>
        <v>1</v>
      </c>
      <c r="L1407" s="25">
        <f t="shared" si="4"/>
        <v>1</v>
      </c>
    </row>
    <row r="1408">
      <c r="A1408" s="19">
        <v>44726.0</v>
      </c>
      <c r="B1408" s="20" t="str">
        <f t="array" ref="B1408">xlookup($A1408,product!$A:$A,product!B:B)</f>
        <v>Epicerie sucrée</v>
      </c>
      <c r="C1408" s="20" t="str">
        <f t="array" ref="C1408">xlookup($A1408,product!$A:$A,product!C:C)</f>
        <v>Fruits secs</v>
      </c>
      <c r="D1408" s="20" t="str">
        <f t="array" ref="D1408">xlookup($A1408,product!$A:$A,product!D:D)</f>
        <v>Fruit sec à coque</v>
      </c>
      <c r="E1408" s="4" t="str">
        <f t="shared" si="1"/>
        <v>44726-Fruits secs-Fruit sec à coque</v>
      </c>
      <c r="F1408" s="4">
        <v>1.0</v>
      </c>
      <c r="G1408" s="4">
        <v>708.0</v>
      </c>
      <c r="H1408" s="4">
        <v>615.0</v>
      </c>
      <c r="I1408" s="21">
        <f t="array" ref="I1408">XLOOKUP($A1408,product!A:A,product!E:E)</f>
        <v>3.47</v>
      </c>
      <c r="J1408" s="4">
        <f t="shared" si="2"/>
        <v>2134.05</v>
      </c>
      <c r="K1408" s="22">
        <f t="shared" si="3"/>
        <v>1</v>
      </c>
      <c r="L1408" s="4">
        <f t="shared" si="4"/>
        <v>1</v>
      </c>
    </row>
    <row r="1409">
      <c r="A1409" s="23">
        <v>117210.0</v>
      </c>
      <c r="B1409" s="24" t="str">
        <f t="array" ref="B1409">xlookup($A1409,product!$A:$A,product!B:B)</f>
        <v>Epicerie sucrée</v>
      </c>
      <c r="C1409" s="24" t="str">
        <f t="array" ref="C1409">xlookup($A1409,product!$A:$A,product!C:C)</f>
        <v>Fruits secs</v>
      </c>
      <c r="D1409" s="24" t="str">
        <f t="array" ref="D1409">xlookup($A1409,product!$A:$A,product!D:D)</f>
        <v>Fruit sec à coque</v>
      </c>
      <c r="E1409" s="25" t="str">
        <f t="shared" si="1"/>
        <v>117210-Fruits secs-Fruit sec à coque</v>
      </c>
      <c r="F1409" s="25">
        <v>1.0</v>
      </c>
      <c r="G1409" s="25">
        <v>520.0</v>
      </c>
      <c r="H1409" s="25">
        <v>144.0</v>
      </c>
      <c r="I1409" s="26">
        <f t="array" ref="I1409">XLOOKUP($A1409,product!A:A,product!E:E)</f>
        <v>1.19</v>
      </c>
      <c r="J1409" s="25">
        <f t="shared" si="2"/>
        <v>171.36</v>
      </c>
      <c r="K1409" s="27">
        <f t="shared" si="3"/>
        <v>1</v>
      </c>
      <c r="L1409" s="25">
        <f t="shared" si="4"/>
        <v>1</v>
      </c>
    </row>
    <row r="1410">
      <c r="A1410" s="19">
        <v>87082.0</v>
      </c>
      <c r="B1410" s="20" t="str">
        <f t="array" ref="B1410">xlookup($A1410,product!$A:$A,product!B:B)</f>
        <v>Epicerie sucrée</v>
      </c>
      <c r="C1410" s="20" t="str">
        <f t="array" ref="C1410">xlookup($A1410,product!$A:$A,product!C:C)</f>
        <v>Fruits secs</v>
      </c>
      <c r="D1410" s="20" t="str">
        <f t="array" ref="D1410">xlookup($A1410,product!$A:$A,product!D:D)</f>
        <v>Fruit sec à coque</v>
      </c>
      <c r="E1410" s="4" t="str">
        <f t="shared" si="1"/>
        <v>87082-Fruits secs-Fruit sec à coque</v>
      </c>
      <c r="F1410" s="4">
        <v>1.0</v>
      </c>
      <c r="G1410" s="4">
        <v>285.0</v>
      </c>
      <c r="H1410" s="4">
        <v>216.0</v>
      </c>
      <c r="I1410" s="21">
        <f t="array" ref="I1410">XLOOKUP($A1410,product!A:A,product!E:E)</f>
        <v>3.57</v>
      </c>
      <c r="J1410" s="4">
        <f t="shared" si="2"/>
        <v>771.12</v>
      </c>
      <c r="K1410" s="22">
        <f t="shared" si="3"/>
        <v>1</v>
      </c>
      <c r="L1410" s="4">
        <f t="shared" si="4"/>
        <v>1</v>
      </c>
    </row>
    <row r="1411">
      <c r="A1411" s="23">
        <v>10529.0</v>
      </c>
      <c r="B1411" s="24" t="str">
        <f t="array" ref="B1411">xlookup($A1411,product!$A:$A,product!B:B)</f>
        <v>Epicerie sucrée</v>
      </c>
      <c r="C1411" s="24" t="str">
        <f t="array" ref="C1411">xlookup($A1411,product!$A:$A,product!C:C)</f>
        <v>Fruits secs</v>
      </c>
      <c r="D1411" s="24" t="str">
        <f t="array" ref="D1411">xlookup($A1411,product!$A:$A,product!D:D)</f>
        <v>Fruit sec à coque</v>
      </c>
      <c r="E1411" s="25" t="str">
        <f t="shared" si="1"/>
        <v>10529-Fruits secs-Fruit sec à coque</v>
      </c>
      <c r="F1411" s="25">
        <v>0.0</v>
      </c>
      <c r="G1411" s="25">
        <v>15.0</v>
      </c>
      <c r="H1411" s="25">
        <v>1.0</v>
      </c>
      <c r="I1411" s="26">
        <f t="array" ref="I1411">XLOOKUP($A1411,product!A:A,product!E:E)</f>
        <v>1.35</v>
      </c>
      <c r="J1411" s="25">
        <f t="shared" si="2"/>
        <v>1.35</v>
      </c>
      <c r="K1411" s="27">
        <f t="shared" si="3"/>
        <v>1</v>
      </c>
      <c r="L1411" s="25">
        <f t="shared" si="4"/>
        <v>1</v>
      </c>
    </row>
    <row r="1412">
      <c r="A1412" s="19">
        <v>44705.0</v>
      </c>
      <c r="B1412" s="20" t="str">
        <f t="array" ref="B1412">xlookup($A1412,product!$A:$A,product!B:B)</f>
        <v>Epicerie sucrée</v>
      </c>
      <c r="C1412" s="20" t="str">
        <f t="array" ref="C1412">xlookup($A1412,product!$A:$A,product!C:C)</f>
        <v>Fruits secs</v>
      </c>
      <c r="D1412" s="20" t="str">
        <f t="array" ref="D1412">xlookup($A1412,product!$A:$A,product!D:D)</f>
        <v>Fruit sec à coque</v>
      </c>
      <c r="E1412" s="4" t="str">
        <f t="shared" si="1"/>
        <v>44705-Fruits secs-Fruit sec à coque</v>
      </c>
      <c r="F1412" s="4">
        <v>1.0</v>
      </c>
      <c r="G1412" s="4">
        <v>696.0</v>
      </c>
      <c r="H1412" s="4">
        <v>570.0</v>
      </c>
      <c r="I1412" s="21">
        <f t="array" ref="I1412">XLOOKUP($A1412,product!A:A,product!E:E)</f>
        <v>2.01</v>
      </c>
      <c r="J1412" s="4">
        <f t="shared" si="2"/>
        <v>1145.7</v>
      </c>
      <c r="K1412" s="22">
        <f t="shared" si="3"/>
        <v>1</v>
      </c>
      <c r="L1412" s="4">
        <f t="shared" si="4"/>
        <v>1</v>
      </c>
    </row>
    <row r="1413">
      <c r="A1413" s="23">
        <v>100564.0</v>
      </c>
      <c r="B1413" s="24" t="str">
        <f t="array" ref="B1413">xlookup($A1413,product!$A:$A,product!B:B)</f>
        <v>Epicerie sucrée</v>
      </c>
      <c r="C1413" s="24" t="str">
        <f t="array" ref="C1413">xlookup($A1413,product!$A:$A,product!C:C)</f>
        <v>Fruits secs</v>
      </c>
      <c r="D1413" s="24" t="str">
        <f t="array" ref="D1413">xlookup($A1413,product!$A:$A,product!D:D)</f>
        <v>Fruit sec à coque</v>
      </c>
      <c r="E1413" s="25" t="str">
        <f t="shared" si="1"/>
        <v>100564-Fruits secs-Fruit sec à coque</v>
      </c>
      <c r="F1413" s="25">
        <v>0.0</v>
      </c>
      <c r="G1413" s="25">
        <v>102.0</v>
      </c>
      <c r="H1413" s="25">
        <v>50.0</v>
      </c>
      <c r="I1413" s="26">
        <f t="array" ref="I1413">XLOOKUP($A1413,product!A:A,product!E:E)</f>
        <v>2.63</v>
      </c>
      <c r="J1413" s="25">
        <f t="shared" si="2"/>
        <v>131.5</v>
      </c>
      <c r="K1413" s="27">
        <f t="shared" si="3"/>
        <v>1</v>
      </c>
      <c r="L1413" s="25">
        <f t="shared" si="4"/>
        <v>1</v>
      </c>
    </row>
    <row r="1414">
      <c r="A1414" s="19">
        <v>87193.0</v>
      </c>
      <c r="B1414" s="20" t="str">
        <f t="array" ref="B1414">xlookup($A1414,product!$A:$A,product!B:B)</f>
        <v>Epicerie sucrée</v>
      </c>
      <c r="C1414" s="20" t="str">
        <f t="array" ref="C1414">xlookup($A1414,product!$A:$A,product!C:C)</f>
        <v>Fruits secs</v>
      </c>
      <c r="D1414" s="20" t="str">
        <f t="array" ref="D1414">xlookup($A1414,product!$A:$A,product!D:D)</f>
        <v>Fruit sec à coque</v>
      </c>
      <c r="E1414" s="4" t="str">
        <f t="shared" si="1"/>
        <v>87193-Fruits secs-Fruit sec à coque</v>
      </c>
      <c r="F1414" s="4">
        <v>0.0</v>
      </c>
      <c r="G1414" s="4">
        <v>807.0</v>
      </c>
      <c r="H1414" s="4">
        <v>29.0</v>
      </c>
      <c r="I1414" s="21">
        <f t="array" ref="I1414">XLOOKUP($A1414,product!A:A,product!E:E)</f>
        <v>4.62</v>
      </c>
      <c r="J1414" s="4">
        <f t="shared" si="2"/>
        <v>133.98</v>
      </c>
      <c r="K1414" s="22">
        <f t="shared" si="3"/>
        <v>1</v>
      </c>
      <c r="L1414" s="4">
        <f t="shared" si="4"/>
        <v>1</v>
      </c>
    </row>
    <row r="1415">
      <c r="A1415" s="23">
        <v>76044.0</v>
      </c>
      <c r="B1415" s="24" t="str">
        <f t="array" ref="B1415">xlookup($A1415,product!$A:$A,product!B:B)</f>
        <v>Epicerie sucrée</v>
      </c>
      <c r="C1415" s="24" t="str">
        <f t="array" ref="C1415">xlookup($A1415,product!$A:$A,product!C:C)</f>
        <v>Fruits secs</v>
      </c>
      <c r="D1415" s="24" t="str">
        <f t="array" ref="D1415">xlookup($A1415,product!$A:$A,product!D:D)</f>
        <v>Fruit sec à coque</v>
      </c>
      <c r="E1415" s="25" t="str">
        <f t="shared" si="1"/>
        <v>76044-Fruits secs-Fruit sec à coque</v>
      </c>
      <c r="F1415" s="25">
        <v>1.0</v>
      </c>
      <c r="G1415" s="25">
        <v>272.0</v>
      </c>
      <c r="H1415" s="25">
        <v>196.0</v>
      </c>
      <c r="I1415" s="26">
        <f t="array" ref="I1415">XLOOKUP($A1415,product!A:A,product!E:E)</f>
        <v>2.88</v>
      </c>
      <c r="J1415" s="25">
        <f t="shared" si="2"/>
        <v>564.48</v>
      </c>
      <c r="K1415" s="27">
        <f t="shared" si="3"/>
        <v>1</v>
      </c>
      <c r="L1415" s="25">
        <f t="shared" si="4"/>
        <v>1</v>
      </c>
    </row>
    <row r="1416">
      <c r="A1416" s="19">
        <v>121578.0</v>
      </c>
      <c r="B1416" s="20" t="str">
        <f t="array" ref="B1416">xlookup($A1416,product!$A:$A,product!B:B)</f>
        <v>Epicerie sucrée</v>
      </c>
      <c r="C1416" s="20" t="str">
        <f t="array" ref="C1416">xlookup($A1416,product!$A:$A,product!C:C)</f>
        <v>Fruits secs</v>
      </c>
      <c r="D1416" s="20" t="str">
        <f t="array" ref="D1416">xlookup($A1416,product!$A:$A,product!D:D)</f>
        <v>Fruit sec à coque</v>
      </c>
      <c r="E1416" s="4" t="str">
        <f t="shared" si="1"/>
        <v>121578-Fruits secs-Fruit sec à coque</v>
      </c>
      <c r="F1416" s="4">
        <v>1.0</v>
      </c>
      <c r="G1416" s="4">
        <v>547.0</v>
      </c>
      <c r="H1416" s="4">
        <v>214.0</v>
      </c>
      <c r="I1416" s="21">
        <f t="array" ref="I1416">XLOOKUP($A1416,product!A:A,product!E:E)</f>
        <v>4.05</v>
      </c>
      <c r="J1416" s="4">
        <f t="shared" si="2"/>
        <v>866.7</v>
      </c>
      <c r="K1416" s="22">
        <f t="shared" si="3"/>
        <v>1</v>
      </c>
      <c r="L1416" s="4">
        <f t="shared" si="4"/>
        <v>1</v>
      </c>
    </row>
    <row r="1417">
      <c r="A1417" s="23">
        <v>117206.0</v>
      </c>
      <c r="B1417" s="24" t="str">
        <f t="array" ref="B1417">xlookup($A1417,product!$A:$A,product!B:B)</f>
        <v>Epicerie sucrée</v>
      </c>
      <c r="C1417" s="24" t="str">
        <f t="array" ref="C1417">xlookup($A1417,product!$A:$A,product!C:C)</f>
        <v>Fruits secs</v>
      </c>
      <c r="D1417" s="24" t="str">
        <f t="array" ref="D1417">xlookup($A1417,product!$A:$A,product!D:D)</f>
        <v>Fruit sec à coque</v>
      </c>
      <c r="E1417" s="25" t="str">
        <f t="shared" si="1"/>
        <v>117206-Fruits secs-Fruit sec à coque</v>
      </c>
      <c r="F1417" s="25">
        <v>1.0</v>
      </c>
      <c r="G1417" s="25">
        <v>61.0</v>
      </c>
      <c r="H1417" s="25">
        <v>14.0</v>
      </c>
      <c r="I1417" s="26">
        <f t="array" ref="I1417">XLOOKUP($A1417,product!A:A,product!E:E)</f>
        <v>2.18</v>
      </c>
      <c r="J1417" s="25">
        <f t="shared" si="2"/>
        <v>30.52</v>
      </c>
      <c r="K1417" s="27">
        <f t="shared" si="3"/>
        <v>1</v>
      </c>
      <c r="L1417" s="25">
        <f t="shared" si="4"/>
        <v>1</v>
      </c>
    </row>
    <row r="1418">
      <c r="A1418" s="19">
        <v>81519.0</v>
      </c>
      <c r="B1418" s="20" t="str">
        <f t="array" ref="B1418">xlookup($A1418,product!$A:$A,product!B:B)</f>
        <v>Epicerie sucrée</v>
      </c>
      <c r="C1418" s="20" t="str">
        <f t="array" ref="C1418">xlookup($A1418,product!$A:$A,product!C:C)</f>
        <v>Fruits secs</v>
      </c>
      <c r="D1418" s="20" t="str">
        <f t="array" ref="D1418">xlookup($A1418,product!$A:$A,product!D:D)</f>
        <v>Fruit sec à coque</v>
      </c>
      <c r="E1418" s="4" t="str">
        <f t="shared" si="1"/>
        <v>81519-Fruits secs-Fruit sec à coque</v>
      </c>
      <c r="F1418" s="4">
        <v>0.0</v>
      </c>
      <c r="G1418" s="4">
        <v>556.0</v>
      </c>
      <c r="H1418" s="4">
        <v>33.0</v>
      </c>
      <c r="I1418" s="21">
        <f t="array" ref="I1418">XLOOKUP($A1418,product!A:A,product!E:E)</f>
        <v>5.97</v>
      </c>
      <c r="J1418" s="4">
        <f t="shared" si="2"/>
        <v>197.01</v>
      </c>
      <c r="K1418" s="22">
        <f t="shared" si="3"/>
        <v>1</v>
      </c>
      <c r="L1418" s="4">
        <f t="shared" si="4"/>
        <v>1</v>
      </c>
    </row>
    <row r="1419">
      <c r="A1419" s="23">
        <v>44724.0</v>
      </c>
      <c r="B1419" s="24" t="str">
        <f t="array" ref="B1419">xlookup($A1419,product!$A:$A,product!B:B)</f>
        <v>Epicerie sucrée</v>
      </c>
      <c r="C1419" s="24" t="str">
        <f t="array" ref="C1419">xlookup($A1419,product!$A:$A,product!C:C)</f>
        <v>Fruits secs</v>
      </c>
      <c r="D1419" s="24" t="str">
        <f t="array" ref="D1419">xlookup($A1419,product!$A:$A,product!D:D)</f>
        <v>Fruit sec à coque</v>
      </c>
      <c r="E1419" s="25" t="str">
        <f t="shared" si="1"/>
        <v>44724-Fruits secs-Fruit sec à coque</v>
      </c>
      <c r="F1419" s="25">
        <v>1.0</v>
      </c>
      <c r="G1419" s="25">
        <v>12.0</v>
      </c>
      <c r="H1419" s="25">
        <v>10.0</v>
      </c>
      <c r="I1419" s="26">
        <f t="array" ref="I1419">XLOOKUP($A1419,product!A:A,product!E:E)</f>
        <v>1.7</v>
      </c>
      <c r="J1419" s="25">
        <f t="shared" si="2"/>
        <v>17</v>
      </c>
      <c r="K1419" s="27">
        <f t="shared" si="3"/>
        <v>1</v>
      </c>
      <c r="L1419" s="25">
        <f t="shared" si="4"/>
        <v>1</v>
      </c>
    </row>
    <row r="1420">
      <c r="A1420" s="19">
        <v>82114.0</v>
      </c>
      <c r="B1420" s="20" t="str">
        <f t="array" ref="B1420">xlookup($A1420,product!$A:$A,product!B:B)</f>
        <v>Epicerie sucrée</v>
      </c>
      <c r="C1420" s="20" t="str">
        <f t="array" ref="C1420">xlookup($A1420,product!$A:$A,product!C:C)</f>
        <v>Fruits secs</v>
      </c>
      <c r="D1420" s="20" t="str">
        <f t="array" ref="D1420">xlookup($A1420,product!$A:$A,product!D:D)</f>
        <v>Fruit sec à coque</v>
      </c>
      <c r="E1420" s="4" t="str">
        <f t="shared" si="1"/>
        <v>82114-Fruits secs-Fruit sec à coque</v>
      </c>
      <c r="F1420" s="4">
        <v>1.0</v>
      </c>
      <c r="G1420" s="4">
        <v>654.0</v>
      </c>
      <c r="H1420" s="4">
        <v>526.0</v>
      </c>
      <c r="I1420" s="21">
        <f t="array" ref="I1420">XLOOKUP($A1420,product!A:A,product!E:E)</f>
        <v>17.18</v>
      </c>
      <c r="J1420" s="4">
        <f t="shared" si="2"/>
        <v>9036.68</v>
      </c>
      <c r="K1420" s="22">
        <f t="shared" si="3"/>
        <v>1</v>
      </c>
      <c r="L1420" s="4">
        <f t="shared" si="4"/>
        <v>1</v>
      </c>
    </row>
    <row r="1421">
      <c r="A1421" s="23">
        <v>82115.0</v>
      </c>
      <c r="B1421" s="24" t="str">
        <f t="array" ref="B1421">xlookup($A1421,product!$A:$A,product!B:B)</f>
        <v>Epicerie sucrée</v>
      </c>
      <c r="C1421" s="24" t="str">
        <f t="array" ref="C1421">xlookup($A1421,product!$A:$A,product!C:C)</f>
        <v>Fruits secs</v>
      </c>
      <c r="D1421" s="24" t="str">
        <f t="array" ref="D1421">xlookup($A1421,product!$A:$A,product!D:D)</f>
        <v>Fruit sec à coque</v>
      </c>
      <c r="E1421" s="25" t="str">
        <f t="shared" si="1"/>
        <v>82115-Fruits secs-Fruit sec à coque</v>
      </c>
      <c r="F1421" s="25">
        <v>1.0</v>
      </c>
      <c r="G1421" s="25">
        <v>51.0</v>
      </c>
      <c r="H1421" s="25">
        <v>3.0</v>
      </c>
      <c r="I1421" s="26">
        <f t="array" ref="I1421">XLOOKUP($A1421,product!A:A,product!E:E)</f>
        <v>14.03</v>
      </c>
      <c r="J1421" s="25">
        <f t="shared" si="2"/>
        <v>42.09</v>
      </c>
      <c r="K1421" s="27">
        <f t="shared" si="3"/>
        <v>1</v>
      </c>
      <c r="L1421" s="25">
        <f t="shared" si="4"/>
        <v>1</v>
      </c>
    </row>
    <row r="1422">
      <c r="A1422" s="19">
        <v>109307.0</v>
      </c>
      <c r="B1422" s="20" t="str">
        <f t="array" ref="B1422">xlookup($A1422,product!$A:$A,product!B:B)</f>
        <v>Epicerie sucrée</v>
      </c>
      <c r="C1422" s="20" t="str">
        <f t="array" ref="C1422">xlookup($A1422,product!$A:$A,product!C:C)</f>
        <v>Fruits secs</v>
      </c>
      <c r="D1422" s="20" t="str">
        <f t="array" ref="D1422">xlookup($A1422,product!$A:$A,product!D:D)</f>
        <v>Fruit sec à coque</v>
      </c>
      <c r="E1422" s="4" t="str">
        <f t="shared" si="1"/>
        <v>109307-Fruits secs-Fruit sec à coque</v>
      </c>
      <c r="F1422" s="4">
        <v>0.0</v>
      </c>
      <c r="G1422" s="4">
        <v>170.0</v>
      </c>
      <c r="H1422" s="4">
        <v>83.0</v>
      </c>
      <c r="I1422" s="21">
        <f t="array" ref="I1422">XLOOKUP($A1422,product!A:A,product!E:E)</f>
        <v>6.56</v>
      </c>
      <c r="J1422" s="4">
        <f t="shared" si="2"/>
        <v>544.48</v>
      </c>
      <c r="K1422" s="22">
        <f t="shared" si="3"/>
        <v>1</v>
      </c>
      <c r="L1422" s="4">
        <f t="shared" si="4"/>
        <v>1</v>
      </c>
    </row>
    <row r="1423">
      <c r="A1423" s="23">
        <v>76046.0</v>
      </c>
      <c r="B1423" s="24" t="str">
        <f t="array" ref="B1423">xlookup($A1423,product!$A:$A,product!B:B)</f>
        <v>Epicerie sucrée</v>
      </c>
      <c r="C1423" s="24" t="str">
        <f t="array" ref="C1423">xlookup($A1423,product!$A:$A,product!C:C)</f>
        <v>Fruits secs</v>
      </c>
      <c r="D1423" s="24" t="str">
        <f t="array" ref="D1423">xlookup($A1423,product!$A:$A,product!D:D)</f>
        <v>Fruit sec à coque</v>
      </c>
      <c r="E1423" s="25" t="str">
        <f t="shared" si="1"/>
        <v>76046-Fruits secs-Fruit sec à coque</v>
      </c>
      <c r="F1423" s="25">
        <v>0.0</v>
      </c>
      <c r="G1423" s="25">
        <v>234.0</v>
      </c>
      <c r="H1423" s="25">
        <v>159.0</v>
      </c>
      <c r="I1423" s="26">
        <f t="array" ref="I1423">XLOOKUP($A1423,product!A:A,product!E:E)</f>
        <v>5.31</v>
      </c>
      <c r="J1423" s="25">
        <f t="shared" si="2"/>
        <v>844.29</v>
      </c>
      <c r="K1423" s="27">
        <f t="shared" si="3"/>
        <v>1</v>
      </c>
      <c r="L1423" s="25">
        <f t="shared" si="4"/>
        <v>1</v>
      </c>
    </row>
    <row r="1424">
      <c r="A1424" s="19">
        <v>117187.0</v>
      </c>
      <c r="B1424" s="20" t="str">
        <f t="array" ref="B1424">xlookup($A1424,product!$A:$A,product!B:B)</f>
        <v>Epicerie sucrée</v>
      </c>
      <c r="C1424" s="20" t="str">
        <f t="array" ref="C1424">xlookup($A1424,product!$A:$A,product!C:C)</f>
        <v>Fruits secs</v>
      </c>
      <c r="D1424" s="20" t="str">
        <f t="array" ref="D1424">xlookup($A1424,product!$A:$A,product!D:D)</f>
        <v>Fruit sec à coque</v>
      </c>
      <c r="E1424" s="4" t="str">
        <f t="shared" si="1"/>
        <v>117187-Fruits secs-Fruit sec à coque</v>
      </c>
      <c r="F1424" s="4">
        <v>0.0</v>
      </c>
      <c r="G1424" s="4">
        <v>101.0</v>
      </c>
      <c r="H1424" s="4">
        <v>65.0</v>
      </c>
      <c r="I1424" s="21">
        <f t="array" ref="I1424">XLOOKUP($A1424,product!A:A,product!E:E)</f>
        <v>2.23</v>
      </c>
      <c r="J1424" s="4">
        <f t="shared" si="2"/>
        <v>144.95</v>
      </c>
      <c r="K1424" s="22">
        <f t="shared" si="3"/>
        <v>1</v>
      </c>
      <c r="L1424" s="4">
        <f t="shared" si="4"/>
        <v>1</v>
      </c>
    </row>
    <row r="1425">
      <c r="A1425" s="23">
        <v>10538.0</v>
      </c>
      <c r="B1425" s="24" t="str">
        <f t="array" ref="B1425">xlookup($A1425,product!$A:$A,product!B:B)</f>
        <v>Epicerie sucrée</v>
      </c>
      <c r="C1425" s="24" t="str">
        <f t="array" ref="C1425">xlookup($A1425,product!$A:$A,product!C:C)</f>
        <v>Fruits secs</v>
      </c>
      <c r="D1425" s="24" t="str">
        <f t="array" ref="D1425">xlookup($A1425,product!$A:$A,product!D:D)</f>
        <v>Fruit sec à coque</v>
      </c>
      <c r="E1425" s="25" t="str">
        <f t="shared" si="1"/>
        <v>10538-Fruits secs-Fruit sec à coque</v>
      </c>
      <c r="F1425" s="25">
        <v>1.0</v>
      </c>
      <c r="G1425" s="25">
        <v>189.0</v>
      </c>
      <c r="H1425" s="25">
        <v>168.0</v>
      </c>
      <c r="I1425" s="26">
        <f t="array" ref="I1425">XLOOKUP($A1425,product!A:A,product!E:E)</f>
        <v>2.36</v>
      </c>
      <c r="J1425" s="25">
        <f t="shared" si="2"/>
        <v>396.48</v>
      </c>
      <c r="K1425" s="27">
        <f t="shared" si="3"/>
        <v>1</v>
      </c>
      <c r="L1425" s="25">
        <f t="shared" si="4"/>
        <v>1</v>
      </c>
    </row>
    <row r="1426">
      <c r="A1426" s="19">
        <v>78508.0</v>
      </c>
      <c r="B1426" s="20" t="str">
        <f t="array" ref="B1426">xlookup($A1426,product!$A:$A,product!B:B)</f>
        <v>Epicerie sucrée</v>
      </c>
      <c r="C1426" s="20" t="str">
        <f t="array" ref="C1426">xlookup($A1426,product!$A:$A,product!C:C)</f>
        <v>Fruits secs</v>
      </c>
      <c r="D1426" s="20" t="str">
        <f t="array" ref="D1426">xlookup($A1426,product!$A:$A,product!D:D)</f>
        <v>Fruit sec à coque</v>
      </c>
      <c r="E1426" s="4" t="str">
        <f t="shared" si="1"/>
        <v>78508-Fruits secs-Fruit sec à coque</v>
      </c>
      <c r="F1426" s="4">
        <v>1.0</v>
      </c>
      <c r="G1426" s="4">
        <v>217.0</v>
      </c>
      <c r="H1426" s="4">
        <v>2.0</v>
      </c>
      <c r="I1426" s="21">
        <f t="array" ref="I1426">XLOOKUP($A1426,product!A:A,product!E:E)</f>
        <v>7.01</v>
      </c>
      <c r="J1426" s="4">
        <f t="shared" si="2"/>
        <v>14.02</v>
      </c>
      <c r="K1426" s="22">
        <f t="shared" si="3"/>
        <v>1</v>
      </c>
      <c r="L1426" s="4">
        <f t="shared" si="4"/>
        <v>1</v>
      </c>
    </row>
    <row r="1427">
      <c r="A1427" s="23">
        <v>44723.0</v>
      </c>
      <c r="B1427" s="24" t="str">
        <f t="array" ref="B1427">xlookup($A1427,product!$A:$A,product!B:B)</f>
        <v>Epicerie sucrée</v>
      </c>
      <c r="C1427" s="24" t="str">
        <f t="array" ref="C1427">xlookup($A1427,product!$A:$A,product!C:C)</f>
        <v>Fruits secs</v>
      </c>
      <c r="D1427" s="24" t="str">
        <f t="array" ref="D1427">xlookup($A1427,product!$A:$A,product!D:D)</f>
        <v>Fruit sec à coque</v>
      </c>
      <c r="E1427" s="25" t="str">
        <f t="shared" si="1"/>
        <v>44723-Fruits secs-Fruit sec à coque</v>
      </c>
      <c r="F1427" s="25">
        <v>0.0</v>
      </c>
      <c r="G1427" s="25">
        <v>229.0</v>
      </c>
      <c r="H1427" s="25">
        <v>47.0</v>
      </c>
      <c r="I1427" s="26">
        <f t="array" ref="I1427">XLOOKUP($A1427,product!A:A,product!E:E)</f>
        <v>1.54</v>
      </c>
      <c r="J1427" s="25">
        <f t="shared" si="2"/>
        <v>72.38</v>
      </c>
      <c r="K1427" s="27">
        <f t="shared" si="3"/>
        <v>1</v>
      </c>
      <c r="L1427" s="25">
        <f t="shared" si="4"/>
        <v>1</v>
      </c>
    </row>
    <row r="1428">
      <c r="A1428" s="19">
        <v>109309.0</v>
      </c>
      <c r="B1428" s="20" t="str">
        <f t="array" ref="B1428">xlookup($A1428,product!$A:$A,product!B:B)</f>
        <v>Epicerie sucrée</v>
      </c>
      <c r="C1428" s="20" t="str">
        <f t="array" ref="C1428">xlookup($A1428,product!$A:$A,product!C:C)</f>
        <v>Fruits secs</v>
      </c>
      <c r="D1428" s="20" t="str">
        <f t="array" ref="D1428">xlookup($A1428,product!$A:$A,product!D:D)</f>
        <v>Fruit sec à coque</v>
      </c>
      <c r="E1428" s="4" t="str">
        <f t="shared" si="1"/>
        <v>109309-Fruits secs-Fruit sec à coque</v>
      </c>
      <c r="F1428" s="4">
        <v>1.0</v>
      </c>
      <c r="G1428" s="4">
        <v>627.0</v>
      </c>
      <c r="H1428" s="4">
        <v>32.0</v>
      </c>
      <c r="I1428" s="21">
        <f t="array" ref="I1428">XLOOKUP($A1428,product!A:A,product!E:E)</f>
        <v>5.53</v>
      </c>
      <c r="J1428" s="4">
        <f t="shared" si="2"/>
        <v>176.96</v>
      </c>
      <c r="K1428" s="22">
        <f t="shared" si="3"/>
        <v>1</v>
      </c>
      <c r="L1428" s="4">
        <f t="shared" si="4"/>
        <v>1</v>
      </c>
    </row>
    <row r="1429">
      <c r="A1429" s="23">
        <v>76656.0</v>
      </c>
      <c r="B1429" s="24" t="str">
        <f t="array" ref="B1429">xlookup($A1429,product!$A:$A,product!B:B)</f>
        <v>Epicerie sucrée</v>
      </c>
      <c r="C1429" s="24" t="str">
        <f t="array" ref="C1429">xlookup($A1429,product!$A:$A,product!C:C)</f>
        <v>Fruits secs</v>
      </c>
      <c r="D1429" s="24" t="str">
        <f t="array" ref="D1429">xlookup($A1429,product!$A:$A,product!D:D)</f>
        <v>Fruit sec à coque</v>
      </c>
      <c r="E1429" s="25" t="str">
        <f t="shared" si="1"/>
        <v>76656-Fruits secs-Fruit sec à coque</v>
      </c>
      <c r="F1429" s="25">
        <v>0.0</v>
      </c>
      <c r="G1429" s="25">
        <v>545.0</v>
      </c>
      <c r="H1429" s="25">
        <v>76.0</v>
      </c>
      <c r="I1429" s="26">
        <f t="array" ref="I1429">XLOOKUP($A1429,product!A:A,product!E:E)</f>
        <v>3.27</v>
      </c>
      <c r="J1429" s="25">
        <f t="shared" si="2"/>
        <v>248.52</v>
      </c>
      <c r="K1429" s="27">
        <f t="shared" si="3"/>
        <v>1</v>
      </c>
      <c r="L1429" s="25">
        <f t="shared" si="4"/>
        <v>1</v>
      </c>
    </row>
    <row r="1430">
      <c r="A1430" s="19">
        <v>80305.0</v>
      </c>
      <c r="B1430" s="20" t="str">
        <f t="array" ref="B1430">xlookup($A1430,product!$A:$A,product!B:B)</f>
        <v>Epicerie sucrée</v>
      </c>
      <c r="C1430" s="20" t="str">
        <f t="array" ref="C1430">xlookup($A1430,product!$A:$A,product!C:C)</f>
        <v>Fruits secs</v>
      </c>
      <c r="D1430" s="20" t="str">
        <f t="array" ref="D1430">xlookup($A1430,product!$A:$A,product!D:D)</f>
        <v>Fruit sec à coque</v>
      </c>
      <c r="E1430" s="4" t="str">
        <f t="shared" si="1"/>
        <v>80305-Fruits secs-Fruit sec à coque</v>
      </c>
      <c r="F1430" s="4">
        <v>0.0</v>
      </c>
      <c r="G1430" s="4">
        <v>160.0</v>
      </c>
      <c r="H1430" s="4">
        <v>89.0</v>
      </c>
      <c r="I1430" s="21">
        <f t="array" ref="I1430">XLOOKUP($A1430,product!A:A,product!E:E)</f>
        <v>3.65</v>
      </c>
      <c r="J1430" s="4">
        <f t="shared" si="2"/>
        <v>324.85</v>
      </c>
      <c r="K1430" s="22">
        <f t="shared" si="3"/>
        <v>1</v>
      </c>
      <c r="L1430" s="4">
        <f t="shared" si="4"/>
        <v>1</v>
      </c>
    </row>
    <row r="1431">
      <c r="A1431" s="23">
        <v>78506.0</v>
      </c>
      <c r="B1431" s="24" t="str">
        <f t="array" ref="B1431">xlookup($A1431,product!$A:$A,product!B:B)</f>
        <v>Epicerie sucrée</v>
      </c>
      <c r="C1431" s="24" t="str">
        <f t="array" ref="C1431">xlookup($A1431,product!$A:$A,product!C:C)</f>
        <v>Fruits secs</v>
      </c>
      <c r="D1431" s="24" t="str">
        <f t="array" ref="D1431">xlookup($A1431,product!$A:$A,product!D:D)</f>
        <v>Fruit sec à coque</v>
      </c>
      <c r="E1431" s="25" t="str">
        <f t="shared" si="1"/>
        <v>78506-Fruits secs-Fruit sec à coque</v>
      </c>
      <c r="F1431" s="25">
        <v>1.0</v>
      </c>
      <c r="G1431" s="25">
        <v>177.0</v>
      </c>
      <c r="H1431" s="25">
        <v>131.0</v>
      </c>
      <c r="I1431" s="26">
        <f t="array" ref="I1431">XLOOKUP($A1431,product!A:A,product!E:E)</f>
        <v>6.01</v>
      </c>
      <c r="J1431" s="25">
        <f t="shared" si="2"/>
        <v>787.31</v>
      </c>
      <c r="K1431" s="27">
        <f t="shared" si="3"/>
        <v>1</v>
      </c>
      <c r="L1431" s="25">
        <f t="shared" si="4"/>
        <v>1</v>
      </c>
    </row>
    <row r="1432">
      <c r="A1432" s="19">
        <v>82133.0</v>
      </c>
      <c r="B1432" s="20" t="str">
        <f t="array" ref="B1432">xlookup($A1432,product!$A:$A,product!B:B)</f>
        <v>Epicerie sucrée</v>
      </c>
      <c r="C1432" s="20" t="str">
        <f t="array" ref="C1432">xlookup($A1432,product!$A:$A,product!C:C)</f>
        <v>Fruits secs</v>
      </c>
      <c r="D1432" s="20" t="str">
        <f t="array" ref="D1432">xlookup($A1432,product!$A:$A,product!D:D)</f>
        <v>Fruit sec à coque</v>
      </c>
      <c r="E1432" s="4" t="str">
        <f t="shared" si="1"/>
        <v>82133-Fruits secs-Fruit sec à coque</v>
      </c>
      <c r="F1432" s="4">
        <v>1.0</v>
      </c>
      <c r="G1432" s="4">
        <v>735.0</v>
      </c>
      <c r="H1432" s="4">
        <v>664.0</v>
      </c>
      <c r="I1432" s="21">
        <f t="array" ref="I1432">XLOOKUP($A1432,product!A:A,product!E:E)</f>
        <v>17.07</v>
      </c>
      <c r="J1432" s="4">
        <f t="shared" si="2"/>
        <v>11334.48</v>
      </c>
      <c r="K1432" s="22">
        <f t="shared" si="3"/>
        <v>1</v>
      </c>
      <c r="L1432" s="4">
        <f t="shared" si="4"/>
        <v>1</v>
      </c>
    </row>
    <row r="1433">
      <c r="A1433" s="23">
        <v>188805.0</v>
      </c>
      <c r="B1433" s="24" t="str">
        <f t="array" ref="B1433">xlookup($A1433,product!$A:$A,product!B:B)</f>
        <v>Epicerie sucrée</v>
      </c>
      <c r="C1433" s="24" t="str">
        <f t="array" ref="C1433">xlookup($A1433,product!$A:$A,product!C:C)</f>
        <v>Fruits secs</v>
      </c>
      <c r="D1433" s="24" t="str">
        <f t="array" ref="D1433">xlookup($A1433,product!$A:$A,product!D:D)</f>
        <v>Fruit sec à coque</v>
      </c>
      <c r="E1433" s="25" t="str">
        <f t="shared" si="1"/>
        <v>188805-Fruits secs-Fruit sec à coque</v>
      </c>
      <c r="F1433" s="25">
        <v>0.0</v>
      </c>
      <c r="G1433" s="25">
        <v>236.0</v>
      </c>
      <c r="H1433" s="25">
        <v>157.0</v>
      </c>
      <c r="I1433" s="26">
        <f t="array" ref="I1433">XLOOKUP($A1433,product!A:A,product!E:E)</f>
        <v>3.7</v>
      </c>
      <c r="J1433" s="25">
        <f t="shared" si="2"/>
        <v>580.9</v>
      </c>
      <c r="K1433" s="27">
        <f t="shared" si="3"/>
        <v>1</v>
      </c>
      <c r="L1433" s="25">
        <f t="shared" si="4"/>
        <v>1</v>
      </c>
    </row>
    <row r="1434">
      <c r="A1434" s="19">
        <v>78481.0</v>
      </c>
      <c r="B1434" s="20" t="str">
        <f t="array" ref="B1434">xlookup($A1434,product!$A:$A,product!B:B)</f>
        <v>Epicerie sucrée</v>
      </c>
      <c r="C1434" s="20" t="str">
        <f t="array" ref="C1434">xlookup($A1434,product!$A:$A,product!C:C)</f>
        <v>Fruits secs</v>
      </c>
      <c r="D1434" s="20" t="str">
        <f t="array" ref="D1434">xlookup($A1434,product!$A:$A,product!D:D)</f>
        <v>Fruit sec à coque</v>
      </c>
      <c r="E1434" s="4" t="str">
        <f t="shared" si="1"/>
        <v>78481-Fruits secs-Fruit sec à coque</v>
      </c>
      <c r="F1434" s="4">
        <v>0.0</v>
      </c>
      <c r="G1434" s="4">
        <v>898.0</v>
      </c>
      <c r="H1434" s="4">
        <v>202.0</v>
      </c>
      <c r="I1434" s="21">
        <f t="array" ref="I1434">XLOOKUP($A1434,product!A:A,product!E:E)</f>
        <v>4.58</v>
      </c>
      <c r="J1434" s="4">
        <f t="shared" si="2"/>
        <v>925.16</v>
      </c>
      <c r="K1434" s="22">
        <f t="shared" si="3"/>
        <v>1</v>
      </c>
      <c r="L1434" s="4">
        <f t="shared" si="4"/>
        <v>1</v>
      </c>
    </row>
    <row r="1435">
      <c r="A1435" s="23">
        <v>109310.0</v>
      </c>
      <c r="B1435" s="24" t="str">
        <f t="array" ref="B1435">xlookup($A1435,product!$A:$A,product!B:B)</f>
        <v>Epicerie sucrée</v>
      </c>
      <c r="C1435" s="24" t="str">
        <f t="array" ref="C1435">xlookup($A1435,product!$A:$A,product!C:C)</f>
        <v>Fruits secs</v>
      </c>
      <c r="D1435" s="24" t="str">
        <f t="array" ref="D1435">xlookup($A1435,product!$A:$A,product!D:D)</f>
        <v>Fruit sec à coque</v>
      </c>
      <c r="E1435" s="25" t="str">
        <f t="shared" si="1"/>
        <v>109310-Fruits secs-Fruit sec à coque</v>
      </c>
      <c r="F1435" s="25">
        <v>1.0</v>
      </c>
      <c r="G1435" s="25">
        <v>832.0</v>
      </c>
      <c r="H1435" s="25">
        <v>789.0</v>
      </c>
      <c r="I1435" s="26">
        <f t="array" ref="I1435">XLOOKUP($A1435,product!A:A,product!E:E)</f>
        <v>4.35</v>
      </c>
      <c r="J1435" s="25">
        <f t="shared" si="2"/>
        <v>3432.15</v>
      </c>
      <c r="K1435" s="27">
        <f t="shared" si="3"/>
        <v>1</v>
      </c>
      <c r="L1435" s="25">
        <f t="shared" si="4"/>
        <v>1</v>
      </c>
    </row>
    <row r="1436">
      <c r="A1436" s="19">
        <v>120689.0</v>
      </c>
      <c r="B1436" s="20" t="str">
        <f t="array" ref="B1436">xlookup($A1436,product!$A:$A,product!B:B)</f>
        <v>Epicerie sucrée</v>
      </c>
      <c r="C1436" s="20" t="str">
        <f t="array" ref="C1436">xlookup($A1436,product!$A:$A,product!C:C)</f>
        <v>Fruits secs</v>
      </c>
      <c r="D1436" s="20" t="str">
        <f t="array" ref="D1436">xlookup($A1436,product!$A:$A,product!D:D)</f>
        <v>Fruit sec à coque</v>
      </c>
      <c r="E1436" s="4" t="str">
        <f t="shared" si="1"/>
        <v>120689-Fruits secs-Fruit sec à coque</v>
      </c>
      <c r="F1436" s="4">
        <v>0.0</v>
      </c>
      <c r="G1436" s="4">
        <v>687.0</v>
      </c>
      <c r="H1436" s="4">
        <v>644.0</v>
      </c>
      <c r="I1436" s="21">
        <f t="array" ref="I1436">XLOOKUP($A1436,product!A:A,product!E:E)</f>
        <v>22.89</v>
      </c>
      <c r="J1436" s="4">
        <f t="shared" si="2"/>
        <v>14741.16</v>
      </c>
      <c r="K1436" s="22">
        <f t="shared" si="3"/>
        <v>1</v>
      </c>
      <c r="L1436" s="4">
        <f t="shared" si="4"/>
        <v>1</v>
      </c>
    </row>
    <row r="1437">
      <c r="A1437" s="23">
        <v>10540.0</v>
      </c>
      <c r="B1437" s="24" t="str">
        <f t="array" ref="B1437">xlookup($A1437,product!$A:$A,product!B:B)</f>
        <v>Epicerie sucrée</v>
      </c>
      <c r="C1437" s="24" t="str">
        <f t="array" ref="C1437">xlookup($A1437,product!$A:$A,product!C:C)</f>
        <v>Fruits secs</v>
      </c>
      <c r="D1437" s="24" t="str">
        <f t="array" ref="D1437">xlookup($A1437,product!$A:$A,product!D:D)</f>
        <v>Fruit sec à coque</v>
      </c>
      <c r="E1437" s="25" t="str">
        <f t="shared" si="1"/>
        <v>10540-Fruits secs-Fruit sec à coque</v>
      </c>
      <c r="F1437" s="25">
        <v>1.0</v>
      </c>
      <c r="G1437" s="25">
        <v>184.0</v>
      </c>
      <c r="H1437" s="25">
        <v>27.0</v>
      </c>
      <c r="I1437" s="26">
        <f t="array" ref="I1437">XLOOKUP($A1437,product!A:A,product!E:E)</f>
        <v>4.12</v>
      </c>
      <c r="J1437" s="25">
        <f t="shared" si="2"/>
        <v>111.24</v>
      </c>
      <c r="K1437" s="27">
        <f t="shared" si="3"/>
        <v>1</v>
      </c>
      <c r="L1437" s="25">
        <f t="shared" si="4"/>
        <v>1</v>
      </c>
    </row>
    <row r="1438">
      <c r="A1438" s="19">
        <v>44727.0</v>
      </c>
      <c r="B1438" s="20" t="str">
        <f t="array" ref="B1438">xlookup($A1438,product!$A:$A,product!B:B)</f>
        <v>Epicerie sucrée</v>
      </c>
      <c r="C1438" s="20" t="str">
        <f t="array" ref="C1438">xlookup($A1438,product!$A:$A,product!C:C)</f>
        <v>Fruits secs</v>
      </c>
      <c r="D1438" s="20" t="str">
        <f t="array" ref="D1438">xlookup($A1438,product!$A:$A,product!D:D)</f>
        <v>Fruit sec à coque</v>
      </c>
      <c r="E1438" s="4" t="str">
        <f t="shared" si="1"/>
        <v>44727-Fruits secs-Fruit sec à coque</v>
      </c>
      <c r="F1438" s="4">
        <v>0.0</v>
      </c>
      <c r="G1438" s="4">
        <v>332.0</v>
      </c>
      <c r="H1438" s="4">
        <v>188.0</v>
      </c>
      <c r="I1438" s="21">
        <f t="array" ref="I1438">XLOOKUP($A1438,product!A:A,product!E:E)</f>
        <v>4.56</v>
      </c>
      <c r="J1438" s="4">
        <f t="shared" si="2"/>
        <v>857.28</v>
      </c>
      <c r="K1438" s="22">
        <f t="shared" si="3"/>
        <v>1</v>
      </c>
      <c r="L1438" s="4">
        <f t="shared" si="4"/>
        <v>1</v>
      </c>
    </row>
    <row r="1439">
      <c r="A1439" s="23">
        <v>73190.0</v>
      </c>
      <c r="B1439" s="24" t="str">
        <f t="array" ref="B1439">xlookup($A1439,product!$A:$A,product!B:B)</f>
        <v>Epicerie sucrée</v>
      </c>
      <c r="C1439" s="24" t="str">
        <f t="array" ref="C1439">xlookup($A1439,product!$A:$A,product!C:C)</f>
        <v>Fruits secs</v>
      </c>
      <c r="D1439" s="24" t="str">
        <f t="array" ref="D1439">xlookup($A1439,product!$A:$A,product!D:D)</f>
        <v>Fruit sec à coque</v>
      </c>
      <c r="E1439" s="25" t="str">
        <f t="shared" si="1"/>
        <v>73190-Fruits secs-Fruit sec à coque</v>
      </c>
      <c r="F1439" s="25">
        <v>0.0</v>
      </c>
      <c r="G1439" s="25">
        <v>769.0</v>
      </c>
      <c r="H1439" s="25">
        <v>45.0</v>
      </c>
      <c r="I1439" s="26">
        <f t="array" ref="I1439">XLOOKUP($A1439,product!A:A,product!E:E)</f>
        <v>29.98</v>
      </c>
      <c r="J1439" s="25">
        <f t="shared" si="2"/>
        <v>1349.1</v>
      </c>
      <c r="K1439" s="27">
        <f t="shared" si="3"/>
        <v>1</v>
      </c>
      <c r="L1439" s="25">
        <f t="shared" si="4"/>
        <v>1</v>
      </c>
    </row>
    <row r="1440">
      <c r="A1440" s="19">
        <v>112169.0</v>
      </c>
      <c r="B1440" s="20" t="str">
        <f t="array" ref="B1440">xlookup($A1440,product!$A:$A,product!B:B)</f>
        <v>Epicerie sucrée</v>
      </c>
      <c r="C1440" s="20" t="str">
        <f t="array" ref="C1440">xlookup($A1440,product!$A:$A,product!C:C)</f>
        <v>Fruits secs</v>
      </c>
      <c r="D1440" s="20" t="str">
        <f t="array" ref="D1440">xlookup($A1440,product!$A:$A,product!D:D)</f>
        <v>Fruit sec à coque</v>
      </c>
      <c r="E1440" s="4" t="str">
        <f t="shared" si="1"/>
        <v>112169-Fruits secs-Fruit sec à coque</v>
      </c>
      <c r="F1440" s="4">
        <v>0.0</v>
      </c>
      <c r="G1440" s="4">
        <v>23.0</v>
      </c>
      <c r="H1440" s="4">
        <v>6.0</v>
      </c>
      <c r="I1440" s="21">
        <f t="array" ref="I1440">XLOOKUP($A1440,product!A:A,product!E:E)</f>
        <v>1.14</v>
      </c>
      <c r="J1440" s="4">
        <f t="shared" si="2"/>
        <v>6.84</v>
      </c>
      <c r="K1440" s="22">
        <f t="shared" si="3"/>
        <v>1</v>
      </c>
      <c r="L1440" s="4">
        <f t="shared" si="4"/>
        <v>1</v>
      </c>
    </row>
    <row r="1441">
      <c r="A1441" s="23">
        <v>120695.0</v>
      </c>
      <c r="B1441" s="24" t="str">
        <f t="array" ref="B1441">xlookup($A1441,product!$A:$A,product!B:B)</f>
        <v>Epicerie sucrée</v>
      </c>
      <c r="C1441" s="24" t="str">
        <f t="array" ref="C1441">xlookup($A1441,product!$A:$A,product!C:C)</f>
        <v>Fruits secs</v>
      </c>
      <c r="D1441" s="24" t="str">
        <f t="array" ref="D1441">xlookup($A1441,product!$A:$A,product!D:D)</f>
        <v>Fruit sec à coque</v>
      </c>
      <c r="E1441" s="25" t="str">
        <f t="shared" si="1"/>
        <v>120695-Fruits secs-Fruit sec à coque</v>
      </c>
      <c r="F1441" s="25">
        <v>1.0</v>
      </c>
      <c r="G1441" s="25">
        <v>494.0</v>
      </c>
      <c r="H1441" s="25">
        <v>256.0</v>
      </c>
      <c r="I1441" s="26">
        <f t="array" ref="I1441">XLOOKUP($A1441,product!A:A,product!E:E)</f>
        <v>15.23</v>
      </c>
      <c r="J1441" s="25">
        <f t="shared" si="2"/>
        <v>3898.88</v>
      </c>
      <c r="K1441" s="27">
        <f t="shared" si="3"/>
        <v>1</v>
      </c>
      <c r="L1441" s="25">
        <f t="shared" si="4"/>
        <v>1</v>
      </c>
    </row>
    <row r="1442">
      <c r="A1442" s="19">
        <v>80270.0</v>
      </c>
      <c r="B1442" s="20" t="str">
        <f t="array" ref="B1442">xlookup($A1442,product!$A:$A,product!B:B)</f>
        <v>Epicerie sucrée</v>
      </c>
      <c r="C1442" s="20" t="str">
        <f t="array" ref="C1442">xlookup($A1442,product!$A:$A,product!C:C)</f>
        <v>Fruits secs</v>
      </c>
      <c r="D1442" s="20" t="str">
        <f t="array" ref="D1442">xlookup($A1442,product!$A:$A,product!D:D)</f>
        <v>Fruit sec à coque</v>
      </c>
      <c r="E1442" s="4" t="str">
        <f t="shared" si="1"/>
        <v>80270-Fruits secs-Fruit sec à coque</v>
      </c>
      <c r="F1442" s="4">
        <v>0.0</v>
      </c>
      <c r="G1442" s="4">
        <v>424.0</v>
      </c>
      <c r="H1442" s="4">
        <v>10.0</v>
      </c>
      <c r="I1442" s="21">
        <f t="array" ref="I1442">XLOOKUP($A1442,product!A:A,product!E:E)</f>
        <v>6.1</v>
      </c>
      <c r="J1442" s="4">
        <f t="shared" si="2"/>
        <v>61</v>
      </c>
      <c r="K1442" s="22">
        <f t="shared" si="3"/>
        <v>1</v>
      </c>
      <c r="L1442" s="4">
        <f t="shared" si="4"/>
        <v>1</v>
      </c>
    </row>
    <row r="1443">
      <c r="A1443" s="23">
        <v>5795.0</v>
      </c>
      <c r="B1443" s="24" t="str">
        <f t="array" ref="B1443">xlookup($A1443,product!$A:$A,product!B:B)</f>
        <v>Epicerie sucrée</v>
      </c>
      <c r="C1443" s="24" t="str">
        <f t="array" ref="C1443">xlookup($A1443,product!$A:$A,product!C:C)</f>
        <v>Fruits secs</v>
      </c>
      <c r="D1443" s="24" t="str">
        <f t="array" ref="D1443">xlookup($A1443,product!$A:$A,product!D:D)</f>
        <v>Fruit sec à coque</v>
      </c>
      <c r="E1443" s="25" t="str">
        <f t="shared" si="1"/>
        <v>5795-Fruits secs-Fruit sec à coque</v>
      </c>
      <c r="F1443" s="25">
        <v>1.0</v>
      </c>
      <c r="G1443" s="25">
        <v>708.0</v>
      </c>
      <c r="H1443" s="25">
        <v>558.0</v>
      </c>
      <c r="I1443" s="26">
        <f t="array" ref="I1443">XLOOKUP($A1443,product!A:A,product!E:E)</f>
        <v>4.69</v>
      </c>
      <c r="J1443" s="25">
        <f t="shared" si="2"/>
        <v>2617.02</v>
      </c>
      <c r="K1443" s="27">
        <f t="shared" si="3"/>
        <v>1</v>
      </c>
      <c r="L1443" s="25">
        <f t="shared" si="4"/>
        <v>1</v>
      </c>
    </row>
    <row r="1444">
      <c r="A1444" s="19">
        <v>107316.0</v>
      </c>
      <c r="B1444" s="20" t="str">
        <f t="array" ref="B1444">xlookup($A1444,product!$A:$A,product!B:B)</f>
        <v>Epicerie sucrée</v>
      </c>
      <c r="C1444" s="20" t="str">
        <f t="array" ref="C1444">xlookup($A1444,product!$A:$A,product!C:C)</f>
        <v>Fruits secs</v>
      </c>
      <c r="D1444" s="20" t="str">
        <f t="array" ref="D1444">xlookup($A1444,product!$A:$A,product!D:D)</f>
        <v>Fruit sec à coque</v>
      </c>
      <c r="E1444" s="4" t="str">
        <f t="shared" si="1"/>
        <v>107316-Fruits secs-Fruit sec à coque</v>
      </c>
      <c r="F1444" s="4">
        <v>1.0</v>
      </c>
      <c r="G1444" s="4">
        <v>864.0</v>
      </c>
      <c r="H1444" s="4">
        <v>314.0</v>
      </c>
      <c r="I1444" s="21">
        <f t="array" ref="I1444">XLOOKUP($A1444,product!A:A,product!E:E)</f>
        <v>4.67</v>
      </c>
      <c r="J1444" s="4">
        <f t="shared" si="2"/>
        <v>1466.38</v>
      </c>
      <c r="K1444" s="22">
        <f t="shared" si="3"/>
        <v>1</v>
      </c>
      <c r="L1444" s="4">
        <f t="shared" si="4"/>
        <v>1</v>
      </c>
    </row>
    <row r="1445">
      <c r="A1445" s="23">
        <v>78482.0</v>
      </c>
      <c r="B1445" s="24" t="str">
        <f t="array" ref="B1445">xlookup($A1445,product!$A:$A,product!B:B)</f>
        <v>Epicerie sucrée</v>
      </c>
      <c r="C1445" s="24" t="str">
        <f t="array" ref="C1445">xlookup($A1445,product!$A:$A,product!C:C)</f>
        <v>Fruits secs</v>
      </c>
      <c r="D1445" s="24" t="str">
        <f t="array" ref="D1445">xlookup($A1445,product!$A:$A,product!D:D)</f>
        <v>Fruit sec à coque</v>
      </c>
      <c r="E1445" s="25" t="str">
        <f t="shared" si="1"/>
        <v>78482-Fruits secs-Fruit sec à coque</v>
      </c>
      <c r="F1445" s="25">
        <v>1.0</v>
      </c>
      <c r="G1445" s="25">
        <v>177.0</v>
      </c>
      <c r="H1445" s="25">
        <v>143.0</v>
      </c>
      <c r="I1445" s="26">
        <f t="array" ref="I1445">XLOOKUP($A1445,product!A:A,product!E:E)</f>
        <v>10.37</v>
      </c>
      <c r="J1445" s="25">
        <f t="shared" si="2"/>
        <v>1482.91</v>
      </c>
      <c r="K1445" s="27">
        <f t="shared" si="3"/>
        <v>1</v>
      </c>
      <c r="L1445" s="25">
        <f t="shared" si="4"/>
        <v>1</v>
      </c>
    </row>
    <row r="1446">
      <c r="A1446" s="19">
        <v>158473.0</v>
      </c>
      <c r="B1446" s="20" t="str">
        <f t="array" ref="B1446">xlookup($A1446,product!$A:$A,product!B:B)</f>
        <v>Epicerie sucrée</v>
      </c>
      <c r="C1446" s="20" t="str">
        <f t="array" ref="C1446">xlookup($A1446,product!$A:$A,product!C:C)</f>
        <v>Fruits secs</v>
      </c>
      <c r="D1446" s="20" t="str">
        <f t="array" ref="D1446">xlookup($A1446,product!$A:$A,product!D:D)</f>
        <v>Fruit sec à coque</v>
      </c>
      <c r="E1446" s="4" t="str">
        <f t="shared" si="1"/>
        <v>158473-Fruits secs-Fruit sec à coque</v>
      </c>
      <c r="F1446" s="4">
        <v>0.0</v>
      </c>
      <c r="G1446" s="4">
        <v>258.0</v>
      </c>
      <c r="H1446" s="4">
        <v>105.0</v>
      </c>
      <c r="I1446" s="21">
        <f t="array" ref="I1446">XLOOKUP($A1446,product!A:A,product!E:E)</f>
        <v>3.37</v>
      </c>
      <c r="J1446" s="4">
        <f t="shared" si="2"/>
        <v>353.85</v>
      </c>
      <c r="K1446" s="22">
        <f t="shared" si="3"/>
        <v>1</v>
      </c>
      <c r="L1446" s="4">
        <f t="shared" si="4"/>
        <v>1</v>
      </c>
    </row>
    <row r="1447">
      <c r="A1447" s="23">
        <v>109308.0</v>
      </c>
      <c r="B1447" s="24" t="str">
        <f t="array" ref="B1447">xlookup($A1447,product!$A:$A,product!B:B)</f>
        <v>Epicerie sucrée</v>
      </c>
      <c r="C1447" s="24" t="str">
        <f t="array" ref="C1447">xlookup($A1447,product!$A:$A,product!C:C)</f>
        <v>Fruits secs</v>
      </c>
      <c r="D1447" s="24" t="str">
        <f t="array" ref="D1447">xlookup($A1447,product!$A:$A,product!D:D)</f>
        <v>Fruit sec à coque</v>
      </c>
      <c r="E1447" s="25" t="str">
        <f t="shared" si="1"/>
        <v>109308-Fruits secs-Fruit sec à coque</v>
      </c>
      <c r="F1447" s="25">
        <v>0.0</v>
      </c>
      <c r="G1447" s="25">
        <v>99.0</v>
      </c>
      <c r="H1447" s="25">
        <v>31.0</v>
      </c>
      <c r="I1447" s="26">
        <f t="array" ref="I1447">XLOOKUP($A1447,product!A:A,product!E:E)</f>
        <v>5.71</v>
      </c>
      <c r="J1447" s="25">
        <f t="shared" si="2"/>
        <v>177.01</v>
      </c>
      <c r="K1447" s="27">
        <f t="shared" si="3"/>
        <v>1</v>
      </c>
      <c r="L1447" s="25">
        <f t="shared" si="4"/>
        <v>1</v>
      </c>
    </row>
    <row r="1448">
      <c r="A1448" s="19">
        <v>78507.0</v>
      </c>
      <c r="B1448" s="20" t="str">
        <f t="array" ref="B1448">xlookup($A1448,product!$A:$A,product!B:B)</f>
        <v>Epicerie sucrée</v>
      </c>
      <c r="C1448" s="20" t="str">
        <f t="array" ref="C1448">xlookup($A1448,product!$A:$A,product!C:C)</f>
        <v>Fruits secs</v>
      </c>
      <c r="D1448" s="20" t="str">
        <f t="array" ref="D1448">xlookup($A1448,product!$A:$A,product!D:D)</f>
        <v>Fruit sec à coque</v>
      </c>
      <c r="E1448" s="4" t="str">
        <f t="shared" si="1"/>
        <v>78507-Fruits secs-Fruit sec à coque</v>
      </c>
      <c r="F1448" s="4">
        <v>1.0</v>
      </c>
      <c r="G1448" s="4">
        <v>261.0</v>
      </c>
      <c r="H1448" s="4">
        <v>204.0</v>
      </c>
      <c r="I1448" s="21">
        <f t="array" ref="I1448">XLOOKUP($A1448,product!A:A,product!E:E)</f>
        <v>8.31</v>
      </c>
      <c r="J1448" s="4">
        <f t="shared" si="2"/>
        <v>1695.24</v>
      </c>
      <c r="K1448" s="22">
        <f t="shared" si="3"/>
        <v>1</v>
      </c>
      <c r="L1448" s="4">
        <f t="shared" si="4"/>
        <v>1</v>
      </c>
    </row>
    <row r="1449">
      <c r="A1449" s="23">
        <v>100827.0</v>
      </c>
      <c r="B1449" s="24" t="str">
        <f t="array" ref="B1449">xlookup($A1449,product!$A:$A,product!B:B)</f>
        <v>Epicerie sucrée</v>
      </c>
      <c r="C1449" s="24" t="str">
        <f t="array" ref="C1449">xlookup($A1449,product!$A:$A,product!C:C)</f>
        <v>Fruits secs</v>
      </c>
      <c r="D1449" s="24" t="str">
        <f t="array" ref="D1449">xlookup($A1449,product!$A:$A,product!D:D)</f>
        <v>Fruit sec à coque</v>
      </c>
      <c r="E1449" s="25" t="str">
        <f t="shared" si="1"/>
        <v>100827-Fruits secs-Fruit sec à coque</v>
      </c>
      <c r="F1449" s="25">
        <v>0.0</v>
      </c>
      <c r="G1449" s="25">
        <v>557.0</v>
      </c>
      <c r="H1449" s="25">
        <v>60.0</v>
      </c>
      <c r="I1449" s="26">
        <f t="array" ref="I1449">XLOOKUP($A1449,product!A:A,product!E:E)</f>
        <v>6.84</v>
      </c>
      <c r="J1449" s="25">
        <f t="shared" si="2"/>
        <v>410.4</v>
      </c>
      <c r="K1449" s="27">
        <f t="shared" si="3"/>
        <v>1</v>
      </c>
      <c r="L1449" s="25">
        <f t="shared" si="4"/>
        <v>1</v>
      </c>
    </row>
    <row r="1450">
      <c r="A1450" s="19">
        <v>102189.0</v>
      </c>
      <c r="B1450" s="20" t="str">
        <f t="array" ref="B1450">xlookup($A1450,product!$A:$A,product!B:B)</f>
        <v>Epicerie sucrée</v>
      </c>
      <c r="C1450" s="20" t="str">
        <f t="array" ref="C1450">xlookup($A1450,product!$A:$A,product!C:C)</f>
        <v>Fruits secs</v>
      </c>
      <c r="D1450" s="20" t="str">
        <f t="array" ref="D1450">xlookup($A1450,product!$A:$A,product!D:D)</f>
        <v>Fruit sec à coque</v>
      </c>
      <c r="E1450" s="4" t="str">
        <f t="shared" si="1"/>
        <v>102189-Fruits secs-Fruit sec à coque</v>
      </c>
      <c r="F1450" s="4">
        <v>0.0</v>
      </c>
      <c r="G1450" s="4">
        <v>512.0</v>
      </c>
      <c r="H1450" s="4">
        <v>190.0</v>
      </c>
      <c r="I1450" s="21">
        <f t="array" ref="I1450">XLOOKUP($A1450,product!A:A,product!E:E)</f>
        <v>2.43</v>
      </c>
      <c r="J1450" s="4">
        <f t="shared" si="2"/>
        <v>461.7</v>
      </c>
      <c r="K1450" s="22">
        <f t="shared" si="3"/>
        <v>1</v>
      </c>
      <c r="L1450" s="4">
        <f t="shared" si="4"/>
        <v>1</v>
      </c>
    </row>
    <row r="1451">
      <c r="A1451" s="23">
        <v>10522.0</v>
      </c>
      <c r="B1451" s="24" t="str">
        <f t="array" ref="B1451">xlookup($A1451,product!$A:$A,product!B:B)</f>
        <v>Epicerie sucrée</v>
      </c>
      <c r="C1451" s="24" t="str">
        <f t="array" ref="C1451">xlookup($A1451,product!$A:$A,product!C:C)</f>
        <v>Fruits secs</v>
      </c>
      <c r="D1451" s="24" t="str">
        <f t="array" ref="D1451">xlookup($A1451,product!$A:$A,product!D:D)</f>
        <v>Fruit sec à coque</v>
      </c>
      <c r="E1451" s="25" t="str">
        <f t="shared" si="1"/>
        <v>10522-Fruits secs-Fruit sec à coque</v>
      </c>
      <c r="F1451" s="25">
        <v>1.0</v>
      </c>
      <c r="G1451" s="25">
        <v>617.0</v>
      </c>
      <c r="H1451" s="25">
        <v>181.0</v>
      </c>
      <c r="I1451" s="26">
        <f t="array" ref="I1451">XLOOKUP($A1451,product!A:A,product!E:E)</f>
        <v>4.04</v>
      </c>
      <c r="J1451" s="25">
        <f t="shared" si="2"/>
        <v>731.24</v>
      </c>
      <c r="K1451" s="27">
        <f t="shared" si="3"/>
        <v>1</v>
      </c>
      <c r="L1451" s="25">
        <f t="shared" si="4"/>
        <v>1</v>
      </c>
    </row>
    <row r="1452">
      <c r="A1452" s="19">
        <v>78467.0</v>
      </c>
      <c r="B1452" s="20" t="str">
        <f t="array" ref="B1452">xlookup($A1452,product!$A:$A,product!B:B)</f>
        <v>Epicerie sucrée</v>
      </c>
      <c r="C1452" s="20" t="str">
        <f t="array" ref="C1452">xlookup($A1452,product!$A:$A,product!C:C)</f>
        <v>Fruits secs</v>
      </c>
      <c r="D1452" s="20" t="str">
        <f t="array" ref="D1452">xlookup($A1452,product!$A:$A,product!D:D)</f>
        <v>Fruit sec à coque</v>
      </c>
      <c r="E1452" s="4" t="str">
        <f t="shared" si="1"/>
        <v>78467-Fruits secs-Fruit sec à coque</v>
      </c>
      <c r="F1452" s="4">
        <v>1.0</v>
      </c>
      <c r="G1452" s="4">
        <v>563.0</v>
      </c>
      <c r="H1452" s="4">
        <v>275.0</v>
      </c>
      <c r="I1452" s="21">
        <f t="array" ref="I1452">XLOOKUP($A1452,product!A:A,product!E:E)</f>
        <v>2.21</v>
      </c>
      <c r="J1452" s="4">
        <f t="shared" si="2"/>
        <v>607.75</v>
      </c>
      <c r="K1452" s="22">
        <f t="shared" si="3"/>
        <v>1</v>
      </c>
      <c r="L1452" s="4">
        <f t="shared" si="4"/>
        <v>1</v>
      </c>
    </row>
    <row r="1453">
      <c r="A1453" s="23">
        <v>84367.0</v>
      </c>
      <c r="B1453" s="24" t="str">
        <f t="array" ref="B1453">xlookup($A1453,product!$A:$A,product!B:B)</f>
        <v>Epicerie sucrée</v>
      </c>
      <c r="C1453" s="24" t="str">
        <f t="array" ref="C1453">xlookup($A1453,product!$A:$A,product!C:C)</f>
        <v>Fruits secs</v>
      </c>
      <c r="D1453" s="24" t="str">
        <f t="array" ref="D1453">xlookup($A1453,product!$A:$A,product!D:D)</f>
        <v>Fruit sec à coque</v>
      </c>
      <c r="E1453" s="25" t="str">
        <f t="shared" si="1"/>
        <v>84367-Fruits secs-Fruit sec à coque</v>
      </c>
      <c r="F1453" s="25">
        <v>1.0</v>
      </c>
      <c r="G1453" s="25">
        <v>842.0</v>
      </c>
      <c r="H1453" s="25">
        <v>537.0</v>
      </c>
      <c r="I1453" s="26">
        <f t="array" ref="I1453">XLOOKUP($A1453,product!A:A,product!E:E)</f>
        <v>3.02</v>
      </c>
      <c r="J1453" s="25">
        <f t="shared" si="2"/>
        <v>1621.74</v>
      </c>
      <c r="K1453" s="27">
        <f t="shared" si="3"/>
        <v>1</v>
      </c>
      <c r="L1453" s="25">
        <f t="shared" si="4"/>
        <v>1</v>
      </c>
    </row>
    <row r="1454">
      <c r="A1454" s="19">
        <v>87402.0</v>
      </c>
      <c r="B1454" s="20" t="str">
        <f t="array" ref="B1454">xlookup($A1454,product!$A:$A,product!B:B)</f>
        <v>Epicerie sucrée</v>
      </c>
      <c r="C1454" s="20" t="str">
        <f t="array" ref="C1454">xlookup($A1454,product!$A:$A,product!C:C)</f>
        <v>Fruits secs</v>
      </c>
      <c r="D1454" s="20" t="str">
        <f t="array" ref="D1454">xlookup($A1454,product!$A:$A,product!D:D)</f>
        <v>Fruit sec en poudre</v>
      </c>
      <c r="E1454" s="4" t="str">
        <f t="shared" si="1"/>
        <v>87402-Fruits secs-Fruit sec en poudre</v>
      </c>
      <c r="F1454" s="4">
        <v>0.0</v>
      </c>
      <c r="G1454" s="4">
        <v>160.0</v>
      </c>
      <c r="H1454" s="4">
        <v>86.0</v>
      </c>
      <c r="I1454" s="21">
        <f t="array" ref="I1454">XLOOKUP($A1454,product!A:A,product!E:E)</f>
        <v>1.05</v>
      </c>
      <c r="J1454" s="4">
        <f t="shared" si="2"/>
        <v>90.3</v>
      </c>
      <c r="K1454" s="22">
        <f t="shared" si="3"/>
        <v>1</v>
      </c>
      <c r="L1454" s="4">
        <f t="shared" si="4"/>
        <v>1</v>
      </c>
    </row>
    <row r="1455">
      <c r="A1455" s="23">
        <v>44707.0</v>
      </c>
      <c r="B1455" s="24" t="str">
        <f t="array" ref="B1455">xlookup($A1455,product!$A:$A,product!B:B)</f>
        <v>Epicerie sucrée</v>
      </c>
      <c r="C1455" s="24" t="str">
        <f t="array" ref="C1455">xlookup($A1455,product!$A:$A,product!C:C)</f>
        <v>Fruits secs</v>
      </c>
      <c r="D1455" s="24" t="str">
        <f t="array" ref="D1455">xlookup($A1455,product!$A:$A,product!D:D)</f>
        <v>Fruit sec en poudre</v>
      </c>
      <c r="E1455" s="25" t="str">
        <f t="shared" si="1"/>
        <v>44707-Fruits secs-Fruit sec en poudre</v>
      </c>
      <c r="F1455" s="25">
        <v>0.0</v>
      </c>
      <c r="G1455" s="25">
        <v>806.0</v>
      </c>
      <c r="H1455" s="25">
        <v>175.0</v>
      </c>
      <c r="I1455" s="26">
        <f t="array" ref="I1455">XLOOKUP($A1455,product!A:A,product!E:E)</f>
        <v>1.93</v>
      </c>
      <c r="J1455" s="25">
        <f t="shared" si="2"/>
        <v>337.75</v>
      </c>
      <c r="K1455" s="27">
        <f t="shared" si="3"/>
        <v>1</v>
      </c>
      <c r="L1455" s="25">
        <f t="shared" si="4"/>
        <v>1</v>
      </c>
    </row>
    <row r="1456">
      <c r="A1456" s="19">
        <v>78400.0</v>
      </c>
      <c r="B1456" s="20" t="str">
        <f t="array" ref="B1456">xlookup($A1456,product!$A:$A,product!B:B)</f>
        <v>Epicerie sucrée</v>
      </c>
      <c r="C1456" s="20" t="str">
        <f t="array" ref="C1456">xlookup($A1456,product!$A:$A,product!C:C)</f>
        <v>Fruits secs</v>
      </c>
      <c r="D1456" s="20" t="str">
        <f t="array" ref="D1456">xlookup($A1456,product!$A:$A,product!D:D)</f>
        <v>Fruit sec en poudre</v>
      </c>
      <c r="E1456" s="4" t="str">
        <f t="shared" si="1"/>
        <v>78400-Fruits secs-Fruit sec en poudre</v>
      </c>
      <c r="F1456" s="4">
        <v>1.0</v>
      </c>
      <c r="G1456" s="4">
        <v>767.0</v>
      </c>
      <c r="H1456" s="4">
        <v>455.0</v>
      </c>
      <c r="I1456" s="21">
        <f t="array" ref="I1456">XLOOKUP($A1456,product!A:A,product!E:E)</f>
        <v>2.07</v>
      </c>
      <c r="J1456" s="4">
        <f t="shared" si="2"/>
        <v>941.85</v>
      </c>
      <c r="K1456" s="22">
        <f t="shared" si="3"/>
        <v>1</v>
      </c>
      <c r="L1456" s="4">
        <f t="shared" si="4"/>
        <v>1</v>
      </c>
    </row>
    <row r="1457">
      <c r="A1457" s="23">
        <v>102188.0</v>
      </c>
      <c r="B1457" s="24" t="str">
        <f t="array" ref="B1457">xlookup($A1457,product!$A:$A,product!B:B)</f>
        <v>Epicerie sucrée</v>
      </c>
      <c r="C1457" s="24" t="str">
        <f t="array" ref="C1457">xlookup($A1457,product!$A:$A,product!C:C)</f>
        <v>Fruits secs</v>
      </c>
      <c r="D1457" s="24" t="str">
        <f t="array" ref="D1457">xlookup($A1457,product!$A:$A,product!D:D)</f>
        <v>Fruit sec en poudre</v>
      </c>
      <c r="E1457" s="25" t="str">
        <f t="shared" si="1"/>
        <v>102188-Fruits secs-Fruit sec en poudre</v>
      </c>
      <c r="F1457" s="25">
        <v>1.0</v>
      </c>
      <c r="G1457" s="25">
        <v>143.0</v>
      </c>
      <c r="H1457" s="25">
        <v>49.0</v>
      </c>
      <c r="I1457" s="26">
        <f t="array" ref="I1457">XLOOKUP($A1457,product!A:A,product!E:E)</f>
        <v>1.98</v>
      </c>
      <c r="J1457" s="25">
        <f t="shared" si="2"/>
        <v>97.02</v>
      </c>
      <c r="K1457" s="27">
        <f t="shared" si="3"/>
        <v>1</v>
      </c>
      <c r="L1457" s="25">
        <f t="shared" si="4"/>
        <v>1</v>
      </c>
    </row>
    <row r="1458">
      <c r="A1458" s="19">
        <v>73173.0</v>
      </c>
      <c r="B1458" s="20" t="str">
        <f t="array" ref="B1458">xlookup($A1458,product!$A:$A,product!B:B)</f>
        <v>Epicerie sucrée</v>
      </c>
      <c r="C1458" s="20" t="str">
        <f t="array" ref="C1458">xlookup($A1458,product!$A:$A,product!C:C)</f>
        <v>Fruits secs</v>
      </c>
      <c r="D1458" s="20" t="str">
        <f t="array" ref="D1458">xlookup($A1458,product!$A:$A,product!D:D)</f>
        <v>Fruit sec en poudre</v>
      </c>
      <c r="E1458" s="4" t="str">
        <f t="shared" si="1"/>
        <v>73173-Fruits secs-Fruit sec en poudre</v>
      </c>
      <c r="F1458" s="4">
        <v>1.0</v>
      </c>
      <c r="G1458" s="4">
        <v>693.0</v>
      </c>
      <c r="H1458" s="4">
        <v>9.0</v>
      </c>
      <c r="I1458" s="21">
        <f t="array" ref="I1458">XLOOKUP($A1458,product!A:A,product!E:E)</f>
        <v>3.46</v>
      </c>
      <c r="J1458" s="4">
        <f t="shared" si="2"/>
        <v>31.14</v>
      </c>
      <c r="K1458" s="22">
        <f t="shared" si="3"/>
        <v>1</v>
      </c>
      <c r="L1458" s="4">
        <f t="shared" si="4"/>
        <v>1</v>
      </c>
    </row>
    <row r="1459">
      <c r="A1459" s="23">
        <v>76661.0</v>
      </c>
      <c r="B1459" s="24" t="str">
        <f t="array" ref="B1459">xlookup($A1459,product!$A:$A,product!B:B)</f>
        <v>Epicerie sucrée</v>
      </c>
      <c r="C1459" s="24" t="str">
        <f t="array" ref="C1459">xlookup($A1459,product!$A:$A,product!C:C)</f>
        <v>Fruits secs</v>
      </c>
      <c r="D1459" s="24" t="str">
        <f t="array" ref="D1459">xlookup($A1459,product!$A:$A,product!D:D)</f>
        <v>Fruit sec en poudre</v>
      </c>
      <c r="E1459" s="25" t="str">
        <f t="shared" si="1"/>
        <v>76661-Fruits secs-Fruit sec en poudre</v>
      </c>
      <c r="F1459" s="25">
        <v>0.0</v>
      </c>
      <c r="G1459" s="25">
        <v>309.0</v>
      </c>
      <c r="H1459" s="25">
        <v>68.0</v>
      </c>
      <c r="I1459" s="26">
        <f t="array" ref="I1459">XLOOKUP($A1459,product!A:A,product!E:E)</f>
        <v>1.45</v>
      </c>
      <c r="J1459" s="25">
        <f t="shared" si="2"/>
        <v>98.6</v>
      </c>
      <c r="K1459" s="27">
        <f t="shared" si="3"/>
        <v>1</v>
      </c>
      <c r="L1459" s="25">
        <f t="shared" si="4"/>
        <v>1</v>
      </c>
    </row>
    <row r="1460">
      <c r="A1460" s="19">
        <v>78479.0</v>
      </c>
      <c r="B1460" s="20" t="str">
        <f t="array" ref="B1460">xlookup($A1460,product!$A:$A,product!B:B)</f>
        <v>Epicerie sucrée</v>
      </c>
      <c r="C1460" s="20" t="str">
        <f t="array" ref="C1460">xlookup($A1460,product!$A:$A,product!C:C)</f>
        <v>Fruits secs</v>
      </c>
      <c r="D1460" s="20" t="str">
        <f t="array" ref="D1460">xlookup($A1460,product!$A:$A,product!D:D)</f>
        <v>Fruit sec en poudre</v>
      </c>
      <c r="E1460" s="4" t="str">
        <f t="shared" si="1"/>
        <v>78479-Fruits secs-Fruit sec en poudre</v>
      </c>
      <c r="F1460" s="4">
        <v>0.0</v>
      </c>
      <c r="G1460" s="4">
        <v>369.0</v>
      </c>
      <c r="H1460" s="4">
        <v>268.0</v>
      </c>
      <c r="I1460" s="21">
        <f t="array" ref="I1460">XLOOKUP($A1460,product!A:A,product!E:E)</f>
        <v>0.94</v>
      </c>
      <c r="J1460" s="4">
        <f t="shared" si="2"/>
        <v>251.92</v>
      </c>
      <c r="K1460" s="22">
        <f t="shared" si="3"/>
        <v>1</v>
      </c>
      <c r="L1460" s="4">
        <f t="shared" si="4"/>
        <v>1</v>
      </c>
    </row>
    <row r="1461">
      <c r="A1461" s="23">
        <v>103401.0</v>
      </c>
      <c r="B1461" s="24" t="str">
        <f t="array" ref="B1461">xlookup($A1461,product!$A:$A,product!B:B)</f>
        <v>Epicerie sucrée</v>
      </c>
      <c r="C1461" s="24" t="str">
        <f t="array" ref="C1461">xlookup($A1461,product!$A:$A,product!C:C)</f>
        <v>Fruits secs</v>
      </c>
      <c r="D1461" s="24" t="str">
        <f t="array" ref="D1461">xlookup($A1461,product!$A:$A,product!D:D)</f>
        <v>Fruit sec en poudre</v>
      </c>
      <c r="E1461" s="25" t="str">
        <f t="shared" si="1"/>
        <v>103401-Fruits secs-Fruit sec en poudre</v>
      </c>
      <c r="F1461" s="25">
        <v>0.0</v>
      </c>
      <c r="G1461" s="25">
        <v>321.0</v>
      </c>
      <c r="H1461" s="25">
        <v>60.0</v>
      </c>
      <c r="I1461" s="26">
        <f t="array" ref="I1461">XLOOKUP($A1461,product!A:A,product!E:E)</f>
        <v>5.35</v>
      </c>
      <c r="J1461" s="25">
        <f t="shared" si="2"/>
        <v>321</v>
      </c>
      <c r="K1461" s="27">
        <f t="shared" si="3"/>
        <v>1</v>
      </c>
      <c r="L1461" s="25">
        <f t="shared" si="4"/>
        <v>1</v>
      </c>
    </row>
    <row r="1462">
      <c r="A1462" s="19">
        <v>83340.0</v>
      </c>
      <c r="B1462" s="20" t="str">
        <f t="array" ref="B1462">xlookup($A1462,product!$A:$A,product!B:B)</f>
        <v>Epicerie sucrée</v>
      </c>
      <c r="C1462" s="20" t="str">
        <f t="array" ref="C1462">xlookup($A1462,product!$A:$A,product!C:C)</f>
        <v>Fruits secs</v>
      </c>
      <c r="D1462" s="20" t="str">
        <f t="array" ref="D1462">xlookup($A1462,product!$A:$A,product!D:D)</f>
        <v>Fruit sec en poudre</v>
      </c>
      <c r="E1462" s="4" t="str">
        <f t="shared" si="1"/>
        <v>83340-Fruits secs-Fruit sec en poudre</v>
      </c>
      <c r="F1462" s="4">
        <v>0.0</v>
      </c>
      <c r="G1462" s="4">
        <v>669.0</v>
      </c>
      <c r="H1462" s="4">
        <v>296.0</v>
      </c>
      <c r="I1462" s="21">
        <f t="array" ref="I1462">XLOOKUP($A1462,product!A:A,product!E:E)</f>
        <v>3.41</v>
      </c>
      <c r="J1462" s="4">
        <f t="shared" si="2"/>
        <v>1009.36</v>
      </c>
      <c r="K1462" s="22">
        <f t="shared" si="3"/>
        <v>1</v>
      </c>
      <c r="L1462" s="4">
        <f t="shared" si="4"/>
        <v>1</v>
      </c>
    </row>
    <row r="1463">
      <c r="A1463" s="23">
        <v>44725.0</v>
      </c>
      <c r="B1463" s="24" t="str">
        <f t="array" ref="B1463">xlookup($A1463,product!$A:$A,product!B:B)</f>
        <v>Epicerie sucrée</v>
      </c>
      <c r="C1463" s="24" t="str">
        <f t="array" ref="C1463">xlookup($A1463,product!$A:$A,product!C:C)</f>
        <v>Fruits secs</v>
      </c>
      <c r="D1463" s="24" t="str">
        <f t="array" ref="D1463">xlookup($A1463,product!$A:$A,product!D:D)</f>
        <v>Fruit sec en poudre</v>
      </c>
      <c r="E1463" s="25" t="str">
        <f t="shared" si="1"/>
        <v>44725-Fruits secs-Fruit sec en poudre</v>
      </c>
      <c r="F1463" s="25">
        <v>0.0</v>
      </c>
      <c r="G1463" s="25">
        <v>531.0</v>
      </c>
      <c r="H1463" s="25">
        <v>125.0</v>
      </c>
      <c r="I1463" s="26">
        <f t="array" ref="I1463">XLOOKUP($A1463,product!A:A,product!E:E)</f>
        <v>0.69</v>
      </c>
      <c r="J1463" s="25">
        <f t="shared" si="2"/>
        <v>86.25</v>
      </c>
      <c r="K1463" s="27">
        <f t="shared" si="3"/>
        <v>1</v>
      </c>
      <c r="L1463" s="25">
        <f t="shared" si="4"/>
        <v>1</v>
      </c>
    </row>
    <row r="1464">
      <c r="A1464" s="19">
        <v>109311.0</v>
      </c>
      <c r="B1464" s="20" t="str">
        <f t="array" ref="B1464">xlookup($A1464,product!$A:$A,product!B:B)</f>
        <v>Epicerie sucrée</v>
      </c>
      <c r="C1464" s="20" t="str">
        <f t="array" ref="C1464">xlookup($A1464,product!$A:$A,product!C:C)</f>
        <v>Fruits secs</v>
      </c>
      <c r="D1464" s="20" t="str">
        <f t="array" ref="D1464">xlookup($A1464,product!$A:$A,product!D:D)</f>
        <v>Fruit sec en poudre</v>
      </c>
      <c r="E1464" s="4" t="str">
        <f t="shared" si="1"/>
        <v>109311-Fruits secs-Fruit sec en poudre</v>
      </c>
      <c r="F1464" s="4">
        <v>1.0</v>
      </c>
      <c r="G1464" s="4">
        <v>221.0</v>
      </c>
      <c r="H1464" s="4">
        <v>215.0</v>
      </c>
      <c r="I1464" s="21">
        <f t="array" ref="I1464">XLOOKUP($A1464,product!A:A,product!E:E)</f>
        <v>6.49</v>
      </c>
      <c r="J1464" s="4">
        <f t="shared" si="2"/>
        <v>1395.35</v>
      </c>
      <c r="K1464" s="22">
        <f t="shared" si="3"/>
        <v>1</v>
      </c>
      <c r="L1464" s="4">
        <f t="shared" si="4"/>
        <v>1</v>
      </c>
    </row>
    <row r="1465">
      <c r="A1465" s="23">
        <v>133901.0</v>
      </c>
      <c r="B1465" s="24" t="str">
        <f t="array" ref="B1465">xlookup($A1465,product!$A:$A,product!B:B)</f>
        <v>Beauté &amp; Hygiène</v>
      </c>
      <c r="C1465" s="24" t="str">
        <f t="array" ref="C1465">xlookup($A1465,product!$A:$A,product!C:C)</f>
        <v>Soins Homme</v>
      </c>
      <c r="D1465" s="24" t="str">
        <f t="array" ref="D1465">xlookup($A1465,product!$A:$A,product!D:D)</f>
        <v>Douche</v>
      </c>
      <c r="E1465" s="25" t="str">
        <f t="shared" si="1"/>
        <v>133901-Soins Homme-Douche</v>
      </c>
      <c r="F1465" s="25">
        <v>1.0</v>
      </c>
      <c r="G1465" s="25">
        <v>227.0</v>
      </c>
      <c r="H1465" s="25">
        <v>212.0</v>
      </c>
      <c r="I1465" s="26">
        <f t="array" ref="I1465">XLOOKUP($A1465,product!A:A,product!E:E)</f>
        <v>4</v>
      </c>
      <c r="J1465" s="25">
        <f t="shared" si="2"/>
        <v>848</v>
      </c>
      <c r="K1465" s="27">
        <f t="shared" si="3"/>
        <v>1</v>
      </c>
      <c r="L1465" s="25">
        <f t="shared" si="4"/>
        <v>1</v>
      </c>
    </row>
    <row r="1466">
      <c r="A1466" s="19">
        <v>92678.0</v>
      </c>
      <c r="B1466" s="20" t="str">
        <f t="array" ref="B1466">xlookup($A1466,product!$A:$A,product!B:B)</f>
        <v>Beauté &amp; Hygiène</v>
      </c>
      <c r="C1466" s="20" t="str">
        <f t="array" ref="C1466">xlookup($A1466,product!$A:$A,product!C:C)</f>
        <v>Soins Homme</v>
      </c>
      <c r="D1466" s="20" t="str">
        <f t="array" ref="D1466">xlookup($A1466,product!$A:$A,product!D:D)</f>
        <v>Douche</v>
      </c>
      <c r="E1466" s="4" t="str">
        <f t="shared" si="1"/>
        <v>92678-Soins Homme-Douche</v>
      </c>
      <c r="F1466" s="4">
        <v>1.0</v>
      </c>
      <c r="G1466" s="4">
        <v>155.0</v>
      </c>
      <c r="H1466" s="4">
        <v>96.0</v>
      </c>
      <c r="I1466" s="21">
        <f t="array" ref="I1466">XLOOKUP($A1466,product!A:A,product!E:E)</f>
        <v>2.67</v>
      </c>
      <c r="J1466" s="4">
        <f t="shared" si="2"/>
        <v>256.32</v>
      </c>
      <c r="K1466" s="22">
        <f t="shared" si="3"/>
        <v>1</v>
      </c>
      <c r="L1466" s="4">
        <f t="shared" si="4"/>
        <v>1</v>
      </c>
    </row>
    <row r="1467">
      <c r="A1467" s="23">
        <v>82447.0</v>
      </c>
      <c r="B1467" s="24" t="str">
        <f t="array" ref="B1467">xlookup($A1467,product!$A:$A,product!B:B)</f>
        <v>Beauté &amp; Hygiène</v>
      </c>
      <c r="C1467" s="24" t="str">
        <f t="array" ref="C1467">xlookup($A1467,product!$A:$A,product!C:C)</f>
        <v>Soins Homme</v>
      </c>
      <c r="D1467" s="24" t="str">
        <f t="array" ref="D1467">xlookup($A1467,product!$A:$A,product!D:D)</f>
        <v>Soins pour le rasage</v>
      </c>
      <c r="E1467" s="25" t="str">
        <f t="shared" si="1"/>
        <v>82447-Soins Homme-Soins pour le rasage</v>
      </c>
      <c r="F1467" s="25">
        <v>0.0</v>
      </c>
      <c r="G1467" s="25">
        <v>38.0</v>
      </c>
      <c r="H1467" s="25">
        <v>18.0</v>
      </c>
      <c r="I1467" s="26">
        <f t="array" ref="I1467">XLOOKUP($A1467,product!A:A,product!E:E)</f>
        <v>3.26</v>
      </c>
      <c r="J1467" s="25">
        <f t="shared" si="2"/>
        <v>58.68</v>
      </c>
      <c r="K1467" s="27">
        <f t="shared" si="3"/>
        <v>1</v>
      </c>
      <c r="L1467" s="25">
        <f t="shared" si="4"/>
        <v>1</v>
      </c>
    </row>
    <row r="1468">
      <c r="A1468" s="19">
        <v>110126.0</v>
      </c>
      <c r="B1468" s="20" t="str">
        <f t="array" ref="B1468">xlookup($A1468,product!$A:$A,product!B:B)</f>
        <v>Beauté &amp; Hygiène</v>
      </c>
      <c r="C1468" s="20" t="str">
        <f t="array" ref="C1468">xlookup($A1468,product!$A:$A,product!C:C)</f>
        <v>Soins Homme</v>
      </c>
      <c r="D1468" s="20" t="str">
        <f t="array" ref="D1468">xlookup($A1468,product!$A:$A,product!D:D)</f>
        <v>Soins pour le rasage</v>
      </c>
      <c r="E1468" s="4" t="str">
        <f t="shared" si="1"/>
        <v>110126-Soins Homme-Soins pour le rasage</v>
      </c>
      <c r="F1468" s="4">
        <v>1.0</v>
      </c>
      <c r="G1468" s="4">
        <v>751.0</v>
      </c>
      <c r="H1468" s="4">
        <v>483.0</v>
      </c>
      <c r="I1468" s="21">
        <f t="array" ref="I1468">XLOOKUP($A1468,product!A:A,product!E:E)</f>
        <v>4.36</v>
      </c>
      <c r="J1468" s="4">
        <f t="shared" si="2"/>
        <v>2105.88</v>
      </c>
      <c r="K1468" s="22">
        <f t="shared" si="3"/>
        <v>1</v>
      </c>
      <c r="L1468" s="4">
        <f t="shared" si="4"/>
        <v>1</v>
      </c>
    </row>
    <row r="1469">
      <c r="A1469" s="23">
        <v>3219.0</v>
      </c>
      <c r="B1469" s="24" t="str">
        <f t="array" ref="B1469">xlookup($A1469,product!$A:$A,product!B:B)</f>
        <v>Beauté &amp; Hygiène</v>
      </c>
      <c r="C1469" s="24" t="str">
        <f t="array" ref="C1469">xlookup($A1469,product!$A:$A,product!C:C)</f>
        <v>Soins Homme</v>
      </c>
      <c r="D1469" s="24" t="str">
        <f t="array" ref="D1469">xlookup($A1469,product!$A:$A,product!D:D)</f>
        <v>Soins pour le rasage</v>
      </c>
      <c r="E1469" s="25" t="str">
        <f t="shared" si="1"/>
        <v>3219-Soins Homme-Soins pour le rasage</v>
      </c>
      <c r="F1469" s="25">
        <v>0.0</v>
      </c>
      <c r="G1469" s="25">
        <v>853.0</v>
      </c>
      <c r="H1469" s="25">
        <v>337.0</v>
      </c>
      <c r="I1469" s="26">
        <f t="array" ref="I1469">XLOOKUP($A1469,product!A:A,product!E:E)</f>
        <v>6.95</v>
      </c>
      <c r="J1469" s="25">
        <f t="shared" si="2"/>
        <v>2342.15</v>
      </c>
      <c r="K1469" s="27">
        <f t="shared" si="3"/>
        <v>1</v>
      </c>
      <c r="L1469" s="25">
        <f t="shared" si="4"/>
        <v>1</v>
      </c>
    </row>
    <row r="1470">
      <c r="A1470" s="19">
        <v>127007.0</v>
      </c>
      <c r="B1470" s="20" t="str">
        <f t="array" ref="B1470">xlookup($A1470,product!$A:$A,product!B:B)</f>
        <v>Beauté &amp; Hygiène</v>
      </c>
      <c r="C1470" s="20" t="str">
        <f t="array" ref="C1470">xlookup($A1470,product!$A:$A,product!C:C)</f>
        <v>Soins Homme</v>
      </c>
      <c r="D1470" s="20" t="str">
        <f t="array" ref="D1470">xlookup($A1470,product!$A:$A,product!D:D)</f>
        <v>Soins pour le rasage</v>
      </c>
      <c r="E1470" s="4" t="str">
        <f t="shared" si="1"/>
        <v>127007-Soins Homme-Soins pour le rasage</v>
      </c>
      <c r="F1470" s="4">
        <v>0.0</v>
      </c>
      <c r="G1470" s="4">
        <v>447.0</v>
      </c>
      <c r="H1470" s="4">
        <v>435.0</v>
      </c>
      <c r="I1470" s="21">
        <f t="array" ref="I1470">XLOOKUP($A1470,product!A:A,product!E:E)</f>
        <v>3.45</v>
      </c>
      <c r="J1470" s="4">
        <f t="shared" si="2"/>
        <v>1500.75</v>
      </c>
      <c r="K1470" s="22">
        <f t="shared" si="3"/>
        <v>1</v>
      </c>
      <c r="L1470" s="4">
        <f t="shared" si="4"/>
        <v>1</v>
      </c>
    </row>
    <row r="1471">
      <c r="A1471" s="23">
        <v>102277.0</v>
      </c>
      <c r="B1471" s="24" t="str">
        <f t="array" ref="B1471">xlookup($A1471,product!$A:$A,product!B:B)</f>
        <v>Beauté &amp; Hygiène</v>
      </c>
      <c r="C1471" s="24" t="str">
        <f t="array" ref="C1471">xlookup($A1471,product!$A:$A,product!C:C)</f>
        <v>Soins Homme</v>
      </c>
      <c r="D1471" s="24" t="str">
        <f t="array" ref="D1471">xlookup($A1471,product!$A:$A,product!D:D)</f>
        <v>Soins du visage homme</v>
      </c>
      <c r="E1471" s="25" t="str">
        <f t="shared" si="1"/>
        <v>102277-Soins Homme-Soins du visage homme</v>
      </c>
      <c r="F1471" s="25">
        <v>1.0</v>
      </c>
      <c r="G1471" s="25">
        <v>283.0</v>
      </c>
      <c r="H1471" s="25">
        <v>32.0</v>
      </c>
      <c r="I1471" s="26">
        <f t="array" ref="I1471">XLOOKUP($A1471,product!A:A,product!E:E)</f>
        <v>8.33</v>
      </c>
      <c r="J1471" s="25">
        <f t="shared" si="2"/>
        <v>266.56</v>
      </c>
      <c r="K1471" s="27">
        <f t="shared" si="3"/>
        <v>1</v>
      </c>
      <c r="L1471" s="25">
        <f t="shared" si="4"/>
        <v>1</v>
      </c>
    </row>
    <row r="1472">
      <c r="A1472" s="19">
        <v>122544.0</v>
      </c>
      <c r="B1472" s="20" t="str">
        <f t="array" ref="B1472">xlookup($A1472,product!$A:$A,product!B:B)</f>
        <v>Beauté &amp; Hygiène</v>
      </c>
      <c r="C1472" s="20" t="str">
        <f t="array" ref="C1472">xlookup($A1472,product!$A:$A,product!C:C)</f>
        <v>Soins Homme</v>
      </c>
      <c r="D1472" s="20" t="str">
        <f t="array" ref="D1472">xlookup($A1472,product!$A:$A,product!D:D)</f>
        <v>Soins du visage homme</v>
      </c>
      <c r="E1472" s="4" t="str">
        <f t="shared" si="1"/>
        <v>122544-Soins Homme-Soins du visage homme</v>
      </c>
      <c r="F1472" s="4">
        <v>1.0</v>
      </c>
      <c r="G1472" s="4">
        <v>240.0</v>
      </c>
      <c r="H1472" s="4">
        <v>130.0</v>
      </c>
      <c r="I1472" s="21">
        <f t="array" ref="I1472">XLOOKUP($A1472,product!A:A,product!E:E)</f>
        <v>7.9</v>
      </c>
      <c r="J1472" s="4">
        <f t="shared" si="2"/>
        <v>1027</v>
      </c>
      <c r="K1472" s="22">
        <f t="shared" si="3"/>
        <v>1</v>
      </c>
      <c r="L1472" s="4">
        <f t="shared" si="4"/>
        <v>1</v>
      </c>
    </row>
    <row r="1473">
      <c r="A1473" s="23">
        <v>91486.0</v>
      </c>
      <c r="B1473" s="24" t="str">
        <f t="array" ref="B1473">xlookup($A1473,product!$A:$A,product!B:B)</f>
        <v>Beauté &amp; Hygiène</v>
      </c>
      <c r="C1473" s="24" t="str">
        <f t="array" ref="C1473">xlookup($A1473,product!$A:$A,product!C:C)</f>
        <v>Soins Homme</v>
      </c>
      <c r="D1473" s="24" t="str">
        <f t="array" ref="D1473">xlookup($A1473,product!$A:$A,product!D:D)</f>
        <v>Soins du visage homme</v>
      </c>
      <c r="E1473" s="25" t="str">
        <f t="shared" si="1"/>
        <v>91486-Soins Homme-Soins du visage homme</v>
      </c>
      <c r="F1473" s="25">
        <v>0.0</v>
      </c>
      <c r="G1473" s="25">
        <v>635.0</v>
      </c>
      <c r="H1473" s="25">
        <v>615.0</v>
      </c>
      <c r="I1473" s="26">
        <f t="array" ref="I1473">XLOOKUP($A1473,product!A:A,product!E:E)</f>
        <v>6.49</v>
      </c>
      <c r="J1473" s="25">
        <f t="shared" si="2"/>
        <v>3991.35</v>
      </c>
      <c r="K1473" s="27">
        <f t="shared" si="3"/>
        <v>1</v>
      </c>
      <c r="L1473" s="25">
        <f t="shared" si="4"/>
        <v>1</v>
      </c>
    </row>
    <row r="1474">
      <c r="A1474" s="19">
        <v>28009.0</v>
      </c>
      <c r="B1474" s="20" t="str">
        <f t="array" ref="B1474">xlookup($A1474,product!$A:$A,product!B:B)</f>
        <v>Beauté &amp; Hygiène</v>
      </c>
      <c r="C1474" s="20" t="str">
        <f t="array" ref="C1474">xlookup($A1474,product!$A:$A,product!C:C)</f>
        <v>Soins Homme</v>
      </c>
      <c r="D1474" s="20" t="str">
        <f t="array" ref="D1474">xlookup($A1474,product!$A:$A,product!D:D)</f>
        <v>Soins du visage homme</v>
      </c>
      <c r="E1474" s="4" t="str">
        <f t="shared" si="1"/>
        <v>28009-Soins Homme-Soins du visage homme</v>
      </c>
      <c r="F1474" s="4">
        <v>0.0</v>
      </c>
      <c r="G1474" s="4">
        <v>951.0</v>
      </c>
      <c r="H1474" s="4">
        <v>895.0</v>
      </c>
      <c r="I1474" s="21">
        <f t="array" ref="I1474">XLOOKUP($A1474,product!A:A,product!E:E)</f>
        <v>8.2</v>
      </c>
      <c r="J1474" s="4">
        <f t="shared" si="2"/>
        <v>7339</v>
      </c>
      <c r="K1474" s="22">
        <f t="shared" si="3"/>
        <v>1</v>
      </c>
      <c r="L1474" s="4">
        <f t="shared" si="4"/>
        <v>1</v>
      </c>
    </row>
    <row r="1475">
      <c r="A1475" s="23">
        <v>110814.0</v>
      </c>
      <c r="B1475" s="24" t="str">
        <f t="array" ref="B1475">xlookup($A1475,product!$A:$A,product!B:B)</f>
        <v>Beauté &amp; Hygiène</v>
      </c>
      <c r="C1475" s="24" t="str">
        <f t="array" ref="C1475">xlookup($A1475,product!$A:$A,product!C:C)</f>
        <v>Soins Homme</v>
      </c>
      <c r="D1475" s="24" t="str">
        <f t="array" ref="D1475">xlookup($A1475,product!$A:$A,product!D:D)</f>
        <v>Déodorants et eau de toilette</v>
      </c>
      <c r="E1475" s="25" t="str">
        <f t="shared" si="1"/>
        <v>110814-Soins Homme-Déodorants et eau de toilette</v>
      </c>
      <c r="F1475" s="25">
        <v>1.0</v>
      </c>
      <c r="G1475" s="25">
        <v>436.0</v>
      </c>
      <c r="H1475" s="25">
        <v>415.0</v>
      </c>
      <c r="I1475" s="26">
        <f t="array" ref="I1475">XLOOKUP($A1475,product!A:A,product!E:E)</f>
        <v>4.5</v>
      </c>
      <c r="J1475" s="25">
        <f t="shared" si="2"/>
        <v>1867.5</v>
      </c>
      <c r="K1475" s="27">
        <f t="shared" si="3"/>
        <v>1</v>
      </c>
      <c r="L1475" s="25">
        <f t="shared" si="4"/>
        <v>1</v>
      </c>
    </row>
    <row r="1476">
      <c r="A1476" s="19">
        <v>117437.0</v>
      </c>
      <c r="B1476" s="20" t="str">
        <f t="array" ref="B1476">xlookup($A1476,product!$A:$A,product!B:B)</f>
        <v>Beauté &amp; Hygiène</v>
      </c>
      <c r="C1476" s="20" t="str">
        <f t="array" ref="C1476">xlookup($A1476,product!$A:$A,product!C:C)</f>
        <v>Soins Homme</v>
      </c>
      <c r="D1476" s="20" t="str">
        <f t="array" ref="D1476">xlookup($A1476,product!$A:$A,product!D:D)</f>
        <v>Déodorants et eau de toilette</v>
      </c>
      <c r="E1476" s="4" t="str">
        <f t="shared" si="1"/>
        <v>117437-Soins Homme-Déodorants et eau de toilette</v>
      </c>
      <c r="F1476" s="4">
        <v>0.0</v>
      </c>
      <c r="G1476" s="4">
        <v>273.0</v>
      </c>
      <c r="H1476" s="4">
        <v>170.0</v>
      </c>
      <c r="I1476" s="21">
        <f t="array" ref="I1476">XLOOKUP($A1476,product!A:A,product!E:E)</f>
        <v>4.64</v>
      </c>
      <c r="J1476" s="4">
        <f t="shared" si="2"/>
        <v>788.8</v>
      </c>
      <c r="K1476" s="22">
        <f t="shared" si="3"/>
        <v>1</v>
      </c>
      <c r="L1476" s="4">
        <f t="shared" si="4"/>
        <v>1</v>
      </c>
    </row>
    <row r="1477">
      <c r="A1477" s="23">
        <v>23074.0</v>
      </c>
      <c r="B1477" s="24" t="str">
        <f t="array" ref="B1477">xlookup($A1477,product!$A:$A,product!B:B)</f>
        <v>Beauté &amp; Hygiène</v>
      </c>
      <c r="C1477" s="24" t="str">
        <f t="array" ref="C1477">xlookup($A1477,product!$A:$A,product!C:C)</f>
        <v>Soins Homme</v>
      </c>
      <c r="D1477" s="24" t="str">
        <f t="array" ref="D1477">xlookup($A1477,product!$A:$A,product!D:D)</f>
        <v>Déodorants et eau de toilette</v>
      </c>
      <c r="E1477" s="25" t="str">
        <f t="shared" si="1"/>
        <v>23074-Soins Homme-Déodorants et eau de toilette</v>
      </c>
      <c r="F1477" s="25">
        <v>1.0</v>
      </c>
      <c r="G1477" s="25">
        <v>689.0</v>
      </c>
      <c r="H1477" s="25">
        <v>518.0</v>
      </c>
      <c r="I1477" s="26">
        <f t="array" ref="I1477">XLOOKUP($A1477,product!A:A,product!E:E)</f>
        <v>4.94</v>
      </c>
      <c r="J1477" s="25">
        <f t="shared" si="2"/>
        <v>2558.92</v>
      </c>
      <c r="K1477" s="27">
        <f t="shared" si="3"/>
        <v>1</v>
      </c>
      <c r="L1477" s="25">
        <f t="shared" si="4"/>
        <v>1</v>
      </c>
    </row>
    <row r="1478">
      <c r="A1478" s="19">
        <v>8900.0</v>
      </c>
      <c r="B1478" s="20" t="str">
        <f t="array" ref="B1478">xlookup($A1478,product!$A:$A,product!B:B)</f>
        <v>Beauté &amp; Hygiène</v>
      </c>
      <c r="C1478" s="20" t="str">
        <f t="array" ref="C1478">xlookup($A1478,product!$A:$A,product!C:C)</f>
        <v>Soins Homme</v>
      </c>
      <c r="D1478" s="20" t="str">
        <f t="array" ref="D1478">xlookup($A1478,product!$A:$A,product!D:D)</f>
        <v>Déodorants et eau de toilette</v>
      </c>
      <c r="E1478" s="4" t="str">
        <f t="shared" si="1"/>
        <v>8900-Soins Homme-Déodorants et eau de toilette</v>
      </c>
      <c r="F1478" s="4">
        <v>0.0</v>
      </c>
      <c r="G1478" s="4">
        <v>462.0</v>
      </c>
      <c r="H1478" s="4">
        <v>91.0</v>
      </c>
      <c r="I1478" s="21">
        <f t="array" ref="I1478">XLOOKUP($A1478,product!A:A,product!E:E)</f>
        <v>7.17</v>
      </c>
      <c r="J1478" s="4">
        <f t="shared" si="2"/>
        <v>652.47</v>
      </c>
      <c r="K1478" s="22">
        <f t="shared" si="3"/>
        <v>1</v>
      </c>
      <c r="L1478" s="4">
        <f t="shared" si="4"/>
        <v>1</v>
      </c>
    </row>
    <row r="1479">
      <c r="A1479" s="23">
        <v>92676.0</v>
      </c>
      <c r="B1479" s="24" t="str">
        <f t="array" ref="B1479">xlookup($A1479,product!$A:$A,product!B:B)</f>
        <v>Beauté &amp; Hygiène</v>
      </c>
      <c r="C1479" s="24" t="str">
        <f t="array" ref="C1479">xlookup($A1479,product!$A:$A,product!C:C)</f>
        <v>Soins Homme</v>
      </c>
      <c r="D1479" s="24" t="str">
        <f t="array" ref="D1479">xlookup($A1479,product!$A:$A,product!D:D)</f>
        <v>Déodorants et eau de toilette</v>
      </c>
      <c r="E1479" s="25" t="str">
        <f t="shared" si="1"/>
        <v>92676-Soins Homme-Déodorants et eau de toilette</v>
      </c>
      <c r="F1479" s="25">
        <v>1.0</v>
      </c>
      <c r="G1479" s="25">
        <v>757.0</v>
      </c>
      <c r="H1479" s="25">
        <v>214.0</v>
      </c>
      <c r="I1479" s="26">
        <f t="array" ref="I1479">XLOOKUP($A1479,product!A:A,product!E:E)</f>
        <v>2.74</v>
      </c>
      <c r="J1479" s="25">
        <f t="shared" si="2"/>
        <v>586.36</v>
      </c>
      <c r="K1479" s="27">
        <f t="shared" si="3"/>
        <v>1</v>
      </c>
      <c r="L1479" s="25">
        <f t="shared" si="4"/>
        <v>1</v>
      </c>
    </row>
    <row r="1480">
      <c r="A1480" s="19">
        <v>117266.0</v>
      </c>
      <c r="B1480" s="20" t="str">
        <f t="array" ref="B1480">xlookup($A1480,product!$A:$A,product!B:B)</f>
        <v>Beauté &amp; Hygiène</v>
      </c>
      <c r="C1480" s="20" t="str">
        <f t="array" ref="C1480">xlookup($A1480,product!$A:$A,product!C:C)</f>
        <v>Soins Homme</v>
      </c>
      <c r="D1480" s="20" t="str">
        <f t="array" ref="D1480">xlookup($A1480,product!$A:$A,product!D:D)</f>
        <v>Déodorants et eau de toilette</v>
      </c>
      <c r="E1480" s="4" t="str">
        <f t="shared" si="1"/>
        <v>117266-Soins Homme-Déodorants et eau de toilette</v>
      </c>
      <c r="F1480" s="4">
        <v>1.0</v>
      </c>
      <c r="G1480" s="4">
        <v>632.0</v>
      </c>
      <c r="H1480" s="4">
        <v>87.0</v>
      </c>
      <c r="I1480" s="21">
        <f t="array" ref="I1480">XLOOKUP($A1480,product!A:A,product!E:E)</f>
        <v>2.6</v>
      </c>
      <c r="J1480" s="4">
        <f t="shared" si="2"/>
        <v>226.2</v>
      </c>
      <c r="K1480" s="22">
        <f t="shared" si="3"/>
        <v>1</v>
      </c>
      <c r="L1480" s="4">
        <f t="shared" si="4"/>
        <v>1</v>
      </c>
    </row>
    <row r="1481">
      <c r="A1481" s="23">
        <v>14527.0</v>
      </c>
      <c r="B1481" s="24" t="str">
        <f t="array" ref="B1481">xlookup($A1481,product!$A:$A,product!B:B)</f>
        <v>Beauté &amp; Hygiène</v>
      </c>
      <c r="C1481" s="24" t="str">
        <f t="array" ref="C1481">xlookup($A1481,product!$A:$A,product!C:C)</f>
        <v>Soins Homme</v>
      </c>
      <c r="D1481" s="24" t="str">
        <f t="array" ref="D1481">xlookup($A1481,product!$A:$A,product!D:D)</f>
        <v>Déodorants et eau de toilette</v>
      </c>
      <c r="E1481" s="25" t="str">
        <f t="shared" si="1"/>
        <v>14527-Soins Homme-Déodorants et eau de toilette</v>
      </c>
      <c r="F1481" s="25">
        <v>1.0</v>
      </c>
      <c r="G1481" s="25">
        <v>249.0</v>
      </c>
      <c r="H1481" s="25">
        <v>214.0</v>
      </c>
      <c r="I1481" s="26">
        <f t="array" ref="I1481">XLOOKUP($A1481,product!A:A,product!E:E)</f>
        <v>11.35</v>
      </c>
      <c r="J1481" s="25">
        <f t="shared" si="2"/>
        <v>2428.9</v>
      </c>
      <c r="K1481" s="27">
        <f t="shared" si="3"/>
        <v>1</v>
      </c>
      <c r="L1481" s="25">
        <f t="shared" si="4"/>
        <v>1</v>
      </c>
    </row>
    <row r="1482">
      <c r="A1482" s="19">
        <v>27534.0</v>
      </c>
      <c r="B1482" s="20" t="str">
        <f t="array" ref="B1482">xlookup($A1482,product!$A:$A,product!B:B)</f>
        <v>Beauté &amp; Hygiène</v>
      </c>
      <c r="C1482" s="20" t="str">
        <f t="array" ref="C1482">xlookup($A1482,product!$A:$A,product!C:C)</f>
        <v>Soins Homme</v>
      </c>
      <c r="D1482" s="20" t="str">
        <f t="array" ref="D1482">xlookup($A1482,product!$A:$A,product!D:D)</f>
        <v>Déodorants et eau de toilette</v>
      </c>
      <c r="E1482" s="4" t="str">
        <f t="shared" si="1"/>
        <v>27534-Soins Homme-Déodorants et eau de toilette</v>
      </c>
      <c r="F1482" s="4">
        <v>0.0</v>
      </c>
      <c r="G1482" s="4">
        <v>390.0</v>
      </c>
      <c r="H1482" s="4">
        <v>151.0</v>
      </c>
      <c r="I1482" s="21">
        <f t="array" ref="I1482">XLOOKUP($A1482,product!A:A,product!E:E)</f>
        <v>2.68</v>
      </c>
      <c r="J1482" s="4">
        <f t="shared" si="2"/>
        <v>404.68</v>
      </c>
      <c r="K1482" s="22">
        <f t="shared" si="3"/>
        <v>1</v>
      </c>
      <c r="L1482" s="4">
        <f t="shared" si="4"/>
        <v>1</v>
      </c>
    </row>
    <row r="1483">
      <c r="A1483" s="23">
        <v>91636.0</v>
      </c>
      <c r="B1483" s="24" t="str">
        <f t="array" ref="B1483">xlookup($A1483,product!$A:$A,product!B:B)</f>
        <v>Beauté &amp; Hygiène</v>
      </c>
      <c r="C1483" s="24" t="str">
        <f t="array" ref="C1483">xlookup($A1483,product!$A:$A,product!C:C)</f>
        <v>Soins Homme</v>
      </c>
      <c r="D1483" s="24" t="str">
        <f t="array" ref="D1483">xlookup($A1483,product!$A:$A,product!D:D)</f>
        <v>Déodorants et eau de toilette</v>
      </c>
      <c r="E1483" s="25" t="str">
        <f t="shared" si="1"/>
        <v>91636-Soins Homme-Déodorants et eau de toilette</v>
      </c>
      <c r="F1483" s="25">
        <v>1.0</v>
      </c>
      <c r="G1483" s="25">
        <v>865.0</v>
      </c>
      <c r="H1483" s="25">
        <v>67.0</v>
      </c>
      <c r="I1483" s="26">
        <f t="array" ref="I1483">XLOOKUP($A1483,product!A:A,product!E:E)</f>
        <v>4.81</v>
      </c>
      <c r="J1483" s="25">
        <f t="shared" si="2"/>
        <v>322.27</v>
      </c>
      <c r="K1483" s="27">
        <f t="shared" si="3"/>
        <v>1</v>
      </c>
      <c r="L1483" s="25">
        <f t="shared" si="4"/>
        <v>1</v>
      </c>
    </row>
    <row r="1484">
      <c r="A1484" s="19">
        <v>120941.0</v>
      </c>
      <c r="B1484" s="20" t="str">
        <f t="array" ref="B1484">xlookup($A1484,product!$A:$A,product!B:B)</f>
        <v>Beauté &amp; Hygiène</v>
      </c>
      <c r="C1484" s="20" t="str">
        <f t="array" ref="C1484">xlookup($A1484,product!$A:$A,product!C:C)</f>
        <v>Soins Homme</v>
      </c>
      <c r="D1484" s="20" t="str">
        <f t="array" ref="D1484">xlookup($A1484,product!$A:$A,product!D:D)</f>
        <v>Rasoir de sécurité, accessoires</v>
      </c>
      <c r="E1484" s="4" t="str">
        <f t="shared" si="1"/>
        <v>120941-Soins Homme-Rasoir de sécurité, accessoires</v>
      </c>
      <c r="F1484" s="4">
        <v>0.0</v>
      </c>
      <c r="G1484" s="4">
        <v>44.0</v>
      </c>
      <c r="H1484" s="4">
        <v>16.0</v>
      </c>
      <c r="I1484" s="21">
        <f t="array" ref="I1484">XLOOKUP($A1484,product!A:A,product!E:E)</f>
        <v>11.57</v>
      </c>
      <c r="J1484" s="4">
        <f t="shared" si="2"/>
        <v>185.12</v>
      </c>
      <c r="K1484" s="22">
        <f t="shared" si="3"/>
        <v>1</v>
      </c>
      <c r="L1484" s="4">
        <f t="shared" si="4"/>
        <v>1</v>
      </c>
    </row>
    <row r="1485">
      <c r="A1485" s="23">
        <v>111897.0</v>
      </c>
      <c r="B1485" s="24" t="str">
        <f t="array" ref="B1485">xlookup($A1485,product!$A:$A,product!B:B)</f>
        <v>Beauté &amp; Hygiène</v>
      </c>
      <c r="C1485" s="24" t="str">
        <f t="array" ref="C1485">xlookup($A1485,product!$A:$A,product!C:C)</f>
        <v>Soins Homme</v>
      </c>
      <c r="D1485" s="24" t="str">
        <f t="array" ref="D1485">xlookup($A1485,product!$A:$A,product!D:D)</f>
        <v>Rasoir de sécurité, accessoires</v>
      </c>
      <c r="E1485" s="25" t="str">
        <f t="shared" si="1"/>
        <v>111897-Soins Homme-Rasoir de sécurité, accessoires</v>
      </c>
      <c r="F1485" s="25">
        <v>0.0</v>
      </c>
      <c r="G1485" s="25">
        <v>38.0</v>
      </c>
      <c r="H1485" s="25">
        <v>4.0</v>
      </c>
      <c r="I1485" s="26">
        <f t="array" ref="I1485">XLOOKUP($A1485,product!A:A,product!E:E)</f>
        <v>3.71</v>
      </c>
      <c r="J1485" s="25">
        <f t="shared" si="2"/>
        <v>14.84</v>
      </c>
      <c r="K1485" s="27">
        <f t="shared" si="3"/>
        <v>1</v>
      </c>
      <c r="L1485" s="25">
        <f t="shared" si="4"/>
        <v>1</v>
      </c>
    </row>
    <row r="1486">
      <c r="A1486" s="19">
        <v>158485.0</v>
      </c>
      <c r="B1486" s="20" t="str">
        <f t="array" ref="B1486">xlookup($A1486,product!$A:$A,product!B:B)</f>
        <v>Beauté &amp; Hygiène</v>
      </c>
      <c r="C1486" s="20" t="str">
        <f t="array" ref="C1486">xlookup($A1486,product!$A:$A,product!C:C)</f>
        <v>Soins Homme</v>
      </c>
      <c r="D1486" s="20" t="str">
        <f t="array" ref="D1486">xlookup($A1486,product!$A:$A,product!D:D)</f>
        <v>Rasoir de sécurité, accessoires</v>
      </c>
      <c r="E1486" s="4" t="str">
        <f t="shared" si="1"/>
        <v>158485-Soins Homme-Rasoir de sécurité, accessoires</v>
      </c>
      <c r="F1486" s="4">
        <v>1.0</v>
      </c>
      <c r="G1486" s="4">
        <v>398.0</v>
      </c>
      <c r="H1486" s="4">
        <v>301.0</v>
      </c>
      <c r="I1486" s="21">
        <f t="array" ref="I1486">XLOOKUP($A1486,product!A:A,product!E:E)</f>
        <v>9.25</v>
      </c>
      <c r="J1486" s="4">
        <f t="shared" si="2"/>
        <v>2784.25</v>
      </c>
      <c r="K1486" s="22">
        <f t="shared" si="3"/>
        <v>1</v>
      </c>
      <c r="L1486" s="4">
        <f t="shared" si="4"/>
        <v>1</v>
      </c>
    </row>
    <row r="1487">
      <c r="A1487" s="23">
        <v>199530.0</v>
      </c>
      <c r="B1487" s="24" t="str">
        <f t="array" ref="B1487">xlookup($A1487,product!$A:$A,product!B:B)</f>
        <v>Boisson</v>
      </c>
      <c r="C1487" s="24" t="str">
        <f t="array" ref="C1487">xlookup($A1487,product!$A:$A,product!C:C)</f>
        <v>Thé Glacé</v>
      </c>
      <c r="D1487" s="24" t="str">
        <f t="array" ref="D1487">xlookup($A1487,product!$A:$A,product!D:D)</f>
        <v/>
      </c>
      <c r="E1487" s="25" t="str">
        <f t="shared" si="1"/>
        <v>199530-Thé Glacé-</v>
      </c>
      <c r="F1487" s="25">
        <v>0.0</v>
      </c>
      <c r="G1487" s="25">
        <v>115.0</v>
      </c>
      <c r="H1487" s="25">
        <v>29.0</v>
      </c>
      <c r="I1487" s="26">
        <f t="array" ref="I1487">XLOOKUP($A1487,product!A:A,product!E:E)</f>
        <v>1.59</v>
      </c>
      <c r="J1487" s="25">
        <f t="shared" si="2"/>
        <v>46.11</v>
      </c>
      <c r="K1487" s="27">
        <f t="shared" si="3"/>
        <v>1</v>
      </c>
      <c r="L1487" s="25">
        <f t="shared" si="4"/>
        <v>1</v>
      </c>
    </row>
    <row r="1488">
      <c r="A1488" s="19">
        <v>120946.0</v>
      </c>
      <c r="B1488" s="20" t="str">
        <f t="array" ref="B1488">xlookup($A1488,product!$A:$A,product!B:B)</f>
        <v>Boisson</v>
      </c>
      <c r="C1488" s="20" t="str">
        <f t="array" ref="C1488">xlookup($A1488,product!$A:$A,product!C:C)</f>
        <v>Thé Glacé</v>
      </c>
      <c r="D1488" s="20" t="str">
        <f t="array" ref="D1488">xlookup($A1488,product!$A:$A,product!D:D)</f>
        <v/>
      </c>
      <c r="E1488" s="4" t="str">
        <f t="shared" si="1"/>
        <v>120946-Thé Glacé-</v>
      </c>
      <c r="F1488" s="4">
        <v>1.0</v>
      </c>
      <c r="G1488" s="4">
        <v>584.0</v>
      </c>
      <c r="H1488" s="4">
        <v>58.0</v>
      </c>
      <c r="I1488" s="21">
        <f t="array" ref="I1488">XLOOKUP($A1488,product!A:A,product!E:E)</f>
        <v>0.96</v>
      </c>
      <c r="J1488" s="4">
        <f t="shared" si="2"/>
        <v>55.68</v>
      </c>
      <c r="K1488" s="22">
        <f t="shared" si="3"/>
        <v>1</v>
      </c>
      <c r="L1488" s="4">
        <f t="shared" si="4"/>
        <v>1</v>
      </c>
    </row>
    <row r="1489">
      <c r="A1489" s="23">
        <v>82957.0</v>
      </c>
      <c r="B1489" s="24" t="str">
        <f t="array" ref="B1489">xlookup($A1489,product!$A:$A,product!B:B)</f>
        <v>Boisson</v>
      </c>
      <c r="C1489" s="24" t="str">
        <f t="array" ref="C1489">xlookup($A1489,product!$A:$A,product!C:C)</f>
        <v>Thé Glacé</v>
      </c>
      <c r="D1489" s="24" t="str">
        <f t="array" ref="D1489">xlookup($A1489,product!$A:$A,product!D:D)</f>
        <v/>
      </c>
      <c r="E1489" s="25" t="str">
        <f t="shared" si="1"/>
        <v>82957-Thé Glacé-</v>
      </c>
      <c r="F1489" s="25">
        <v>0.0</v>
      </c>
      <c r="G1489" s="25">
        <v>393.0</v>
      </c>
      <c r="H1489" s="25">
        <v>39.0</v>
      </c>
      <c r="I1489" s="26">
        <f t="array" ref="I1489">XLOOKUP($A1489,product!A:A,product!E:E)</f>
        <v>1.71</v>
      </c>
      <c r="J1489" s="25">
        <f t="shared" si="2"/>
        <v>66.69</v>
      </c>
      <c r="K1489" s="27">
        <f t="shared" si="3"/>
        <v>1</v>
      </c>
      <c r="L1489" s="25">
        <f t="shared" si="4"/>
        <v>1</v>
      </c>
    </row>
    <row r="1490">
      <c r="A1490" s="19">
        <v>109830.0</v>
      </c>
      <c r="B1490" s="20" t="str">
        <f t="array" ref="B1490">xlookup($A1490,product!$A:$A,product!B:B)</f>
        <v>Boisson</v>
      </c>
      <c r="C1490" s="20" t="str">
        <f t="array" ref="C1490">xlookup($A1490,product!$A:$A,product!C:C)</f>
        <v>Thé Glacé</v>
      </c>
      <c r="D1490" s="20" t="str">
        <f t="array" ref="D1490">xlookup($A1490,product!$A:$A,product!D:D)</f>
        <v/>
      </c>
      <c r="E1490" s="4" t="str">
        <f t="shared" si="1"/>
        <v>109830-Thé Glacé-</v>
      </c>
      <c r="F1490" s="4">
        <v>0.0</v>
      </c>
      <c r="G1490" s="4">
        <v>895.0</v>
      </c>
      <c r="H1490" s="4">
        <v>383.0</v>
      </c>
      <c r="I1490" s="21">
        <f t="array" ref="I1490">XLOOKUP($A1490,product!A:A,product!E:E)</f>
        <v>1.07</v>
      </c>
      <c r="J1490" s="4">
        <f t="shared" si="2"/>
        <v>409.81</v>
      </c>
      <c r="K1490" s="22">
        <f t="shared" si="3"/>
        <v>1</v>
      </c>
      <c r="L1490" s="4">
        <f t="shared" si="4"/>
        <v>1</v>
      </c>
    </row>
    <row r="1491">
      <c r="A1491" s="23">
        <v>109831.0</v>
      </c>
      <c r="B1491" s="24" t="str">
        <f t="array" ref="B1491">xlookup($A1491,product!$A:$A,product!B:B)</f>
        <v>Boisson</v>
      </c>
      <c r="C1491" s="24" t="str">
        <f t="array" ref="C1491">xlookup($A1491,product!$A:$A,product!C:C)</f>
        <v>Thé Glacé</v>
      </c>
      <c r="D1491" s="24" t="str">
        <f t="array" ref="D1491">xlookup($A1491,product!$A:$A,product!D:D)</f>
        <v/>
      </c>
      <c r="E1491" s="25" t="str">
        <f t="shared" si="1"/>
        <v>109831-Thé Glacé-</v>
      </c>
      <c r="F1491" s="25">
        <v>1.0</v>
      </c>
      <c r="G1491" s="25">
        <v>533.0</v>
      </c>
      <c r="H1491" s="25">
        <v>245.0</v>
      </c>
      <c r="I1491" s="26">
        <f t="array" ref="I1491">XLOOKUP($A1491,product!A:A,product!E:E)</f>
        <v>1.07</v>
      </c>
      <c r="J1491" s="25">
        <f t="shared" si="2"/>
        <v>262.15</v>
      </c>
      <c r="K1491" s="27">
        <f t="shared" si="3"/>
        <v>1</v>
      </c>
      <c r="L1491" s="25">
        <f t="shared" si="4"/>
        <v>1</v>
      </c>
    </row>
    <row r="1492">
      <c r="A1492" s="19">
        <v>107899.0</v>
      </c>
      <c r="B1492" s="20" t="str">
        <f t="array" ref="B1492">xlookup($A1492,product!$A:$A,product!B:B)</f>
        <v>Epicerie sucrée</v>
      </c>
      <c r="C1492" s="20" t="str">
        <f t="array" ref="C1492">xlookup($A1492,product!$A:$A,product!C:C)</f>
        <v>Chocolat bio</v>
      </c>
      <c r="D1492" s="20" t="str">
        <f t="array" ref="D1492">xlookup($A1492,product!$A:$A,product!D:D)</f>
        <v>Chocolat cru</v>
      </c>
      <c r="E1492" s="4" t="str">
        <f t="shared" si="1"/>
        <v>107899-Chocolat bio-Chocolat cru</v>
      </c>
      <c r="F1492" s="4">
        <v>1.0</v>
      </c>
      <c r="G1492" s="4">
        <v>848.0</v>
      </c>
      <c r="H1492" s="4">
        <v>610.0</v>
      </c>
      <c r="I1492" s="21">
        <f t="array" ref="I1492">XLOOKUP($A1492,product!A:A,product!E:E)</f>
        <v>2.48</v>
      </c>
      <c r="J1492" s="4">
        <f t="shared" si="2"/>
        <v>1512.8</v>
      </c>
      <c r="K1492" s="22">
        <f t="shared" si="3"/>
        <v>1</v>
      </c>
      <c r="L1492" s="4">
        <f t="shared" si="4"/>
        <v>1</v>
      </c>
    </row>
    <row r="1493">
      <c r="A1493" s="23">
        <v>139289.0</v>
      </c>
      <c r="B1493" s="24" t="str">
        <f t="array" ref="B1493">xlookup($A1493,product!$A:$A,product!B:B)</f>
        <v>Epicerie sucrée</v>
      </c>
      <c r="C1493" s="24" t="str">
        <f t="array" ref="C1493">xlookup($A1493,product!$A:$A,product!C:C)</f>
        <v>Chocolat bio</v>
      </c>
      <c r="D1493" s="24" t="str">
        <f t="array" ref="D1493">xlookup($A1493,product!$A:$A,product!D:D)</f>
        <v>Chocolat cru</v>
      </c>
      <c r="E1493" s="25" t="str">
        <f t="shared" si="1"/>
        <v>139289-Chocolat bio-Chocolat cru</v>
      </c>
      <c r="F1493" s="25">
        <v>1.0</v>
      </c>
      <c r="G1493" s="25">
        <v>611.0</v>
      </c>
      <c r="H1493" s="25">
        <v>220.0</v>
      </c>
      <c r="I1493" s="26">
        <f t="array" ref="I1493">XLOOKUP($A1493,product!A:A,product!E:E)</f>
        <v>1.55</v>
      </c>
      <c r="J1493" s="25">
        <f t="shared" si="2"/>
        <v>341</v>
      </c>
      <c r="K1493" s="27">
        <f t="shared" si="3"/>
        <v>1</v>
      </c>
      <c r="L1493" s="25">
        <f t="shared" si="4"/>
        <v>1</v>
      </c>
    </row>
    <row r="1494">
      <c r="A1494" s="19">
        <v>72129.0</v>
      </c>
      <c r="B1494" s="20" t="str">
        <f t="array" ref="B1494">xlookup($A1494,product!$A:$A,product!B:B)</f>
        <v>Epicerie sucrée</v>
      </c>
      <c r="C1494" s="20" t="str">
        <f t="array" ref="C1494">xlookup($A1494,product!$A:$A,product!C:C)</f>
        <v>Chocolat bio</v>
      </c>
      <c r="D1494" s="20" t="str">
        <f t="array" ref="D1494">xlookup($A1494,product!$A:$A,product!D:D)</f>
        <v>Chocolat cru</v>
      </c>
      <c r="E1494" s="4" t="str">
        <f t="shared" si="1"/>
        <v>72129-Chocolat bio-Chocolat cru</v>
      </c>
      <c r="F1494" s="4">
        <v>0.0</v>
      </c>
      <c r="G1494" s="4">
        <v>402.0</v>
      </c>
      <c r="H1494" s="4">
        <v>332.0</v>
      </c>
      <c r="I1494" s="21">
        <f t="array" ref="I1494">XLOOKUP($A1494,product!A:A,product!E:E)</f>
        <v>5.6</v>
      </c>
      <c r="J1494" s="4">
        <f t="shared" si="2"/>
        <v>1859.2</v>
      </c>
      <c r="K1494" s="22">
        <f t="shared" si="3"/>
        <v>1</v>
      </c>
      <c r="L1494" s="4">
        <f t="shared" si="4"/>
        <v>1</v>
      </c>
    </row>
    <row r="1495">
      <c r="A1495" s="23">
        <v>106541.0</v>
      </c>
      <c r="B1495" s="24" t="str">
        <f t="array" ref="B1495">xlookup($A1495,product!$A:$A,product!B:B)</f>
        <v>Epicerie sucrée</v>
      </c>
      <c r="C1495" s="24" t="str">
        <f t="array" ref="C1495">xlookup($A1495,product!$A:$A,product!C:C)</f>
        <v>Chocolat bio</v>
      </c>
      <c r="D1495" s="24" t="str">
        <f t="array" ref="D1495">xlookup($A1495,product!$A:$A,product!D:D)</f>
        <v>Chocolat cru</v>
      </c>
      <c r="E1495" s="25" t="str">
        <f t="shared" si="1"/>
        <v>106541-Chocolat bio-Chocolat cru</v>
      </c>
      <c r="F1495" s="25">
        <v>0.0</v>
      </c>
      <c r="G1495" s="25">
        <v>53.0</v>
      </c>
      <c r="H1495" s="25">
        <v>28.0</v>
      </c>
      <c r="I1495" s="26">
        <f t="array" ref="I1495">XLOOKUP($A1495,product!A:A,product!E:E)</f>
        <v>2.34</v>
      </c>
      <c r="J1495" s="25">
        <f t="shared" si="2"/>
        <v>65.52</v>
      </c>
      <c r="K1495" s="27">
        <f t="shared" si="3"/>
        <v>1</v>
      </c>
      <c r="L1495" s="25">
        <f t="shared" si="4"/>
        <v>1</v>
      </c>
    </row>
    <row r="1496">
      <c r="A1496" s="19">
        <v>43810.0</v>
      </c>
      <c r="B1496" s="20" t="str">
        <f t="array" ref="B1496">xlookup($A1496,product!$A:$A,product!B:B)</f>
        <v>Epicerie sucrée</v>
      </c>
      <c r="C1496" s="20" t="str">
        <f t="array" ref="C1496">xlookup($A1496,product!$A:$A,product!C:C)</f>
        <v>Chocolat bio</v>
      </c>
      <c r="D1496" s="20" t="str">
        <f t="array" ref="D1496">xlookup($A1496,product!$A:$A,product!D:D)</f>
        <v>Chocolat cru</v>
      </c>
      <c r="E1496" s="4" t="str">
        <f t="shared" si="1"/>
        <v>43810-Chocolat bio-Chocolat cru</v>
      </c>
      <c r="F1496" s="4">
        <v>0.0</v>
      </c>
      <c r="G1496" s="4">
        <v>653.0</v>
      </c>
      <c r="H1496" s="4">
        <v>591.0</v>
      </c>
      <c r="I1496" s="21">
        <f t="array" ref="I1496">XLOOKUP($A1496,product!A:A,product!E:E)</f>
        <v>3.79</v>
      </c>
      <c r="J1496" s="4">
        <f t="shared" si="2"/>
        <v>2239.89</v>
      </c>
      <c r="K1496" s="22">
        <f t="shared" si="3"/>
        <v>1</v>
      </c>
      <c r="L1496" s="4">
        <f t="shared" si="4"/>
        <v>1</v>
      </c>
    </row>
    <row r="1497">
      <c r="A1497" s="23">
        <v>83117.0</v>
      </c>
      <c r="B1497" s="24" t="str">
        <f t="array" ref="B1497">xlookup($A1497,product!$A:$A,product!B:B)</f>
        <v>Epicerie sucrée</v>
      </c>
      <c r="C1497" s="24" t="str">
        <f t="array" ref="C1497">xlookup($A1497,product!$A:$A,product!C:C)</f>
        <v>Chocolat bio</v>
      </c>
      <c r="D1497" s="24" t="str">
        <f t="array" ref="D1497">xlookup($A1497,product!$A:$A,product!D:D)</f>
        <v>Chocolat cru</v>
      </c>
      <c r="E1497" s="25" t="str">
        <f t="shared" si="1"/>
        <v>83117-Chocolat bio-Chocolat cru</v>
      </c>
      <c r="F1497" s="25">
        <v>0.0</v>
      </c>
      <c r="G1497" s="25">
        <v>392.0</v>
      </c>
      <c r="H1497" s="25">
        <v>252.0</v>
      </c>
      <c r="I1497" s="26">
        <f t="array" ref="I1497">XLOOKUP($A1497,product!A:A,product!E:E)</f>
        <v>9.09</v>
      </c>
      <c r="J1497" s="25">
        <f t="shared" si="2"/>
        <v>2290.68</v>
      </c>
      <c r="K1497" s="27">
        <f t="shared" si="3"/>
        <v>1</v>
      </c>
      <c r="L1497" s="25">
        <f t="shared" si="4"/>
        <v>1</v>
      </c>
    </row>
    <row r="1498">
      <c r="A1498" s="19">
        <v>78863.0</v>
      </c>
      <c r="B1498" s="20" t="str">
        <f t="array" ref="B1498">xlookup($A1498,product!$A:$A,product!B:B)</f>
        <v>Epicerie sucrée</v>
      </c>
      <c r="C1498" s="20" t="str">
        <f t="array" ref="C1498">xlookup($A1498,product!$A:$A,product!C:C)</f>
        <v>Chocolat bio</v>
      </c>
      <c r="D1498" s="20" t="str">
        <f t="array" ref="D1498">xlookup($A1498,product!$A:$A,product!D:D)</f>
        <v>Chocolat cru</v>
      </c>
      <c r="E1498" s="4" t="str">
        <f t="shared" si="1"/>
        <v>78863-Chocolat bio-Chocolat cru</v>
      </c>
      <c r="F1498" s="4">
        <v>0.0</v>
      </c>
      <c r="G1498" s="4">
        <v>136.0</v>
      </c>
      <c r="H1498" s="4">
        <v>100.0</v>
      </c>
      <c r="I1498" s="21">
        <f t="array" ref="I1498">XLOOKUP($A1498,product!A:A,product!E:E)</f>
        <v>3.29</v>
      </c>
      <c r="J1498" s="4">
        <f t="shared" si="2"/>
        <v>329</v>
      </c>
      <c r="K1498" s="22">
        <f t="shared" si="3"/>
        <v>1</v>
      </c>
      <c r="L1498" s="4">
        <f t="shared" si="4"/>
        <v>1</v>
      </c>
    </row>
    <row r="1499">
      <c r="A1499" s="23">
        <v>107898.0</v>
      </c>
      <c r="B1499" s="24" t="str">
        <f t="array" ref="B1499">xlookup($A1499,product!$A:$A,product!B:B)</f>
        <v>Epicerie sucrée</v>
      </c>
      <c r="C1499" s="24" t="str">
        <f t="array" ref="C1499">xlookup($A1499,product!$A:$A,product!C:C)</f>
        <v>Chocolat bio</v>
      </c>
      <c r="D1499" s="24" t="str">
        <f t="array" ref="D1499">xlookup($A1499,product!$A:$A,product!D:D)</f>
        <v>Chocolat cru</v>
      </c>
      <c r="E1499" s="25" t="str">
        <f t="shared" si="1"/>
        <v>107898-Chocolat bio-Chocolat cru</v>
      </c>
      <c r="F1499" s="25">
        <v>0.0</v>
      </c>
      <c r="G1499" s="25">
        <v>22.0</v>
      </c>
      <c r="H1499" s="25">
        <v>3.0</v>
      </c>
      <c r="I1499" s="26">
        <f t="array" ref="I1499">XLOOKUP($A1499,product!A:A,product!E:E)</f>
        <v>2.48</v>
      </c>
      <c r="J1499" s="25">
        <f t="shared" si="2"/>
        <v>7.44</v>
      </c>
      <c r="K1499" s="27">
        <f t="shared" si="3"/>
        <v>1</v>
      </c>
      <c r="L1499" s="25">
        <f t="shared" si="4"/>
        <v>1</v>
      </c>
    </row>
    <row r="1500">
      <c r="A1500" s="19">
        <v>80181.0</v>
      </c>
      <c r="B1500" s="20" t="str">
        <f t="array" ref="B1500">xlookup($A1500,product!$A:$A,product!B:B)</f>
        <v>Epicerie sucrée</v>
      </c>
      <c r="C1500" s="20" t="str">
        <f t="array" ref="C1500">xlookup($A1500,product!$A:$A,product!C:C)</f>
        <v>Chocolat bio</v>
      </c>
      <c r="D1500" s="20" t="str">
        <f t="array" ref="D1500">xlookup($A1500,product!$A:$A,product!D:D)</f>
        <v>Chocolat noir</v>
      </c>
      <c r="E1500" s="4" t="str">
        <f t="shared" si="1"/>
        <v>80181-Chocolat bio-Chocolat noir</v>
      </c>
      <c r="F1500" s="4">
        <v>1.0</v>
      </c>
      <c r="G1500" s="4">
        <v>183.0</v>
      </c>
      <c r="H1500" s="4">
        <v>31.0</v>
      </c>
      <c r="I1500" s="21">
        <f t="array" ref="I1500">XLOOKUP($A1500,product!A:A,product!E:E)</f>
        <v>2.41</v>
      </c>
      <c r="J1500" s="4">
        <f t="shared" si="2"/>
        <v>74.71</v>
      </c>
      <c r="K1500" s="22">
        <f t="shared" si="3"/>
        <v>1</v>
      </c>
      <c r="L1500" s="4">
        <f t="shared" si="4"/>
        <v>1</v>
      </c>
    </row>
    <row r="1501">
      <c r="A1501" s="23">
        <v>150280.0</v>
      </c>
      <c r="B1501" s="24" t="str">
        <f t="array" ref="B1501">xlookup($A1501,product!$A:$A,product!B:B)</f>
        <v>Epicerie sucrée</v>
      </c>
      <c r="C1501" s="24" t="str">
        <f t="array" ref="C1501">xlookup($A1501,product!$A:$A,product!C:C)</f>
        <v>Chocolat bio</v>
      </c>
      <c r="D1501" s="24" t="str">
        <f t="array" ref="D1501">xlookup($A1501,product!$A:$A,product!D:D)</f>
        <v>Chocolat noir</v>
      </c>
      <c r="E1501" s="25" t="str">
        <f t="shared" si="1"/>
        <v>150280-Chocolat bio-Chocolat noir</v>
      </c>
      <c r="F1501" s="25">
        <v>1.0</v>
      </c>
      <c r="G1501" s="25">
        <v>153.0</v>
      </c>
      <c r="H1501" s="25">
        <v>37.0</v>
      </c>
      <c r="I1501" s="26">
        <f t="array" ref="I1501">XLOOKUP($A1501,product!A:A,product!E:E)</f>
        <v>3.41</v>
      </c>
      <c r="J1501" s="25">
        <f t="shared" si="2"/>
        <v>126.17</v>
      </c>
      <c r="K1501" s="27">
        <f t="shared" si="3"/>
        <v>1</v>
      </c>
      <c r="L1501" s="25">
        <f t="shared" si="4"/>
        <v>1</v>
      </c>
    </row>
    <row r="1502">
      <c r="A1502" s="19">
        <v>80173.0</v>
      </c>
      <c r="B1502" s="20" t="str">
        <f t="array" ref="B1502">xlookup($A1502,product!$A:$A,product!B:B)</f>
        <v>Epicerie sucrée</v>
      </c>
      <c r="C1502" s="20" t="str">
        <f t="array" ref="C1502">xlookup($A1502,product!$A:$A,product!C:C)</f>
        <v>Chocolat bio</v>
      </c>
      <c r="D1502" s="20" t="str">
        <f t="array" ref="D1502">xlookup($A1502,product!$A:$A,product!D:D)</f>
        <v>Chocolat noir</v>
      </c>
      <c r="E1502" s="4" t="str">
        <f t="shared" si="1"/>
        <v>80173-Chocolat bio-Chocolat noir</v>
      </c>
      <c r="F1502" s="4">
        <v>0.0</v>
      </c>
      <c r="G1502" s="4">
        <v>38.0</v>
      </c>
      <c r="H1502" s="4">
        <v>7.0</v>
      </c>
      <c r="I1502" s="21">
        <f t="array" ref="I1502">XLOOKUP($A1502,product!A:A,product!E:E)</f>
        <v>2.3</v>
      </c>
      <c r="J1502" s="4">
        <f t="shared" si="2"/>
        <v>16.1</v>
      </c>
      <c r="K1502" s="22">
        <f t="shared" si="3"/>
        <v>1</v>
      </c>
      <c r="L1502" s="4">
        <f t="shared" si="4"/>
        <v>1</v>
      </c>
    </row>
    <row r="1503">
      <c r="A1503" s="23">
        <v>100647.0</v>
      </c>
      <c r="B1503" s="24" t="str">
        <f t="array" ref="B1503">xlookup($A1503,product!$A:$A,product!B:B)</f>
        <v>Epicerie sucrée</v>
      </c>
      <c r="C1503" s="24" t="str">
        <f t="array" ref="C1503">xlookup($A1503,product!$A:$A,product!C:C)</f>
        <v>Chocolat bio</v>
      </c>
      <c r="D1503" s="24" t="str">
        <f t="array" ref="D1503">xlookup($A1503,product!$A:$A,product!D:D)</f>
        <v>Chocolat noir</v>
      </c>
      <c r="E1503" s="25" t="str">
        <f t="shared" si="1"/>
        <v>100647-Chocolat bio-Chocolat noir</v>
      </c>
      <c r="F1503" s="25">
        <v>1.0</v>
      </c>
      <c r="G1503" s="25">
        <v>795.0</v>
      </c>
      <c r="H1503" s="25">
        <v>557.0</v>
      </c>
      <c r="I1503" s="26">
        <f t="array" ref="I1503">XLOOKUP($A1503,product!A:A,product!E:E)</f>
        <v>2.97</v>
      </c>
      <c r="J1503" s="25">
        <f t="shared" si="2"/>
        <v>1654.29</v>
      </c>
      <c r="K1503" s="27">
        <f t="shared" si="3"/>
        <v>1</v>
      </c>
      <c r="L1503" s="25">
        <f t="shared" si="4"/>
        <v>1</v>
      </c>
    </row>
    <row r="1504">
      <c r="A1504" s="19">
        <v>147273.0</v>
      </c>
      <c r="B1504" s="20" t="str">
        <f t="array" ref="B1504">xlookup($A1504,product!$A:$A,product!B:B)</f>
        <v>Epicerie sucrée</v>
      </c>
      <c r="C1504" s="20" t="str">
        <f t="array" ref="C1504">xlookup($A1504,product!$A:$A,product!C:C)</f>
        <v>Chocolat bio</v>
      </c>
      <c r="D1504" s="20" t="str">
        <f t="array" ref="D1504">xlookup($A1504,product!$A:$A,product!D:D)</f>
        <v>Chocolat noir</v>
      </c>
      <c r="E1504" s="4" t="str">
        <f t="shared" si="1"/>
        <v>147273-Chocolat bio-Chocolat noir</v>
      </c>
      <c r="F1504" s="4">
        <v>1.0</v>
      </c>
      <c r="G1504" s="4">
        <v>662.0</v>
      </c>
      <c r="H1504" s="4">
        <v>298.0</v>
      </c>
      <c r="I1504" s="21">
        <f t="array" ref="I1504">XLOOKUP($A1504,product!A:A,product!E:E)</f>
        <v>1.46</v>
      </c>
      <c r="J1504" s="4">
        <f t="shared" si="2"/>
        <v>435.08</v>
      </c>
      <c r="K1504" s="22">
        <f t="shared" si="3"/>
        <v>1</v>
      </c>
      <c r="L1504" s="4">
        <f t="shared" si="4"/>
        <v>1</v>
      </c>
    </row>
    <row r="1505">
      <c r="A1505" s="23">
        <v>83770.0</v>
      </c>
      <c r="B1505" s="24" t="str">
        <f t="array" ref="B1505">xlookup($A1505,product!$A:$A,product!B:B)</f>
        <v>Epicerie sucrée</v>
      </c>
      <c r="C1505" s="24" t="str">
        <f t="array" ref="C1505">xlookup($A1505,product!$A:$A,product!C:C)</f>
        <v>Chocolat bio</v>
      </c>
      <c r="D1505" s="24" t="str">
        <f t="array" ref="D1505">xlookup($A1505,product!$A:$A,product!D:D)</f>
        <v>Chocolat noir</v>
      </c>
      <c r="E1505" s="25" t="str">
        <f t="shared" si="1"/>
        <v>83770-Chocolat bio-Chocolat noir</v>
      </c>
      <c r="F1505" s="25">
        <v>1.0</v>
      </c>
      <c r="G1505" s="25">
        <v>77.0</v>
      </c>
      <c r="H1505" s="25">
        <v>70.0</v>
      </c>
      <c r="I1505" s="26">
        <f t="array" ref="I1505">XLOOKUP($A1505,product!A:A,product!E:E)</f>
        <v>2.05</v>
      </c>
      <c r="J1505" s="25">
        <f t="shared" si="2"/>
        <v>143.5</v>
      </c>
      <c r="K1505" s="27">
        <f t="shared" si="3"/>
        <v>1</v>
      </c>
      <c r="L1505" s="25">
        <f t="shared" si="4"/>
        <v>1</v>
      </c>
    </row>
    <row r="1506">
      <c r="A1506" s="19">
        <v>180773.0</v>
      </c>
      <c r="B1506" s="20" t="str">
        <f t="array" ref="B1506">xlookup($A1506,product!$A:$A,product!B:B)</f>
        <v>Epicerie sucrée</v>
      </c>
      <c r="C1506" s="20" t="str">
        <f t="array" ref="C1506">xlookup($A1506,product!$A:$A,product!C:C)</f>
        <v>Chocolat bio</v>
      </c>
      <c r="D1506" s="20" t="str">
        <f t="array" ref="D1506">xlookup($A1506,product!$A:$A,product!D:D)</f>
        <v>Chocolat noir</v>
      </c>
      <c r="E1506" s="4" t="str">
        <f t="shared" si="1"/>
        <v>180773-Chocolat bio-Chocolat noir</v>
      </c>
      <c r="F1506" s="4">
        <v>1.0</v>
      </c>
      <c r="G1506" s="4">
        <v>22.0</v>
      </c>
      <c r="H1506" s="4">
        <v>1.0</v>
      </c>
      <c r="I1506" s="21">
        <f t="array" ref="I1506">XLOOKUP($A1506,product!A:A,product!E:E)</f>
        <v>2.31</v>
      </c>
      <c r="J1506" s="4">
        <f t="shared" si="2"/>
        <v>2.31</v>
      </c>
      <c r="K1506" s="22">
        <f t="shared" si="3"/>
        <v>1</v>
      </c>
      <c r="L1506" s="4">
        <f t="shared" si="4"/>
        <v>1</v>
      </c>
    </row>
    <row r="1507">
      <c r="A1507" s="23">
        <v>80125.0</v>
      </c>
      <c r="B1507" s="24" t="str">
        <f t="array" ref="B1507">xlookup($A1507,product!$A:$A,product!B:B)</f>
        <v>Epicerie sucrée</v>
      </c>
      <c r="C1507" s="24" t="str">
        <f t="array" ref="C1507">xlookup($A1507,product!$A:$A,product!C:C)</f>
        <v>Chocolat bio</v>
      </c>
      <c r="D1507" s="24" t="str">
        <f t="array" ref="D1507">xlookup($A1507,product!$A:$A,product!D:D)</f>
        <v>Chocolat noir</v>
      </c>
      <c r="E1507" s="25" t="str">
        <f t="shared" si="1"/>
        <v>80125-Chocolat bio-Chocolat noir</v>
      </c>
      <c r="F1507" s="25">
        <v>0.0</v>
      </c>
      <c r="G1507" s="25">
        <v>157.0</v>
      </c>
      <c r="H1507" s="25">
        <v>99.0</v>
      </c>
      <c r="I1507" s="26">
        <f t="array" ref="I1507">XLOOKUP($A1507,product!A:A,product!E:E)</f>
        <v>2.43</v>
      </c>
      <c r="J1507" s="25">
        <f t="shared" si="2"/>
        <v>240.57</v>
      </c>
      <c r="K1507" s="27">
        <f t="shared" si="3"/>
        <v>1</v>
      </c>
      <c r="L1507" s="25">
        <f t="shared" si="4"/>
        <v>1</v>
      </c>
    </row>
    <row r="1508">
      <c r="A1508" s="19">
        <v>89909.0</v>
      </c>
      <c r="B1508" s="20" t="str">
        <f t="array" ref="B1508">xlookup($A1508,product!$A:$A,product!B:B)</f>
        <v>Epicerie sucrée</v>
      </c>
      <c r="C1508" s="20" t="str">
        <f t="array" ref="C1508">xlookup($A1508,product!$A:$A,product!C:C)</f>
        <v>Chocolat bio</v>
      </c>
      <c r="D1508" s="20" t="str">
        <f t="array" ref="D1508">xlookup($A1508,product!$A:$A,product!D:D)</f>
        <v>Chocolat noir</v>
      </c>
      <c r="E1508" s="4" t="str">
        <f t="shared" si="1"/>
        <v>89909-Chocolat bio-Chocolat noir</v>
      </c>
      <c r="F1508" s="4">
        <v>1.0</v>
      </c>
      <c r="G1508" s="4">
        <v>656.0</v>
      </c>
      <c r="H1508" s="4">
        <v>173.0</v>
      </c>
      <c r="I1508" s="21">
        <f t="array" ref="I1508">XLOOKUP($A1508,product!A:A,product!E:E)</f>
        <v>2.97</v>
      </c>
      <c r="J1508" s="4">
        <f t="shared" si="2"/>
        <v>513.81</v>
      </c>
      <c r="K1508" s="22">
        <f t="shared" si="3"/>
        <v>1</v>
      </c>
      <c r="L1508" s="4">
        <f t="shared" si="4"/>
        <v>1</v>
      </c>
    </row>
    <row r="1509">
      <c r="A1509" s="23">
        <v>80114.0</v>
      </c>
      <c r="B1509" s="24" t="str">
        <f t="array" ref="B1509">xlookup($A1509,product!$A:$A,product!B:B)</f>
        <v>Epicerie sucrée</v>
      </c>
      <c r="C1509" s="24" t="str">
        <f t="array" ref="C1509">xlookup($A1509,product!$A:$A,product!C:C)</f>
        <v>Chocolat bio</v>
      </c>
      <c r="D1509" s="24" t="str">
        <f t="array" ref="D1509">xlookup($A1509,product!$A:$A,product!D:D)</f>
        <v>Chocolat noir</v>
      </c>
      <c r="E1509" s="25" t="str">
        <f t="shared" si="1"/>
        <v>80114-Chocolat bio-Chocolat noir</v>
      </c>
      <c r="F1509" s="25">
        <v>1.0</v>
      </c>
      <c r="G1509" s="25">
        <v>300.0</v>
      </c>
      <c r="H1509" s="25">
        <v>36.0</v>
      </c>
      <c r="I1509" s="26">
        <f t="array" ref="I1509">XLOOKUP($A1509,product!A:A,product!E:E)</f>
        <v>1.91</v>
      </c>
      <c r="J1509" s="25">
        <f t="shared" si="2"/>
        <v>68.76</v>
      </c>
      <c r="K1509" s="27">
        <f t="shared" si="3"/>
        <v>1</v>
      </c>
      <c r="L1509" s="25">
        <f t="shared" si="4"/>
        <v>1</v>
      </c>
    </row>
    <row r="1510">
      <c r="A1510" s="19">
        <v>73916.0</v>
      </c>
      <c r="B1510" s="20" t="str">
        <f t="array" ref="B1510">xlookup($A1510,product!$A:$A,product!B:B)</f>
        <v>Epicerie sucrée</v>
      </c>
      <c r="C1510" s="20" t="str">
        <f t="array" ref="C1510">xlookup($A1510,product!$A:$A,product!C:C)</f>
        <v>Chocolat bio</v>
      </c>
      <c r="D1510" s="20" t="str">
        <f t="array" ref="D1510">xlookup($A1510,product!$A:$A,product!D:D)</f>
        <v>Chocolat noir</v>
      </c>
      <c r="E1510" s="4" t="str">
        <f t="shared" si="1"/>
        <v>73916-Chocolat bio-Chocolat noir</v>
      </c>
      <c r="F1510" s="4">
        <v>1.0</v>
      </c>
      <c r="G1510" s="4">
        <v>284.0</v>
      </c>
      <c r="H1510" s="4">
        <v>3.0</v>
      </c>
      <c r="I1510" s="21">
        <f t="array" ref="I1510">XLOOKUP($A1510,product!A:A,product!E:E)</f>
        <v>1.7</v>
      </c>
      <c r="J1510" s="4">
        <f t="shared" si="2"/>
        <v>5.1</v>
      </c>
      <c r="K1510" s="22">
        <f t="shared" si="3"/>
        <v>1</v>
      </c>
      <c r="L1510" s="4">
        <f t="shared" si="4"/>
        <v>1</v>
      </c>
    </row>
    <row r="1511">
      <c r="A1511" s="23">
        <v>80117.0</v>
      </c>
      <c r="B1511" s="24" t="str">
        <f t="array" ref="B1511">xlookup($A1511,product!$A:$A,product!B:B)</f>
        <v>Epicerie sucrée</v>
      </c>
      <c r="C1511" s="24" t="str">
        <f t="array" ref="C1511">xlookup($A1511,product!$A:$A,product!C:C)</f>
        <v>Chocolat bio</v>
      </c>
      <c r="D1511" s="24" t="str">
        <f t="array" ref="D1511">xlookup($A1511,product!$A:$A,product!D:D)</f>
        <v>Chocolat noir</v>
      </c>
      <c r="E1511" s="25" t="str">
        <f t="shared" si="1"/>
        <v>80117-Chocolat bio-Chocolat noir</v>
      </c>
      <c r="F1511" s="25">
        <v>1.0</v>
      </c>
      <c r="G1511" s="25">
        <v>190.0</v>
      </c>
      <c r="H1511" s="25">
        <v>135.0</v>
      </c>
      <c r="I1511" s="26">
        <f t="array" ref="I1511">XLOOKUP($A1511,product!A:A,product!E:E)</f>
        <v>2.1</v>
      </c>
      <c r="J1511" s="25">
        <f t="shared" si="2"/>
        <v>283.5</v>
      </c>
      <c r="K1511" s="27">
        <f t="shared" si="3"/>
        <v>1</v>
      </c>
      <c r="L1511" s="25">
        <f t="shared" si="4"/>
        <v>1</v>
      </c>
    </row>
    <row r="1512">
      <c r="A1512" s="19">
        <v>22008.0</v>
      </c>
      <c r="B1512" s="20" t="str">
        <f t="array" ref="B1512">xlookup($A1512,product!$A:$A,product!B:B)</f>
        <v>Epicerie sucrée</v>
      </c>
      <c r="C1512" s="20" t="str">
        <f t="array" ref="C1512">xlookup($A1512,product!$A:$A,product!C:C)</f>
        <v>Chocolat bio</v>
      </c>
      <c r="D1512" s="20" t="str">
        <f t="array" ref="D1512">xlookup($A1512,product!$A:$A,product!D:D)</f>
        <v>Chocolat noir</v>
      </c>
      <c r="E1512" s="4" t="str">
        <f t="shared" si="1"/>
        <v>22008-Chocolat bio-Chocolat noir</v>
      </c>
      <c r="F1512" s="4">
        <v>0.0</v>
      </c>
      <c r="G1512" s="4">
        <v>646.0</v>
      </c>
      <c r="H1512" s="4">
        <v>285.0</v>
      </c>
      <c r="I1512" s="21">
        <f t="array" ref="I1512">XLOOKUP($A1512,product!A:A,product!E:E)</f>
        <v>1.42</v>
      </c>
      <c r="J1512" s="4">
        <f t="shared" si="2"/>
        <v>404.7</v>
      </c>
      <c r="K1512" s="22">
        <f t="shared" si="3"/>
        <v>1</v>
      </c>
      <c r="L1512" s="4">
        <f t="shared" si="4"/>
        <v>1</v>
      </c>
    </row>
    <row r="1513">
      <c r="A1513" s="23">
        <v>76608.0</v>
      </c>
      <c r="B1513" s="24" t="str">
        <f t="array" ref="B1513">xlookup($A1513,product!$A:$A,product!B:B)</f>
        <v>Epicerie sucrée</v>
      </c>
      <c r="C1513" s="24" t="str">
        <f t="array" ref="C1513">xlookup($A1513,product!$A:$A,product!C:C)</f>
        <v>Chocolat bio</v>
      </c>
      <c r="D1513" s="24" t="str">
        <f t="array" ref="D1513">xlookup($A1513,product!$A:$A,product!D:D)</f>
        <v>Chocolat noir</v>
      </c>
      <c r="E1513" s="25" t="str">
        <f t="shared" si="1"/>
        <v>76608-Chocolat bio-Chocolat noir</v>
      </c>
      <c r="F1513" s="25">
        <v>0.0</v>
      </c>
      <c r="G1513" s="25">
        <v>711.0</v>
      </c>
      <c r="H1513" s="25">
        <v>463.0</v>
      </c>
      <c r="I1513" s="26">
        <f t="array" ref="I1513">XLOOKUP($A1513,product!A:A,product!E:E)</f>
        <v>0.98</v>
      </c>
      <c r="J1513" s="25">
        <f t="shared" si="2"/>
        <v>453.74</v>
      </c>
      <c r="K1513" s="27">
        <f t="shared" si="3"/>
        <v>1</v>
      </c>
      <c r="L1513" s="25">
        <f t="shared" si="4"/>
        <v>1</v>
      </c>
    </row>
    <row r="1514">
      <c r="A1514" s="19">
        <v>80793.0</v>
      </c>
      <c r="B1514" s="20" t="str">
        <f t="array" ref="B1514">xlookup($A1514,product!$A:$A,product!B:B)</f>
        <v>Epicerie sucrée</v>
      </c>
      <c r="C1514" s="20" t="str">
        <f t="array" ref="C1514">xlookup($A1514,product!$A:$A,product!C:C)</f>
        <v>Chocolat bio</v>
      </c>
      <c r="D1514" s="20" t="str">
        <f t="array" ref="D1514">xlookup($A1514,product!$A:$A,product!D:D)</f>
        <v>Chocolat noir</v>
      </c>
      <c r="E1514" s="4" t="str">
        <f t="shared" si="1"/>
        <v>80793-Chocolat bio-Chocolat noir</v>
      </c>
      <c r="F1514" s="4">
        <v>1.0</v>
      </c>
      <c r="G1514" s="4">
        <v>775.0</v>
      </c>
      <c r="H1514" s="4">
        <v>210.0</v>
      </c>
      <c r="I1514" s="21">
        <f t="array" ref="I1514">XLOOKUP($A1514,product!A:A,product!E:E)</f>
        <v>2.87</v>
      </c>
      <c r="J1514" s="4">
        <f t="shared" si="2"/>
        <v>602.7</v>
      </c>
      <c r="K1514" s="22">
        <f t="shared" si="3"/>
        <v>1</v>
      </c>
      <c r="L1514" s="4">
        <f t="shared" si="4"/>
        <v>1</v>
      </c>
    </row>
    <row r="1515">
      <c r="A1515" s="23">
        <v>102588.0</v>
      </c>
      <c r="B1515" s="24" t="str">
        <f t="array" ref="B1515">xlookup($A1515,product!$A:$A,product!B:B)</f>
        <v>Epicerie sucrée</v>
      </c>
      <c r="C1515" s="24" t="str">
        <f t="array" ref="C1515">xlookup($A1515,product!$A:$A,product!C:C)</f>
        <v>Chocolat bio</v>
      </c>
      <c r="D1515" s="24" t="str">
        <f t="array" ref="D1515">xlookup($A1515,product!$A:$A,product!D:D)</f>
        <v>Chocolat noir</v>
      </c>
      <c r="E1515" s="25" t="str">
        <f t="shared" si="1"/>
        <v>102588-Chocolat bio-Chocolat noir</v>
      </c>
      <c r="F1515" s="25">
        <v>0.0</v>
      </c>
      <c r="G1515" s="25">
        <v>286.0</v>
      </c>
      <c r="H1515" s="25">
        <v>31.0</v>
      </c>
      <c r="I1515" s="26">
        <f t="array" ref="I1515">XLOOKUP($A1515,product!A:A,product!E:E)</f>
        <v>2.05</v>
      </c>
      <c r="J1515" s="25">
        <f t="shared" si="2"/>
        <v>63.55</v>
      </c>
      <c r="K1515" s="27">
        <f t="shared" si="3"/>
        <v>1</v>
      </c>
      <c r="L1515" s="25">
        <f t="shared" si="4"/>
        <v>1</v>
      </c>
    </row>
    <row r="1516">
      <c r="A1516" s="19">
        <v>80794.0</v>
      </c>
      <c r="B1516" s="20" t="str">
        <f t="array" ref="B1516">xlookup($A1516,product!$A:$A,product!B:B)</f>
        <v>Epicerie sucrée</v>
      </c>
      <c r="C1516" s="20" t="str">
        <f t="array" ref="C1516">xlookup($A1516,product!$A:$A,product!C:C)</f>
        <v>Chocolat bio</v>
      </c>
      <c r="D1516" s="20" t="str">
        <f t="array" ref="D1516">xlookup($A1516,product!$A:$A,product!D:D)</f>
        <v>Chocolat noir</v>
      </c>
      <c r="E1516" s="4" t="str">
        <f t="shared" si="1"/>
        <v>80794-Chocolat bio-Chocolat noir</v>
      </c>
      <c r="F1516" s="4">
        <v>1.0</v>
      </c>
      <c r="G1516" s="4">
        <v>168.0</v>
      </c>
      <c r="H1516" s="4">
        <v>118.0</v>
      </c>
      <c r="I1516" s="21">
        <f t="array" ref="I1516">XLOOKUP($A1516,product!A:A,product!E:E)</f>
        <v>1.54</v>
      </c>
      <c r="J1516" s="4">
        <f t="shared" si="2"/>
        <v>181.72</v>
      </c>
      <c r="K1516" s="22">
        <f t="shared" si="3"/>
        <v>1</v>
      </c>
      <c r="L1516" s="4">
        <f t="shared" si="4"/>
        <v>1</v>
      </c>
    </row>
    <row r="1517">
      <c r="A1517" s="23">
        <v>80174.0</v>
      </c>
      <c r="B1517" s="24" t="str">
        <f t="array" ref="B1517">xlookup($A1517,product!$A:$A,product!B:B)</f>
        <v>Epicerie sucrée</v>
      </c>
      <c r="C1517" s="24" t="str">
        <f t="array" ref="C1517">xlookup($A1517,product!$A:$A,product!C:C)</f>
        <v>Chocolat bio</v>
      </c>
      <c r="D1517" s="24" t="str">
        <f t="array" ref="D1517">xlookup($A1517,product!$A:$A,product!D:D)</f>
        <v>Chocolat noir</v>
      </c>
      <c r="E1517" s="25" t="str">
        <f t="shared" si="1"/>
        <v>80174-Chocolat bio-Chocolat noir</v>
      </c>
      <c r="F1517" s="25">
        <v>1.0</v>
      </c>
      <c r="G1517" s="25">
        <v>207.0</v>
      </c>
      <c r="H1517" s="25">
        <v>85.0</v>
      </c>
      <c r="I1517" s="26">
        <f t="array" ref="I1517">XLOOKUP($A1517,product!A:A,product!E:E)</f>
        <v>2.66</v>
      </c>
      <c r="J1517" s="25">
        <f t="shared" si="2"/>
        <v>226.1</v>
      </c>
      <c r="K1517" s="27">
        <f t="shared" si="3"/>
        <v>1</v>
      </c>
      <c r="L1517" s="25">
        <f t="shared" si="4"/>
        <v>1</v>
      </c>
    </row>
    <row r="1518">
      <c r="A1518" s="19">
        <v>114722.0</v>
      </c>
      <c r="B1518" s="20" t="str">
        <f t="array" ref="B1518">xlookup($A1518,product!$A:$A,product!B:B)</f>
        <v>Epicerie sucrée</v>
      </c>
      <c r="C1518" s="20" t="str">
        <f t="array" ref="C1518">xlookup($A1518,product!$A:$A,product!C:C)</f>
        <v>Chocolat bio</v>
      </c>
      <c r="D1518" s="20" t="str">
        <f t="array" ref="D1518">xlookup($A1518,product!$A:$A,product!D:D)</f>
        <v>Chocolat noir</v>
      </c>
      <c r="E1518" s="4" t="str">
        <f t="shared" si="1"/>
        <v>114722-Chocolat bio-Chocolat noir</v>
      </c>
      <c r="F1518" s="4">
        <v>0.0</v>
      </c>
      <c r="G1518" s="4">
        <v>940.0</v>
      </c>
      <c r="H1518" s="4">
        <v>331.0</v>
      </c>
      <c r="I1518" s="21">
        <f t="array" ref="I1518">XLOOKUP($A1518,product!A:A,product!E:E)</f>
        <v>2.99</v>
      </c>
      <c r="J1518" s="4">
        <f t="shared" si="2"/>
        <v>989.69</v>
      </c>
      <c r="K1518" s="22">
        <f t="shared" si="3"/>
        <v>1</v>
      </c>
      <c r="L1518" s="4">
        <f t="shared" si="4"/>
        <v>1</v>
      </c>
    </row>
    <row r="1519">
      <c r="A1519" s="23">
        <v>180843.0</v>
      </c>
      <c r="B1519" s="24" t="str">
        <f t="array" ref="B1519">xlookup($A1519,product!$A:$A,product!B:B)</f>
        <v>Epicerie sucrée</v>
      </c>
      <c r="C1519" s="24" t="str">
        <f t="array" ref="C1519">xlookup($A1519,product!$A:$A,product!C:C)</f>
        <v>Chocolat bio</v>
      </c>
      <c r="D1519" s="24" t="str">
        <f t="array" ref="D1519">xlookup($A1519,product!$A:$A,product!D:D)</f>
        <v>Chocolat noir</v>
      </c>
      <c r="E1519" s="25" t="str">
        <f t="shared" si="1"/>
        <v>180843-Chocolat bio-Chocolat noir</v>
      </c>
      <c r="F1519" s="25">
        <v>1.0</v>
      </c>
      <c r="G1519" s="25">
        <v>585.0</v>
      </c>
      <c r="H1519" s="25">
        <v>258.0</v>
      </c>
      <c r="I1519" s="26">
        <f t="array" ref="I1519">XLOOKUP($A1519,product!A:A,product!E:E)</f>
        <v>2.34</v>
      </c>
      <c r="J1519" s="25">
        <f t="shared" si="2"/>
        <v>603.72</v>
      </c>
      <c r="K1519" s="27">
        <f t="shared" si="3"/>
        <v>1</v>
      </c>
      <c r="L1519" s="25">
        <f t="shared" si="4"/>
        <v>1</v>
      </c>
    </row>
    <row r="1520">
      <c r="A1520" s="19">
        <v>22020.0</v>
      </c>
      <c r="B1520" s="20" t="str">
        <f t="array" ref="B1520">xlookup($A1520,product!$A:$A,product!B:B)</f>
        <v>Epicerie sucrée</v>
      </c>
      <c r="C1520" s="20" t="str">
        <f t="array" ref="C1520">xlookup($A1520,product!$A:$A,product!C:C)</f>
        <v>Chocolat bio</v>
      </c>
      <c r="D1520" s="20" t="str">
        <f t="array" ref="D1520">xlookup($A1520,product!$A:$A,product!D:D)</f>
        <v>Chocolat noir</v>
      </c>
      <c r="E1520" s="4" t="str">
        <f t="shared" si="1"/>
        <v>22020-Chocolat bio-Chocolat noir</v>
      </c>
      <c r="F1520" s="4">
        <v>0.0</v>
      </c>
      <c r="G1520" s="4">
        <v>444.0</v>
      </c>
      <c r="H1520" s="4">
        <v>277.0</v>
      </c>
      <c r="I1520" s="21">
        <f t="array" ref="I1520">XLOOKUP($A1520,product!A:A,product!E:E)</f>
        <v>1.54</v>
      </c>
      <c r="J1520" s="4">
        <f t="shared" si="2"/>
        <v>426.58</v>
      </c>
      <c r="K1520" s="22">
        <f t="shared" si="3"/>
        <v>1</v>
      </c>
      <c r="L1520" s="4">
        <f t="shared" si="4"/>
        <v>1</v>
      </c>
    </row>
    <row r="1521">
      <c r="A1521" s="23">
        <v>111259.0</v>
      </c>
      <c r="B1521" s="24" t="str">
        <f t="array" ref="B1521">xlookup($A1521,product!$A:$A,product!B:B)</f>
        <v>Epicerie sucrée</v>
      </c>
      <c r="C1521" s="24" t="str">
        <f t="array" ref="C1521">xlookup($A1521,product!$A:$A,product!C:C)</f>
        <v>Chocolat bio</v>
      </c>
      <c r="D1521" s="24" t="str">
        <f t="array" ref="D1521">xlookup($A1521,product!$A:$A,product!D:D)</f>
        <v>Chocolat noir</v>
      </c>
      <c r="E1521" s="25" t="str">
        <f t="shared" si="1"/>
        <v>111259-Chocolat bio-Chocolat noir</v>
      </c>
      <c r="F1521" s="25">
        <v>0.0</v>
      </c>
      <c r="G1521" s="25">
        <v>928.0</v>
      </c>
      <c r="H1521" s="25">
        <v>351.0</v>
      </c>
      <c r="I1521" s="26">
        <f t="array" ref="I1521">XLOOKUP($A1521,product!A:A,product!E:E)</f>
        <v>2.48</v>
      </c>
      <c r="J1521" s="25">
        <f t="shared" si="2"/>
        <v>870.48</v>
      </c>
      <c r="K1521" s="27">
        <f t="shared" si="3"/>
        <v>1</v>
      </c>
      <c r="L1521" s="25">
        <f t="shared" si="4"/>
        <v>1</v>
      </c>
    </row>
    <row r="1522">
      <c r="A1522" s="19">
        <v>89895.0</v>
      </c>
      <c r="B1522" s="20" t="str">
        <f t="array" ref="B1522">xlookup($A1522,product!$A:$A,product!B:B)</f>
        <v>Epicerie sucrée</v>
      </c>
      <c r="C1522" s="20" t="str">
        <f t="array" ref="C1522">xlookup($A1522,product!$A:$A,product!C:C)</f>
        <v>Chocolat bio</v>
      </c>
      <c r="D1522" s="20" t="str">
        <f t="array" ref="D1522">xlookup($A1522,product!$A:$A,product!D:D)</f>
        <v>Chocolat noir</v>
      </c>
      <c r="E1522" s="4" t="str">
        <f t="shared" si="1"/>
        <v>89895-Chocolat bio-Chocolat noir</v>
      </c>
      <c r="F1522" s="4">
        <v>1.0</v>
      </c>
      <c r="G1522" s="4">
        <v>545.0</v>
      </c>
      <c r="H1522" s="4">
        <v>379.0</v>
      </c>
      <c r="I1522" s="21">
        <f t="array" ref="I1522">XLOOKUP($A1522,product!A:A,product!E:E)</f>
        <v>2.97</v>
      </c>
      <c r="J1522" s="4">
        <f t="shared" si="2"/>
        <v>1125.63</v>
      </c>
      <c r="K1522" s="22">
        <f t="shared" si="3"/>
        <v>1</v>
      </c>
      <c r="L1522" s="4">
        <f t="shared" si="4"/>
        <v>1</v>
      </c>
    </row>
    <row r="1523">
      <c r="A1523" s="23">
        <v>22014.0</v>
      </c>
      <c r="B1523" s="24" t="str">
        <f t="array" ref="B1523">xlookup($A1523,product!$A:$A,product!B:B)</f>
        <v>Epicerie sucrée</v>
      </c>
      <c r="C1523" s="24" t="str">
        <f t="array" ref="C1523">xlookup($A1523,product!$A:$A,product!C:C)</f>
        <v>Chocolat bio</v>
      </c>
      <c r="D1523" s="24" t="str">
        <f t="array" ref="D1523">xlookup($A1523,product!$A:$A,product!D:D)</f>
        <v>Chocolat noir</v>
      </c>
      <c r="E1523" s="25" t="str">
        <f t="shared" si="1"/>
        <v>22014-Chocolat bio-Chocolat noir</v>
      </c>
      <c r="F1523" s="25">
        <v>1.0</v>
      </c>
      <c r="G1523" s="25">
        <v>263.0</v>
      </c>
      <c r="H1523" s="25">
        <v>15.0</v>
      </c>
      <c r="I1523" s="26">
        <f t="array" ref="I1523">XLOOKUP($A1523,product!A:A,product!E:E)</f>
        <v>1.46</v>
      </c>
      <c r="J1523" s="25">
        <f t="shared" si="2"/>
        <v>21.9</v>
      </c>
      <c r="K1523" s="27">
        <f t="shared" si="3"/>
        <v>1</v>
      </c>
      <c r="L1523" s="25">
        <f t="shared" si="4"/>
        <v>1</v>
      </c>
    </row>
    <row r="1524">
      <c r="A1524" s="19">
        <v>44254.0</v>
      </c>
      <c r="B1524" s="20" t="str">
        <f t="array" ref="B1524">xlookup($A1524,product!$A:$A,product!B:B)</f>
        <v>Epicerie sucrée</v>
      </c>
      <c r="C1524" s="20" t="str">
        <f t="array" ref="C1524">xlookup($A1524,product!$A:$A,product!C:C)</f>
        <v>Chocolat bio</v>
      </c>
      <c r="D1524" s="20" t="str">
        <f t="array" ref="D1524">xlookup($A1524,product!$A:$A,product!D:D)</f>
        <v>Chocolat noir</v>
      </c>
      <c r="E1524" s="4" t="str">
        <f t="shared" si="1"/>
        <v>44254-Chocolat bio-Chocolat noir</v>
      </c>
      <c r="F1524" s="4">
        <v>0.0</v>
      </c>
      <c r="G1524" s="4">
        <v>366.0</v>
      </c>
      <c r="H1524" s="4">
        <v>243.0</v>
      </c>
      <c r="I1524" s="21">
        <f t="array" ref="I1524">XLOOKUP($A1524,product!A:A,product!E:E)</f>
        <v>2.24</v>
      </c>
      <c r="J1524" s="4">
        <f t="shared" si="2"/>
        <v>544.32</v>
      </c>
      <c r="K1524" s="22">
        <f t="shared" si="3"/>
        <v>1</v>
      </c>
      <c r="L1524" s="4">
        <f t="shared" si="4"/>
        <v>1</v>
      </c>
    </row>
    <row r="1525">
      <c r="A1525" s="23">
        <v>22025.0</v>
      </c>
      <c r="B1525" s="24" t="str">
        <f t="array" ref="B1525">xlookup($A1525,product!$A:$A,product!B:B)</f>
        <v>Epicerie sucrée</v>
      </c>
      <c r="C1525" s="24" t="str">
        <f t="array" ref="C1525">xlookup($A1525,product!$A:$A,product!C:C)</f>
        <v>Chocolat bio</v>
      </c>
      <c r="D1525" s="24" t="str">
        <f t="array" ref="D1525">xlookup($A1525,product!$A:$A,product!D:D)</f>
        <v>Chocolat noir</v>
      </c>
      <c r="E1525" s="25" t="str">
        <f t="shared" si="1"/>
        <v>22025-Chocolat bio-Chocolat noir</v>
      </c>
      <c r="F1525" s="25">
        <v>0.0</v>
      </c>
      <c r="G1525" s="25">
        <v>651.0</v>
      </c>
      <c r="H1525" s="25">
        <v>637.0</v>
      </c>
      <c r="I1525" s="26">
        <f t="array" ref="I1525">XLOOKUP($A1525,product!A:A,product!E:E)</f>
        <v>1.54</v>
      </c>
      <c r="J1525" s="25">
        <f t="shared" si="2"/>
        <v>980.98</v>
      </c>
      <c r="K1525" s="27">
        <f t="shared" si="3"/>
        <v>1</v>
      </c>
      <c r="L1525" s="25">
        <f t="shared" si="4"/>
        <v>1</v>
      </c>
    </row>
    <row r="1526">
      <c r="A1526" s="19">
        <v>83765.0</v>
      </c>
      <c r="B1526" s="20" t="str">
        <f t="array" ref="B1526">xlookup($A1526,product!$A:$A,product!B:B)</f>
        <v>Epicerie sucrée</v>
      </c>
      <c r="C1526" s="20" t="str">
        <f t="array" ref="C1526">xlookup($A1526,product!$A:$A,product!C:C)</f>
        <v>Chocolat bio</v>
      </c>
      <c r="D1526" s="20" t="str">
        <f t="array" ref="D1526">xlookup($A1526,product!$A:$A,product!D:D)</f>
        <v>Chocolat noir</v>
      </c>
      <c r="E1526" s="4" t="str">
        <f t="shared" si="1"/>
        <v>83765-Chocolat bio-Chocolat noir</v>
      </c>
      <c r="F1526" s="4">
        <v>1.0</v>
      </c>
      <c r="G1526" s="4">
        <v>741.0</v>
      </c>
      <c r="H1526" s="4">
        <v>324.0</v>
      </c>
      <c r="I1526" s="21">
        <f t="array" ref="I1526">XLOOKUP($A1526,product!A:A,product!E:E)</f>
        <v>1.87</v>
      </c>
      <c r="J1526" s="4">
        <f t="shared" si="2"/>
        <v>605.88</v>
      </c>
      <c r="K1526" s="22">
        <f t="shared" si="3"/>
        <v>1</v>
      </c>
      <c r="L1526" s="4">
        <f t="shared" si="4"/>
        <v>1</v>
      </c>
    </row>
    <row r="1527">
      <c r="A1527" s="23">
        <v>89930.0</v>
      </c>
      <c r="B1527" s="24" t="str">
        <f t="array" ref="B1527">xlookup($A1527,product!$A:$A,product!B:B)</f>
        <v>Epicerie sucrée</v>
      </c>
      <c r="C1527" s="24" t="str">
        <f t="array" ref="C1527">xlookup($A1527,product!$A:$A,product!C:C)</f>
        <v>Chocolat bio</v>
      </c>
      <c r="D1527" s="24" t="str">
        <f t="array" ref="D1527">xlookup($A1527,product!$A:$A,product!D:D)</f>
        <v>Chocolat noir</v>
      </c>
      <c r="E1527" s="25" t="str">
        <f t="shared" si="1"/>
        <v>89930-Chocolat bio-Chocolat noir</v>
      </c>
      <c r="F1527" s="25">
        <v>1.0</v>
      </c>
      <c r="G1527" s="25">
        <v>906.0</v>
      </c>
      <c r="H1527" s="25">
        <v>151.0</v>
      </c>
      <c r="I1527" s="26">
        <f t="array" ref="I1527">XLOOKUP($A1527,product!A:A,product!E:E)</f>
        <v>2.93</v>
      </c>
      <c r="J1527" s="25">
        <f t="shared" si="2"/>
        <v>442.43</v>
      </c>
      <c r="K1527" s="27">
        <f t="shared" si="3"/>
        <v>1</v>
      </c>
      <c r="L1527" s="25">
        <f t="shared" si="4"/>
        <v>1</v>
      </c>
    </row>
    <row r="1528">
      <c r="A1528" s="19">
        <v>83767.0</v>
      </c>
      <c r="B1528" s="20" t="str">
        <f t="array" ref="B1528">xlookup($A1528,product!$A:$A,product!B:B)</f>
        <v>Epicerie sucrée</v>
      </c>
      <c r="C1528" s="20" t="str">
        <f t="array" ref="C1528">xlookup($A1528,product!$A:$A,product!C:C)</f>
        <v>Chocolat bio</v>
      </c>
      <c r="D1528" s="20" t="str">
        <f t="array" ref="D1528">xlookup($A1528,product!$A:$A,product!D:D)</f>
        <v>Chocolat noir</v>
      </c>
      <c r="E1528" s="4" t="str">
        <f t="shared" si="1"/>
        <v>83767-Chocolat bio-Chocolat noir</v>
      </c>
      <c r="F1528" s="4">
        <v>1.0</v>
      </c>
      <c r="G1528" s="4">
        <v>658.0</v>
      </c>
      <c r="H1528" s="4">
        <v>568.0</v>
      </c>
      <c r="I1528" s="21">
        <f t="array" ref="I1528">XLOOKUP($A1528,product!A:A,product!E:E)</f>
        <v>1.87</v>
      </c>
      <c r="J1528" s="4">
        <f t="shared" si="2"/>
        <v>1062.16</v>
      </c>
      <c r="K1528" s="22">
        <f t="shared" si="3"/>
        <v>1</v>
      </c>
      <c r="L1528" s="4">
        <f t="shared" si="4"/>
        <v>1</v>
      </c>
    </row>
    <row r="1529">
      <c r="A1529" s="23">
        <v>83745.0</v>
      </c>
      <c r="B1529" s="24" t="str">
        <f t="array" ref="B1529">xlookup($A1529,product!$A:$A,product!B:B)</f>
        <v>Epicerie sucrée</v>
      </c>
      <c r="C1529" s="24" t="str">
        <f t="array" ref="C1529">xlookup($A1529,product!$A:$A,product!C:C)</f>
        <v>Chocolat bio</v>
      </c>
      <c r="D1529" s="24" t="str">
        <f t="array" ref="D1529">xlookup($A1529,product!$A:$A,product!D:D)</f>
        <v>Chocolat noir</v>
      </c>
      <c r="E1529" s="25" t="str">
        <f t="shared" si="1"/>
        <v>83745-Chocolat bio-Chocolat noir</v>
      </c>
      <c r="F1529" s="25">
        <v>0.0</v>
      </c>
      <c r="G1529" s="25">
        <v>273.0</v>
      </c>
      <c r="H1529" s="25">
        <v>210.0</v>
      </c>
      <c r="I1529" s="26">
        <f t="array" ref="I1529">XLOOKUP($A1529,product!A:A,product!E:E)</f>
        <v>1.81</v>
      </c>
      <c r="J1529" s="25">
        <f t="shared" si="2"/>
        <v>380.1</v>
      </c>
      <c r="K1529" s="27">
        <f t="shared" si="3"/>
        <v>1</v>
      </c>
      <c r="L1529" s="25">
        <f t="shared" si="4"/>
        <v>1</v>
      </c>
    </row>
    <row r="1530">
      <c r="A1530" s="19">
        <v>78827.0</v>
      </c>
      <c r="B1530" s="20" t="str">
        <f t="array" ref="B1530">xlookup($A1530,product!$A:$A,product!B:B)</f>
        <v>Epicerie sucrée</v>
      </c>
      <c r="C1530" s="20" t="str">
        <f t="array" ref="C1530">xlookup($A1530,product!$A:$A,product!C:C)</f>
        <v>Chocolat bio</v>
      </c>
      <c r="D1530" s="20" t="str">
        <f t="array" ref="D1530">xlookup($A1530,product!$A:$A,product!D:D)</f>
        <v>Chocolat noir</v>
      </c>
      <c r="E1530" s="4" t="str">
        <f t="shared" si="1"/>
        <v>78827-Chocolat bio-Chocolat noir</v>
      </c>
      <c r="F1530" s="4">
        <v>0.0</v>
      </c>
      <c r="G1530" s="4">
        <v>626.0</v>
      </c>
      <c r="H1530" s="4">
        <v>170.0</v>
      </c>
      <c r="I1530" s="21">
        <f t="array" ref="I1530">XLOOKUP($A1530,product!A:A,product!E:E)</f>
        <v>1.43</v>
      </c>
      <c r="J1530" s="4">
        <f t="shared" si="2"/>
        <v>243.1</v>
      </c>
      <c r="K1530" s="22">
        <f t="shared" si="3"/>
        <v>1</v>
      </c>
      <c r="L1530" s="4">
        <f t="shared" si="4"/>
        <v>1</v>
      </c>
    </row>
    <row r="1531">
      <c r="A1531" s="23">
        <v>122266.0</v>
      </c>
      <c r="B1531" s="24" t="str">
        <f t="array" ref="B1531">xlookup($A1531,product!$A:$A,product!B:B)</f>
        <v>Epicerie sucrée</v>
      </c>
      <c r="C1531" s="24" t="str">
        <f t="array" ref="C1531">xlookup($A1531,product!$A:$A,product!C:C)</f>
        <v>Chocolat bio</v>
      </c>
      <c r="D1531" s="24" t="str">
        <f t="array" ref="D1531">xlookup($A1531,product!$A:$A,product!D:D)</f>
        <v>Chocolat noir</v>
      </c>
      <c r="E1531" s="25" t="str">
        <f t="shared" si="1"/>
        <v>122266-Chocolat bio-Chocolat noir</v>
      </c>
      <c r="F1531" s="25">
        <v>1.0</v>
      </c>
      <c r="G1531" s="25">
        <v>826.0</v>
      </c>
      <c r="H1531" s="25">
        <v>806.0</v>
      </c>
      <c r="I1531" s="26">
        <f t="array" ref="I1531">XLOOKUP($A1531,product!A:A,product!E:E)</f>
        <v>1.71</v>
      </c>
      <c r="J1531" s="25">
        <f t="shared" si="2"/>
        <v>1378.26</v>
      </c>
      <c r="K1531" s="27">
        <f t="shared" si="3"/>
        <v>1</v>
      </c>
      <c r="L1531" s="25">
        <f t="shared" si="4"/>
        <v>1</v>
      </c>
    </row>
    <row r="1532">
      <c r="A1532" s="19">
        <v>949.0</v>
      </c>
      <c r="B1532" s="20" t="str">
        <f t="array" ref="B1532">xlookup($A1532,product!$A:$A,product!B:B)</f>
        <v>Epicerie sucrée</v>
      </c>
      <c r="C1532" s="20" t="str">
        <f t="array" ref="C1532">xlookup($A1532,product!$A:$A,product!C:C)</f>
        <v>Chocolat bio</v>
      </c>
      <c r="D1532" s="20" t="str">
        <f t="array" ref="D1532">xlookup($A1532,product!$A:$A,product!D:D)</f>
        <v>Chocolat noir</v>
      </c>
      <c r="E1532" s="4" t="str">
        <f t="shared" si="1"/>
        <v>949-Chocolat bio-Chocolat noir</v>
      </c>
      <c r="F1532" s="4">
        <v>1.0</v>
      </c>
      <c r="G1532" s="4">
        <v>365.0</v>
      </c>
      <c r="H1532" s="4">
        <v>349.0</v>
      </c>
      <c r="I1532" s="21">
        <f t="array" ref="I1532">XLOOKUP($A1532,product!A:A,product!E:E)</f>
        <v>1.4</v>
      </c>
      <c r="J1532" s="4">
        <f t="shared" si="2"/>
        <v>488.6</v>
      </c>
      <c r="K1532" s="22">
        <f t="shared" si="3"/>
        <v>1</v>
      </c>
      <c r="L1532" s="4">
        <f t="shared" si="4"/>
        <v>1</v>
      </c>
    </row>
    <row r="1533">
      <c r="A1533" s="23">
        <v>102595.0</v>
      </c>
      <c r="B1533" s="24" t="str">
        <f t="array" ref="B1533">xlookup($A1533,product!$A:$A,product!B:B)</f>
        <v>Epicerie sucrée</v>
      </c>
      <c r="C1533" s="24" t="str">
        <f t="array" ref="C1533">xlookup($A1533,product!$A:$A,product!C:C)</f>
        <v>Chocolat bio</v>
      </c>
      <c r="D1533" s="24" t="str">
        <f t="array" ref="D1533">xlookup($A1533,product!$A:$A,product!D:D)</f>
        <v>Chocolat noir</v>
      </c>
      <c r="E1533" s="25" t="str">
        <f t="shared" si="1"/>
        <v>102595-Chocolat bio-Chocolat noir</v>
      </c>
      <c r="F1533" s="25">
        <v>0.0</v>
      </c>
      <c r="G1533" s="25">
        <v>385.0</v>
      </c>
      <c r="H1533" s="25">
        <v>307.0</v>
      </c>
      <c r="I1533" s="26">
        <f t="array" ref="I1533">XLOOKUP($A1533,product!A:A,product!E:E)</f>
        <v>1.77</v>
      </c>
      <c r="J1533" s="25">
        <f t="shared" si="2"/>
        <v>543.39</v>
      </c>
      <c r="K1533" s="27">
        <f t="shared" si="3"/>
        <v>1</v>
      </c>
      <c r="L1533" s="25">
        <f t="shared" si="4"/>
        <v>1</v>
      </c>
    </row>
    <row r="1534">
      <c r="A1534" s="19">
        <v>80790.0</v>
      </c>
      <c r="B1534" s="20" t="str">
        <f t="array" ref="B1534">xlookup($A1534,product!$A:$A,product!B:B)</f>
        <v>Epicerie sucrée</v>
      </c>
      <c r="C1534" s="20" t="str">
        <f t="array" ref="C1534">xlookup($A1534,product!$A:$A,product!C:C)</f>
        <v>Chocolat bio</v>
      </c>
      <c r="D1534" s="20" t="str">
        <f t="array" ref="D1534">xlookup($A1534,product!$A:$A,product!D:D)</f>
        <v>Chocolat noir</v>
      </c>
      <c r="E1534" s="4" t="str">
        <f t="shared" si="1"/>
        <v>80790-Chocolat bio-Chocolat noir</v>
      </c>
      <c r="F1534" s="4">
        <v>1.0</v>
      </c>
      <c r="G1534" s="4">
        <v>889.0</v>
      </c>
      <c r="H1534" s="4">
        <v>253.0</v>
      </c>
      <c r="I1534" s="21">
        <f t="array" ref="I1534">XLOOKUP($A1534,product!A:A,product!E:E)</f>
        <v>1.49</v>
      </c>
      <c r="J1534" s="4">
        <f t="shared" si="2"/>
        <v>376.97</v>
      </c>
      <c r="K1534" s="22">
        <f t="shared" si="3"/>
        <v>1</v>
      </c>
      <c r="L1534" s="4">
        <f t="shared" si="4"/>
        <v>1</v>
      </c>
    </row>
    <row r="1535">
      <c r="A1535" s="23">
        <v>114257.0</v>
      </c>
      <c r="B1535" s="24" t="str">
        <f t="array" ref="B1535">xlookup($A1535,product!$A:$A,product!B:B)</f>
        <v>Epicerie sucrée</v>
      </c>
      <c r="C1535" s="24" t="str">
        <f t="array" ref="C1535">xlookup($A1535,product!$A:$A,product!C:C)</f>
        <v>Chocolat bio</v>
      </c>
      <c r="D1535" s="24" t="str">
        <f t="array" ref="D1535">xlookup($A1535,product!$A:$A,product!D:D)</f>
        <v>Chocolat noir</v>
      </c>
      <c r="E1535" s="25" t="str">
        <f t="shared" si="1"/>
        <v>114257-Chocolat bio-Chocolat noir</v>
      </c>
      <c r="F1535" s="25">
        <v>1.0</v>
      </c>
      <c r="G1535" s="25">
        <v>654.0</v>
      </c>
      <c r="H1535" s="25">
        <v>325.0</v>
      </c>
      <c r="I1535" s="26">
        <f t="array" ref="I1535">XLOOKUP($A1535,product!A:A,product!E:E)</f>
        <v>1.86</v>
      </c>
      <c r="J1535" s="25">
        <f t="shared" si="2"/>
        <v>604.5</v>
      </c>
      <c r="K1535" s="27">
        <f t="shared" si="3"/>
        <v>1</v>
      </c>
      <c r="L1535" s="25">
        <f t="shared" si="4"/>
        <v>1</v>
      </c>
    </row>
    <row r="1536">
      <c r="A1536" s="19">
        <v>80121.0</v>
      </c>
      <c r="B1536" s="20" t="str">
        <f t="array" ref="B1536">xlookup($A1536,product!$A:$A,product!B:B)</f>
        <v>Epicerie sucrée</v>
      </c>
      <c r="C1536" s="20" t="str">
        <f t="array" ref="C1536">xlookup($A1536,product!$A:$A,product!C:C)</f>
        <v>Chocolat bio</v>
      </c>
      <c r="D1536" s="20" t="str">
        <f t="array" ref="D1536">xlookup($A1536,product!$A:$A,product!D:D)</f>
        <v>Chocolat noir</v>
      </c>
      <c r="E1536" s="4" t="str">
        <f t="shared" si="1"/>
        <v>80121-Chocolat bio-Chocolat noir</v>
      </c>
      <c r="F1536" s="4">
        <v>0.0</v>
      </c>
      <c r="G1536" s="4">
        <v>95.0</v>
      </c>
      <c r="H1536" s="4">
        <v>26.0</v>
      </c>
      <c r="I1536" s="21">
        <f t="array" ref="I1536">XLOOKUP($A1536,product!A:A,product!E:E)</f>
        <v>2.4</v>
      </c>
      <c r="J1536" s="4">
        <f t="shared" si="2"/>
        <v>62.4</v>
      </c>
      <c r="K1536" s="22">
        <f t="shared" si="3"/>
        <v>1</v>
      </c>
      <c r="L1536" s="4">
        <f t="shared" si="4"/>
        <v>1</v>
      </c>
    </row>
    <row r="1537">
      <c r="A1537" s="23">
        <v>164929.0</v>
      </c>
      <c r="B1537" s="24" t="str">
        <f t="array" ref="B1537">xlookup($A1537,product!$A:$A,product!B:B)</f>
        <v>Epicerie sucrée</v>
      </c>
      <c r="C1537" s="24" t="str">
        <f t="array" ref="C1537">xlookup($A1537,product!$A:$A,product!C:C)</f>
        <v>Chocolat bio</v>
      </c>
      <c r="D1537" s="24" t="str">
        <f t="array" ref="D1537">xlookup($A1537,product!$A:$A,product!D:D)</f>
        <v>Chocolat noir</v>
      </c>
      <c r="E1537" s="25" t="str">
        <f t="shared" si="1"/>
        <v>164929-Chocolat bio-Chocolat noir</v>
      </c>
      <c r="F1537" s="25">
        <v>1.0</v>
      </c>
      <c r="G1537" s="25">
        <v>557.0</v>
      </c>
      <c r="H1537" s="25">
        <v>251.0</v>
      </c>
      <c r="I1537" s="26">
        <f t="array" ref="I1537">XLOOKUP($A1537,product!A:A,product!E:E)</f>
        <v>1.2</v>
      </c>
      <c r="J1537" s="25">
        <f t="shared" si="2"/>
        <v>301.2</v>
      </c>
      <c r="K1537" s="27">
        <f t="shared" si="3"/>
        <v>1</v>
      </c>
      <c r="L1537" s="25">
        <f t="shared" si="4"/>
        <v>1</v>
      </c>
    </row>
    <row r="1538">
      <c r="A1538" s="19">
        <v>80180.0</v>
      </c>
      <c r="B1538" s="20" t="str">
        <f t="array" ref="B1538">xlookup($A1538,product!$A:$A,product!B:B)</f>
        <v>Epicerie sucrée</v>
      </c>
      <c r="C1538" s="20" t="str">
        <f t="array" ref="C1538">xlookup($A1538,product!$A:$A,product!C:C)</f>
        <v>Chocolat bio</v>
      </c>
      <c r="D1538" s="20" t="str">
        <f t="array" ref="D1538">xlookup($A1538,product!$A:$A,product!D:D)</f>
        <v>Chocolat noir</v>
      </c>
      <c r="E1538" s="4" t="str">
        <f t="shared" si="1"/>
        <v>80180-Chocolat bio-Chocolat noir</v>
      </c>
      <c r="F1538" s="4">
        <v>1.0</v>
      </c>
      <c r="G1538" s="4">
        <v>909.0</v>
      </c>
      <c r="H1538" s="4">
        <v>780.0</v>
      </c>
      <c r="I1538" s="21">
        <f t="array" ref="I1538">XLOOKUP($A1538,product!A:A,product!E:E)</f>
        <v>3.85</v>
      </c>
      <c r="J1538" s="4">
        <f t="shared" si="2"/>
        <v>3003</v>
      </c>
      <c r="K1538" s="22">
        <f t="shared" si="3"/>
        <v>1</v>
      </c>
      <c r="L1538" s="4">
        <f t="shared" si="4"/>
        <v>1</v>
      </c>
    </row>
    <row r="1539">
      <c r="A1539" s="23">
        <v>92930.0</v>
      </c>
      <c r="B1539" s="24" t="str">
        <f t="array" ref="B1539">xlookup($A1539,product!$A:$A,product!B:B)</f>
        <v>Epicerie sucrée</v>
      </c>
      <c r="C1539" s="24" t="str">
        <f t="array" ref="C1539">xlookup($A1539,product!$A:$A,product!C:C)</f>
        <v>Chocolat bio</v>
      </c>
      <c r="D1539" s="24" t="str">
        <f t="array" ref="D1539">xlookup($A1539,product!$A:$A,product!D:D)</f>
        <v>Chocolat noir</v>
      </c>
      <c r="E1539" s="25" t="str">
        <f t="shared" si="1"/>
        <v>92930-Chocolat bio-Chocolat noir</v>
      </c>
      <c r="F1539" s="25">
        <v>0.0</v>
      </c>
      <c r="G1539" s="25">
        <v>296.0</v>
      </c>
      <c r="H1539" s="25">
        <v>226.0</v>
      </c>
      <c r="I1539" s="26">
        <f t="array" ref="I1539">XLOOKUP($A1539,product!A:A,product!E:E)</f>
        <v>2.3</v>
      </c>
      <c r="J1539" s="25">
        <f t="shared" si="2"/>
        <v>519.8</v>
      </c>
      <c r="K1539" s="27">
        <f t="shared" si="3"/>
        <v>1</v>
      </c>
      <c r="L1539" s="25">
        <f t="shared" si="4"/>
        <v>1</v>
      </c>
    </row>
    <row r="1540">
      <c r="A1540" s="19">
        <v>147271.0</v>
      </c>
      <c r="B1540" s="20" t="str">
        <f t="array" ref="B1540">xlookup($A1540,product!$A:$A,product!B:B)</f>
        <v>Epicerie sucrée</v>
      </c>
      <c r="C1540" s="20" t="str">
        <f t="array" ref="C1540">xlookup($A1540,product!$A:$A,product!C:C)</f>
        <v>Chocolat bio</v>
      </c>
      <c r="D1540" s="20" t="str">
        <f t="array" ref="D1540">xlookup($A1540,product!$A:$A,product!D:D)</f>
        <v>Chocolat noir</v>
      </c>
      <c r="E1540" s="4" t="str">
        <f t="shared" si="1"/>
        <v>147271-Chocolat bio-Chocolat noir</v>
      </c>
      <c r="F1540" s="4">
        <v>0.0</v>
      </c>
      <c r="G1540" s="4">
        <v>910.0</v>
      </c>
      <c r="H1540" s="4">
        <v>711.0</v>
      </c>
      <c r="I1540" s="21">
        <f t="array" ref="I1540">XLOOKUP($A1540,product!A:A,product!E:E)</f>
        <v>1.74</v>
      </c>
      <c r="J1540" s="4">
        <f t="shared" si="2"/>
        <v>1237.14</v>
      </c>
      <c r="K1540" s="22">
        <f t="shared" si="3"/>
        <v>1</v>
      </c>
      <c r="L1540" s="4">
        <f t="shared" si="4"/>
        <v>1</v>
      </c>
    </row>
    <row r="1541">
      <c r="A1541" s="23">
        <v>83748.0</v>
      </c>
      <c r="B1541" s="24" t="str">
        <f t="array" ref="B1541">xlookup($A1541,product!$A:$A,product!B:B)</f>
        <v>Epicerie sucrée</v>
      </c>
      <c r="C1541" s="24" t="str">
        <f t="array" ref="C1541">xlookup($A1541,product!$A:$A,product!C:C)</f>
        <v>Chocolat bio</v>
      </c>
      <c r="D1541" s="24" t="str">
        <f t="array" ref="D1541">xlookup($A1541,product!$A:$A,product!D:D)</f>
        <v>Chocolat noir</v>
      </c>
      <c r="E1541" s="25" t="str">
        <f t="shared" si="1"/>
        <v>83748-Chocolat bio-Chocolat noir</v>
      </c>
      <c r="F1541" s="25">
        <v>0.0</v>
      </c>
      <c r="G1541" s="25">
        <v>123.0</v>
      </c>
      <c r="H1541" s="25">
        <v>67.0</v>
      </c>
      <c r="I1541" s="26">
        <f t="array" ref="I1541">XLOOKUP($A1541,product!A:A,product!E:E)</f>
        <v>1.81</v>
      </c>
      <c r="J1541" s="25">
        <f t="shared" si="2"/>
        <v>121.27</v>
      </c>
      <c r="K1541" s="27">
        <f t="shared" si="3"/>
        <v>1</v>
      </c>
      <c r="L1541" s="25">
        <f t="shared" si="4"/>
        <v>1</v>
      </c>
    </row>
    <row r="1542">
      <c r="A1542" s="19">
        <v>80120.0</v>
      </c>
      <c r="B1542" s="20" t="str">
        <f t="array" ref="B1542">xlookup($A1542,product!$A:$A,product!B:B)</f>
        <v>Epicerie sucrée</v>
      </c>
      <c r="C1542" s="20" t="str">
        <f t="array" ref="C1542">xlookup($A1542,product!$A:$A,product!C:C)</f>
        <v>Chocolat bio</v>
      </c>
      <c r="D1542" s="20" t="str">
        <f t="array" ref="D1542">xlookup($A1542,product!$A:$A,product!D:D)</f>
        <v>Chocolat noir</v>
      </c>
      <c r="E1542" s="4" t="str">
        <f t="shared" si="1"/>
        <v>80120-Chocolat bio-Chocolat noir</v>
      </c>
      <c r="F1542" s="4">
        <v>1.0</v>
      </c>
      <c r="G1542" s="4">
        <v>186.0</v>
      </c>
      <c r="H1542" s="4">
        <v>43.0</v>
      </c>
      <c r="I1542" s="21">
        <f t="array" ref="I1542">XLOOKUP($A1542,product!A:A,product!E:E)</f>
        <v>1.97</v>
      </c>
      <c r="J1542" s="4">
        <f t="shared" si="2"/>
        <v>84.71</v>
      </c>
      <c r="K1542" s="22">
        <f t="shared" si="3"/>
        <v>1</v>
      </c>
      <c r="L1542" s="4">
        <f t="shared" si="4"/>
        <v>1</v>
      </c>
    </row>
    <row r="1543">
      <c r="A1543" s="23">
        <v>164931.0</v>
      </c>
      <c r="B1543" s="24" t="str">
        <f t="array" ref="B1543">xlookup($A1543,product!$A:$A,product!B:B)</f>
        <v>Epicerie sucrée</v>
      </c>
      <c r="C1543" s="24" t="str">
        <f t="array" ref="C1543">xlookup($A1543,product!$A:$A,product!C:C)</f>
        <v>Chocolat bio</v>
      </c>
      <c r="D1543" s="24" t="str">
        <f t="array" ref="D1543">xlookup($A1543,product!$A:$A,product!D:D)</f>
        <v>Chocolat noir</v>
      </c>
      <c r="E1543" s="25" t="str">
        <f t="shared" si="1"/>
        <v>164931-Chocolat bio-Chocolat noir</v>
      </c>
      <c r="F1543" s="25">
        <v>1.0</v>
      </c>
      <c r="G1543" s="25">
        <v>613.0</v>
      </c>
      <c r="H1543" s="25">
        <v>497.0</v>
      </c>
      <c r="I1543" s="26">
        <f t="array" ref="I1543">XLOOKUP($A1543,product!A:A,product!E:E)</f>
        <v>1.33</v>
      </c>
      <c r="J1543" s="25">
        <f t="shared" si="2"/>
        <v>661.01</v>
      </c>
      <c r="K1543" s="27">
        <f t="shared" si="3"/>
        <v>1</v>
      </c>
      <c r="L1543" s="25">
        <f t="shared" si="4"/>
        <v>1</v>
      </c>
    </row>
    <row r="1544">
      <c r="A1544" s="19">
        <v>78804.0</v>
      </c>
      <c r="B1544" s="20" t="str">
        <f t="array" ref="B1544">xlookup($A1544,product!$A:$A,product!B:B)</f>
        <v>Epicerie sucrée</v>
      </c>
      <c r="C1544" s="20" t="str">
        <f t="array" ref="C1544">xlookup($A1544,product!$A:$A,product!C:C)</f>
        <v>Chocolat bio</v>
      </c>
      <c r="D1544" s="20" t="str">
        <f t="array" ref="D1544">xlookup($A1544,product!$A:$A,product!D:D)</f>
        <v>Chocolat noir</v>
      </c>
      <c r="E1544" s="4" t="str">
        <f t="shared" si="1"/>
        <v>78804-Chocolat bio-Chocolat noir</v>
      </c>
      <c r="F1544" s="4">
        <v>1.0</v>
      </c>
      <c r="G1544" s="4">
        <v>737.0</v>
      </c>
      <c r="H1544" s="4">
        <v>718.0</v>
      </c>
      <c r="I1544" s="21">
        <f t="array" ref="I1544">XLOOKUP($A1544,product!A:A,product!E:E)</f>
        <v>1.43</v>
      </c>
      <c r="J1544" s="4">
        <f t="shared" si="2"/>
        <v>1026.74</v>
      </c>
      <c r="K1544" s="22">
        <f t="shared" si="3"/>
        <v>1</v>
      </c>
      <c r="L1544" s="4">
        <f t="shared" si="4"/>
        <v>1</v>
      </c>
    </row>
    <row r="1545">
      <c r="A1545" s="23">
        <v>103096.0</v>
      </c>
      <c r="B1545" s="24" t="str">
        <f t="array" ref="B1545">xlookup($A1545,product!$A:$A,product!B:B)</f>
        <v>Epicerie sucrée</v>
      </c>
      <c r="C1545" s="24" t="str">
        <f t="array" ref="C1545">xlookup($A1545,product!$A:$A,product!C:C)</f>
        <v>Chocolat bio</v>
      </c>
      <c r="D1545" s="24" t="str">
        <f t="array" ref="D1545">xlookup($A1545,product!$A:$A,product!D:D)</f>
        <v>Chocolat noir</v>
      </c>
      <c r="E1545" s="25" t="str">
        <f t="shared" si="1"/>
        <v>103096-Chocolat bio-Chocolat noir</v>
      </c>
      <c r="F1545" s="25">
        <v>0.0</v>
      </c>
      <c r="G1545" s="25">
        <v>431.0</v>
      </c>
      <c r="H1545" s="25">
        <v>79.0</v>
      </c>
      <c r="I1545" s="26">
        <f t="array" ref="I1545">XLOOKUP($A1545,product!A:A,product!E:E)</f>
        <v>1.56</v>
      </c>
      <c r="J1545" s="25">
        <f t="shared" si="2"/>
        <v>123.24</v>
      </c>
      <c r="K1545" s="27">
        <f t="shared" si="3"/>
        <v>1</v>
      </c>
      <c r="L1545" s="25">
        <f t="shared" si="4"/>
        <v>1</v>
      </c>
    </row>
    <row r="1546">
      <c r="A1546" s="19">
        <v>180770.0</v>
      </c>
      <c r="B1546" s="20" t="str">
        <f t="array" ref="B1546">xlookup($A1546,product!$A:$A,product!B:B)</f>
        <v>Epicerie sucrée</v>
      </c>
      <c r="C1546" s="20" t="str">
        <f t="array" ref="C1546">xlookup($A1546,product!$A:$A,product!C:C)</f>
        <v>Chocolat bio</v>
      </c>
      <c r="D1546" s="20" t="str">
        <f t="array" ref="D1546">xlookup($A1546,product!$A:$A,product!D:D)</f>
        <v>Chocolat noir</v>
      </c>
      <c r="E1546" s="4" t="str">
        <f t="shared" si="1"/>
        <v>180770-Chocolat bio-Chocolat noir</v>
      </c>
      <c r="F1546" s="4">
        <v>1.0</v>
      </c>
      <c r="G1546" s="4">
        <v>872.0</v>
      </c>
      <c r="H1546" s="4">
        <v>358.0</v>
      </c>
      <c r="I1546" s="21">
        <f t="array" ref="I1546">XLOOKUP($A1546,product!A:A,product!E:E)</f>
        <v>1.86</v>
      </c>
      <c r="J1546" s="4">
        <f t="shared" si="2"/>
        <v>665.88</v>
      </c>
      <c r="K1546" s="22">
        <f t="shared" si="3"/>
        <v>1</v>
      </c>
      <c r="L1546" s="4">
        <f t="shared" si="4"/>
        <v>1</v>
      </c>
    </row>
    <row r="1547">
      <c r="A1547" s="23">
        <v>80115.0</v>
      </c>
      <c r="B1547" s="24" t="str">
        <f t="array" ref="B1547">xlookup($A1547,product!$A:$A,product!B:B)</f>
        <v>Epicerie sucrée</v>
      </c>
      <c r="C1547" s="24" t="str">
        <f t="array" ref="C1547">xlookup($A1547,product!$A:$A,product!C:C)</f>
        <v>Chocolat bio</v>
      </c>
      <c r="D1547" s="24" t="str">
        <f t="array" ref="D1547">xlookup($A1547,product!$A:$A,product!D:D)</f>
        <v>Chocolat noir</v>
      </c>
      <c r="E1547" s="25" t="str">
        <f t="shared" si="1"/>
        <v>80115-Chocolat bio-Chocolat noir</v>
      </c>
      <c r="F1547" s="25">
        <v>1.0</v>
      </c>
      <c r="G1547" s="25">
        <v>456.0</v>
      </c>
      <c r="H1547" s="25">
        <v>124.0</v>
      </c>
      <c r="I1547" s="26">
        <f t="array" ref="I1547">XLOOKUP($A1547,product!A:A,product!E:E)</f>
        <v>1.91</v>
      </c>
      <c r="J1547" s="25">
        <f t="shared" si="2"/>
        <v>236.84</v>
      </c>
      <c r="K1547" s="27">
        <f t="shared" si="3"/>
        <v>1</v>
      </c>
      <c r="L1547" s="25">
        <f t="shared" si="4"/>
        <v>1</v>
      </c>
    </row>
    <row r="1548">
      <c r="A1548" s="19">
        <v>83771.0</v>
      </c>
      <c r="B1548" s="20" t="str">
        <f t="array" ref="B1548">xlookup($A1548,product!$A:$A,product!B:B)</f>
        <v>Epicerie sucrée</v>
      </c>
      <c r="C1548" s="20" t="str">
        <f t="array" ref="C1548">xlookup($A1548,product!$A:$A,product!C:C)</f>
        <v>Chocolat bio</v>
      </c>
      <c r="D1548" s="20" t="str">
        <f t="array" ref="D1548">xlookup($A1548,product!$A:$A,product!D:D)</f>
        <v>Chocolat noir</v>
      </c>
      <c r="E1548" s="4" t="str">
        <f t="shared" si="1"/>
        <v>83771-Chocolat bio-Chocolat noir</v>
      </c>
      <c r="F1548" s="4">
        <v>0.0</v>
      </c>
      <c r="G1548" s="4">
        <v>234.0</v>
      </c>
      <c r="H1548" s="4">
        <v>76.0</v>
      </c>
      <c r="I1548" s="21">
        <f t="array" ref="I1548">XLOOKUP($A1548,product!A:A,product!E:E)</f>
        <v>2.05</v>
      </c>
      <c r="J1548" s="4">
        <f t="shared" si="2"/>
        <v>155.8</v>
      </c>
      <c r="K1548" s="22">
        <f t="shared" si="3"/>
        <v>1</v>
      </c>
      <c r="L1548" s="4">
        <f t="shared" si="4"/>
        <v>1</v>
      </c>
    </row>
    <row r="1549">
      <c r="A1549" s="23">
        <v>80124.0</v>
      </c>
      <c r="B1549" s="24" t="str">
        <f t="array" ref="B1549">xlookup($A1549,product!$A:$A,product!B:B)</f>
        <v>Epicerie sucrée</v>
      </c>
      <c r="C1549" s="24" t="str">
        <f t="array" ref="C1549">xlookup($A1549,product!$A:$A,product!C:C)</f>
        <v>Chocolat bio</v>
      </c>
      <c r="D1549" s="24" t="str">
        <f t="array" ref="D1549">xlookup($A1549,product!$A:$A,product!D:D)</f>
        <v>Chocolat noir</v>
      </c>
      <c r="E1549" s="25" t="str">
        <f t="shared" si="1"/>
        <v>80124-Chocolat bio-Chocolat noir</v>
      </c>
      <c r="F1549" s="25">
        <v>0.0</v>
      </c>
      <c r="G1549" s="25">
        <v>348.0</v>
      </c>
      <c r="H1549" s="25">
        <v>18.0</v>
      </c>
      <c r="I1549" s="26">
        <f t="array" ref="I1549">XLOOKUP($A1549,product!A:A,product!E:E)</f>
        <v>2.24</v>
      </c>
      <c r="J1549" s="25">
        <f t="shared" si="2"/>
        <v>40.32</v>
      </c>
      <c r="K1549" s="27">
        <f t="shared" si="3"/>
        <v>1</v>
      </c>
      <c r="L1549" s="25">
        <f t="shared" si="4"/>
        <v>1</v>
      </c>
    </row>
    <row r="1550">
      <c r="A1550" s="19">
        <v>80111.0</v>
      </c>
      <c r="B1550" s="20" t="str">
        <f t="array" ref="B1550">xlookup($A1550,product!$A:$A,product!B:B)</f>
        <v>Epicerie sucrée</v>
      </c>
      <c r="C1550" s="20" t="str">
        <f t="array" ref="C1550">xlookup($A1550,product!$A:$A,product!C:C)</f>
        <v>Chocolat bio</v>
      </c>
      <c r="D1550" s="20" t="str">
        <f t="array" ref="D1550">xlookup($A1550,product!$A:$A,product!D:D)</f>
        <v>Chocolat noir</v>
      </c>
      <c r="E1550" s="4" t="str">
        <f t="shared" si="1"/>
        <v>80111-Chocolat bio-Chocolat noir</v>
      </c>
      <c r="F1550" s="4">
        <v>1.0</v>
      </c>
      <c r="G1550" s="4">
        <v>596.0</v>
      </c>
      <c r="H1550" s="4">
        <v>219.0</v>
      </c>
      <c r="I1550" s="21">
        <f t="array" ref="I1550">XLOOKUP($A1550,product!A:A,product!E:E)</f>
        <v>2.09</v>
      </c>
      <c r="J1550" s="4">
        <f t="shared" si="2"/>
        <v>457.71</v>
      </c>
      <c r="K1550" s="22">
        <f t="shared" si="3"/>
        <v>1</v>
      </c>
      <c r="L1550" s="4">
        <f t="shared" si="4"/>
        <v>1</v>
      </c>
    </row>
    <row r="1551">
      <c r="A1551" s="23">
        <v>63864.0</v>
      </c>
      <c r="B1551" s="24" t="str">
        <f t="array" ref="B1551">xlookup($A1551,product!$A:$A,product!B:B)</f>
        <v>Epicerie sucrée</v>
      </c>
      <c r="C1551" s="24" t="str">
        <f t="array" ref="C1551">xlookup($A1551,product!$A:$A,product!C:C)</f>
        <v>Chocolat bio</v>
      </c>
      <c r="D1551" s="24" t="str">
        <f t="array" ref="D1551">xlookup($A1551,product!$A:$A,product!D:D)</f>
        <v>Chocolat noir</v>
      </c>
      <c r="E1551" s="25" t="str">
        <f t="shared" si="1"/>
        <v>63864-Chocolat bio-Chocolat noir</v>
      </c>
      <c r="F1551" s="25">
        <v>1.0</v>
      </c>
      <c r="G1551" s="25">
        <v>1.0</v>
      </c>
      <c r="H1551" s="25">
        <v>0.0</v>
      </c>
      <c r="I1551" s="26">
        <f t="array" ref="I1551">XLOOKUP($A1551,product!A:A,product!E:E)</f>
        <v>3.46</v>
      </c>
      <c r="J1551" s="25">
        <f t="shared" si="2"/>
        <v>0</v>
      </c>
      <c r="K1551" s="27">
        <f t="shared" si="3"/>
        <v>0</v>
      </c>
      <c r="L1551" s="25">
        <f t="shared" si="4"/>
        <v>1</v>
      </c>
    </row>
    <row r="1552">
      <c r="A1552" s="19">
        <v>76824.0</v>
      </c>
      <c r="B1552" s="20" t="str">
        <f t="array" ref="B1552">xlookup($A1552,product!$A:$A,product!B:B)</f>
        <v>Epicerie sucrée</v>
      </c>
      <c r="C1552" s="20" t="str">
        <f t="array" ref="C1552">xlookup($A1552,product!$A:$A,product!C:C)</f>
        <v>Chocolat bio</v>
      </c>
      <c r="D1552" s="20" t="str">
        <f t="array" ref="D1552">xlookup($A1552,product!$A:$A,product!D:D)</f>
        <v>Chocolat noir</v>
      </c>
      <c r="E1552" s="4" t="str">
        <f t="shared" si="1"/>
        <v>76824-Chocolat bio-Chocolat noir</v>
      </c>
      <c r="F1552" s="4">
        <v>0.0</v>
      </c>
      <c r="G1552" s="4">
        <v>165.0</v>
      </c>
      <c r="H1552" s="4">
        <v>5.0</v>
      </c>
      <c r="I1552" s="21">
        <f t="array" ref="I1552">XLOOKUP($A1552,product!A:A,product!E:E)</f>
        <v>1.42</v>
      </c>
      <c r="J1552" s="4">
        <f t="shared" si="2"/>
        <v>7.1</v>
      </c>
      <c r="K1552" s="22">
        <f t="shared" si="3"/>
        <v>1</v>
      </c>
      <c r="L1552" s="4">
        <f t="shared" si="4"/>
        <v>1</v>
      </c>
    </row>
    <row r="1553">
      <c r="A1553" s="23">
        <v>102599.0</v>
      </c>
      <c r="B1553" s="24" t="str">
        <f t="array" ref="B1553">xlookup($A1553,product!$A:$A,product!B:B)</f>
        <v>Epicerie sucrée</v>
      </c>
      <c r="C1553" s="24" t="str">
        <f t="array" ref="C1553">xlookup($A1553,product!$A:$A,product!C:C)</f>
        <v>Chocolat bio</v>
      </c>
      <c r="D1553" s="24" t="str">
        <f t="array" ref="D1553">xlookup($A1553,product!$A:$A,product!D:D)</f>
        <v>Chocolat noir</v>
      </c>
      <c r="E1553" s="25" t="str">
        <f t="shared" si="1"/>
        <v>102599-Chocolat bio-Chocolat noir</v>
      </c>
      <c r="F1553" s="25">
        <v>0.0</v>
      </c>
      <c r="G1553" s="25">
        <v>398.0</v>
      </c>
      <c r="H1553" s="25">
        <v>29.0</v>
      </c>
      <c r="I1553" s="26">
        <f t="array" ref="I1553">XLOOKUP($A1553,product!A:A,product!E:E)</f>
        <v>2.81</v>
      </c>
      <c r="J1553" s="25">
        <f t="shared" si="2"/>
        <v>81.49</v>
      </c>
      <c r="K1553" s="27">
        <f t="shared" si="3"/>
        <v>1</v>
      </c>
      <c r="L1553" s="25">
        <f t="shared" si="4"/>
        <v>1</v>
      </c>
    </row>
    <row r="1554">
      <c r="A1554" s="19">
        <v>103001.0</v>
      </c>
      <c r="B1554" s="20" t="str">
        <f t="array" ref="B1554">xlookup($A1554,product!$A:$A,product!B:B)</f>
        <v>Epicerie sucrée</v>
      </c>
      <c r="C1554" s="20" t="str">
        <f t="array" ref="C1554">xlookup($A1554,product!$A:$A,product!C:C)</f>
        <v>Chocolat bio</v>
      </c>
      <c r="D1554" s="20" t="str">
        <f t="array" ref="D1554">xlookup($A1554,product!$A:$A,product!D:D)</f>
        <v>Chocolat noir</v>
      </c>
      <c r="E1554" s="4" t="str">
        <f t="shared" si="1"/>
        <v>103001-Chocolat bio-Chocolat noir</v>
      </c>
      <c r="F1554" s="4">
        <v>1.0</v>
      </c>
      <c r="G1554" s="4">
        <v>25.0</v>
      </c>
      <c r="H1554" s="4">
        <v>11.0</v>
      </c>
      <c r="I1554" s="21">
        <f t="array" ref="I1554">XLOOKUP($A1554,product!A:A,product!E:E)</f>
        <v>1.91</v>
      </c>
      <c r="J1554" s="4">
        <f t="shared" si="2"/>
        <v>21.01</v>
      </c>
      <c r="K1554" s="22">
        <f t="shared" si="3"/>
        <v>1</v>
      </c>
      <c r="L1554" s="4">
        <f t="shared" si="4"/>
        <v>1</v>
      </c>
    </row>
    <row r="1555">
      <c r="A1555" s="23">
        <v>164928.0</v>
      </c>
      <c r="B1555" s="24" t="str">
        <f t="array" ref="B1555">xlookup($A1555,product!$A:$A,product!B:B)</f>
        <v>Epicerie sucrée</v>
      </c>
      <c r="C1555" s="24" t="str">
        <f t="array" ref="C1555">xlookup($A1555,product!$A:$A,product!C:C)</f>
        <v>Chocolat bio</v>
      </c>
      <c r="D1555" s="24" t="str">
        <f t="array" ref="D1555">xlookup($A1555,product!$A:$A,product!D:D)</f>
        <v>Chocolat noir</v>
      </c>
      <c r="E1555" s="25" t="str">
        <f t="shared" si="1"/>
        <v>164928-Chocolat bio-Chocolat noir</v>
      </c>
      <c r="F1555" s="25">
        <v>1.0</v>
      </c>
      <c r="G1555" s="25">
        <v>371.0</v>
      </c>
      <c r="H1555" s="25">
        <v>321.0</v>
      </c>
      <c r="I1555" s="26">
        <f t="array" ref="I1555">XLOOKUP($A1555,product!A:A,product!E:E)</f>
        <v>1.15</v>
      </c>
      <c r="J1555" s="25">
        <f t="shared" si="2"/>
        <v>369.15</v>
      </c>
      <c r="K1555" s="27">
        <f t="shared" si="3"/>
        <v>1</v>
      </c>
      <c r="L1555" s="25">
        <f t="shared" si="4"/>
        <v>1</v>
      </c>
    </row>
    <row r="1556">
      <c r="A1556" s="19">
        <v>80791.0</v>
      </c>
      <c r="B1556" s="20" t="str">
        <f t="array" ref="B1556">xlookup($A1556,product!$A:$A,product!B:B)</f>
        <v>Epicerie sucrée</v>
      </c>
      <c r="C1556" s="20" t="str">
        <f t="array" ref="C1556">xlookup($A1556,product!$A:$A,product!C:C)</f>
        <v>Chocolat bio</v>
      </c>
      <c r="D1556" s="20" t="str">
        <f t="array" ref="D1556">xlookup($A1556,product!$A:$A,product!D:D)</f>
        <v>Chocolat noir</v>
      </c>
      <c r="E1556" s="4" t="str">
        <f t="shared" si="1"/>
        <v>80791-Chocolat bio-Chocolat noir</v>
      </c>
      <c r="F1556" s="4">
        <v>1.0</v>
      </c>
      <c r="G1556" s="4">
        <v>396.0</v>
      </c>
      <c r="H1556" s="4">
        <v>180.0</v>
      </c>
      <c r="I1556" s="21">
        <f t="array" ref="I1556">XLOOKUP($A1556,product!A:A,product!E:E)</f>
        <v>1.76</v>
      </c>
      <c r="J1556" s="4">
        <f t="shared" si="2"/>
        <v>316.8</v>
      </c>
      <c r="K1556" s="22">
        <f t="shared" si="3"/>
        <v>1</v>
      </c>
      <c r="L1556" s="4">
        <f t="shared" si="4"/>
        <v>1</v>
      </c>
    </row>
    <row r="1557">
      <c r="A1557" s="23">
        <v>83223.0</v>
      </c>
      <c r="B1557" s="24" t="str">
        <f t="array" ref="B1557">xlookup($A1557,product!$A:$A,product!B:B)</f>
        <v>Epicerie sucrée</v>
      </c>
      <c r="C1557" s="24" t="str">
        <f t="array" ref="C1557">xlookup($A1557,product!$A:$A,product!C:C)</f>
        <v>Chocolat bio</v>
      </c>
      <c r="D1557" s="24" t="str">
        <f t="array" ref="D1557">xlookup($A1557,product!$A:$A,product!D:D)</f>
        <v>Chocolat noir</v>
      </c>
      <c r="E1557" s="25" t="str">
        <f t="shared" si="1"/>
        <v>83223-Chocolat bio-Chocolat noir</v>
      </c>
      <c r="F1557" s="25">
        <v>0.0</v>
      </c>
      <c r="G1557" s="25">
        <v>960.0</v>
      </c>
      <c r="H1557" s="25">
        <v>658.0</v>
      </c>
      <c r="I1557" s="26">
        <f t="array" ref="I1557">XLOOKUP($A1557,product!A:A,product!E:E)</f>
        <v>1.46</v>
      </c>
      <c r="J1557" s="25">
        <f t="shared" si="2"/>
        <v>960.68</v>
      </c>
      <c r="K1557" s="27">
        <f t="shared" si="3"/>
        <v>1</v>
      </c>
      <c r="L1557" s="25">
        <f t="shared" si="4"/>
        <v>1</v>
      </c>
    </row>
    <row r="1558">
      <c r="A1558" s="19">
        <v>951.0</v>
      </c>
      <c r="B1558" s="20" t="str">
        <f t="array" ref="B1558">xlookup($A1558,product!$A:$A,product!B:B)</f>
        <v>Epicerie sucrée</v>
      </c>
      <c r="C1558" s="20" t="str">
        <f t="array" ref="C1558">xlookup($A1558,product!$A:$A,product!C:C)</f>
        <v>Chocolat bio</v>
      </c>
      <c r="D1558" s="20" t="str">
        <f t="array" ref="D1558">xlookup($A1558,product!$A:$A,product!D:D)</f>
        <v>Chocolat noir</v>
      </c>
      <c r="E1558" s="4" t="str">
        <f t="shared" si="1"/>
        <v>951-Chocolat bio-Chocolat noir</v>
      </c>
      <c r="F1558" s="4">
        <v>1.0</v>
      </c>
      <c r="G1558" s="4">
        <v>157.0</v>
      </c>
      <c r="H1558" s="4">
        <v>154.0</v>
      </c>
      <c r="I1558" s="21">
        <f t="array" ref="I1558">XLOOKUP($A1558,product!A:A,product!E:E)</f>
        <v>1.19</v>
      </c>
      <c r="J1558" s="4">
        <f t="shared" si="2"/>
        <v>183.26</v>
      </c>
      <c r="K1558" s="22">
        <f t="shared" si="3"/>
        <v>1</v>
      </c>
      <c r="L1558" s="4">
        <f t="shared" si="4"/>
        <v>1</v>
      </c>
    </row>
    <row r="1559">
      <c r="A1559" s="23">
        <v>149928.0</v>
      </c>
      <c r="B1559" s="24" t="str">
        <f t="array" ref="B1559">xlookup($A1559,product!$A:$A,product!B:B)</f>
        <v>Epicerie sucrée</v>
      </c>
      <c r="C1559" s="24" t="str">
        <f t="array" ref="C1559">xlookup($A1559,product!$A:$A,product!C:C)</f>
        <v>Chocolat bio</v>
      </c>
      <c r="D1559" s="24" t="str">
        <f t="array" ref="D1559">xlookup($A1559,product!$A:$A,product!D:D)</f>
        <v>Chocolat noir</v>
      </c>
      <c r="E1559" s="25" t="str">
        <f t="shared" si="1"/>
        <v>149928-Chocolat bio-Chocolat noir</v>
      </c>
      <c r="F1559" s="25">
        <v>1.0</v>
      </c>
      <c r="G1559" s="25">
        <v>856.0</v>
      </c>
      <c r="H1559" s="25">
        <v>549.0</v>
      </c>
      <c r="I1559" s="26">
        <f t="array" ref="I1559">XLOOKUP($A1559,product!A:A,product!E:E)</f>
        <v>1.91</v>
      </c>
      <c r="J1559" s="25">
        <f t="shared" si="2"/>
        <v>1048.59</v>
      </c>
      <c r="K1559" s="27">
        <f t="shared" si="3"/>
        <v>1</v>
      </c>
      <c r="L1559" s="25">
        <f t="shared" si="4"/>
        <v>1</v>
      </c>
    </row>
    <row r="1560">
      <c r="A1560" s="19">
        <v>60375.0</v>
      </c>
      <c r="B1560" s="20" t="str">
        <f t="array" ref="B1560">xlookup($A1560,product!$A:$A,product!B:B)</f>
        <v>Epicerie sucrée</v>
      </c>
      <c r="C1560" s="20" t="str">
        <f t="array" ref="C1560">xlookup($A1560,product!$A:$A,product!C:C)</f>
        <v>Chocolat bio</v>
      </c>
      <c r="D1560" s="20" t="str">
        <f t="array" ref="D1560">xlookup($A1560,product!$A:$A,product!D:D)</f>
        <v>Chocolat blanc</v>
      </c>
      <c r="E1560" s="4" t="str">
        <f t="shared" si="1"/>
        <v>60375-Chocolat bio-Chocolat blanc</v>
      </c>
      <c r="F1560" s="4">
        <v>1.0</v>
      </c>
      <c r="G1560" s="4">
        <v>622.0</v>
      </c>
      <c r="H1560" s="4">
        <v>526.0</v>
      </c>
      <c r="I1560" s="21">
        <f t="array" ref="I1560">XLOOKUP($A1560,product!A:A,product!E:E)</f>
        <v>2</v>
      </c>
      <c r="J1560" s="4">
        <f t="shared" si="2"/>
        <v>1052</v>
      </c>
      <c r="K1560" s="22">
        <f t="shared" si="3"/>
        <v>1</v>
      </c>
      <c r="L1560" s="4">
        <f t="shared" si="4"/>
        <v>1</v>
      </c>
    </row>
    <row r="1561">
      <c r="A1561" s="23">
        <v>102594.0</v>
      </c>
      <c r="B1561" s="24" t="str">
        <f t="array" ref="B1561">xlookup($A1561,product!$A:$A,product!B:B)</f>
        <v>Epicerie sucrée</v>
      </c>
      <c r="C1561" s="24" t="str">
        <f t="array" ref="C1561">xlookup($A1561,product!$A:$A,product!C:C)</f>
        <v>Chocolat bio</v>
      </c>
      <c r="D1561" s="24" t="str">
        <f t="array" ref="D1561">xlookup($A1561,product!$A:$A,product!D:D)</f>
        <v>Chocolat au lait</v>
      </c>
      <c r="E1561" s="25" t="str">
        <f t="shared" si="1"/>
        <v>102594-Chocolat bio-Chocolat au lait</v>
      </c>
      <c r="F1561" s="25">
        <v>1.0</v>
      </c>
      <c r="G1561" s="25">
        <v>395.0</v>
      </c>
      <c r="H1561" s="25">
        <v>210.0</v>
      </c>
      <c r="I1561" s="26">
        <f t="array" ref="I1561">XLOOKUP($A1561,product!A:A,product!E:E)</f>
        <v>1.87</v>
      </c>
      <c r="J1561" s="25">
        <f t="shared" si="2"/>
        <v>392.7</v>
      </c>
      <c r="K1561" s="27">
        <f t="shared" si="3"/>
        <v>1</v>
      </c>
      <c r="L1561" s="25">
        <f t="shared" si="4"/>
        <v>1</v>
      </c>
    </row>
    <row r="1562">
      <c r="A1562" s="19">
        <v>128218.0</v>
      </c>
      <c r="B1562" s="20" t="str">
        <f t="array" ref="B1562">xlookup($A1562,product!$A:$A,product!B:B)</f>
        <v>Epicerie sucrée</v>
      </c>
      <c r="C1562" s="20" t="str">
        <f t="array" ref="C1562">xlookup($A1562,product!$A:$A,product!C:C)</f>
        <v>Chocolat bio</v>
      </c>
      <c r="D1562" s="20" t="str">
        <f t="array" ref="D1562">xlookup($A1562,product!$A:$A,product!D:D)</f>
        <v>Chocolat au lait</v>
      </c>
      <c r="E1562" s="4" t="str">
        <f t="shared" si="1"/>
        <v>128218-Chocolat bio-Chocolat au lait</v>
      </c>
      <c r="F1562" s="4">
        <v>0.0</v>
      </c>
      <c r="G1562" s="4">
        <v>871.0</v>
      </c>
      <c r="H1562" s="4">
        <v>567.0</v>
      </c>
      <c r="I1562" s="21">
        <f t="array" ref="I1562">XLOOKUP($A1562,product!A:A,product!E:E)</f>
        <v>1.94</v>
      </c>
      <c r="J1562" s="4">
        <f t="shared" si="2"/>
        <v>1099.98</v>
      </c>
      <c r="K1562" s="22">
        <f t="shared" si="3"/>
        <v>1</v>
      </c>
      <c r="L1562" s="4">
        <f t="shared" si="4"/>
        <v>1</v>
      </c>
    </row>
    <row r="1563">
      <c r="A1563" s="23">
        <v>80178.0</v>
      </c>
      <c r="B1563" s="24" t="str">
        <f t="array" ref="B1563">xlookup($A1563,product!$A:$A,product!B:B)</f>
        <v>Epicerie sucrée</v>
      </c>
      <c r="C1563" s="24" t="str">
        <f t="array" ref="C1563">xlookup($A1563,product!$A:$A,product!C:C)</f>
        <v>Chocolat bio</v>
      </c>
      <c r="D1563" s="24" t="str">
        <f t="array" ref="D1563">xlookup($A1563,product!$A:$A,product!D:D)</f>
        <v>Chocolat au lait</v>
      </c>
      <c r="E1563" s="25" t="str">
        <f t="shared" si="1"/>
        <v>80178-Chocolat bio-Chocolat au lait</v>
      </c>
      <c r="F1563" s="25">
        <v>1.0</v>
      </c>
      <c r="G1563" s="25">
        <v>357.0</v>
      </c>
      <c r="H1563" s="25">
        <v>23.0</v>
      </c>
      <c r="I1563" s="26">
        <f t="array" ref="I1563">XLOOKUP($A1563,product!A:A,product!E:E)</f>
        <v>2.41</v>
      </c>
      <c r="J1563" s="25">
        <f t="shared" si="2"/>
        <v>55.43</v>
      </c>
      <c r="K1563" s="27">
        <f t="shared" si="3"/>
        <v>1</v>
      </c>
      <c r="L1563" s="25">
        <f t="shared" si="4"/>
        <v>1</v>
      </c>
    </row>
    <row r="1564">
      <c r="A1564" s="19">
        <v>164932.0</v>
      </c>
      <c r="B1564" s="20" t="str">
        <f t="array" ref="B1564">xlookup($A1564,product!$A:$A,product!B:B)</f>
        <v>Epicerie sucrée</v>
      </c>
      <c r="C1564" s="20" t="str">
        <f t="array" ref="C1564">xlookup($A1564,product!$A:$A,product!C:C)</f>
        <v>Chocolat bio</v>
      </c>
      <c r="D1564" s="20" t="str">
        <f t="array" ref="D1564">xlookup($A1564,product!$A:$A,product!D:D)</f>
        <v>Chocolat au lait</v>
      </c>
      <c r="E1564" s="4" t="str">
        <f t="shared" si="1"/>
        <v>164932-Chocolat bio-Chocolat au lait</v>
      </c>
      <c r="F1564" s="4">
        <v>0.0</v>
      </c>
      <c r="G1564" s="4">
        <v>934.0</v>
      </c>
      <c r="H1564" s="4">
        <v>160.0</v>
      </c>
      <c r="I1564" s="21">
        <f t="array" ref="I1564">XLOOKUP($A1564,product!A:A,product!E:E)</f>
        <v>1.23</v>
      </c>
      <c r="J1564" s="4">
        <f t="shared" si="2"/>
        <v>196.8</v>
      </c>
      <c r="K1564" s="22">
        <f t="shared" si="3"/>
        <v>1</v>
      </c>
      <c r="L1564" s="4">
        <f t="shared" si="4"/>
        <v>1</v>
      </c>
    </row>
    <row r="1565">
      <c r="A1565" s="23">
        <v>22036.0</v>
      </c>
      <c r="B1565" s="24" t="str">
        <f t="array" ref="B1565">xlookup($A1565,product!$A:$A,product!B:B)</f>
        <v>Epicerie sucrée</v>
      </c>
      <c r="C1565" s="24" t="str">
        <f t="array" ref="C1565">xlookup($A1565,product!$A:$A,product!C:C)</f>
        <v>Chocolat bio</v>
      </c>
      <c r="D1565" s="24" t="str">
        <f t="array" ref="D1565">xlookup($A1565,product!$A:$A,product!D:D)</f>
        <v>Chocolat au lait</v>
      </c>
      <c r="E1565" s="25" t="str">
        <f t="shared" si="1"/>
        <v>22036-Chocolat bio-Chocolat au lait</v>
      </c>
      <c r="F1565" s="25">
        <v>0.0</v>
      </c>
      <c r="G1565" s="25">
        <v>250.0</v>
      </c>
      <c r="H1565" s="25">
        <v>38.0</v>
      </c>
      <c r="I1565" s="26">
        <f t="array" ref="I1565">XLOOKUP($A1565,product!A:A,product!E:E)</f>
        <v>1.4</v>
      </c>
      <c r="J1565" s="25">
        <f t="shared" si="2"/>
        <v>53.2</v>
      </c>
      <c r="K1565" s="27">
        <f t="shared" si="3"/>
        <v>1</v>
      </c>
      <c r="L1565" s="25">
        <f t="shared" si="4"/>
        <v>1</v>
      </c>
    </row>
    <row r="1566">
      <c r="A1566" s="19">
        <v>102585.0</v>
      </c>
      <c r="B1566" s="20" t="str">
        <f t="array" ref="B1566">xlookup($A1566,product!$A:$A,product!B:B)</f>
        <v>Epicerie sucrée</v>
      </c>
      <c r="C1566" s="20" t="str">
        <f t="array" ref="C1566">xlookup($A1566,product!$A:$A,product!C:C)</f>
        <v>Chocolat bio</v>
      </c>
      <c r="D1566" s="20" t="str">
        <f t="array" ref="D1566">xlookup($A1566,product!$A:$A,product!D:D)</f>
        <v>Chocolat au lait</v>
      </c>
      <c r="E1566" s="4" t="str">
        <f t="shared" si="1"/>
        <v>102585-Chocolat bio-Chocolat au lait</v>
      </c>
      <c r="F1566" s="4">
        <v>0.0</v>
      </c>
      <c r="G1566" s="4">
        <v>417.0</v>
      </c>
      <c r="H1566" s="4">
        <v>217.0</v>
      </c>
      <c r="I1566" s="21">
        <f t="array" ref="I1566">XLOOKUP($A1566,product!A:A,product!E:E)</f>
        <v>2.05</v>
      </c>
      <c r="J1566" s="4">
        <f t="shared" si="2"/>
        <v>444.85</v>
      </c>
      <c r="K1566" s="22">
        <f t="shared" si="3"/>
        <v>1</v>
      </c>
      <c r="L1566" s="4">
        <f t="shared" si="4"/>
        <v>1</v>
      </c>
    </row>
    <row r="1567">
      <c r="A1567" s="23">
        <v>78816.0</v>
      </c>
      <c r="B1567" s="24" t="str">
        <f t="array" ref="B1567">xlookup($A1567,product!$A:$A,product!B:B)</f>
        <v>Epicerie sucrée</v>
      </c>
      <c r="C1567" s="24" t="str">
        <f t="array" ref="C1567">xlookup($A1567,product!$A:$A,product!C:C)</f>
        <v>Chocolat bio</v>
      </c>
      <c r="D1567" s="24" t="str">
        <f t="array" ref="D1567">xlookup($A1567,product!$A:$A,product!D:D)</f>
        <v>Chocolat au lait</v>
      </c>
      <c r="E1567" s="25" t="str">
        <f t="shared" si="1"/>
        <v>78816-Chocolat bio-Chocolat au lait</v>
      </c>
      <c r="F1567" s="25">
        <v>1.0</v>
      </c>
      <c r="G1567" s="25">
        <v>258.0</v>
      </c>
      <c r="H1567" s="25">
        <v>81.0</v>
      </c>
      <c r="I1567" s="26">
        <f t="array" ref="I1567">XLOOKUP($A1567,product!A:A,product!E:E)</f>
        <v>1.43</v>
      </c>
      <c r="J1567" s="25">
        <f t="shared" si="2"/>
        <v>115.83</v>
      </c>
      <c r="K1567" s="27">
        <f t="shared" si="3"/>
        <v>1</v>
      </c>
      <c r="L1567" s="25">
        <f t="shared" si="4"/>
        <v>1</v>
      </c>
    </row>
    <row r="1568">
      <c r="A1568" s="19">
        <v>78822.0</v>
      </c>
      <c r="B1568" s="20" t="str">
        <f t="array" ref="B1568">xlookup($A1568,product!$A:$A,product!B:B)</f>
        <v>Epicerie sucrée</v>
      </c>
      <c r="C1568" s="20" t="str">
        <f t="array" ref="C1568">xlookup($A1568,product!$A:$A,product!C:C)</f>
        <v>Chocolat bio</v>
      </c>
      <c r="D1568" s="20" t="str">
        <f t="array" ref="D1568">xlookup($A1568,product!$A:$A,product!D:D)</f>
        <v>Chocolat au lait</v>
      </c>
      <c r="E1568" s="4" t="str">
        <f t="shared" si="1"/>
        <v>78822-Chocolat bio-Chocolat au lait</v>
      </c>
      <c r="F1568" s="4">
        <v>1.0</v>
      </c>
      <c r="G1568" s="4">
        <v>416.0</v>
      </c>
      <c r="H1568" s="4">
        <v>378.0</v>
      </c>
      <c r="I1568" s="21">
        <f t="array" ref="I1568">XLOOKUP($A1568,product!A:A,product!E:E)</f>
        <v>1.49</v>
      </c>
      <c r="J1568" s="4">
        <f t="shared" si="2"/>
        <v>563.22</v>
      </c>
      <c r="K1568" s="22">
        <f t="shared" si="3"/>
        <v>1</v>
      </c>
      <c r="L1568" s="4">
        <f t="shared" si="4"/>
        <v>1</v>
      </c>
    </row>
    <row r="1569">
      <c r="A1569" s="23">
        <v>83773.0</v>
      </c>
      <c r="B1569" s="24" t="str">
        <f t="array" ref="B1569">xlookup($A1569,product!$A:$A,product!B:B)</f>
        <v>Epicerie sucrée</v>
      </c>
      <c r="C1569" s="24" t="str">
        <f t="array" ref="C1569">xlookup($A1569,product!$A:$A,product!C:C)</f>
        <v>Chocolat bio</v>
      </c>
      <c r="D1569" s="24" t="str">
        <f t="array" ref="D1569">xlookup($A1569,product!$A:$A,product!D:D)</f>
        <v>Chocolat au lait</v>
      </c>
      <c r="E1569" s="25" t="str">
        <f t="shared" si="1"/>
        <v>83773-Chocolat bio-Chocolat au lait</v>
      </c>
      <c r="F1569" s="25">
        <v>0.0</v>
      </c>
      <c r="G1569" s="25">
        <v>802.0</v>
      </c>
      <c r="H1569" s="25">
        <v>19.0</v>
      </c>
      <c r="I1569" s="26">
        <f t="array" ref="I1569">XLOOKUP($A1569,product!A:A,product!E:E)</f>
        <v>1.41</v>
      </c>
      <c r="J1569" s="25">
        <f t="shared" si="2"/>
        <v>26.79</v>
      </c>
      <c r="K1569" s="27">
        <f t="shared" si="3"/>
        <v>1</v>
      </c>
      <c r="L1569" s="25">
        <f t="shared" si="4"/>
        <v>1</v>
      </c>
    </row>
    <row r="1570">
      <c r="A1570" s="19">
        <v>114720.0</v>
      </c>
      <c r="B1570" s="20" t="str">
        <f t="array" ref="B1570">xlookup($A1570,product!$A:$A,product!B:B)</f>
        <v>Epicerie sucrée</v>
      </c>
      <c r="C1570" s="20" t="str">
        <f t="array" ref="C1570">xlookup($A1570,product!$A:$A,product!C:C)</f>
        <v>Chocolat bio</v>
      </c>
      <c r="D1570" s="20" t="str">
        <f t="array" ref="D1570">xlookup($A1570,product!$A:$A,product!D:D)</f>
        <v>Chocolat au lait</v>
      </c>
      <c r="E1570" s="4" t="str">
        <f t="shared" si="1"/>
        <v>114720-Chocolat bio-Chocolat au lait</v>
      </c>
      <c r="F1570" s="4">
        <v>0.0</v>
      </c>
      <c r="G1570" s="4">
        <v>942.0</v>
      </c>
      <c r="H1570" s="4">
        <v>516.0</v>
      </c>
      <c r="I1570" s="21">
        <f t="array" ref="I1570">XLOOKUP($A1570,product!A:A,product!E:E)</f>
        <v>2.74</v>
      </c>
      <c r="J1570" s="4">
        <f t="shared" si="2"/>
        <v>1413.84</v>
      </c>
      <c r="K1570" s="22">
        <f t="shared" si="3"/>
        <v>1</v>
      </c>
      <c r="L1570" s="4">
        <f t="shared" si="4"/>
        <v>1</v>
      </c>
    </row>
    <row r="1571">
      <c r="A1571" s="23">
        <v>83777.0</v>
      </c>
      <c r="B1571" s="24" t="str">
        <f t="array" ref="B1571">xlookup($A1571,product!$A:$A,product!B:B)</f>
        <v>Epicerie sucrée</v>
      </c>
      <c r="C1571" s="24" t="str">
        <f t="array" ref="C1571">xlookup($A1571,product!$A:$A,product!C:C)</f>
        <v>Chocolat bio</v>
      </c>
      <c r="D1571" s="24" t="str">
        <f t="array" ref="D1571">xlookup($A1571,product!$A:$A,product!D:D)</f>
        <v>Chocolat au lait</v>
      </c>
      <c r="E1571" s="25" t="str">
        <f t="shared" si="1"/>
        <v>83777-Chocolat bio-Chocolat au lait</v>
      </c>
      <c r="F1571" s="25">
        <v>0.0</v>
      </c>
      <c r="G1571" s="25">
        <v>238.0</v>
      </c>
      <c r="H1571" s="25">
        <v>154.0</v>
      </c>
      <c r="I1571" s="26">
        <f t="array" ref="I1571">XLOOKUP($A1571,product!A:A,product!E:E)</f>
        <v>1.69</v>
      </c>
      <c r="J1571" s="25">
        <f t="shared" si="2"/>
        <v>260.26</v>
      </c>
      <c r="K1571" s="27">
        <f t="shared" si="3"/>
        <v>1</v>
      </c>
      <c r="L1571" s="25">
        <f t="shared" si="4"/>
        <v>1</v>
      </c>
    </row>
    <row r="1572">
      <c r="A1572" s="19">
        <v>102593.0</v>
      </c>
      <c r="B1572" s="20" t="str">
        <f t="array" ref="B1572">xlookup($A1572,product!$A:$A,product!B:B)</f>
        <v>Epicerie sucrée</v>
      </c>
      <c r="C1572" s="20" t="str">
        <f t="array" ref="C1572">xlookup($A1572,product!$A:$A,product!C:C)</f>
        <v>Chocolat bio</v>
      </c>
      <c r="D1572" s="20" t="str">
        <f t="array" ref="D1572">xlookup($A1572,product!$A:$A,product!D:D)</f>
        <v>Chocolat au lait</v>
      </c>
      <c r="E1572" s="4" t="str">
        <f t="shared" si="1"/>
        <v>102593-Chocolat bio-Chocolat au lait</v>
      </c>
      <c r="F1572" s="4">
        <v>0.0</v>
      </c>
      <c r="G1572" s="4">
        <v>95.0</v>
      </c>
      <c r="H1572" s="4">
        <v>67.0</v>
      </c>
      <c r="I1572" s="21">
        <f t="array" ref="I1572">XLOOKUP($A1572,product!A:A,product!E:E)</f>
        <v>1.68</v>
      </c>
      <c r="J1572" s="4">
        <f t="shared" si="2"/>
        <v>112.56</v>
      </c>
      <c r="K1572" s="22">
        <f t="shared" si="3"/>
        <v>1</v>
      </c>
      <c r="L1572" s="4">
        <f t="shared" si="4"/>
        <v>1</v>
      </c>
    </row>
    <row r="1573">
      <c r="A1573" s="23">
        <v>164930.0</v>
      </c>
      <c r="B1573" s="24" t="str">
        <f t="array" ref="B1573">xlookup($A1573,product!$A:$A,product!B:B)</f>
        <v>Epicerie sucrée</v>
      </c>
      <c r="C1573" s="24" t="str">
        <f t="array" ref="C1573">xlookup($A1573,product!$A:$A,product!C:C)</f>
        <v>Chocolat bio</v>
      </c>
      <c r="D1573" s="24" t="str">
        <f t="array" ref="D1573">xlookup($A1573,product!$A:$A,product!D:D)</f>
        <v>Chocolat au lait</v>
      </c>
      <c r="E1573" s="25" t="str">
        <f t="shared" si="1"/>
        <v>164930-Chocolat bio-Chocolat au lait</v>
      </c>
      <c r="F1573" s="25">
        <v>1.0</v>
      </c>
      <c r="G1573" s="25">
        <v>712.0</v>
      </c>
      <c r="H1573" s="25">
        <v>211.0</v>
      </c>
      <c r="I1573" s="26">
        <f t="array" ref="I1573">XLOOKUP($A1573,product!A:A,product!E:E)</f>
        <v>1.19</v>
      </c>
      <c r="J1573" s="25">
        <f t="shared" si="2"/>
        <v>251.09</v>
      </c>
      <c r="K1573" s="27">
        <f t="shared" si="3"/>
        <v>1</v>
      </c>
      <c r="L1573" s="25">
        <f t="shared" si="4"/>
        <v>1</v>
      </c>
    </row>
    <row r="1574">
      <c r="A1574" s="19">
        <v>102584.0</v>
      </c>
      <c r="B1574" s="20" t="str">
        <f t="array" ref="B1574">xlookup($A1574,product!$A:$A,product!B:B)</f>
        <v>Epicerie sucrée</v>
      </c>
      <c r="C1574" s="20" t="str">
        <f t="array" ref="C1574">xlookup($A1574,product!$A:$A,product!C:C)</f>
        <v>Chocolat bio</v>
      </c>
      <c r="D1574" s="20" t="str">
        <f t="array" ref="D1574">xlookup($A1574,product!$A:$A,product!D:D)</f>
        <v>Chocolat au lait</v>
      </c>
      <c r="E1574" s="4" t="str">
        <f t="shared" si="1"/>
        <v>102584-Chocolat bio-Chocolat au lait</v>
      </c>
      <c r="F1574" s="4">
        <v>0.0</v>
      </c>
      <c r="G1574" s="4">
        <v>883.0</v>
      </c>
      <c r="H1574" s="4">
        <v>619.0</v>
      </c>
      <c r="I1574" s="21">
        <f t="array" ref="I1574">XLOOKUP($A1574,product!A:A,product!E:E)</f>
        <v>2.05</v>
      </c>
      <c r="J1574" s="4">
        <f t="shared" si="2"/>
        <v>1268.95</v>
      </c>
      <c r="K1574" s="22">
        <f t="shared" si="3"/>
        <v>1</v>
      </c>
      <c r="L1574" s="4">
        <f t="shared" si="4"/>
        <v>1</v>
      </c>
    </row>
    <row r="1575">
      <c r="A1575" s="23">
        <v>102586.0</v>
      </c>
      <c r="B1575" s="24" t="str">
        <f t="array" ref="B1575">xlookup($A1575,product!$A:$A,product!B:B)</f>
        <v>Epicerie sucrée</v>
      </c>
      <c r="C1575" s="24" t="str">
        <f t="array" ref="C1575">xlookup($A1575,product!$A:$A,product!C:C)</f>
        <v>Chocolat bio</v>
      </c>
      <c r="D1575" s="24" t="str">
        <f t="array" ref="D1575">xlookup($A1575,product!$A:$A,product!D:D)</f>
        <v>Chocolat au lait</v>
      </c>
      <c r="E1575" s="25" t="str">
        <f t="shared" si="1"/>
        <v>102586-Chocolat bio-Chocolat au lait</v>
      </c>
      <c r="F1575" s="25">
        <v>1.0</v>
      </c>
      <c r="G1575" s="25">
        <v>311.0</v>
      </c>
      <c r="H1575" s="25">
        <v>104.0</v>
      </c>
      <c r="I1575" s="26">
        <f t="array" ref="I1575">XLOOKUP($A1575,product!A:A,product!E:E)</f>
        <v>2.05</v>
      </c>
      <c r="J1575" s="25">
        <f t="shared" si="2"/>
        <v>213.2</v>
      </c>
      <c r="K1575" s="27">
        <f t="shared" si="3"/>
        <v>1</v>
      </c>
      <c r="L1575" s="25">
        <f t="shared" si="4"/>
        <v>1</v>
      </c>
    </row>
    <row r="1576">
      <c r="A1576" s="19">
        <v>83758.0</v>
      </c>
      <c r="B1576" s="20" t="str">
        <f t="array" ref="B1576">xlookup($A1576,product!$A:$A,product!B:B)</f>
        <v>Epicerie sucrée</v>
      </c>
      <c r="C1576" s="20" t="str">
        <f t="array" ref="C1576">xlookup($A1576,product!$A:$A,product!C:C)</f>
        <v>Chocolat bio</v>
      </c>
      <c r="D1576" s="20" t="str">
        <f t="array" ref="D1576">xlookup($A1576,product!$A:$A,product!D:D)</f>
        <v>Chocolat pâtissier</v>
      </c>
      <c r="E1576" s="4" t="str">
        <f t="shared" si="1"/>
        <v>83758-Chocolat bio-Chocolat pâtissier</v>
      </c>
      <c r="F1576" s="4">
        <v>1.0</v>
      </c>
      <c r="G1576" s="4">
        <v>284.0</v>
      </c>
      <c r="H1576" s="4">
        <v>202.0</v>
      </c>
      <c r="I1576" s="21">
        <f t="array" ref="I1576">XLOOKUP($A1576,product!A:A,product!E:E)</f>
        <v>2.4</v>
      </c>
      <c r="J1576" s="4">
        <f t="shared" si="2"/>
        <v>484.8</v>
      </c>
      <c r="K1576" s="22">
        <f t="shared" si="3"/>
        <v>1</v>
      </c>
      <c r="L1576" s="4">
        <f t="shared" si="4"/>
        <v>1</v>
      </c>
    </row>
    <row r="1577">
      <c r="A1577" s="23">
        <v>80189.0</v>
      </c>
      <c r="B1577" s="24" t="str">
        <f t="array" ref="B1577">xlookup($A1577,product!$A:$A,product!B:B)</f>
        <v>Epicerie sucrée</v>
      </c>
      <c r="C1577" s="24" t="str">
        <f t="array" ref="C1577">xlookup($A1577,product!$A:$A,product!C:C)</f>
        <v>Chocolat bio</v>
      </c>
      <c r="D1577" s="24" t="str">
        <f t="array" ref="D1577">xlookup($A1577,product!$A:$A,product!D:D)</f>
        <v>Chocolat pâtissier</v>
      </c>
      <c r="E1577" s="25" t="str">
        <f t="shared" si="1"/>
        <v>80189-Chocolat bio-Chocolat pâtissier</v>
      </c>
      <c r="F1577" s="25">
        <v>0.0</v>
      </c>
      <c r="G1577" s="25">
        <v>302.0</v>
      </c>
      <c r="H1577" s="25">
        <v>272.0</v>
      </c>
      <c r="I1577" s="26">
        <f t="array" ref="I1577">XLOOKUP($A1577,product!A:A,product!E:E)</f>
        <v>2.87</v>
      </c>
      <c r="J1577" s="25">
        <f t="shared" si="2"/>
        <v>780.64</v>
      </c>
      <c r="K1577" s="27">
        <f t="shared" si="3"/>
        <v>1</v>
      </c>
      <c r="L1577" s="25">
        <f t="shared" si="4"/>
        <v>1</v>
      </c>
    </row>
    <row r="1578">
      <c r="A1578" s="19">
        <v>26148.0</v>
      </c>
      <c r="B1578" s="20" t="str">
        <f t="array" ref="B1578">xlookup($A1578,product!$A:$A,product!B:B)</f>
        <v>Epicerie sucrée</v>
      </c>
      <c r="C1578" s="20" t="str">
        <f t="array" ref="C1578">xlookup($A1578,product!$A:$A,product!C:C)</f>
        <v>Chocolat bio</v>
      </c>
      <c r="D1578" s="20" t="str">
        <f t="array" ref="D1578">xlookup($A1578,product!$A:$A,product!D:D)</f>
        <v>Chocolat pâtissier</v>
      </c>
      <c r="E1578" s="4" t="str">
        <f t="shared" si="1"/>
        <v>26148-Chocolat bio-Chocolat pâtissier</v>
      </c>
      <c r="F1578" s="4">
        <v>0.0</v>
      </c>
      <c r="G1578" s="4">
        <v>11.0</v>
      </c>
      <c r="H1578" s="4">
        <v>9.0</v>
      </c>
      <c r="I1578" s="21">
        <f t="array" ref="I1578">XLOOKUP($A1578,product!A:A,product!E:E)</f>
        <v>2.78</v>
      </c>
      <c r="J1578" s="4">
        <f t="shared" si="2"/>
        <v>25.02</v>
      </c>
      <c r="K1578" s="22">
        <f t="shared" si="3"/>
        <v>1</v>
      </c>
      <c r="L1578" s="4">
        <f t="shared" si="4"/>
        <v>1</v>
      </c>
    </row>
    <row r="1579">
      <c r="A1579" s="23">
        <v>121902.0</v>
      </c>
      <c r="B1579" s="24" t="str">
        <f t="array" ref="B1579">xlookup($A1579,product!$A:$A,product!B:B)</f>
        <v>Epicerie sucrée</v>
      </c>
      <c r="C1579" s="24" t="str">
        <f t="array" ref="C1579">xlookup($A1579,product!$A:$A,product!C:C)</f>
        <v>Chocolat bio</v>
      </c>
      <c r="D1579" s="24" t="str">
        <f t="array" ref="D1579">xlookup($A1579,product!$A:$A,product!D:D)</f>
        <v>Chocolat pâtissier</v>
      </c>
      <c r="E1579" s="25" t="str">
        <f t="shared" si="1"/>
        <v>121902-Chocolat bio-Chocolat pâtissier</v>
      </c>
      <c r="F1579" s="25">
        <v>0.0</v>
      </c>
      <c r="G1579" s="25">
        <v>867.0</v>
      </c>
      <c r="H1579" s="25">
        <v>602.0</v>
      </c>
      <c r="I1579" s="26">
        <f t="array" ref="I1579">XLOOKUP($A1579,product!A:A,product!E:E)</f>
        <v>6.48</v>
      </c>
      <c r="J1579" s="25">
        <f t="shared" si="2"/>
        <v>3900.96</v>
      </c>
      <c r="K1579" s="27">
        <f t="shared" si="3"/>
        <v>1</v>
      </c>
      <c r="L1579" s="25">
        <f t="shared" si="4"/>
        <v>1</v>
      </c>
    </row>
    <row r="1580">
      <c r="A1580" s="19">
        <v>21032.0</v>
      </c>
      <c r="B1580" s="20" t="str">
        <f t="array" ref="B1580">xlookup($A1580,product!$A:$A,product!B:B)</f>
        <v>Epicerie sucrée</v>
      </c>
      <c r="C1580" s="20" t="str">
        <f t="array" ref="C1580">xlookup($A1580,product!$A:$A,product!C:C)</f>
        <v>Chocolat bio</v>
      </c>
      <c r="D1580" s="20" t="str">
        <f t="array" ref="D1580">xlookup($A1580,product!$A:$A,product!D:D)</f>
        <v>Chocolat pâtissier</v>
      </c>
      <c r="E1580" s="4" t="str">
        <f t="shared" si="1"/>
        <v>21032-Chocolat bio-Chocolat pâtissier</v>
      </c>
      <c r="F1580" s="4">
        <v>1.0</v>
      </c>
      <c r="G1580" s="4">
        <v>581.0</v>
      </c>
      <c r="H1580" s="4">
        <v>169.0</v>
      </c>
      <c r="I1580" s="21">
        <f t="array" ref="I1580">XLOOKUP($A1580,product!A:A,product!E:E)</f>
        <v>4.97</v>
      </c>
      <c r="J1580" s="4">
        <f t="shared" si="2"/>
        <v>839.93</v>
      </c>
      <c r="K1580" s="22">
        <f t="shared" si="3"/>
        <v>1</v>
      </c>
      <c r="L1580" s="4">
        <f t="shared" si="4"/>
        <v>1</v>
      </c>
    </row>
    <row r="1581">
      <c r="A1581" s="23">
        <v>22071.0</v>
      </c>
      <c r="B1581" s="24" t="str">
        <f t="array" ref="B1581">xlookup($A1581,product!$A:$A,product!B:B)</f>
        <v>Epicerie sucrée</v>
      </c>
      <c r="C1581" s="24" t="str">
        <f t="array" ref="C1581">xlookup($A1581,product!$A:$A,product!C:C)</f>
        <v>Chocolat bio</v>
      </c>
      <c r="D1581" s="24" t="str">
        <f t="array" ref="D1581">xlookup($A1581,product!$A:$A,product!D:D)</f>
        <v>Chocolat pâtissier</v>
      </c>
      <c r="E1581" s="25" t="str">
        <f t="shared" si="1"/>
        <v>22071-Chocolat bio-Chocolat pâtissier</v>
      </c>
      <c r="F1581" s="25">
        <v>1.0</v>
      </c>
      <c r="G1581" s="25">
        <v>58.0</v>
      </c>
      <c r="H1581" s="25">
        <v>46.0</v>
      </c>
      <c r="I1581" s="26">
        <f t="array" ref="I1581">XLOOKUP($A1581,product!A:A,product!E:E)</f>
        <v>10.29</v>
      </c>
      <c r="J1581" s="25">
        <f t="shared" si="2"/>
        <v>473.34</v>
      </c>
      <c r="K1581" s="27">
        <f t="shared" si="3"/>
        <v>1</v>
      </c>
      <c r="L1581" s="25">
        <f t="shared" si="4"/>
        <v>1</v>
      </c>
    </row>
    <row r="1582">
      <c r="A1582" s="19">
        <v>87404.0</v>
      </c>
      <c r="B1582" s="20" t="str">
        <f t="array" ref="B1582">xlookup($A1582,product!$A:$A,product!B:B)</f>
        <v>Epicerie sucrée</v>
      </c>
      <c r="C1582" s="20" t="str">
        <f t="array" ref="C1582">xlookup($A1582,product!$A:$A,product!C:C)</f>
        <v>Chocolat bio</v>
      </c>
      <c r="D1582" s="20" t="str">
        <f t="array" ref="D1582">xlookup($A1582,product!$A:$A,product!D:D)</f>
        <v>Chocolat pâtissier</v>
      </c>
      <c r="E1582" s="4" t="str">
        <f t="shared" si="1"/>
        <v>87404-Chocolat bio-Chocolat pâtissier</v>
      </c>
      <c r="F1582" s="4">
        <v>1.0</v>
      </c>
      <c r="G1582" s="4">
        <v>308.0</v>
      </c>
      <c r="H1582" s="4">
        <v>204.0</v>
      </c>
      <c r="I1582" s="21">
        <f t="array" ref="I1582">XLOOKUP($A1582,product!A:A,product!E:E)</f>
        <v>2.48</v>
      </c>
      <c r="J1582" s="4">
        <f t="shared" si="2"/>
        <v>505.92</v>
      </c>
      <c r="K1582" s="22">
        <f t="shared" si="3"/>
        <v>1</v>
      </c>
      <c r="L1582" s="4">
        <f t="shared" si="4"/>
        <v>1</v>
      </c>
    </row>
    <row r="1583">
      <c r="A1583" s="23">
        <v>42712.0</v>
      </c>
      <c r="B1583" s="24" t="str">
        <f t="array" ref="B1583">xlookup($A1583,product!$A:$A,product!B:B)</f>
        <v>Epicerie sucrée</v>
      </c>
      <c r="C1583" s="24" t="str">
        <f t="array" ref="C1583">xlookup($A1583,product!$A:$A,product!C:C)</f>
        <v>Chocolat bio</v>
      </c>
      <c r="D1583" s="24" t="str">
        <f t="array" ref="D1583">xlookup($A1583,product!$A:$A,product!D:D)</f>
        <v>Chocolat pâtissier</v>
      </c>
      <c r="E1583" s="25" t="str">
        <f t="shared" si="1"/>
        <v>42712-Chocolat bio-Chocolat pâtissier</v>
      </c>
      <c r="F1583" s="25">
        <v>0.0</v>
      </c>
      <c r="G1583" s="25">
        <v>288.0</v>
      </c>
      <c r="H1583" s="25">
        <v>229.0</v>
      </c>
      <c r="I1583" s="26">
        <f t="array" ref="I1583">XLOOKUP($A1583,product!A:A,product!E:E)</f>
        <v>2.53</v>
      </c>
      <c r="J1583" s="25">
        <f t="shared" si="2"/>
        <v>579.37</v>
      </c>
      <c r="K1583" s="27">
        <f t="shared" si="3"/>
        <v>1</v>
      </c>
      <c r="L1583" s="25">
        <f t="shared" si="4"/>
        <v>1</v>
      </c>
    </row>
    <row r="1584">
      <c r="A1584" s="19">
        <v>76609.0</v>
      </c>
      <c r="B1584" s="20" t="str">
        <f t="array" ref="B1584">xlookup($A1584,product!$A:$A,product!B:B)</f>
        <v>Epicerie sucrée</v>
      </c>
      <c r="C1584" s="20" t="str">
        <f t="array" ref="C1584">xlookup($A1584,product!$A:$A,product!C:C)</f>
        <v>Chocolat bio</v>
      </c>
      <c r="D1584" s="20" t="str">
        <f t="array" ref="D1584">xlookup($A1584,product!$A:$A,product!D:D)</f>
        <v>Chocolat pâtissier</v>
      </c>
      <c r="E1584" s="4" t="str">
        <f t="shared" si="1"/>
        <v>76609-Chocolat bio-Chocolat pâtissier</v>
      </c>
      <c r="F1584" s="4">
        <v>1.0</v>
      </c>
      <c r="G1584" s="4">
        <v>719.0</v>
      </c>
      <c r="H1584" s="4">
        <v>224.0</v>
      </c>
      <c r="I1584" s="21">
        <f t="array" ref="I1584">XLOOKUP($A1584,product!A:A,product!E:E)</f>
        <v>2.38</v>
      </c>
      <c r="J1584" s="4">
        <f t="shared" si="2"/>
        <v>533.12</v>
      </c>
      <c r="K1584" s="22">
        <f t="shared" si="3"/>
        <v>1</v>
      </c>
      <c r="L1584" s="4">
        <f t="shared" si="4"/>
        <v>1</v>
      </c>
    </row>
    <row r="1585">
      <c r="A1585" s="23">
        <v>952.0</v>
      </c>
      <c r="B1585" s="24" t="str">
        <f t="array" ref="B1585">xlookup($A1585,product!$A:$A,product!B:B)</f>
        <v>Epicerie sucrée</v>
      </c>
      <c r="C1585" s="24" t="str">
        <f t="array" ref="C1585">xlookup($A1585,product!$A:$A,product!C:C)</f>
        <v>Chocolat bio</v>
      </c>
      <c r="D1585" s="24" t="str">
        <f t="array" ref="D1585">xlookup($A1585,product!$A:$A,product!D:D)</f>
        <v>Chocolat pâtissier</v>
      </c>
      <c r="E1585" s="25" t="str">
        <f t="shared" si="1"/>
        <v>952-Chocolat bio-Chocolat pâtissier</v>
      </c>
      <c r="F1585" s="25">
        <v>0.0</v>
      </c>
      <c r="G1585" s="25">
        <v>927.0</v>
      </c>
      <c r="H1585" s="25">
        <v>705.0</v>
      </c>
      <c r="I1585" s="26">
        <f t="array" ref="I1585">XLOOKUP($A1585,product!A:A,product!E:E)</f>
        <v>1.99</v>
      </c>
      <c r="J1585" s="25">
        <f t="shared" si="2"/>
        <v>1402.95</v>
      </c>
      <c r="K1585" s="27">
        <f t="shared" si="3"/>
        <v>1</v>
      </c>
      <c r="L1585" s="25">
        <f t="shared" si="4"/>
        <v>1</v>
      </c>
    </row>
    <row r="1586">
      <c r="A1586" s="19">
        <v>26136.0</v>
      </c>
      <c r="B1586" s="20" t="str">
        <f t="array" ref="B1586">xlookup($A1586,product!$A:$A,product!B:B)</f>
        <v>Epicerie sucrée</v>
      </c>
      <c r="C1586" s="20" t="str">
        <f t="array" ref="C1586">xlookup($A1586,product!$A:$A,product!C:C)</f>
        <v>Chocolat bio</v>
      </c>
      <c r="D1586" s="20" t="str">
        <f t="array" ref="D1586">xlookup($A1586,product!$A:$A,product!D:D)</f>
        <v>Chocolat pâtissier</v>
      </c>
      <c r="E1586" s="4" t="str">
        <f t="shared" si="1"/>
        <v>26136-Chocolat bio-Chocolat pâtissier</v>
      </c>
      <c r="F1586" s="4">
        <v>0.0</v>
      </c>
      <c r="G1586" s="4">
        <v>716.0</v>
      </c>
      <c r="H1586" s="4">
        <v>135.0</v>
      </c>
      <c r="I1586" s="21">
        <f t="array" ref="I1586">XLOOKUP($A1586,product!A:A,product!E:E)</f>
        <v>2.02</v>
      </c>
      <c r="J1586" s="4">
        <f t="shared" si="2"/>
        <v>272.7</v>
      </c>
      <c r="K1586" s="22">
        <f t="shared" si="3"/>
        <v>1</v>
      </c>
      <c r="L1586" s="4">
        <f t="shared" si="4"/>
        <v>1</v>
      </c>
    </row>
    <row r="1587">
      <c r="A1587" s="23">
        <v>87502.0</v>
      </c>
      <c r="B1587" s="24" t="str">
        <f t="array" ref="B1587">xlookup($A1587,product!$A:$A,product!B:B)</f>
        <v>Epicerie sucrée</v>
      </c>
      <c r="C1587" s="24" t="str">
        <f t="array" ref="C1587">xlookup($A1587,product!$A:$A,product!C:C)</f>
        <v>Chocolat bio</v>
      </c>
      <c r="D1587" s="24" t="str">
        <f t="array" ref="D1587">xlookup($A1587,product!$A:$A,product!D:D)</f>
        <v>Chocolat pâtissier</v>
      </c>
      <c r="E1587" s="25" t="str">
        <f t="shared" si="1"/>
        <v>87502-Chocolat bio-Chocolat pâtissier</v>
      </c>
      <c r="F1587" s="25">
        <v>0.0</v>
      </c>
      <c r="G1587" s="25">
        <v>402.0</v>
      </c>
      <c r="H1587" s="25">
        <v>224.0</v>
      </c>
      <c r="I1587" s="26">
        <f t="array" ref="I1587">XLOOKUP($A1587,product!A:A,product!E:E)</f>
        <v>2.11</v>
      </c>
      <c r="J1587" s="25">
        <f t="shared" si="2"/>
        <v>472.64</v>
      </c>
      <c r="K1587" s="27">
        <f t="shared" si="3"/>
        <v>1</v>
      </c>
      <c r="L1587" s="25">
        <f t="shared" si="4"/>
        <v>1</v>
      </c>
    </row>
    <row r="1588">
      <c r="A1588" s="19">
        <v>73923.0</v>
      </c>
      <c r="B1588" s="20" t="str">
        <f t="array" ref="B1588">xlookup($A1588,product!$A:$A,product!B:B)</f>
        <v>Epicerie sucrée</v>
      </c>
      <c r="C1588" s="20" t="str">
        <f t="array" ref="C1588">xlookup($A1588,product!$A:$A,product!C:C)</f>
        <v>Chocolat bio</v>
      </c>
      <c r="D1588" s="20" t="str">
        <f t="array" ref="D1588">xlookup($A1588,product!$A:$A,product!D:D)</f>
        <v>Chocolat pâtissier</v>
      </c>
      <c r="E1588" s="4" t="str">
        <f t="shared" si="1"/>
        <v>73923-Chocolat bio-Chocolat pâtissier</v>
      </c>
      <c r="F1588" s="4">
        <v>0.0</v>
      </c>
      <c r="G1588" s="4">
        <v>354.0</v>
      </c>
      <c r="H1588" s="4">
        <v>44.0</v>
      </c>
      <c r="I1588" s="21">
        <f t="array" ref="I1588">XLOOKUP($A1588,product!A:A,product!E:E)</f>
        <v>2.26</v>
      </c>
      <c r="J1588" s="4">
        <f t="shared" si="2"/>
        <v>99.44</v>
      </c>
      <c r="K1588" s="22">
        <f t="shared" si="3"/>
        <v>1</v>
      </c>
      <c r="L1588" s="4">
        <f t="shared" si="4"/>
        <v>1</v>
      </c>
    </row>
    <row r="1589">
      <c r="A1589" s="23">
        <v>164927.0</v>
      </c>
      <c r="B1589" s="24" t="str">
        <f t="array" ref="B1589">xlookup($A1589,product!$A:$A,product!B:B)</f>
        <v>Epicerie sucrée</v>
      </c>
      <c r="C1589" s="24" t="str">
        <f t="array" ref="C1589">xlookup($A1589,product!$A:$A,product!C:C)</f>
        <v>Chocolat bio</v>
      </c>
      <c r="D1589" s="24" t="str">
        <f t="array" ref="D1589">xlookup($A1589,product!$A:$A,product!D:D)</f>
        <v>Chocolat pâtissier</v>
      </c>
      <c r="E1589" s="25" t="str">
        <f t="shared" si="1"/>
        <v>164927-Chocolat bio-Chocolat pâtissier</v>
      </c>
      <c r="F1589" s="25">
        <v>0.0</v>
      </c>
      <c r="G1589" s="25">
        <v>946.0</v>
      </c>
      <c r="H1589" s="25">
        <v>835.0</v>
      </c>
      <c r="I1589" s="26">
        <f t="array" ref="I1589">XLOOKUP($A1589,product!A:A,product!E:E)</f>
        <v>1.91</v>
      </c>
      <c r="J1589" s="25">
        <f t="shared" si="2"/>
        <v>1594.85</v>
      </c>
      <c r="K1589" s="27">
        <f t="shared" si="3"/>
        <v>1</v>
      </c>
      <c r="L1589" s="25">
        <f t="shared" si="4"/>
        <v>1</v>
      </c>
    </row>
    <row r="1590">
      <c r="A1590" s="19">
        <v>108749.0</v>
      </c>
      <c r="B1590" s="20" t="str">
        <f t="array" ref="B1590">xlookup($A1590,product!$A:$A,product!B:B)</f>
        <v>Epicerie sucrée</v>
      </c>
      <c r="C1590" s="20" t="str">
        <f t="array" ref="C1590">xlookup($A1590,product!$A:$A,product!C:C)</f>
        <v>Chocolat bio</v>
      </c>
      <c r="D1590" s="20" t="str">
        <f t="array" ref="D1590">xlookup($A1590,product!$A:$A,product!D:D)</f>
        <v>Truffe et bouchée chocolat</v>
      </c>
      <c r="E1590" s="4" t="str">
        <f t="shared" si="1"/>
        <v>108749-Chocolat bio-Truffe et bouchée chocolat</v>
      </c>
      <c r="F1590" s="4">
        <v>1.0</v>
      </c>
      <c r="G1590" s="4">
        <v>353.0</v>
      </c>
      <c r="H1590" s="4">
        <v>145.0</v>
      </c>
      <c r="I1590" s="21">
        <f t="array" ref="I1590">XLOOKUP($A1590,product!A:A,product!E:E)</f>
        <v>2.65</v>
      </c>
      <c r="J1590" s="4">
        <f t="shared" si="2"/>
        <v>384.25</v>
      </c>
      <c r="K1590" s="22">
        <f t="shared" si="3"/>
        <v>1</v>
      </c>
      <c r="L1590" s="4">
        <f t="shared" si="4"/>
        <v>1</v>
      </c>
    </row>
    <row r="1591">
      <c r="A1591" s="23">
        <v>89919.0</v>
      </c>
      <c r="B1591" s="24" t="str">
        <f t="array" ref="B1591">xlookup($A1591,product!$A:$A,product!B:B)</f>
        <v>Epicerie sucrée</v>
      </c>
      <c r="C1591" s="24" t="str">
        <f t="array" ref="C1591">xlookup($A1591,product!$A:$A,product!C:C)</f>
        <v>Chocolat bio</v>
      </c>
      <c r="D1591" s="24" t="str">
        <f t="array" ref="D1591">xlookup($A1591,product!$A:$A,product!D:D)</f>
        <v>Truffe et bouchée chocolat</v>
      </c>
      <c r="E1591" s="25" t="str">
        <f t="shared" si="1"/>
        <v>89919-Chocolat bio-Truffe et bouchée chocolat</v>
      </c>
      <c r="F1591" s="25">
        <v>0.0</v>
      </c>
      <c r="G1591" s="25">
        <v>393.0</v>
      </c>
      <c r="H1591" s="25">
        <v>144.0</v>
      </c>
      <c r="I1591" s="26">
        <f t="array" ref="I1591">XLOOKUP($A1591,product!A:A,product!E:E)</f>
        <v>1.57</v>
      </c>
      <c r="J1591" s="25">
        <f t="shared" si="2"/>
        <v>226.08</v>
      </c>
      <c r="K1591" s="27">
        <f t="shared" si="3"/>
        <v>1</v>
      </c>
      <c r="L1591" s="25">
        <f t="shared" si="4"/>
        <v>1</v>
      </c>
    </row>
    <row r="1592">
      <c r="A1592" s="19">
        <v>112897.0</v>
      </c>
      <c r="B1592" s="20" t="str">
        <f t="array" ref="B1592">xlookup($A1592,product!$A:$A,product!B:B)</f>
        <v>Epicerie sucrée</v>
      </c>
      <c r="C1592" s="20" t="str">
        <f t="array" ref="C1592">xlookup($A1592,product!$A:$A,product!C:C)</f>
        <v>Chocolat bio</v>
      </c>
      <c r="D1592" s="20" t="str">
        <f t="array" ref="D1592">xlookup($A1592,product!$A:$A,product!D:D)</f>
        <v>Truffe et bouchée chocolat</v>
      </c>
      <c r="E1592" s="4" t="str">
        <f t="shared" si="1"/>
        <v>112897-Chocolat bio-Truffe et bouchée chocolat</v>
      </c>
      <c r="F1592" s="4">
        <v>0.0</v>
      </c>
      <c r="G1592" s="4">
        <v>812.0</v>
      </c>
      <c r="H1592" s="4">
        <v>575.0</v>
      </c>
      <c r="I1592" s="21">
        <f t="array" ref="I1592">XLOOKUP($A1592,product!A:A,product!E:E)</f>
        <v>4.85</v>
      </c>
      <c r="J1592" s="4">
        <f t="shared" si="2"/>
        <v>2788.75</v>
      </c>
      <c r="K1592" s="22">
        <f t="shared" si="3"/>
        <v>1</v>
      </c>
      <c r="L1592" s="4">
        <f t="shared" si="4"/>
        <v>1</v>
      </c>
    </row>
    <row r="1593">
      <c r="A1593" s="23">
        <v>122013.0</v>
      </c>
      <c r="B1593" s="24" t="str">
        <f t="array" ref="B1593">xlookup($A1593,product!$A:$A,product!B:B)</f>
        <v>Epicerie sucrée</v>
      </c>
      <c r="C1593" s="24" t="str">
        <f t="array" ref="C1593">xlookup($A1593,product!$A:$A,product!C:C)</f>
        <v>Chocolat bio</v>
      </c>
      <c r="D1593" s="24" t="str">
        <f t="array" ref="D1593">xlookup($A1593,product!$A:$A,product!D:D)</f>
        <v>Truffe et bouchée chocolat</v>
      </c>
      <c r="E1593" s="25" t="str">
        <f t="shared" si="1"/>
        <v>122013-Chocolat bio-Truffe et bouchée chocolat</v>
      </c>
      <c r="F1593" s="25">
        <v>1.0</v>
      </c>
      <c r="G1593" s="25">
        <v>506.0</v>
      </c>
      <c r="H1593" s="25">
        <v>105.0</v>
      </c>
      <c r="I1593" s="26">
        <f t="array" ref="I1593">XLOOKUP($A1593,product!A:A,product!E:E)</f>
        <v>1.57</v>
      </c>
      <c r="J1593" s="25">
        <f t="shared" si="2"/>
        <v>164.85</v>
      </c>
      <c r="K1593" s="27">
        <f t="shared" si="3"/>
        <v>1</v>
      </c>
      <c r="L1593" s="25">
        <f t="shared" si="4"/>
        <v>1</v>
      </c>
    </row>
    <row r="1594">
      <c r="A1594" s="19">
        <v>89902.0</v>
      </c>
      <c r="B1594" s="20" t="str">
        <f t="array" ref="B1594">xlookup($A1594,product!$A:$A,product!B:B)</f>
        <v>Epicerie sucrée</v>
      </c>
      <c r="C1594" s="20" t="str">
        <f t="array" ref="C1594">xlookup($A1594,product!$A:$A,product!C:C)</f>
        <v>Chocolat bio</v>
      </c>
      <c r="D1594" s="20" t="str">
        <f t="array" ref="D1594">xlookup($A1594,product!$A:$A,product!D:D)</f>
        <v>Truffe et bouchée chocolat</v>
      </c>
      <c r="E1594" s="4" t="str">
        <f t="shared" si="1"/>
        <v>89902-Chocolat bio-Truffe et bouchée chocolat</v>
      </c>
      <c r="F1594" s="4">
        <v>0.0</v>
      </c>
      <c r="G1594" s="4">
        <v>724.0</v>
      </c>
      <c r="H1594" s="4">
        <v>5.0</v>
      </c>
      <c r="I1594" s="21">
        <f t="array" ref="I1594">XLOOKUP($A1594,product!A:A,product!E:E)</f>
        <v>1.57</v>
      </c>
      <c r="J1594" s="4">
        <f t="shared" si="2"/>
        <v>7.85</v>
      </c>
      <c r="K1594" s="22">
        <f t="shared" si="3"/>
        <v>1</v>
      </c>
      <c r="L1594" s="4">
        <f t="shared" si="4"/>
        <v>1</v>
      </c>
    </row>
    <row r="1595">
      <c r="A1595" s="23">
        <v>89900.0</v>
      </c>
      <c r="B1595" s="24" t="str">
        <f t="array" ref="B1595">xlookup($A1595,product!$A:$A,product!B:B)</f>
        <v>Epicerie sucrée</v>
      </c>
      <c r="C1595" s="24" t="str">
        <f t="array" ref="C1595">xlookup($A1595,product!$A:$A,product!C:C)</f>
        <v>Chocolat bio</v>
      </c>
      <c r="D1595" s="24" t="str">
        <f t="array" ref="D1595">xlookup($A1595,product!$A:$A,product!D:D)</f>
        <v>Truffe et bouchée chocolat</v>
      </c>
      <c r="E1595" s="25" t="str">
        <f t="shared" si="1"/>
        <v>89900-Chocolat bio-Truffe et bouchée chocolat</v>
      </c>
      <c r="F1595" s="25">
        <v>0.0</v>
      </c>
      <c r="G1595" s="25">
        <v>685.0</v>
      </c>
      <c r="H1595" s="25">
        <v>460.0</v>
      </c>
      <c r="I1595" s="26">
        <f t="array" ref="I1595">XLOOKUP($A1595,product!A:A,product!E:E)</f>
        <v>1.57</v>
      </c>
      <c r="J1595" s="25">
        <f t="shared" si="2"/>
        <v>722.2</v>
      </c>
      <c r="K1595" s="27">
        <f t="shared" si="3"/>
        <v>1</v>
      </c>
      <c r="L1595" s="25">
        <f t="shared" si="4"/>
        <v>1</v>
      </c>
    </row>
    <row r="1596">
      <c r="A1596" s="19">
        <v>92461.0</v>
      </c>
      <c r="B1596" s="20" t="str">
        <f t="array" ref="B1596">xlookup($A1596,product!$A:$A,product!B:B)</f>
        <v>Epicerie sucrée</v>
      </c>
      <c r="C1596" s="20" t="str">
        <f t="array" ref="C1596">xlookup($A1596,product!$A:$A,product!C:C)</f>
        <v>Chocolat bio</v>
      </c>
      <c r="D1596" s="20" t="str">
        <f t="array" ref="D1596">xlookup($A1596,product!$A:$A,product!D:D)</f>
        <v>Truffe et bouchée chocolat</v>
      </c>
      <c r="E1596" s="4" t="str">
        <f t="shared" si="1"/>
        <v>92461-Chocolat bio-Truffe et bouchée chocolat</v>
      </c>
      <c r="F1596" s="4">
        <v>0.0</v>
      </c>
      <c r="G1596" s="4">
        <v>261.0</v>
      </c>
      <c r="H1596" s="4">
        <v>238.0</v>
      </c>
      <c r="I1596" s="21">
        <f t="array" ref="I1596">XLOOKUP($A1596,product!A:A,product!E:E)</f>
        <v>0.81</v>
      </c>
      <c r="J1596" s="4">
        <f t="shared" si="2"/>
        <v>192.78</v>
      </c>
      <c r="K1596" s="22">
        <f t="shared" si="3"/>
        <v>1</v>
      </c>
      <c r="L1596" s="4">
        <f t="shared" si="4"/>
        <v>1</v>
      </c>
    </row>
    <row r="1597">
      <c r="A1597" s="23">
        <v>128834.0</v>
      </c>
      <c r="B1597" s="24" t="str">
        <f t="array" ref="B1597">xlookup($A1597,product!$A:$A,product!B:B)</f>
        <v>Maison</v>
      </c>
      <c r="C1597" s="24" t="str">
        <f t="array" ref="C1597">xlookup($A1597,product!$A:$A,product!C:C)</f>
        <v>Conservation</v>
      </c>
      <c r="D1597" s="24" t="str">
        <f t="array" ref="D1597">xlookup($A1597,product!$A:$A,product!D:D)</f>
        <v>Boîtes en inox</v>
      </c>
      <c r="E1597" s="25" t="str">
        <f t="shared" si="1"/>
        <v>128834-Conservation-Boîtes en inox</v>
      </c>
      <c r="F1597" s="25">
        <v>0.0</v>
      </c>
      <c r="G1597" s="25">
        <v>609.0</v>
      </c>
      <c r="H1597" s="25">
        <v>407.0</v>
      </c>
      <c r="I1597" s="26">
        <f t="array" ref="I1597">XLOOKUP($A1597,product!A:A,product!E:E)</f>
        <v>12.56</v>
      </c>
      <c r="J1597" s="25">
        <f t="shared" si="2"/>
        <v>5111.92</v>
      </c>
      <c r="K1597" s="27">
        <f t="shared" si="3"/>
        <v>1</v>
      </c>
      <c r="L1597" s="25">
        <f t="shared" si="4"/>
        <v>1</v>
      </c>
    </row>
    <row r="1598">
      <c r="A1598" s="19">
        <v>135180.0</v>
      </c>
      <c r="B1598" s="20" t="str">
        <f t="array" ref="B1598">xlookup($A1598,product!$A:$A,product!B:B)</f>
        <v>Maison</v>
      </c>
      <c r="C1598" s="20" t="str">
        <f t="array" ref="C1598">xlookup($A1598,product!$A:$A,product!C:C)</f>
        <v>Conservation</v>
      </c>
      <c r="D1598" s="20" t="str">
        <f t="array" ref="D1598">xlookup($A1598,product!$A:$A,product!D:D)</f>
        <v>Boîtes en inox</v>
      </c>
      <c r="E1598" s="4" t="str">
        <f t="shared" si="1"/>
        <v>135180-Conservation-Boîtes en inox</v>
      </c>
      <c r="F1598" s="4">
        <v>1.0</v>
      </c>
      <c r="G1598" s="4">
        <v>563.0</v>
      </c>
      <c r="H1598" s="4">
        <v>524.0</v>
      </c>
      <c r="I1598" s="21">
        <f t="array" ref="I1598">XLOOKUP($A1598,product!A:A,product!E:E)</f>
        <v>12.56</v>
      </c>
      <c r="J1598" s="4">
        <f t="shared" si="2"/>
        <v>6581.44</v>
      </c>
      <c r="K1598" s="22">
        <f t="shared" si="3"/>
        <v>1</v>
      </c>
      <c r="L1598" s="4">
        <f t="shared" si="4"/>
        <v>1</v>
      </c>
    </row>
    <row r="1599">
      <c r="A1599" s="23">
        <v>120582.0</v>
      </c>
      <c r="B1599" s="24" t="str">
        <f t="array" ref="B1599">xlookup($A1599,product!$A:$A,product!B:B)</f>
        <v>Maison</v>
      </c>
      <c r="C1599" s="24" t="str">
        <f t="array" ref="C1599">xlookup($A1599,product!$A:$A,product!C:C)</f>
        <v>Conservation</v>
      </c>
      <c r="D1599" s="24" t="str">
        <f t="array" ref="D1599">xlookup($A1599,product!$A:$A,product!D:D)</f>
        <v>Boîtes en inox</v>
      </c>
      <c r="E1599" s="25" t="str">
        <f t="shared" si="1"/>
        <v>120582-Conservation-Boîtes en inox</v>
      </c>
      <c r="F1599" s="25">
        <v>1.0</v>
      </c>
      <c r="G1599" s="25">
        <v>658.0</v>
      </c>
      <c r="H1599" s="25">
        <v>598.0</v>
      </c>
      <c r="I1599" s="26">
        <f t="array" ref="I1599">XLOOKUP($A1599,product!A:A,product!E:E)</f>
        <v>9.15</v>
      </c>
      <c r="J1599" s="25">
        <f t="shared" si="2"/>
        <v>5471.7</v>
      </c>
      <c r="K1599" s="27">
        <f t="shared" si="3"/>
        <v>1</v>
      </c>
      <c r="L1599" s="25">
        <f t="shared" si="4"/>
        <v>1</v>
      </c>
    </row>
    <row r="1600">
      <c r="A1600" s="19">
        <v>105794.0</v>
      </c>
      <c r="B1600" s="20" t="str">
        <f t="array" ref="B1600">xlookup($A1600,product!$A:$A,product!B:B)</f>
        <v>Maison</v>
      </c>
      <c r="C1600" s="20" t="str">
        <f t="array" ref="C1600">xlookup($A1600,product!$A:$A,product!C:C)</f>
        <v>Conservation</v>
      </c>
      <c r="D1600" s="20" t="str">
        <f t="array" ref="D1600">xlookup($A1600,product!$A:$A,product!D:D)</f>
        <v>Mugs isothermes</v>
      </c>
      <c r="E1600" s="4" t="str">
        <f t="shared" si="1"/>
        <v>105794-Conservation-Mugs isothermes</v>
      </c>
      <c r="F1600" s="4">
        <v>0.0</v>
      </c>
      <c r="G1600" s="4">
        <v>593.0</v>
      </c>
      <c r="H1600" s="4">
        <v>88.0</v>
      </c>
      <c r="I1600" s="21">
        <f t="array" ref="I1600">XLOOKUP($A1600,product!A:A,product!E:E)</f>
        <v>5.47</v>
      </c>
      <c r="J1600" s="4">
        <f t="shared" si="2"/>
        <v>481.36</v>
      </c>
      <c r="K1600" s="22">
        <f t="shared" si="3"/>
        <v>1</v>
      </c>
      <c r="L1600" s="4">
        <f t="shared" si="4"/>
        <v>1</v>
      </c>
    </row>
    <row r="1601">
      <c r="A1601" s="23">
        <v>81049.0</v>
      </c>
      <c r="B1601" s="24" t="str">
        <f t="array" ref="B1601">xlookup($A1601,product!$A:$A,product!B:B)</f>
        <v>Maison</v>
      </c>
      <c r="C1601" s="24" t="str">
        <f t="array" ref="C1601">xlookup($A1601,product!$A:$A,product!C:C)</f>
        <v>Conservation</v>
      </c>
      <c r="D1601" s="24" t="str">
        <f t="array" ref="D1601">xlookup($A1601,product!$A:$A,product!D:D)</f>
        <v>Mugs isothermes</v>
      </c>
      <c r="E1601" s="25" t="str">
        <f t="shared" si="1"/>
        <v>81049-Conservation-Mugs isothermes</v>
      </c>
      <c r="F1601" s="25">
        <v>1.0</v>
      </c>
      <c r="G1601" s="25">
        <v>977.0</v>
      </c>
      <c r="H1601" s="25">
        <v>908.0</v>
      </c>
      <c r="I1601" s="26">
        <f t="array" ref="I1601">XLOOKUP($A1601,product!A:A,product!E:E)</f>
        <v>11.05</v>
      </c>
      <c r="J1601" s="25">
        <f t="shared" si="2"/>
        <v>10033.4</v>
      </c>
      <c r="K1601" s="27">
        <f t="shared" si="3"/>
        <v>1</v>
      </c>
      <c r="L1601" s="25">
        <f t="shared" si="4"/>
        <v>1</v>
      </c>
    </row>
    <row r="1602">
      <c r="A1602" s="19">
        <v>13364.0</v>
      </c>
      <c r="B1602" s="20" t="str">
        <f t="array" ref="B1602">xlookup($A1602,product!$A:$A,product!B:B)</f>
        <v>Maison</v>
      </c>
      <c r="C1602" s="20" t="str">
        <f t="array" ref="C1602">xlookup($A1602,product!$A:$A,product!C:C)</f>
        <v>Conservation</v>
      </c>
      <c r="D1602" s="20" t="str">
        <f t="array" ref="D1602">xlookup($A1602,product!$A:$A,product!D:D)</f>
        <v>Boîtes en verre</v>
      </c>
      <c r="E1602" s="4" t="str">
        <f t="shared" si="1"/>
        <v>13364-Conservation-Boîtes en verre</v>
      </c>
      <c r="F1602" s="4">
        <v>1.0</v>
      </c>
      <c r="G1602" s="4">
        <v>307.0</v>
      </c>
      <c r="H1602" s="4">
        <v>176.0</v>
      </c>
      <c r="I1602" s="21">
        <f t="array" ref="I1602">XLOOKUP($A1602,product!A:A,product!E:E)</f>
        <v>1.99</v>
      </c>
      <c r="J1602" s="4">
        <f t="shared" si="2"/>
        <v>350.24</v>
      </c>
      <c r="K1602" s="22">
        <f t="shared" si="3"/>
        <v>1</v>
      </c>
      <c r="L1602" s="4">
        <f t="shared" si="4"/>
        <v>1</v>
      </c>
    </row>
    <row r="1603">
      <c r="A1603" s="23">
        <v>13361.0</v>
      </c>
      <c r="B1603" s="24" t="str">
        <f t="array" ref="B1603">xlookup($A1603,product!$A:$A,product!B:B)</f>
        <v>Maison</v>
      </c>
      <c r="C1603" s="24" t="str">
        <f t="array" ref="C1603">xlookup($A1603,product!$A:$A,product!C:C)</f>
        <v>Conservation</v>
      </c>
      <c r="D1603" s="24" t="str">
        <f t="array" ref="D1603">xlookup($A1603,product!$A:$A,product!D:D)</f>
        <v>Boîtes en verre</v>
      </c>
      <c r="E1603" s="25" t="str">
        <f t="shared" si="1"/>
        <v>13361-Conservation-Boîtes en verre</v>
      </c>
      <c r="F1603" s="25">
        <v>1.0</v>
      </c>
      <c r="G1603" s="25">
        <v>21.0</v>
      </c>
      <c r="H1603" s="25">
        <v>14.0</v>
      </c>
      <c r="I1603" s="26">
        <f t="array" ref="I1603">XLOOKUP($A1603,product!A:A,product!E:E)</f>
        <v>1.39</v>
      </c>
      <c r="J1603" s="25">
        <f t="shared" si="2"/>
        <v>19.46</v>
      </c>
      <c r="K1603" s="27">
        <f t="shared" si="3"/>
        <v>1</v>
      </c>
      <c r="L1603" s="25">
        <f t="shared" si="4"/>
        <v>1</v>
      </c>
    </row>
    <row r="1604">
      <c r="A1604" s="19">
        <v>75659.0</v>
      </c>
      <c r="B1604" s="20" t="str">
        <f t="array" ref="B1604">xlookup($A1604,product!$A:$A,product!B:B)</f>
        <v>Maison</v>
      </c>
      <c r="C1604" s="20" t="str">
        <f t="array" ref="C1604">xlookup($A1604,product!$A:$A,product!C:C)</f>
        <v>Conservation</v>
      </c>
      <c r="D1604" s="20" t="str">
        <f t="array" ref="D1604">xlookup($A1604,product!$A:$A,product!D:D)</f>
        <v>Boîtes en verre</v>
      </c>
      <c r="E1604" s="4" t="str">
        <f t="shared" si="1"/>
        <v>75659-Conservation-Boîtes en verre</v>
      </c>
      <c r="F1604" s="4">
        <v>0.0</v>
      </c>
      <c r="G1604" s="4">
        <v>668.0</v>
      </c>
      <c r="H1604" s="4">
        <v>47.0</v>
      </c>
      <c r="I1604" s="21">
        <f t="array" ref="I1604">XLOOKUP($A1604,product!A:A,product!E:E)</f>
        <v>1.88</v>
      </c>
      <c r="J1604" s="4">
        <f t="shared" si="2"/>
        <v>88.36</v>
      </c>
      <c r="K1604" s="22">
        <f t="shared" si="3"/>
        <v>1</v>
      </c>
      <c r="L1604" s="4">
        <f t="shared" si="4"/>
        <v>1</v>
      </c>
    </row>
    <row r="1605">
      <c r="A1605" s="23">
        <v>75655.0</v>
      </c>
      <c r="B1605" s="24" t="str">
        <f t="array" ref="B1605">xlookup($A1605,product!$A:$A,product!B:B)</f>
        <v>Maison</v>
      </c>
      <c r="C1605" s="24" t="str">
        <f t="array" ref="C1605">xlookup($A1605,product!$A:$A,product!C:C)</f>
        <v>Conservation</v>
      </c>
      <c r="D1605" s="24" t="str">
        <f t="array" ref="D1605">xlookup($A1605,product!$A:$A,product!D:D)</f>
        <v>Boîtes en verre</v>
      </c>
      <c r="E1605" s="25" t="str">
        <f t="shared" si="1"/>
        <v>75655-Conservation-Boîtes en verre</v>
      </c>
      <c r="F1605" s="25">
        <v>1.0</v>
      </c>
      <c r="G1605" s="25">
        <v>281.0</v>
      </c>
      <c r="H1605" s="25">
        <v>91.0</v>
      </c>
      <c r="I1605" s="26">
        <f t="array" ref="I1605">XLOOKUP($A1605,product!A:A,product!E:E)</f>
        <v>1.5</v>
      </c>
      <c r="J1605" s="25">
        <f t="shared" si="2"/>
        <v>136.5</v>
      </c>
      <c r="K1605" s="27">
        <f t="shared" si="3"/>
        <v>1</v>
      </c>
      <c r="L1605" s="25">
        <f t="shared" si="4"/>
        <v>1</v>
      </c>
    </row>
    <row r="1606">
      <c r="A1606" s="19">
        <v>117866.0</v>
      </c>
      <c r="B1606" s="20" t="str">
        <f t="array" ref="B1606">xlookup($A1606,product!$A:$A,product!B:B)</f>
        <v>Maison</v>
      </c>
      <c r="C1606" s="20" t="str">
        <f t="array" ref="C1606">xlookup($A1606,product!$A:$A,product!C:C)</f>
        <v>Conservation</v>
      </c>
      <c r="D1606" s="20" t="str">
        <f t="array" ref="D1606">xlookup($A1606,product!$A:$A,product!D:D)</f>
        <v>Boîtes en verre</v>
      </c>
      <c r="E1606" s="4" t="str">
        <f t="shared" si="1"/>
        <v>117866-Conservation-Boîtes en verre</v>
      </c>
      <c r="F1606" s="4">
        <v>0.0</v>
      </c>
      <c r="G1606" s="4">
        <v>284.0</v>
      </c>
      <c r="H1606" s="4">
        <v>183.0</v>
      </c>
      <c r="I1606" s="21">
        <f t="array" ref="I1606">XLOOKUP($A1606,product!A:A,product!E:E)</f>
        <v>14.99</v>
      </c>
      <c r="J1606" s="4">
        <f t="shared" si="2"/>
        <v>2743.17</v>
      </c>
      <c r="K1606" s="22">
        <f t="shared" si="3"/>
        <v>1</v>
      </c>
      <c r="L1606" s="4">
        <f t="shared" si="4"/>
        <v>1</v>
      </c>
    </row>
    <row r="1607">
      <c r="A1607" s="23">
        <v>90556.0</v>
      </c>
      <c r="B1607" s="24" t="str">
        <f t="array" ref="B1607">xlookup($A1607,product!$A:$A,product!B:B)</f>
        <v>Maison</v>
      </c>
      <c r="C1607" s="24" t="str">
        <f t="array" ref="C1607">xlookup($A1607,product!$A:$A,product!C:C)</f>
        <v>Conservation</v>
      </c>
      <c r="D1607" s="24" t="str">
        <f t="array" ref="D1607">xlookup($A1607,product!$A:$A,product!D:D)</f>
        <v>Boîtes en verre</v>
      </c>
      <c r="E1607" s="25" t="str">
        <f t="shared" si="1"/>
        <v>90556-Conservation-Boîtes en verre</v>
      </c>
      <c r="F1607" s="25">
        <v>0.0</v>
      </c>
      <c r="G1607" s="25">
        <v>392.0</v>
      </c>
      <c r="H1607" s="25">
        <v>74.0</v>
      </c>
      <c r="I1607" s="26">
        <f t="array" ref="I1607">XLOOKUP($A1607,product!A:A,product!E:E)</f>
        <v>4.29</v>
      </c>
      <c r="J1607" s="25">
        <f t="shared" si="2"/>
        <v>317.46</v>
      </c>
      <c r="K1607" s="27">
        <f t="shared" si="3"/>
        <v>1</v>
      </c>
      <c r="L1607" s="25">
        <f t="shared" si="4"/>
        <v>1</v>
      </c>
    </row>
    <row r="1608">
      <c r="A1608" s="19">
        <v>68605.0</v>
      </c>
      <c r="B1608" s="20" t="str">
        <f t="array" ref="B1608">xlookup($A1608,product!$A:$A,product!B:B)</f>
        <v>Maison</v>
      </c>
      <c r="C1608" s="20" t="str">
        <f t="array" ref="C1608">xlookup($A1608,product!$A:$A,product!C:C)</f>
        <v>Conservation</v>
      </c>
      <c r="D1608" s="20" t="str">
        <f t="array" ref="D1608">xlookup($A1608,product!$A:$A,product!D:D)</f>
        <v>Boîtes en verre</v>
      </c>
      <c r="E1608" s="4" t="str">
        <f t="shared" si="1"/>
        <v>68605-Conservation-Boîtes en verre</v>
      </c>
      <c r="F1608" s="4">
        <v>1.0</v>
      </c>
      <c r="G1608" s="4">
        <v>275.0</v>
      </c>
      <c r="H1608" s="4">
        <v>262.0</v>
      </c>
      <c r="I1608" s="21">
        <f t="array" ref="I1608">XLOOKUP($A1608,product!A:A,product!E:E)</f>
        <v>2.93</v>
      </c>
      <c r="J1608" s="4">
        <f t="shared" si="2"/>
        <v>767.66</v>
      </c>
      <c r="K1608" s="22">
        <f t="shared" si="3"/>
        <v>1</v>
      </c>
      <c r="L1608" s="4">
        <f t="shared" si="4"/>
        <v>1</v>
      </c>
    </row>
    <row r="1609">
      <c r="A1609" s="23">
        <v>103829.0</v>
      </c>
      <c r="B1609" s="24" t="str">
        <f t="array" ref="B1609">xlookup($A1609,product!$A:$A,product!B:B)</f>
        <v>Maison</v>
      </c>
      <c r="C1609" s="24" t="str">
        <f t="array" ref="C1609">xlookup($A1609,product!$A:$A,product!C:C)</f>
        <v>Conservation</v>
      </c>
      <c r="D1609" s="24" t="str">
        <f t="array" ref="D1609">xlookup($A1609,product!$A:$A,product!D:D)</f>
        <v>Boîtes en verre</v>
      </c>
      <c r="E1609" s="25" t="str">
        <f t="shared" si="1"/>
        <v>103829-Conservation-Boîtes en verre</v>
      </c>
      <c r="F1609" s="25">
        <v>0.0</v>
      </c>
      <c r="G1609" s="25">
        <v>516.0</v>
      </c>
      <c r="H1609" s="25">
        <v>226.0</v>
      </c>
      <c r="I1609" s="26">
        <f t="array" ref="I1609">XLOOKUP($A1609,product!A:A,product!E:E)</f>
        <v>9.98</v>
      </c>
      <c r="J1609" s="25">
        <f t="shared" si="2"/>
        <v>2255.48</v>
      </c>
      <c r="K1609" s="27">
        <f t="shared" si="3"/>
        <v>1</v>
      </c>
      <c r="L1609" s="25">
        <f t="shared" si="4"/>
        <v>1</v>
      </c>
    </row>
    <row r="1610">
      <c r="A1610" s="19">
        <v>90558.0</v>
      </c>
      <c r="B1610" s="20" t="str">
        <f t="array" ref="B1610">xlookup($A1610,product!$A:$A,product!B:B)</f>
        <v>Maison</v>
      </c>
      <c r="C1610" s="20" t="str">
        <f t="array" ref="C1610">xlookup($A1610,product!$A:$A,product!C:C)</f>
        <v>Conservation</v>
      </c>
      <c r="D1610" s="20" t="str">
        <f t="array" ref="D1610">xlookup($A1610,product!$A:$A,product!D:D)</f>
        <v>Boîtes en verre</v>
      </c>
      <c r="E1610" s="4" t="str">
        <f t="shared" si="1"/>
        <v>90558-Conservation-Boîtes en verre</v>
      </c>
      <c r="F1610" s="4">
        <v>0.0</v>
      </c>
      <c r="G1610" s="4">
        <v>383.0</v>
      </c>
      <c r="H1610" s="4">
        <v>171.0</v>
      </c>
      <c r="I1610" s="21">
        <f t="array" ref="I1610">XLOOKUP($A1610,product!A:A,product!E:E)</f>
        <v>5.57</v>
      </c>
      <c r="J1610" s="4">
        <f t="shared" si="2"/>
        <v>952.47</v>
      </c>
      <c r="K1610" s="22">
        <f t="shared" si="3"/>
        <v>1</v>
      </c>
      <c r="L1610" s="4">
        <f t="shared" si="4"/>
        <v>1</v>
      </c>
    </row>
    <row r="1611">
      <c r="A1611" s="23">
        <v>120490.0</v>
      </c>
      <c r="B1611" s="24" t="str">
        <f t="array" ref="B1611">xlookup($A1611,product!$A:$A,product!B:B)</f>
        <v>Maison</v>
      </c>
      <c r="C1611" s="24" t="str">
        <f t="array" ref="C1611">xlookup($A1611,product!$A:$A,product!C:C)</f>
        <v>Conservation</v>
      </c>
      <c r="D1611" s="24" t="str">
        <f t="array" ref="D1611">xlookup($A1611,product!$A:$A,product!D:D)</f>
        <v>Boîtes en verre</v>
      </c>
      <c r="E1611" s="25" t="str">
        <f t="shared" si="1"/>
        <v>120490-Conservation-Boîtes en verre</v>
      </c>
      <c r="F1611" s="25">
        <v>1.0</v>
      </c>
      <c r="G1611" s="25">
        <v>936.0</v>
      </c>
      <c r="H1611" s="25">
        <v>258.0</v>
      </c>
      <c r="I1611" s="26">
        <f t="array" ref="I1611">XLOOKUP($A1611,product!A:A,product!E:E)</f>
        <v>2.72</v>
      </c>
      <c r="J1611" s="25">
        <f t="shared" si="2"/>
        <v>701.76</v>
      </c>
      <c r="K1611" s="27">
        <f t="shared" si="3"/>
        <v>1</v>
      </c>
      <c r="L1611" s="25">
        <f t="shared" si="4"/>
        <v>1</v>
      </c>
    </row>
    <row r="1612">
      <c r="A1612" s="19">
        <v>75662.0</v>
      </c>
      <c r="B1612" s="20" t="str">
        <f t="array" ref="B1612">xlookup($A1612,product!$A:$A,product!B:B)</f>
        <v>Maison</v>
      </c>
      <c r="C1612" s="20" t="str">
        <f t="array" ref="C1612">xlookup($A1612,product!$A:$A,product!C:C)</f>
        <v>Conservation</v>
      </c>
      <c r="D1612" s="20" t="str">
        <f t="array" ref="D1612">xlookup($A1612,product!$A:$A,product!D:D)</f>
        <v>Boîtes en verre</v>
      </c>
      <c r="E1612" s="4" t="str">
        <f t="shared" si="1"/>
        <v>75662-Conservation-Boîtes en verre</v>
      </c>
      <c r="F1612" s="4">
        <v>1.0</v>
      </c>
      <c r="G1612" s="4">
        <v>736.0</v>
      </c>
      <c r="H1612" s="4">
        <v>434.0</v>
      </c>
      <c r="I1612" s="21">
        <f t="array" ref="I1612">XLOOKUP($A1612,product!A:A,product!E:E)</f>
        <v>3.6</v>
      </c>
      <c r="J1612" s="4">
        <f t="shared" si="2"/>
        <v>1562.4</v>
      </c>
      <c r="K1612" s="22">
        <f t="shared" si="3"/>
        <v>1</v>
      </c>
      <c r="L1612" s="4">
        <f t="shared" si="4"/>
        <v>1</v>
      </c>
    </row>
    <row r="1613">
      <c r="A1613" s="23">
        <v>121298.0</v>
      </c>
      <c r="B1613" s="24" t="str">
        <f t="array" ref="B1613">xlookup($A1613,product!$A:$A,product!B:B)</f>
        <v>Maison</v>
      </c>
      <c r="C1613" s="24" t="str">
        <f t="array" ref="C1613">xlookup($A1613,product!$A:$A,product!C:C)</f>
        <v>Conservation</v>
      </c>
      <c r="D1613" s="24" t="str">
        <f t="array" ref="D1613">xlookup($A1613,product!$A:$A,product!D:D)</f>
        <v>Boîtes en verre</v>
      </c>
      <c r="E1613" s="25" t="str">
        <f t="shared" si="1"/>
        <v>121298-Conservation-Boîtes en verre</v>
      </c>
      <c r="F1613" s="25">
        <v>0.0</v>
      </c>
      <c r="G1613" s="25">
        <v>21.0</v>
      </c>
      <c r="H1613" s="25">
        <v>9.0</v>
      </c>
      <c r="I1613" s="26">
        <f t="array" ref="I1613">XLOOKUP($A1613,product!A:A,product!E:E)</f>
        <v>14.99</v>
      </c>
      <c r="J1613" s="25">
        <f t="shared" si="2"/>
        <v>134.91</v>
      </c>
      <c r="K1613" s="27">
        <f t="shared" si="3"/>
        <v>1</v>
      </c>
      <c r="L1613" s="25">
        <f t="shared" si="4"/>
        <v>1</v>
      </c>
    </row>
    <row r="1614">
      <c r="A1614" s="19">
        <v>13363.0</v>
      </c>
      <c r="B1614" s="20" t="str">
        <f t="array" ref="B1614">xlookup($A1614,product!$A:$A,product!B:B)</f>
        <v>Maison</v>
      </c>
      <c r="C1614" s="20" t="str">
        <f t="array" ref="C1614">xlookup($A1614,product!$A:$A,product!C:C)</f>
        <v>Conservation</v>
      </c>
      <c r="D1614" s="20" t="str">
        <f t="array" ref="D1614">xlookup($A1614,product!$A:$A,product!D:D)</f>
        <v>Boîtes en verre</v>
      </c>
      <c r="E1614" s="4" t="str">
        <f t="shared" si="1"/>
        <v>13363-Conservation-Boîtes en verre</v>
      </c>
      <c r="F1614" s="4">
        <v>0.0</v>
      </c>
      <c r="G1614" s="4">
        <v>887.0</v>
      </c>
      <c r="H1614" s="4">
        <v>154.0</v>
      </c>
      <c r="I1614" s="21">
        <f t="array" ref="I1614">XLOOKUP($A1614,product!A:A,product!E:E)</f>
        <v>1.7</v>
      </c>
      <c r="J1614" s="4">
        <f t="shared" si="2"/>
        <v>261.8</v>
      </c>
      <c r="K1614" s="22">
        <f t="shared" si="3"/>
        <v>1</v>
      </c>
      <c r="L1614" s="4">
        <f t="shared" si="4"/>
        <v>1</v>
      </c>
    </row>
    <row r="1615">
      <c r="A1615" s="23">
        <v>117863.0</v>
      </c>
      <c r="B1615" s="24" t="str">
        <f t="array" ref="B1615">xlookup($A1615,product!$A:$A,product!B:B)</f>
        <v>Maison</v>
      </c>
      <c r="C1615" s="24" t="str">
        <f t="array" ref="C1615">xlookup($A1615,product!$A:$A,product!C:C)</f>
        <v>Conservation</v>
      </c>
      <c r="D1615" s="24" t="str">
        <f t="array" ref="D1615">xlookup($A1615,product!$A:$A,product!D:D)</f>
        <v>Boîtes en verre</v>
      </c>
      <c r="E1615" s="25" t="str">
        <f t="shared" si="1"/>
        <v>117863-Conservation-Boîtes en verre</v>
      </c>
      <c r="F1615" s="25">
        <v>1.0</v>
      </c>
      <c r="G1615" s="25">
        <v>844.0</v>
      </c>
      <c r="H1615" s="25">
        <v>832.0</v>
      </c>
      <c r="I1615" s="26">
        <f t="array" ref="I1615">XLOOKUP($A1615,product!A:A,product!E:E)</f>
        <v>6.86</v>
      </c>
      <c r="J1615" s="25">
        <f t="shared" si="2"/>
        <v>5707.52</v>
      </c>
      <c r="K1615" s="27">
        <f t="shared" si="3"/>
        <v>1</v>
      </c>
      <c r="L1615" s="25">
        <f t="shared" si="4"/>
        <v>1</v>
      </c>
    </row>
    <row r="1616">
      <c r="A1616" s="19">
        <v>68607.0</v>
      </c>
      <c r="B1616" s="20" t="str">
        <f t="array" ref="B1616">xlookup($A1616,product!$A:$A,product!B:B)</f>
        <v>Maison</v>
      </c>
      <c r="C1616" s="20" t="str">
        <f t="array" ref="C1616">xlookup($A1616,product!$A:$A,product!C:C)</f>
        <v>Conservation</v>
      </c>
      <c r="D1616" s="20" t="str">
        <f t="array" ref="D1616">xlookup($A1616,product!$A:$A,product!D:D)</f>
        <v>Boîtes en verre</v>
      </c>
      <c r="E1616" s="4" t="str">
        <f t="shared" si="1"/>
        <v>68607-Conservation-Boîtes en verre</v>
      </c>
      <c r="F1616" s="4">
        <v>1.0</v>
      </c>
      <c r="G1616" s="4">
        <v>820.0</v>
      </c>
      <c r="H1616" s="4">
        <v>401.0</v>
      </c>
      <c r="I1616" s="21">
        <f t="array" ref="I1616">XLOOKUP($A1616,product!A:A,product!E:E)</f>
        <v>2.46</v>
      </c>
      <c r="J1616" s="4">
        <f t="shared" si="2"/>
        <v>986.46</v>
      </c>
      <c r="K1616" s="22">
        <f t="shared" si="3"/>
        <v>1</v>
      </c>
      <c r="L1616" s="4">
        <f t="shared" si="4"/>
        <v>1</v>
      </c>
    </row>
    <row r="1617">
      <c r="A1617" s="23">
        <v>122705.0</v>
      </c>
      <c r="B1617" s="24" t="str">
        <f t="array" ref="B1617">xlookup($A1617,product!$A:$A,product!B:B)</f>
        <v>Maison</v>
      </c>
      <c r="C1617" s="24" t="str">
        <f t="array" ref="C1617">xlookup($A1617,product!$A:$A,product!C:C)</f>
        <v>Conservation</v>
      </c>
      <c r="D1617" s="24" t="str">
        <f t="array" ref="D1617">xlookup($A1617,product!$A:$A,product!D:D)</f>
        <v>Boîtes en plastique</v>
      </c>
      <c r="E1617" s="25" t="str">
        <f t="shared" si="1"/>
        <v>122705-Conservation-Boîtes en plastique</v>
      </c>
      <c r="F1617" s="25">
        <v>0.0</v>
      </c>
      <c r="G1617" s="25">
        <v>416.0</v>
      </c>
      <c r="H1617" s="25">
        <v>399.0</v>
      </c>
      <c r="I1617" s="26">
        <f t="array" ref="I1617">XLOOKUP($A1617,product!A:A,product!E:E)</f>
        <v>9.93</v>
      </c>
      <c r="J1617" s="25">
        <f t="shared" si="2"/>
        <v>3962.07</v>
      </c>
      <c r="K1617" s="27">
        <f t="shared" si="3"/>
        <v>1</v>
      </c>
      <c r="L1617" s="25">
        <f t="shared" si="4"/>
        <v>1</v>
      </c>
    </row>
    <row r="1618">
      <c r="A1618" s="19">
        <v>88195.0</v>
      </c>
      <c r="B1618" s="20" t="str">
        <f t="array" ref="B1618">xlookup($A1618,product!$A:$A,product!B:B)</f>
        <v>Maison</v>
      </c>
      <c r="C1618" s="20" t="str">
        <f t="array" ref="C1618">xlookup($A1618,product!$A:$A,product!C:C)</f>
        <v>Conservation</v>
      </c>
      <c r="D1618" s="20" t="str">
        <f t="array" ref="D1618">xlookup($A1618,product!$A:$A,product!D:D)</f>
        <v>Sacs de conservation</v>
      </c>
      <c r="E1618" s="4" t="str">
        <f t="shared" si="1"/>
        <v>88195-Conservation-Sacs de conservation</v>
      </c>
      <c r="F1618" s="4">
        <v>0.0</v>
      </c>
      <c r="G1618" s="4">
        <v>681.0</v>
      </c>
      <c r="H1618" s="4">
        <v>96.0</v>
      </c>
      <c r="I1618" s="21">
        <f t="array" ref="I1618">XLOOKUP($A1618,product!A:A,product!E:E)</f>
        <v>1.78</v>
      </c>
      <c r="J1618" s="4">
        <f t="shared" si="2"/>
        <v>170.88</v>
      </c>
      <c r="K1618" s="22">
        <f t="shared" si="3"/>
        <v>1</v>
      </c>
      <c r="L1618" s="4">
        <f t="shared" si="4"/>
        <v>1</v>
      </c>
    </row>
    <row r="1619">
      <c r="A1619" s="23">
        <v>45523.0</v>
      </c>
      <c r="B1619" s="24" t="str">
        <f t="array" ref="B1619">xlookup($A1619,product!$A:$A,product!B:B)</f>
        <v>Maison</v>
      </c>
      <c r="C1619" s="24" t="str">
        <f t="array" ref="C1619">xlookup($A1619,product!$A:$A,product!C:C)</f>
        <v>Conservation</v>
      </c>
      <c r="D1619" s="24" t="str">
        <f t="array" ref="D1619">xlookup($A1619,product!$A:$A,product!D:D)</f>
        <v>Sacs de conservation</v>
      </c>
      <c r="E1619" s="25" t="str">
        <f t="shared" si="1"/>
        <v>45523-Conservation-Sacs de conservation</v>
      </c>
      <c r="F1619" s="25">
        <v>1.0</v>
      </c>
      <c r="G1619" s="25">
        <v>885.0</v>
      </c>
      <c r="H1619" s="25">
        <v>866.0</v>
      </c>
      <c r="I1619" s="26">
        <f t="array" ref="I1619">XLOOKUP($A1619,product!A:A,product!E:E)</f>
        <v>0.92</v>
      </c>
      <c r="J1619" s="25">
        <f t="shared" si="2"/>
        <v>796.72</v>
      </c>
      <c r="K1619" s="27">
        <f t="shared" si="3"/>
        <v>1</v>
      </c>
      <c r="L1619" s="25">
        <f t="shared" si="4"/>
        <v>1</v>
      </c>
    </row>
    <row r="1620">
      <c r="A1620" s="19">
        <v>158449.0</v>
      </c>
      <c r="B1620" s="20" t="str">
        <f t="array" ref="B1620">xlookup($A1620,product!$A:$A,product!B:B)</f>
        <v>Maison</v>
      </c>
      <c r="C1620" s="20" t="str">
        <f t="array" ref="C1620">xlookup($A1620,product!$A:$A,product!C:C)</f>
        <v>Conservation</v>
      </c>
      <c r="D1620" s="20" t="str">
        <f t="array" ref="D1620">xlookup($A1620,product!$A:$A,product!D:D)</f>
        <v>Sacs de conservation</v>
      </c>
      <c r="E1620" s="4" t="str">
        <f t="shared" si="1"/>
        <v>158449-Conservation-Sacs de conservation</v>
      </c>
      <c r="F1620" s="4">
        <v>1.0</v>
      </c>
      <c r="G1620" s="4">
        <v>478.0</v>
      </c>
      <c r="H1620" s="4">
        <v>445.0</v>
      </c>
      <c r="I1620" s="21">
        <f t="array" ref="I1620">XLOOKUP($A1620,product!A:A,product!E:E)</f>
        <v>1.59</v>
      </c>
      <c r="J1620" s="4">
        <f t="shared" si="2"/>
        <v>707.55</v>
      </c>
      <c r="K1620" s="22">
        <f t="shared" si="3"/>
        <v>1</v>
      </c>
      <c r="L1620" s="4">
        <f t="shared" si="4"/>
        <v>1</v>
      </c>
    </row>
    <row r="1621">
      <c r="A1621" s="23">
        <v>45518.0</v>
      </c>
      <c r="B1621" s="24" t="str">
        <f t="array" ref="B1621">xlookup($A1621,product!$A:$A,product!B:B)</f>
        <v>Maison</v>
      </c>
      <c r="C1621" s="24" t="str">
        <f t="array" ref="C1621">xlookup($A1621,product!$A:$A,product!C:C)</f>
        <v>Conservation</v>
      </c>
      <c r="D1621" s="24" t="str">
        <f t="array" ref="D1621">xlookup($A1621,product!$A:$A,product!D:D)</f>
        <v>Sacs de conservation</v>
      </c>
      <c r="E1621" s="25" t="str">
        <f t="shared" si="1"/>
        <v>45518-Conservation-Sacs de conservation</v>
      </c>
      <c r="F1621" s="25">
        <v>1.0</v>
      </c>
      <c r="G1621" s="25">
        <v>680.0</v>
      </c>
      <c r="H1621" s="25">
        <v>273.0</v>
      </c>
      <c r="I1621" s="26">
        <f t="array" ref="I1621">XLOOKUP($A1621,product!A:A,product!E:E)</f>
        <v>0.62</v>
      </c>
      <c r="J1621" s="25">
        <f t="shared" si="2"/>
        <v>169.26</v>
      </c>
      <c r="K1621" s="27">
        <f t="shared" si="3"/>
        <v>1</v>
      </c>
      <c r="L1621" s="25">
        <f t="shared" si="4"/>
        <v>1</v>
      </c>
    </row>
    <row r="1622">
      <c r="A1622" s="19">
        <v>96288.0</v>
      </c>
      <c r="B1622" s="20" t="str">
        <f t="array" ref="B1622">xlookup($A1622,product!$A:$A,product!B:B)</f>
        <v>Maison</v>
      </c>
      <c r="C1622" s="20" t="str">
        <f t="array" ref="C1622">xlookup($A1622,product!$A:$A,product!C:C)</f>
        <v>Conservation</v>
      </c>
      <c r="D1622" s="20" t="str">
        <f t="array" ref="D1622">xlookup($A1622,product!$A:$A,product!D:D)</f>
        <v>Sacs de conservation</v>
      </c>
      <c r="E1622" s="4" t="str">
        <f t="shared" si="1"/>
        <v>96288-Conservation-Sacs de conservation</v>
      </c>
      <c r="F1622" s="4">
        <v>1.0</v>
      </c>
      <c r="G1622" s="4">
        <v>872.0</v>
      </c>
      <c r="H1622" s="4">
        <v>462.0</v>
      </c>
      <c r="I1622" s="21">
        <f t="array" ref="I1622">XLOOKUP($A1622,product!A:A,product!E:E)</f>
        <v>5.81</v>
      </c>
      <c r="J1622" s="4">
        <f t="shared" si="2"/>
        <v>2684.22</v>
      </c>
      <c r="K1622" s="22">
        <f t="shared" si="3"/>
        <v>1</v>
      </c>
      <c r="L1622" s="4">
        <f t="shared" si="4"/>
        <v>1</v>
      </c>
    </row>
    <row r="1623">
      <c r="A1623" s="23">
        <v>76981.0</v>
      </c>
      <c r="B1623" s="24" t="str">
        <f t="array" ref="B1623">xlookup($A1623,product!$A:$A,product!B:B)</f>
        <v>Maison</v>
      </c>
      <c r="C1623" s="24" t="str">
        <f t="array" ref="C1623">xlookup($A1623,product!$A:$A,product!C:C)</f>
        <v>Conservation</v>
      </c>
      <c r="D1623" s="24" t="str">
        <f t="array" ref="D1623">xlookup($A1623,product!$A:$A,product!D:D)</f>
        <v>Sacs de conservation</v>
      </c>
      <c r="E1623" s="25" t="str">
        <f t="shared" si="1"/>
        <v>76981-Conservation-Sacs de conservation</v>
      </c>
      <c r="F1623" s="25">
        <v>1.0</v>
      </c>
      <c r="G1623" s="25">
        <v>296.0</v>
      </c>
      <c r="H1623" s="25">
        <v>284.0</v>
      </c>
      <c r="I1623" s="26">
        <f t="array" ref="I1623">XLOOKUP($A1623,product!A:A,product!E:E)</f>
        <v>1.77</v>
      </c>
      <c r="J1623" s="25">
        <f t="shared" si="2"/>
        <v>502.68</v>
      </c>
      <c r="K1623" s="27">
        <f t="shared" si="3"/>
        <v>1</v>
      </c>
      <c r="L1623" s="25">
        <f t="shared" si="4"/>
        <v>1</v>
      </c>
    </row>
    <row r="1624">
      <c r="A1624" s="19">
        <v>113827.0</v>
      </c>
      <c r="B1624" s="20" t="str">
        <f t="array" ref="B1624">xlookup($A1624,product!$A:$A,product!B:B)</f>
        <v>Maison</v>
      </c>
      <c r="C1624" s="20" t="str">
        <f t="array" ref="C1624">xlookup($A1624,product!$A:$A,product!C:C)</f>
        <v>Conservation</v>
      </c>
      <c r="D1624" s="20" t="str">
        <f t="array" ref="D1624">xlookup($A1624,product!$A:$A,product!D:D)</f>
        <v>Sacs de conservation</v>
      </c>
      <c r="E1624" s="4" t="str">
        <f t="shared" si="1"/>
        <v>113827-Conservation-Sacs de conservation</v>
      </c>
      <c r="F1624" s="4">
        <v>0.0</v>
      </c>
      <c r="G1624" s="4">
        <v>718.0</v>
      </c>
      <c r="H1624" s="4">
        <v>302.0</v>
      </c>
      <c r="I1624" s="21">
        <f t="array" ref="I1624">XLOOKUP($A1624,product!A:A,product!E:E)</f>
        <v>1.92</v>
      </c>
      <c r="J1624" s="4">
        <f t="shared" si="2"/>
        <v>579.84</v>
      </c>
      <c r="K1624" s="22">
        <f t="shared" si="3"/>
        <v>1</v>
      </c>
      <c r="L1624" s="4">
        <f t="shared" si="4"/>
        <v>1</v>
      </c>
    </row>
    <row r="1625">
      <c r="A1625" s="23">
        <v>76987.0</v>
      </c>
      <c r="B1625" s="24" t="str">
        <f t="array" ref="B1625">xlookup($A1625,product!$A:$A,product!B:B)</f>
        <v>Maison</v>
      </c>
      <c r="C1625" s="24" t="str">
        <f t="array" ref="C1625">xlookup($A1625,product!$A:$A,product!C:C)</f>
        <v>Conservation</v>
      </c>
      <c r="D1625" s="24" t="str">
        <f t="array" ref="D1625">xlookup($A1625,product!$A:$A,product!D:D)</f>
        <v>Sacs de conservation</v>
      </c>
      <c r="E1625" s="25" t="str">
        <f t="shared" si="1"/>
        <v>76987-Conservation-Sacs de conservation</v>
      </c>
      <c r="F1625" s="25">
        <v>1.0</v>
      </c>
      <c r="G1625" s="25">
        <v>40.0</v>
      </c>
      <c r="H1625" s="25">
        <v>9.0</v>
      </c>
      <c r="I1625" s="26">
        <f t="array" ref="I1625">XLOOKUP($A1625,product!A:A,product!E:E)</f>
        <v>1.76</v>
      </c>
      <c r="J1625" s="25">
        <f t="shared" si="2"/>
        <v>15.84</v>
      </c>
      <c r="K1625" s="27">
        <f t="shared" si="3"/>
        <v>1</v>
      </c>
      <c r="L1625" s="25">
        <f t="shared" si="4"/>
        <v>1</v>
      </c>
    </row>
    <row r="1626">
      <c r="A1626" s="19">
        <v>113824.0</v>
      </c>
      <c r="B1626" s="20" t="str">
        <f t="array" ref="B1626">xlookup($A1626,product!$A:$A,product!B:B)</f>
        <v>Maison</v>
      </c>
      <c r="C1626" s="20" t="str">
        <f t="array" ref="C1626">xlookup($A1626,product!$A:$A,product!C:C)</f>
        <v>Conservation</v>
      </c>
      <c r="D1626" s="20" t="str">
        <f t="array" ref="D1626">xlookup($A1626,product!$A:$A,product!D:D)</f>
        <v>Sacs de conservation</v>
      </c>
      <c r="E1626" s="4" t="str">
        <f t="shared" si="1"/>
        <v>113824-Conservation-Sacs de conservation</v>
      </c>
      <c r="F1626" s="4">
        <v>1.0</v>
      </c>
      <c r="G1626" s="4">
        <v>61.0</v>
      </c>
      <c r="H1626" s="4">
        <v>24.0</v>
      </c>
      <c r="I1626" s="21">
        <f t="array" ref="I1626">XLOOKUP($A1626,product!A:A,product!E:E)</f>
        <v>4.1</v>
      </c>
      <c r="J1626" s="4">
        <f t="shared" si="2"/>
        <v>98.4</v>
      </c>
      <c r="K1626" s="22">
        <f t="shared" si="3"/>
        <v>1</v>
      </c>
      <c r="L1626" s="4">
        <f t="shared" si="4"/>
        <v>1</v>
      </c>
    </row>
    <row r="1627">
      <c r="A1627" s="23">
        <v>113823.0</v>
      </c>
      <c r="B1627" s="24" t="str">
        <f t="array" ref="B1627">xlookup($A1627,product!$A:$A,product!B:B)</f>
        <v>Maison</v>
      </c>
      <c r="C1627" s="24" t="str">
        <f t="array" ref="C1627">xlookup($A1627,product!$A:$A,product!C:C)</f>
        <v>Conservation</v>
      </c>
      <c r="D1627" s="24" t="str">
        <f t="array" ref="D1627">xlookup($A1627,product!$A:$A,product!D:D)</f>
        <v>Sacs de conservation</v>
      </c>
      <c r="E1627" s="25" t="str">
        <f t="shared" si="1"/>
        <v>113823-Conservation-Sacs de conservation</v>
      </c>
      <c r="F1627" s="25">
        <v>0.0</v>
      </c>
      <c r="G1627" s="25">
        <v>854.0</v>
      </c>
      <c r="H1627" s="25">
        <v>255.0</v>
      </c>
      <c r="I1627" s="26">
        <f t="array" ref="I1627">XLOOKUP($A1627,product!A:A,product!E:E)</f>
        <v>6.29</v>
      </c>
      <c r="J1627" s="25">
        <f t="shared" si="2"/>
        <v>1603.95</v>
      </c>
      <c r="K1627" s="27">
        <f t="shared" si="3"/>
        <v>1</v>
      </c>
      <c r="L1627" s="25">
        <f t="shared" si="4"/>
        <v>1</v>
      </c>
    </row>
    <row r="1628">
      <c r="A1628" s="19">
        <v>156053.0</v>
      </c>
      <c r="B1628" s="20" t="str">
        <f t="array" ref="B1628">xlookup($A1628,product!$A:$A,product!B:B)</f>
        <v>Maison</v>
      </c>
      <c r="C1628" s="20" t="str">
        <f t="array" ref="C1628">xlookup($A1628,product!$A:$A,product!C:C)</f>
        <v>Conservation</v>
      </c>
      <c r="D1628" s="20" t="str">
        <f t="array" ref="D1628">xlookup($A1628,product!$A:$A,product!D:D)</f>
        <v>Sacs de conservation</v>
      </c>
      <c r="E1628" s="4" t="str">
        <f t="shared" si="1"/>
        <v>156053-Conservation-Sacs de conservation</v>
      </c>
      <c r="F1628" s="4">
        <v>0.0</v>
      </c>
      <c r="G1628" s="4">
        <v>100.0</v>
      </c>
      <c r="H1628" s="4">
        <v>59.0</v>
      </c>
      <c r="I1628" s="21">
        <f t="array" ref="I1628">XLOOKUP($A1628,product!A:A,product!E:E)</f>
        <v>3.12</v>
      </c>
      <c r="J1628" s="4">
        <f t="shared" si="2"/>
        <v>184.08</v>
      </c>
      <c r="K1628" s="22">
        <f t="shared" si="3"/>
        <v>1</v>
      </c>
      <c r="L1628" s="4">
        <f t="shared" si="4"/>
        <v>1</v>
      </c>
    </row>
    <row r="1629">
      <c r="A1629" s="23">
        <v>45522.0</v>
      </c>
      <c r="B1629" s="24" t="str">
        <f t="array" ref="B1629">xlookup($A1629,product!$A:$A,product!B:B)</f>
        <v>Maison</v>
      </c>
      <c r="C1629" s="24" t="str">
        <f t="array" ref="C1629">xlookup($A1629,product!$A:$A,product!C:C)</f>
        <v>Conservation</v>
      </c>
      <c r="D1629" s="24" t="str">
        <f t="array" ref="D1629">xlookup($A1629,product!$A:$A,product!D:D)</f>
        <v>Sacs de conservation</v>
      </c>
      <c r="E1629" s="25" t="str">
        <f t="shared" si="1"/>
        <v>45522-Conservation-Sacs de conservation</v>
      </c>
      <c r="F1629" s="25">
        <v>0.0</v>
      </c>
      <c r="G1629" s="25">
        <v>679.0</v>
      </c>
      <c r="H1629" s="25">
        <v>285.0</v>
      </c>
      <c r="I1629" s="26">
        <f t="array" ref="I1629">XLOOKUP($A1629,product!A:A,product!E:E)</f>
        <v>0.96</v>
      </c>
      <c r="J1629" s="25">
        <f t="shared" si="2"/>
        <v>273.6</v>
      </c>
      <c r="K1629" s="27">
        <f t="shared" si="3"/>
        <v>1</v>
      </c>
      <c r="L1629" s="25">
        <f t="shared" si="4"/>
        <v>1</v>
      </c>
    </row>
    <row r="1630">
      <c r="A1630" s="19">
        <v>99176.0</v>
      </c>
      <c r="B1630" s="20" t="str">
        <f t="array" ref="B1630">xlookup($A1630,product!$A:$A,product!B:B)</f>
        <v>Maison</v>
      </c>
      <c r="C1630" s="20" t="str">
        <f t="array" ref="C1630">xlookup($A1630,product!$A:$A,product!C:C)</f>
        <v>Conservation</v>
      </c>
      <c r="D1630" s="20" t="str">
        <f t="array" ref="D1630">xlookup($A1630,product!$A:$A,product!D:D)</f>
        <v>Bocaux et accessoires</v>
      </c>
      <c r="E1630" s="4" t="str">
        <f t="shared" si="1"/>
        <v>99176-Conservation-Bocaux et accessoires</v>
      </c>
      <c r="F1630" s="4">
        <v>0.0</v>
      </c>
      <c r="G1630" s="4">
        <v>258.0</v>
      </c>
      <c r="H1630" s="4">
        <v>56.0</v>
      </c>
      <c r="I1630" s="21">
        <f t="array" ref="I1630">XLOOKUP($A1630,product!A:A,product!E:E)</f>
        <v>1.65</v>
      </c>
      <c r="J1630" s="4">
        <f t="shared" si="2"/>
        <v>92.4</v>
      </c>
      <c r="K1630" s="22">
        <f t="shared" si="3"/>
        <v>1</v>
      </c>
      <c r="L1630" s="4">
        <f t="shared" si="4"/>
        <v>1</v>
      </c>
    </row>
    <row r="1631">
      <c r="A1631" s="23">
        <v>49219.0</v>
      </c>
      <c r="B1631" s="24" t="str">
        <f t="array" ref="B1631">xlookup($A1631,product!$A:$A,product!B:B)</f>
        <v>Maison</v>
      </c>
      <c r="C1631" s="24" t="str">
        <f t="array" ref="C1631">xlookup($A1631,product!$A:$A,product!C:C)</f>
        <v>Conservation</v>
      </c>
      <c r="D1631" s="24" t="str">
        <f t="array" ref="D1631">xlookup($A1631,product!$A:$A,product!D:D)</f>
        <v>Bocaux et accessoires</v>
      </c>
      <c r="E1631" s="25" t="str">
        <f t="shared" si="1"/>
        <v>49219-Conservation-Bocaux et accessoires</v>
      </c>
      <c r="F1631" s="25">
        <v>0.0</v>
      </c>
      <c r="G1631" s="25">
        <v>441.0</v>
      </c>
      <c r="H1631" s="25">
        <v>18.0</v>
      </c>
      <c r="I1631" s="26">
        <f t="array" ref="I1631">XLOOKUP($A1631,product!A:A,product!E:E)</f>
        <v>8.88</v>
      </c>
      <c r="J1631" s="25">
        <f t="shared" si="2"/>
        <v>159.84</v>
      </c>
      <c r="K1631" s="27">
        <f t="shared" si="3"/>
        <v>1</v>
      </c>
      <c r="L1631" s="25">
        <f t="shared" si="4"/>
        <v>1</v>
      </c>
    </row>
    <row r="1632">
      <c r="A1632" s="19">
        <v>102370.0</v>
      </c>
      <c r="B1632" s="20" t="str">
        <f t="array" ref="B1632">xlookup($A1632,product!$A:$A,product!B:B)</f>
        <v>Maison</v>
      </c>
      <c r="C1632" s="20" t="str">
        <f t="array" ref="C1632">xlookup($A1632,product!$A:$A,product!C:C)</f>
        <v>Conservation</v>
      </c>
      <c r="D1632" s="20" t="str">
        <f t="array" ref="D1632">xlookup($A1632,product!$A:$A,product!D:D)</f>
        <v>Bocaux et accessoires</v>
      </c>
      <c r="E1632" s="4" t="str">
        <f t="shared" si="1"/>
        <v>102370-Conservation-Bocaux et accessoires</v>
      </c>
      <c r="F1632" s="4">
        <v>0.0</v>
      </c>
      <c r="G1632" s="4">
        <v>747.0</v>
      </c>
      <c r="H1632" s="4">
        <v>233.0</v>
      </c>
      <c r="I1632" s="21">
        <f t="array" ref="I1632">XLOOKUP($A1632,product!A:A,product!E:E)</f>
        <v>4.75</v>
      </c>
      <c r="J1632" s="4">
        <f t="shared" si="2"/>
        <v>1106.75</v>
      </c>
      <c r="K1632" s="22">
        <f t="shared" si="3"/>
        <v>1</v>
      </c>
      <c r="L1632" s="4">
        <f t="shared" si="4"/>
        <v>1</v>
      </c>
    </row>
    <row r="1633">
      <c r="A1633" s="23">
        <v>49222.0</v>
      </c>
      <c r="B1633" s="24" t="str">
        <f t="array" ref="B1633">xlookup($A1633,product!$A:$A,product!B:B)</f>
        <v>Maison</v>
      </c>
      <c r="C1633" s="24" t="str">
        <f t="array" ref="C1633">xlookup($A1633,product!$A:$A,product!C:C)</f>
        <v>Conservation</v>
      </c>
      <c r="D1633" s="24" t="str">
        <f t="array" ref="D1633">xlookup($A1633,product!$A:$A,product!D:D)</f>
        <v>Bocaux et accessoires</v>
      </c>
      <c r="E1633" s="25" t="str">
        <f t="shared" si="1"/>
        <v>49222-Conservation-Bocaux et accessoires</v>
      </c>
      <c r="F1633" s="25">
        <v>1.0</v>
      </c>
      <c r="G1633" s="25">
        <v>496.0</v>
      </c>
      <c r="H1633" s="25">
        <v>138.0</v>
      </c>
      <c r="I1633" s="26">
        <f t="array" ref="I1633">XLOOKUP($A1633,product!A:A,product!E:E)</f>
        <v>11.29</v>
      </c>
      <c r="J1633" s="25">
        <f t="shared" si="2"/>
        <v>1558.02</v>
      </c>
      <c r="K1633" s="27">
        <f t="shared" si="3"/>
        <v>1</v>
      </c>
      <c r="L1633" s="25">
        <f t="shared" si="4"/>
        <v>1</v>
      </c>
    </row>
    <row r="1634">
      <c r="A1634" s="19">
        <v>102352.0</v>
      </c>
      <c r="B1634" s="20" t="str">
        <f t="array" ref="B1634">xlookup($A1634,product!$A:$A,product!B:B)</f>
        <v>Maison</v>
      </c>
      <c r="C1634" s="20" t="str">
        <f t="array" ref="C1634">xlookup($A1634,product!$A:$A,product!C:C)</f>
        <v>Conservation</v>
      </c>
      <c r="D1634" s="20" t="str">
        <f t="array" ref="D1634">xlookup($A1634,product!$A:$A,product!D:D)</f>
        <v>Bocaux et accessoires</v>
      </c>
      <c r="E1634" s="4" t="str">
        <f t="shared" si="1"/>
        <v>102352-Conservation-Bocaux et accessoires</v>
      </c>
      <c r="F1634" s="4">
        <v>0.0</v>
      </c>
      <c r="G1634" s="4">
        <v>303.0</v>
      </c>
      <c r="H1634" s="4">
        <v>9.0</v>
      </c>
      <c r="I1634" s="21">
        <f t="array" ref="I1634">XLOOKUP($A1634,product!A:A,product!E:E)</f>
        <v>2.15</v>
      </c>
      <c r="J1634" s="4">
        <f t="shared" si="2"/>
        <v>19.35</v>
      </c>
      <c r="K1634" s="22">
        <f t="shared" si="3"/>
        <v>1</v>
      </c>
      <c r="L1634" s="4">
        <f t="shared" si="4"/>
        <v>1</v>
      </c>
    </row>
    <row r="1635">
      <c r="A1635" s="23">
        <v>49233.0</v>
      </c>
      <c r="B1635" s="24" t="str">
        <f t="array" ref="B1635">xlookup($A1635,product!$A:$A,product!B:B)</f>
        <v>Maison</v>
      </c>
      <c r="C1635" s="24" t="str">
        <f t="array" ref="C1635">xlookup($A1635,product!$A:$A,product!C:C)</f>
        <v>Conservation</v>
      </c>
      <c r="D1635" s="24" t="str">
        <f t="array" ref="D1635">xlookup($A1635,product!$A:$A,product!D:D)</f>
        <v>Bocaux et accessoires</v>
      </c>
      <c r="E1635" s="25" t="str">
        <f t="shared" si="1"/>
        <v>49233-Conservation-Bocaux et accessoires</v>
      </c>
      <c r="F1635" s="25">
        <v>0.0</v>
      </c>
      <c r="G1635" s="25">
        <v>323.0</v>
      </c>
      <c r="H1635" s="25">
        <v>85.0</v>
      </c>
      <c r="I1635" s="26">
        <f t="array" ref="I1635">XLOOKUP($A1635,product!A:A,product!E:E)</f>
        <v>12.38</v>
      </c>
      <c r="J1635" s="25">
        <f t="shared" si="2"/>
        <v>1052.3</v>
      </c>
      <c r="K1635" s="27">
        <f t="shared" si="3"/>
        <v>1</v>
      </c>
      <c r="L1635" s="25">
        <f t="shared" si="4"/>
        <v>1</v>
      </c>
    </row>
    <row r="1636">
      <c r="A1636" s="19">
        <v>99163.0</v>
      </c>
      <c r="B1636" s="20" t="str">
        <f t="array" ref="B1636">xlookup($A1636,product!$A:$A,product!B:B)</f>
        <v>Maison</v>
      </c>
      <c r="C1636" s="20" t="str">
        <f t="array" ref="C1636">xlookup($A1636,product!$A:$A,product!C:C)</f>
        <v>Conservation</v>
      </c>
      <c r="D1636" s="20" t="str">
        <f t="array" ref="D1636">xlookup($A1636,product!$A:$A,product!D:D)</f>
        <v>Bocaux et accessoires</v>
      </c>
      <c r="E1636" s="4" t="str">
        <f t="shared" si="1"/>
        <v>99163-Conservation-Bocaux et accessoires</v>
      </c>
      <c r="F1636" s="4">
        <v>1.0</v>
      </c>
      <c r="G1636" s="4">
        <v>199.0</v>
      </c>
      <c r="H1636" s="4">
        <v>40.0</v>
      </c>
      <c r="I1636" s="21">
        <f t="array" ref="I1636">XLOOKUP($A1636,product!A:A,product!E:E)</f>
        <v>4.87</v>
      </c>
      <c r="J1636" s="4">
        <f t="shared" si="2"/>
        <v>194.8</v>
      </c>
      <c r="K1636" s="22">
        <f t="shared" si="3"/>
        <v>1</v>
      </c>
      <c r="L1636" s="4">
        <f t="shared" si="4"/>
        <v>1</v>
      </c>
    </row>
    <row r="1637">
      <c r="A1637" s="23">
        <v>142785.0</v>
      </c>
      <c r="B1637" s="24" t="str">
        <f t="array" ref="B1637">xlookup($A1637,product!$A:$A,product!B:B)</f>
        <v>Maison</v>
      </c>
      <c r="C1637" s="24" t="str">
        <f t="array" ref="C1637">xlookup($A1637,product!$A:$A,product!C:C)</f>
        <v>Conservation</v>
      </c>
      <c r="D1637" s="24" t="str">
        <f t="array" ref="D1637">xlookup($A1637,product!$A:$A,product!D:D)</f>
        <v>Bocaux et accessoires</v>
      </c>
      <c r="E1637" s="25" t="str">
        <f t="shared" si="1"/>
        <v>142785-Conservation-Bocaux et accessoires</v>
      </c>
      <c r="F1637" s="25">
        <v>1.0</v>
      </c>
      <c r="G1637" s="25">
        <v>37.0</v>
      </c>
      <c r="H1637" s="25">
        <v>21.0</v>
      </c>
      <c r="I1637" s="26">
        <f t="array" ref="I1637">XLOOKUP($A1637,product!A:A,product!E:E)</f>
        <v>0.94</v>
      </c>
      <c r="J1637" s="25">
        <f t="shared" si="2"/>
        <v>19.74</v>
      </c>
      <c r="K1637" s="27">
        <f t="shared" si="3"/>
        <v>1</v>
      </c>
      <c r="L1637" s="25">
        <f t="shared" si="4"/>
        <v>1</v>
      </c>
    </row>
    <row r="1638">
      <c r="A1638" s="19">
        <v>113054.0</v>
      </c>
      <c r="B1638" s="20" t="str">
        <f t="array" ref="B1638">xlookup($A1638,product!$A:$A,product!B:B)</f>
        <v>Maison</v>
      </c>
      <c r="C1638" s="20" t="str">
        <f t="array" ref="C1638">xlookup($A1638,product!$A:$A,product!C:C)</f>
        <v>Conservation</v>
      </c>
      <c r="D1638" s="20" t="str">
        <f t="array" ref="D1638">xlookup($A1638,product!$A:$A,product!D:D)</f>
        <v>Bocaux et accessoires</v>
      </c>
      <c r="E1638" s="4" t="str">
        <f t="shared" si="1"/>
        <v>113054-Conservation-Bocaux et accessoires</v>
      </c>
      <c r="F1638" s="4">
        <v>0.0</v>
      </c>
      <c r="G1638" s="4">
        <v>485.0</v>
      </c>
      <c r="H1638" s="4">
        <v>424.0</v>
      </c>
      <c r="I1638" s="21">
        <f t="array" ref="I1638">XLOOKUP($A1638,product!A:A,product!E:E)</f>
        <v>2.91</v>
      </c>
      <c r="J1638" s="4">
        <f t="shared" si="2"/>
        <v>1233.84</v>
      </c>
      <c r="K1638" s="22">
        <f t="shared" si="3"/>
        <v>1</v>
      </c>
      <c r="L1638" s="4">
        <f t="shared" si="4"/>
        <v>1</v>
      </c>
    </row>
    <row r="1639">
      <c r="A1639" s="23">
        <v>88105.0</v>
      </c>
      <c r="B1639" s="24" t="str">
        <f t="array" ref="B1639">xlookup($A1639,product!$A:$A,product!B:B)</f>
        <v>Maison</v>
      </c>
      <c r="C1639" s="24" t="str">
        <f t="array" ref="C1639">xlookup($A1639,product!$A:$A,product!C:C)</f>
        <v>Conservation</v>
      </c>
      <c r="D1639" s="24" t="str">
        <f t="array" ref="D1639">xlookup($A1639,product!$A:$A,product!D:D)</f>
        <v>Conservation sous vide</v>
      </c>
      <c r="E1639" s="25" t="str">
        <f t="shared" si="1"/>
        <v>88105-Conservation-Conservation sous vide</v>
      </c>
      <c r="F1639" s="25">
        <v>0.0</v>
      </c>
      <c r="G1639" s="25">
        <v>19.0</v>
      </c>
      <c r="H1639" s="25">
        <v>6.0</v>
      </c>
      <c r="I1639" s="26">
        <f t="array" ref="I1639">XLOOKUP($A1639,product!A:A,product!E:E)</f>
        <v>13.54</v>
      </c>
      <c r="J1639" s="25">
        <f t="shared" si="2"/>
        <v>81.24</v>
      </c>
      <c r="K1639" s="27">
        <f t="shared" si="3"/>
        <v>1</v>
      </c>
      <c r="L1639" s="25">
        <f t="shared" si="4"/>
        <v>1</v>
      </c>
    </row>
    <row r="1640">
      <c r="A1640" s="19">
        <v>97036.0</v>
      </c>
      <c r="B1640" s="20" t="str">
        <f t="array" ref="B1640">xlookup($A1640,product!$A:$A,product!B:B)</f>
        <v>Maison</v>
      </c>
      <c r="C1640" s="20" t="str">
        <f t="array" ref="C1640">xlookup($A1640,product!$A:$A,product!C:C)</f>
        <v>Conservation</v>
      </c>
      <c r="D1640" s="20" t="str">
        <f t="array" ref="D1640">xlookup($A1640,product!$A:$A,product!D:D)</f>
        <v>Conservation sous vide</v>
      </c>
      <c r="E1640" s="4" t="str">
        <f t="shared" si="1"/>
        <v>97036-Conservation-Conservation sous vide</v>
      </c>
      <c r="F1640" s="4">
        <v>1.0</v>
      </c>
      <c r="G1640" s="4">
        <v>318.0</v>
      </c>
      <c r="H1640" s="4">
        <v>66.0</v>
      </c>
      <c r="I1640" s="21">
        <f t="array" ref="I1640">XLOOKUP($A1640,product!A:A,product!E:E)</f>
        <v>18.06</v>
      </c>
      <c r="J1640" s="4">
        <f t="shared" si="2"/>
        <v>1191.96</v>
      </c>
      <c r="K1640" s="22">
        <f t="shared" si="3"/>
        <v>1</v>
      </c>
      <c r="L1640" s="4">
        <f t="shared" si="4"/>
        <v>1</v>
      </c>
    </row>
    <row r="1641">
      <c r="A1641" s="23">
        <v>81229.0</v>
      </c>
      <c r="B1641" s="24" t="str">
        <f t="array" ref="B1641">xlookup($A1641,product!$A:$A,product!B:B)</f>
        <v>Maison</v>
      </c>
      <c r="C1641" s="24" t="str">
        <f t="array" ref="C1641">xlookup($A1641,product!$A:$A,product!C:C)</f>
        <v>Conservation</v>
      </c>
      <c r="D1641" s="24" t="str">
        <f t="array" ref="D1641">xlookup($A1641,product!$A:$A,product!D:D)</f>
        <v>Boîtes à repas enfant</v>
      </c>
      <c r="E1641" s="25" t="str">
        <f t="shared" si="1"/>
        <v>81229-Conservation-Boîtes à repas enfant</v>
      </c>
      <c r="F1641" s="25">
        <v>1.0</v>
      </c>
      <c r="G1641" s="25">
        <v>659.0</v>
      </c>
      <c r="H1641" s="25">
        <v>234.0</v>
      </c>
      <c r="I1641" s="26">
        <f t="array" ref="I1641">XLOOKUP($A1641,product!A:A,product!E:E)</f>
        <v>5.66</v>
      </c>
      <c r="J1641" s="25">
        <f t="shared" si="2"/>
        <v>1324.44</v>
      </c>
      <c r="K1641" s="27">
        <f t="shared" si="3"/>
        <v>1</v>
      </c>
      <c r="L1641" s="25">
        <f t="shared" si="4"/>
        <v>1</v>
      </c>
    </row>
    <row r="1642">
      <c r="A1642" s="19">
        <v>120563.0</v>
      </c>
      <c r="B1642" s="20" t="str">
        <f t="array" ref="B1642">xlookup($A1642,product!$A:$A,product!B:B)</f>
        <v>Maison</v>
      </c>
      <c r="C1642" s="20" t="str">
        <f t="array" ref="C1642">xlookup($A1642,product!$A:$A,product!C:C)</f>
        <v>Conservation</v>
      </c>
      <c r="D1642" s="20" t="str">
        <f t="array" ref="D1642">xlookup($A1642,product!$A:$A,product!D:D)</f>
        <v>Boîtes à repas enfant</v>
      </c>
      <c r="E1642" s="4" t="str">
        <f t="shared" si="1"/>
        <v>120563-Conservation-Boîtes à repas enfant</v>
      </c>
      <c r="F1642" s="4">
        <v>1.0</v>
      </c>
      <c r="G1642" s="4">
        <v>204.0</v>
      </c>
      <c r="H1642" s="4">
        <v>117.0</v>
      </c>
      <c r="I1642" s="21">
        <f t="array" ref="I1642">XLOOKUP($A1642,product!A:A,product!E:E)</f>
        <v>8.13</v>
      </c>
      <c r="J1642" s="4">
        <f t="shared" si="2"/>
        <v>951.21</v>
      </c>
      <c r="K1642" s="22">
        <f t="shared" si="3"/>
        <v>1</v>
      </c>
      <c r="L1642" s="4">
        <f t="shared" si="4"/>
        <v>1</v>
      </c>
    </row>
    <row r="1643">
      <c r="A1643" s="23">
        <v>122290.0</v>
      </c>
      <c r="B1643" s="24" t="str">
        <f t="array" ref="B1643">xlookup($A1643,product!$A:$A,product!B:B)</f>
        <v>Maison</v>
      </c>
      <c r="C1643" s="24" t="str">
        <f t="array" ref="C1643">xlookup($A1643,product!$A:$A,product!C:C)</f>
        <v>Conservation</v>
      </c>
      <c r="D1643" s="24" t="str">
        <f t="array" ref="D1643">xlookup($A1643,product!$A:$A,product!D:D)</f>
        <v>Emballages réutilisables</v>
      </c>
      <c r="E1643" s="25" t="str">
        <f t="shared" si="1"/>
        <v>122290-Conservation-Emballages réutilisables</v>
      </c>
      <c r="F1643" s="25">
        <v>1.0</v>
      </c>
      <c r="G1643" s="25">
        <v>293.0</v>
      </c>
      <c r="H1643" s="25">
        <v>142.0</v>
      </c>
      <c r="I1643" s="26">
        <f t="array" ref="I1643">XLOOKUP($A1643,product!A:A,product!E:E)</f>
        <v>7.3</v>
      </c>
      <c r="J1643" s="25">
        <f t="shared" si="2"/>
        <v>1036.6</v>
      </c>
      <c r="K1643" s="27">
        <f t="shared" si="3"/>
        <v>1</v>
      </c>
      <c r="L1643" s="25">
        <f t="shared" si="4"/>
        <v>1</v>
      </c>
    </row>
    <row r="1644">
      <c r="A1644" s="19">
        <v>122373.0</v>
      </c>
      <c r="B1644" s="20" t="str">
        <f t="array" ref="B1644">xlookup($A1644,product!$A:$A,product!B:B)</f>
        <v>Maison</v>
      </c>
      <c r="C1644" s="20" t="str">
        <f t="array" ref="C1644">xlookup($A1644,product!$A:$A,product!C:C)</f>
        <v>Conservation</v>
      </c>
      <c r="D1644" s="20" t="str">
        <f t="array" ref="D1644">xlookup($A1644,product!$A:$A,product!D:D)</f>
        <v>Emballages réutilisables</v>
      </c>
      <c r="E1644" s="4" t="str">
        <f t="shared" si="1"/>
        <v>122373-Conservation-Emballages réutilisables</v>
      </c>
      <c r="F1644" s="4">
        <v>0.0</v>
      </c>
      <c r="G1644" s="4">
        <v>755.0</v>
      </c>
      <c r="H1644" s="4">
        <v>171.0</v>
      </c>
      <c r="I1644" s="21">
        <f t="array" ref="I1644">XLOOKUP($A1644,product!A:A,product!E:E)</f>
        <v>2.05</v>
      </c>
      <c r="J1644" s="4">
        <f t="shared" si="2"/>
        <v>350.55</v>
      </c>
      <c r="K1644" s="22">
        <f t="shared" si="3"/>
        <v>1</v>
      </c>
      <c r="L1644" s="4">
        <f t="shared" si="4"/>
        <v>1</v>
      </c>
    </row>
    <row r="1645">
      <c r="A1645" s="23">
        <v>117830.0</v>
      </c>
      <c r="B1645" s="24" t="str">
        <f t="array" ref="B1645">xlookup($A1645,product!$A:$A,product!B:B)</f>
        <v>Maison</v>
      </c>
      <c r="C1645" s="24" t="str">
        <f t="array" ref="C1645">xlookup($A1645,product!$A:$A,product!C:C)</f>
        <v>Conservation</v>
      </c>
      <c r="D1645" s="24" t="str">
        <f t="array" ref="D1645">xlookup($A1645,product!$A:$A,product!D:D)</f>
        <v>Emballages réutilisables</v>
      </c>
      <c r="E1645" s="25" t="str">
        <f t="shared" si="1"/>
        <v>117830-Conservation-Emballages réutilisables</v>
      </c>
      <c r="F1645" s="25">
        <v>0.0</v>
      </c>
      <c r="G1645" s="25">
        <v>778.0</v>
      </c>
      <c r="H1645" s="25">
        <v>13.0</v>
      </c>
      <c r="I1645" s="26">
        <f t="array" ref="I1645">XLOOKUP($A1645,product!A:A,product!E:E)</f>
        <v>7.71</v>
      </c>
      <c r="J1645" s="25">
        <f t="shared" si="2"/>
        <v>100.23</v>
      </c>
      <c r="K1645" s="27">
        <f t="shared" si="3"/>
        <v>1</v>
      </c>
      <c r="L1645" s="25">
        <f t="shared" si="4"/>
        <v>1</v>
      </c>
    </row>
    <row r="1646">
      <c r="A1646" s="19">
        <v>109008.0</v>
      </c>
      <c r="B1646" s="20" t="str">
        <f t="array" ref="B1646">xlookup($A1646,product!$A:$A,product!B:B)</f>
        <v>Maison</v>
      </c>
      <c r="C1646" s="20" t="str">
        <f t="array" ref="C1646">xlookup($A1646,product!$A:$A,product!C:C)</f>
        <v>Conservation</v>
      </c>
      <c r="D1646" s="20" t="str">
        <f t="array" ref="D1646">xlookup($A1646,product!$A:$A,product!D:D)</f>
        <v>Emballages réutilisables</v>
      </c>
      <c r="E1646" s="4" t="str">
        <f t="shared" si="1"/>
        <v>109008-Conservation-Emballages réutilisables</v>
      </c>
      <c r="F1646" s="4">
        <v>0.0</v>
      </c>
      <c r="G1646" s="4">
        <v>16.0</v>
      </c>
      <c r="H1646" s="4">
        <v>6.0</v>
      </c>
      <c r="I1646" s="21">
        <f t="array" ref="I1646">XLOOKUP($A1646,product!A:A,product!E:E)</f>
        <v>6.07</v>
      </c>
      <c r="J1646" s="4">
        <f t="shared" si="2"/>
        <v>36.42</v>
      </c>
      <c r="K1646" s="22">
        <f t="shared" si="3"/>
        <v>1</v>
      </c>
      <c r="L1646" s="4">
        <f t="shared" si="4"/>
        <v>1</v>
      </c>
    </row>
    <row r="1647">
      <c r="A1647" s="23">
        <v>122371.0</v>
      </c>
      <c r="B1647" s="24" t="str">
        <f t="array" ref="B1647">xlookup($A1647,product!$A:$A,product!B:B)</f>
        <v>Maison</v>
      </c>
      <c r="C1647" s="24" t="str">
        <f t="array" ref="C1647">xlookup($A1647,product!$A:$A,product!C:C)</f>
        <v>Conservation</v>
      </c>
      <c r="D1647" s="24" t="str">
        <f t="array" ref="D1647">xlookup($A1647,product!$A:$A,product!D:D)</f>
        <v>Emballages réutilisables</v>
      </c>
      <c r="E1647" s="25" t="str">
        <f t="shared" si="1"/>
        <v>122371-Conservation-Emballages réutilisables</v>
      </c>
      <c r="F1647" s="25">
        <v>1.0</v>
      </c>
      <c r="G1647" s="25">
        <v>939.0</v>
      </c>
      <c r="H1647" s="25">
        <v>484.0</v>
      </c>
      <c r="I1647" s="26">
        <f t="array" ref="I1647">XLOOKUP($A1647,product!A:A,product!E:E)</f>
        <v>7.22</v>
      </c>
      <c r="J1647" s="25">
        <f t="shared" si="2"/>
        <v>3494.48</v>
      </c>
      <c r="K1647" s="27">
        <f t="shared" si="3"/>
        <v>1</v>
      </c>
      <c r="L1647" s="25">
        <f t="shared" si="4"/>
        <v>1</v>
      </c>
    </row>
    <row r="1648">
      <c r="A1648" s="19">
        <v>109012.0</v>
      </c>
      <c r="B1648" s="20" t="str">
        <f t="array" ref="B1648">xlookup($A1648,product!$A:$A,product!B:B)</f>
        <v>Maison</v>
      </c>
      <c r="C1648" s="20" t="str">
        <f t="array" ref="C1648">xlookup($A1648,product!$A:$A,product!C:C)</f>
        <v>Conservation</v>
      </c>
      <c r="D1648" s="20" t="str">
        <f t="array" ref="D1648">xlookup($A1648,product!$A:$A,product!D:D)</f>
        <v>Emballages réutilisables</v>
      </c>
      <c r="E1648" s="4" t="str">
        <f t="shared" si="1"/>
        <v>109012-Conservation-Emballages réutilisables</v>
      </c>
      <c r="F1648" s="4">
        <v>1.0</v>
      </c>
      <c r="G1648" s="4">
        <v>620.0</v>
      </c>
      <c r="H1648" s="4">
        <v>533.0</v>
      </c>
      <c r="I1648" s="21">
        <f t="array" ref="I1648">XLOOKUP($A1648,product!A:A,product!E:E)</f>
        <v>3.24</v>
      </c>
      <c r="J1648" s="4">
        <f t="shared" si="2"/>
        <v>1726.92</v>
      </c>
      <c r="K1648" s="22">
        <f t="shared" si="3"/>
        <v>1</v>
      </c>
      <c r="L1648" s="4">
        <f t="shared" si="4"/>
        <v>1</v>
      </c>
    </row>
    <row r="1649">
      <c r="A1649" s="23">
        <v>156047.0</v>
      </c>
      <c r="B1649" s="24" t="str">
        <f t="array" ref="B1649">xlookup($A1649,product!$A:$A,product!B:B)</f>
        <v>Maison</v>
      </c>
      <c r="C1649" s="24" t="str">
        <f t="array" ref="C1649">xlookup($A1649,product!$A:$A,product!C:C)</f>
        <v>Conservation</v>
      </c>
      <c r="D1649" s="24" t="str">
        <f t="array" ref="D1649">xlookup($A1649,product!$A:$A,product!D:D)</f>
        <v>Emballages réutilisables</v>
      </c>
      <c r="E1649" s="25" t="str">
        <f t="shared" si="1"/>
        <v>156047-Conservation-Emballages réutilisables</v>
      </c>
      <c r="F1649" s="25">
        <v>0.0</v>
      </c>
      <c r="G1649" s="25">
        <v>785.0</v>
      </c>
      <c r="H1649" s="25">
        <v>517.0</v>
      </c>
      <c r="I1649" s="26">
        <f t="array" ref="I1649">XLOOKUP($A1649,product!A:A,product!E:E)</f>
        <v>3.42</v>
      </c>
      <c r="J1649" s="25">
        <f t="shared" si="2"/>
        <v>1768.14</v>
      </c>
      <c r="K1649" s="27">
        <f t="shared" si="3"/>
        <v>1</v>
      </c>
      <c r="L1649" s="25">
        <f t="shared" si="4"/>
        <v>1</v>
      </c>
    </row>
    <row r="1650">
      <c r="A1650" s="19">
        <v>117839.0</v>
      </c>
      <c r="B1650" s="20" t="str">
        <f t="array" ref="B1650">xlookup($A1650,product!$A:$A,product!B:B)</f>
        <v>Maison</v>
      </c>
      <c r="C1650" s="20" t="str">
        <f t="array" ref="C1650">xlookup($A1650,product!$A:$A,product!C:C)</f>
        <v>Conservation</v>
      </c>
      <c r="D1650" s="20" t="str">
        <f t="array" ref="D1650">xlookup($A1650,product!$A:$A,product!D:D)</f>
        <v>Emballages réutilisables</v>
      </c>
      <c r="E1650" s="4" t="str">
        <f t="shared" si="1"/>
        <v>117839-Conservation-Emballages réutilisables</v>
      </c>
      <c r="F1650" s="4">
        <v>0.0</v>
      </c>
      <c r="G1650" s="4">
        <v>406.0</v>
      </c>
      <c r="H1650" s="4">
        <v>185.0</v>
      </c>
      <c r="I1650" s="21">
        <f t="array" ref="I1650">XLOOKUP($A1650,product!A:A,product!E:E)</f>
        <v>6.42</v>
      </c>
      <c r="J1650" s="4">
        <f t="shared" si="2"/>
        <v>1187.7</v>
      </c>
      <c r="K1650" s="22">
        <f t="shared" si="3"/>
        <v>1</v>
      </c>
      <c r="L1650" s="4">
        <f t="shared" si="4"/>
        <v>1</v>
      </c>
    </row>
    <row r="1651">
      <c r="A1651" s="23">
        <v>156051.0</v>
      </c>
      <c r="B1651" s="24" t="str">
        <f t="array" ref="B1651">xlookup($A1651,product!$A:$A,product!B:B)</f>
        <v>Maison</v>
      </c>
      <c r="C1651" s="24" t="str">
        <f t="array" ref="C1651">xlookup($A1651,product!$A:$A,product!C:C)</f>
        <v>Conservation</v>
      </c>
      <c r="D1651" s="24" t="str">
        <f t="array" ref="D1651">xlookup($A1651,product!$A:$A,product!D:D)</f>
        <v>Emballages réutilisables</v>
      </c>
      <c r="E1651" s="25" t="str">
        <f t="shared" si="1"/>
        <v>156051-Conservation-Emballages réutilisables</v>
      </c>
      <c r="F1651" s="25">
        <v>0.0</v>
      </c>
      <c r="G1651" s="25">
        <v>5.0</v>
      </c>
      <c r="H1651" s="25">
        <v>4.0</v>
      </c>
      <c r="I1651" s="26">
        <f t="array" ref="I1651">XLOOKUP($A1651,product!A:A,product!E:E)</f>
        <v>6.5</v>
      </c>
      <c r="J1651" s="25">
        <f t="shared" si="2"/>
        <v>26</v>
      </c>
      <c r="K1651" s="27">
        <f t="shared" si="3"/>
        <v>1</v>
      </c>
      <c r="L1651" s="25">
        <f t="shared" si="4"/>
        <v>1</v>
      </c>
    </row>
    <row r="1652">
      <c r="A1652" s="19">
        <v>156048.0</v>
      </c>
      <c r="B1652" s="20" t="str">
        <f t="array" ref="B1652">xlookup($A1652,product!$A:$A,product!B:B)</f>
        <v>Maison</v>
      </c>
      <c r="C1652" s="20" t="str">
        <f t="array" ref="C1652">xlookup($A1652,product!$A:$A,product!C:C)</f>
        <v>Conservation</v>
      </c>
      <c r="D1652" s="20" t="str">
        <f t="array" ref="D1652">xlookup($A1652,product!$A:$A,product!D:D)</f>
        <v>Emballages réutilisables</v>
      </c>
      <c r="E1652" s="4" t="str">
        <f t="shared" si="1"/>
        <v>156048-Conservation-Emballages réutilisables</v>
      </c>
      <c r="F1652" s="4">
        <v>0.0</v>
      </c>
      <c r="G1652" s="4">
        <v>35.0</v>
      </c>
      <c r="H1652" s="4">
        <v>25.0</v>
      </c>
      <c r="I1652" s="21">
        <f t="array" ref="I1652">XLOOKUP($A1652,product!A:A,product!E:E)</f>
        <v>2.51</v>
      </c>
      <c r="J1652" s="4">
        <f t="shared" si="2"/>
        <v>62.75</v>
      </c>
      <c r="K1652" s="22">
        <f t="shared" si="3"/>
        <v>1</v>
      </c>
      <c r="L1652" s="4">
        <f t="shared" si="4"/>
        <v>1</v>
      </c>
    </row>
    <row r="1653">
      <c r="A1653" s="23">
        <v>117832.0</v>
      </c>
      <c r="B1653" s="24" t="str">
        <f t="array" ref="B1653">xlookup($A1653,product!$A:$A,product!B:B)</f>
        <v>Maison</v>
      </c>
      <c r="C1653" s="24" t="str">
        <f t="array" ref="C1653">xlookup($A1653,product!$A:$A,product!C:C)</f>
        <v>Conservation</v>
      </c>
      <c r="D1653" s="24" t="str">
        <f t="array" ref="D1653">xlookup($A1653,product!$A:$A,product!D:D)</f>
        <v>Emballages réutilisables</v>
      </c>
      <c r="E1653" s="25" t="str">
        <f t="shared" si="1"/>
        <v>117832-Conservation-Emballages réutilisables</v>
      </c>
      <c r="F1653" s="25">
        <v>0.0</v>
      </c>
      <c r="G1653" s="25">
        <v>956.0</v>
      </c>
      <c r="H1653" s="25">
        <v>413.0</v>
      </c>
      <c r="I1653" s="26">
        <f t="array" ref="I1653">XLOOKUP($A1653,product!A:A,product!E:E)</f>
        <v>2.99</v>
      </c>
      <c r="J1653" s="25">
        <f t="shared" si="2"/>
        <v>1234.87</v>
      </c>
      <c r="K1653" s="27">
        <f t="shared" si="3"/>
        <v>1</v>
      </c>
      <c r="L1653" s="25">
        <f t="shared" si="4"/>
        <v>1</v>
      </c>
    </row>
    <row r="1654">
      <c r="A1654" s="19">
        <v>117877.0</v>
      </c>
      <c r="B1654" s="20" t="str">
        <f t="array" ref="B1654">xlookup($A1654,product!$A:$A,product!B:B)</f>
        <v>Maison</v>
      </c>
      <c r="C1654" s="20" t="str">
        <f t="array" ref="C1654">xlookup($A1654,product!$A:$A,product!C:C)</f>
        <v>Conservation</v>
      </c>
      <c r="D1654" s="20" t="str">
        <f t="array" ref="D1654">xlookup($A1654,product!$A:$A,product!D:D)</f>
        <v>Lunch bags, sacs à repas</v>
      </c>
      <c r="E1654" s="4" t="str">
        <f t="shared" si="1"/>
        <v>117877-Conservation-Lunch bags, sacs à repas</v>
      </c>
      <c r="F1654" s="4">
        <v>1.0</v>
      </c>
      <c r="G1654" s="4">
        <v>814.0</v>
      </c>
      <c r="H1654" s="4">
        <v>622.0</v>
      </c>
      <c r="I1654" s="21">
        <f t="array" ref="I1654">XLOOKUP($A1654,product!A:A,product!E:E)</f>
        <v>3.77</v>
      </c>
      <c r="J1654" s="4">
        <f t="shared" si="2"/>
        <v>2344.94</v>
      </c>
      <c r="K1654" s="22">
        <f t="shared" si="3"/>
        <v>1</v>
      </c>
      <c r="L1654" s="4">
        <f t="shared" si="4"/>
        <v>1</v>
      </c>
    </row>
    <row r="1655">
      <c r="A1655" s="23">
        <v>117876.0</v>
      </c>
      <c r="B1655" s="24" t="str">
        <f t="array" ref="B1655">xlookup($A1655,product!$A:$A,product!B:B)</f>
        <v>Maison</v>
      </c>
      <c r="C1655" s="24" t="str">
        <f t="array" ref="C1655">xlookup($A1655,product!$A:$A,product!C:C)</f>
        <v>Conservation</v>
      </c>
      <c r="D1655" s="24" t="str">
        <f t="array" ref="D1655">xlookup($A1655,product!$A:$A,product!D:D)</f>
        <v>Lunch bags, sacs à repas</v>
      </c>
      <c r="E1655" s="25" t="str">
        <f t="shared" si="1"/>
        <v>117876-Conservation-Lunch bags, sacs à repas</v>
      </c>
      <c r="F1655" s="25">
        <v>0.0</v>
      </c>
      <c r="G1655" s="25">
        <v>416.0</v>
      </c>
      <c r="H1655" s="25">
        <v>298.0</v>
      </c>
      <c r="I1655" s="26">
        <f t="array" ref="I1655">XLOOKUP($A1655,product!A:A,product!E:E)</f>
        <v>3.77</v>
      </c>
      <c r="J1655" s="25">
        <f t="shared" si="2"/>
        <v>1123.46</v>
      </c>
      <c r="K1655" s="27">
        <f t="shared" si="3"/>
        <v>1</v>
      </c>
      <c r="L1655" s="25">
        <f t="shared" si="4"/>
        <v>1</v>
      </c>
    </row>
    <row r="1656">
      <c r="A1656" s="19">
        <v>83507.0</v>
      </c>
      <c r="B1656" s="20" t="str">
        <f t="array" ref="B1656">xlookup($A1656,product!$A:$A,product!B:B)</f>
        <v>Maison</v>
      </c>
      <c r="C1656" s="20" t="str">
        <f t="array" ref="C1656">xlookup($A1656,product!$A:$A,product!C:C)</f>
        <v>Conservation</v>
      </c>
      <c r="D1656" s="20" t="str">
        <f t="array" ref="D1656">xlookup($A1656,product!$A:$A,product!D:D)</f>
        <v>Lunch bags, sacs à repas</v>
      </c>
      <c r="E1656" s="4" t="str">
        <f t="shared" si="1"/>
        <v>83507-Conservation-Lunch bags, sacs à repas</v>
      </c>
      <c r="F1656" s="4">
        <v>0.0</v>
      </c>
      <c r="G1656" s="4">
        <v>609.0</v>
      </c>
      <c r="H1656" s="4">
        <v>353.0</v>
      </c>
      <c r="I1656" s="21">
        <f t="array" ref="I1656">XLOOKUP($A1656,product!A:A,product!E:E)</f>
        <v>3.91</v>
      </c>
      <c r="J1656" s="4">
        <f t="shared" si="2"/>
        <v>1380.23</v>
      </c>
      <c r="K1656" s="22">
        <f t="shared" si="3"/>
        <v>1</v>
      </c>
      <c r="L1656" s="4">
        <f t="shared" si="4"/>
        <v>1</v>
      </c>
    </row>
    <row r="1657">
      <c r="A1657" s="23">
        <v>121285.0</v>
      </c>
      <c r="B1657" s="24" t="str">
        <f t="array" ref="B1657">xlookup($A1657,product!$A:$A,product!B:B)</f>
        <v>Maison</v>
      </c>
      <c r="C1657" s="24" t="str">
        <f t="array" ref="C1657">xlookup($A1657,product!$A:$A,product!C:C)</f>
        <v>Conservation</v>
      </c>
      <c r="D1657" s="24" t="str">
        <f t="array" ref="D1657">xlookup($A1657,product!$A:$A,product!D:D)</f>
        <v>Lunch box et boîtes repas</v>
      </c>
      <c r="E1657" s="25" t="str">
        <f t="shared" si="1"/>
        <v>121285-Conservation-Lunch box et boîtes repas</v>
      </c>
      <c r="F1657" s="25">
        <v>0.0</v>
      </c>
      <c r="G1657" s="25">
        <v>779.0</v>
      </c>
      <c r="H1657" s="25">
        <v>406.0</v>
      </c>
      <c r="I1657" s="26">
        <f t="array" ref="I1657">XLOOKUP($A1657,product!A:A,product!E:E)</f>
        <v>13.57</v>
      </c>
      <c r="J1657" s="25">
        <f t="shared" si="2"/>
        <v>5509.42</v>
      </c>
      <c r="K1657" s="27">
        <f t="shared" si="3"/>
        <v>1</v>
      </c>
      <c r="L1657" s="25">
        <f t="shared" si="4"/>
        <v>1</v>
      </c>
    </row>
    <row r="1658">
      <c r="A1658" s="19">
        <v>122684.0</v>
      </c>
      <c r="B1658" s="20" t="str">
        <f t="array" ref="B1658">xlookup($A1658,product!$A:$A,product!B:B)</f>
        <v>Maison</v>
      </c>
      <c r="C1658" s="20" t="str">
        <f t="array" ref="C1658">xlookup($A1658,product!$A:$A,product!C:C)</f>
        <v>Conservation</v>
      </c>
      <c r="D1658" s="20" t="str">
        <f t="array" ref="D1658">xlookup($A1658,product!$A:$A,product!D:D)</f>
        <v>Lunch box et boîtes repas</v>
      </c>
      <c r="E1658" s="4" t="str">
        <f t="shared" si="1"/>
        <v>122684-Conservation-Lunch box et boîtes repas</v>
      </c>
      <c r="F1658" s="4">
        <v>1.0</v>
      </c>
      <c r="G1658" s="4">
        <v>415.0</v>
      </c>
      <c r="H1658" s="4">
        <v>117.0</v>
      </c>
      <c r="I1658" s="21">
        <f t="array" ref="I1658">XLOOKUP($A1658,product!A:A,product!E:E)</f>
        <v>16.33</v>
      </c>
      <c r="J1658" s="4">
        <f t="shared" si="2"/>
        <v>1910.61</v>
      </c>
      <c r="K1658" s="22">
        <f t="shared" si="3"/>
        <v>1</v>
      </c>
      <c r="L1658" s="4">
        <f t="shared" si="4"/>
        <v>1</v>
      </c>
    </row>
    <row r="1659">
      <c r="A1659" s="23">
        <v>116615.0</v>
      </c>
      <c r="B1659" s="24" t="str">
        <f t="array" ref="B1659">xlookup($A1659,product!$A:$A,product!B:B)</f>
        <v>Maison</v>
      </c>
      <c r="C1659" s="24" t="str">
        <f t="array" ref="C1659">xlookup($A1659,product!$A:$A,product!C:C)</f>
        <v>Conservation</v>
      </c>
      <c r="D1659" s="24" t="str">
        <f t="array" ref="D1659">xlookup($A1659,product!$A:$A,product!D:D)</f>
        <v>Lunch box et boîtes repas</v>
      </c>
      <c r="E1659" s="25" t="str">
        <f t="shared" si="1"/>
        <v>116615-Conservation-Lunch box et boîtes repas</v>
      </c>
      <c r="F1659" s="25">
        <v>1.0</v>
      </c>
      <c r="G1659" s="25">
        <v>721.0</v>
      </c>
      <c r="H1659" s="25">
        <v>93.0</v>
      </c>
      <c r="I1659" s="26">
        <f t="array" ref="I1659">XLOOKUP($A1659,product!A:A,product!E:E)</f>
        <v>2.46</v>
      </c>
      <c r="J1659" s="25">
        <f t="shared" si="2"/>
        <v>228.78</v>
      </c>
      <c r="K1659" s="27">
        <f t="shared" si="3"/>
        <v>1</v>
      </c>
      <c r="L1659" s="25">
        <f t="shared" si="4"/>
        <v>1</v>
      </c>
    </row>
    <row r="1660">
      <c r="A1660" s="19">
        <v>121083.0</v>
      </c>
      <c r="B1660" s="20" t="str">
        <f t="array" ref="B1660">xlookup($A1660,product!$A:$A,product!B:B)</f>
        <v>Maison</v>
      </c>
      <c r="C1660" s="20" t="str">
        <f t="array" ref="C1660">xlookup($A1660,product!$A:$A,product!C:C)</f>
        <v>Conservation</v>
      </c>
      <c r="D1660" s="20" t="str">
        <f t="array" ref="D1660">xlookup($A1660,product!$A:$A,product!D:D)</f>
        <v>Lunch box et boîtes repas</v>
      </c>
      <c r="E1660" s="4" t="str">
        <f t="shared" si="1"/>
        <v>121083-Conservation-Lunch box et boîtes repas</v>
      </c>
      <c r="F1660" s="4">
        <v>0.0</v>
      </c>
      <c r="G1660" s="4">
        <v>673.0</v>
      </c>
      <c r="H1660" s="4">
        <v>425.0</v>
      </c>
      <c r="I1660" s="21">
        <f t="array" ref="I1660">XLOOKUP($A1660,product!A:A,product!E:E)</f>
        <v>12.56</v>
      </c>
      <c r="J1660" s="4">
        <f t="shared" si="2"/>
        <v>5338</v>
      </c>
      <c r="K1660" s="22">
        <f t="shared" si="3"/>
        <v>1</v>
      </c>
      <c r="L1660" s="4">
        <f t="shared" si="4"/>
        <v>1</v>
      </c>
    </row>
    <row r="1661">
      <c r="A1661" s="23">
        <v>108936.0</v>
      </c>
      <c r="B1661" s="24" t="str">
        <f t="array" ref="B1661">xlookup($A1661,product!$A:$A,product!B:B)</f>
        <v>Maison</v>
      </c>
      <c r="C1661" s="24" t="str">
        <f t="array" ref="C1661">xlookup($A1661,product!$A:$A,product!C:C)</f>
        <v>Conservation</v>
      </c>
      <c r="D1661" s="24" t="str">
        <f t="array" ref="D1661">xlookup($A1661,product!$A:$A,product!D:D)</f>
        <v>Lunch box et boîtes repas</v>
      </c>
      <c r="E1661" s="25" t="str">
        <f t="shared" si="1"/>
        <v>108936-Conservation-Lunch box et boîtes repas</v>
      </c>
      <c r="F1661" s="25">
        <v>0.0</v>
      </c>
      <c r="G1661" s="25">
        <v>361.0</v>
      </c>
      <c r="H1661" s="25">
        <v>348.0</v>
      </c>
      <c r="I1661" s="26">
        <f t="array" ref="I1661">XLOOKUP($A1661,product!A:A,product!E:E)</f>
        <v>15.51</v>
      </c>
      <c r="J1661" s="25">
        <f t="shared" si="2"/>
        <v>5397.48</v>
      </c>
      <c r="K1661" s="27">
        <f t="shared" si="3"/>
        <v>1</v>
      </c>
      <c r="L1661" s="25">
        <f t="shared" si="4"/>
        <v>1</v>
      </c>
    </row>
    <row r="1662">
      <c r="A1662" s="19">
        <v>128388.0</v>
      </c>
      <c r="B1662" s="20" t="str">
        <f t="array" ref="B1662">xlookup($A1662,product!$A:$A,product!B:B)</f>
        <v>Maison</v>
      </c>
      <c r="C1662" s="20" t="str">
        <f t="array" ref="C1662">xlookup($A1662,product!$A:$A,product!C:C)</f>
        <v>Conservation</v>
      </c>
      <c r="D1662" s="20" t="str">
        <f t="array" ref="D1662">xlookup($A1662,product!$A:$A,product!D:D)</f>
        <v>Lunch box et boîtes repas</v>
      </c>
      <c r="E1662" s="4" t="str">
        <f t="shared" si="1"/>
        <v>128388-Conservation-Lunch box et boîtes repas</v>
      </c>
      <c r="F1662" s="4">
        <v>1.0</v>
      </c>
      <c r="G1662" s="4">
        <v>885.0</v>
      </c>
      <c r="H1662" s="4">
        <v>770.0</v>
      </c>
      <c r="I1662" s="21">
        <f t="array" ref="I1662">XLOOKUP($A1662,product!A:A,product!E:E)</f>
        <v>7.37</v>
      </c>
      <c r="J1662" s="4">
        <f t="shared" si="2"/>
        <v>5674.9</v>
      </c>
      <c r="K1662" s="22">
        <f t="shared" si="3"/>
        <v>1</v>
      </c>
      <c r="L1662" s="4">
        <f t="shared" si="4"/>
        <v>1</v>
      </c>
    </row>
    <row r="1663">
      <c r="A1663" s="23">
        <v>120559.0</v>
      </c>
      <c r="B1663" s="24" t="str">
        <f t="array" ref="B1663">xlookup($A1663,product!$A:$A,product!B:B)</f>
        <v>Maison</v>
      </c>
      <c r="C1663" s="24" t="str">
        <f t="array" ref="C1663">xlookup($A1663,product!$A:$A,product!C:C)</f>
        <v>Conservation</v>
      </c>
      <c r="D1663" s="24" t="str">
        <f t="array" ref="D1663">xlookup($A1663,product!$A:$A,product!D:D)</f>
        <v>Lunch box et boîtes repas</v>
      </c>
      <c r="E1663" s="25" t="str">
        <f t="shared" si="1"/>
        <v>120559-Conservation-Lunch box et boîtes repas</v>
      </c>
      <c r="F1663" s="25">
        <v>0.0</v>
      </c>
      <c r="G1663" s="25">
        <v>715.0</v>
      </c>
      <c r="H1663" s="25">
        <v>582.0</v>
      </c>
      <c r="I1663" s="26">
        <f t="array" ref="I1663">XLOOKUP($A1663,product!A:A,product!E:E)</f>
        <v>2.79</v>
      </c>
      <c r="J1663" s="25">
        <f t="shared" si="2"/>
        <v>1623.78</v>
      </c>
      <c r="K1663" s="27">
        <f t="shared" si="3"/>
        <v>1</v>
      </c>
      <c r="L1663" s="25">
        <f t="shared" si="4"/>
        <v>1</v>
      </c>
    </row>
    <row r="1664">
      <c r="A1664" s="19">
        <v>122685.0</v>
      </c>
      <c r="B1664" s="20" t="str">
        <f t="array" ref="B1664">xlookup($A1664,product!$A:$A,product!B:B)</f>
        <v>Maison</v>
      </c>
      <c r="C1664" s="20" t="str">
        <f t="array" ref="C1664">xlookup($A1664,product!$A:$A,product!C:C)</f>
        <v>Conservation</v>
      </c>
      <c r="D1664" s="20" t="str">
        <f t="array" ref="D1664">xlookup($A1664,product!$A:$A,product!D:D)</f>
        <v>Lunch box et boîtes repas</v>
      </c>
      <c r="E1664" s="4" t="str">
        <f t="shared" si="1"/>
        <v>122685-Conservation-Lunch box et boîtes repas</v>
      </c>
      <c r="F1664" s="4">
        <v>1.0</v>
      </c>
      <c r="G1664" s="4">
        <v>578.0</v>
      </c>
      <c r="H1664" s="4">
        <v>20.0</v>
      </c>
      <c r="I1664" s="21">
        <f t="array" ref="I1664">XLOOKUP($A1664,product!A:A,product!E:E)</f>
        <v>16.33</v>
      </c>
      <c r="J1664" s="4">
        <f t="shared" si="2"/>
        <v>326.6</v>
      </c>
      <c r="K1664" s="22">
        <f t="shared" si="3"/>
        <v>1</v>
      </c>
      <c r="L1664" s="4">
        <f t="shared" si="4"/>
        <v>1</v>
      </c>
    </row>
    <row r="1665">
      <c r="A1665" s="23">
        <v>122686.0</v>
      </c>
      <c r="B1665" s="24" t="str">
        <f t="array" ref="B1665">xlookup($A1665,product!$A:$A,product!B:B)</f>
        <v>Maison</v>
      </c>
      <c r="C1665" s="24" t="str">
        <f t="array" ref="C1665">xlookup($A1665,product!$A:$A,product!C:C)</f>
        <v>Conservation</v>
      </c>
      <c r="D1665" s="24" t="str">
        <f t="array" ref="D1665">xlookup($A1665,product!$A:$A,product!D:D)</f>
        <v>Lunch box et boîtes repas</v>
      </c>
      <c r="E1665" s="25" t="str">
        <f t="shared" si="1"/>
        <v>122686-Conservation-Lunch box et boîtes repas</v>
      </c>
      <c r="F1665" s="25">
        <v>0.0</v>
      </c>
      <c r="G1665" s="25">
        <v>21.0</v>
      </c>
      <c r="H1665" s="25">
        <v>3.0</v>
      </c>
      <c r="I1665" s="26">
        <f t="array" ref="I1665">XLOOKUP($A1665,product!A:A,product!E:E)</f>
        <v>17.07</v>
      </c>
      <c r="J1665" s="25">
        <f t="shared" si="2"/>
        <v>51.21</v>
      </c>
      <c r="K1665" s="27">
        <f t="shared" si="3"/>
        <v>1</v>
      </c>
      <c r="L1665" s="25">
        <f t="shared" si="4"/>
        <v>1</v>
      </c>
    </row>
    <row r="1666">
      <c r="A1666" s="19">
        <v>181263.0</v>
      </c>
      <c r="B1666" s="20" t="str">
        <f t="array" ref="B1666">xlookup($A1666,product!$A:$A,product!B:B)</f>
        <v>Maison</v>
      </c>
      <c r="C1666" s="20" t="str">
        <f t="array" ref="C1666">xlookup($A1666,product!$A:$A,product!C:C)</f>
        <v>Conservation</v>
      </c>
      <c r="D1666" s="20" t="str">
        <f t="array" ref="D1666">xlookup($A1666,product!$A:$A,product!D:D)</f>
        <v>Lunch box et boîtes repas</v>
      </c>
      <c r="E1666" s="4" t="str">
        <f t="shared" si="1"/>
        <v>181263-Conservation-Lunch box et boîtes repas</v>
      </c>
      <c r="F1666" s="4">
        <v>0.0</v>
      </c>
      <c r="G1666" s="4">
        <v>870.0</v>
      </c>
      <c r="H1666" s="4">
        <v>401.0</v>
      </c>
      <c r="I1666" s="21">
        <f t="array" ref="I1666">XLOOKUP($A1666,product!A:A,product!E:E)</f>
        <v>17.48</v>
      </c>
      <c r="J1666" s="4">
        <f t="shared" si="2"/>
        <v>7009.48</v>
      </c>
      <c r="K1666" s="22">
        <f t="shared" si="3"/>
        <v>1</v>
      </c>
      <c r="L1666" s="4">
        <f t="shared" si="4"/>
        <v>1</v>
      </c>
    </row>
    <row r="1667">
      <c r="A1667" s="23">
        <v>122723.0</v>
      </c>
      <c r="B1667" s="24" t="str">
        <f t="array" ref="B1667">xlookup($A1667,product!$A:$A,product!B:B)</f>
        <v>Maison</v>
      </c>
      <c r="C1667" s="24" t="str">
        <f t="array" ref="C1667">xlookup($A1667,product!$A:$A,product!C:C)</f>
        <v>Conservation</v>
      </c>
      <c r="D1667" s="24" t="str">
        <f t="array" ref="D1667">xlookup($A1667,product!$A:$A,product!D:D)</f>
        <v>Lunch box et boîtes repas</v>
      </c>
      <c r="E1667" s="25" t="str">
        <f t="shared" si="1"/>
        <v>122723-Conservation-Lunch box et boîtes repas</v>
      </c>
      <c r="F1667" s="25">
        <v>0.0</v>
      </c>
      <c r="G1667" s="25">
        <v>724.0</v>
      </c>
      <c r="H1667" s="25">
        <v>134.0</v>
      </c>
      <c r="I1667" s="26">
        <f t="array" ref="I1667">XLOOKUP($A1667,product!A:A,product!E:E)</f>
        <v>15.51</v>
      </c>
      <c r="J1667" s="25">
        <f t="shared" si="2"/>
        <v>2078.34</v>
      </c>
      <c r="K1667" s="27">
        <f t="shared" si="3"/>
        <v>1</v>
      </c>
      <c r="L1667" s="25">
        <f t="shared" si="4"/>
        <v>1</v>
      </c>
    </row>
    <row r="1668">
      <c r="A1668" s="19">
        <v>26533.0</v>
      </c>
      <c r="B1668" s="20" t="str">
        <f t="array" ref="B1668">xlookup($A1668,product!$A:$A,product!B:B)</f>
        <v>Maison</v>
      </c>
      <c r="C1668" s="20" t="str">
        <f t="array" ref="C1668">xlookup($A1668,product!$A:$A,product!C:C)</f>
        <v>Conservation</v>
      </c>
      <c r="D1668" s="20" t="str">
        <f t="array" ref="D1668">xlookup($A1668,product!$A:$A,product!D:D)</f>
        <v>Papier et film alimentaire</v>
      </c>
      <c r="E1668" s="4" t="str">
        <f t="shared" si="1"/>
        <v>26533-Conservation-Papier et film alimentaire</v>
      </c>
      <c r="F1668" s="4">
        <v>1.0</v>
      </c>
      <c r="G1668" s="4">
        <v>2.0</v>
      </c>
      <c r="H1668" s="4">
        <v>1.0</v>
      </c>
      <c r="I1668" s="21">
        <f t="array" ref="I1668">XLOOKUP($A1668,product!A:A,product!E:E)</f>
        <v>2.13</v>
      </c>
      <c r="J1668" s="4">
        <f t="shared" si="2"/>
        <v>2.13</v>
      </c>
      <c r="K1668" s="22">
        <f t="shared" si="3"/>
        <v>1</v>
      </c>
      <c r="L1668" s="4">
        <f t="shared" si="4"/>
        <v>1</v>
      </c>
    </row>
    <row r="1669">
      <c r="A1669" s="23">
        <v>16048.0</v>
      </c>
      <c r="B1669" s="24" t="str">
        <f t="array" ref="B1669">xlookup($A1669,product!$A:$A,product!B:B)</f>
        <v>Maison</v>
      </c>
      <c r="C1669" s="24" t="str">
        <f t="array" ref="C1669">xlookup($A1669,product!$A:$A,product!C:C)</f>
        <v>Conservation</v>
      </c>
      <c r="D1669" s="24" t="str">
        <f t="array" ref="D1669">xlookup($A1669,product!$A:$A,product!D:D)</f>
        <v>Papier et film alimentaire</v>
      </c>
      <c r="E1669" s="25" t="str">
        <f t="shared" si="1"/>
        <v>16048-Conservation-Papier et film alimentaire</v>
      </c>
      <c r="F1669" s="25">
        <v>1.0</v>
      </c>
      <c r="G1669" s="25">
        <v>925.0</v>
      </c>
      <c r="H1669" s="25">
        <v>472.0</v>
      </c>
      <c r="I1669" s="26">
        <f t="array" ref="I1669">XLOOKUP($A1669,product!A:A,product!E:E)</f>
        <v>1.6</v>
      </c>
      <c r="J1669" s="25">
        <f t="shared" si="2"/>
        <v>755.2</v>
      </c>
      <c r="K1669" s="27">
        <f t="shared" si="3"/>
        <v>1</v>
      </c>
      <c r="L1669" s="25">
        <f t="shared" si="4"/>
        <v>1</v>
      </c>
    </row>
    <row r="1670">
      <c r="A1670" s="19">
        <v>16049.0</v>
      </c>
      <c r="B1670" s="20" t="str">
        <f t="array" ref="B1670">xlookup($A1670,product!$A:$A,product!B:B)</f>
        <v>Maison</v>
      </c>
      <c r="C1670" s="20" t="str">
        <f t="array" ref="C1670">xlookup($A1670,product!$A:$A,product!C:C)</f>
        <v>Conservation</v>
      </c>
      <c r="D1670" s="20" t="str">
        <f t="array" ref="D1670">xlookup($A1670,product!$A:$A,product!D:D)</f>
        <v>Papier et film alimentaire</v>
      </c>
      <c r="E1670" s="4" t="str">
        <f t="shared" si="1"/>
        <v>16049-Conservation-Papier et film alimentaire</v>
      </c>
      <c r="F1670" s="4">
        <v>1.0</v>
      </c>
      <c r="G1670" s="4">
        <v>293.0</v>
      </c>
      <c r="H1670" s="4">
        <v>59.0</v>
      </c>
      <c r="I1670" s="21">
        <f t="array" ref="I1670">XLOOKUP($A1670,product!A:A,product!E:E)</f>
        <v>2.65</v>
      </c>
      <c r="J1670" s="4">
        <f t="shared" si="2"/>
        <v>156.35</v>
      </c>
      <c r="K1670" s="22">
        <f t="shared" si="3"/>
        <v>1</v>
      </c>
      <c r="L1670" s="4">
        <f t="shared" si="4"/>
        <v>1</v>
      </c>
    </row>
    <row r="1671">
      <c r="A1671" s="23">
        <v>122421.0</v>
      </c>
      <c r="B1671" s="24" t="str">
        <f t="array" ref="B1671">xlookup($A1671,product!$A:$A,product!B:B)</f>
        <v>Enfant</v>
      </c>
      <c r="C1671" s="24" t="str">
        <f t="array" ref="C1671">xlookup($A1671,product!$A:$A,product!C:C)</f>
        <v>Repas Bébé</v>
      </c>
      <c r="D1671" s="24" t="str">
        <f t="array" ref="D1671">xlookup($A1671,product!$A:$A,product!D:D)</f>
        <v>Bavoirs</v>
      </c>
      <c r="E1671" s="25" t="str">
        <f t="shared" si="1"/>
        <v>122421-Repas Bébé-Bavoirs</v>
      </c>
      <c r="F1671" s="25">
        <v>1.0</v>
      </c>
      <c r="G1671" s="25">
        <v>714.0</v>
      </c>
      <c r="H1671" s="25">
        <v>585.0</v>
      </c>
      <c r="I1671" s="26">
        <f t="array" ref="I1671">XLOOKUP($A1671,product!A:A,product!E:E)</f>
        <v>7.03</v>
      </c>
      <c r="J1671" s="25">
        <f t="shared" si="2"/>
        <v>4112.55</v>
      </c>
      <c r="K1671" s="27">
        <f t="shared" si="3"/>
        <v>1</v>
      </c>
      <c r="L1671" s="25">
        <f t="shared" si="4"/>
        <v>1</v>
      </c>
    </row>
    <row r="1672">
      <c r="A1672" s="19">
        <v>121718.0</v>
      </c>
      <c r="B1672" s="20" t="str">
        <f t="array" ref="B1672">xlookup($A1672,product!$A:$A,product!B:B)</f>
        <v>Enfant</v>
      </c>
      <c r="C1672" s="20" t="str">
        <f t="array" ref="C1672">xlookup($A1672,product!$A:$A,product!C:C)</f>
        <v>Repas Bébé</v>
      </c>
      <c r="D1672" s="20" t="str">
        <f t="array" ref="D1672">xlookup($A1672,product!$A:$A,product!D:D)</f>
        <v>Bavoirs</v>
      </c>
      <c r="E1672" s="4" t="str">
        <f t="shared" si="1"/>
        <v>121718-Repas Bébé-Bavoirs</v>
      </c>
      <c r="F1672" s="4">
        <v>1.0</v>
      </c>
      <c r="G1672" s="4">
        <v>812.0</v>
      </c>
      <c r="H1672" s="4">
        <v>292.0</v>
      </c>
      <c r="I1672" s="21">
        <f t="array" ref="I1672">XLOOKUP($A1672,product!A:A,product!E:E)</f>
        <v>3.49</v>
      </c>
      <c r="J1672" s="4">
        <f t="shared" si="2"/>
        <v>1019.08</v>
      </c>
      <c r="K1672" s="22">
        <f t="shared" si="3"/>
        <v>1</v>
      </c>
      <c r="L1672" s="4">
        <f t="shared" si="4"/>
        <v>1</v>
      </c>
    </row>
    <row r="1673">
      <c r="A1673" s="23">
        <v>117892.0</v>
      </c>
      <c r="B1673" s="24" t="str">
        <f t="array" ref="B1673">xlookup($A1673,product!$A:$A,product!B:B)</f>
        <v>Enfant</v>
      </c>
      <c r="C1673" s="24" t="str">
        <f t="array" ref="C1673">xlookup($A1673,product!$A:$A,product!C:C)</f>
        <v>Repas Bébé</v>
      </c>
      <c r="D1673" s="24" t="str">
        <f t="array" ref="D1673">xlookup($A1673,product!$A:$A,product!D:D)</f>
        <v>Conservation du repas</v>
      </c>
      <c r="E1673" s="25" t="str">
        <f t="shared" si="1"/>
        <v>117892-Repas Bébé-Conservation du repas</v>
      </c>
      <c r="F1673" s="25">
        <v>0.0</v>
      </c>
      <c r="G1673" s="25">
        <v>42.0</v>
      </c>
      <c r="H1673" s="25">
        <v>3.0</v>
      </c>
      <c r="I1673" s="26">
        <f t="array" ref="I1673">XLOOKUP($A1673,product!A:A,product!E:E)</f>
        <v>10.02</v>
      </c>
      <c r="J1673" s="25">
        <f t="shared" si="2"/>
        <v>30.06</v>
      </c>
      <c r="K1673" s="27">
        <f t="shared" si="3"/>
        <v>1</v>
      </c>
      <c r="L1673" s="25">
        <f t="shared" si="4"/>
        <v>1</v>
      </c>
    </row>
    <row r="1674">
      <c r="A1674" s="19">
        <v>117893.0</v>
      </c>
      <c r="B1674" s="20" t="str">
        <f t="array" ref="B1674">xlookup($A1674,product!$A:$A,product!B:B)</f>
        <v>Enfant</v>
      </c>
      <c r="C1674" s="20" t="str">
        <f t="array" ref="C1674">xlookup($A1674,product!$A:$A,product!C:C)</f>
        <v>Repas Bébé</v>
      </c>
      <c r="D1674" s="20" t="str">
        <f t="array" ref="D1674">xlookup($A1674,product!$A:$A,product!D:D)</f>
        <v>Conservation du repas</v>
      </c>
      <c r="E1674" s="4" t="str">
        <f t="shared" si="1"/>
        <v>117893-Repas Bébé-Conservation du repas</v>
      </c>
      <c r="F1674" s="4">
        <v>0.0</v>
      </c>
      <c r="G1674" s="4">
        <v>867.0</v>
      </c>
      <c r="H1674" s="4">
        <v>310.0</v>
      </c>
      <c r="I1674" s="21">
        <f t="array" ref="I1674">XLOOKUP($A1674,product!A:A,product!E:E)</f>
        <v>12.82</v>
      </c>
      <c r="J1674" s="4">
        <f t="shared" si="2"/>
        <v>3974.2</v>
      </c>
      <c r="K1674" s="22">
        <f t="shared" si="3"/>
        <v>1</v>
      </c>
      <c r="L1674" s="4">
        <f t="shared" si="4"/>
        <v>1</v>
      </c>
    </row>
    <row r="1675">
      <c r="A1675" s="23">
        <v>78448.0</v>
      </c>
      <c r="B1675" s="24" t="str">
        <f t="array" ref="B1675">xlookup($A1675,product!$A:$A,product!B:B)</f>
        <v>Enfant</v>
      </c>
      <c r="C1675" s="24" t="str">
        <f t="array" ref="C1675">xlookup($A1675,product!$A:$A,product!C:C)</f>
        <v>Repas Bébé</v>
      </c>
      <c r="D1675" s="24" t="str">
        <f t="array" ref="D1675">xlookup($A1675,product!$A:$A,product!D:D)</f>
        <v>Couverts et Vaisselle Bébé</v>
      </c>
      <c r="E1675" s="25" t="str">
        <f t="shared" si="1"/>
        <v>78448-Repas Bébé-Couverts et Vaisselle Bébé</v>
      </c>
      <c r="F1675" s="25">
        <v>1.0</v>
      </c>
      <c r="G1675" s="25">
        <v>292.0</v>
      </c>
      <c r="H1675" s="25">
        <v>111.0</v>
      </c>
      <c r="I1675" s="26">
        <f t="array" ref="I1675">XLOOKUP($A1675,product!A:A,product!E:E)</f>
        <v>1.87</v>
      </c>
      <c r="J1675" s="25">
        <f t="shared" si="2"/>
        <v>207.57</v>
      </c>
      <c r="K1675" s="27">
        <f t="shared" si="3"/>
        <v>1</v>
      </c>
      <c r="L1675" s="25">
        <f t="shared" si="4"/>
        <v>1</v>
      </c>
    </row>
    <row r="1676">
      <c r="A1676" s="19">
        <v>89463.0</v>
      </c>
      <c r="B1676" s="20" t="str">
        <f t="array" ref="B1676">xlookup($A1676,product!$A:$A,product!B:B)</f>
        <v>Enfant</v>
      </c>
      <c r="C1676" s="20" t="str">
        <f t="array" ref="C1676">xlookup($A1676,product!$A:$A,product!C:C)</f>
        <v>Repas Bébé</v>
      </c>
      <c r="D1676" s="20" t="str">
        <f t="array" ref="D1676">xlookup($A1676,product!$A:$A,product!D:D)</f>
        <v>Gourde compote réutilisable</v>
      </c>
      <c r="E1676" s="4" t="str">
        <f t="shared" si="1"/>
        <v>89463-Repas Bébé-Gourde compote réutilisable</v>
      </c>
      <c r="F1676" s="4">
        <v>1.0</v>
      </c>
      <c r="G1676" s="4">
        <v>840.0</v>
      </c>
      <c r="H1676" s="4">
        <v>431.0</v>
      </c>
      <c r="I1676" s="21">
        <f t="array" ref="I1676">XLOOKUP($A1676,product!A:A,product!E:E)</f>
        <v>14.38</v>
      </c>
      <c r="J1676" s="4">
        <f t="shared" si="2"/>
        <v>6197.78</v>
      </c>
      <c r="K1676" s="22">
        <f t="shared" si="3"/>
        <v>1</v>
      </c>
      <c r="L1676" s="4">
        <f t="shared" si="4"/>
        <v>1</v>
      </c>
    </row>
    <row r="1677">
      <c r="A1677" s="23">
        <v>108096.0</v>
      </c>
      <c r="B1677" s="24" t="str">
        <f t="array" ref="B1677">xlookup($A1677,product!$A:$A,product!B:B)</f>
        <v>Enfant</v>
      </c>
      <c r="C1677" s="24" t="str">
        <f t="array" ref="C1677">xlookup($A1677,product!$A:$A,product!C:C)</f>
        <v>Repas Bébé</v>
      </c>
      <c r="D1677" s="24" t="str">
        <f t="array" ref="D1677">xlookup($A1677,product!$A:$A,product!D:D)</f>
        <v>Gourde compote réutilisable</v>
      </c>
      <c r="E1677" s="25" t="str">
        <f t="shared" si="1"/>
        <v>108096-Repas Bébé-Gourde compote réutilisable</v>
      </c>
      <c r="F1677" s="25">
        <v>1.0</v>
      </c>
      <c r="G1677" s="25">
        <v>759.0</v>
      </c>
      <c r="H1677" s="25">
        <v>95.0</v>
      </c>
      <c r="I1677" s="26">
        <f t="array" ref="I1677">XLOOKUP($A1677,product!A:A,product!E:E)</f>
        <v>9.57</v>
      </c>
      <c r="J1677" s="25">
        <f t="shared" si="2"/>
        <v>909.15</v>
      </c>
      <c r="K1677" s="27">
        <f t="shared" si="3"/>
        <v>1</v>
      </c>
      <c r="L1677" s="25">
        <f t="shared" si="4"/>
        <v>1</v>
      </c>
    </row>
    <row r="1678">
      <c r="A1678" s="19">
        <v>70495.0</v>
      </c>
      <c r="B1678" s="20" t="str">
        <f t="array" ref="B1678">xlookup($A1678,product!$A:$A,product!B:B)</f>
        <v>Enfant</v>
      </c>
      <c r="C1678" s="20" t="str">
        <f t="array" ref="C1678">xlookup($A1678,product!$A:$A,product!C:C)</f>
        <v>Repas Bébé</v>
      </c>
      <c r="D1678" s="20" t="str">
        <f t="array" ref="D1678">xlookup($A1678,product!$A:$A,product!D:D)</f>
        <v>Gourde compote réutilisable</v>
      </c>
      <c r="E1678" s="4" t="str">
        <f t="shared" si="1"/>
        <v>70495-Repas Bébé-Gourde compote réutilisable</v>
      </c>
      <c r="F1678" s="4">
        <v>0.0</v>
      </c>
      <c r="G1678" s="4">
        <v>279.0</v>
      </c>
      <c r="H1678" s="4">
        <v>44.0</v>
      </c>
      <c r="I1678" s="21">
        <f t="array" ref="I1678">XLOOKUP($A1678,product!A:A,product!E:E)</f>
        <v>9.57</v>
      </c>
      <c r="J1678" s="4">
        <f t="shared" si="2"/>
        <v>421.08</v>
      </c>
      <c r="K1678" s="22">
        <f t="shared" si="3"/>
        <v>1</v>
      </c>
      <c r="L1678" s="4">
        <f t="shared" si="4"/>
        <v>1</v>
      </c>
    </row>
    <row r="1679">
      <c r="A1679" s="23">
        <v>115733.0</v>
      </c>
      <c r="B1679" s="24" t="str">
        <f t="array" ref="B1679">xlookup($A1679,product!$A:$A,product!B:B)</f>
        <v>Boisson</v>
      </c>
      <c r="C1679" s="24" t="str">
        <f t="array" ref="C1679">xlookup($A1679,product!$A:$A,product!C:C)</f>
        <v>Jus de fruits</v>
      </c>
      <c r="D1679" s="24" t="str">
        <f t="array" ref="D1679">xlookup($A1679,product!$A:$A,product!D:D)</f>
        <v>Jus de citrons bio</v>
      </c>
      <c r="E1679" s="25" t="str">
        <f t="shared" si="1"/>
        <v>115733-Jus de fruits-Jus de citrons bio</v>
      </c>
      <c r="F1679" s="25">
        <v>1.0</v>
      </c>
      <c r="G1679" s="25">
        <v>406.0</v>
      </c>
      <c r="H1679" s="25">
        <v>62.0</v>
      </c>
      <c r="I1679" s="26">
        <f t="array" ref="I1679">XLOOKUP($A1679,product!A:A,product!E:E)</f>
        <v>1.06</v>
      </c>
      <c r="J1679" s="25">
        <f t="shared" si="2"/>
        <v>65.72</v>
      </c>
      <c r="K1679" s="27">
        <f t="shared" si="3"/>
        <v>1</v>
      </c>
      <c r="L1679" s="25">
        <f t="shared" si="4"/>
        <v>1</v>
      </c>
    </row>
    <row r="1680">
      <c r="A1680" s="19">
        <v>26349.0</v>
      </c>
      <c r="B1680" s="20" t="str">
        <f t="array" ref="B1680">xlookup($A1680,product!$A:$A,product!B:B)</f>
        <v>Boisson</v>
      </c>
      <c r="C1680" s="20" t="str">
        <f t="array" ref="C1680">xlookup($A1680,product!$A:$A,product!C:C)</f>
        <v>Jus de fruits</v>
      </c>
      <c r="D1680" s="20" t="str">
        <f t="array" ref="D1680">xlookup($A1680,product!$A:$A,product!D:D)</f>
        <v>Jus de citrons bio</v>
      </c>
      <c r="E1680" s="4" t="str">
        <f t="shared" si="1"/>
        <v>26349-Jus de fruits-Jus de citrons bio</v>
      </c>
      <c r="F1680" s="4">
        <v>1.0</v>
      </c>
      <c r="G1680" s="4">
        <v>751.0</v>
      </c>
      <c r="H1680" s="4">
        <v>317.0</v>
      </c>
      <c r="I1680" s="21">
        <f t="array" ref="I1680">XLOOKUP($A1680,product!A:A,product!E:E)</f>
        <v>1.18</v>
      </c>
      <c r="J1680" s="4">
        <f t="shared" si="2"/>
        <v>374.06</v>
      </c>
      <c r="K1680" s="22">
        <f t="shared" si="3"/>
        <v>1</v>
      </c>
      <c r="L1680" s="4">
        <f t="shared" si="4"/>
        <v>1</v>
      </c>
    </row>
    <row r="1681">
      <c r="A1681" s="23">
        <v>26350.0</v>
      </c>
      <c r="B1681" s="24" t="str">
        <f t="array" ref="B1681">xlookup($A1681,product!$A:$A,product!B:B)</f>
        <v>Boisson</v>
      </c>
      <c r="C1681" s="24" t="str">
        <f t="array" ref="C1681">xlookup($A1681,product!$A:$A,product!C:C)</f>
        <v>Jus de fruits</v>
      </c>
      <c r="D1681" s="24" t="str">
        <f t="array" ref="D1681">xlookup($A1681,product!$A:$A,product!D:D)</f>
        <v>Jus de citrons bio</v>
      </c>
      <c r="E1681" s="25" t="str">
        <f t="shared" si="1"/>
        <v>26350-Jus de fruits-Jus de citrons bio</v>
      </c>
      <c r="F1681" s="25">
        <v>0.0</v>
      </c>
      <c r="G1681" s="25">
        <v>769.0</v>
      </c>
      <c r="H1681" s="25">
        <v>73.0</v>
      </c>
      <c r="I1681" s="26">
        <f t="array" ref="I1681">XLOOKUP($A1681,product!A:A,product!E:E)</f>
        <v>2.01</v>
      </c>
      <c r="J1681" s="25">
        <f t="shared" si="2"/>
        <v>146.73</v>
      </c>
      <c r="K1681" s="27">
        <f t="shared" si="3"/>
        <v>1</v>
      </c>
      <c r="L1681" s="25">
        <f t="shared" si="4"/>
        <v>1</v>
      </c>
    </row>
    <row r="1682">
      <c r="A1682" s="19">
        <v>115724.0</v>
      </c>
      <c r="B1682" s="20" t="str">
        <f t="array" ref="B1682">xlookup($A1682,product!$A:$A,product!B:B)</f>
        <v>Boisson</v>
      </c>
      <c r="C1682" s="20" t="str">
        <f t="array" ref="C1682">xlookup($A1682,product!$A:$A,product!C:C)</f>
        <v>Jus de fruits</v>
      </c>
      <c r="D1682" s="20" t="str">
        <f t="array" ref="D1682">xlookup($A1682,product!$A:$A,product!D:D)</f>
        <v>Jus de citrons bio</v>
      </c>
      <c r="E1682" s="4" t="str">
        <f t="shared" si="1"/>
        <v>115724-Jus de fruits-Jus de citrons bio</v>
      </c>
      <c r="F1682" s="4">
        <v>1.0</v>
      </c>
      <c r="G1682" s="4">
        <v>932.0</v>
      </c>
      <c r="H1682" s="4">
        <v>543.0</v>
      </c>
      <c r="I1682" s="21">
        <f t="array" ref="I1682">XLOOKUP($A1682,product!A:A,product!E:E)</f>
        <v>1.07</v>
      </c>
      <c r="J1682" s="4">
        <f t="shared" si="2"/>
        <v>581.01</v>
      </c>
      <c r="K1682" s="22">
        <f t="shared" si="3"/>
        <v>1</v>
      </c>
      <c r="L1682" s="4">
        <f t="shared" si="4"/>
        <v>1</v>
      </c>
    </row>
    <row r="1683">
      <c r="A1683" s="23">
        <v>115726.0</v>
      </c>
      <c r="B1683" s="24" t="str">
        <f t="array" ref="B1683">xlookup($A1683,product!$A:$A,product!B:B)</f>
        <v>Boisson</v>
      </c>
      <c r="C1683" s="24" t="str">
        <f t="array" ref="C1683">xlookup($A1683,product!$A:$A,product!C:C)</f>
        <v>Jus de fruits</v>
      </c>
      <c r="D1683" s="24" t="str">
        <f t="array" ref="D1683">xlookup($A1683,product!$A:$A,product!D:D)</f>
        <v>Jus de citrons bio</v>
      </c>
      <c r="E1683" s="25" t="str">
        <f t="shared" si="1"/>
        <v>115726-Jus de fruits-Jus de citrons bio</v>
      </c>
      <c r="F1683" s="25">
        <v>0.0</v>
      </c>
      <c r="G1683" s="25">
        <v>326.0</v>
      </c>
      <c r="H1683" s="25">
        <v>17.0</v>
      </c>
      <c r="I1683" s="26">
        <f t="array" ref="I1683">XLOOKUP($A1683,product!A:A,product!E:E)</f>
        <v>2.52</v>
      </c>
      <c r="J1683" s="25">
        <f t="shared" si="2"/>
        <v>42.84</v>
      </c>
      <c r="K1683" s="27">
        <f t="shared" si="3"/>
        <v>1</v>
      </c>
      <c r="L1683" s="25">
        <f t="shared" si="4"/>
        <v>1</v>
      </c>
    </row>
    <row r="1684">
      <c r="A1684" s="19">
        <v>26352.0</v>
      </c>
      <c r="B1684" s="20" t="str">
        <f t="array" ref="B1684">xlookup($A1684,product!$A:$A,product!B:B)</f>
        <v>Boisson</v>
      </c>
      <c r="C1684" s="20" t="str">
        <f t="array" ref="C1684">xlookup($A1684,product!$A:$A,product!C:C)</f>
        <v>Jus de fruits</v>
      </c>
      <c r="D1684" s="20" t="str">
        <f t="array" ref="D1684">xlookup($A1684,product!$A:$A,product!D:D)</f>
        <v>Jus de citrons bio</v>
      </c>
      <c r="E1684" s="4" t="str">
        <f t="shared" si="1"/>
        <v>26352-Jus de fruits-Jus de citrons bio</v>
      </c>
      <c r="F1684" s="4">
        <v>0.0</v>
      </c>
      <c r="G1684" s="4">
        <v>683.0</v>
      </c>
      <c r="H1684" s="4">
        <v>368.0</v>
      </c>
      <c r="I1684" s="21">
        <f t="array" ref="I1684">XLOOKUP($A1684,product!A:A,product!E:E)</f>
        <v>1.57</v>
      </c>
      <c r="J1684" s="4">
        <f t="shared" si="2"/>
        <v>577.76</v>
      </c>
      <c r="K1684" s="22">
        <f t="shared" si="3"/>
        <v>1</v>
      </c>
      <c r="L1684" s="4">
        <f t="shared" si="4"/>
        <v>1</v>
      </c>
    </row>
    <row r="1685">
      <c r="A1685" s="23">
        <v>19782.0</v>
      </c>
      <c r="B1685" s="24" t="str">
        <f t="array" ref="B1685">xlookup($A1685,product!$A:$A,product!B:B)</f>
        <v>Boisson</v>
      </c>
      <c r="C1685" s="24" t="str">
        <f t="array" ref="C1685">xlookup($A1685,product!$A:$A,product!C:C)</f>
        <v>Jus de fruits</v>
      </c>
      <c r="D1685" s="24" t="str">
        <f t="array" ref="D1685">xlookup($A1685,product!$A:$A,product!D:D)</f>
        <v>Jus de pruneau bio</v>
      </c>
      <c r="E1685" s="25" t="str">
        <f t="shared" si="1"/>
        <v>19782-Jus de fruits-Jus de pruneau bio</v>
      </c>
      <c r="F1685" s="25">
        <v>1.0</v>
      </c>
      <c r="G1685" s="25">
        <v>648.0</v>
      </c>
      <c r="H1685" s="25">
        <v>451.0</v>
      </c>
      <c r="I1685" s="26">
        <f t="array" ref="I1685">XLOOKUP($A1685,product!A:A,product!E:E)</f>
        <v>2.97</v>
      </c>
      <c r="J1685" s="25">
        <f t="shared" si="2"/>
        <v>1339.47</v>
      </c>
      <c r="K1685" s="27">
        <f t="shared" si="3"/>
        <v>1</v>
      </c>
      <c r="L1685" s="25">
        <f t="shared" si="4"/>
        <v>1</v>
      </c>
    </row>
    <row r="1686">
      <c r="A1686" s="19">
        <v>19793.0</v>
      </c>
      <c r="B1686" s="20" t="str">
        <f t="array" ref="B1686">xlookup($A1686,product!$A:$A,product!B:B)</f>
        <v>Boisson</v>
      </c>
      <c r="C1686" s="20" t="str">
        <f t="array" ref="C1686">xlookup($A1686,product!$A:$A,product!C:C)</f>
        <v>Jus de fruits</v>
      </c>
      <c r="D1686" s="20" t="str">
        <f t="array" ref="D1686">xlookup($A1686,product!$A:$A,product!D:D)</f>
        <v>Jus de raisins bio</v>
      </c>
      <c r="E1686" s="4" t="str">
        <f t="shared" si="1"/>
        <v>19793-Jus de fruits-Jus de raisins bio</v>
      </c>
      <c r="F1686" s="4">
        <v>1.0</v>
      </c>
      <c r="G1686" s="4">
        <v>811.0</v>
      </c>
      <c r="H1686" s="4">
        <v>195.0</v>
      </c>
      <c r="I1686" s="21">
        <f t="array" ref="I1686">XLOOKUP($A1686,product!A:A,product!E:E)</f>
        <v>0.62</v>
      </c>
      <c r="J1686" s="4">
        <f t="shared" si="2"/>
        <v>120.9</v>
      </c>
      <c r="K1686" s="22">
        <f t="shared" si="3"/>
        <v>1</v>
      </c>
      <c r="L1686" s="4">
        <f t="shared" si="4"/>
        <v>1</v>
      </c>
    </row>
    <row r="1687">
      <c r="A1687" s="23">
        <v>87604.0</v>
      </c>
      <c r="B1687" s="24" t="str">
        <f t="array" ref="B1687">xlookup($A1687,product!$A:$A,product!B:B)</f>
        <v>Boisson</v>
      </c>
      <c r="C1687" s="24" t="str">
        <f t="array" ref="C1687">xlookup($A1687,product!$A:$A,product!C:C)</f>
        <v>Jus de fruits</v>
      </c>
      <c r="D1687" s="24" t="str">
        <f t="array" ref="D1687">xlookup($A1687,product!$A:$A,product!D:D)</f>
        <v>Jus de raisins bio</v>
      </c>
      <c r="E1687" s="25" t="str">
        <f t="shared" si="1"/>
        <v>87604-Jus de fruits-Jus de raisins bio</v>
      </c>
      <c r="F1687" s="25">
        <v>1.0</v>
      </c>
      <c r="G1687" s="25">
        <v>670.0</v>
      </c>
      <c r="H1687" s="25">
        <v>269.0</v>
      </c>
      <c r="I1687" s="26">
        <f t="array" ref="I1687">XLOOKUP($A1687,product!A:A,product!E:E)</f>
        <v>2.14</v>
      </c>
      <c r="J1687" s="25">
        <f t="shared" si="2"/>
        <v>575.66</v>
      </c>
      <c r="K1687" s="27">
        <f t="shared" si="3"/>
        <v>1</v>
      </c>
      <c r="L1687" s="25">
        <f t="shared" si="4"/>
        <v>1</v>
      </c>
    </row>
    <row r="1688">
      <c r="A1688" s="19">
        <v>29931.0</v>
      </c>
      <c r="B1688" s="20" t="str">
        <f t="array" ref="B1688">xlookup($A1688,product!$A:$A,product!B:B)</f>
        <v>Boisson</v>
      </c>
      <c r="C1688" s="20" t="str">
        <f t="array" ref="C1688">xlookup($A1688,product!$A:$A,product!C:C)</f>
        <v>Jus de fruits</v>
      </c>
      <c r="D1688" s="20" t="str">
        <f t="array" ref="D1688">xlookup($A1688,product!$A:$A,product!D:D)</f>
        <v>Jus de superfruits</v>
      </c>
      <c r="E1688" s="4" t="str">
        <f t="shared" si="1"/>
        <v>29931-Jus de fruits-Jus de superfruits</v>
      </c>
      <c r="F1688" s="4">
        <v>0.0</v>
      </c>
      <c r="G1688" s="4">
        <v>386.0</v>
      </c>
      <c r="H1688" s="4">
        <v>67.0</v>
      </c>
      <c r="I1688" s="21">
        <f t="array" ref="I1688">XLOOKUP($A1688,product!A:A,product!E:E)</f>
        <v>3.41</v>
      </c>
      <c r="J1688" s="4">
        <f t="shared" si="2"/>
        <v>228.47</v>
      </c>
      <c r="K1688" s="22">
        <f t="shared" si="3"/>
        <v>1</v>
      </c>
      <c r="L1688" s="4">
        <f t="shared" si="4"/>
        <v>1</v>
      </c>
    </row>
    <row r="1689">
      <c r="A1689" s="23">
        <v>9335.0</v>
      </c>
      <c r="B1689" s="24" t="str">
        <f t="array" ref="B1689">xlookup($A1689,product!$A:$A,product!B:B)</f>
        <v>Boisson</v>
      </c>
      <c r="C1689" s="24" t="str">
        <f t="array" ref="C1689">xlookup($A1689,product!$A:$A,product!C:C)</f>
        <v>Jus de fruits</v>
      </c>
      <c r="D1689" s="24" t="str">
        <f t="array" ref="D1689">xlookup($A1689,product!$A:$A,product!D:D)</f>
        <v>Jus de superfruits</v>
      </c>
      <c r="E1689" s="25" t="str">
        <f t="shared" si="1"/>
        <v>9335-Jus de fruits-Jus de superfruits</v>
      </c>
      <c r="F1689" s="25">
        <v>1.0</v>
      </c>
      <c r="G1689" s="25">
        <v>935.0</v>
      </c>
      <c r="H1689" s="25">
        <v>52.0</v>
      </c>
      <c r="I1689" s="26">
        <f t="array" ref="I1689">XLOOKUP($A1689,product!A:A,product!E:E)</f>
        <v>8.85</v>
      </c>
      <c r="J1689" s="25">
        <f t="shared" si="2"/>
        <v>460.2</v>
      </c>
      <c r="K1689" s="27">
        <f t="shared" si="3"/>
        <v>1</v>
      </c>
      <c r="L1689" s="25">
        <f t="shared" si="4"/>
        <v>1</v>
      </c>
    </row>
    <row r="1690">
      <c r="A1690" s="19">
        <v>88722.0</v>
      </c>
      <c r="B1690" s="20" t="str">
        <f t="array" ref="B1690">xlookup($A1690,product!$A:$A,product!B:B)</f>
        <v>Boisson</v>
      </c>
      <c r="C1690" s="20" t="str">
        <f t="array" ref="C1690">xlookup($A1690,product!$A:$A,product!C:C)</f>
        <v>Jus de fruits</v>
      </c>
      <c r="D1690" s="20" t="str">
        <f t="array" ref="D1690">xlookup($A1690,product!$A:$A,product!D:D)</f>
        <v>Jus multifruits bio</v>
      </c>
      <c r="E1690" s="4" t="str">
        <f t="shared" si="1"/>
        <v>88722-Jus de fruits-Jus multifruits bio</v>
      </c>
      <c r="F1690" s="4">
        <v>1.0</v>
      </c>
      <c r="G1690" s="4">
        <v>962.0</v>
      </c>
      <c r="H1690" s="4">
        <v>189.0</v>
      </c>
      <c r="I1690" s="21">
        <f t="array" ref="I1690">XLOOKUP($A1690,product!A:A,product!E:E)</f>
        <v>0.96</v>
      </c>
      <c r="J1690" s="4">
        <f t="shared" si="2"/>
        <v>181.44</v>
      </c>
      <c r="K1690" s="22">
        <f t="shared" si="3"/>
        <v>1</v>
      </c>
      <c r="L1690" s="4">
        <f t="shared" si="4"/>
        <v>1</v>
      </c>
    </row>
    <row r="1691">
      <c r="A1691" s="23">
        <v>121865.0</v>
      </c>
      <c r="B1691" s="24" t="str">
        <f t="array" ref="B1691">xlookup($A1691,product!$A:$A,product!B:B)</f>
        <v>Boisson</v>
      </c>
      <c r="C1691" s="24" t="str">
        <f t="array" ref="C1691">xlookup($A1691,product!$A:$A,product!C:C)</f>
        <v>Jus de fruits</v>
      </c>
      <c r="D1691" s="24" t="str">
        <f t="array" ref="D1691">xlookup($A1691,product!$A:$A,product!D:D)</f>
        <v>Jus multifruits bio</v>
      </c>
      <c r="E1691" s="25" t="str">
        <f t="shared" si="1"/>
        <v>121865-Jus de fruits-Jus multifruits bio</v>
      </c>
      <c r="F1691" s="25">
        <v>0.0</v>
      </c>
      <c r="G1691" s="25">
        <v>145.0</v>
      </c>
      <c r="H1691" s="25">
        <v>99.0</v>
      </c>
      <c r="I1691" s="26">
        <f t="array" ref="I1691">XLOOKUP($A1691,product!A:A,product!E:E)</f>
        <v>2.01</v>
      </c>
      <c r="J1691" s="25">
        <f t="shared" si="2"/>
        <v>198.99</v>
      </c>
      <c r="K1691" s="27">
        <f t="shared" si="3"/>
        <v>1</v>
      </c>
      <c r="L1691" s="25">
        <f t="shared" si="4"/>
        <v>1</v>
      </c>
    </row>
    <row r="1692">
      <c r="A1692" s="19">
        <v>100934.0</v>
      </c>
      <c r="B1692" s="20" t="str">
        <f t="array" ref="B1692">xlookup($A1692,product!$A:$A,product!B:B)</f>
        <v>Boisson</v>
      </c>
      <c r="C1692" s="20" t="str">
        <f t="array" ref="C1692">xlookup($A1692,product!$A:$A,product!C:C)</f>
        <v>Jus de fruits</v>
      </c>
      <c r="D1692" s="20" t="str">
        <f t="array" ref="D1692">xlookup($A1692,product!$A:$A,product!D:D)</f>
        <v>Jus multifruits bio</v>
      </c>
      <c r="E1692" s="4" t="str">
        <f t="shared" si="1"/>
        <v>100934-Jus de fruits-Jus multifruits bio</v>
      </c>
      <c r="F1692" s="4">
        <v>0.0</v>
      </c>
      <c r="G1692" s="4">
        <v>905.0</v>
      </c>
      <c r="H1692" s="4">
        <v>327.0</v>
      </c>
      <c r="I1692" s="21">
        <f t="array" ref="I1692">XLOOKUP($A1692,product!A:A,product!E:E)</f>
        <v>6.82</v>
      </c>
      <c r="J1692" s="4">
        <f t="shared" si="2"/>
        <v>2230.14</v>
      </c>
      <c r="K1692" s="22">
        <f t="shared" si="3"/>
        <v>1</v>
      </c>
      <c r="L1692" s="4">
        <f t="shared" si="4"/>
        <v>1</v>
      </c>
    </row>
    <row r="1693">
      <c r="A1693" s="23">
        <v>117116.0</v>
      </c>
      <c r="B1693" s="24" t="str">
        <f t="array" ref="B1693">xlookup($A1693,product!$A:$A,product!B:B)</f>
        <v>Boisson</v>
      </c>
      <c r="C1693" s="24" t="str">
        <f t="array" ref="C1693">xlookup($A1693,product!$A:$A,product!C:C)</f>
        <v>Jus de fruits</v>
      </c>
      <c r="D1693" s="24" t="str">
        <f t="array" ref="D1693">xlookup($A1693,product!$A:$A,product!D:D)</f>
        <v>Jus multifruits bio</v>
      </c>
      <c r="E1693" s="25" t="str">
        <f t="shared" si="1"/>
        <v>117116-Jus de fruits-Jus multifruits bio</v>
      </c>
      <c r="F1693" s="25">
        <v>0.0</v>
      </c>
      <c r="G1693" s="25">
        <v>849.0</v>
      </c>
      <c r="H1693" s="25">
        <v>264.0</v>
      </c>
      <c r="I1693" s="26">
        <f t="array" ref="I1693">XLOOKUP($A1693,product!A:A,product!E:E)</f>
        <v>1.87</v>
      </c>
      <c r="J1693" s="25">
        <f t="shared" si="2"/>
        <v>493.68</v>
      </c>
      <c r="K1693" s="27">
        <f t="shared" si="3"/>
        <v>1</v>
      </c>
      <c r="L1693" s="25">
        <f t="shared" si="4"/>
        <v>1</v>
      </c>
    </row>
    <row r="1694">
      <c r="A1694" s="19">
        <v>19802.0</v>
      </c>
      <c r="B1694" s="20" t="str">
        <f t="array" ref="B1694">xlookup($A1694,product!$A:$A,product!B:B)</f>
        <v>Boisson</v>
      </c>
      <c r="C1694" s="20" t="str">
        <f t="array" ref="C1694">xlookup($A1694,product!$A:$A,product!C:C)</f>
        <v>Jus de fruits</v>
      </c>
      <c r="D1694" s="20" t="str">
        <f t="array" ref="D1694">xlookup($A1694,product!$A:$A,product!D:D)</f>
        <v>Jus multifruits bio</v>
      </c>
      <c r="E1694" s="4" t="str">
        <f t="shared" si="1"/>
        <v>19802-Jus de fruits-Jus multifruits bio</v>
      </c>
      <c r="F1694" s="4">
        <v>1.0</v>
      </c>
      <c r="G1694" s="4">
        <v>211.0</v>
      </c>
      <c r="H1694" s="4">
        <v>112.0</v>
      </c>
      <c r="I1694" s="21">
        <f t="array" ref="I1694">XLOOKUP($A1694,product!A:A,product!E:E)</f>
        <v>2.32</v>
      </c>
      <c r="J1694" s="4">
        <f t="shared" si="2"/>
        <v>259.84</v>
      </c>
      <c r="K1694" s="22">
        <f t="shared" si="3"/>
        <v>1</v>
      </c>
      <c r="L1694" s="4">
        <f t="shared" si="4"/>
        <v>1</v>
      </c>
    </row>
    <row r="1695">
      <c r="A1695" s="23">
        <v>81780.0</v>
      </c>
      <c r="B1695" s="24" t="str">
        <f t="array" ref="B1695">xlookup($A1695,product!$A:$A,product!B:B)</f>
        <v>Boisson</v>
      </c>
      <c r="C1695" s="24" t="str">
        <f t="array" ref="C1695">xlookup($A1695,product!$A:$A,product!C:C)</f>
        <v>Jus de fruits</v>
      </c>
      <c r="D1695" s="24" t="str">
        <f t="array" ref="D1695">xlookup($A1695,product!$A:$A,product!D:D)</f>
        <v>Jus multifruits bio</v>
      </c>
      <c r="E1695" s="25" t="str">
        <f t="shared" si="1"/>
        <v>81780-Jus de fruits-Jus multifruits bio</v>
      </c>
      <c r="F1695" s="25">
        <v>1.0</v>
      </c>
      <c r="G1695" s="25">
        <v>515.0</v>
      </c>
      <c r="H1695" s="25">
        <v>111.0</v>
      </c>
      <c r="I1695" s="26">
        <f t="array" ref="I1695">XLOOKUP($A1695,product!A:A,product!E:E)</f>
        <v>1.92</v>
      </c>
      <c r="J1695" s="25">
        <f t="shared" si="2"/>
        <v>213.12</v>
      </c>
      <c r="K1695" s="27">
        <f t="shared" si="3"/>
        <v>1</v>
      </c>
      <c r="L1695" s="25">
        <f t="shared" si="4"/>
        <v>1</v>
      </c>
    </row>
    <row r="1696">
      <c r="A1696" s="19">
        <v>117094.0</v>
      </c>
      <c r="B1696" s="20" t="str">
        <f t="array" ref="B1696">xlookup($A1696,product!$A:$A,product!B:B)</f>
        <v>Boisson</v>
      </c>
      <c r="C1696" s="20" t="str">
        <f t="array" ref="C1696">xlookup($A1696,product!$A:$A,product!C:C)</f>
        <v>Jus de fruits</v>
      </c>
      <c r="D1696" s="20" t="str">
        <f t="array" ref="D1696">xlookup($A1696,product!$A:$A,product!D:D)</f>
        <v>Jus multifruits bio</v>
      </c>
      <c r="E1696" s="4" t="str">
        <f t="shared" si="1"/>
        <v>117094-Jus de fruits-Jus multifruits bio</v>
      </c>
      <c r="F1696" s="4">
        <v>0.0</v>
      </c>
      <c r="G1696" s="4">
        <v>978.0</v>
      </c>
      <c r="H1696" s="4">
        <v>347.0</v>
      </c>
      <c r="I1696" s="21">
        <f t="array" ref="I1696">XLOOKUP($A1696,product!A:A,product!E:E)</f>
        <v>6.27</v>
      </c>
      <c r="J1696" s="4">
        <f t="shared" si="2"/>
        <v>2175.69</v>
      </c>
      <c r="K1696" s="22">
        <f t="shared" si="3"/>
        <v>1</v>
      </c>
      <c r="L1696" s="4">
        <f t="shared" si="4"/>
        <v>1</v>
      </c>
    </row>
    <row r="1697">
      <c r="A1697" s="23">
        <v>19797.0</v>
      </c>
      <c r="B1697" s="24" t="str">
        <f t="array" ref="B1697">xlookup($A1697,product!$A:$A,product!B:B)</f>
        <v>Boisson</v>
      </c>
      <c r="C1697" s="24" t="str">
        <f t="array" ref="C1697">xlookup($A1697,product!$A:$A,product!C:C)</f>
        <v>Jus de fruits</v>
      </c>
      <c r="D1697" s="24" t="str">
        <f t="array" ref="D1697">xlookup($A1697,product!$A:$A,product!D:D)</f>
        <v>Jus multifruits bio</v>
      </c>
      <c r="E1697" s="25" t="str">
        <f t="shared" si="1"/>
        <v>19797-Jus de fruits-Jus multifruits bio</v>
      </c>
      <c r="F1697" s="25">
        <v>0.0</v>
      </c>
      <c r="G1697" s="25">
        <v>748.0</v>
      </c>
      <c r="H1697" s="25">
        <v>684.0</v>
      </c>
      <c r="I1697" s="26">
        <f t="array" ref="I1697">XLOOKUP($A1697,product!A:A,product!E:E)</f>
        <v>0.64</v>
      </c>
      <c r="J1697" s="25">
        <f t="shared" si="2"/>
        <v>437.76</v>
      </c>
      <c r="K1697" s="27">
        <f t="shared" si="3"/>
        <v>1</v>
      </c>
      <c r="L1697" s="25">
        <f t="shared" si="4"/>
        <v>1</v>
      </c>
    </row>
    <row r="1698">
      <c r="A1698" s="19">
        <v>86131.0</v>
      </c>
      <c r="B1698" s="20" t="str">
        <f t="array" ref="B1698">xlookup($A1698,product!$A:$A,product!B:B)</f>
        <v>Boisson</v>
      </c>
      <c r="C1698" s="20" t="str">
        <f t="array" ref="C1698">xlookup($A1698,product!$A:$A,product!C:C)</f>
        <v>Jus de fruits</v>
      </c>
      <c r="D1698" s="20" t="str">
        <f t="array" ref="D1698">xlookup($A1698,product!$A:$A,product!D:D)</f>
        <v>Jus multifruits bio</v>
      </c>
      <c r="E1698" s="4" t="str">
        <f t="shared" si="1"/>
        <v>86131-Jus de fruits-Jus multifruits bio</v>
      </c>
      <c r="F1698" s="4">
        <v>1.0</v>
      </c>
      <c r="G1698" s="4">
        <v>312.0</v>
      </c>
      <c r="H1698" s="4">
        <v>278.0</v>
      </c>
      <c r="I1698" s="21">
        <f t="array" ref="I1698">XLOOKUP($A1698,product!A:A,product!E:E)</f>
        <v>4.05</v>
      </c>
      <c r="J1698" s="4">
        <f t="shared" si="2"/>
        <v>1125.9</v>
      </c>
      <c r="K1698" s="22">
        <f t="shared" si="3"/>
        <v>1</v>
      </c>
      <c r="L1698" s="4">
        <f t="shared" si="4"/>
        <v>1</v>
      </c>
    </row>
    <row r="1699">
      <c r="A1699" s="23">
        <v>121864.0</v>
      </c>
      <c r="B1699" s="24" t="str">
        <f t="array" ref="B1699">xlookup($A1699,product!$A:$A,product!B:B)</f>
        <v>Boisson</v>
      </c>
      <c r="C1699" s="24" t="str">
        <f t="array" ref="C1699">xlookup($A1699,product!$A:$A,product!C:C)</f>
        <v>Jus de fruits</v>
      </c>
      <c r="D1699" s="24" t="str">
        <f t="array" ref="D1699">xlookup($A1699,product!$A:$A,product!D:D)</f>
        <v>Jus multifruits bio</v>
      </c>
      <c r="E1699" s="25" t="str">
        <f t="shared" si="1"/>
        <v>121864-Jus de fruits-Jus multifruits bio</v>
      </c>
      <c r="F1699" s="25">
        <v>1.0</v>
      </c>
      <c r="G1699" s="25">
        <v>179.0</v>
      </c>
      <c r="H1699" s="25">
        <v>164.0</v>
      </c>
      <c r="I1699" s="26">
        <f t="array" ref="I1699">XLOOKUP($A1699,product!A:A,product!E:E)</f>
        <v>2.41</v>
      </c>
      <c r="J1699" s="25">
        <f t="shared" si="2"/>
        <v>395.24</v>
      </c>
      <c r="K1699" s="27">
        <f t="shared" si="3"/>
        <v>1</v>
      </c>
      <c r="L1699" s="25">
        <f t="shared" si="4"/>
        <v>1</v>
      </c>
    </row>
    <row r="1700">
      <c r="A1700" s="19">
        <v>15061.0</v>
      </c>
      <c r="B1700" s="20" t="str">
        <f t="array" ref="B1700">xlookup($A1700,product!$A:$A,product!B:B)</f>
        <v>Boisson</v>
      </c>
      <c r="C1700" s="20" t="str">
        <f t="array" ref="C1700">xlookup($A1700,product!$A:$A,product!C:C)</f>
        <v>Jus de fruits</v>
      </c>
      <c r="D1700" s="20" t="str">
        <f t="array" ref="D1700">xlookup($A1700,product!$A:$A,product!D:D)</f>
        <v>Jus de fruits rouge bio</v>
      </c>
      <c r="E1700" s="4" t="str">
        <f t="shared" si="1"/>
        <v>15061-Jus de fruits-Jus de fruits rouge bio</v>
      </c>
      <c r="F1700" s="4">
        <v>0.0</v>
      </c>
      <c r="G1700" s="4">
        <v>284.0</v>
      </c>
      <c r="H1700" s="4">
        <v>106.0</v>
      </c>
      <c r="I1700" s="21">
        <f t="array" ref="I1700">XLOOKUP($A1700,product!A:A,product!E:E)</f>
        <v>5.18</v>
      </c>
      <c r="J1700" s="4">
        <f t="shared" si="2"/>
        <v>549.08</v>
      </c>
      <c r="K1700" s="22">
        <f t="shared" si="3"/>
        <v>1</v>
      </c>
      <c r="L1700" s="4">
        <f t="shared" si="4"/>
        <v>1</v>
      </c>
    </row>
    <row r="1701">
      <c r="A1701" s="23">
        <v>79929.0</v>
      </c>
      <c r="B1701" s="24" t="str">
        <f t="array" ref="B1701">xlookup($A1701,product!$A:$A,product!B:B)</f>
        <v>Boisson</v>
      </c>
      <c r="C1701" s="24" t="str">
        <f t="array" ref="C1701">xlookup($A1701,product!$A:$A,product!C:C)</f>
        <v>Jus de fruits</v>
      </c>
      <c r="D1701" s="24" t="str">
        <f t="array" ref="D1701">xlookup($A1701,product!$A:$A,product!D:D)</f>
        <v>Jus de fruits exotiques bio</v>
      </c>
      <c r="E1701" s="25" t="str">
        <f t="shared" si="1"/>
        <v>79929-Jus de fruits-Jus de fruits exotiques bio</v>
      </c>
      <c r="F1701" s="25">
        <v>0.0</v>
      </c>
      <c r="G1701" s="25">
        <v>626.0</v>
      </c>
      <c r="H1701" s="25">
        <v>611.0</v>
      </c>
      <c r="I1701" s="26">
        <f t="array" ref="I1701">XLOOKUP($A1701,product!A:A,product!E:E)</f>
        <v>3.14</v>
      </c>
      <c r="J1701" s="25">
        <f t="shared" si="2"/>
        <v>1918.54</v>
      </c>
      <c r="K1701" s="27">
        <f t="shared" si="3"/>
        <v>1</v>
      </c>
      <c r="L1701" s="25">
        <f t="shared" si="4"/>
        <v>1</v>
      </c>
    </row>
    <row r="1702">
      <c r="A1702" s="19">
        <v>19792.0</v>
      </c>
      <c r="B1702" s="20" t="str">
        <f t="array" ref="B1702">xlookup($A1702,product!$A:$A,product!B:B)</f>
        <v>Boisson</v>
      </c>
      <c r="C1702" s="20" t="str">
        <f t="array" ref="C1702">xlookup($A1702,product!$A:$A,product!C:C)</f>
        <v>Jus de fruits</v>
      </c>
      <c r="D1702" s="20" t="str">
        <f t="array" ref="D1702">xlookup($A1702,product!$A:$A,product!D:D)</f>
        <v>Jus de pommes et poires bio</v>
      </c>
      <c r="E1702" s="4" t="str">
        <f t="shared" si="1"/>
        <v>19792-Jus de fruits-Jus de pommes et poires bio</v>
      </c>
      <c r="F1702" s="4">
        <v>0.0</v>
      </c>
      <c r="G1702" s="4">
        <v>750.0</v>
      </c>
      <c r="H1702" s="4">
        <v>110.0</v>
      </c>
      <c r="I1702" s="21">
        <f t="array" ref="I1702">XLOOKUP($A1702,product!A:A,product!E:E)</f>
        <v>0.67</v>
      </c>
      <c r="J1702" s="4">
        <f t="shared" si="2"/>
        <v>73.7</v>
      </c>
      <c r="K1702" s="22">
        <f t="shared" si="3"/>
        <v>1</v>
      </c>
      <c r="L1702" s="4">
        <f t="shared" si="4"/>
        <v>1</v>
      </c>
    </row>
    <row r="1703">
      <c r="A1703" s="23">
        <v>108805.0</v>
      </c>
      <c r="B1703" s="24" t="str">
        <f t="array" ref="B1703">xlookup($A1703,product!$A:$A,product!B:B)</f>
        <v>Boisson</v>
      </c>
      <c r="C1703" s="24" t="str">
        <f t="array" ref="C1703">xlookup($A1703,product!$A:$A,product!C:C)</f>
        <v>Jus de fruits</v>
      </c>
      <c r="D1703" s="24" t="str">
        <f t="array" ref="D1703">xlookup($A1703,product!$A:$A,product!D:D)</f>
        <v>Jus de pommes et poires bio</v>
      </c>
      <c r="E1703" s="25" t="str">
        <f t="shared" si="1"/>
        <v>108805-Jus de fruits-Jus de pommes et poires bio</v>
      </c>
      <c r="F1703" s="25">
        <v>0.0</v>
      </c>
      <c r="G1703" s="25">
        <v>118.0</v>
      </c>
      <c r="H1703" s="25">
        <v>42.0</v>
      </c>
      <c r="I1703" s="26">
        <f t="array" ref="I1703">XLOOKUP($A1703,product!A:A,product!E:E)</f>
        <v>5.38</v>
      </c>
      <c r="J1703" s="25">
        <f t="shared" si="2"/>
        <v>225.96</v>
      </c>
      <c r="K1703" s="27">
        <f t="shared" si="3"/>
        <v>1</v>
      </c>
      <c r="L1703" s="25">
        <f t="shared" si="4"/>
        <v>1</v>
      </c>
    </row>
    <row r="1704">
      <c r="A1704" s="19">
        <v>71689.0</v>
      </c>
      <c r="B1704" s="20" t="str">
        <f t="array" ref="B1704">xlookup($A1704,product!$A:$A,product!B:B)</f>
        <v>Boisson</v>
      </c>
      <c r="C1704" s="20" t="str">
        <f t="array" ref="C1704">xlookup($A1704,product!$A:$A,product!C:C)</f>
        <v>Jus de fruits</v>
      </c>
      <c r="D1704" s="20" t="str">
        <f t="array" ref="D1704">xlookup($A1704,product!$A:$A,product!D:D)</f>
        <v>Jus de pommes et poires bio</v>
      </c>
      <c r="E1704" s="4" t="str">
        <f t="shared" si="1"/>
        <v>71689-Jus de fruits-Jus de pommes et poires bio</v>
      </c>
      <c r="F1704" s="4">
        <v>0.0</v>
      </c>
      <c r="G1704" s="4">
        <v>448.0</v>
      </c>
      <c r="H1704" s="4">
        <v>4.0</v>
      </c>
      <c r="I1704" s="21">
        <f t="array" ref="I1704">XLOOKUP($A1704,product!A:A,product!E:E)</f>
        <v>2.45</v>
      </c>
      <c r="J1704" s="4">
        <f t="shared" si="2"/>
        <v>9.8</v>
      </c>
      <c r="K1704" s="22">
        <f t="shared" si="3"/>
        <v>1</v>
      </c>
      <c r="L1704" s="4">
        <f t="shared" si="4"/>
        <v>1</v>
      </c>
    </row>
    <row r="1705">
      <c r="A1705" s="23">
        <v>71718.0</v>
      </c>
      <c r="B1705" s="24" t="str">
        <f t="array" ref="B1705">xlookup($A1705,product!$A:$A,product!B:B)</f>
        <v>Boisson</v>
      </c>
      <c r="C1705" s="24" t="str">
        <f t="array" ref="C1705">xlookup($A1705,product!$A:$A,product!C:C)</f>
        <v>Jus de fruits</v>
      </c>
      <c r="D1705" s="24" t="str">
        <f t="array" ref="D1705">xlookup($A1705,product!$A:$A,product!D:D)</f>
        <v>Jus de pommes et poires bio</v>
      </c>
      <c r="E1705" s="25" t="str">
        <f t="shared" si="1"/>
        <v>71718-Jus de fruits-Jus de pommes et poires bio</v>
      </c>
      <c r="F1705" s="25">
        <v>0.0</v>
      </c>
      <c r="G1705" s="25">
        <v>243.0</v>
      </c>
      <c r="H1705" s="25">
        <v>24.0</v>
      </c>
      <c r="I1705" s="26">
        <f t="array" ref="I1705">XLOOKUP($A1705,product!A:A,product!E:E)</f>
        <v>4.87</v>
      </c>
      <c r="J1705" s="25">
        <f t="shared" si="2"/>
        <v>116.88</v>
      </c>
      <c r="K1705" s="27">
        <f t="shared" si="3"/>
        <v>1</v>
      </c>
      <c r="L1705" s="25">
        <f t="shared" si="4"/>
        <v>1</v>
      </c>
    </row>
    <row r="1706">
      <c r="A1706" s="19">
        <v>19752.0</v>
      </c>
      <c r="B1706" s="20" t="str">
        <f t="array" ref="B1706">xlookup($A1706,product!$A:$A,product!B:B)</f>
        <v>Boisson</v>
      </c>
      <c r="C1706" s="20" t="str">
        <f t="array" ref="C1706">xlookup($A1706,product!$A:$A,product!C:C)</f>
        <v>Jus de fruits</v>
      </c>
      <c r="D1706" s="20" t="str">
        <f t="array" ref="D1706">xlookup($A1706,product!$A:$A,product!D:D)</f>
        <v>Jus de pommes et poires bio</v>
      </c>
      <c r="E1706" s="4" t="str">
        <f t="shared" si="1"/>
        <v>19752-Jus de fruits-Jus de pommes et poires bio</v>
      </c>
      <c r="F1706" s="4">
        <v>0.0</v>
      </c>
      <c r="G1706" s="4">
        <v>598.0</v>
      </c>
      <c r="H1706" s="4">
        <v>259.0</v>
      </c>
      <c r="I1706" s="21">
        <f t="array" ref="I1706">XLOOKUP($A1706,product!A:A,product!E:E)</f>
        <v>1.75</v>
      </c>
      <c r="J1706" s="4">
        <f t="shared" si="2"/>
        <v>453.25</v>
      </c>
      <c r="K1706" s="22">
        <f t="shared" si="3"/>
        <v>1</v>
      </c>
      <c r="L1706" s="4">
        <f t="shared" si="4"/>
        <v>1</v>
      </c>
    </row>
    <row r="1707">
      <c r="A1707" s="23">
        <v>116205.0</v>
      </c>
      <c r="B1707" s="24" t="str">
        <f t="array" ref="B1707">xlookup($A1707,product!$A:$A,product!B:B)</f>
        <v>Boisson</v>
      </c>
      <c r="C1707" s="24" t="str">
        <f t="array" ref="C1707">xlookup($A1707,product!$A:$A,product!C:C)</f>
        <v>Jus de fruits</v>
      </c>
      <c r="D1707" s="24" t="str">
        <f t="array" ref="D1707">xlookup($A1707,product!$A:$A,product!D:D)</f>
        <v>Jus de pommes et poires bio</v>
      </c>
      <c r="E1707" s="25" t="str">
        <f t="shared" si="1"/>
        <v>116205-Jus de fruits-Jus de pommes et poires bio</v>
      </c>
      <c r="F1707" s="25">
        <v>0.0</v>
      </c>
      <c r="G1707" s="25">
        <v>869.0</v>
      </c>
      <c r="H1707" s="25">
        <v>799.0</v>
      </c>
      <c r="I1707" s="26">
        <f t="array" ref="I1707">XLOOKUP($A1707,product!A:A,product!E:E)</f>
        <v>2.22</v>
      </c>
      <c r="J1707" s="25">
        <f t="shared" si="2"/>
        <v>1773.78</v>
      </c>
      <c r="K1707" s="27">
        <f t="shared" si="3"/>
        <v>1</v>
      </c>
      <c r="L1707" s="25">
        <f t="shared" si="4"/>
        <v>1</v>
      </c>
    </row>
    <row r="1708">
      <c r="A1708" s="19">
        <v>117113.0</v>
      </c>
      <c r="B1708" s="20" t="str">
        <f t="array" ref="B1708">xlookup($A1708,product!$A:$A,product!B:B)</f>
        <v>Boisson</v>
      </c>
      <c r="C1708" s="20" t="str">
        <f t="array" ref="C1708">xlookup($A1708,product!$A:$A,product!C:C)</f>
        <v>Jus de fruits</v>
      </c>
      <c r="D1708" s="20" t="str">
        <f t="array" ref="D1708">xlookup($A1708,product!$A:$A,product!D:D)</f>
        <v>Jus de pommes et poires bio</v>
      </c>
      <c r="E1708" s="4" t="str">
        <f t="shared" si="1"/>
        <v>117113-Jus de fruits-Jus de pommes et poires bio</v>
      </c>
      <c r="F1708" s="4">
        <v>1.0</v>
      </c>
      <c r="G1708" s="4">
        <v>228.0</v>
      </c>
      <c r="H1708" s="4">
        <v>137.0</v>
      </c>
      <c r="I1708" s="21">
        <f t="array" ref="I1708">XLOOKUP($A1708,product!A:A,product!E:E)</f>
        <v>1.74</v>
      </c>
      <c r="J1708" s="4">
        <f t="shared" si="2"/>
        <v>238.38</v>
      </c>
      <c r="K1708" s="22">
        <f t="shared" si="3"/>
        <v>1</v>
      </c>
      <c r="L1708" s="4">
        <f t="shared" si="4"/>
        <v>1</v>
      </c>
    </row>
    <row r="1709">
      <c r="A1709" s="23">
        <v>71716.0</v>
      </c>
      <c r="B1709" s="24" t="str">
        <f t="array" ref="B1709">xlookup($A1709,product!$A:$A,product!B:B)</f>
        <v>Boisson</v>
      </c>
      <c r="C1709" s="24" t="str">
        <f t="array" ref="C1709">xlookup($A1709,product!$A:$A,product!C:C)</f>
        <v>Jus de fruits</v>
      </c>
      <c r="D1709" s="24" t="str">
        <f t="array" ref="D1709">xlookup($A1709,product!$A:$A,product!D:D)</f>
        <v>Jus de pommes et poires bio</v>
      </c>
      <c r="E1709" s="25" t="str">
        <f t="shared" si="1"/>
        <v>71716-Jus de fruits-Jus de pommes et poires bio</v>
      </c>
      <c r="F1709" s="25">
        <v>0.0</v>
      </c>
      <c r="G1709" s="25">
        <v>456.0</v>
      </c>
      <c r="H1709" s="25">
        <v>235.0</v>
      </c>
      <c r="I1709" s="26">
        <f t="array" ref="I1709">XLOOKUP($A1709,product!A:A,product!E:E)</f>
        <v>5.39</v>
      </c>
      <c r="J1709" s="25">
        <f t="shared" si="2"/>
        <v>1266.65</v>
      </c>
      <c r="K1709" s="27">
        <f t="shared" si="3"/>
        <v>1</v>
      </c>
      <c r="L1709" s="25">
        <f t="shared" si="4"/>
        <v>1</v>
      </c>
    </row>
    <row r="1710">
      <c r="A1710" s="19">
        <v>44398.0</v>
      </c>
      <c r="B1710" s="20" t="str">
        <f t="array" ref="B1710">xlookup($A1710,product!$A:$A,product!B:B)</f>
        <v>Boisson</v>
      </c>
      <c r="C1710" s="20" t="str">
        <f t="array" ref="C1710">xlookup($A1710,product!$A:$A,product!C:C)</f>
        <v>Jus de fruits</v>
      </c>
      <c r="D1710" s="20" t="str">
        <f t="array" ref="D1710">xlookup($A1710,product!$A:$A,product!D:D)</f>
        <v>Jus d'oranges et agrumes bio</v>
      </c>
      <c r="E1710" s="4" t="str">
        <f t="shared" si="1"/>
        <v>44398-Jus de fruits-Jus d'oranges et agrumes bio</v>
      </c>
      <c r="F1710" s="4">
        <v>0.0</v>
      </c>
      <c r="G1710" s="4">
        <v>775.0</v>
      </c>
      <c r="H1710" s="4">
        <v>449.0</v>
      </c>
      <c r="I1710" s="21">
        <f t="array" ref="I1710">XLOOKUP($A1710,product!A:A,product!E:E)</f>
        <v>2.32</v>
      </c>
      <c r="J1710" s="4">
        <f t="shared" si="2"/>
        <v>1041.68</v>
      </c>
      <c r="K1710" s="22">
        <f t="shared" si="3"/>
        <v>1</v>
      </c>
      <c r="L1710" s="4">
        <f t="shared" si="4"/>
        <v>1</v>
      </c>
    </row>
    <row r="1711">
      <c r="A1711" s="23">
        <v>100932.0</v>
      </c>
      <c r="B1711" s="24" t="str">
        <f t="array" ref="B1711">xlookup($A1711,product!$A:$A,product!B:B)</f>
        <v>Boisson</v>
      </c>
      <c r="C1711" s="24" t="str">
        <f t="array" ref="C1711">xlookup($A1711,product!$A:$A,product!C:C)</f>
        <v>Jus de fruits</v>
      </c>
      <c r="D1711" s="24" t="str">
        <f t="array" ref="D1711">xlookup($A1711,product!$A:$A,product!D:D)</f>
        <v>Jus d'oranges et agrumes bio</v>
      </c>
      <c r="E1711" s="25" t="str">
        <f t="shared" si="1"/>
        <v>100932-Jus de fruits-Jus d'oranges et agrumes bio</v>
      </c>
      <c r="F1711" s="25">
        <v>0.0</v>
      </c>
      <c r="G1711" s="25">
        <v>569.0</v>
      </c>
      <c r="H1711" s="25">
        <v>41.0</v>
      </c>
      <c r="I1711" s="26">
        <f t="array" ref="I1711">XLOOKUP($A1711,product!A:A,product!E:E)</f>
        <v>6.68</v>
      </c>
      <c r="J1711" s="25">
        <f t="shared" si="2"/>
        <v>273.88</v>
      </c>
      <c r="K1711" s="27">
        <f t="shared" si="3"/>
        <v>1</v>
      </c>
      <c r="L1711" s="25">
        <f t="shared" si="4"/>
        <v>1</v>
      </c>
    </row>
    <row r="1712">
      <c r="A1712" s="19">
        <v>117125.0</v>
      </c>
      <c r="B1712" s="20" t="str">
        <f t="array" ref="B1712">xlookup($A1712,product!$A:$A,product!B:B)</f>
        <v>Boisson</v>
      </c>
      <c r="C1712" s="20" t="str">
        <f t="array" ref="C1712">xlookup($A1712,product!$A:$A,product!C:C)</f>
        <v>Jus de fruits</v>
      </c>
      <c r="D1712" s="20" t="str">
        <f t="array" ref="D1712">xlookup($A1712,product!$A:$A,product!D:D)</f>
        <v>Jus d'oranges et agrumes bio</v>
      </c>
      <c r="E1712" s="4" t="str">
        <f t="shared" si="1"/>
        <v>117125-Jus de fruits-Jus d'oranges et agrumes bio</v>
      </c>
      <c r="F1712" s="4">
        <v>1.0</v>
      </c>
      <c r="G1712" s="4">
        <v>628.0</v>
      </c>
      <c r="H1712" s="4">
        <v>369.0</v>
      </c>
      <c r="I1712" s="21">
        <f t="array" ref="I1712">XLOOKUP($A1712,product!A:A,product!E:E)</f>
        <v>1.87</v>
      </c>
      <c r="J1712" s="4">
        <f t="shared" si="2"/>
        <v>690.03</v>
      </c>
      <c r="K1712" s="22">
        <f t="shared" si="3"/>
        <v>1</v>
      </c>
      <c r="L1712" s="4">
        <f t="shared" si="4"/>
        <v>1</v>
      </c>
    </row>
    <row r="1713">
      <c r="A1713" s="23">
        <v>19746.0</v>
      </c>
      <c r="B1713" s="24" t="str">
        <f t="array" ref="B1713">xlookup($A1713,product!$A:$A,product!B:B)</f>
        <v>Boisson</v>
      </c>
      <c r="C1713" s="24" t="str">
        <f t="array" ref="C1713">xlookup($A1713,product!$A:$A,product!C:C)</f>
        <v>Jus de fruits</v>
      </c>
      <c r="D1713" s="24" t="str">
        <f t="array" ref="D1713">xlookup($A1713,product!$A:$A,product!D:D)</f>
        <v>Jus d'oranges et agrumes bio</v>
      </c>
      <c r="E1713" s="25" t="str">
        <f t="shared" si="1"/>
        <v>19746-Jus de fruits-Jus d'oranges et agrumes bio</v>
      </c>
      <c r="F1713" s="25">
        <v>1.0</v>
      </c>
      <c r="G1713" s="25">
        <v>722.0</v>
      </c>
      <c r="H1713" s="25">
        <v>553.0</v>
      </c>
      <c r="I1713" s="26">
        <f t="array" ref="I1713">XLOOKUP($A1713,product!A:A,product!E:E)</f>
        <v>2.05</v>
      </c>
      <c r="J1713" s="25">
        <f t="shared" si="2"/>
        <v>1133.65</v>
      </c>
      <c r="K1713" s="27">
        <f t="shared" si="3"/>
        <v>1</v>
      </c>
      <c r="L1713" s="25">
        <f t="shared" si="4"/>
        <v>1</v>
      </c>
    </row>
    <row r="1714">
      <c r="A1714" s="19">
        <v>80729.0</v>
      </c>
      <c r="B1714" s="20" t="str">
        <f t="array" ref="B1714">xlookup($A1714,product!$A:$A,product!B:B)</f>
        <v>Boisson</v>
      </c>
      <c r="C1714" s="20" t="str">
        <f t="array" ref="C1714">xlookup($A1714,product!$A:$A,product!C:C)</f>
        <v>Jus de fruits</v>
      </c>
      <c r="D1714" s="20" t="str">
        <f t="array" ref="D1714">xlookup($A1714,product!$A:$A,product!D:D)</f>
        <v>Jus d'oranges et agrumes bio</v>
      </c>
      <c r="E1714" s="4" t="str">
        <f t="shared" si="1"/>
        <v>80729-Jus de fruits-Jus d'oranges et agrumes bio</v>
      </c>
      <c r="F1714" s="4">
        <v>1.0</v>
      </c>
      <c r="G1714" s="4">
        <v>270.0</v>
      </c>
      <c r="H1714" s="4">
        <v>254.0</v>
      </c>
      <c r="I1714" s="21">
        <f t="array" ref="I1714">XLOOKUP($A1714,product!A:A,product!E:E)</f>
        <v>1.96</v>
      </c>
      <c r="J1714" s="4">
        <f t="shared" si="2"/>
        <v>497.84</v>
      </c>
      <c r="K1714" s="22">
        <f t="shared" si="3"/>
        <v>1</v>
      </c>
      <c r="L1714" s="4">
        <f t="shared" si="4"/>
        <v>1</v>
      </c>
    </row>
    <row r="1715">
      <c r="A1715" s="23">
        <v>19800.0</v>
      </c>
      <c r="B1715" s="24" t="str">
        <f t="array" ref="B1715">xlookup($A1715,product!$A:$A,product!B:B)</f>
        <v>Boisson</v>
      </c>
      <c r="C1715" s="24" t="str">
        <f t="array" ref="C1715">xlookup($A1715,product!$A:$A,product!C:C)</f>
        <v>Jus de fruits</v>
      </c>
      <c r="D1715" s="24" t="str">
        <f t="array" ref="D1715">xlookup($A1715,product!$A:$A,product!D:D)</f>
        <v>Jus d'oranges et agrumes bio</v>
      </c>
      <c r="E1715" s="25" t="str">
        <f t="shared" si="1"/>
        <v>19800-Jus de fruits-Jus d'oranges et agrumes bio</v>
      </c>
      <c r="F1715" s="25">
        <v>1.0</v>
      </c>
      <c r="G1715" s="25">
        <v>73.0</v>
      </c>
      <c r="H1715" s="25">
        <v>64.0</v>
      </c>
      <c r="I1715" s="26">
        <f t="array" ref="I1715">XLOOKUP($A1715,product!A:A,product!E:E)</f>
        <v>2.27</v>
      </c>
      <c r="J1715" s="25">
        <f t="shared" si="2"/>
        <v>145.28</v>
      </c>
      <c r="K1715" s="27">
        <f t="shared" si="3"/>
        <v>1</v>
      </c>
      <c r="L1715" s="25">
        <f t="shared" si="4"/>
        <v>1</v>
      </c>
    </row>
    <row r="1716">
      <c r="A1716" s="19">
        <v>19790.0</v>
      </c>
      <c r="B1716" s="20" t="str">
        <f t="array" ref="B1716">xlookup($A1716,product!$A:$A,product!B:B)</f>
        <v>Boisson</v>
      </c>
      <c r="C1716" s="20" t="str">
        <f t="array" ref="C1716">xlookup($A1716,product!$A:$A,product!C:C)</f>
        <v>Jus de fruits</v>
      </c>
      <c r="D1716" s="20" t="str">
        <f t="array" ref="D1716">xlookup($A1716,product!$A:$A,product!D:D)</f>
        <v>Jus d'oranges et agrumes bio</v>
      </c>
      <c r="E1716" s="4" t="str">
        <f t="shared" si="1"/>
        <v>19790-Jus de fruits-Jus d'oranges et agrumes bio</v>
      </c>
      <c r="F1716" s="4">
        <v>0.0</v>
      </c>
      <c r="G1716" s="4">
        <v>269.0</v>
      </c>
      <c r="H1716" s="4">
        <v>129.0</v>
      </c>
      <c r="I1716" s="21">
        <f t="array" ref="I1716">XLOOKUP($A1716,product!A:A,product!E:E)</f>
        <v>0.62</v>
      </c>
      <c r="J1716" s="4">
        <f t="shared" si="2"/>
        <v>79.98</v>
      </c>
      <c r="K1716" s="22">
        <f t="shared" si="3"/>
        <v>1</v>
      </c>
      <c r="L1716" s="4">
        <f t="shared" si="4"/>
        <v>1</v>
      </c>
    </row>
    <row r="1717">
      <c r="A1717" s="23">
        <v>19747.0</v>
      </c>
      <c r="B1717" s="24" t="str">
        <f t="array" ref="B1717">xlookup($A1717,product!$A:$A,product!B:B)</f>
        <v>Boisson</v>
      </c>
      <c r="C1717" s="24" t="str">
        <f t="array" ref="C1717">xlookup($A1717,product!$A:$A,product!C:C)</f>
        <v>Jus de fruits</v>
      </c>
      <c r="D1717" s="24" t="str">
        <f t="array" ref="D1717">xlookup($A1717,product!$A:$A,product!D:D)</f>
        <v>Jus d'oranges et agrumes bio</v>
      </c>
      <c r="E1717" s="25" t="str">
        <f t="shared" si="1"/>
        <v>19747-Jus de fruits-Jus d'oranges et agrumes bio</v>
      </c>
      <c r="F1717" s="25">
        <v>1.0</v>
      </c>
      <c r="G1717" s="25">
        <v>209.0</v>
      </c>
      <c r="H1717" s="25">
        <v>184.0</v>
      </c>
      <c r="I1717" s="26">
        <f t="array" ref="I1717">XLOOKUP($A1717,product!A:A,product!E:E)</f>
        <v>3.32</v>
      </c>
      <c r="J1717" s="25">
        <f t="shared" si="2"/>
        <v>610.88</v>
      </c>
      <c r="K1717" s="27">
        <f t="shared" si="3"/>
        <v>1</v>
      </c>
      <c r="L1717" s="25">
        <f t="shared" si="4"/>
        <v>1</v>
      </c>
    </row>
    <row r="1718">
      <c r="A1718" s="19">
        <v>44524.0</v>
      </c>
      <c r="B1718" s="20" t="str">
        <f t="array" ref="B1718">xlookup($A1718,product!$A:$A,product!B:B)</f>
        <v>Santé &amp; Bien-être</v>
      </c>
      <c r="C1718" s="20" t="str">
        <f t="array" ref="C1718">xlookup($A1718,product!$A:$A,product!C:C)</f>
        <v>Parapharmacie</v>
      </c>
      <c r="D1718" s="20" t="str">
        <f t="array" ref="D1718">xlookup($A1718,product!$A:$A,product!D:D)</f>
        <v>Sexualité</v>
      </c>
      <c r="E1718" s="4" t="str">
        <f t="shared" si="1"/>
        <v>44524-Parapharmacie-Sexualité</v>
      </c>
      <c r="F1718" s="4">
        <v>1.0</v>
      </c>
      <c r="G1718" s="4">
        <v>325.0</v>
      </c>
      <c r="H1718" s="4">
        <v>30.0</v>
      </c>
      <c r="I1718" s="21">
        <f t="array" ref="I1718">XLOOKUP($A1718,product!A:A,product!E:E)</f>
        <v>5.04</v>
      </c>
      <c r="J1718" s="4">
        <f t="shared" si="2"/>
        <v>151.2</v>
      </c>
      <c r="K1718" s="22">
        <f t="shared" si="3"/>
        <v>1</v>
      </c>
      <c r="L1718" s="4">
        <f t="shared" si="4"/>
        <v>1</v>
      </c>
    </row>
    <row r="1719">
      <c r="A1719" s="23">
        <v>103839.0</v>
      </c>
      <c r="B1719" s="24" t="str">
        <f t="array" ref="B1719">xlookup($A1719,product!$A:$A,product!B:B)</f>
        <v>Santé &amp; Bien-être</v>
      </c>
      <c r="C1719" s="24" t="str">
        <f t="array" ref="C1719">xlookup($A1719,product!$A:$A,product!C:C)</f>
        <v>Parapharmacie</v>
      </c>
      <c r="D1719" s="24" t="str">
        <f t="array" ref="D1719">xlookup($A1719,product!$A:$A,product!D:D)</f>
        <v>Sexualité</v>
      </c>
      <c r="E1719" s="25" t="str">
        <f t="shared" si="1"/>
        <v>103839-Parapharmacie-Sexualité</v>
      </c>
      <c r="F1719" s="25">
        <v>0.0</v>
      </c>
      <c r="G1719" s="25">
        <v>317.0</v>
      </c>
      <c r="H1719" s="25">
        <v>71.0</v>
      </c>
      <c r="I1719" s="26">
        <f t="array" ref="I1719">XLOOKUP($A1719,product!A:A,product!E:E)</f>
        <v>4.02</v>
      </c>
      <c r="J1719" s="25">
        <f t="shared" si="2"/>
        <v>285.42</v>
      </c>
      <c r="K1719" s="27">
        <f t="shared" si="3"/>
        <v>1</v>
      </c>
      <c r="L1719" s="25">
        <f t="shared" si="4"/>
        <v>1</v>
      </c>
    </row>
    <row r="1720">
      <c r="A1720" s="19">
        <v>195240.0</v>
      </c>
      <c r="B1720" s="20" t="str">
        <f t="array" ref="B1720">xlookup($A1720,product!$A:$A,product!B:B)</f>
        <v>Santé &amp; Bien-être</v>
      </c>
      <c r="C1720" s="20" t="str">
        <f t="array" ref="C1720">xlookup($A1720,product!$A:$A,product!C:C)</f>
        <v>Parapharmacie</v>
      </c>
      <c r="D1720" s="20" t="str">
        <f t="array" ref="D1720">xlookup($A1720,product!$A:$A,product!D:D)</f>
        <v>Sexualité</v>
      </c>
      <c r="E1720" s="4" t="str">
        <f t="shared" si="1"/>
        <v>195240-Parapharmacie-Sexualité</v>
      </c>
      <c r="F1720" s="4">
        <v>0.0</v>
      </c>
      <c r="G1720" s="4">
        <v>649.0</v>
      </c>
      <c r="H1720" s="4">
        <v>387.0</v>
      </c>
      <c r="I1720" s="21">
        <f t="array" ref="I1720">XLOOKUP($A1720,product!A:A,product!E:E)</f>
        <v>5.77</v>
      </c>
      <c r="J1720" s="4">
        <f t="shared" si="2"/>
        <v>2232.99</v>
      </c>
      <c r="K1720" s="22">
        <f t="shared" si="3"/>
        <v>1</v>
      </c>
      <c r="L1720" s="4">
        <f t="shared" si="4"/>
        <v>1</v>
      </c>
    </row>
    <row r="1721">
      <c r="A1721" s="23">
        <v>195244.0</v>
      </c>
      <c r="B1721" s="24" t="str">
        <f t="array" ref="B1721">xlookup($A1721,product!$A:$A,product!B:B)</f>
        <v>Santé &amp; Bien-être</v>
      </c>
      <c r="C1721" s="24" t="str">
        <f t="array" ref="C1721">xlookup($A1721,product!$A:$A,product!C:C)</f>
        <v>Parapharmacie</v>
      </c>
      <c r="D1721" s="24" t="str">
        <f t="array" ref="D1721">xlookup($A1721,product!$A:$A,product!D:D)</f>
        <v>Sexualité</v>
      </c>
      <c r="E1721" s="25" t="str">
        <f t="shared" si="1"/>
        <v>195244-Parapharmacie-Sexualité</v>
      </c>
      <c r="F1721" s="25">
        <v>1.0</v>
      </c>
      <c r="G1721" s="25">
        <v>263.0</v>
      </c>
      <c r="H1721" s="25">
        <v>190.0</v>
      </c>
      <c r="I1721" s="26">
        <f t="array" ref="I1721">XLOOKUP($A1721,product!A:A,product!E:E)</f>
        <v>5.77</v>
      </c>
      <c r="J1721" s="25">
        <f t="shared" si="2"/>
        <v>1096.3</v>
      </c>
      <c r="K1721" s="27">
        <f t="shared" si="3"/>
        <v>1</v>
      </c>
      <c r="L1721" s="25">
        <f t="shared" si="4"/>
        <v>1</v>
      </c>
    </row>
    <row r="1722">
      <c r="A1722" s="19">
        <v>119465.0</v>
      </c>
      <c r="B1722" s="20" t="str">
        <f t="array" ref="B1722">xlookup($A1722,product!$A:$A,product!B:B)</f>
        <v>Santé &amp; Bien-être</v>
      </c>
      <c r="C1722" s="20" t="str">
        <f t="array" ref="C1722">xlookup($A1722,product!$A:$A,product!C:C)</f>
        <v>Parapharmacie</v>
      </c>
      <c r="D1722" s="20" t="str">
        <f t="array" ref="D1722">xlookup($A1722,product!$A:$A,product!D:D)</f>
        <v>Sexualité</v>
      </c>
      <c r="E1722" s="4" t="str">
        <f t="shared" si="1"/>
        <v>119465-Parapharmacie-Sexualité</v>
      </c>
      <c r="F1722" s="4">
        <v>1.0</v>
      </c>
      <c r="G1722" s="4">
        <v>643.0</v>
      </c>
      <c r="H1722" s="4">
        <v>496.0</v>
      </c>
      <c r="I1722" s="21">
        <f t="array" ref="I1722">XLOOKUP($A1722,product!A:A,product!E:E)</f>
        <v>3.8</v>
      </c>
      <c r="J1722" s="4">
        <f t="shared" si="2"/>
        <v>1884.8</v>
      </c>
      <c r="K1722" s="22">
        <f t="shared" si="3"/>
        <v>1</v>
      </c>
      <c r="L1722" s="4">
        <f t="shared" si="4"/>
        <v>1</v>
      </c>
    </row>
    <row r="1723">
      <c r="A1723" s="23">
        <v>47081.0</v>
      </c>
      <c r="B1723" s="24" t="str">
        <f t="array" ref="B1723">xlookup($A1723,product!$A:$A,product!B:B)</f>
        <v>Santé &amp; Bien-être</v>
      </c>
      <c r="C1723" s="24" t="str">
        <f t="array" ref="C1723">xlookup($A1723,product!$A:$A,product!C:C)</f>
        <v>Parapharmacie</v>
      </c>
      <c r="D1723" s="24" t="str">
        <f t="array" ref="D1723">xlookup($A1723,product!$A:$A,product!D:D)</f>
        <v>Douleurs musculaires</v>
      </c>
      <c r="E1723" s="25" t="str">
        <f t="shared" si="1"/>
        <v>47081-Parapharmacie-Douleurs musculaires</v>
      </c>
      <c r="F1723" s="25">
        <v>0.0</v>
      </c>
      <c r="G1723" s="25">
        <v>378.0</v>
      </c>
      <c r="H1723" s="25">
        <v>274.0</v>
      </c>
      <c r="I1723" s="26">
        <f t="array" ref="I1723">XLOOKUP($A1723,product!A:A,product!E:E)</f>
        <v>12.48</v>
      </c>
      <c r="J1723" s="25">
        <f t="shared" si="2"/>
        <v>3419.52</v>
      </c>
      <c r="K1723" s="27">
        <f t="shared" si="3"/>
        <v>1</v>
      </c>
      <c r="L1723" s="25">
        <f t="shared" si="4"/>
        <v>1</v>
      </c>
    </row>
    <row r="1724">
      <c r="A1724" s="19">
        <v>91635.0</v>
      </c>
      <c r="B1724" s="20" t="str">
        <f t="array" ref="B1724">xlookup($A1724,product!$A:$A,product!B:B)</f>
        <v>Santé &amp; Bien-être</v>
      </c>
      <c r="C1724" s="20" t="str">
        <f t="array" ref="C1724">xlookup($A1724,product!$A:$A,product!C:C)</f>
        <v>Parapharmacie</v>
      </c>
      <c r="D1724" s="20" t="str">
        <f t="array" ref="D1724">xlookup($A1724,product!$A:$A,product!D:D)</f>
        <v>Antimoustiques visage et corps</v>
      </c>
      <c r="E1724" s="4" t="str">
        <f t="shared" si="1"/>
        <v>91635-Parapharmacie-Antimoustiques visage et corps</v>
      </c>
      <c r="F1724" s="4">
        <v>1.0</v>
      </c>
      <c r="G1724" s="4">
        <v>865.0</v>
      </c>
      <c r="H1724" s="4">
        <v>177.0</v>
      </c>
      <c r="I1724" s="21">
        <f t="array" ref="I1724">XLOOKUP($A1724,product!A:A,product!E:E)</f>
        <v>3.85</v>
      </c>
      <c r="J1724" s="4">
        <f t="shared" si="2"/>
        <v>681.45</v>
      </c>
      <c r="K1724" s="22">
        <f t="shared" si="3"/>
        <v>1</v>
      </c>
      <c r="L1724" s="4">
        <f t="shared" si="4"/>
        <v>1</v>
      </c>
    </row>
    <row r="1725">
      <c r="A1725" s="23">
        <v>188359.0</v>
      </c>
      <c r="B1725" s="24" t="str">
        <f t="array" ref="B1725">xlookup($A1725,product!$A:$A,product!B:B)</f>
        <v>Santé &amp; Bien-être</v>
      </c>
      <c r="C1725" s="24" t="str">
        <f t="array" ref="C1725">xlookup($A1725,product!$A:$A,product!C:C)</f>
        <v>Parapharmacie</v>
      </c>
      <c r="D1725" s="24" t="str">
        <f t="array" ref="D1725">xlookup($A1725,product!$A:$A,product!D:D)</f>
        <v>Antimoustiques visage et corps</v>
      </c>
      <c r="E1725" s="25" t="str">
        <f t="shared" si="1"/>
        <v>188359-Parapharmacie-Antimoustiques visage et corps</v>
      </c>
      <c r="F1725" s="25">
        <v>1.0</v>
      </c>
      <c r="G1725" s="25">
        <v>579.0</v>
      </c>
      <c r="H1725" s="25">
        <v>107.0</v>
      </c>
      <c r="I1725" s="26">
        <f t="array" ref="I1725">XLOOKUP($A1725,product!A:A,product!E:E)</f>
        <v>4.46</v>
      </c>
      <c r="J1725" s="25">
        <f t="shared" si="2"/>
        <v>477.22</v>
      </c>
      <c r="K1725" s="27">
        <f t="shared" si="3"/>
        <v>1</v>
      </c>
      <c r="L1725" s="25">
        <f t="shared" si="4"/>
        <v>1</v>
      </c>
    </row>
    <row r="1726">
      <c r="A1726" s="19">
        <v>29655.0</v>
      </c>
      <c r="B1726" s="20" t="str">
        <f t="array" ref="B1726">xlookup($A1726,product!$A:$A,product!B:B)</f>
        <v>Santé &amp; Bien-être</v>
      </c>
      <c r="C1726" s="20" t="str">
        <f t="array" ref="C1726">xlookup($A1726,product!$A:$A,product!C:C)</f>
        <v>Parapharmacie</v>
      </c>
      <c r="D1726" s="20" t="str">
        <f t="array" ref="D1726">xlookup($A1726,product!$A:$A,product!D:D)</f>
        <v>Antimoustiques visage et corps</v>
      </c>
      <c r="E1726" s="4" t="str">
        <f t="shared" si="1"/>
        <v>29655-Parapharmacie-Antimoustiques visage et corps</v>
      </c>
      <c r="F1726" s="4">
        <v>1.0</v>
      </c>
      <c r="G1726" s="4">
        <v>306.0</v>
      </c>
      <c r="H1726" s="4">
        <v>191.0</v>
      </c>
      <c r="I1726" s="21">
        <f t="array" ref="I1726">XLOOKUP($A1726,product!A:A,product!E:E)</f>
        <v>3.29</v>
      </c>
      <c r="J1726" s="4">
        <f t="shared" si="2"/>
        <v>628.39</v>
      </c>
      <c r="K1726" s="22">
        <f t="shared" si="3"/>
        <v>1</v>
      </c>
      <c r="L1726" s="4">
        <f t="shared" si="4"/>
        <v>1</v>
      </c>
    </row>
    <row r="1727">
      <c r="A1727" s="23">
        <v>193188.0</v>
      </c>
      <c r="B1727" s="24" t="str">
        <f t="array" ref="B1727">xlookup($A1727,product!$A:$A,product!B:B)</f>
        <v>Santé &amp; Bien-être</v>
      </c>
      <c r="C1727" s="24" t="str">
        <f t="array" ref="C1727">xlookup($A1727,product!$A:$A,product!C:C)</f>
        <v>Parapharmacie</v>
      </c>
      <c r="D1727" s="24" t="str">
        <f t="array" ref="D1727">xlookup($A1727,product!$A:$A,product!D:D)</f>
        <v>Peau abîmée, bosses et coups</v>
      </c>
      <c r="E1727" s="25" t="str">
        <f t="shared" si="1"/>
        <v>193188-Parapharmacie-Peau abîmée, bosses et coups</v>
      </c>
      <c r="F1727" s="25">
        <v>1.0</v>
      </c>
      <c r="G1727" s="25">
        <v>317.0</v>
      </c>
      <c r="H1727" s="25">
        <v>303.0</v>
      </c>
      <c r="I1727" s="26">
        <f t="array" ref="I1727">XLOOKUP($A1727,product!A:A,product!E:E)</f>
        <v>3.52</v>
      </c>
      <c r="J1727" s="25">
        <f t="shared" si="2"/>
        <v>1066.56</v>
      </c>
      <c r="K1727" s="27">
        <f t="shared" si="3"/>
        <v>1</v>
      </c>
      <c r="L1727" s="25">
        <f t="shared" si="4"/>
        <v>1</v>
      </c>
    </row>
    <row r="1728">
      <c r="A1728" s="19">
        <v>188367.0</v>
      </c>
      <c r="B1728" s="20" t="str">
        <f t="array" ref="B1728">xlookup($A1728,product!$A:$A,product!B:B)</f>
        <v>Santé &amp; Bien-être</v>
      </c>
      <c r="C1728" s="20" t="str">
        <f t="array" ref="C1728">xlookup($A1728,product!$A:$A,product!C:C)</f>
        <v>Parapharmacie</v>
      </c>
      <c r="D1728" s="20" t="str">
        <f t="array" ref="D1728">xlookup($A1728,product!$A:$A,product!D:D)</f>
        <v>Peau abîmée, bosses et coups</v>
      </c>
      <c r="E1728" s="4" t="str">
        <f t="shared" si="1"/>
        <v>188367-Parapharmacie-Peau abîmée, bosses et coups</v>
      </c>
      <c r="F1728" s="4">
        <v>1.0</v>
      </c>
      <c r="G1728" s="4">
        <v>11.0</v>
      </c>
      <c r="H1728" s="4">
        <v>0.0</v>
      </c>
      <c r="I1728" s="21">
        <f t="array" ref="I1728">XLOOKUP($A1728,product!A:A,product!E:E)</f>
        <v>4.46</v>
      </c>
      <c r="J1728" s="4">
        <f t="shared" si="2"/>
        <v>0</v>
      </c>
      <c r="K1728" s="22">
        <f t="shared" si="3"/>
        <v>0</v>
      </c>
      <c r="L1728" s="4">
        <f t="shared" si="4"/>
        <v>1</v>
      </c>
    </row>
    <row r="1729">
      <c r="A1729" s="23">
        <v>188853.0</v>
      </c>
      <c r="B1729" s="24" t="str">
        <f t="array" ref="B1729">xlookup($A1729,product!$A:$A,product!B:B)</f>
        <v>Santé &amp; Bien-être</v>
      </c>
      <c r="C1729" s="24" t="str">
        <f t="array" ref="C1729">xlookup($A1729,product!$A:$A,product!C:C)</f>
        <v>Parapharmacie</v>
      </c>
      <c r="D1729" s="24" t="str">
        <f t="array" ref="D1729">xlookup($A1729,product!$A:$A,product!D:D)</f>
        <v>Peau abîmée, bosses et coups</v>
      </c>
      <c r="E1729" s="25" t="str">
        <f t="shared" si="1"/>
        <v>188853-Parapharmacie-Peau abîmée, bosses et coups</v>
      </c>
      <c r="F1729" s="25">
        <v>1.0</v>
      </c>
      <c r="G1729" s="25">
        <v>24.0</v>
      </c>
      <c r="H1729" s="25">
        <v>0.0</v>
      </c>
      <c r="I1729" s="26">
        <f t="array" ref="I1729">XLOOKUP($A1729,product!A:A,product!E:E)</f>
        <v>7.58</v>
      </c>
      <c r="J1729" s="25">
        <f t="shared" si="2"/>
        <v>0</v>
      </c>
      <c r="K1729" s="27">
        <f t="shared" si="3"/>
        <v>0</v>
      </c>
      <c r="L1729" s="25">
        <f t="shared" si="4"/>
        <v>1</v>
      </c>
    </row>
    <row r="1730">
      <c r="A1730" s="19">
        <v>116214.0</v>
      </c>
      <c r="B1730" s="20" t="str">
        <f t="array" ref="B1730">xlookup($A1730,product!$A:$A,product!B:B)</f>
        <v>Santé &amp; Bien-être</v>
      </c>
      <c r="C1730" s="20" t="str">
        <f t="array" ref="C1730">xlookup($A1730,product!$A:$A,product!C:C)</f>
        <v>Parapharmacie</v>
      </c>
      <c r="D1730" s="20" t="str">
        <f t="array" ref="D1730">xlookup($A1730,product!$A:$A,product!D:D)</f>
        <v>Gels articulations, circulation</v>
      </c>
      <c r="E1730" s="4" t="str">
        <f t="shared" si="1"/>
        <v>116214-Parapharmacie-Gels articulations, circulation</v>
      </c>
      <c r="F1730" s="4">
        <v>1.0</v>
      </c>
      <c r="G1730" s="4">
        <v>175.0</v>
      </c>
      <c r="H1730" s="4">
        <v>17.0</v>
      </c>
      <c r="I1730" s="21">
        <f t="array" ref="I1730">XLOOKUP($A1730,product!A:A,product!E:E)</f>
        <v>9.44</v>
      </c>
      <c r="J1730" s="4">
        <f t="shared" si="2"/>
        <v>160.48</v>
      </c>
      <c r="K1730" s="22">
        <f t="shared" si="3"/>
        <v>1</v>
      </c>
      <c r="L1730" s="4">
        <f t="shared" si="4"/>
        <v>1</v>
      </c>
    </row>
    <row r="1731">
      <c r="A1731" s="23">
        <v>82296.0</v>
      </c>
      <c r="B1731" s="24" t="str">
        <f t="array" ref="B1731">xlookup($A1731,product!$A:$A,product!B:B)</f>
        <v>Santé &amp; Bien-être</v>
      </c>
      <c r="C1731" s="24" t="str">
        <f t="array" ref="C1731">xlookup($A1731,product!$A:$A,product!C:C)</f>
        <v>Parapharmacie</v>
      </c>
      <c r="D1731" s="24" t="str">
        <f t="array" ref="D1731">xlookup($A1731,product!$A:$A,product!D:D)</f>
        <v>Gels articulations, circulation</v>
      </c>
      <c r="E1731" s="25" t="str">
        <f t="shared" si="1"/>
        <v>82296-Parapharmacie-Gels articulations, circulation</v>
      </c>
      <c r="F1731" s="25">
        <v>1.0</v>
      </c>
      <c r="G1731" s="25">
        <v>680.0</v>
      </c>
      <c r="H1731" s="25">
        <v>293.0</v>
      </c>
      <c r="I1731" s="26">
        <f t="array" ref="I1731">XLOOKUP($A1731,product!A:A,product!E:E)</f>
        <v>20.22</v>
      </c>
      <c r="J1731" s="25">
        <f t="shared" si="2"/>
        <v>5924.46</v>
      </c>
      <c r="K1731" s="27">
        <f t="shared" si="3"/>
        <v>1</v>
      </c>
      <c r="L1731" s="25">
        <f t="shared" si="4"/>
        <v>1</v>
      </c>
    </row>
    <row r="1732">
      <c r="A1732" s="19">
        <v>10269.0</v>
      </c>
      <c r="B1732" s="20" t="str">
        <f t="array" ref="B1732">xlookup($A1732,product!$A:$A,product!B:B)</f>
        <v>Extérieur</v>
      </c>
      <c r="C1732" s="20" t="str">
        <f t="array" ref="C1732">xlookup($A1732,product!$A:$A,product!C:C)</f>
        <v>Animalerie Bio</v>
      </c>
      <c r="D1732" s="20" t="str">
        <f t="array" ref="D1732">xlookup($A1732,product!$A:$A,product!D:D)</f>
        <v>Alimentation Chats</v>
      </c>
      <c r="E1732" s="4" t="str">
        <f t="shared" si="1"/>
        <v>10269-Animalerie Bio-Alimentation Chats</v>
      </c>
      <c r="F1732" s="4">
        <v>0.0</v>
      </c>
      <c r="G1732" s="4">
        <v>437.0</v>
      </c>
      <c r="H1732" s="4">
        <v>170.0</v>
      </c>
      <c r="I1732" s="21">
        <f t="array" ref="I1732">XLOOKUP($A1732,product!A:A,product!E:E)</f>
        <v>1.45</v>
      </c>
      <c r="J1732" s="4">
        <f t="shared" si="2"/>
        <v>246.5</v>
      </c>
      <c r="K1732" s="22">
        <f t="shared" si="3"/>
        <v>1</v>
      </c>
      <c r="L1732" s="4">
        <f t="shared" si="4"/>
        <v>1</v>
      </c>
    </row>
    <row r="1733">
      <c r="A1733" s="23">
        <v>121860.0</v>
      </c>
      <c r="B1733" s="24" t="str">
        <f t="array" ref="B1733">xlookup($A1733,product!$A:$A,product!B:B)</f>
        <v>Extérieur</v>
      </c>
      <c r="C1733" s="24" t="str">
        <f t="array" ref="C1733">xlookup($A1733,product!$A:$A,product!C:C)</f>
        <v>Animalerie Bio</v>
      </c>
      <c r="D1733" s="24" t="str">
        <f t="array" ref="D1733">xlookup($A1733,product!$A:$A,product!D:D)</f>
        <v>Alimentation Chats</v>
      </c>
      <c r="E1733" s="25" t="str">
        <f t="shared" si="1"/>
        <v>121860-Animalerie Bio-Alimentation Chats</v>
      </c>
      <c r="F1733" s="25">
        <v>1.0</v>
      </c>
      <c r="G1733" s="25">
        <v>597.0</v>
      </c>
      <c r="H1733" s="25">
        <v>106.0</v>
      </c>
      <c r="I1733" s="26">
        <f t="array" ref="I1733">XLOOKUP($A1733,product!A:A,product!E:E)</f>
        <v>28.78</v>
      </c>
      <c r="J1733" s="25">
        <f t="shared" si="2"/>
        <v>3050.68</v>
      </c>
      <c r="K1733" s="27">
        <f t="shared" si="3"/>
        <v>1</v>
      </c>
      <c r="L1733" s="25">
        <f t="shared" si="4"/>
        <v>1</v>
      </c>
    </row>
    <row r="1734">
      <c r="A1734" s="19">
        <v>100464.0</v>
      </c>
      <c r="B1734" s="20" t="str">
        <f t="array" ref="B1734">xlookup($A1734,product!$A:$A,product!B:B)</f>
        <v>Extérieur</v>
      </c>
      <c r="C1734" s="20" t="str">
        <f t="array" ref="C1734">xlookup($A1734,product!$A:$A,product!C:C)</f>
        <v>Animalerie Bio</v>
      </c>
      <c r="D1734" s="20" t="str">
        <f t="array" ref="D1734">xlookup($A1734,product!$A:$A,product!D:D)</f>
        <v>Alimentation Chats</v>
      </c>
      <c r="E1734" s="4" t="str">
        <f t="shared" si="1"/>
        <v>100464-Animalerie Bio-Alimentation Chats</v>
      </c>
      <c r="F1734" s="4">
        <v>1.0</v>
      </c>
      <c r="G1734" s="4">
        <v>111.0</v>
      </c>
      <c r="H1734" s="4">
        <v>95.0</v>
      </c>
      <c r="I1734" s="21">
        <f t="array" ref="I1734">XLOOKUP($A1734,product!A:A,product!E:E)</f>
        <v>12.22</v>
      </c>
      <c r="J1734" s="4">
        <f t="shared" si="2"/>
        <v>1160.9</v>
      </c>
      <c r="K1734" s="22">
        <f t="shared" si="3"/>
        <v>1</v>
      </c>
      <c r="L1734" s="4">
        <f t="shared" si="4"/>
        <v>1</v>
      </c>
    </row>
    <row r="1735">
      <c r="A1735" s="23">
        <v>10270.0</v>
      </c>
      <c r="B1735" s="24" t="str">
        <f t="array" ref="B1735">xlookup($A1735,product!$A:$A,product!B:B)</f>
        <v>Extérieur</v>
      </c>
      <c r="C1735" s="24" t="str">
        <f t="array" ref="C1735">xlookup($A1735,product!$A:$A,product!C:C)</f>
        <v>Animalerie Bio</v>
      </c>
      <c r="D1735" s="24" t="str">
        <f t="array" ref="D1735">xlookup($A1735,product!$A:$A,product!D:D)</f>
        <v>Alimentation Chats</v>
      </c>
      <c r="E1735" s="25" t="str">
        <f t="shared" si="1"/>
        <v>10270-Animalerie Bio-Alimentation Chats</v>
      </c>
      <c r="F1735" s="25">
        <v>1.0</v>
      </c>
      <c r="G1735" s="25">
        <v>708.0</v>
      </c>
      <c r="H1735" s="25">
        <v>543.0</v>
      </c>
      <c r="I1735" s="26">
        <f t="array" ref="I1735">XLOOKUP($A1735,product!A:A,product!E:E)</f>
        <v>1.45</v>
      </c>
      <c r="J1735" s="25">
        <f t="shared" si="2"/>
        <v>787.35</v>
      </c>
      <c r="K1735" s="27">
        <f t="shared" si="3"/>
        <v>1</v>
      </c>
      <c r="L1735" s="25">
        <f t="shared" si="4"/>
        <v>1</v>
      </c>
    </row>
    <row r="1736">
      <c r="A1736" s="19">
        <v>10283.0</v>
      </c>
      <c r="B1736" s="20" t="str">
        <f t="array" ref="B1736">xlookup($A1736,product!$A:$A,product!B:B)</f>
        <v>Extérieur</v>
      </c>
      <c r="C1736" s="20" t="str">
        <f t="array" ref="C1736">xlookup($A1736,product!$A:$A,product!C:C)</f>
        <v>Animalerie Bio</v>
      </c>
      <c r="D1736" s="20" t="str">
        <f t="array" ref="D1736">xlookup($A1736,product!$A:$A,product!D:D)</f>
        <v>Alimentation Chats</v>
      </c>
      <c r="E1736" s="4" t="str">
        <f t="shared" si="1"/>
        <v>10283-Animalerie Bio-Alimentation Chats</v>
      </c>
      <c r="F1736" s="4">
        <v>1.0</v>
      </c>
      <c r="G1736" s="4">
        <v>829.0</v>
      </c>
      <c r="H1736" s="4">
        <v>121.0</v>
      </c>
      <c r="I1736" s="21">
        <f t="array" ref="I1736">XLOOKUP($A1736,product!A:A,product!E:E)</f>
        <v>0.61</v>
      </c>
      <c r="J1736" s="4">
        <f t="shared" si="2"/>
        <v>73.81</v>
      </c>
      <c r="K1736" s="22">
        <f t="shared" si="3"/>
        <v>1</v>
      </c>
      <c r="L1736" s="4">
        <f t="shared" si="4"/>
        <v>1</v>
      </c>
    </row>
    <row r="1737">
      <c r="A1737" s="23">
        <v>10278.0</v>
      </c>
      <c r="B1737" s="24" t="str">
        <f t="array" ref="B1737">xlookup($A1737,product!$A:$A,product!B:B)</f>
        <v>Extérieur</v>
      </c>
      <c r="C1737" s="24" t="str">
        <f t="array" ref="C1737">xlookup($A1737,product!$A:$A,product!C:C)</f>
        <v>Animalerie Bio</v>
      </c>
      <c r="D1737" s="24" t="str">
        <f t="array" ref="D1737">xlookup($A1737,product!$A:$A,product!D:D)</f>
        <v>Alimentation Chats</v>
      </c>
      <c r="E1737" s="25" t="str">
        <f t="shared" si="1"/>
        <v>10278-Animalerie Bio-Alimentation Chats</v>
      </c>
      <c r="F1737" s="25">
        <v>0.0</v>
      </c>
      <c r="G1737" s="25">
        <v>47.0</v>
      </c>
      <c r="H1737" s="25">
        <v>21.0</v>
      </c>
      <c r="I1737" s="26">
        <f t="array" ref="I1737">XLOOKUP($A1737,product!A:A,product!E:E)</f>
        <v>0.61</v>
      </c>
      <c r="J1737" s="25">
        <f t="shared" si="2"/>
        <v>12.81</v>
      </c>
      <c r="K1737" s="27">
        <f t="shared" si="3"/>
        <v>1</v>
      </c>
      <c r="L1737" s="25">
        <f t="shared" si="4"/>
        <v>1</v>
      </c>
    </row>
    <row r="1738">
      <c r="A1738" s="19">
        <v>10259.0</v>
      </c>
      <c r="B1738" s="20" t="str">
        <f t="array" ref="B1738">xlookup($A1738,product!$A:$A,product!B:B)</f>
        <v>Extérieur</v>
      </c>
      <c r="C1738" s="20" t="str">
        <f t="array" ref="C1738">xlookup($A1738,product!$A:$A,product!C:C)</f>
        <v>Animalerie Bio</v>
      </c>
      <c r="D1738" s="20" t="str">
        <f t="array" ref="D1738">xlookup($A1738,product!$A:$A,product!D:D)</f>
        <v>Alimentation Chiens</v>
      </c>
      <c r="E1738" s="4" t="str">
        <f t="shared" si="1"/>
        <v>10259-Animalerie Bio-Alimentation Chiens</v>
      </c>
      <c r="F1738" s="4">
        <v>1.0</v>
      </c>
      <c r="G1738" s="4">
        <v>134.0</v>
      </c>
      <c r="H1738" s="4">
        <v>62.0</v>
      </c>
      <c r="I1738" s="21">
        <f t="array" ref="I1738">XLOOKUP($A1738,product!A:A,product!E:E)</f>
        <v>1.13</v>
      </c>
      <c r="J1738" s="4">
        <f t="shared" si="2"/>
        <v>70.06</v>
      </c>
      <c r="K1738" s="22">
        <f t="shared" si="3"/>
        <v>1</v>
      </c>
      <c r="L1738" s="4">
        <f t="shared" si="4"/>
        <v>1</v>
      </c>
    </row>
    <row r="1739">
      <c r="A1739" s="23">
        <v>200359.0</v>
      </c>
      <c r="B1739" s="24" t="str">
        <f t="array" ref="B1739">xlookup($A1739,product!$A:$A,product!B:B)</f>
        <v>Extérieur</v>
      </c>
      <c r="C1739" s="24" t="str">
        <f t="array" ref="C1739">xlookup($A1739,product!$A:$A,product!C:C)</f>
        <v>Animalerie Bio</v>
      </c>
      <c r="D1739" s="24" t="str">
        <f t="array" ref="D1739">xlookup($A1739,product!$A:$A,product!D:D)</f>
        <v>Alimentation Chiens</v>
      </c>
      <c r="E1739" s="25" t="str">
        <f t="shared" si="1"/>
        <v>200359-Animalerie Bio-Alimentation Chiens</v>
      </c>
      <c r="F1739" s="25">
        <v>1.0</v>
      </c>
      <c r="G1739" s="25">
        <v>586.0</v>
      </c>
      <c r="H1739" s="25">
        <v>274.0</v>
      </c>
      <c r="I1739" s="26">
        <f t="array" ref="I1739">XLOOKUP($A1739,product!A:A,product!E:E)</f>
        <v>1.83</v>
      </c>
      <c r="J1739" s="25">
        <f t="shared" si="2"/>
        <v>501.42</v>
      </c>
      <c r="K1739" s="27">
        <f t="shared" si="3"/>
        <v>1</v>
      </c>
      <c r="L1739" s="25">
        <f t="shared" si="4"/>
        <v>1</v>
      </c>
    </row>
    <row r="1740">
      <c r="A1740" s="19">
        <v>10243.0</v>
      </c>
      <c r="B1740" s="20" t="str">
        <f t="array" ref="B1740">xlookup($A1740,product!$A:$A,product!B:B)</f>
        <v>Extérieur</v>
      </c>
      <c r="C1740" s="20" t="str">
        <f t="array" ref="C1740">xlookup($A1740,product!$A:$A,product!C:C)</f>
        <v>Animalerie Bio</v>
      </c>
      <c r="D1740" s="20" t="str">
        <f t="array" ref="D1740">xlookup($A1740,product!$A:$A,product!D:D)</f>
        <v>Alimentation Chiens</v>
      </c>
      <c r="E1740" s="4" t="str">
        <f t="shared" si="1"/>
        <v>10243-Animalerie Bio-Alimentation Chiens</v>
      </c>
      <c r="F1740" s="4">
        <v>0.0</v>
      </c>
      <c r="G1740" s="4">
        <v>248.0</v>
      </c>
      <c r="H1740" s="4">
        <v>69.0</v>
      </c>
      <c r="I1740" s="21">
        <f t="array" ref="I1740">XLOOKUP($A1740,product!A:A,product!E:E)</f>
        <v>1.44</v>
      </c>
      <c r="J1740" s="4">
        <f t="shared" si="2"/>
        <v>99.36</v>
      </c>
      <c r="K1740" s="22">
        <f t="shared" si="3"/>
        <v>1</v>
      </c>
      <c r="L1740" s="4">
        <f t="shared" si="4"/>
        <v>1</v>
      </c>
    </row>
    <row r="1741">
      <c r="A1741" s="23">
        <v>200360.0</v>
      </c>
      <c r="B1741" s="24" t="str">
        <f t="array" ref="B1741">xlookup($A1741,product!$A:$A,product!B:B)</f>
        <v>Extérieur</v>
      </c>
      <c r="C1741" s="24" t="str">
        <f t="array" ref="C1741">xlookup($A1741,product!$A:$A,product!C:C)</f>
        <v>Animalerie Bio</v>
      </c>
      <c r="D1741" s="24" t="str">
        <f t="array" ref="D1741">xlookup($A1741,product!$A:$A,product!D:D)</f>
        <v>Alimentation Chiens</v>
      </c>
      <c r="E1741" s="25" t="str">
        <f t="shared" si="1"/>
        <v>200360-Animalerie Bio-Alimentation Chiens</v>
      </c>
      <c r="F1741" s="25">
        <v>1.0</v>
      </c>
      <c r="G1741" s="25">
        <v>943.0</v>
      </c>
      <c r="H1741" s="25">
        <v>925.0</v>
      </c>
      <c r="I1741" s="26">
        <f t="array" ref="I1741">XLOOKUP($A1741,product!A:A,product!E:E)</f>
        <v>1.83</v>
      </c>
      <c r="J1741" s="25">
        <f t="shared" si="2"/>
        <v>1692.75</v>
      </c>
      <c r="K1741" s="27">
        <f t="shared" si="3"/>
        <v>1</v>
      </c>
      <c r="L1741" s="25">
        <f t="shared" si="4"/>
        <v>1</v>
      </c>
    </row>
    <row r="1742">
      <c r="A1742" s="19">
        <v>196501.0</v>
      </c>
      <c r="B1742" s="20" t="str">
        <f t="array" ref="B1742">xlookup($A1742,product!$A:$A,product!B:B)</f>
        <v>Extérieur</v>
      </c>
      <c r="C1742" s="20" t="str">
        <f t="array" ref="C1742">xlookup($A1742,product!$A:$A,product!C:C)</f>
        <v>Animalerie Bio</v>
      </c>
      <c r="D1742" s="20" t="str">
        <f t="array" ref="D1742">xlookup($A1742,product!$A:$A,product!D:D)</f>
        <v>Alimentation Chiens</v>
      </c>
      <c r="E1742" s="4" t="str">
        <f t="shared" si="1"/>
        <v>196501-Animalerie Bio-Alimentation Chiens</v>
      </c>
      <c r="F1742" s="4">
        <v>1.0</v>
      </c>
      <c r="G1742" s="4">
        <v>735.0</v>
      </c>
      <c r="H1742" s="4">
        <v>255.0</v>
      </c>
      <c r="I1742" s="21">
        <f t="array" ref="I1742">XLOOKUP($A1742,product!A:A,product!E:E)</f>
        <v>9.36</v>
      </c>
      <c r="J1742" s="4">
        <f t="shared" si="2"/>
        <v>2386.8</v>
      </c>
      <c r="K1742" s="22">
        <f t="shared" si="3"/>
        <v>1</v>
      </c>
      <c r="L1742" s="4">
        <f t="shared" si="4"/>
        <v>1</v>
      </c>
    </row>
    <row r="1743">
      <c r="A1743" s="23">
        <v>100460.0</v>
      </c>
      <c r="B1743" s="24" t="str">
        <f t="array" ref="B1743">xlookup($A1743,product!$A:$A,product!B:B)</f>
        <v>Extérieur</v>
      </c>
      <c r="C1743" s="24" t="str">
        <f t="array" ref="C1743">xlookup($A1743,product!$A:$A,product!C:C)</f>
        <v>Animalerie Bio</v>
      </c>
      <c r="D1743" s="24" t="str">
        <f t="array" ref="D1743">xlookup($A1743,product!$A:$A,product!D:D)</f>
        <v>Alimentation Chiens</v>
      </c>
      <c r="E1743" s="25" t="str">
        <f t="shared" si="1"/>
        <v>100460-Animalerie Bio-Alimentation Chiens</v>
      </c>
      <c r="F1743" s="25">
        <v>0.0</v>
      </c>
      <c r="G1743" s="25">
        <v>521.0</v>
      </c>
      <c r="H1743" s="25">
        <v>147.0</v>
      </c>
      <c r="I1743" s="26">
        <f t="array" ref="I1743">XLOOKUP($A1743,product!A:A,product!E:E)</f>
        <v>10.96</v>
      </c>
      <c r="J1743" s="25">
        <f t="shared" si="2"/>
        <v>1611.12</v>
      </c>
      <c r="K1743" s="27">
        <f t="shared" si="3"/>
        <v>1</v>
      </c>
      <c r="L1743" s="25">
        <f t="shared" si="4"/>
        <v>1</v>
      </c>
    </row>
    <row r="1744">
      <c r="A1744" s="19">
        <v>5880.0</v>
      </c>
      <c r="B1744" s="20" t="str">
        <f t="array" ref="B1744">xlookup($A1744,product!$A:$A,product!B:B)</f>
        <v>Extérieur</v>
      </c>
      <c r="C1744" s="20" t="str">
        <f t="array" ref="C1744">xlookup($A1744,product!$A:$A,product!C:C)</f>
        <v>Animalerie Bio</v>
      </c>
      <c r="D1744" s="20" t="str">
        <f t="array" ref="D1744">xlookup($A1744,product!$A:$A,product!D:D)</f>
        <v>Hygiène et soins Animaux</v>
      </c>
      <c r="E1744" s="4" t="str">
        <f t="shared" si="1"/>
        <v>5880-Animalerie Bio-Hygiène et soins Animaux</v>
      </c>
      <c r="F1744" s="4">
        <v>0.0</v>
      </c>
      <c r="G1744" s="4">
        <v>918.0</v>
      </c>
      <c r="H1744" s="4">
        <v>112.0</v>
      </c>
      <c r="I1744" s="21">
        <f t="array" ref="I1744">XLOOKUP($A1744,product!A:A,product!E:E)</f>
        <v>7.42</v>
      </c>
      <c r="J1744" s="4">
        <f t="shared" si="2"/>
        <v>831.04</v>
      </c>
      <c r="K1744" s="22">
        <f t="shared" si="3"/>
        <v>1</v>
      </c>
      <c r="L1744" s="4">
        <f t="shared" si="4"/>
        <v>1</v>
      </c>
    </row>
    <row r="1745">
      <c r="A1745" s="23">
        <v>5872.0</v>
      </c>
      <c r="B1745" s="24" t="str">
        <f t="array" ref="B1745">xlookup($A1745,product!$A:$A,product!B:B)</f>
        <v>Extérieur</v>
      </c>
      <c r="C1745" s="24" t="str">
        <f t="array" ref="C1745">xlookup($A1745,product!$A:$A,product!C:C)</f>
        <v>Animalerie Bio</v>
      </c>
      <c r="D1745" s="24" t="str">
        <f t="array" ref="D1745">xlookup($A1745,product!$A:$A,product!D:D)</f>
        <v>Hygiène et soins Animaux</v>
      </c>
      <c r="E1745" s="25" t="str">
        <f t="shared" si="1"/>
        <v>5872-Animalerie Bio-Hygiène et soins Animaux</v>
      </c>
      <c r="F1745" s="25">
        <v>0.0</v>
      </c>
      <c r="G1745" s="25">
        <v>812.0</v>
      </c>
      <c r="H1745" s="25">
        <v>564.0</v>
      </c>
      <c r="I1745" s="26">
        <f t="array" ref="I1745">XLOOKUP($A1745,product!A:A,product!E:E)</f>
        <v>15.81</v>
      </c>
      <c r="J1745" s="25">
        <f t="shared" si="2"/>
        <v>8916.84</v>
      </c>
      <c r="K1745" s="27">
        <f t="shared" si="3"/>
        <v>1</v>
      </c>
      <c r="L1745" s="25">
        <f t="shared" si="4"/>
        <v>1</v>
      </c>
    </row>
    <row r="1746">
      <c r="A1746" s="19">
        <v>114258.0</v>
      </c>
      <c r="B1746" s="20" t="str">
        <f t="array" ref="B1746">xlookup($A1746,product!$A:$A,product!B:B)</f>
        <v>Extérieur</v>
      </c>
      <c r="C1746" s="20" t="str">
        <f t="array" ref="C1746">xlookup($A1746,product!$A:$A,product!C:C)</f>
        <v>Animalerie Bio</v>
      </c>
      <c r="D1746" s="20" t="str">
        <f t="array" ref="D1746">xlookup($A1746,product!$A:$A,product!D:D)</f>
        <v>Hygiène et soins Animaux</v>
      </c>
      <c r="E1746" s="4" t="str">
        <f t="shared" si="1"/>
        <v>114258-Animalerie Bio-Hygiène et soins Animaux</v>
      </c>
      <c r="F1746" s="4">
        <v>0.0</v>
      </c>
      <c r="G1746" s="4">
        <v>863.0</v>
      </c>
      <c r="H1746" s="4">
        <v>695.0</v>
      </c>
      <c r="I1746" s="21">
        <f t="array" ref="I1746">XLOOKUP($A1746,product!A:A,product!E:E)</f>
        <v>7.41</v>
      </c>
      <c r="J1746" s="4">
        <f t="shared" si="2"/>
        <v>5149.95</v>
      </c>
      <c r="K1746" s="22">
        <f t="shared" si="3"/>
        <v>1</v>
      </c>
      <c r="L1746" s="4">
        <f t="shared" si="4"/>
        <v>1</v>
      </c>
    </row>
    <row r="1747">
      <c r="A1747" s="23">
        <v>11122.0</v>
      </c>
      <c r="B1747" s="24" t="str">
        <f t="array" ref="B1747">xlookup($A1747,product!$A:$A,product!B:B)</f>
        <v>Extérieur</v>
      </c>
      <c r="C1747" s="24" t="str">
        <f t="array" ref="C1747">xlookup($A1747,product!$A:$A,product!C:C)</f>
        <v>Animalerie Bio</v>
      </c>
      <c r="D1747" s="24" t="str">
        <f t="array" ref="D1747">xlookup($A1747,product!$A:$A,product!D:D)</f>
        <v>Hygiène et soins Animaux</v>
      </c>
      <c r="E1747" s="25" t="str">
        <f t="shared" si="1"/>
        <v>11122-Animalerie Bio-Hygiène et soins Animaux</v>
      </c>
      <c r="F1747" s="25">
        <v>1.0</v>
      </c>
      <c r="G1747" s="25">
        <v>339.0</v>
      </c>
      <c r="H1747" s="25">
        <v>70.0</v>
      </c>
      <c r="I1747" s="26">
        <f t="array" ref="I1747">XLOOKUP($A1747,product!A:A,product!E:E)</f>
        <v>9.48</v>
      </c>
      <c r="J1747" s="25">
        <f t="shared" si="2"/>
        <v>663.6</v>
      </c>
      <c r="K1747" s="27">
        <f t="shared" si="3"/>
        <v>1</v>
      </c>
      <c r="L1747" s="25">
        <f t="shared" si="4"/>
        <v>1</v>
      </c>
    </row>
    <row r="1748">
      <c r="A1748" s="19">
        <v>116894.0</v>
      </c>
      <c r="B1748" s="20" t="str">
        <f t="array" ref="B1748">xlookup($A1748,product!$A:$A,product!B:B)</f>
        <v>Extérieur</v>
      </c>
      <c r="C1748" s="20" t="str">
        <f t="array" ref="C1748">xlookup($A1748,product!$A:$A,product!C:C)</f>
        <v>Animalerie Bio</v>
      </c>
      <c r="D1748" s="20" t="str">
        <f t="array" ref="D1748">xlookup($A1748,product!$A:$A,product!D:D)</f>
        <v>Hygiène et soins Animaux</v>
      </c>
      <c r="E1748" s="4" t="str">
        <f t="shared" si="1"/>
        <v>116894-Animalerie Bio-Hygiène et soins Animaux</v>
      </c>
      <c r="F1748" s="4">
        <v>0.0</v>
      </c>
      <c r="G1748" s="4">
        <v>605.0</v>
      </c>
      <c r="H1748" s="4">
        <v>487.0</v>
      </c>
      <c r="I1748" s="21">
        <f t="array" ref="I1748">XLOOKUP($A1748,product!A:A,product!E:E)</f>
        <v>5.25</v>
      </c>
      <c r="J1748" s="4">
        <f t="shared" si="2"/>
        <v>2556.75</v>
      </c>
      <c r="K1748" s="22">
        <f t="shared" si="3"/>
        <v>1</v>
      </c>
      <c r="L1748" s="4">
        <f t="shared" si="4"/>
        <v>1</v>
      </c>
    </row>
    <row r="1749">
      <c r="A1749" s="23">
        <v>72994.0</v>
      </c>
      <c r="B1749" s="24" t="str">
        <f t="array" ref="B1749">xlookup($A1749,product!$A:$A,product!B:B)</f>
        <v>Extérieur</v>
      </c>
      <c r="C1749" s="24" t="str">
        <f t="array" ref="C1749">xlookup($A1749,product!$A:$A,product!C:C)</f>
        <v>Animalerie Bio</v>
      </c>
      <c r="D1749" s="24" t="str">
        <f t="array" ref="D1749">xlookup($A1749,product!$A:$A,product!D:D)</f>
        <v>Hygiène et soins Animaux</v>
      </c>
      <c r="E1749" s="25" t="str">
        <f t="shared" si="1"/>
        <v>72994-Animalerie Bio-Hygiène et soins Animaux</v>
      </c>
      <c r="F1749" s="25">
        <v>0.0</v>
      </c>
      <c r="G1749" s="25">
        <v>495.0</v>
      </c>
      <c r="H1749" s="25">
        <v>151.0</v>
      </c>
      <c r="I1749" s="26">
        <f t="array" ref="I1749">XLOOKUP($A1749,product!A:A,product!E:E)</f>
        <v>11.62</v>
      </c>
      <c r="J1749" s="25">
        <f t="shared" si="2"/>
        <v>1754.62</v>
      </c>
      <c r="K1749" s="27">
        <f t="shared" si="3"/>
        <v>1</v>
      </c>
      <c r="L1749" s="25">
        <f t="shared" si="4"/>
        <v>1</v>
      </c>
    </row>
    <row r="1750">
      <c r="A1750" s="19">
        <v>120863.0</v>
      </c>
      <c r="B1750" s="20" t="str">
        <f t="array" ref="B1750">xlookup($A1750,product!$A:$A,product!B:B)</f>
        <v>Epicerie salée</v>
      </c>
      <c r="C1750" s="20" t="str">
        <f t="array" ref="C1750">xlookup($A1750,product!$A:$A,product!C:C)</f>
        <v>Apéritifs bio</v>
      </c>
      <c r="D1750" s="20" t="str">
        <f t="array" ref="D1750">xlookup($A1750,product!$A:$A,product!D:D)</f>
        <v>Antipasti</v>
      </c>
      <c r="E1750" s="4" t="str">
        <f t="shared" si="1"/>
        <v>120863-Apéritifs bio-Antipasti</v>
      </c>
      <c r="F1750" s="4">
        <v>1.0</v>
      </c>
      <c r="G1750" s="4">
        <v>111.0</v>
      </c>
      <c r="H1750" s="4">
        <v>2.0</v>
      </c>
      <c r="I1750" s="21">
        <f t="array" ref="I1750">XLOOKUP($A1750,product!A:A,product!E:E)</f>
        <v>2.42</v>
      </c>
      <c r="J1750" s="4">
        <f t="shared" si="2"/>
        <v>4.84</v>
      </c>
      <c r="K1750" s="22">
        <f t="shared" si="3"/>
        <v>1</v>
      </c>
      <c r="L1750" s="4">
        <f t="shared" si="4"/>
        <v>1</v>
      </c>
    </row>
    <row r="1751">
      <c r="A1751" s="23">
        <v>120870.0</v>
      </c>
      <c r="B1751" s="24" t="str">
        <f t="array" ref="B1751">xlookup($A1751,product!$A:$A,product!B:B)</f>
        <v>Epicerie salée</v>
      </c>
      <c r="C1751" s="24" t="str">
        <f t="array" ref="C1751">xlookup($A1751,product!$A:$A,product!C:C)</f>
        <v>Apéritifs bio</v>
      </c>
      <c r="D1751" s="24" t="str">
        <f t="array" ref="D1751">xlookup($A1751,product!$A:$A,product!D:D)</f>
        <v>Antipasti</v>
      </c>
      <c r="E1751" s="25" t="str">
        <f t="shared" si="1"/>
        <v>120870-Apéritifs bio-Antipasti</v>
      </c>
      <c r="F1751" s="25">
        <v>1.0</v>
      </c>
      <c r="G1751" s="25">
        <v>425.0</v>
      </c>
      <c r="H1751" s="25">
        <v>46.0</v>
      </c>
      <c r="I1751" s="26">
        <f t="array" ref="I1751">XLOOKUP($A1751,product!A:A,product!E:E)</f>
        <v>2.3</v>
      </c>
      <c r="J1751" s="25">
        <f t="shared" si="2"/>
        <v>105.8</v>
      </c>
      <c r="K1751" s="27">
        <f t="shared" si="3"/>
        <v>1</v>
      </c>
      <c r="L1751" s="25">
        <f t="shared" si="4"/>
        <v>1</v>
      </c>
    </row>
    <row r="1752">
      <c r="A1752" s="19">
        <v>120868.0</v>
      </c>
      <c r="B1752" s="20" t="str">
        <f t="array" ref="B1752">xlookup($A1752,product!$A:$A,product!B:B)</f>
        <v>Epicerie salée</v>
      </c>
      <c r="C1752" s="20" t="str">
        <f t="array" ref="C1752">xlookup($A1752,product!$A:$A,product!C:C)</f>
        <v>Apéritifs bio</v>
      </c>
      <c r="D1752" s="20" t="str">
        <f t="array" ref="D1752">xlookup($A1752,product!$A:$A,product!D:D)</f>
        <v>Antipasti</v>
      </c>
      <c r="E1752" s="4" t="str">
        <f t="shared" si="1"/>
        <v>120868-Apéritifs bio-Antipasti</v>
      </c>
      <c r="F1752" s="4">
        <v>1.0</v>
      </c>
      <c r="G1752" s="4">
        <v>73.0</v>
      </c>
      <c r="H1752" s="4">
        <v>66.0</v>
      </c>
      <c r="I1752" s="21">
        <f t="array" ref="I1752">XLOOKUP($A1752,product!A:A,product!E:E)</f>
        <v>2.87</v>
      </c>
      <c r="J1752" s="4">
        <f t="shared" si="2"/>
        <v>189.42</v>
      </c>
      <c r="K1752" s="22">
        <f t="shared" si="3"/>
        <v>1</v>
      </c>
      <c r="L1752" s="4">
        <f t="shared" si="4"/>
        <v>1</v>
      </c>
    </row>
    <row r="1753">
      <c r="A1753" s="23">
        <v>102063.0</v>
      </c>
      <c r="B1753" s="24" t="str">
        <f t="array" ref="B1753">xlookup($A1753,product!$A:$A,product!B:B)</f>
        <v>Epicerie salée</v>
      </c>
      <c r="C1753" s="24" t="str">
        <f t="array" ref="C1753">xlookup($A1753,product!$A:$A,product!C:C)</f>
        <v>Apéritifs bio</v>
      </c>
      <c r="D1753" s="24" t="str">
        <f t="array" ref="D1753">xlookup($A1753,product!$A:$A,product!D:D)</f>
        <v>Antipasti</v>
      </c>
      <c r="E1753" s="25" t="str">
        <f t="shared" si="1"/>
        <v>102063-Apéritifs bio-Antipasti</v>
      </c>
      <c r="F1753" s="25">
        <v>1.0</v>
      </c>
      <c r="G1753" s="25">
        <v>523.0</v>
      </c>
      <c r="H1753" s="25">
        <v>197.0</v>
      </c>
      <c r="I1753" s="26">
        <f t="array" ref="I1753">XLOOKUP($A1753,product!A:A,product!E:E)</f>
        <v>2.87</v>
      </c>
      <c r="J1753" s="25">
        <f t="shared" si="2"/>
        <v>565.39</v>
      </c>
      <c r="K1753" s="27">
        <f t="shared" si="3"/>
        <v>1</v>
      </c>
      <c r="L1753" s="25">
        <f t="shared" si="4"/>
        <v>1</v>
      </c>
    </row>
    <row r="1754">
      <c r="A1754" s="19">
        <v>120869.0</v>
      </c>
      <c r="B1754" s="20" t="str">
        <f t="array" ref="B1754">xlookup($A1754,product!$A:$A,product!B:B)</f>
        <v>Epicerie salée</v>
      </c>
      <c r="C1754" s="20" t="str">
        <f t="array" ref="C1754">xlookup($A1754,product!$A:$A,product!C:C)</f>
        <v>Apéritifs bio</v>
      </c>
      <c r="D1754" s="20" t="str">
        <f t="array" ref="D1754">xlookup($A1754,product!$A:$A,product!D:D)</f>
        <v>Antipasti</v>
      </c>
      <c r="E1754" s="4" t="str">
        <f t="shared" si="1"/>
        <v>120869-Apéritifs bio-Antipasti</v>
      </c>
      <c r="F1754" s="4">
        <v>0.0</v>
      </c>
      <c r="G1754" s="4">
        <v>528.0</v>
      </c>
      <c r="H1754" s="4">
        <v>483.0</v>
      </c>
      <c r="I1754" s="21">
        <f t="array" ref="I1754">XLOOKUP($A1754,product!A:A,product!E:E)</f>
        <v>3.86</v>
      </c>
      <c r="J1754" s="4">
        <f t="shared" si="2"/>
        <v>1864.38</v>
      </c>
      <c r="K1754" s="22">
        <f t="shared" si="3"/>
        <v>1</v>
      </c>
      <c r="L1754" s="4">
        <f t="shared" si="4"/>
        <v>1</v>
      </c>
    </row>
    <row r="1755">
      <c r="A1755" s="23">
        <v>120871.0</v>
      </c>
      <c r="B1755" s="24" t="str">
        <f t="array" ref="B1755">xlookup($A1755,product!$A:$A,product!B:B)</f>
        <v>Epicerie salée</v>
      </c>
      <c r="C1755" s="24" t="str">
        <f t="array" ref="C1755">xlookup($A1755,product!$A:$A,product!C:C)</f>
        <v>Apéritifs bio</v>
      </c>
      <c r="D1755" s="24" t="str">
        <f t="array" ref="D1755">xlookup($A1755,product!$A:$A,product!D:D)</f>
        <v>Olives bio</v>
      </c>
      <c r="E1755" s="25" t="str">
        <f t="shared" si="1"/>
        <v>120871-Apéritifs bio-Olives bio</v>
      </c>
      <c r="F1755" s="25">
        <v>0.0</v>
      </c>
      <c r="G1755" s="25">
        <v>795.0</v>
      </c>
      <c r="H1755" s="25">
        <v>336.0</v>
      </c>
      <c r="I1755" s="26">
        <f t="array" ref="I1755">XLOOKUP($A1755,product!A:A,product!E:E)</f>
        <v>2.21</v>
      </c>
      <c r="J1755" s="25">
        <f t="shared" si="2"/>
        <v>742.56</v>
      </c>
      <c r="K1755" s="27">
        <f t="shared" si="3"/>
        <v>1</v>
      </c>
      <c r="L1755" s="25">
        <f t="shared" si="4"/>
        <v>1</v>
      </c>
    </row>
    <row r="1756">
      <c r="A1756" s="19">
        <v>24195.0</v>
      </c>
      <c r="B1756" s="20" t="str">
        <f t="array" ref="B1756">xlookup($A1756,product!$A:$A,product!B:B)</f>
        <v>Epicerie salée</v>
      </c>
      <c r="C1756" s="20" t="str">
        <f t="array" ref="C1756">xlookup($A1756,product!$A:$A,product!C:C)</f>
        <v>Apéritifs bio</v>
      </c>
      <c r="D1756" s="20" t="str">
        <f t="array" ref="D1756">xlookup($A1756,product!$A:$A,product!D:D)</f>
        <v>Olives bio</v>
      </c>
      <c r="E1756" s="4" t="str">
        <f t="shared" si="1"/>
        <v>24195-Apéritifs bio-Olives bio</v>
      </c>
      <c r="F1756" s="4">
        <v>1.0</v>
      </c>
      <c r="G1756" s="4">
        <v>530.0</v>
      </c>
      <c r="H1756" s="4">
        <v>46.0</v>
      </c>
      <c r="I1756" s="21">
        <f t="array" ref="I1756">XLOOKUP($A1756,product!A:A,product!E:E)</f>
        <v>2.79</v>
      </c>
      <c r="J1756" s="4">
        <f t="shared" si="2"/>
        <v>128.34</v>
      </c>
      <c r="K1756" s="22">
        <f t="shared" si="3"/>
        <v>1</v>
      </c>
      <c r="L1756" s="4">
        <f t="shared" si="4"/>
        <v>1</v>
      </c>
    </row>
    <row r="1757">
      <c r="A1757" s="23">
        <v>120422.0</v>
      </c>
      <c r="B1757" s="24" t="str">
        <f t="array" ref="B1757">xlookup($A1757,product!$A:$A,product!B:B)</f>
        <v>Epicerie salée</v>
      </c>
      <c r="C1757" s="24" t="str">
        <f t="array" ref="C1757">xlookup($A1757,product!$A:$A,product!C:C)</f>
        <v>Apéritifs bio</v>
      </c>
      <c r="D1757" s="24" t="str">
        <f t="array" ref="D1757">xlookup($A1757,product!$A:$A,product!D:D)</f>
        <v>Olives bio</v>
      </c>
      <c r="E1757" s="25" t="str">
        <f t="shared" si="1"/>
        <v>120422-Apéritifs bio-Olives bio</v>
      </c>
      <c r="F1757" s="25">
        <v>1.0</v>
      </c>
      <c r="G1757" s="25">
        <v>258.0</v>
      </c>
      <c r="H1757" s="25">
        <v>127.0</v>
      </c>
      <c r="I1757" s="26">
        <f t="array" ref="I1757">XLOOKUP($A1757,product!A:A,product!E:E)</f>
        <v>2.56</v>
      </c>
      <c r="J1757" s="25">
        <f t="shared" si="2"/>
        <v>325.12</v>
      </c>
      <c r="K1757" s="27">
        <f t="shared" si="3"/>
        <v>1</v>
      </c>
      <c r="L1757" s="25">
        <f t="shared" si="4"/>
        <v>1</v>
      </c>
    </row>
    <row r="1758">
      <c r="A1758" s="19">
        <v>120874.0</v>
      </c>
      <c r="B1758" s="20" t="str">
        <f t="array" ref="B1758">xlookup($A1758,product!$A:$A,product!B:B)</f>
        <v>Epicerie salée</v>
      </c>
      <c r="C1758" s="20" t="str">
        <f t="array" ref="C1758">xlookup($A1758,product!$A:$A,product!C:C)</f>
        <v>Apéritifs bio</v>
      </c>
      <c r="D1758" s="20" t="str">
        <f t="array" ref="D1758">xlookup($A1758,product!$A:$A,product!D:D)</f>
        <v>Olives bio</v>
      </c>
      <c r="E1758" s="4" t="str">
        <f t="shared" si="1"/>
        <v>120874-Apéritifs bio-Olives bio</v>
      </c>
      <c r="F1758" s="4">
        <v>0.0</v>
      </c>
      <c r="G1758" s="4">
        <v>0.0</v>
      </c>
      <c r="H1758" s="4">
        <v>0.0</v>
      </c>
      <c r="I1758" s="21">
        <f t="array" ref="I1758">XLOOKUP($A1758,product!A:A,product!E:E)</f>
        <v>1.67</v>
      </c>
      <c r="J1758" s="4">
        <f t="shared" si="2"/>
        <v>0</v>
      </c>
      <c r="K1758" s="22">
        <f t="shared" si="3"/>
        <v>0</v>
      </c>
      <c r="L1758" s="4">
        <f t="shared" si="4"/>
        <v>1</v>
      </c>
    </row>
    <row r="1759">
      <c r="A1759" s="23">
        <v>120416.0</v>
      </c>
      <c r="B1759" s="24" t="str">
        <f t="array" ref="B1759">xlookup($A1759,product!$A:$A,product!B:B)</f>
        <v>Epicerie salée</v>
      </c>
      <c r="C1759" s="24" t="str">
        <f t="array" ref="C1759">xlookup($A1759,product!$A:$A,product!C:C)</f>
        <v>Apéritifs bio</v>
      </c>
      <c r="D1759" s="24" t="str">
        <f t="array" ref="D1759">xlookup($A1759,product!$A:$A,product!D:D)</f>
        <v>Olives bio</v>
      </c>
      <c r="E1759" s="25" t="str">
        <f t="shared" si="1"/>
        <v>120416-Apéritifs bio-Olives bio</v>
      </c>
      <c r="F1759" s="25">
        <v>1.0</v>
      </c>
      <c r="G1759" s="25">
        <v>882.0</v>
      </c>
      <c r="H1759" s="25">
        <v>198.0</v>
      </c>
      <c r="I1759" s="26">
        <f t="array" ref="I1759">XLOOKUP($A1759,product!A:A,product!E:E)</f>
        <v>1.89</v>
      </c>
      <c r="J1759" s="25">
        <f t="shared" si="2"/>
        <v>374.22</v>
      </c>
      <c r="K1759" s="27">
        <f t="shared" si="3"/>
        <v>1</v>
      </c>
      <c r="L1759" s="25">
        <f t="shared" si="4"/>
        <v>1</v>
      </c>
    </row>
    <row r="1760">
      <c r="A1760" s="19">
        <v>80944.0</v>
      </c>
      <c r="B1760" s="20" t="str">
        <f t="array" ref="B1760">xlookup($A1760,product!$A:$A,product!B:B)</f>
        <v>Epicerie salée</v>
      </c>
      <c r="C1760" s="20" t="str">
        <f t="array" ref="C1760">xlookup($A1760,product!$A:$A,product!C:C)</f>
        <v>Apéritifs bio</v>
      </c>
      <c r="D1760" s="20" t="str">
        <f t="array" ref="D1760">xlookup($A1760,product!$A:$A,product!D:D)</f>
        <v>Olives bio</v>
      </c>
      <c r="E1760" s="4" t="str">
        <f t="shared" si="1"/>
        <v>80944-Apéritifs bio-Olives bio</v>
      </c>
      <c r="F1760" s="4">
        <v>1.0</v>
      </c>
      <c r="G1760" s="4">
        <v>895.0</v>
      </c>
      <c r="H1760" s="4">
        <v>466.0</v>
      </c>
      <c r="I1760" s="21">
        <f t="array" ref="I1760">XLOOKUP($A1760,product!A:A,product!E:E)</f>
        <v>1.53</v>
      </c>
      <c r="J1760" s="4">
        <f t="shared" si="2"/>
        <v>712.98</v>
      </c>
      <c r="K1760" s="22">
        <f t="shared" si="3"/>
        <v>1</v>
      </c>
      <c r="L1760" s="4">
        <f t="shared" si="4"/>
        <v>1</v>
      </c>
    </row>
    <row r="1761">
      <c r="A1761" s="23">
        <v>120873.0</v>
      </c>
      <c r="B1761" s="24" t="str">
        <f t="array" ref="B1761">xlookup($A1761,product!$A:$A,product!B:B)</f>
        <v>Epicerie salée</v>
      </c>
      <c r="C1761" s="24" t="str">
        <f t="array" ref="C1761">xlookup($A1761,product!$A:$A,product!C:C)</f>
        <v>Apéritifs bio</v>
      </c>
      <c r="D1761" s="24" t="str">
        <f t="array" ref="D1761">xlookup($A1761,product!$A:$A,product!D:D)</f>
        <v>Olives bio</v>
      </c>
      <c r="E1761" s="25" t="str">
        <f t="shared" si="1"/>
        <v>120873-Apéritifs bio-Olives bio</v>
      </c>
      <c r="F1761" s="25">
        <v>1.0</v>
      </c>
      <c r="G1761" s="25">
        <v>936.0</v>
      </c>
      <c r="H1761" s="25">
        <v>145.0</v>
      </c>
      <c r="I1761" s="26">
        <f t="array" ref="I1761">XLOOKUP($A1761,product!A:A,product!E:E)</f>
        <v>2.66</v>
      </c>
      <c r="J1761" s="25">
        <f t="shared" si="2"/>
        <v>385.7</v>
      </c>
      <c r="K1761" s="27">
        <f t="shared" si="3"/>
        <v>1</v>
      </c>
      <c r="L1761" s="25">
        <f t="shared" si="4"/>
        <v>1</v>
      </c>
    </row>
    <row r="1762">
      <c r="A1762" s="19">
        <v>120875.0</v>
      </c>
      <c r="B1762" s="20" t="str">
        <f t="array" ref="B1762">xlookup($A1762,product!$A:$A,product!B:B)</f>
        <v>Epicerie salée</v>
      </c>
      <c r="C1762" s="20" t="str">
        <f t="array" ref="C1762">xlookup($A1762,product!$A:$A,product!C:C)</f>
        <v>Apéritifs bio</v>
      </c>
      <c r="D1762" s="20" t="str">
        <f t="array" ref="D1762">xlookup($A1762,product!$A:$A,product!D:D)</f>
        <v>Olives bio</v>
      </c>
      <c r="E1762" s="4" t="str">
        <f t="shared" si="1"/>
        <v>120875-Apéritifs bio-Olives bio</v>
      </c>
      <c r="F1762" s="4">
        <v>0.0</v>
      </c>
      <c r="G1762" s="4">
        <v>570.0</v>
      </c>
      <c r="H1762" s="4">
        <v>400.0</v>
      </c>
      <c r="I1762" s="21">
        <f t="array" ref="I1762">XLOOKUP($A1762,product!A:A,product!E:E)</f>
        <v>1.96</v>
      </c>
      <c r="J1762" s="4">
        <f t="shared" si="2"/>
        <v>784</v>
      </c>
      <c r="K1762" s="22">
        <f t="shared" si="3"/>
        <v>1</v>
      </c>
      <c r="L1762" s="4">
        <f t="shared" si="4"/>
        <v>1</v>
      </c>
    </row>
    <row r="1763">
      <c r="A1763" s="23">
        <v>147285.0</v>
      </c>
      <c r="B1763" s="24" t="str">
        <f t="array" ref="B1763">xlookup($A1763,product!$A:$A,product!B:B)</f>
        <v>Epicerie salée</v>
      </c>
      <c r="C1763" s="24" t="str">
        <f t="array" ref="C1763">xlookup($A1763,product!$A:$A,product!C:C)</f>
        <v>Apéritifs bio</v>
      </c>
      <c r="D1763" s="24" t="str">
        <f t="array" ref="D1763">xlookup($A1763,product!$A:$A,product!D:D)</f>
        <v>Olives bio</v>
      </c>
      <c r="E1763" s="25" t="str">
        <f t="shared" si="1"/>
        <v>147285-Apéritifs bio-Olives bio</v>
      </c>
      <c r="F1763" s="25">
        <v>0.0</v>
      </c>
      <c r="G1763" s="25">
        <v>369.0</v>
      </c>
      <c r="H1763" s="25">
        <v>59.0</v>
      </c>
      <c r="I1763" s="26">
        <f t="array" ref="I1763">XLOOKUP($A1763,product!A:A,product!E:E)</f>
        <v>5.01</v>
      </c>
      <c r="J1763" s="25">
        <f t="shared" si="2"/>
        <v>295.59</v>
      </c>
      <c r="K1763" s="27">
        <f t="shared" si="3"/>
        <v>1</v>
      </c>
      <c r="L1763" s="25">
        <f t="shared" si="4"/>
        <v>1</v>
      </c>
    </row>
    <row r="1764">
      <c r="A1764" s="19">
        <v>88604.0</v>
      </c>
      <c r="B1764" s="20" t="str">
        <f t="array" ref="B1764">xlookup($A1764,product!$A:$A,product!B:B)</f>
        <v>Epicerie salée</v>
      </c>
      <c r="C1764" s="20" t="str">
        <f t="array" ref="C1764">xlookup($A1764,product!$A:$A,product!C:C)</f>
        <v>Apéritifs bio</v>
      </c>
      <c r="D1764" s="20" t="str">
        <f t="array" ref="D1764">xlookup($A1764,product!$A:$A,product!D:D)</f>
        <v>Olives bio</v>
      </c>
      <c r="E1764" s="4" t="str">
        <f t="shared" si="1"/>
        <v>88604-Apéritifs bio-Olives bio</v>
      </c>
      <c r="F1764" s="4">
        <v>1.0</v>
      </c>
      <c r="G1764" s="4">
        <v>566.0</v>
      </c>
      <c r="H1764" s="4">
        <v>92.0</v>
      </c>
      <c r="I1764" s="21">
        <f t="array" ref="I1764">XLOOKUP($A1764,product!A:A,product!E:E)</f>
        <v>2.54</v>
      </c>
      <c r="J1764" s="4">
        <f t="shared" si="2"/>
        <v>233.68</v>
      </c>
      <c r="K1764" s="22">
        <f t="shared" si="3"/>
        <v>1</v>
      </c>
      <c r="L1764" s="4">
        <f t="shared" si="4"/>
        <v>1</v>
      </c>
    </row>
    <row r="1765">
      <c r="A1765" s="23">
        <v>120417.0</v>
      </c>
      <c r="B1765" s="24" t="str">
        <f t="array" ref="B1765">xlookup($A1765,product!$A:$A,product!B:B)</f>
        <v>Epicerie salée</v>
      </c>
      <c r="C1765" s="24" t="str">
        <f t="array" ref="C1765">xlookup($A1765,product!$A:$A,product!C:C)</f>
        <v>Apéritifs bio</v>
      </c>
      <c r="D1765" s="24" t="str">
        <f t="array" ref="D1765">xlookup($A1765,product!$A:$A,product!D:D)</f>
        <v>Olives bio</v>
      </c>
      <c r="E1765" s="25" t="str">
        <f t="shared" si="1"/>
        <v>120417-Apéritifs bio-Olives bio</v>
      </c>
      <c r="F1765" s="25">
        <v>0.0</v>
      </c>
      <c r="G1765" s="25">
        <v>619.0</v>
      </c>
      <c r="H1765" s="25">
        <v>194.0</v>
      </c>
      <c r="I1765" s="26">
        <f t="array" ref="I1765">XLOOKUP($A1765,product!A:A,product!E:E)</f>
        <v>2.47</v>
      </c>
      <c r="J1765" s="25">
        <f t="shared" si="2"/>
        <v>479.18</v>
      </c>
      <c r="K1765" s="27">
        <f t="shared" si="3"/>
        <v>1</v>
      </c>
      <c r="L1765" s="25">
        <f t="shared" si="4"/>
        <v>1</v>
      </c>
    </row>
    <row r="1766">
      <c r="A1766" s="19">
        <v>113914.0</v>
      </c>
      <c r="B1766" s="20" t="str">
        <f t="array" ref="B1766">xlookup($A1766,product!$A:$A,product!B:B)</f>
        <v>Epicerie salée</v>
      </c>
      <c r="C1766" s="20" t="str">
        <f t="array" ref="C1766">xlookup($A1766,product!$A:$A,product!C:C)</f>
        <v>Apéritifs bio</v>
      </c>
      <c r="D1766" s="20" t="str">
        <f t="array" ref="D1766">xlookup($A1766,product!$A:$A,product!D:D)</f>
        <v>Olives bio</v>
      </c>
      <c r="E1766" s="4" t="str">
        <f t="shared" si="1"/>
        <v>113914-Apéritifs bio-Olives bio</v>
      </c>
      <c r="F1766" s="4">
        <v>0.0</v>
      </c>
      <c r="G1766" s="4">
        <v>836.0</v>
      </c>
      <c r="H1766" s="4">
        <v>24.0</v>
      </c>
      <c r="I1766" s="21">
        <f t="array" ref="I1766">XLOOKUP($A1766,product!A:A,product!E:E)</f>
        <v>2.51</v>
      </c>
      <c r="J1766" s="4">
        <f t="shared" si="2"/>
        <v>60.24</v>
      </c>
      <c r="K1766" s="22">
        <f t="shared" si="3"/>
        <v>1</v>
      </c>
      <c r="L1766" s="4">
        <f t="shared" si="4"/>
        <v>1</v>
      </c>
    </row>
    <row r="1767">
      <c r="A1767" s="23">
        <v>68793.0</v>
      </c>
      <c r="B1767" s="24" t="str">
        <f t="array" ref="B1767">xlookup($A1767,product!$A:$A,product!B:B)</f>
        <v>Epicerie salée</v>
      </c>
      <c r="C1767" s="24" t="str">
        <f t="array" ref="C1767">xlookup($A1767,product!$A:$A,product!C:C)</f>
        <v>Apéritifs bio</v>
      </c>
      <c r="D1767" s="24" t="str">
        <f t="array" ref="D1767">xlookup($A1767,product!$A:$A,product!D:D)</f>
        <v>Tartinables</v>
      </c>
      <c r="E1767" s="25" t="str">
        <f t="shared" si="1"/>
        <v>68793-Apéritifs bio-Tartinables</v>
      </c>
      <c r="F1767" s="25">
        <v>0.0</v>
      </c>
      <c r="G1767" s="25">
        <v>121.0</v>
      </c>
      <c r="H1767" s="25">
        <v>32.0</v>
      </c>
      <c r="I1767" s="26">
        <f t="array" ref="I1767">XLOOKUP($A1767,product!A:A,product!E:E)</f>
        <v>1.9</v>
      </c>
      <c r="J1767" s="25">
        <f t="shared" si="2"/>
        <v>60.8</v>
      </c>
      <c r="K1767" s="27">
        <f t="shared" si="3"/>
        <v>1</v>
      </c>
      <c r="L1767" s="25">
        <f t="shared" si="4"/>
        <v>1</v>
      </c>
    </row>
    <row r="1768">
      <c r="A1768" s="19">
        <v>106707.0</v>
      </c>
      <c r="B1768" s="20" t="str">
        <f t="array" ref="B1768">xlookup($A1768,product!$A:$A,product!B:B)</f>
        <v>Epicerie salée</v>
      </c>
      <c r="C1768" s="20" t="str">
        <f t="array" ref="C1768">xlookup($A1768,product!$A:$A,product!C:C)</f>
        <v>Apéritifs bio</v>
      </c>
      <c r="D1768" s="20" t="str">
        <f t="array" ref="D1768">xlookup($A1768,product!$A:$A,product!D:D)</f>
        <v>Tartinables</v>
      </c>
      <c r="E1768" s="4" t="str">
        <f t="shared" si="1"/>
        <v>106707-Apéritifs bio-Tartinables</v>
      </c>
      <c r="F1768" s="4">
        <v>1.0</v>
      </c>
      <c r="G1768" s="4">
        <v>546.0</v>
      </c>
      <c r="H1768" s="4">
        <v>507.0</v>
      </c>
      <c r="I1768" s="21">
        <f t="array" ref="I1768">XLOOKUP($A1768,product!A:A,product!E:E)</f>
        <v>1.75</v>
      </c>
      <c r="J1768" s="4">
        <f t="shared" si="2"/>
        <v>887.25</v>
      </c>
      <c r="K1768" s="22">
        <f t="shared" si="3"/>
        <v>1</v>
      </c>
      <c r="L1768" s="4">
        <f t="shared" si="4"/>
        <v>1</v>
      </c>
    </row>
    <row r="1769">
      <c r="A1769" s="23">
        <v>24210.0</v>
      </c>
      <c r="B1769" s="24" t="str">
        <f t="array" ref="B1769">xlookup($A1769,product!$A:$A,product!B:B)</f>
        <v>Epicerie salée</v>
      </c>
      <c r="C1769" s="24" t="str">
        <f t="array" ref="C1769">xlookup($A1769,product!$A:$A,product!C:C)</f>
        <v>Apéritifs bio</v>
      </c>
      <c r="D1769" s="24" t="str">
        <f t="array" ref="D1769">xlookup($A1769,product!$A:$A,product!D:D)</f>
        <v>Tartinables</v>
      </c>
      <c r="E1769" s="25" t="str">
        <f t="shared" si="1"/>
        <v>24210-Apéritifs bio-Tartinables</v>
      </c>
      <c r="F1769" s="25">
        <v>1.0</v>
      </c>
      <c r="G1769" s="25">
        <v>439.0</v>
      </c>
      <c r="H1769" s="25">
        <v>11.0</v>
      </c>
      <c r="I1769" s="26">
        <f t="array" ref="I1769">XLOOKUP($A1769,product!A:A,product!E:E)</f>
        <v>1.84</v>
      </c>
      <c r="J1769" s="25">
        <f t="shared" si="2"/>
        <v>20.24</v>
      </c>
      <c r="K1769" s="27">
        <f t="shared" si="3"/>
        <v>1</v>
      </c>
      <c r="L1769" s="25">
        <f t="shared" si="4"/>
        <v>1</v>
      </c>
    </row>
    <row r="1770">
      <c r="A1770" s="19">
        <v>44012.0</v>
      </c>
      <c r="B1770" s="20" t="str">
        <f t="array" ref="B1770">xlookup($A1770,product!$A:$A,product!B:B)</f>
        <v>Epicerie salée</v>
      </c>
      <c r="C1770" s="20" t="str">
        <f t="array" ref="C1770">xlookup($A1770,product!$A:$A,product!C:C)</f>
        <v>Apéritifs bio</v>
      </c>
      <c r="D1770" s="20" t="str">
        <f t="array" ref="D1770">xlookup($A1770,product!$A:$A,product!D:D)</f>
        <v>Tartinables</v>
      </c>
      <c r="E1770" s="4" t="str">
        <f t="shared" si="1"/>
        <v>44012-Apéritifs bio-Tartinables</v>
      </c>
      <c r="F1770" s="4">
        <v>0.0</v>
      </c>
      <c r="G1770" s="4">
        <v>795.0</v>
      </c>
      <c r="H1770" s="4">
        <v>343.0</v>
      </c>
      <c r="I1770" s="21">
        <f t="array" ref="I1770">XLOOKUP($A1770,product!A:A,product!E:E)</f>
        <v>2.38</v>
      </c>
      <c r="J1770" s="4">
        <f t="shared" si="2"/>
        <v>816.34</v>
      </c>
      <c r="K1770" s="22">
        <f t="shared" si="3"/>
        <v>1</v>
      </c>
      <c r="L1770" s="4">
        <f t="shared" si="4"/>
        <v>1</v>
      </c>
    </row>
    <row r="1771">
      <c r="A1771" s="23">
        <v>106710.0</v>
      </c>
      <c r="B1771" s="24" t="str">
        <f t="array" ref="B1771">xlookup($A1771,product!$A:$A,product!B:B)</f>
        <v>Epicerie salée</v>
      </c>
      <c r="C1771" s="24" t="str">
        <f t="array" ref="C1771">xlookup($A1771,product!$A:$A,product!C:C)</f>
        <v>Apéritifs bio</v>
      </c>
      <c r="D1771" s="24" t="str">
        <f t="array" ref="D1771">xlookup($A1771,product!$A:$A,product!D:D)</f>
        <v>Tartinables</v>
      </c>
      <c r="E1771" s="25" t="str">
        <f t="shared" si="1"/>
        <v>106710-Apéritifs bio-Tartinables</v>
      </c>
      <c r="F1771" s="25">
        <v>1.0</v>
      </c>
      <c r="G1771" s="25">
        <v>841.0</v>
      </c>
      <c r="H1771" s="25">
        <v>812.0</v>
      </c>
      <c r="I1771" s="26">
        <f t="array" ref="I1771">XLOOKUP($A1771,product!A:A,product!E:E)</f>
        <v>1.75</v>
      </c>
      <c r="J1771" s="25">
        <f t="shared" si="2"/>
        <v>1421</v>
      </c>
      <c r="K1771" s="27">
        <f t="shared" si="3"/>
        <v>1</v>
      </c>
      <c r="L1771" s="25">
        <f t="shared" si="4"/>
        <v>1</v>
      </c>
    </row>
    <row r="1772">
      <c r="A1772" s="19">
        <v>117239.0</v>
      </c>
      <c r="B1772" s="20" t="str">
        <f t="array" ref="B1772">xlookup($A1772,product!$A:$A,product!B:B)</f>
        <v>Epicerie salée</v>
      </c>
      <c r="C1772" s="20" t="str">
        <f t="array" ref="C1772">xlookup($A1772,product!$A:$A,product!C:C)</f>
        <v>Apéritifs bio</v>
      </c>
      <c r="D1772" s="20" t="str">
        <f t="array" ref="D1772">xlookup($A1772,product!$A:$A,product!D:D)</f>
        <v>Tartinables</v>
      </c>
      <c r="E1772" s="4" t="str">
        <f t="shared" si="1"/>
        <v>117239-Apéritifs bio-Tartinables</v>
      </c>
      <c r="F1772" s="4">
        <v>0.0</v>
      </c>
      <c r="G1772" s="4">
        <v>749.0</v>
      </c>
      <c r="H1772" s="4">
        <v>452.0</v>
      </c>
      <c r="I1772" s="21">
        <f t="array" ref="I1772">XLOOKUP($A1772,product!A:A,product!E:E)</f>
        <v>1.84</v>
      </c>
      <c r="J1772" s="4">
        <f t="shared" si="2"/>
        <v>831.68</v>
      </c>
      <c r="K1772" s="22">
        <f t="shared" si="3"/>
        <v>1</v>
      </c>
      <c r="L1772" s="4">
        <f t="shared" si="4"/>
        <v>1</v>
      </c>
    </row>
    <row r="1773">
      <c r="A1773" s="23">
        <v>80186.0</v>
      </c>
      <c r="B1773" s="24" t="str">
        <f t="array" ref="B1773">xlookup($A1773,product!$A:$A,product!B:B)</f>
        <v>Epicerie salée</v>
      </c>
      <c r="C1773" s="24" t="str">
        <f t="array" ref="C1773">xlookup($A1773,product!$A:$A,product!C:C)</f>
        <v>Apéritifs bio</v>
      </c>
      <c r="D1773" s="24" t="str">
        <f t="array" ref="D1773">xlookup($A1773,product!$A:$A,product!D:D)</f>
        <v>Tartinables</v>
      </c>
      <c r="E1773" s="25" t="str">
        <f t="shared" si="1"/>
        <v>80186-Apéritifs bio-Tartinables</v>
      </c>
      <c r="F1773" s="25">
        <v>1.0</v>
      </c>
      <c r="G1773" s="25">
        <v>685.0</v>
      </c>
      <c r="H1773" s="25">
        <v>22.0</v>
      </c>
      <c r="I1773" s="26">
        <f t="array" ref="I1773">XLOOKUP($A1773,product!A:A,product!E:E)</f>
        <v>1.75</v>
      </c>
      <c r="J1773" s="25">
        <f t="shared" si="2"/>
        <v>38.5</v>
      </c>
      <c r="K1773" s="27">
        <f t="shared" si="3"/>
        <v>1</v>
      </c>
      <c r="L1773" s="25">
        <f t="shared" si="4"/>
        <v>1</v>
      </c>
    </row>
    <row r="1774">
      <c r="A1774" s="19">
        <v>80185.0</v>
      </c>
      <c r="B1774" s="20" t="str">
        <f t="array" ref="B1774">xlookup($A1774,product!$A:$A,product!B:B)</f>
        <v>Epicerie salée</v>
      </c>
      <c r="C1774" s="20" t="str">
        <f t="array" ref="C1774">xlookup($A1774,product!$A:$A,product!C:C)</f>
        <v>Apéritifs bio</v>
      </c>
      <c r="D1774" s="20" t="str">
        <f t="array" ref="D1774">xlookup($A1774,product!$A:$A,product!D:D)</f>
        <v>Tartinables</v>
      </c>
      <c r="E1774" s="4" t="str">
        <f t="shared" si="1"/>
        <v>80185-Apéritifs bio-Tartinables</v>
      </c>
      <c r="F1774" s="4">
        <v>0.0</v>
      </c>
      <c r="G1774" s="4">
        <v>446.0</v>
      </c>
      <c r="H1774" s="4">
        <v>211.0</v>
      </c>
      <c r="I1774" s="21">
        <f t="array" ref="I1774">XLOOKUP($A1774,product!A:A,product!E:E)</f>
        <v>1.75</v>
      </c>
      <c r="J1774" s="4">
        <f t="shared" si="2"/>
        <v>369.25</v>
      </c>
      <c r="K1774" s="22">
        <f t="shared" si="3"/>
        <v>1</v>
      </c>
      <c r="L1774" s="4">
        <f t="shared" si="4"/>
        <v>1</v>
      </c>
    </row>
    <row r="1775">
      <c r="A1775" s="23">
        <v>107151.0</v>
      </c>
      <c r="B1775" s="24" t="str">
        <f t="array" ref="B1775">xlookup($A1775,product!$A:$A,product!B:B)</f>
        <v>Epicerie salée</v>
      </c>
      <c r="C1775" s="24" t="str">
        <f t="array" ref="C1775">xlookup($A1775,product!$A:$A,product!C:C)</f>
        <v>Apéritifs bio</v>
      </c>
      <c r="D1775" s="24" t="str">
        <f t="array" ref="D1775">xlookup($A1775,product!$A:$A,product!D:D)</f>
        <v>Tartinables</v>
      </c>
      <c r="E1775" s="25" t="str">
        <f t="shared" si="1"/>
        <v>107151-Apéritifs bio-Tartinables</v>
      </c>
      <c r="F1775" s="25">
        <v>1.0</v>
      </c>
      <c r="G1775" s="25">
        <v>502.0</v>
      </c>
      <c r="H1775" s="25">
        <v>104.0</v>
      </c>
      <c r="I1775" s="26">
        <f t="array" ref="I1775">XLOOKUP($A1775,product!A:A,product!E:E)</f>
        <v>1.69</v>
      </c>
      <c r="J1775" s="25">
        <f t="shared" si="2"/>
        <v>175.76</v>
      </c>
      <c r="K1775" s="27">
        <f t="shared" si="3"/>
        <v>1</v>
      </c>
      <c r="L1775" s="25">
        <f t="shared" si="4"/>
        <v>1</v>
      </c>
    </row>
    <row r="1776">
      <c r="A1776" s="19">
        <v>120420.0</v>
      </c>
      <c r="B1776" s="20" t="str">
        <f t="array" ref="B1776">xlookup($A1776,product!$A:$A,product!B:B)</f>
        <v>Epicerie salée</v>
      </c>
      <c r="C1776" s="20" t="str">
        <f t="array" ref="C1776">xlookup($A1776,product!$A:$A,product!C:C)</f>
        <v>Apéritifs bio</v>
      </c>
      <c r="D1776" s="20" t="str">
        <f t="array" ref="D1776">xlookup($A1776,product!$A:$A,product!D:D)</f>
        <v>Tartinables</v>
      </c>
      <c r="E1776" s="4" t="str">
        <f t="shared" si="1"/>
        <v>120420-Apéritifs bio-Tartinables</v>
      </c>
      <c r="F1776" s="4">
        <v>1.0</v>
      </c>
      <c r="G1776" s="4">
        <v>378.0</v>
      </c>
      <c r="H1776" s="4">
        <v>124.0</v>
      </c>
      <c r="I1776" s="21">
        <f t="array" ref="I1776">XLOOKUP($A1776,product!A:A,product!E:E)</f>
        <v>1.82</v>
      </c>
      <c r="J1776" s="4">
        <f t="shared" si="2"/>
        <v>225.68</v>
      </c>
      <c r="K1776" s="22">
        <f t="shared" si="3"/>
        <v>1</v>
      </c>
      <c r="L1776" s="4">
        <f t="shared" si="4"/>
        <v>1</v>
      </c>
    </row>
    <row r="1777">
      <c r="A1777" s="23">
        <v>80184.0</v>
      </c>
      <c r="B1777" s="24" t="str">
        <f t="array" ref="B1777">xlookup($A1777,product!$A:$A,product!B:B)</f>
        <v>Epicerie salée</v>
      </c>
      <c r="C1777" s="24" t="str">
        <f t="array" ref="C1777">xlookup($A1777,product!$A:$A,product!C:C)</f>
        <v>Apéritifs bio</v>
      </c>
      <c r="D1777" s="24" t="str">
        <f t="array" ref="D1777">xlookup($A1777,product!$A:$A,product!D:D)</f>
        <v>Tartinables</v>
      </c>
      <c r="E1777" s="25" t="str">
        <f t="shared" si="1"/>
        <v>80184-Apéritifs bio-Tartinables</v>
      </c>
      <c r="F1777" s="25">
        <v>1.0</v>
      </c>
      <c r="G1777" s="25">
        <v>434.0</v>
      </c>
      <c r="H1777" s="25">
        <v>152.0</v>
      </c>
      <c r="I1777" s="26">
        <f t="array" ref="I1777">XLOOKUP($A1777,product!A:A,product!E:E)</f>
        <v>1.75</v>
      </c>
      <c r="J1777" s="25">
        <f t="shared" si="2"/>
        <v>266</v>
      </c>
      <c r="K1777" s="27">
        <f t="shared" si="3"/>
        <v>1</v>
      </c>
      <c r="L1777" s="25">
        <f t="shared" si="4"/>
        <v>1</v>
      </c>
    </row>
    <row r="1778">
      <c r="A1778" s="19">
        <v>107157.0</v>
      </c>
      <c r="B1778" s="20" t="str">
        <f t="array" ref="B1778">xlookup($A1778,product!$A:$A,product!B:B)</f>
        <v>Epicerie salée</v>
      </c>
      <c r="C1778" s="20" t="str">
        <f t="array" ref="C1778">xlookup($A1778,product!$A:$A,product!C:C)</f>
        <v>Apéritifs bio</v>
      </c>
      <c r="D1778" s="20" t="str">
        <f t="array" ref="D1778">xlookup($A1778,product!$A:$A,product!D:D)</f>
        <v>Tartinables</v>
      </c>
      <c r="E1778" s="4" t="str">
        <f t="shared" si="1"/>
        <v>107157-Apéritifs bio-Tartinables</v>
      </c>
      <c r="F1778" s="4">
        <v>0.0</v>
      </c>
      <c r="G1778" s="4">
        <v>602.0</v>
      </c>
      <c r="H1778" s="4">
        <v>579.0</v>
      </c>
      <c r="I1778" s="21">
        <f t="array" ref="I1778">XLOOKUP($A1778,product!A:A,product!E:E)</f>
        <v>1.7</v>
      </c>
      <c r="J1778" s="4">
        <f t="shared" si="2"/>
        <v>984.3</v>
      </c>
      <c r="K1778" s="22">
        <f t="shared" si="3"/>
        <v>1</v>
      </c>
      <c r="L1778" s="4">
        <f t="shared" si="4"/>
        <v>1</v>
      </c>
    </row>
    <row r="1779">
      <c r="A1779" s="23">
        <v>118432.0</v>
      </c>
      <c r="B1779" s="24" t="str">
        <f t="array" ref="B1779">xlookup($A1779,product!$A:$A,product!B:B)</f>
        <v>Epicerie salée</v>
      </c>
      <c r="C1779" s="24" t="str">
        <f t="array" ref="C1779">xlookup($A1779,product!$A:$A,product!C:C)</f>
        <v>Apéritifs bio</v>
      </c>
      <c r="D1779" s="24" t="str">
        <f t="array" ref="D1779">xlookup($A1779,product!$A:$A,product!D:D)</f>
        <v>Tartinables</v>
      </c>
      <c r="E1779" s="25" t="str">
        <f t="shared" si="1"/>
        <v>118432-Apéritifs bio-Tartinables</v>
      </c>
      <c r="F1779" s="25">
        <v>0.0</v>
      </c>
      <c r="G1779" s="25">
        <v>785.0</v>
      </c>
      <c r="H1779" s="25">
        <v>376.0</v>
      </c>
      <c r="I1779" s="26">
        <f t="array" ref="I1779">XLOOKUP($A1779,product!A:A,product!E:E)</f>
        <v>2.47</v>
      </c>
      <c r="J1779" s="25">
        <f t="shared" si="2"/>
        <v>928.72</v>
      </c>
      <c r="K1779" s="27">
        <f t="shared" si="3"/>
        <v>1</v>
      </c>
      <c r="L1779" s="25">
        <f t="shared" si="4"/>
        <v>1</v>
      </c>
    </row>
    <row r="1780">
      <c r="A1780" s="19">
        <v>86512.0</v>
      </c>
      <c r="B1780" s="20" t="str">
        <f t="array" ref="B1780">xlookup($A1780,product!$A:$A,product!B:B)</f>
        <v>Epicerie salée</v>
      </c>
      <c r="C1780" s="20" t="str">
        <f t="array" ref="C1780">xlookup($A1780,product!$A:$A,product!C:C)</f>
        <v>Apéritifs bio</v>
      </c>
      <c r="D1780" s="20" t="str">
        <f t="array" ref="D1780">xlookup($A1780,product!$A:$A,product!D:D)</f>
        <v>Tartinables</v>
      </c>
      <c r="E1780" s="4" t="str">
        <f t="shared" si="1"/>
        <v>86512-Apéritifs bio-Tartinables</v>
      </c>
      <c r="F1780" s="4">
        <v>1.0</v>
      </c>
      <c r="G1780" s="4">
        <v>773.0</v>
      </c>
      <c r="H1780" s="4">
        <v>546.0</v>
      </c>
      <c r="I1780" s="21">
        <f t="array" ref="I1780">XLOOKUP($A1780,product!A:A,product!E:E)</f>
        <v>3.15</v>
      </c>
      <c r="J1780" s="4">
        <f t="shared" si="2"/>
        <v>1719.9</v>
      </c>
      <c r="K1780" s="22">
        <f t="shared" si="3"/>
        <v>1</v>
      </c>
      <c r="L1780" s="4">
        <f t="shared" si="4"/>
        <v>1</v>
      </c>
    </row>
    <row r="1781">
      <c r="A1781" s="23">
        <v>118431.0</v>
      </c>
      <c r="B1781" s="24" t="str">
        <f t="array" ref="B1781">xlookup($A1781,product!$A:$A,product!B:B)</f>
        <v>Epicerie salée</v>
      </c>
      <c r="C1781" s="24" t="str">
        <f t="array" ref="C1781">xlookup($A1781,product!$A:$A,product!C:C)</f>
        <v>Apéritifs bio</v>
      </c>
      <c r="D1781" s="24" t="str">
        <f t="array" ref="D1781">xlookup($A1781,product!$A:$A,product!D:D)</f>
        <v>Tartinables</v>
      </c>
      <c r="E1781" s="25" t="str">
        <f t="shared" si="1"/>
        <v>118431-Apéritifs bio-Tartinables</v>
      </c>
      <c r="F1781" s="25">
        <v>1.0</v>
      </c>
      <c r="G1781" s="25">
        <v>867.0</v>
      </c>
      <c r="H1781" s="25">
        <v>241.0</v>
      </c>
      <c r="I1781" s="26">
        <f t="array" ref="I1781">XLOOKUP($A1781,product!A:A,product!E:E)</f>
        <v>2.47</v>
      </c>
      <c r="J1781" s="25">
        <f t="shared" si="2"/>
        <v>595.27</v>
      </c>
      <c r="K1781" s="27">
        <f t="shared" si="3"/>
        <v>1</v>
      </c>
      <c r="L1781" s="25">
        <f t="shared" si="4"/>
        <v>1</v>
      </c>
    </row>
    <row r="1782">
      <c r="A1782" s="19">
        <v>80187.0</v>
      </c>
      <c r="B1782" s="20" t="str">
        <f t="array" ref="B1782">xlookup($A1782,product!$A:$A,product!B:B)</f>
        <v>Epicerie salée</v>
      </c>
      <c r="C1782" s="20" t="str">
        <f t="array" ref="C1782">xlookup($A1782,product!$A:$A,product!C:C)</f>
        <v>Apéritifs bio</v>
      </c>
      <c r="D1782" s="20" t="str">
        <f t="array" ref="D1782">xlookup($A1782,product!$A:$A,product!D:D)</f>
        <v>Tartinables</v>
      </c>
      <c r="E1782" s="4" t="str">
        <f t="shared" si="1"/>
        <v>80187-Apéritifs bio-Tartinables</v>
      </c>
      <c r="F1782" s="4">
        <v>1.0</v>
      </c>
      <c r="G1782" s="4">
        <v>15.0</v>
      </c>
      <c r="H1782" s="4">
        <v>13.0</v>
      </c>
      <c r="I1782" s="21">
        <f t="array" ref="I1782">XLOOKUP($A1782,product!A:A,product!E:E)</f>
        <v>1.75</v>
      </c>
      <c r="J1782" s="4">
        <f t="shared" si="2"/>
        <v>22.75</v>
      </c>
      <c r="K1782" s="22">
        <f t="shared" si="3"/>
        <v>1</v>
      </c>
      <c r="L1782" s="4">
        <f t="shared" si="4"/>
        <v>1</v>
      </c>
    </row>
    <row r="1783">
      <c r="A1783" s="23">
        <v>107163.0</v>
      </c>
      <c r="B1783" s="24" t="str">
        <f t="array" ref="B1783">xlookup($A1783,product!$A:$A,product!B:B)</f>
        <v>Epicerie salée</v>
      </c>
      <c r="C1783" s="24" t="str">
        <f t="array" ref="C1783">xlookup($A1783,product!$A:$A,product!C:C)</f>
        <v>Apéritifs bio</v>
      </c>
      <c r="D1783" s="24" t="str">
        <f t="array" ref="D1783">xlookup($A1783,product!$A:$A,product!D:D)</f>
        <v>Tartinables</v>
      </c>
      <c r="E1783" s="25" t="str">
        <f t="shared" si="1"/>
        <v>107163-Apéritifs bio-Tartinables</v>
      </c>
      <c r="F1783" s="25">
        <v>0.0</v>
      </c>
      <c r="G1783" s="25">
        <v>693.0</v>
      </c>
      <c r="H1783" s="25">
        <v>68.0</v>
      </c>
      <c r="I1783" s="26">
        <f t="array" ref="I1783">XLOOKUP($A1783,product!A:A,product!E:E)</f>
        <v>1.46</v>
      </c>
      <c r="J1783" s="25">
        <f t="shared" si="2"/>
        <v>99.28</v>
      </c>
      <c r="K1783" s="27">
        <f t="shared" si="3"/>
        <v>1</v>
      </c>
      <c r="L1783" s="25">
        <f t="shared" si="4"/>
        <v>1</v>
      </c>
    </row>
    <row r="1784">
      <c r="A1784" s="19">
        <v>108342.0</v>
      </c>
      <c r="B1784" s="20" t="str">
        <f t="array" ref="B1784">xlookup($A1784,product!$A:$A,product!B:B)</f>
        <v>Epicerie salée</v>
      </c>
      <c r="C1784" s="20" t="str">
        <f t="array" ref="C1784">xlookup($A1784,product!$A:$A,product!C:C)</f>
        <v>Apéritifs bio</v>
      </c>
      <c r="D1784" s="20" t="str">
        <f t="array" ref="D1784">xlookup($A1784,product!$A:$A,product!D:D)</f>
        <v>Tartinables</v>
      </c>
      <c r="E1784" s="4" t="str">
        <f t="shared" si="1"/>
        <v>108342-Apéritifs bio-Tartinables</v>
      </c>
      <c r="F1784" s="4">
        <v>1.0</v>
      </c>
      <c r="G1784" s="4">
        <v>891.0</v>
      </c>
      <c r="H1784" s="4">
        <v>167.0</v>
      </c>
      <c r="I1784" s="21">
        <f t="array" ref="I1784">XLOOKUP($A1784,product!A:A,product!E:E)</f>
        <v>1.34</v>
      </c>
      <c r="J1784" s="4">
        <f t="shared" si="2"/>
        <v>223.78</v>
      </c>
      <c r="K1784" s="22">
        <f t="shared" si="3"/>
        <v>1</v>
      </c>
      <c r="L1784" s="4">
        <f t="shared" si="4"/>
        <v>1</v>
      </c>
    </row>
    <row r="1785">
      <c r="A1785" s="23">
        <v>20949.0</v>
      </c>
      <c r="B1785" s="24" t="str">
        <f t="array" ref="B1785">xlookup($A1785,product!$A:$A,product!B:B)</f>
        <v>Epicerie salée</v>
      </c>
      <c r="C1785" s="24" t="str">
        <f t="array" ref="C1785">xlookup($A1785,product!$A:$A,product!C:C)</f>
        <v>Apéritifs bio</v>
      </c>
      <c r="D1785" s="24" t="str">
        <f t="array" ref="D1785">xlookup($A1785,product!$A:$A,product!D:D)</f>
        <v>Tartinables</v>
      </c>
      <c r="E1785" s="25" t="str">
        <f t="shared" si="1"/>
        <v>20949-Apéritifs bio-Tartinables</v>
      </c>
      <c r="F1785" s="25">
        <v>0.0</v>
      </c>
      <c r="G1785" s="25">
        <v>293.0</v>
      </c>
      <c r="H1785" s="25">
        <v>96.0</v>
      </c>
      <c r="I1785" s="26">
        <f t="array" ref="I1785">XLOOKUP($A1785,product!A:A,product!E:E)</f>
        <v>1.34</v>
      </c>
      <c r="J1785" s="25">
        <f t="shared" si="2"/>
        <v>128.64</v>
      </c>
      <c r="K1785" s="27">
        <f t="shared" si="3"/>
        <v>1</v>
      </c>
      <c r="L1785" s="25">
        <f t="shared" si="4"/>
        <v>1</v>
      </c>
    </row>
    <row r="1786">
      <c r="A1786" s="19">
        <v>118436.0</v>
      </c>
      <c r="B1786" s="20" t="str">
        <f t="array" ref="B1786">xlookup($A1786,product!$A:$A,product!B:B)</f>
        <v>Epicerie salée</v>
      </c>
      <c r="C1786" s="20" t="str">
        <f t="array" ref="C1786">xlookup($A1786,product!$A:$A,product!C:C)</f>
        <v>Apéritifs bio</v>
      </c>
      <c r="D1786" s="20" t="str">
        <f t="array" ref="D1786">xlookup($A1786,product!$A:$A,product!D:D)</f>
        <v>Tartinables</v>
      </c>
      <c r="E1786" s="4" t="str">
        <f t="shared" si="1"/>
        <v>118436-Apéritifs bio-Tartinables</v>
      </c>
      <c r="F1786" s="4">
        <v>1.0</v>
      </c>
      <c r="G1786" s="4">
        <v>542.0</v>
      </c>
      <c r="H1786" s="4">
        <v>111.0</v>
      </c>
      <c r="I1786" s="21">
        <f t="array" ref="I1786">XLOOKUP($A1786,product!A:A,product!E:E)</f>
        <v>2.47</v>
      </c>
      <c r="J1786" s="4">
        <f t="shared" si="2"/>
        <v>274.17</v>
      </c>
      <c r="K1786" s="22">
        <f t="shared" si="3"/>
        <v>1</v>
      </c>
      <c r="L1786" s="4">
        <f t="shared" si="4"/>
        <v>1</v>
      </c>
    </row>
    <row r="1787">
      <c r="A1787" s="23">
        <v>113566.0</v>
      </c>
      <c r="B1787" s="24" t="str">
        <f t="array" ref="B1787">xlookup($A1787,product!$A:$A,product!B:B)</f>
        <v>Epicerie salée</v>
      </c>
      <c r="C1787" s="24" t="str">
        <f t="array" ref="C1787">xlookup($A1787,product!$A:$A,product!C:C)</f>
        <v>Apéritifs bio</v>
      </c>
      <c r="D1787" s="24" t="str">
        <f t="array" ref="D1787">xlookup($A1787,product!$A:$A,product!D:D)</f>
        <v>Tartinables</v>
      </c>
      <c r="E1787" s="25" t="str">
        <f t="shared" si="1"/>
        <v>113566-Apéritifs bio-Tartinables</v>
      </c>
      <c r="F1787" s="25">
        <v>0.0</v>
      </c>
      <c r="G1787" s="25">
        <v>779.0</v>
      </c>
      <c r="H1787" s="25">
        <v>222.0</v>
      </c>
      <c r="I1787" s="26">
        <f t="array" ref="I1787">XLOOKUP($A1787,product!A:A,product!E:E)</f>
        <v>2.98</v>
      </c>
      <c r="J1787" s="25">
        <f t="shared" si="2"/>
        <v>661.56</v>
      </c>
      <c r="K1787" s="27">
        <f t="shared" si="3"/>
        <v>1</v>
      </c>
      <c r="L1787" s="25">
        <f t="shared" si="4"/>
        <v>1</v>
      </c>
    </row>
    <row r="1788">
      <c r="A1788" s="19">
        <v>113571.0</v>
      </c>
      <c r="B1788" s="20" t="str">
        <f t="array" ref="B1788">xlookup($A1788,product!$A:$A,product!B:B)</f>
        <v>Epicerie salée</v>
      </c>
      <c r="C1788" s="20" t="str">
        <f t="array" ref="C1788">xlookup($A1788,product!$A:$A,product!C:C)</f>
        <v>Apéritifs bio</v>
      </c>
      <c r="D1788" s="20" t="str">
        <f t="array" ref="D1788">xlookup($A1788,product!$A:$A,product!D:D)</f>
        <v>Tartinables</v>
      </c>
      <c r="E1788" s="4" t="str">
        <f t="shared" si="1"/>
        <v>113571-Apéritifs bio-Tartinables</v>
      </c>
      <c r="F1788" s="4">
        <v>1.0</v>
      </c>
      <c r="G1788" s="4">
        <v>755.0</v>
      </c>
      <c r="H1788" s="4">
        <v>585.0</v>
      </c>
      <c r="I1788" s="21">
        <f t="array" ref="I1788">XLOOKUP($A1788,product!A:A,product!E:E)</f>
        <v>2.89</v>
      </c>
      <c r="J1788" s="4">
        <f t="shared" si="2"/>
        <v>1690.65</v>
      </c>
      <c r="K1788" s="22">
        <f t="shared" si="3"/>
        <v>1</v>
      </c>
      <c r="L1788" s="4">
        <f t="shared" si="4"/>
        <v>1</v>
      </c>
    </row>
    <row r="1789">
      <c r="A1789" s="23">
        <v>107160.0</v>
      </c>
      <c r="B1789" s="24" t="str">
        <f t="array" ref="B1789">xlookup($A1789,product!$A:$A,product!B:B)</f>
        <v>Epicerie salée</v>
      </c>
      <c r="C1789" s="24" t="str">
        <f t="array" ref="C1789">xlookup($A1789,product!$A:$A,product!C:C)</f>
        <v>Apéritifs bio</v>
      </c>
      <c r="D1789" s="24" t="str">
        <f t="array" ref="D1789">xlookup($A1789,product!$A:$A,product!D:D)</f>
        <v>Tartinables</v>
      </c>
      <c r="E1789" s="25" t="str">
        <f t="shared" si="1"/>
        <v>107160-Apéritifs bio-Tartinables</v>
      </c>
      <c r="F1789" s="25">
        <v>0.0</v>
      </c>
      <c r="G1789" s="25">
        <v>283.0</v>
      </c>
      <c r="H1789" s="25">
        <v>31.0</v>
      </c>
      <c r="I1789" s="26">
        <f t="array" ref="I1789">XLOOKUP($A1789,product!A:A,product!E:E)</f>
        <v>1.12</v>
      </c>
      <c r="J1789" s="25">
        <f t="shared" si="2"/>
        <v>34.72</v>
      </c>
      <c r="K1789" s="27">
        <f t="shared" si="3"/>
        <v>1</v>
      </c>
      <c r="L1789" s="25">
        <f t="shared" si="4"/>
        <v>1</v>
      </c>
    </row>
    <row r="1790">
      <c r="A1790" s="19">
        <v>44007.0</v>
      </c>
      <c r="B1790" s="20" t="str">
        <f t="array" ref="B1790">xlookup($A1790,product!$A:$A,product!B:B)</f>
        <v>Epicerie salée</v>
      </c>
      <c r="C1790" s="20" t="str">
        <f t="array" ref="C1790">xlookup($A1790,product!$A:$A,product!C:C)</f>
        <v>Apéritifs bio</v>
      </c>
      <c r="D1790" s="20" t="str">
        <f t="array" ref="D1790">xlookup($A1790,product!$A:$A,product!D:D)</f>
        <v>Tartinables</v>
      </c>
      <c r="E1790" s="4" t="str">
        <f t="shared" si="1"/>
        <v>44007-Apéritifs bio-Tartinables</v>
      </c>
      <c r="F1790" s="4">
        <v>1.0</v>
      </c>
      <c r="G1790" s="4">
        <v>350.0</v>
      </c>
      <c r="H1790" s="4">
        <v>21.0</v>
      </c>
      <c r="I1790" s="21">
        <f t="array" ref="I1790">XLOOKUP($A1790,product!A:A,product!E:E)</f>
        <v>2.55</v>
      </c>
      <c r="J1790" s="4">
        <f t="shared" si="2"/>
        <v>53.55</v>
      </c>
      <c r="K1790" s="22">
        <f t="shared" si="3"/>
        <v>1</v>
      </c>
      <c r="L1790" s="4">
        <f t="shared" si="4"/>
        <v>1</v>
      </c>
    </row>
    <row r="1791">
      <c r="A1791" s="23">
        <v>69453.0</v>
      </c>
      <c r="B1791" s="24" t="str">
        <f t="array" ref="B1791">xlookup($A1791,product!$A:$A,product!B:B)</f>
        <v>Epicerie salée</v>
      </c>
      <c r="C1791" s="24" t="str">
        <f t="array" ref="C1791">xlookup($A1791,product!$A:$A,product!C:C)</f>
        <v>Apéritifs bio</v>
      </c>
      <c r="D1791" s="24" t="str">
        <f t="array" ref="D1791">xlookup($A1791,product!$A:$A,product!D:D)</f>
        <v>Tartinables</v>
      </c>
      <c r="E1791" s="25" t="str">
        <f t="shared" si="1"/>
        <v>69453-Apéritifs bio-Tartinables</v>
      </c>
      <c r="F1791" s="25">
        <v>0.0</v>
      </c>
      <c r="G1791" s="25">
        <v>386.0</v>
      </c>
      <c r="H1791" s="25">
        <v>70.0</v>
      </c>
      <c r="I1791" s="26">
        <f t="array" ref="I1791">XLOOKUP($A1791,product!A:A,product!E:E)</f>
        <v>2.03</v>
      </c>
      <c r="J1791" s="25">
        <f t="shared" si="2"/>
        <v>142.1</v>
      </c>
      <c r="K1791" s="27">
        <f t="shared" si="3"/>
        <v>1</v>
      </c>
      <c r="L1791" s="25">
        <f t="shared" si="4"/>
        <v>1</v>
      </c>
    </row>
    <row r="1792">
      <c r="A1792" s="19">
        <v>122690.0</v>
      </c>
      <c r="B1792" s="20" t="str">
        <f t="array" ref="B1792">xlookup($A1792,product!$A:$A,product!B:B)</f>
        <v>Epicerie salée</v>
      </c>
      <c r="C1792" s="20" t="str">
        <f t="array" ref="C1792">xlookup($A1792,product!$A:$A,product!C:C)</f>
        <v>Apéritifs bio</v>
      </c>
      <c r="D1792" s="20" t="str">
        <f t="array" ref="D1792">xlookup($A1792,product!$A:$A,product!D:D)</f>
        <v>Tartinables</v>
      </c>
      <c r="E1792" s="4" t="str">
        <f t="shared" si="1"/>
        <v>122690-Apéritifs bio-Tartinables</v>
      </c>
      <c r="F1792" s="4">
        <v>1.0</v>
      </c>
      <c r="G1792" s="4">
        <v>625.0</v>
      </c>
      <c r="H1792" s="4">
        <v>313.0</v>
      </c>
      <c r="I1792" s="21">
        <f t="array" ref="I1792">XLOOKUP($A1792,product!A:A,product!E:E)</f>
        <v>4.64</v>
      </c>
      <c r="J1792" s="4">
        <f t="shared" si="2"/>
        <v>1452.32</v>
      </c>
      <c r="K1792" s="22">
        <f t="shared" si="3"/>
        <v>1</v>
      </c>
      <c r="L1792" s="4">
        <f t="shared" si="4"/>
        <v>1</v>
      </c>
    </row>
    <row r="1793">
      <c r="A1793" s="23">
        <v>117243.0</v>
      </c>
      <c r="B1793" s="24" t="str">
        <f t="array" ref="B1793">xlookup($A1793,product!$A:$A,product!B:B)</f>
        <v>Epicerie salée</v>
      </c>
      <c r="C1793" s="24" t="str">
        <f t="array" ref="C1793">xlookup($A1793,product!$A:$A,product!C:C)</f>
        <v>Apéritifs bio</v>
      </c>
      <c r="D1793" s="24" t="str">
        <f t="array" ref="D1793">xlookup($A1793,product!$A:$A,product!D:D)</f>
        <v>Tartinables</v>
      </c>
      <c r="E1793" s="25" t="str">
        <f t="shared" si="1"/>
        <v>117243-Apéritifs bio-Tartinables</v>
      </c>
      <c r="F1793" s="25">
        <v>0.0</v>
      </c>
      <c r="G1793" s="25">
        <v>571.0</v>
      </c>
      <c r="H1793" s="25">
        <v>513.0</v>
      </c>
      <c r="I1793" s="26">
        <f t="array" ref="I1793">XLOOKUP($A1793,product!A:A,product!E:E)</f>
        <v>1.84</v>
      </c>
      <c r="J1793" s="25">
        <f t="shared" si="2"/>
        <v>943.92</v>
      </c>
      <c r="K1793" s="27">
        <f t="shared" si="3"/>
        <v>1</v>
      </c>
      <c r="L1793" s="25">
        <f t="shared" si="4"/>
        <v>1</v>
      </c>
    </row>
    <row r="1794">
      <c r="A1794" s="19">
        <v>71988.0</v>
      </c>
      <c r="B1794" s="20" t="str">
        <f t="array" ref="B1794">xlookup($A1794,product!$A:$A,product!B:B)</f>
        <v>Epicerie salée</v>
      </c>
      <c r="C1794" s="20" t="str">
        <f t="array" ref="C1794">xlookup($A1794,product!$A:$A,product!C:C)</f>
        <v>Apéritifs bio</v>
      </c>
      <c r="D1794" s="20" t="str">
        <f t="array" ref="D1794">xlookup($A1794,product!$A:$A,product!D:D)</f>
        <v>Chutney et confit</v>
      </c>
      <c r="E1794" s="4" t="str">
        <f t="shared" si="1"/>
        <v>71988-Apéritifs bio-Chutney et confit</v>
      </c>
      <c r="F1794" s="4">
        <v>1.0</v>
      </c>
      <c r="G1794" s="4">
        <v>627.0</v>
      </c>
      <c r="H1794" s="4">
        <v>196.0</v>
      </c>
      <c r="I1794" s="21">
        <f t="array" ref="I1794">XLOOKUP($A1794,product!A:A,product!E:E)</f>
        <v>1.38</v>
      </c>
      <c r="J1794" s="4">
        <f t="shared" si="2"/>
        <v>270.48</v>
      </c>
      <c r="K1794" s="22">
        <f t="shared" si="3"/>
        <v>1</v>
      </c>
      <c r="L1794" s="4">
        <f t="shared" si="4"/>
        <v>1</v>
      </c>
    </row>
    <row r="1795">
      <c r="A1795" s="23">
        <v>111582.0</v>
      </c>
      <c r="B1795" s="24" t="str">
        <f t="array" ref="B1795">xlookup($A1795,product!$A:$A,product!B:B)</f>
        <v>Epicerie salée</v>
      </c>
      <c r="C1795" s="24" t="str">
        <f t="array" ref="C1795">xlookup($A1795,product!$A:$A,product!C:C)</f>
        <v>Apéritifs bio</v>
      </c>
      <c r="D1795" s="24" t="str">
        <f t="array" ref="D1795">xlookup($A1795,product!$A:$A,product!D:D)</f>
        <v>Chutney et confit</v>
      </c>
      <c r="E1795" s="25" t="str">
        <f t="shared" si="1"/>
        <v>111582-Apéritifs bio-Chutney et confit</v>
      </c>
      <c r="F1795" s="25">
        <v>0.0</v>
      </c>
      <c r="G1795" s="25">
        <v>632.0</v>
      </c>
      <c r="H1795" s="25">
        <v>124.0</v>
      </c>
      <c r="I1795" s="26">
        <f t="array" ref="I1795">XLOOKUP($A1795,product!A:A,product!E:E)</f>
        <v>1.97</v>
      </c>
      <c r="J1795" s="25">
        <f t="shared" si="2"/>
        <v>244.28</v>
      </c>
      <c r="K1795" s="27">
        <f t="shared" si="3"/>
        <v>1</v>
      </c>
      <c r="L1795" s="25">
        <f t="shared" si="4"/>
        <v>1</v>
      </c>
    </row>
    <row r="1796">
      <c r="A1796" s="19">
        <v>77235.0</v>
      </c>
      <c r="B1796" s="20" t="str">
        <f t="array" ref="B1796">xlookup($A1796,product!$A:$A,product!B:B)</f>
        <v>Epicerie salée</v>
      </c>
      <c r="C1796" s="20" t="str">
        <f t="array" ref="C1796">xlookup($A1796,product!$A:$A,product!C:C)</f>
        <v>Apéritifs bio</v>
      </c>
      <c r="D1796" s="20" t="str">
        <f t="array" ref="D1796">xlookup($A1796,product!$A:$A,product!D:D)</f>
        <v>Pâtés végétaux</v>
      </c>
      <c r="E1796" s="4" t="str">
        <f t="shared" si="1"/>
        <v>77235-Apéritifs bio-Pâtés végétaux</v>
      </c>
      <c r="F1796" s="4">
        <v>1.0</v>
      </c>
      <c r="G1796" s="4">
        <v>309.0</v>
      </c>
      <c r="H1796" s="4">
        <v>68.0</v>
      </c>
      <c r="I1796" s="21">
        <f t="array" ref="I1796">XLOOKUP($A1796,product!A:A,product!E:E)</f>
        <v>2.36</v>
      </c>
      <c r="J1796" s="4">
        <f t="shared" si="2"/>
        <v>160.48</v>
      </c>
      <c r="K1796" s="22">
        <f t="shared" si="3"/>
        <v>1</v>
      </c>
      <c r="L1796" s="4">
        <f t="shared" si="4"/>
        <v>1</v>
      </c>
    </row>
    <row r="1797">
      <c r="A1797" s="23">
        <v>105272.0</v>
      </c>
      <c r="B1797" s="24" t="str">
        <f t="array" ref="B1797">xlookup($A1797,product!$A:$A,product!B:B)</f>
        <v>Epicerie salée</v>
      </c>
      <c r="C1797" s="24" t="str">
        <f t="array" ref="C1797">xlookup($A1797,product!$A:$A,product!C:C)</f>
        <v>Apéritifs bio</v>
      </c>
      <c r="D1797" s="24" t="str">
        <f t="array" ref="D1797">xlookup($A1797,product!$A:$A,product!D:D)</f>
        <v>Pâtés végétaux</v>
      </c>
      <c r="E1797" s="25" t="str">
        <f t="shared" si="1"/>
        <v>105272-Apéritifs bio-Pâtés végétaux</v>
      </c>
      <c r="F1797" s="25">
        <v>0.0</v>
      </c>
      <c r="G1797" s="25">
        <v>446.0</v>
      </c>
      <c r="H1797" s="25">
        <v>201.0</v>
      </c>
      <c r="I1797" s="26">
        <f t="array" ref="I1797">XLOOKUP($A1797,product!A:A,product!E:E)</f>
        <v>2.03</v>
      </c>
      <c r="J1797" s="25">
        <f t="shared" si="2"/>
        <v>408.03</v>
      </c>
      <c r="K1797" s="27">
        <f t="shared" si="3"/>
        <v>1</v>
      </c>
      <c r="L1797" s="25">
        <f t="shared" si="4"/>
        <v>1</v>
      </c>
    </row>
    <row r="1798">
      <c r="A1798" s="19">
        <v>120809.0</v>
      </c>
      <c r="B1798" s="20" t="str">
        <f t="array" ref="B1798">xlookup($A1798,product!$A:$A,product!B:B)</f>
        <v>Epicerie salée</v>
      </c>
      <c r="C1798" s="20" t="str">
        <f t="array" ref="C1798">xlookup($A1798,product!$A:$A,product!C:C)</f>
        <v>Apéritifs bio</v>
      </c>
      <c r="D1798" s="20" t="str">
        <f t="array" ref="D1798">xlookup($A1798,product!$A:$A,product!D:D)</f>
        <v>Pâtés végétaux</v>
      </c>
      <c r="E1798" s="4" t="str">
        <f t="shared" si="1"/>
        <v>120809-Apéritifs bio-Pâtés végétaux</v>
      </c>
      <c r="F1798" s="4">
        <v>1.0</v>
      </c>
      <c r="G1798" s="4">
        <v>155.0</v>
      </c>
      <c r="H1798" s="4">
        <v>107.0</v>
      </c>
      <c r="I1798" s="21">
        <f t="array" ref="I1798">XLOOKUP($A1798,product!A:A,product!E:E)</f>
        <v>2.76</v>
      </c>
      <c r="J1798" s="4">
        <f t="shared" si="2"/>
        <v>295.32</v>
      </c>
      <c r="K1798" s="22">
        <f t="shared" si="3"/>
        <v>1</v>
      </c>
      <c r="L1798" s="4">
        <f t="shared" si="4"/>
        <v>1</v>
      </c>
    </row>
    <row r="1799">
      <c r="A1799" s="23">
        <v>10651.0</v>
      </c>
      <c r="B1799" s="24" t="str">
        <f t="array" ref="B1799">xlookup($A1799,product!$A:$A,product!B:B)</f>
        <v>Epicerie salée</v>
      </c>
      <c r="C1799" s="24" t="str">
        <f t="array" ref="C1799">xlookup($A1799,product!$A:$A,product!C:C)</f>
        <v>Apéritifs bio</v>
      </c>
      <c r="D1799" s="24" t="str">
        <f t="array" ref="D1799">xlookup($A1799,product!$A:$A,product!D:D)</f>
        <v>Biscuits apéritif bio</v>
      </c>
      <c r="E1799" s="25" t="str">
        <f t="shared" si="1"/>
        <v>10651-Apéritifs bio-Biscuits apéritif bio</v>
      </c>
      <c r="F1799" s="25">
        <v>1.0</v>
      </c>
      <c r="G1799" s="25">
        <v>366.0</v>
      </c>
      <c r="H1799" s="25">
        <v>225.0</v>
      </c>
      <c r="I1799" s="26">
        <f t="array" ref="I1799">XLOOKUP($A1799,product!A:A,product!E:E)</f>
        <v>1.1</v>
      </c>
      <c r="J1799" s="25">
        <f t="shared" si="2"/>
        <v>247.5</v>
      </c>
      <c r="K1799" s="27">
        <f t="shared" si="3"/>
        <v>1</v>
      </c>
      <c r="L1799" s="25">
        <f t="shared" si="4"/>
        <v>1</v>
      </c>
    </row>
    <row r="1800">
      <c r="A1800" s="19">
        <v>10657.0</v>
      </c>
      <c r="B1800" s="20" t="str">
        <f t="array" ref="B1800">xlookup($A1800,product!$A:$A,product!B:B)</f>
        <v>Epicerie salée</v>
      </c>
      <c r="C1800" s="20" t="str">
        <f t="array" ref="C1800">xlookup($A1800,product!$A:$A,product!C:C)</f>
        <v>Apéritifs bio</v>
      </c>
      <c r="D1800" s="20" t="str">
        <f t="array" ref="D1800">xlookup($A1800,product!$A:$A,product!D:D)</f>
        <v>Biscuits apéritif bio</v>
      </c>
      <c r="E1800" s="4" t="str">
        <f t="shared" si="1"/>
        <v>10657-Apéritifs bio-Biscuits apéritif bio</v>
      </c>
      <c r="F1800" s="4">
        <v>1.0</v>
      </c>
      <c r="G1800" s="4">
        <v>283.0</v>
      </c>
      <c r="H1800" s="4">
        <v>261.0</v>
      </c>
      <c r="I1800" s="21">
        <f t="array" ref="I1800">XLOOKUP($A1800,product!A:A,product!E:E)</f>
        <v>2.14</v>
      </c>
      <c r="J1800" s="4">
        <f t="shared" si="2"/>
        <v>558.54</v>
      </c>
      <c r="K1800" s="22">
        <f t="shared" si="3"/>
        <v>1</v>
      </c>
      <c r="L1800" s="4">
        <f t="shared" si="4"/>
        <v>1</v>
      </c>
    </row>
    <row r="1801">
      <c r="A1801" s="23">
        <v>9132.0</v>
      </c>
      <c r="B1801" s="24" t="str">
        <f t="array" ref="B1801">xlookup($A1801,product!$A:$A,product!B:B)</f>
        <v>Epicerie salée</v>
      </c>
      <c r="C1801" s="24" t="str">
        <f t="array" ref="C1801">xlookup($A1801,product!$A:$A,product!C:C)</f>
        <v>Apéritifs bio</v>
      </c>
      <c r="D1801" s="24" t="str">
        <f t="array" ref="D1801">xlookup($A1801,product!$A:$A,product!D:D)</f>
        <v>Biscuits apéritif bio</v>
      </c>
      <c r="E1801" s="25" t="str">
        <f t="shared" si="1"/>
        <v>9132-Apéritifs bio-Biscuits apéritif bio</v>
      </c>
      <c r="F1801" s="25">
        <v>1.0</v>
      </c>
      <c r="G1801" s="25">
        <v>34.0</v>
      </c>
      <c r="H1801" s="25">
        <v>10.0</v>
      </c>
      <c r="I1801" s="26">
        <f t="array" ref="I1801">XLOOKUP($A1801,product!A:A,product!E:E)</f>
        <v>2.05</v>
      </c>
      <c r="J1801" s="25">
        <f t="shared" si="2"/>
        <v>20.5</v>
      </c>
      <c r="K1801" s="27">
        <f t="shared" si="3"/>
        <v>1</v>
      </c>
      <c r="L1801" s="25">
        <f t="shared" si="4"/>
        <v>1</v>
      </c>
    </row>
    <row r="1802">
      <c r="A1802" s="19">
        <v>197151.0</v>
      </c>
      <c r="B1802" s="20" t="str">
        <f t="array" ref="B1802">xlookup($A1802,product!$A:$A,product!B:B)</f>
        <v>Epicerie salée</v>
      </c>
      <c r="C1802" s="20" t="str">
        <f t="array" ref="C1802">xlookup($A1802,product!$A:$A,product!C:C)</f>
        <v>Apéritifs bio</v>
      </c>
      <c r="D1802" s="20" t="str">
        <f t="array" ref="D1802">xlookup($A1802,product!$A:$A,product!D:D)</f>
        <v>Biscuits apéritif bio</v>
      </c>
      <c r="E1802" s="4" t="str">
        <f t="shared" si="1"/>
        <v>197151-Apéritifs bio-Biscuits apéritif bio</v>
      </c>
      <c r="F1802" s="4">
        <v>1.0</v>
      </c>
      <c r="G1802" s="4">
        <v>843.0</v>
      </c>
      <c r="H1802" s="4">
        <v>419.0</v>
      </c>
      <c r="I1802" s="21">
        <f t="array" ref="I1802">XLOOKUP($A1802,product!A:A,product!E:E)</f>
        <v>1.3</v>
      </c>
      <c r="J1802" s="4">
        <f t="shared" si="2"/>
        <v>544.7</v>
      </c>
      <c r="K1802" s="22">
        <f t="shared" si="3"/>
        <v>1</v>
      </c>
      <c r="L1802" s="4">
        <f t="shared" si="4"/>
        <v>1</v>
      </c>
    </row>
    <row r="1803">
      <c r="A1803" s="23">
        <v>73386.0</v>
      </c>
      <c r="B1803" s="24" t="str">
        <f t="array" ref="B1803">xlookup($A1803,product!$A:$A,product!B:B)</f>
        <v>Epicerie salée</v>
      </c>
      <c r="C1803" s="24" t="str">
        <f t="array" ref="C1803">xlookup($A1803,product!$A:$A,product!C:C)</f>
        <v>Apéritifs bio</v>
      </c>
      <c r="D1803" s="24" t="str">
        <f t="array" ref="D1803">xlookup($A1803,product!$A:$A,product!D:D)</f>
        <v>Biscuits apéritif bio</v>
      </c>
      <c r="E1803" s="25" t="str">
        <f t="shared" si="1"/>
        <v>73386-Apéritifs bio-Biscuits apéritif bio</v>
      </c>
      <c r="F1803" s="25">
        <v>1.0</v>
      </c>
      <c r="G1803" s="25">
        <v>515.0</v>
      </c>
      <c r="H1803" s="25">
        <v>219.0</v>
      </c>
      <c r="I1803" s="26">
        <f t="array" ref="I1803">XLOOKUP($A1803,product!A:A,product!E:E)</f>
        <v>1.41</v>
      </c>
      <c r="J1803" s="25">
        <f t="shared" si="2"/>
        <v>308.79</v>
      </c>
      <c r="K1803" s="27">
        <f t="shared" si="3"/>
        <v>1</v>
      </c>
      <c r="L1803" s="25">
        <f t="shared" si="4"/>
        <v>1</v>
      </c>
    </row>
    <row r="1804">
      <c r="A1804" s="19">
        <v>121604.0</v>
      </c>
      <c r="B1804" s="20" t="str">
        <f t="array" ref="B1804">xlookup($A1804,product!$A:$A,product!B:B)</f>
        <v>Epicerie salée</v>
      </c>
      <c r="C1804" s="20" t="str">
        <f t="array" ref="C1804">xlookup($A1804,product!$A:$A,product!C:C)</f>
        <v>Apéritifs bio</v>
      </c>
      <c r="D1804" s="20" t="str">
        <f t="array" ref="D1804">xlookup($A1804,product!$A:$A,product!D:D)</f>
        <v>Biscuits apéritif bio</v>
      </c>
      <c r="E1804" s="4" t="str">
        <f t="shared" si="1"/>
        <v>121604-Apéritifs bio-Biscuits apéritif bio</v>
      </c>
      <c r="F1804" s="4">
        <v>1.0</v>
      </c>
      <c r="G1804" s="4">
        <v>708.0</v>
      </c>
      <c r="H1804" s="4">
        <v>105.0</v>
      </c>
      <c r="I1804" s="21">
        <f t="array" ref="I1804">XLOOKUP($A1804,product!A:A,product!E:E)</f>
        <v>1.96</v>
      </c>
      <c r="J1804" s="4">
        <f t="shared" si="2"/>
        <v>205.8</v>
      </c>
      <c r="K1804" s="22">
        <f t="shared" si="3"/>
        <v>1</v>
      </c>
      <c r="L1804" s="4">
        <f t="shared" si="4"/>
        <v>1</v>
      </c>
    </row>
    <row r="1805">
      <c r="A1805" s="23">
        <v>89533.0</v>
      </c>
      <c r="B1805" s="24" t="str">
        <f t="array" ref="B1805">xlookup($A1805,product!$A:$A,product!B:B)</f>
        <v>Epicerie salée</v>
      </c>
      <c r="C1805" s="24" t="str">
        <f t="array" ref="C1805">xlookup($A1805,product!$A:$A,product!C:C)</f>
        <v>Apéritifs bio</v>
      </c>
      <c r="D1805" s="24" t="str">
        <f t="array" ref="D1805">xlookup($A1805,product!$A:$A,product!D:D)</f>
        <v>Biscuits apéritif bio</v>
      </c>
      <c r="E1805" s="25" t="str">
        <f t="shared" si="1"/>
        <v>89533-Apéritifs bio-Biscuits apéritif bio</v>
      </c>
      <c r="F1805" s="25">
        <v>1.0</v>
      </c>
      <c r="G1805" s="25">
        <v>446.0</v>
      </c>
      <c r="H1805" s="25">
        <v>138.0</v>
      </c>
      <c r="I1805" s="26">
        <f t="array" ref="I1805">XLOOKUP($A1805,product!A:A,product!E:E)</f>
        <v>1.68</v>
      </c>
      <c r="J1805" s="25">
        <f t="shared" si="2"/>
        <v>231.84</v>
      </c>
      <c r="K1805" s="27">
        <f t="shared" si="3"/>
        <v>1</v>
      </c>
      <c r="L1805" s="25">
        <f t="shared" si="4"/>
        <v>1</v>
      </c>
    </row>
    <row r="1806">
      <c r="A1806" s="19">
        <v>73381.0</v>
      </c>
      <c r="B1806" s="20" t="str">
        <f t="array" ref="B1806">xlookup($A1806,product!$A:$A,product!B:B)</f>
        <v>Epicerie salée</v>
      </c>
      <c r="C1806" s="20" t="str">
        <f t="array" ref="C1806">xlookup($A1806,product!$A:$A,product!C:C)</f>
        <v>Apéritifs bio</v>
      </c>
      <c r="D1806" s="20" t="str">
        <f t="array" ref="D1806">xlookup($A1806,product!$A:$A,product!D:D)</f>
        <v>Biscuits apéritif bio</v>
      </c>
      <c r="E1806" s="4" t="str">
        <f t="shared" si="1"/>
        <v>73381-Apéritifs bio-Biscuits apéritif bio</v>
      </c>
      <c r="F1806" s="4">
        <v>1.0</v>
      </c>
      <c r="G1806" s="4">
        <v>462.0</v>
      </c>
      <c r="H1806" s="4">
        <v>215.0</v>
      </c>
      <c r="I1806" s="21">
        <f t="array" ref="I1806">XLOOKUP($A1806,product!A:A,product!E:E)</f>
        <v>2.01</v>
      </c>
      <c r="J1806" s="4">
        <f t="shared" si="2"/>
        <v>432.15</v>
      </c>
      <c r="K1806" s="22">
        <f t="shared" si="3"/>
        <v>1</v>
      </c>
      <c r="L1806" s="4">
        <f t="shared" si="4"/>
        <v>1</v>
      </c>
    </row>
    <row r="1807">
      <c r="A1807" s="23">
        <v>26096.0</v>
      </c>
      <c r="B1807" s="24" t="str">
        <f t="array" ref="B1807">xlookup($A1807,product!$A:$A,product!B:B)</f>
        <v>Epicerie salée</v>
      </c>
      <c r="C1807" s="24" t="str">
        <f t="array" ref="C1807">xlookup($A1807,product!$A:$A,product!C:C)</f>
        <v>Apéritifs bio</v>
      </c>
      <c r="D1807" s="24" t="str">
        <f t="array" ref="D1807">xlookup($A1807,product!$A:$A,product!D:D)</f>
        <v>Biscuits apéritif bio</v>
      </c>
      <c r="E1807" s="25" t="str">
        <f t="shared" si="1"/>
        <v>26096-Apéritifs bio-Biscuits apéritif bio</v>
      </c>
      <c r="F1807" s="25">
        <v>0.0</v>
      </c>
      <c r="G1807" s="25">
        <v>629.0</v>
      </c>
      <c r="H1807" s="25">
        <v>443.0</v>
      </c>
      <c r="I1807" s="26">
        <f t="array" ref="I1807">XLOOKUP($A1807,product!A:A,product!E:E)</f>
        <v>1.29</v>
      </c>
      <c r="J1807" s="25">
        <f t="shared" si="2"/>
        <v>571.47</v>
      </c>
      <c r="K1807" s="27">
        <f t="shared" si="3"/>
        <v>1</v>
      </c>
      <c r="L1807" s="25">
        <f t="shared" si="4"/>
        <v>1</v>
      </c>
    </row>
    <row r="1808">
      <c r="A1808" s="19">
        <v>119050.0</v>
      </c>
      <c r="B1808" s="20" t="str">
        <f t="array" ref="B1808">xlookup($A1808,product!$A:$A,product!B:B)</f>
        <v>Epicerie salée</v>
      </c>
      <c r="C1808" s="20" t="str">
        <f t="array" ref="C1808">xlookup($A1808,product!$A:$A,product!C:C)</f>
        <v>Apéritifs bio</v>
      </c>
      <c r="D1808" s="20" t="str">
        <f t="array" ref="D1808">xlookup($A1808,product!$A:$A,product!D:D)</f>
        <v>Biscuits apéritif bio</v>
      </c>
      <c r="E1808" s="4" t="str">
        <f t="shared" si="1"/>
        <v>119050-Apéritifs bio-Biscuits apéritif bio</v>
      </c>
      <c r="F1808" s="4">
        <v>0.0</v>
      </c>
      <c r="G1808" s="4">
        <v>775.0</v>
      </c>
      <c r="H1808" s="4">
        <v>179.0</v>
      </c>
      <c r="I1808" s="21">
        <f t="array" ref="I1808">XLOOKUP($A1808,product!A:A,product!E:E)</f>
        <v>1.33</v>
      </c>
      <c r="J1808" s="4">
        <f t="shared" si="2"/>
        <v>238.07</v>
      </c>
      <c r="K1808" s="22">
        <f t="shared" si="3"/>
        <v>1</v>
      </c>
      <c r="L1808" s="4">
        <f t="shared" si="4"/>
        <v>1</v>
      </c>
    </row>
    <row r="1809">
      <c r="A1809" s="23">
        <v>44028.0</v>
      </c>
      <c r="B1809" s="24" t="str">
        <f t="array" ref="B1809">xlookup($A1809,product!$A:$A,product!B:B)</f>
        <v>Epicerie salée</v>
      </c>
      <c r="C1809" s="24" t="str">
        <f t="array" ref="C1809">xlookup($A1809,product!$A:$A,product!C:C)</f>
        <v>Apéritifs bio</v>
      </c>
      <c r="D1809" s="24" t="str">
        <f t="array" ref="D1809">xlookup($A1809,product!$A:$A,product!D:D)</f>
        <v>Biscuits apéritif bio</v>
      </c>
      <c r="E1809" s="25" t="str">
        <f t="shared" si="1"/>
        <v>44028-Apéritifs bio-Biscuits apéritif bio</v>
      </c>
      <c r="F1809" s="25">
        <v>1.0</v>
      </c>
      <c r="G1809" s="25">
        <v>809.0</v>
      </c>
      <c r="H1809" s="25">
        <v>492.0</v>
      </c>
      <c r="I1809" s="26">
        <f t="array" ref="I1809">XLOOKUP($A1809,product!A:A,product!E:E)</f>
        <v>0.73</v>
      </c>
      <c r="J1809" s="25">
        <f t="shared" si="2"/>
        <v>359.16</v>
      </c>
      <c r="K1809" s="27">
        <f t="shared" si="3"/>
        <v>1</v>
      </c>
      <c r="L1809" s="25">
        <f t="shared" si="4"/>
        <v>1</v>
      </c>
    </row>
    <row r="1810">
      <c r="A1810" s="19">
        <v>73572.0</v>
      </c>
      <c r="B1810" s="20" t="str">
        <f t="array" ref="B1810">xlookup($A1810,product!$A:$A,product!B:B)</f>
        <v>Epicerie salée</v>
      </c>
      <c r="C1810" s="20" t="str">
        <f t="array" ref="C1810">xlookup($A1810,product!$A:$A,product!C:C)</f>
        <v>Apéritifs bio</v>
      </c>
      <c r="D1810" s="20" t="str">
        <f t="array" ref="D1810">xlookup($A1810,product!$A:$A,product!D:D)</f>
        <v>Biscuits apéritif bio</v>
      </c>
      <c r="E1810" s="4" t="str">
        <f t="shared" si="1"/>
        <v>73572-Apéritifs bio-Biscuits apéritif bio</v>
      </c>
      <c r="F1810" s="4">
        <v>0.0</v>
      </c>
      <c r="G1810" s="4">
        <v>771.0</v>
      </c>
      <c r="H1810" s="4">
        <v>362.0</v>
      </c>
      <c r="I1810" s="21">
        <f t="array" ref="I1810">XLOOKUP($A1810,product!A:A,product!E:E)</f>
        <v>1.23</v>
      </c>
      <c r="J1810" s="4">
        <f t="shared" si="2"/>
        <v>445.26</v>
      </c>
      <c r="K1810" s="22">
        <f t="shared" si="3"/>
        <v>1</v>
      </c>
      <c r="L1810" s="4">
        <f t="shared" si="4"/>
        <v>1</v>
      </c>
    </row>
    <row r="1811">
      <c r="A1811" s="23">
        <v>83083.0</v>
      </c>
      <c r="B1811" s="24" t="str">
        <f t="array" ref="B1811">xlookup($A1811,product!$A:$A,product!B:B)</f>
        <v>Epicerie salée</v>
      </c>
      <c r="C1811" s="24" t="str">
        <f t="array" ref="C1811">xlookup($A1811,product!$A:$A,product!C:C)</f>
        <v>Apéritifs bio</v>
      </c>
      <c r="D1811" s="24" t="str">
        <f t="array" ref="D1811">xlookup($A1811,product!$A:$A,product!D:D)</f>
        <v>Biscuits apéritif bio</v>
      </c>
      <c r="E1811" s="25" t="str">
        <f t="shared" si="1"/>
        <v>83083-Apéritifs bio-Biscuits apéritif bio</v>
      </c>
      <c r="F1811" s="25">
        <v>0.0</v>
      </c>
      <c r="G1811" s="25">
        <v>474.0</v>
      </c>
      <c r="H1811" s="25">
        <v>323.0</v>
      </c>
      <c r="I1811" s="26">
        <f t="array" ref="I1811">XLOOKUP($A1811,product!A:A,product!E:E)</f>
        <v>0.94</v>
      </c>
      <c r="J1811" s="25">
        <f t="shared" si="2"/>
        <v>303.62</v>
      </c>
      <c r="K1811" s="27">
        <f t="shared" si="3"/>
        <v>1</v>
      </c>
      <c r="L1811" s="25">
        <f t="shared" si="4"/>
        <v>1</v>
      </c>
    </row>
    <row r="1812">
      <c r="A1812" s="19">
        <v>13338.0</v>
      </c>
      <c r="B1812" s="20" t="str">
        <f t="array" ref="B1812">xlookup($A1812,product!$A:$A,product!B:B)</f>
        <v>Epicerie salée</v>
      </c>
      <c r="C1812" s="20" t="str">
        <f t="array" ref="C1812">xlookup($A1812,product!$A:$A,product!C:C)</f>
        <v>Apéritifs bio</v>
      </c>
      <c r="D1812" s="20" t="str">
        <f t="array" ref="D1812">xlookup($A1812,product!$A:$A,product!D:D)</f>
        <v>Biscuits apéritif bio</v>
      </c>
      <c r="E1812" s="4" t="str">
        <f t="shared" si="1"/>
        <v>13338-Apéritifs bio-Biscuits apéritif bio</v>
      </c>
      <c r="F1812" s="4">
        <v>1.0</v>
      </c>
      <c r="G1812" s="4">
        <v>489.0</v>
      </c>
      <c r="H1812" s="4">
        <v>270.0</v>
      </c>
      <c r="I1812" s="21">
        <f t="array" ref="I1812">XLOOKUP($A1812,product!A:A,product!E:E)</f>
        <v>2.09</v>
      </c>
      <c r="J1812" s="4">
        <f t="shared" si="2"/>
        <v>564.3</v>
      </c>
      <c r="K1812" s="22">
        <f t="shared" si="3"/>
        <v>1</v>
      </c>
      <c r="L1812" s="4">
        <f t="shared" si="4"/>
        <v>1</v>
      </c>
    </row>
    <row r="1813">
      <c r="A1813" s="23">
        <v>83418.0</v>
      </c>
      <c r="B1813" s="24" t="str">
        <f t="array" ref="B1813">xlookup($A1813,product!$A:$A,product!B:B)</f>
        <v>Epicerie salée</v>
      </c>
      <c r="C1813" s="24" t="str">
        <f t="array" ref="C1813">xlookup($A1813,product!$A:$A,product!C:C)</f>
        <v>Apéritifs bio</v>
      </c>
      <c r="D1813" s="24" t="str">
        <f t="array" ref="D1813">xlookup($A1813,product!$A:$A,product!D:D)</f>
        <v>Biscuits apéritif bio</v>
      </c>
      <c r="E1813" s="25" t="str">
        <f t="shared" si="1"/>
        <v>83418-Apéritifs bio-Biscuits apéritif bio</v>
      </c>
      <c r="F1813" s="25">
        <v>1.0</v>
      </c>
      <c r="G1813" s="25">
        <v>474.0</v>
      </c>
      <c r="H1813" s="25">
        <v>376.0</v>
      </c>
      <c r="I1813" s="26">
        <f t="array" ref="I1813">XLOOKUP($A1813,product!A:A,product!E:E)</f>
        <v>2.11</v>
      </c>
      <c r="J1813" s="25">
        <f t="shared" si="2"/>
        <v>793.36</v>
      </c>
      <c r="K1813" s="27">
        <f t="shared" si="3"/>
        <v>1</v>
      </c>
      <c r="L1813" s="25">
        <f t="shared" si="4"/>
        <v>1</v>
      </c>
    </row>
    <row r="1814">
      <c r="A1814" s="19">
        <v>68640.0</v>
      </c>
      <c r="B1814" s="20" t="str">
        <f t="array" ref="B1814">xlookup($A1814,product!$A:$A,product!B:B)</f>
        <v>Epicerie salée</v>
      </c>
      <c r="C1814" s="20" t="str">
        <f t="array" ref="C1814">xlookup($A1814,product!$A:$A,product!C:C)</f>
        <v>Apéritifs bio</v>
      </c>
      <c r="D1814" s="20" t="str">
        <f t="array" ref="D1814">xlookup($A1814,product!$A:$A,product!D:D)</f>
        <v>Biscuits apéritif bio</v>
      </c>
      <c r="E1814" s="4" t="str">
        <f t="shared" si="1"/>
        <v>68640-Apéritifs bio-Biscuits apéritif bio</v>
      </c>
      <c r="F1814" s="4">
        <v>0.0</v>
      </c>
      <c r="G1814" s="4">
        <v>937.0</v>
      </c>
      <c r="H1814" s="4">
        <v>166.0</v>
      </c>
      <c r="I1814" s="21">
        <f t="array" ref="I1814">XLOOKUP($A1814,product!A:A,product!E:E)</f>
        <v>1.33</v>
      </c>
      <c r="J1814" s="4">
        <f t="shared" si="2"/>
        <v>220.78</v>
      </c>
      <c r="K1814" s="22">
        <f t="shared" si="3"/>
        <v>1</v>
      </c>
      <c r="L1814" s="4">
        <f t="shared" si="4"/>
        <v>1</v>
      </c>
    </row>
    <row r="1815">
      <c r="A1815" s="23">
        <v>10647.0</v>
      </c>
      <c r="B1815" s="24" t="str">
        <f t="array" ref="B1815">xlookup($A1815,product!$A:$A,product!B:B)</f>
        <v>Epicerie salée</v>
      </c>
      <c r="C1815" s="24" t="str">
        <f t="array" ref="C1815">xlookup($A1815,product!$A:$A,product!C:C)</f>
        <v>Apéritifs bio</v>
      </c>
      <c r="D1815" s="24" t="str">
        <f t="array" ref="D1815">xlookup($A1815,product!$A:$A,product!D:D)</f>
        <v>Biscuits apéritif bio</v>
      </c>
      <c r="E1815" s="25" t="str">
        <f t="shared" si="1"/>
        <v>10647-Apéritifs bio-Biscuits apéritif bio</v>
      </c>
      <c r="F1815" s="25">
        <v>1.0</v>
      </c>
      <c r="G1815" s="25">
        <v>446.0</v>
      </c>
      <c r="H1815" s="25">
        <v>374.0</v>
      </c>
      <c r="I1815" s="26">
        <f t="array" ref="I1815">XLOOKUP($A1815,product!A:A,product!E:E)</f>
        <v>1.1</v>
      </c>
      <c r="J1815" s="25">
        <f t="shared" si="2"/>
        <v>411.4</v>
      </c>
      <c r="K1815" s="27">
        <f t="shared" si="3"/>
        <v>1</v>
      </c>
      <c r="L1815" s="25">
        <f t="shared" si="4"/>
        <v>1</v>
      </c>
    </row>
    <row r="1816">
      <c r="A1816" s="19">
        <v>85884.0</v>
      </c>
      <c r="B1816" s="20" t="str">
        <f t="array" ref="B1816">xlookup($A1816,product!$A:$A,product!B:B)</f>
        <v>Epicerie salée</v>
      </c>
      <c r="C1816" s="20" t="str">
        <f t="array" ref="C1816">xlookup($A1816,product!$A:$A,product!C:C)</f>
        <v>Apéritifs bio</v>
      </c>
      <c r="D1816" s="20" t="str">
        <f t="array" ref="D1816">xlookup($A1816,product!$A:$A,product!D:D)</f>
        <v>Biscuits apéritif bio</v>
      </c>
      <c r="E1816" s="4" t="str">
        <f t="shared" si="1"/>
        <v>85884-Apéritifs bio-Biscuits apéritif bio</v>
      </c>
      <c r="F1816" s="4">
        <v>0.0</v>
      </c>
      <c r="G1816" s="4">
        <v>880.0</v>
      </c>
      <c r="H1816" s="4">
        <v>503.0</v>
      </c>
      <c r="I1816" s="21">
        <f t="array" ref="I1816">XLOOKUP($A1816,product!A:A,product!E:E)</f>
        <v>1.27</v>
      </c>
      <c r="J1816" s="4">
        <f t="shared" si="2"/>
        <v>638.81</v>
      </c>
      <c r="K1816" s="22">
        <f t="shared" si="3"/>
        <v>1</v>
      </c>
      <c r="L1816" s="4">
        <f t="shared" si="4"/>
        <v>1</v>
      </c>
    </row>
    <row r="1817">
      <c r="A1817" s="23">
        <v>113933.0</v>
      </c>
      <c r="B1817" s="24" t="str">
        <f t="array" ref="B1817">xlookup($A1817,product!$A:$A,product!B:B)</f>
        <v>Epicerie salée</v>
      </c>
      <c r="C1817" s="24" t="str">
        <f t="array" ref="C1817">xlookup($A1817,product!$A:$A,product!C:C)</f>
        <v>Apéritifs bio</v>
      </c>
      <c r="D1817" s="24" t="str">
        <f t="array" ref="D1817">xlookup($A1817,product!$A:$A,product!D:D)</f>
        <v>Biscuits apéritif bio</v>
      </c>
      <c r="E1817" s="25" t="str">
        <f t="shared" si="1"/>
        <v>113933-Apéritifs bio-Biscuits apéritif bio</v>
      </c>
      <c r="F1817" s="25">
        <v>0.0</v>
      </c>
      <c r="G1817" s="25">
        <v>823.0</v>
      </c>
      <c r="H1817" s="25">
        <v>42.0</v>
      </c>
      <c r="I1817" s="26">
        <f t="array" ref="I1817">XLOOKUP($A1817,product!A:A,product!E:E)</f>
        <v>1.77</v>
      </c>
      <c r="J1817" s="25">
        <f t="shared" si="2"/>
        <v>74.34</v>
      </c>
      <c r="K1817" s="27">
        <f t="shared" si="3"/>
        <v>1</v>
      </c>
      <c r="L1817" s="25">
        <f t="shared" si="4"/>
        <v>1</v>
      </c>
    </row>
    <row r="1818">
      <c r="A1818" s="19">
        <v>188843.0</v>
      </c>
      <c r="B1818" s="20" t="str">
        <f t="array" ref="B1818">xlookup($A1818,product!$A:$A,product!B:B)</f>
        <v>Epicerie salée</v>
      </c>
      <c r="C1818" s="20" t="str">
        <f t="array" ref="C1818">xlookup($A1818,product!$A:$A,product!C:C)</f>
        <v>Apéritifs bio</v>
      </c>
      <c r="D1818" s="20" t="str">
        <f t="array" ref="D1818">xlookup($A1818,product!$A:$A,product!D:D)</f>
        <v>Biscuits apéritif bio</v>
      </c>
      <c r="E1818" s="4" t="str">
        <f t="shared" si="1"/>
        <v>188843-Apéritifs bio-Biscuits apéritif bio</v>
      </c>
      <c r="F1818" s="4">
        <v>1.0</v>
      </c>
      <c r="G1818" s="4">
        <v>356.0</v>
      </c>
      <c r="H1818" s="4">
        <v>101.0</v>
      </c>
      <c r="I1818" s="21">
        <f t="array" ref="I1818">XLOOKUP($A1818,product!A:A,product!E:E)</f>
        <v>1.26</v>
      </c>
      <c r="J1818" s="4">
        <f t="shared" si="2"/>
        <v>127.26</v>
      </c>
      <c r="K1818" s="22">
        <f t="shared" si="3"/>
        <v>1</v>
      </c>
      <c r="L1818" s="4">
        <f t="shared" si="4"/>
        <v>1</v>
      </c>
    </row>
    <row r="1819">
      <c r="A1819" s="23">
        <v>13342.0</v>
      </c>
      <c r="B1819" s="24" t="str">
        <f t="array" ref="B1819">xlookup($A1819,product!$A:$A,product!B:B)</f>
        <v>Epicerie salée</v>
      </c>
      <c r="C1819" s="24" t="str">
        <f t="array" ref="C1819">xlookup($A1819,product!$A:$A,product!C:C)</f>
        <v>Apéritifs bio</v>
      </c>
      <c r="D1819" s="24" t="str">
        <f t="array" ref="D1819">xlookup($A1819,product!$A:$A,product!D:D)</f>
        <v>Biscuits apéritif bio</v>
      </c>
      <c r="E1819" s="25" t="str">
        <f t="shared" si="1"/>
        <v>13342-Apéritifs bio-Biscuits apéritif bio</v>
      </c>
      <c r="F1819" s="25">
        <v>0.0</v>
      </c>
      <c r="G1819" s="25">
        <v>870.0</v>
      </c>
      <c r="H1819" s="25">
        <v>14.0</v>
      </c>
      <c r="I1819" s="26">
        <f t="array" ref="I1819">XLOOKUP($A1819,product!A:A,product!E:E)</f>
        <v>2.09</v>
      </c>
      <c r="J1819" s="25">
        <f t="shared" si="2"/>
        <v>29.26</v>
      </c>
      <c r="K1819" s="27">
        <f t="shared" si="3"/>
        <v>1</v>
      </c>
      <c r="L1819" s="25">
        <f t="shared" si="4"/>
        <v>1</v>
      </c>
    </row>
    <row r="1820">
      <c r="A1820" s="19">
        <v>83002.0</v>
      </c>
      <c r="B1820" s="20" t="str">
        <f t="array" ref="B1820">xlookup($A1820,product!$A:$A,product!B:B)</f>
        <v>Epicerie salée</v>
      </c>
      <c r="C1820" s="20" t="str">
        <f t="array" ref="C1820">xlookup($A1820,product!$A:$A,product!C:C)</f>
        <v>Apéritifs bio</v>
      </c>
      <c r="D1820" s="20" t="str">
        <f t="array" ref="D1820">xlookup($A1820,product!$A:$A,product!D:D)</f>
        <v>Biscuits apéritif bio</v>
      </c>
      <c r="E1820" s="4" t="str">
        <f t="shared" si="1"/>
        <v>83002-Apéritifs bio-Biscuits apéritif bio</v>
      </c>
      <c r="F1820" s="4">
        <v>0.0</v>
      </c>
      <c r="G1820" s="4">
        <v>565.0</v>
      </c>
      <c r="H1820" s="4">
        <v>141.0</v>
      </c>
      <c r="I1820" s="21">
        <f t="array" ref="I1820">XLOOKUP($A1820,product!A:A,product!E:E)</f>
        <v>1.05</v>
      </c>
      <c r="J1820" s="4">
        <f t="shared" si="2"/>
        <v>148.05</v>
      </c>
      <c r="K1820" s="22">
        <f t="shared" si="3"/>
        <v>1</v>
      </c>
      <c r="L1820" s="4">
        <f t="shared" si="4"/>
        <v>1</v>
      </c>
    </row>
    <row r="1821">
      <c r="A1821" s="23">
        <v>112860.0</v>
      </c>
      <c r="B1821" s="24" t="str">
        <f t="array" ref="B1821">xlookup($A1821,product!$A:$A,product!B:B)</f>
        <v>Epicerie salée</v>
      </c>
      <c r="C1821" s="24" t="str">
        <f t="array" ref="C1821">xlookup($A1821,product!$A:$A,product!C:C)</f>
        <v>Apéritifs bio</v>
      </c>
      <c r="D1821" s="24" t="str">
        <f t="array" ref="D1821">xlookup($A1821,product!$A:$A,product!D:D)</f>
        <v>Biscuits apéritif bio</v>
      </c>
      <c r="E1821" s="25" t="str">
        <f t="shared" si="1"/>
        <v>112860-Apéritifs bio-Biscuits apéritif bio</v>
      </c>
      <c r="F1821" s="25">
        <v>1.0</v>
      </c>
      <c r="G1821" s="25">
        <v>368.0</v>
      </c>
      <c r="H1821" s="25">
        <v>173.0</v>
      </c>
      <c r="I1821" s="26">
        <f t="array" ref="I1821">XLOOKUP($A1821,product!A:A,product!E:E)</f>
        <v>1.59</v>
      </c>
      <c r="J1821" s="25">
        <f t="shared" si="2"/>
        <v>275.07</v>
      </c>
      <c r="K1821" s="27">
        <f t="shared" si="3"/>
        <v>1</v>
      </c>
      <c r="L1821" s="25">
        <f t="shared" si="4"/>
        <v>1</v>
      </c>
    </row>
    <row r="1822">
      <c r="A1822" s="19">
        <v>118374.0</v>
      </c>
      <c r="B1822" s="20" t="str">
        <f t="array" ref="B1822">xlookup($A1822,product!$A:$A,product!B:B)</f>
        <v>Epicerie salée</v>
      </c>
      <c r="C1822" s="20" t="str">
        <f t="array" ref="C1822">xlookup($A1822,product!$A:$A,product!C:C)</f>
        <v>Apéritifs bio</v>
      </c>
      <c r="D1822" s="20" t="str">
        <f t="array" ref="D1822">xlookup($A1822,product!$A:$A,product!D:D)</f>
        <v>Biscuits apéritif bio</v>
      </c>
      <c r="E1822" s="4" t="str">
        <f t="shared" si="1"/>
        <v>118374-Apéritifs bio-Biscuits apéritif bio</v>
      </c>
      <c r="F1822" s="4">
        <v>1.0</v>
      </c>
      <c r="G1822" s="4">
        <v>535.0</v>
      </c>
      <c r="H1822" s="4">
        <v>351.0</v>
      </c>
      <c r="I1822" s="21">
        <f t="array" ref="I1822">XLOOKUP($A1822,product!A:A,product!E:E)</f>
        <v>1.67</v>
      </c>
      <c r="J1822" s="4">
        <f t="shared" si="2"/>
        <v>586.17</v>
      </c>
      <c r="K1822" s="22">
        <f t="shared" si="3"/>
        <v>1</v>
      </c>
      <c r="L1822" s="4">
        <f t="shared" si="4"/>
        <v>1</v>
      </c>
    </row>
    <row r="1823">
      <c r="A1823" s="23">
        <v>119049.0</v>
      </c>
      <c r="B1823" s="24" t="str">
        <f t="array" ref="B1823">xlookup($A1823,product!$A:$A,product!B:B)</f>
        <v>Epicerie salée</v>
      </c>
      <c r="C1823" s="24" t="str">
        <f t="array" ref="C1823">xlookup($A1823,product!$A:$A,product!C:C)</f>
        <v>Apéritifs bio</v>
      </c>
      <c r="D1823" s="24" t="str">
        <f t="array" ref="D1823">xlookup($A1823,product!$A:$A,product!D:D)</f>
        <v>Biscuits apéritif bio</v>
      </c>
      <c r="E1823" s="25" t="str">
        <f t="shared" si="1"/>
        <v>119049-Apéritifs bio-Biscuits apéritif bio</v>
      </c>
      <c r="F1823" s="25">
        <v>0.0</v>
      </c>
      <c r="G1823" s="25">
        <v>628.0</v>
      </c>
      <c r="H1823" s="25">
        <v>308.0</v>
      </c>
      <c r="I1823" s="26">
        <f t="array" ref="I1823">XLOOKUP($A1823,product!A:A,product!E:E)</f>
        <v>1.33</v>
      </c>
      <c r="J1823" s="25">
        <f t="shared" si="2"/>
        <v>409.64</v>
      </c>
      <c r="K1823" s="27">
        <f t="shared" si="3"/>
        <v>1</v>
      </c>
      <c r="L1823" s="25">
        <f t="shared" si="4"/>
        <v>1</v>
      </c>
    </row>
    <row r="1824">
      <c r="A1824" s="19">
        <v>120964.0</v>
      </c>
      <c r="B1824" s="20" t="str">
        <f t="array" ref="B1824">xlookup($A1824,product!$A:$A,product!B:B)</f>
        <v>Epicerie salée</v>
      </c>
      <c r="C1824" s="20" t="str">
        <f t="array" ref="C1824">xlookup($A1824,product!$A:$A,product!C:C)</f>
        <v>Apéritifs bio</v>
      </c>
      <c r="D1824" s="20" t="str">
        <f t="array" ref="D1824">xlookup($A1824,product!$A:$A,product!D:D)</f>
        <v>Biscuits apéritif bio</v>
      </c>
      <c r="E1824" s="4" t="str">
        <f t="shared" si="1"/>
        <v>120964-Apéritifs bio-Biscuits apéritif bio</v>
      </c>
      <c r="F1824" s="4">
        <v>1.0</v>
      </c>
      <c r="G1824" s="4">
        <v>412.0</v>
      </c>
      <c r="H1824" s="4">
        <v>62.0</v>
      </c>
      <c r="I1824" s="21">
        <f t="array" ref="I1824">XLOOKUP($A1824,product!A:A,product!E:E)</f>
        <v>1.96</v>
      </c>
      <c r="J1824" s="4">
        <f t="shared" si="2"/>
        <v>121.52</v>
      </c>
      <c r="K1824" s="22">
        <f t="shared" si="3"/>
        <v>1</v>
      </c>
      <c r="L1824" s="4">
        <f t="shared" si="4"/>
        <v>1</v>
      </c>
    </row>
    <row r="1825">
      <c r="A1825" s="23">
        <v>26093.0</v>
      </c>
      <c r="B1825" s="24" t="str">
        <f t="array" ref="B1825">xlookup($A1825,product!$A:$A,product!B:B)</f>
        <v>Epicerie salée</v>
      </c>
      <c r="C1825" s="24" t="str">
        <f t="array" ref="C1825">xlookup($A1825,product!$A:$A,product!C:C)</f>
        <v>Apéritifs bio</v>
      </c>
      <c r="D1825" s="24" t="str">
        <f t="array" ref="D1825">xlookup($A1825,product!$A:$A,product!D:D)</f>
        <v>Biscuits apéritif bio</v>
      </c>
      <c r="E1825" s="25" t="str">
        <f t="shared" si="1"/>
        <v>26093-Apéritifs bio-Biscuits apéritif bio</v>
      </c>
      <c r="F1825" s="25">
        <v>0.0</v>
      </c>
      <c r="G1825" s="25">
        <v>94.0</v>
      </c>
      <c r="H1825" s="25">
        <v>63.0</v>
      </c>
      <c r="I1825" s="26">
        <f t="array" ref="I1825">XLOOKUP($A1825,product!A:A,product!E:E)</f>
        <v>1.15</v>
      </c>
      <c r="J1825" s="25">
        <f t="shared" si="2"/>
        <v>72.45</v>
      </c>
      <c r="K1825" s="27">
        <f t="shared" si="3"/>
        <v>1</v>
      </c>
      <c r="L1825" s="25">
        <f t="shared" si="4"/>
        <v>1</v>
      </c>
    </row>
    <row r="1826">
      <c r="A1826" s="19">
        <v>99311.0</v>
      </c>
      <c r="B1826" s="20" t="str">
        <f t="array" ref="B1826">xlookup($A1826,product!$A:$A,product!B:B)</f>
        <v>Epicerie salée</v>
      </c>
      <c r="C1826" s="20" t="str">
        <f t="array" ref="C1826">xlookup($A1826,product!$A:$A,product!C:C)</f>
        <v>Apéritifs bio</v>
      </c>
      <c r="D1826" s="20" t="str">
        <f t="array" ref="D1826">xlookup($A1826,product!$A:$A,product!D:D)</f>
        <v>Biscuits apéritif bio</v>
      </c>
      <c r="E1826" s="4" t="str">
        <f t="shared" si="1"/>
        <v>99311-Apéritifs bio-Biscuits apéritif bio</v>
      </c>
      <c r="F1826" s="4">
        <v>1.0</v>
      </c>
      <c r="G1826" s="4">
        <v>193.0</v>
      </c>
      <c r="H1826" s="4">
        <v>113.0</v>
      </c>
      <c r="I1826" s="21">
        <f t="array" ref="I1826">XLOOKUP($A1826,product!A:A,product!E:E)</f>
        <v>0.82</v>
      </c>
      <c r="J1826" s="4">
        <f t="shared" si="2"/>
        <v>92.66</v>
      </c>
      <c r="K1826" s="22">
        <f t="shared" si="3"/>
        <v>1</v>
      </c>
      <c r="L1826" s="4">
        <f t="shared" si="4"/>
        <v>1</v>
      </c>
    </row>
    <row r="1827">
      <c r="A1827" s="23">
        <v>9131.0</v>
      </c>
      <c r="B1827" s="24" t="str">
        <f t="array" ref="B1827">xlookup($A1827,product!$A:$A,product!B:B)</f>
        <v>Epicerie salée</v>
      </c>
      <c r="C1827" s="24" t="str">
        <f t="array" ref="C1827">xlookup($A1827,product!$A:$A,product!C:C)</f>
        <v>Apéritifs bio</v>
      </c>
      <c r="D1827" s="24" t="str">
        <f t="array" ref="D1827">xlookup($A1827,product!$A:$A,product!D:D)</f>
        <v>Biscuits apéritif bio</v>
      </c>
      <c r="E1827" s="25" t="str">
        <f t="shared" si="1"/>
        <v>9131-Apéritifs bio-Biscuits apéritif bio</v>
      </c>
      <c r="F1827" s="25">
        <v>1.0</v>
      </c>
      <c r="G1827" s="25">
        <v>686.0</v>
      </c>
      <c r="H1827" s="25">
        <v>300.0</v>
      </c>
      <c r="I1827" s="26">
        <f t="array" ref="I1827">XLOOKUP($A1827,product!A:A,product!E:E)</f>
        <v>1.93</v>
      </c>
      <c r="J1827" s="25">
        <f t="shared" si="2"/>
        <v>579</v>
      </c>
      <c r="K1827" s="27">
        <f t="shared" si="3"/>
        <v>1</v>
      </c>
      <c r="L1827" s="25">
        <f t="shared" si="4"/>
        <v>1</v>
      </c>
    </row>
    <row r="1828">
      <c r="A1828" s="19">
        <v>122167.0</v>
      </c>
      <c r="B1828" s="20" t="str">
        <f t="array" ref="B1828">xlookup($A1828,product!$A:$A,product!B:B)</f>
        <v>Epicerie salée</v>
      </c>
      <c r="C1828" s="20" t="str">
        <f t="array" ref="C1828">xlookup($A1828,product!$A:$A,product!C:C)</f>
        <v>Apéritifs bio</v>
      </c>
      <c r="D1828" s="20" t="str">
        <f t="array" ref="D1828">xlookup($A1828,product!$A:$A,product!D:D)</f>
        <v>Biscuits apéritif bio</v>
      </c>
      <c r="E1828" s="4" t="str">
        <f t="shared" si="1"/>
        <v>122167-Apéritifs bio-Biscuits apéritif bio</v>
      </c>
      <c r="F1828" s="4">
        <v>1.0</v>
      </c>
      <c r="G1828" s="4">
        <v>850.0</v>
      </c>
      <c r="H1828" s="4">
        <v>742.0</v>
      </c>
      <c r="I1828" s="21">
        <f t="array" ref="I1828">XLOOKUP($A1828,product!A:A,product!E:E)</f>
        <v>1.23</v>
      </c>
      <c r="J1828" s="4">
        <f t="shared" si="2"/>
        <v>912.66</v>
      </c>
      <c r="K1828" s="22">
        <f t="shared" si="3"/>
        <v>1</v>
      </c>
      <c r="L1828" s="4">
        <f t="shared" si="4"/>
        <v>1</v>
      </c>
    </row>
    <row r="1829">
      <c r="A1829" s="23">
        <v>10649.0</v>
      </c>
      <c r="B1829" s="24" t="str">
        <f t="array" ref="B1829">xlookup($A1829,product!$A:$A,product!B:B)</f>
        <v>Epicerie salée</v>
      </c>
      <c r="C1829" s="24" t="str">
        <f t="array" ref="C1829">xlookup($A1829,product!$A:$A,product!C:C)</f>
        <v>Apéritifs bio</v>
      </c>
      <c r="D1829" s="24" t="str">
        <f t="array" ref="D1829">xlookup($A1829,product!$A:$A,product!D:D)</f>
        <v>Biscuits apéritif bio</v>
      </c>
      <c r="E1829" s="25" t="str">
        <f t="shared" si="1"/>
        <v>10649-Apéritifs bio-Biscuits apéritif bio</v>
      </c>
      <c r="F1829" s="25">
        <v>1.0</v>
      </c>
      <c r="G1829" s="25">
        <v>720.0</v>
      </c>
      <c r="H1829" s="25">
        <v>718.0</v>
      </c>
      <c r="I1829" s="26">
        <f t="array" ref="I1829">XLOOKUP($A1829,product!A:A,product!E:E)</f>
        <v>1.07</v>
      </c>
      <c r="J1829" s="25">
        <f t="shared" si="2"/>
        <v>768.26</v>
      </c>
      <c r="K1829" s="27">
        <f t="shared" si="3"/>
        <v>1</v>
      </c>
      <c r="L1829" s="25">
        <f t="shared" si="4"/>
        <v>1</v>
      </c>
    </row>
    <row r="1830">
      <c r="A1830" s="19">
        <v>85875.0</v>
      </c>
      <c r="B1830" s="20" t="str">
        <f t="array" ref="B1830">xlookup($A1830,product!$A:$A,product!B:B)</f>
        <v>Epicerie salée</v>
      </c>
      <c r="C1830" s="20" t="str">
        <f t="array" ref="C1830">xlookup($A1830,product!$A:$A,product!C:C)</f>
        <v>Apéritifs bio</v>
      </c>
      <c r="D1830" s="20" t="str">
        <f t="array" ref="D1830">xlookup($A1830,product!$A:$A,product!D:D)</f>
        <v>Biscuits apéritif bio</v>
      </c>
      <c r="E1830" s="4" t="str">
        <f t="shared" si="1"/>
        <v>85875-Apéritifs bio-Biscuits apéritif bio</v>
      </c>
      <c r="F1830" s="4">
        <v>1.0</v>
      </c>
      <c r="G1830" s="4">
        <v>495.0</v>
      </c>
      <c r="H1830" s="4">
        <v>182.0</v>
      </c>
      <c r="I1830" s="21">
        <f t="array" ref="I1830">XLOOKUP($A1830,product!A:A,product!E:E)</f>
        <v>1.93</v>
      </c>
      <c r="J1830" s="4">
        <f t="shared" si="2"/>
        <v>351.26</v>
      </c>
      <c r="K1830" s="22">
        <f t="shared" si="3"/>
        <v>1</v>
      </c>
      <c r="L1830" s="4">
        <f t="shared" si="4"/>
        <v>1</v>
      </c>
    </row>
    <row r="1831">
      <c r="A1831" s="23">
        <v>9136.0</v>
      </c>
      <c r="B1831" s="24" t="str">
        <f t="array" ref="B1831">xlookup($A1831,product!$A:$A,product!B:B)</f>
        <v>Epicerie salée</v>
      </c>
      <c r="C1831" s="24" t="str">
        <f t="array" ref="C1831">xlookup($A1831,product!$A:$A,product!C:C)</f>
        <v>Apéritifs bio</v>
      </c>
      <c r="D1831" s="24" t="str">
        <f t="array" ref="D1831">xlookup($A1831,product!$A:$A,product!D:D)</f>
        <v>Biscuits apéritif bio</v>
      </c>
      <c r="E1831" s="25" t="str">
        <f t="shared" si="1"/>
        <v>9136-Apéritifs bio-Biscuits apéritif bio</v>
      </c>
      <c r="F1831" s="25">
        <v>1.0</v>
      </c>
      <c r="G1831" s="25">
        <v>602.0</v>
      </c>
      <c r="H1831" s="25">
        <v>14.0</v>
      </c>
      <c r="I1831" s="26">
        <f t="array" ref="I1831">XLOOKUP($A1831,product!A:A,product!E:E)</f>
        <v>2.05</v>
      </c>
      <c r="J1831" s="25">
        <f t="shared" si="2"/>
        <v>28.7</v>
      </c>
      <c r="K1831" s="27">
        <f t="shared" si="3"/>
        <v>1</v>
      </c>
      <c r="L1831" s="25">
        <f t="shared" si="4"/>
        <v>1</v>
      </c>
    </row>
    <row r="1832">
      <c r="A1832" s="19">
        <v>121835.0</v>
      </c>
      <c r="B1832" s="20" t="str">
        <f t="array" ref="B1832">xlookup($A1832,product!$A:$A,product!B:B)</f>
        <v>Epicerie salée</v>
      </c>
      <c r="C1832" s="20" t="str">
        <f t="array" ref="C1832">xlookup($A1832,product!$A:$A,product!C:C)</f>
        <v>Apéritifs bio</v>
      </c>
      <c r="D1832" s="20" t="str">
        <f t="array" ref="D1832">xlookup($A1832,product!$A:$A,product!D:D)</f>
        <v>Biscuits apéritif bio</v>
      </c>
      <c r="E1832" s="4" t="str">
        <f t="shared" si="1"/>
        <v>121835-Apéritifs bio-Biscuits apéritif bio</v>
      </c>
      <c r="F1832" s="4">
        <v>1.0</v>
      </c>
      <c r="G1832" s="4">
        <v>327.0</v>
      </c>
      <c r="H1832" s="4">
        <v>126.0</v>
      </c>
      <c r="I1832" s="21">
        <f t="array" ref="I1832">XLOOKUP($A1832,product!A:A,product!E:E)</f>
        <v>1.4</v>
      </c>
      <c r="J1832" s="4">
        <f t="shared" si="2"/>
        <v>176.4</v>
      </c>
      <c r="K1832" s="22">
        <f t="shared" si="3"/>
        <v>1</v>
      </c>
      <c r="L1832" s="4">
        <f t="shared" si="4"/>
        <v>1</v>
      </c>
    </row>
    <row r="1833">
      <c r="A1833" s="23">
        <v>113934.0</v>
      </c>
      <c r="B1833" s="24" t="str">
        <f t="array" ref="B1833">xlookup($A1833,product!$A:$A,product!B:B)</f>
        <v>Epicerie salée</v>
      </c>
      <c r="C1833" s="24" t="str">
        <f t="array" ref="C1833">xlookup($A1833,product!$A:$A,product!C:C)</f>
        <v>Apéritifs bio</v>
      </c>
      <c r="D1833" s="24" t="str">
        <f t="array" ref="D1833">xlookup($A1833,product!$A:$A,product!D:D)</f>
        <v>Biscuits apéritif bio</v>
      </c>
      <c r="E1833" s="25" t="str">
        <f t="shared" si="1"/>
        <v>113934-Apéritifs bio-Biscuits apéritif bio</v>
      </c>
      <c r="F1833" s="25">
        <v>0.0</v>
      </c>
      <c r="G1833" s="25">
        <v>561.0</v>
      </c>
      <c r="H1833" s="25">
        <v>247.0</v>
      </c>
      <c r="I1833" s="26">
        <f t="array" ref="I1833">XLOOKUP($A1833,product!A:A,product!E:E)</f>
        <v>3.34</v>
      </c>
      <c r="J1833" s="25">
        <f t="shared" si="2"/>
        <v>824.98</v>
      </c>
      <c r="K1833" s="27">
        <f t="shared" si="3"/>
        <v>1</v>
      </c>
      <c r="L1833" s="25">
        <f t="shared" si="4"/>
        <v>1</v>
      </c>
    </row>
    <row r="1834">
      <c r="A1834" s="19">
        <v>5750.0</v>
      </c>
      <c r="B1834" s="20" t="str">
        <f t="array" ref="B1834">xlookup($A1834,product!$A:$A,product!B:B)</f>
        <v>Epicerie salée</v>
      </c>
      <c r="C1834" s="20" t="str">
        <f t="array" ref="C1834">xlookup($A1834,product!$A:$A,product!C:C)</f>
        <v>Apéritifs bio</v>
      </c>
      <c r="D1834" s="20" t="str">
        <f t="array" ref="D1834">xlookup($A1834,product!$A:$A,product!D:D)</f>
        <v>Biscuits apéritif bio</v>
      </c>
      <c r="E1834" s="4" t="str">
        <f t="shared" si="1"/>
        <v>5750-Apéritifs bio-Biscuits apéritif bio</v>
      </c>
      <c r="F1834" s="4">
        <v>0.0</v>
      </c>
      <c r="G1834" s="4">
        <v>910.0</v>
      </c>
      <c r="H1834" s="4">
        <v>493.0</v>
      </c>
      <c r="I1834" s="21">
        <f t="array" ref="I1834">XLOOKUP($A1834,product!A:A,product!E:E)</f>
        <v>1.48</v>
      </c>
      <c r="J1834" s="4">
        <f t="shared" si="2"/>
        <v>729.64</v>
      </c>
      <c r="K1834" s="22">
        <f t="shared" si="3"/>
        <v>1</v>
      </c>
      <c r="L1834" s="4">
        <f t="shared" si="4"/>
        <v>1</v>
      </c>
    </row>
    <row r="1835">
      <c r="A1835" s="23">
        <v>73390.0</v>
      </c>
      <c r="B1835" s="24" t="str">
        <f t="array" ref="B1835">xlookup($A1835,product!$A:$A,product!B:B)</f>
        <v>Epicerie salée</v>
      </c>
      <c r="C1835" s="24" t="str">
        <f t="array" ref="C1835">xlookup($A1835,product!$A:$A,product!C:C)</f>
        <v>Apéritifs bio</v>
      </c>
      <c r="D1835" s="24" t="str">
        <f t="array" ref="D1835">xlookup($A1835,product!$A:$A,product!D:D)</f>
        <v>Biscuits apéritif bio</v>
      </c>
      <c r="E1835" s="25" t="str">
        <f t="shared" si="1"/>
        <v>73390-Apéritifs bio-Biscuits apéritif bio</v>
      </c>
      <c r="F1835" s="25">
        <v>0.0</v>
      </c>
      <c r="G1835" s="25">
        <v>678.0</v>
      </c>
      <c r="H1835" s="25">
        <v>415.0</v>
      </c>
      <c r="I1835" s="26">
        <f t="array" ref="I1835">XLOOKUP($A1835,product!A:A,product!E:E)</f>
        <v>1.36</v>
      </c>
      <c r="J1835" s="25">
        <f t="shared" si="2"/>
        <v>564.4</v>
      </c>
      <c r="K1835" s="27">
        <f t="shared" si="3"/>
        <v>1</v>
      </c>
      <c r="L1835" s="25">
        <f t="shared" si="4"/>
        <v>1</v>
      </c>
    </row>
    <row r="1836">
      <c r="A1836" s="19">
        <v>114251.0</v>
      </c>
      <c r="B1836" s="20" t="str">
        <f t="array" ref="B1836">xlookup($A1836,product!$A:$A,product!B:B)</f>
        <v>Epicerie salée</v>
      </c>
      <c r="C1836" s="20" t="str">
        <f t="array" ref="C1836">xlookup($A1836,product!$A:$A,product!C:C)</f>
        <v>Apéritifs bio</v>
      </c>
      <c r="D1836" s="20" t="str">
        <f t="array" ref="D1836">xlookup($A1836,product!$A:$A,product!D:D)</f>
        <v>Biscuits apéritif bio</v>
      </c>
      <c r="E1836" s="4" t="str">
        <f t="shared" si="1"/>
        <v>114251-Apéritifs bio-Biscuits apéritif bio</v>
      </c>
      <c r="F1836" s="4">
        <v>1.0</v>
      </c>
      <c r="G1836" s="4">
        <v>53.0</v>
      </c>
      <c r="H1836" s="4">
        <v>24.0</v>
      </c>
      <c r="I1836" s="21">
        <f t="array" ref="I1836">XLOOKUP($A1836,product!A:A,product!E:E)</f>
        <v>1.73</v>
      </c>
      <c r="J1836" s="4">
        <f t="shared" si="2"/>
        <v>41.52</v>
      </c>
      <c r="K1836" s="22">
        <f t="shared" si="3"/>
        <v>1</v>
      </c>
      <c r="L1836" s="4">
        <f t="shared" si="4"/>
        <v>1</v>
      </c>
    </row>
    <row r="1837">
      <c r="A1837" s="23">
        <v>73392.0</v>
      </c>
      <c r="B1837" s="24" t="str">
        <f t="array" ref="B1837">xlookup($A1837,product!$A:$A,product!B:B)</f>
        <v>Epicerie salée</v>
      </c>
      <c r="C1837" s="24" t="str">
        <f t="array" ref="C1837">xlookup($A1837,product!$A:$A,product!C:C)</f>
        <v>Apéritifs bio</v>
      </c>
      <c r="D1837" s="24" t="str">
        <f t="array" ref="D1837">xlookup($A1837,product!$A:$A,product!D:D)</f>
        <v>Biscuits apéritif bio</v>
      </c>
      <c r="E1837" s="25" t="str">
        <f t="shared" si="1"/>
        <v>73392-Apéritifs bio-Biscuits apéritif bio</v>
      </c>
      <c r="F1837" s="25">
        <v>1.0</v>
      </c>
      <c r="G1837" s="25">
        <v>582.0</v>
      </c>
      <c r="H1837" s="25">
        <v>52.0</v>
      </c>
      <c r="I1837" s="26">
        <f t="array" ref="I1837">XLOOKUP($A1837,product!A:A,product!E:E)</f>
        <v>1.36</v>
      </c>
      <c r="J1837" s="25">
        <f t="shared" si="2"/>
        <v>70.72</v>
      </c>
      <c r="K1837" s="27">
        <f t="shared" si="3"/>
        <v>1</v>
      </c>
      <c r="L1837" s="25">
        <f t="shared" si="4"/>
        <v>1</v>
      </c>
    </row>
    <row r="1838">
      <c r="A1838" s="19">
        <v>9128.0</v>
      </c>
      <c r="B1838" s="20" t="str">
        <f t="array" ref="B1838">xlookup($A1838,product!$A:$A,product!B:B)</f>
        <v>Epicerie salée</v>
      </c>
      <c r="C1838" s="20" t="str">
        <f t="array" ref="C1838">xlookup($A1838,product!$A:$A,product!C:C)</f>
        <v>Apéritifs bio</v>
      </c>
      <c r="D1838" s="20" t="str">
        <f t="array" ref="D1838">xlookup($A1838,product!$A:$A,product!D:D)</f>
        <v>Biscuits apéritif bio</v>
      </c>
      <c r="E1838" s="4" t="str">
        <f t="shared" si="1"/>
        <v>9128-Apéritifs bio-Biscuits apéritif bio</v>
      </c>
      <c r="F1838" s="4">
        <v>1.0</v>
      </c>
      <c r="G1838" s="4">
        <v>75.0</v>
      </c>
      <c r="H1838" s="4">
        <v>42.0</v>
      </c>
      <c r="I1838" s="21">
        <f t="array" ref="I1838">XLOOKUP($A1838,product!A:A,product!E:E)</f>
        <v>1.76</v>
      </c>
      <c r="J1838" s="4">
        <f t="shared" si="2"/>
        <v>73.92</v>
      </c>
      <c r="K1838" s="22">
        <f t="shared" si="3"/>
        <v>1</v>
      </c>
      <c r="L1838" s="4">
        <f t="shared" si="4"/>
        <v>1</v>
      </c>
    </row>
    <row r="1839">
      <c r="A1839" s="23">
        <v>122672.0</v>
      </c>
      <c r="B1839" s="24" t="str">
        <f t="array" ref="B1839">xlookup($A1839,product!$A:$A,product!B:B)</f>
        <v>Epicerie salée</v>
      </c>
      <c r="C1839" s="24" t="str">
        <f t="array" ref="C1839">xlookup($A1839,product!$A:$A,product!C:C)</f>
        <v>Apéritifs bio</v>
      </c>
      <c r="D1839" s="24" t="str">
        <f t="array" ref="D1839">xlookup($A1839,product!$A:$A,product!D:D)</f>
        <v>Biscuits apéritif bio</v>
      </c>
      <c r="E1839" s="25" t="str">
        <f t="shared" si="1"/>
        <v>122672-Apéritifs bio-Biscuits apéritif bio</v>
      </c>
      <c r="F1839" s="25">
        <v>0.0</v>
      </c>
      <c r="G1839" s="25">
        <v>845.0</v>
      </c>
      <c r="H1839" s="25">
        <v>158.0</v>
      </c>
      <c r="I1839" s="26">
        <f t="array" ref="I1839">XLOOKUP($A1839,product!A:A,product!E:E)</f>
        <v>1.88</v>
      </c>
      <c r="J1839" s="25">
        <f t="shared" si="2"/>
        <v>297.04</v>
      </c>
      <c r="K1839" s="27">
        <f t="shared" si="3"/>
        <v>1</v>
      </c>
      <c r="L1839" s="25">
        <f t="shared" si="4"/>
        <v>1</v>
      </c>
    </row>
    <row r="1840">
      <c r="A1840" s="19">
        <v>85857.0</v>
      </c>
      <c r="B1840" s="20" t="str">
        <f t="array" ref="B1840">xlookup($A1840,product!$A:$A,product!B:B)</f>
        <v>Epicerie salée</v>
      </c>
      <c r="C1840" s="20" t="str">
        <f t="array" ref="C1840">xlookup($A1840,product!$A:$A,product!C:C)</f>
        <v>Apéritifs bio</v>
      </c>
      <c r="D1840" s="20" t="str">
        <f t="array" ref="D1840">xlookup($A1840,product!$A:$A,product!D:D)</f>
        <v>Biscuits apéritif bio</v>
      </c>
      <c r="E1840" s="4" t="str">
        <f t="shared" si="1"/>
        <v>85857-Apéritifs bio-Biscuits apéritif bio</v>
      </c>
      <c r="F1840" s="4">
        <v>0.0</v>
      </c>
      <c r="G1840" s="4">
        <v>285.0</v>
      </c>
      <c r="H1840" s="4">
        <v>195.0</v>
      </c>
      <c r="I1840" s="21">
        <f t="array" ref="I1840">XLOOKUP($A1840,product!A:A,product!E:E)</f>
        <v>2.05</v>
      </c>
      <c r="J1840" s="4">
        <f t="shared" si="2"/>
        <v>399.75</v>
      </c>
      <c r="K1840" s="22">
        <f t="shared" si="3"/>
        <v>1</v>
      </c>
      <c r="L1840" s="4">
        <f t="shared" si="4"/>
        <v>1</v>
      </c>
    </row>
    <row r="1841">
      <c r="A1841" s="23">
        <v>9129.0</v>
      </c>
      <c r="B1841" s="24" t="str">
        <f t="array" ref="B1841">xlookup($A1841,product!$A:$A,product!B:B)</f>
        <v>Epicerie salée</v>
      </c>
      <c r="C1841" s="24" t="str">
        <f t="array" ref="C1841">xlookup($A1841,product!$A:$A,product!C:C)</f>
        <v>Apéritifs bio</v>
      </c>
      <c r="D1841" s="24" t="str">
        <f t="array" ref="D1841">xlookup($A1841,product!$A:$A,product!D:D)</f>
        <v>Biscuits apéritif bio</v>
      </c>
      <c r="E1841" s="25" t="str">
        <f t="shared" si="1"/>
        <v>9129-Apéritifs bio-Biscuits apéritif bio</v>
      </c>
      <c r="F1841" s="25">
        <v>1.0</v>
      </c>
      <c r="G1841" s="25">
        <v>971.0</v>
      </c>
      <c r="H1841" s="25">
        <v>908.0</v>
      </c>
      <c r="I1841" s="26">
        <f t="array" ref="I1841">XLOOKUP($A1841,product!A:A,product!E:E)</f>
        <v>1.93</v>
      </c>
      <c r="J1841" s="25">
        <f t="shared" si="2"/>
        <v>1752.44</v>
      </c>
      <c r="K1841" s="27">
        <f t="shared" si="3"/>
        <v>1</v>
      </c>
      <c r="L1841" s="25">
        <f t="shared" si="4"/>
        <v>1</v>
      </c>
    </row>
    <row r="1842">
      <c r="A1842" s="19">
        <v>162438.0</v>
      </c>
      <c r="B1842" s="20" t="str">
        <f t="array" ref="B1842">xlookup($A1842,product!$A:$A,product!B:B)</f>
        <v>Epicerie salée</v>
      </c>
      <c r="C1842" s="20" t="str">
        <f t="array" ref="C1842">xlookup($A1842,product!$A:$A,product!C:C)</f>
        <v>Apéritifs bio</v>
      </c>
      <c r="D1842" s="20" t="str">
        <f t="array" ref="D1842">xlookup($A1842,product!$A:$A,product!D:D)</f>
        <v>Biscuits apéritif bio</v>
      </c>
      <c r="E1842" s="4" t="str">
        <f t="shared" si="1"/>
        <v>162438-Apéritifs bio-Biscuits apéritif bio</v>
      </c>
      <c r="F1842" s="4">
        <v>1.0</v>
      </c>
      <c r="G1842" s="4">
        <v>508.0</v>
      </c>
      <c r="H1842" s="4">
        <v>490.0</v>
      </c>
      <c r="I1842" s="21">
        <f t="array" ref="I1842">XLOOKUP($A1842,product!A:A,product!E:E)</f>
        <v>1.53</v>
      </c>
      <c r="J1842" s="4">
        <f t="shared" si="2"/>
        <v>749.7</v>
      </c>
      <c r="K1842" s="22">
        <f t="shared" si="3"/>
        <v>1</v>
      </c>
      <c r="L1842" s="4">
        <f t="shared" si="4"/>
        <v>1</v>
      </c>
    </row>
    <row r="1843">
      <c r="A1843" s="23">
        <v>73391.0</v>
      </c>
      <c r="B1843" s="24" t="str">
        <f t="array" ref="B1843">xlookup($A1843,product!$A:$A,product!B:B)</f>
        <v>Epicerie salée</v>
      </c>
      <c r="C1843" s="24" t="str">
        <f t="array" ref="C1843">xlookup($A1843,product!$A:$A,product!C:C)</f>
        <v>Apéritifs bio</v>
      </c>
      <c r="D1843" s="24" t="str">
        <f t="array" ref="D1843">xlookup($A1843,product!$A:$A,product!D:D)</f>
        <v>Biscuits apéritif bio</v>
      </c>
      <c r="E1843" s="25" t="str">
        <f t="shared" si="1"/>
        <v>73391-Apéritifs bio-Biscuits apéritif bio</v>
      </c>
      <c r="F1843" s="25">
        <v>0.0</v>
      </c>
      <c r="G1843" s="25">
        <v>919.0</v>
      </c>
      <c r="H1843" s="25">
        <v>192.0</v>
      </c>
      <c r="I1843" s="26">
        <f t="array" ref="I1843">XLOOKUP($A1843,product!A:A,product!E:E)</f>
        <v>1.36</v>
      </c>
      <c r="J1843" s="25">
        <f t="shared" si="2"/>
        <v>261.12</v>
      </c>
      <c r="K1843" s="27">
        <f t="shared" si="3"/>
        <v>1</v>
      </c>
      <c r="L1843" s="25">
        <f t="shared" si="4"/>
        <v>1</v>
      </c>
    </row>
    <row r="1844">
      <c r="A1844" s="19">
        <v>46428.0</v>
      </c>
      <c r="B1844" s="20" t="str">
        <f t="array" ref="B1844">xlookup($A1844,product!$A:$A,product!B:B)</f>
        <v>Epicerie salée</v>
      </c>
      <c r="C1844" s="20" t="str">
        <f t="array" ref="C1844">xlookup($A1844,product!$A:$A,product!C:C)</f>
        <v>Apéritifs bio</v>
      </c>
      <c r="D1844" s="20" t="str">
        <f t="array" ref="D1844">xlookup($A1844,product!$A:$A,product!D:D)</f>
        <v>Biscuits apéritif bio</v>
      </c>
      <c r="E1844" s="4" t="str">
        <f t="shared" si="1"/>
        <v>46428-Apéritifs bio-Biscuits apéritif bio</v>
      </c>
      <c r="F1844" s="4">
        <v>0.0</v>
      </c>
      <c r="G1844" s="4">
        <v>764.0</v>
      </c>
      <c r="H1844" s="4">
        <v>402.0</v>
      </c>
      <c r="I1844" s="21">
        <f t="array" ref="I1844">XLOOKUP($A1844,product!A:A,product!E:E)</f>
        <v>1.4</v>
      </c>
      <c r="J1844" s="4">
        <f t="shared" si="2"/>
        <v>562.8</v>
      </c>
      <c r="K1844" s="22">
        <f t="shared" si="3"/>
        <v>1</v>
      </c>
      <c r="L1844" s="4">
        <f t="shared" si="4"/>
        <v>1</v>
      </c>
    </row>
    <row r="1845">
      <c r="A1845" s="23">
        <v>85861.0</v>
      </c>
      <c r="B1845" s="24" t="str">
        <f t="array" ref="B1845">xlookup($A1845,product!$A:$A,product!B:B)</f>
        <v>Epicerie salée</v>
      </c>
      <c r="C1845" s="24" t="str">
        <f t="array" ref="C1845">xlookup($A1845,product!$A:$A,product!C:C)</f>
        <v>Apéritifs bio</v>
      </c>
      <c r="D1845" s="24" t="str">
        <f t="array" ref="D1845">xlookup($A1845,product!$A:$A,product!D:D)</f>
        <v>Biscuits apéritif bio</v>
      </c>
      <c r="E1845" s="25" t="str">
        <f t="shared" si="1"/>
        <v>85861-Apéritifs bio-Biscuits apéritif bio</v>
      </c>
      <c r="F1845" s="25">
        <v>0.0</v>
      </c>
      <c r="G1845" s="25">
        <v>764.0</v>
      </c>
      <c r="H1845" s="25">
        <v>167.0</v>
      </c>
      <c r="I1845" s="26">
        <f t="array" ref="I1845">XLOOKUP($A1845,product!A:A,product!E:E)</f>
        <v>1.93</v>
      </c>
      <c r="J1845" s="25">
        <f t="shared" si="2"/>
        <v>322.31</v>
      </c>
      <c r="K1845" s="27">
        <f t="shared" si="3"/>
        <v>1</v>
      </c>
      <c r="L1845" s="25">
        <f t="shared" si="4"/>
        <v>1</v>
      </c>
    </row>
    <row r="1846">
      <c r="A1846" s="19">
        <v>69324.0</v>
      </c>
      <c r="B1846" s="20" t="str">
        <f t="array" ref="B1846">xlookup($A1846,product!$A:$A,product!B:B)</f>
        <v>Epicerie salée</v>
      </c>
      <c r="C1846" s="20" t="str">
        <f t="array" ref="C1846">xlookup($A1846,product!$A:$A,product!C:C)</f>
        <v>Apéritifs bio</v>
      </c>
      <c r="D1846" s="20" t="str">
        <f t="array" ref="D1846">xlookup($A1846,product!$A:$A,product!D:D)</f>
        <v>Biscuits apéritif bio</v>
      </c>
      <c r="E1846" s="4" t="str">
        <f t="shared" si="1"/>
        <v>69324-Apéritifs bio-Biscuits apéritif bio</v>
      </c>
      <c r="F1846" s="4">
        <v>1.0</v>
      </c>
      <c r="G1846" s="4">
        <v>179.0</v>
      </c>
      <c r="H1846" s="4">
        <v>9.0</v>
      </c>
      <c r="I1846" s="21">
        <f t="array" ref="I1846">XLOOKUP($A1846,product!A:A,product!E:E)</f>
        <v>1.67</v>
      </c>
      <c r="J1846" s="4">
        <f t="shared" si="2"/>
        <v>15.03</v>
      </c>
      <c r="K1846" s="22">
        <f t="shared" si="3"/>
        <v>1</v>
      </c>
      <c r="L1846" s="4">
        <f t="shared" si="4"/>
        <v>1</v>
      </c>
    </row>
    <row r="1847">
      <c r="A1847" s="23">
        <v>122618.0</v>
      </c>
      <c r="B1847" s="24" t="str">
        <f t="array" ref="B1847">xlookup($A1847,product!$A:$A,product!B:B)</f>
        <v>Epicerie salée</v>
      </c>
      <c r="C1847" s="24" t="str">
        <f t="array" ref="C1847">xlookup($A1847,product!$A:$A,product!C:C)</f>
        <v>Apéritifs bio</v>
      </c>
      <c r="D1847" s="24" t="str">
        <f t="array" ref="D1847">xlookup($A1847,product!$A:$A,product!D:D)</f>
        <v>Biscuits apéritif bio</v>
      </c>
      <c r="E1847" s="25" t="str">
        <f t="shared" si="1"/>
        <v>122618-Apéritifs bio-Biscuits apéritif bio</v>
      </c>
      <c r="F1847" s="25">
        <v>1.0</v>
      </c>
      <c r="G1847" s="25">
        <v>854.0</v>
      </c>
      <c r="H1847" s="25">
        <v>423.0</v>
      </c>
      <c r="I1847" s="26">
        <f t="array" ref="I1847">XLOOKUP($A1847,product!A:A,product!E:E)</f>
        <v>1.28</v>
      </c>
      <c r="J1847" s="25">
        <f t="shared" si="2"/>
        <v>541.44</v>
      </c>
      <c r="K1847" s="27">
        <f t="shared" si="3"/>
        <v>1</v>
      </c>
      <c r="L1847" s="25">
        <f t="shared" si="4"/>
        <v>1</v>
      </c>
    </row>
    <row r="1848">
      <c r="A1848" s="19">
        <v>99312.0</v>
      </c>
      <c r="B1848" s="20" t="str">
        <f t="array" ref="B1848">xlookup($A1848,product!$A:$A,product!B:B)</f>
        <v>Epicerie salée</v>
      </c>
      <c r="C1848" s="20" t="str">
        <f t="array" ref="C1848">xlookup($A1848,product!$A:$A,product!C:C)</f>
        <v>Apéritifs bio</v>
      </c>
      <c r="D1848" s="20" t="str">
        <f t="array" ref="D1848">xlookup($A1848,product!$A:$A,product!D:D)</f>
        <v>Biscuits apéritif bio</v>
      </c>
      <c r="E1848" s="4" t="str">
        <f t="shared" si="1"/>
        <v>99312-Apéritifs bio-Biscuits apéritif bio</v>
      </c>
      <c r="F1848" s="4">
        <v>0.0</v>
      </c>
      <c r="G1848" s="4">
        <v>311.0</v>
      </c>
      <c r="H1848" s="4">
        <v>106.0</v>
      </c>
      <c r="I1848" s="21">
        <f t="array" ref="I1848">XLOOKUP($A1848,product!A:A,product!E:E)</f>
        <v>0.94</v>
      </c>
      <c r="J1848" s="4">
        <f t="shared" si="2"/>
        <v>99.64</v>
      </c>
      <c r="K1848" s="22">
        <f t="shared" si="3"/>
        <v>1</v>
      </c>
      <c r="L1848" s="4">
        <f t="shared" si="4"/>
        <v>1</v>
      </c>
    </row>
    <row r="1849">
      <c r="A1849" s="23">
        <v>113932.0</v>
      </c>
      <c r="B1849" s="24" t="str">
        <f t="array" ref="B1849">xlookup($A1849,product!$A:$A,product!B:B)</f>
        <v>Epicerie salée</v>
      </c>
      <c r="C1849" s="24" t="str">
        <f t="array" ref="C1849">xlookup($A1849,product!$A:$A,product!C:C)</f>
        <v>Apéritifs bio</v>
      </c>
      <c r="D1849" s="24" t="str">
        <f t="array" ref="D1849">xlookup($A1849,product!$A:$A,product!D:D)</f>
        <v>Biscuits apéritif bio</v>
      </c>
      <c r="E1849" s="25" t="str">
        <f t="shared" si="1"/>
        <v>113932-Apéritifs bio-Biscuits apéritif bio</v>
      </c>
      <c r="F1849" s="25">
        <v>0.0</v>
      </c>
      <c r="G1849" s="25">
        <v>357.0</v>
      </c>
      <c r="H1849" s="25">
        <v>73.0</v>
      </c>
      <c r="I1849" s="26">
        <f t="array" ref="I1849">XLOOKUP($A1849,product!A:A,product!E:E)</f>
        <v>1.77</v>
      </c>
      <c r="J1849" s="25">
        <f t="shared" si="2"/>
        <v>129.21</v>
      </c>
      <c r="K1849" s="27">
        <f t="shared" si="3"/>
        <v>1</v>
      </c>
      <c r="L1849" s="25">
        <f t="shared" si="4"/>
        <v>1</v>
      </c>
    </row>
    <row r="1850">
      <c r="A1850" s="19">
        <v>5751.0</v>
      </c>
      <c r="B1850" s="20" t="str">
        <f t="array" ref="B1850">xlookup($A1850,product!$A:$A,product!B:B)</f>
        <v>Epicerie salée</v>
      </c>
      <c r="C1850" s="20" t="str">
        <f t="array" ref="C1850">xlookup($A1850,product!$A:$A,product!C:C)</f>
        <v>Apéritifs bio</v>
      </c>
      <c r="D1850" s="20" t="str">
        <f t="array" ref="D1850">xlookup($A1850,product!$A:$A,product!D:D)</f>
        <v>Biscuits apéritif bio</v>
      </c>
      <c r="E1850" s="4" t="str">
        <f t="shared" si="1"/>
        <v>5751-Apéritifs bio-Biscuits apéritif bio</v>
      </c>
      <c r="F1850" s="4">
        <v>0.0</v>
      </c>
      <c r="G1850" s="4">
        <v>530.0</v>
      </c>
      <c r="H1850" s="4">
        <v>225.0</v>
      </c>
      <c r="I1850" s="21">
        <f t="array" ref="I1850">XLOOKUP($A1850,product!A:A,product!E:E)</f>
        <v>1.13</v>
      </c>
      <c r="J1850" s="4">
        <f t="shared" si="2"/>
        <v>254.25</v>
      </c>
      <c r="K1850" s="22">
        <f t="shared" si="3"/>
        <v>1</v>
      </c>
      <c r="L1850" s="4">
        <f t="shared" si="4"/>
        <v>1</v>
      </c>
    </row>
    <row r="1851">
      <c r="A1851" s="23">
        <v>85885.0</v>
      </c>
      <c r="B1851" s="24" t="str">
        <f t="array" ref="B1851">xlookup($A1851,product!$A:$A,product!B:B)</f>
        <v>Epicerie salée</v>
      </c>
      <c r="C1851" s="24" t="str">
        <f t="array" ref="C1851">xlookup($A1851,product!$A:$A,product!C:C)</f>
        <v>Apéritifs bio</v>
      </c>
      <c r="D1851" s="24" t="str">
        <f t="array" ref="D1851">xlookup($A1851,product!$A:$A,product!D:D)</f>
        <v>Biscuits apéritif bio</v>
      </c>
      <c r="E1851" s="25" t="str">
        <f t="shared" si="1"/>
        <v>85885-Apéritifs bio-Biscuits apéritif bio</v>
      </c>
      <c r="F1851" s="25">
        <v>0.0</v>
      </c>
      <c r="G1851" s="25">
        <v>225.0</v>
      </c>
      <c r="H1851" s="25">
        <v>151.0</v>
      </c>
      <c r="I1851" s="26">
        <f t="array" ref="I1851">XLOOKUP($A1851,product!A:A,product!E:E)</f>
        <v>1.1</v>
      </c>
      <c r="J1851" s="25">
        <f t="shared" si="2"/>
        <v>166.1</v>
      </c>
      <c r="K1851" s="27">
        <f t="shared" si="3"/>
        <v>1</v>
      </c>
      <c r="L1851" s="25">
        <f t="shared" si="4"/>
        <v>1</v>
      </c>
    </row>
    <row r="1852">
      <c r="A1852" s="19">
        <v>87877.0</v>
      </c>
      <c r="B1852" s="20" t="str">
        <f t="array" ref="B1852">xlookup($A1852,product!$A:$A,product!B:B)</f>
        <v>Epicerie salée</v>
      </c>
      <c r="C1852" s="20" t="str">
        <f t="array" ref="C1852">xlookup($A1852,product!$A:$A,product!C:C)</f>
        <v>Apéritifs bio</v>
      </c>
      <c r="D1852" s="20" t="str">
        <f t="array" ref="D1852">xlookup($A1852,product!$A:$A,product!D:D)</f>
        <v>Biscuits apéritif bio</v>
      </c>
      <c r="E1852" s="4" t="str">
        <f t="shared" si="1"/>
        <v>87877-Apéritifs bio-Biscuits apéritif bio</v>
      </c>
      <c r="F1852" s="4">
        <v>1.0</v>
      </c>
      <c r="G1852" s="4">
        <v>578.0</v>
      </c>
      <c r="H1852" s="4">
        <v>413.0</v>
      </c>
      <c r="I1852" s="21">
        <f t="array" ref="I1852">XLOOKUP($A1852,product!A:A,product!E:E)</f>
        <v>0.64</v>
      </c>
      <c r="J1852" s="4">
        <f t="shared" si="2"/>
        <v>264.32</v>
      </c>
      <c r="K1852" s="22">
        <f t="shared" si="3"/>
        <v>1</v>
      </c>
      <c r="L1852" s="4">
        <f t="shared" si="4"/>
        <v>1</v>
      </c>
    </row>
    <row r="1853">
      <c r="A1853" s="23">
        <v>197150.0</v>
      </c>
      <c r="B1853" s="24" t="str">
        <f t="array" ref="B1853">xlookup($A1853,product!$A:$A,product!B:B)</f>
        <v>Epicerie salée</v>
      </c>
      <c r="C1853" s="24" t="str">
        <f t="array" ref="C1853">xlookup($A1853,product!$A:$A,product!C:C)</f>
        <v>Apéritifs bio</v>
      </c>
      <c r="D1853" s="24" t="str">
        <f t="array" ref="D1853">xlookup($A1853,product!$A:$A,product!D:D)</f>
        <v>Biscuits apéritif bio</v>
      </c>
      <c r="E1853" s="25" t="str">
        <f t="shared" si="1"/>
        <v>197150-Apéritifs bio-Biscuits apéritif bio</v>
      </c>
      <c r="F1853" s="25">
        <v>0.0</v>
      </c>
      <c r="G1853" s="25">
        <v>406.0</v>
      </c>
      <c r="H1853" s="25">
        <v>251.0</v>
      </c>
      <c r="I1853" s="26">
        <f t="array" ref="I1853">XLOOKUP($A1853,product!A:A,product!E:E)</f>
        <v>0.94</v>
      </c>
      <c r="J1853" s="25">
        <f t="shared" si="2"/>
        <v>235.94</v>
      </c>
      <c r="K1853" s="27">
        <f t="shared" si="3"/>
        <v>1</v>
      </c>
      <c r="L1853" s="25">
        <f t="shared" si="4"/>
        <v>1</v>
      </c>
    </row>
    <row r="1854">
      <c r="A1854" s="19">
        <v>87878.0</v>
      </c>
      <c r="B1854" s="20" t="str">
        <f t="array" ref="B1854">xlookup($A1854,product!$A:$A,product!B:B)</f>
        <v>Epicerie salée</v>
      </c>
      <c r="C1854" s="20" t="str">
        <f t="array" ref="C1854">xlookup($A1854,product!$A:$A,product!C:C)</f>
        <v>Apéritifs bio</v>
      </c>
      <c r="D1854" s="20" t="str">
        <f t="array" ref="D1854">xlookup($A1854,product!$A:$A,product!D:D)</f>
        <v>Biscuits apéritif bio</v>
      </c>
      <c r="E1854" s="4" t="str">
        <f t="shared" si="1"/>
        <v>87878-Apéritifs bio-Biscuits apéritif bio</v>
      </c>
      <c r="F1854" s="4">
        <v>1.0</v>
      </c>
      <c r="G1854" s="4">
        <v>863.0</v>
      </c>
      <c r="H1854" s="4">
        <v>159.0</v>
      </c>
      <c r="I1854" s="21">
        <f t="array" ref="I1854">XLOOKUP($A1854,product!A:A,product!E:E)</f>
        <v>0.64</v>
      </c>
      <c r="J1854" s="4">
        <f t="shared" si="2"/>
        <v>101.76</v>
      </c>
      <c r="K1854" s="22">
        <f t="shared" si="3"/>
        <v>1</v>
      </c>
      <c r="L1854" s="4">
        <f t="shared" si="4"/>
        <v>1</v>
      </c>
    </row>
    <row r="1855">
      <c r="A1855" s="23">
        <v>122166.0</v>
      </c>
      <c r="B1855" s="24" t="str">
        <f t="array" ref="B1855">xlookup($A1855,product!$A:$A,product!B:B)</f>
        <v>Epicerie salée</v>
      </c>
      <c r="C1855" s="24" t="str">
        <f t="array" ref="C1855">xlookup($A1855,product!$A:$A,product!C:C)</f>
        <v>Apéritifs bio</v>
      </c>
      <c r="D1855" s="24" t="str">
        <f t="array" ref="D1855">xlookup($A1855,product!$A:$A,product!D:D)</f>
        <v>Biscuits apéritif bio</v>
      </c>
      <c r="E1855" s="25" t="str">
        <f t="shared" si="1"/>
        <v>122166-Apéritifs bio-Biscuits apéritif bio</v>
      </c>
      <c r="F1855" s="25">
        <v>1.0</v>
      </c>
      <c r="G1855" s="25">
        <v>726.0</v>
      </c>
      <c r="H1855" s="25">
        <v>662.0</v>
      </c>
      <c r="I1855" s="26">
        <f t="array" ref="I1855">XLOOKUP($A1855,product!A:A,product!E:E)</f>
        <v>1.23</v>
      </c>
      <c r="J1855" s="25">
        <f t="shared" si="2"/>
        <v>814.26</v>
      </c>
      <c r="K1855" s="27">
        <f t="shared" si="3"/>
        <v>1</v>
      </c>
      <c r="L1855" s="25">
        <f t="shared" si="4"/>
        <v>1</v>
      </c>
    </row>
    <row r="1856">
      <c r="A1856" s="19">
        <v>122617.0</v>
      </c>
      <c r="B1856" s="20" t="str">
        <f t="array" ref="B1856">xlookup($A1856,product!$A:$A,product!B:B)</f>
        <v>Epicerie salée</v>
      </c>
      <c r="C1856" s="20" t="str">
        <f t="array" ref="C1856">xlookup($A1856,product!$A:$A,product!C:C)</f>
        <v>Apéritifs bio</v>
      </c>
      <c r="D1856" s="20" t="str">
        <f t="array" ref="D1856">xlookup($A1856,product!$A:$A,product!D:D)</f>
        <v>Biscuits apéritif bio</v>
      </c>
      <c r="E1856" s="4" t="str">
        <f t="shared" si="1"/>
        <v>122617-Apéritifs bio-Biscuits apéritif bio</v>
      </c>
      <c r="F1856" s="4">
        <v>0.0</v>
      </c>
      <c r="G1856" s="4">
        <v>677.0</v>
      </c>
      <c r="H1856" s="4">
        <v>140.0</v>
      </c>
      <c r="I1856" s="21">
        <f t="array" ref="I1856">XLOOKUP($A1856,product!A:A,product!E:E)</f>
        <v>1.15</v>
      </c>
      <c r="J1856" s="4">
        <f t="shared" si="2"/>
        <v>161</v>
      </c>
      <c r="K1856" s="22">
        <f t="shared" si="3"/>
        <v>1</v>
      </c>
      <c r="L1856" s="4">
        <f t="shared" si="4"/>
        <v>1</v>
      </c>
    </row>
    <row r="1857">
      <c r="A1857" s="23">
        <v>118590.0</v>
      </c>
      <c r="B1857" s="24" t="str">
        <f t="array" ref="B1857">xlookup($A1857,product!$A:$A,product!B:B)</f>
        <v>Epicerie salée</v>
      </c>
      <c r="C1857" s="24" t="str">
        <f t="array" ref="C1857">xlookup($A1857,product!$A:$A,product!C:C)</f>
        <v>Apéritifs bio</v>
      </c>
      <c r="D1857" s="24" t="str">
        <f t="array" ref="D1857">xlookup($A1857,product!$A:$A,product!D:D)</f>
        <v>Biscuits apéritif bio</v>
      </c>
      <c r="E1857" s="25" t="str">
        <f t="shared" si="1"/>
        <v>118590-Apéritifs bio-Biscuits apéritif bio</v>
      </c>
      <c r="F1857" s="25">
        <v>0.0</v>
      </c>
      <c r="G1857" s="25">
        <v>366.0</v>
      </c>
      <c r="H1857" s="25">
        <v>139.0</v>
      </c>
      <c r="I1857" s="26">
        <f t="array" ref="I1857">XLOOKUP($A1857,product!A:A,product!E:E)</f>
        <v>1.4</v>
      </c>
      <c r="J1857" s="25">
        <f t="shared" si="2"/>
        <v>194.6</v>
      </c>
      <c r="K1857" s="27">
        <f t="shared" si="3"/>
        <v>1</v>
      </c>
      <c r="L1857" s="25">
        <f t="shared" si="4"/>
        <v>1</v>
      </c>
    </row>
    <row r="1858">
      <c r="A1858" s="19">
        <v>122366.0</v>
      </c>
      <c r="B1858" s="20" t="str">
        <f t="array" ref="B1858">xlookup($A1858,product!$A:$A,product!B:B)</f>
        <v>Epicerie salée</v>
      </c>
      <c r="C1858" s="20" t="str">
        <f t="array" ref="C1858">xlookup($A1858,product!$A:$A,product!C:C)</f>
        <v>Apéritifs bio</v>
      </c>
      <c r="D1858" s="20" t="str">
        <f t="array" ref="D1858">xlookup($A1858,product!$A:$A,product!D:D)</f>
        <v>Biscuits apéritif bio</v>
      </c>
      <c r="E1858" s="4" t="str">
        <f t="shared" si="1"/>
        <v>122366-Apéritifs bio-Biscuits apéritif bio</v>
      </c>
      <c r="F1858" s="4">
        <v>1.0</v>
      </c>
      <c r="G1858" s="4">
        <v>785.0</v>
      </c>
      <c r="H1858" s="4">
        <v>266.0</v>
      </c>
      <c r="I1858" s="21">
        <f t="array" ref="I1858">XLOOKUP($A1858,product!A:A,product!E:E)</f>
        <v>1.65</v>
      </c>
      <c r="J1858" s="4">
        <f t="shared" si="2"/>
        <v>438.9</v>
      </c>
      <c r="K1858" s="22">
        <f t="shared" si="3"/>
        <v>1</v>
      </c>
      <c r="L1858" s="4">
        <f t="shared" si="4"/>
        <v>1</v>
      </c>
    </row>
    <row r="1859">
      <c r="A1859" s="23">
        <v>83001.0</v>
      </c>
      <c r="B1859" s="24" t="str">
        <f t="array" ref="B1859">xlookup($A1859,product!$A:$A,product!B:B)</f>
        <v>Epicerie salée</v>
      </c>
      <c r="C1859" s="24" t="str">
        <f t="array" ref="C1859">xlookup($A1859,product!$A:$A,product!C:C)</f>
        <v>Apéritifs bio</v>
      </c>
      <c r="D1859" s="24" t="str">
        <f t="array" ref="D1859">xlookup($A1859,product!$A:$A,product!D:D)</f>
        <v>Biscuits apéritif bio</v>
      </c>
      <c r="E1859" s="25" t="str">
        <f t="shared" si="1"/>
        <v>83001-Apéritifs bio-Biscuits apéritif bio</v>
      </c>
      <c r="F1859" s="25">
        <v>0.0</v>
      </c>
      <c r="G1859" s="25">
        <v>261.0</v>
      </c>
      <c r="H1859" s="25">
        <v>124.0</v>
      </c>
      <c r="I1859" s="26">
        <f t="array" ref="I1859">XLOOKUP($A1859,product!A:A,product!E:E)</f>
        <v>1.05</v>
      </c>
      <c r="J1859" s="25">
        <f t="shared" si="2"/>
        <v>130.2</v>
      </c>
      <c r="K1859" s="27">
        <f t="shared" si="3"/>
        <v>1</v>
      </c>
      <c r="L1859" s="25">
        <f t="shared" si="4"/>
        <v>1</v>
      </c>
    </row>
    <row r="1860">
      <c r="A1860" s="19">
        <v>118594.0</v>
      </c>
      <c r="B1860" s="20" t="str">
        <f t="array" ref="B1860">xlookup($A1860,product!$A:$A,product!B:B)</f>
        <v>Epicerie salée</v>
      </c>
      <c r="C1860" s="20" t="str">
        <f t="array" ref="C1860">xlookup($A1860,product!$A:$A,product!C:C)</f>
        <v>Apéritifs bio</v>
      </c>
      <c r="D1860" s="20" t="str">
        <f t="array" ref="D1860">xlookup($A1860,product!$A:$A,product!D:D)</f>
        <v>Biscuits apéritif bio</v>
      </c>
      <c r="E1860" s="4" t="str">
        <f t="shared" si="1"/>
        <v>118594-Apéritifs bio-Biscuits apéritif bio</v>
      </c>
      <c r="F1860" s="4">
        <v>0.0</v>
      </c>
      <c r="G1860" s="4">
        <v>312.0</v>
      </c>
      <c r="H1860" s="4">
        <v>79.0</v>
      </c>
      <c r="I1860" s="21">
        <f t="array" ref="I1860">XLOOKUP($A1860,product!A:A,product!E:E)</f>
        <v>1.4</v>
      </c>
      <c r="J1860" s="4">
        <f t="shared" si="2"/>
        <v>110.6</v>
      </c>
      <c r="K1860" s="22">
        <f t="shared" si="3"/>
        <v>1</v>
      </c>
      <c r="L1860" s="4">
        <f t="shared" si="4"/>
        <v>1</v>
      </c>
    </row>
    <row r="1861">
      <c r="A1861" s="23">
        <v>85881.0</v>
      </c>
      <c r="B1861" s="24" t="str">
        <f t="array" ref="B1861">xlookup($A1861,product!$A:$A,product!B:B)</f>
        <v>Epicerie salée</v>
      </c>
      <c r="C1861" s="24" t="str">
        <f t="array" ref="C1861">xlookup($A1861,product!$A:$A,product!C:C)</f>
        <v>Apéritifs bio</v>
      </c>
      <c r="D1861" s="24" t="str">
        <f t="array" ref="D1861">xlookup($A1861,product!$A:$A,product!D:D)</f>
        <v>Biscuits apéritif bio</v>
      </c>
      <c r="E1861" s="25" t="str">
        <f t="shared" si="1"/>
        <v>85881-Apéritifs bio-Biscuits apéritif bio</v>
      </c>
      <c r="F1861" s="25">
        <v>0.0</v>
      </c>
      <c r="G1861" s="25">
        <v>213.0</v>
      </c>
      <c r="H1861" s="25">
        <v>111.0</v>
      </c>
      <c r="I1861" s="26">
        <f t="array" ref="I1861">XLOOKUP($A1861,product!A:A,product!E:E)</f>
        <v>1.27</v>
      </c>
      <c r="J1861" s="25">
        <f t="shared" si="2"/>
        <v>140.97</v>
      </c>
      <c r="K1861" s="27">
        <f t="shared" si="3"/>
        <v>1</v>
      </c>
      <c r="L1861" s="25">
        <f t="shared" si="4"/>
        <v>1</v>
      </c>
    </row>
    <row r="1862">
      <c r="A1862" s="19">
        <v>10655.0</v>
      </c>
      <c r="B1862" s="20" t="str">
        <f t="array" ref="B1862">xlookup($A1862,product!$A:$A,product!B:B)</f>
        <v>Epicerie salée</v>
      </c>
      <c r="C1862" s="20" t="str">
        <f t="array" ref="C1862">xlookup($A1862,product!$A:$A,product!C:C)</f>
        <v>Apéritifs bio</v>
      </c>
      <c r="D1862" s="20" t="str">
        <f t="array" ref="D1862">xlookup($A1862,product!$A:$A,product!D:D)</f>
        <v>Biscuits apéritif bio</v>
      </c>
      <c r="E1862" s="4" t="str">
        <f t="shared" si="1"/>
        <v>10655-Apéritifs bio-Biscuits apéritif bio</v>
      </c>
      <c r="F1862" s="4">
        <v>1.0</v>
      </c>
      <c r="G1862" s="4">
        <v>533.0</v>
      </c>
      <c r="H1862" s="4">
        <v>196.0</v>
      </c>
      <c r="I1862" s="21">
        <f t="array" ref="I1862">XLOOKUP($A1862,product!A:A,product!E:E)</f>
        <v>2.06</v>
      </c>
      <c r="J1862" s="4">
        <f t="shared" si="2"/>
        <v>403.76</v>
      </c>
      <c r="K1862" s="22">
        <f t="shared" si="3"/>
        <v>1</v>
      </c>
      <c r="L1862" s="4">
        <f t="shared" si="4"/>
        <v>1</v>
      </c>
    </row>
    <row r="1863">
      <c r="A1863" s="23">
        <v>121606.0</v>
      </c>
      <c r="B1863" s="24" t="str">
        <f t="array" ref="B1863">xlookup($A1863,product!$A:$A,product!B:B)</f>
        <v>Epicerie salée</v>
      </c>
      <c r="C1863" s="24" t="str">
        <f t="array" ref="C1863">xlookup($A1863,product!$A:$A,product!C:C)</f>
        <v>Apéritifs bio</v>
      </c>
      <c r="D1863" s="24" t="str">
        <f t="array" ref="D1863">xlookup($A1863,product!$A:$A,product!D:D)</f>
        <v>Biscuits apéritif bio</v>
      </c>
      <c r="E1863" s="25" t="str">
        <f t="shared" si="1"/>
        <v>121606-Apéritifs bio-Biscuits apéritif bio</v>
      </c>
      <c r="F1863" s="25">
        <v>0.0</v>
      </c>
      <c r="G1863" s="25">
        <v>947.0</v>
      </c>
      <c r="H1863" s="25">
        <v>482.0</v>
      </c>
      <c r="I1863" s="26">
        <f t="array" ref="I1863">XLOOKUP($A1863,product!A:A,product!E:E)</f>
        <v>1.96</v>
      </c>
      <c r="J1863" s="25">
        <f t="shared" si="2"/>
        <v>944.72</v>
      </c>
      <c r="K1863" s="27">
        <f t="shared" si="3"/>
        <v>1</v>
      </c>
      <c r="L1863" s="25">
        <f t="shared" si="4"/>
        <v>1</v>
      </c>
    </row>
    <row r="1864">
      <c r="A1864" s="19">
        <v>13341.0</v>
      </c>
      <c r="B1864" s="20" t="str">
        <f t="array" ref="B1864">xlookup($A1864,product!$A:$A,product!B:B)</f>
        <v>Epicerie salée</v>
      </c>
      <c r="C1864" s="20" t="str">
        <f t="array" ref="C1864">xlookup($A1864,product!$A:$A,product!C:C)</f>
        <v>Apéritifs bio</v>
      </c>
      <c r="D1864" s="20" t="str">
        <f t="array" ref="D1864">xlookup($A1864,product!$A:$A,product!D:D)</f>
        <v>Biscuits apéritif bio</v>
      </c>
      <c r="E1864" s="4" t="str">
        <f t="shared" si="1"/>
        <v>13341-Apéritifs bio-Biscuits apéritif bio</v>
      </c>
      <c r="F1864" s="4">
        <v>1.0</v>
      </c>
      <c r="G1864" s="4">
        <v>277.0</v>
      </c>
      <c r="H1864" s="4">
        <v>43.0</v>
      </c>
      <c r="I1864" s="21">
        <f t="array" ref="I1864">XLOOKUP($A1864,product!A:A,product!E:E)</f>
        <v>2.09</v>
      </c>
      <c r="J1864" s="4">
        <f t="shared" si="2"/>
        <v>89.87</v>
      </c>
      <c r="K1864" s="22">
        <f t="shared" si="3"/>
        <v>1</v>
      </c>
      <c r="L1864" s="4">
        <f t="shared" si="4"/>
        <v>1</v>
      </c>
    </row>
    <row r="1865">
      <c r="A1865" s="23">
        <v>122631.0</v>
      </c>
      <c r="B1865" s="24" t="str">
        <f t="array" ref="B1865">xlookup($A1865,product!$A:$A,product!B:B)</f>
        <v>Epicerie salée</v>
      </c>
      <c r="C1865" s="24" t="str">
        <f t="array" ref="C1865">xlookup($A1865,product!$A:$A,product!C:C)</f>
        <v>Apéritifs bio</v>
      </c>
      <c r="D1865" s="24" t="str">
        <f t="array" ref="D1865">xlookup($A1865,product!$A:$A,product!D:D)</f>
        <v>Biscuits apéritif bio</v>
      </c>
      <c r="E1865" s="25" t="str">
        <f t="shared" si="1"/>
        <v>122631-Apéritifs bio-Biscuits apéritif bio</v>
      </c>
      <c r="F1865" s="25">
        <v>0.0</v>
      </c>
      <c r="G1865" s="25">
        <v>822.0</v>
      </c>
      <c r="H1865" s="25">
        <v>250.0</v>
      </c>
      <c r="I1865" s="26">
        <f t="array" ref="I1865">XLOOKUP($A1865,product!A:A,product!E:E)</f>
        <v>1.66</v>
      </c>
      <c r="J1865" s="25">
        <f t="shared" si="2"/>
        <v>415</v>
      </c>
      <c r="K1865" s="27">
        <f t="shared" si="3"/>
        <v>1</v>
      </c>
      <c r="L1865" s="25">
        <f t="shared" si="4"/>
        <v>1</v>
      </c>
    </row>
    <row r="1866">
      <c r="A1866" s="19">
        <v>189132.0</v>
      </c>
      <c r="B1866" s="20" t="str">
        <f t="array" ref="B1866">xlookup($A1866,product!$A:$A,product!B:B)</f>
        <v>Epicerie salée</v>
      </c>
      <c r="C1866" s="20" t="str">
        <f t="array" ref="C1866">xlookup($A1866,product!$A:$A,product!C:C)</f>
        <v>Apéritifs bio</v>
      </c>
      <c r="D1866" s="20" t="str">
        <f t="array" ref="D1866">xlookup($A1866,product!$A:$A,product!D:D)</f>
        <v>Biscuits apéritif bio</v>
      </c>
      <c r="E1866" s="4" t="str">
        <f t="shared" si="1"/>
        <v>189132-Apéritifs bio-Biscuits apéritif bio</v>
      </c>
      <c r="F1866" s="4">
        <v>0.0</v>
      </c>
      <c r="G1866" s="4">
        <v>847.0</v>
      </c>
      <c r="H1866" s="4">
        <v>270.0</v>
      </c>
      <c r="I1866" s="21">
        <f t="array" ref="I1866">XLOOKUP($A1866,product!A:A,product!E:E)</f>
        <v>1.28</v>
      </c>
      <c r="J1866" s="4">
        <f t="shared" si="2"/>
        <v>345.6</v>
      </c>
      <c r="K1866" s="22">
        <f t="shared" si="3"/>
        <v>1</v>
      </c>
      <c r="L1866" s="4">
        <f t="shared" si="4"/>
        <v>1</v>
      </c>
    </row>
    <row r="1867">
      <c r="A1867" s="23">
        <v>87876.0</v>
      </c>
      <c r="B1867" s="24" t="str">
        <f t="array" ref="B1867">xlookup($A1867,product!$A:$A,product!B:B)</f>
        <v>Epicerie salée</v>
      </c>
      <c r="C1867" s="24" t="str">
        <f t="array" ref="C1867">xlookup($A1867,product!$A:$A,product!C:C)</f>
        <v>Apéritifs bio</v>
      </c>
      <c r="D1867" s="24" t="str">
        <f t="array" ref="D1867">xlookup($A1867,product!$A:$A,product!D:D)</f>
        <v>Biscuits apéritif bio</v>
      </c>
      <c r="E1867" s="25" t="str">
        <f t="shared" si="1"/>
        <v>87876-Apéritifs bio-Biscuits apéritif bio</v>
      </c>
      <c r="F1867" s="25">
        <v>1.0</v>
      </c>
      <c r="G1867" s="25">
        <v>707.0</v>
      </c>
      <c r="H1867" s="25">
        <v>130.0</v>
      </c>
      <c r="I1867" s="26">
        <f t="array" ref="I1867">XLOOKUP($A1867,product!A:A,product!E:E)</f>
        <v>0.64</v>
      </c>
      <c r="J1867" s="25">
        <f t="shared" si="2"/>
        <v>83.2</v>
      </c>
      <c r="K1867" s="27">
        <f t="shared" si="3"/>
        <v>1</v>
      </c>
      <c r="L1867" s="25">
        <f t="shared" si="4"/>
        <v>1</v>
      </c>
    </row>
    <row r="1868">
      <c r="A1868" s="19">
        <v>26094.0</v>
      </c>
      <c r="B1868" s="20" t="str">
        <f t="array" ref="B1868">xlookup($A1868,product!$A:$A,product!B:B)</f>
        <v>Epicerie salée</v>
      </c>
      <c r="C1868" s="20" t="str">
        <f t="array" ref="C1868">xlookup($A1868,product!$A:$A,product!C:C)</f>
        <v>Apéritifs bio</v>
      </c>
      <c r="D1868" s="20" t="str">
        <f t="array" ref="D1868">xlookup($A1868,product!$A:$A,product!D:D)</f>
        <v>Biscuits apéritif bio</v>
      </c>
      <c r="E1868" s="4" t="str">
        <f t="shared" si="1"/>
        <v>26094-Apéritifs bio-Biscuits apéritif bio</v>
      </c>
      <c r="F1868" s="4">
        <v>1.0</v>
      </c>
      <c r="G1868" s="4">
        <v>763.0</v>
      </c>
      <c r="H1868" s="4">
        <v>719.0</v>
      </c>
      <c r="I1868" s="21">
        <f t="array" ref="I1868">XLOOKUP($A1868,product!A:A,product!E:E)</f>
        <v>1.29</v>
      </c>
      <c r="J1868" s="4">
        <f t="shared" si="2"/>
        <v>927.51</v>
      </c>
      <c r="K1868" s="22">
        <f t="shared" si="3"/>
        <v>1</v>
      </c>
      <c r="L1868" s="4">
        <f t="shared" si="4"/>
        <v>1</v>
      </c>
    </row>
    <row r="1869">
      <c r="A1869" s="23">
        <v>189129.0</v>
      </c>
      <c r="B1869" s="24" t="str">
        <f t="array" ref="B1869">xlookup($A1869,product!$A:$A,product!B:B)</f>
        <v>Epicerie salée</v>
      </c>
      <c r="C1869" s="24" t="str">
        <f t="array" ref="C1869">xlookup($A1869,product!$A:$A,product!C:C)</f>
        <v>Apéritifs bio</v>
      </c>
      <c r="D1869" s="24" t="str">
        <f t="array" ref="D1869">xlookup($A1869,product!$A:$A,product!D:D)</f>
        <v>Biscuits apéritif bio</v>
      </c>
      <c r="E1869" s="25" t="str">
        <f t="shared" si="1"/>
        <v>189129-Apéritifs bio-Biscuits apéritif bio</v>
      </c>
      <c r="F1869" s="25">
        <v>1.0</v>
      </c>
      <c r="G1869" s="25">
        <v>548.0</v>
      </c>
      <c r="H1869" s="25">
        <v>365.0</v>
      </c>
      <c r="I1869" s="26">
        <f t="array" ref="I1869">XLOOKUP($A1869,product!A:A,product!E:E)</f>
        <v>1.28</v>
      </c>
      <c r="J1869" s="25">
        <f t="shared" si="2"/>
        <v>467.2</v>
      </c>
      <c r="K1869" s="27">
        <f t="shared" si="3"/>
        <v>1</v>
      </c>
      <c r="L1869" s="25">
        <f t="shared" si="4"/>
        <v>1</v>
      </c>
    </row>
    <row r="1870">
      <c r="A1870" s="19">
        <v>10654.0</v>
      </c>
      <c r="B1870" s="20" t="str">
        <f t="array" ref="B1870">xlookup($A1870,product!$A:$A,product!B:B)</f>
        <v>Epicerie salée</v>
      </c>
      <c r="C1870" s="20" t="str">
        <f t="array" ref="C1870">xlookup($A1870,product!$A:$A,product!C:C)</f>
        <v>Apéritifs bio</v>
      </c>
      <c r="D1870" s="20" t="str">
        <f t="array" ref="D1870">xlookup($A1870,product!$A:$A,product!D:D)</f>
        <v>Biscuits apéritif bio</v>
      </c>
      <c r="E1870" s="4" t="str">
        <f t="shared" si="1"/>
        <v>10654-Apéritifs bio-Biscuits apéritif bio</v>
      </c>
      <c r="F1870" s="4">
        <v>1.0</v>
      </c>
      <c r="G1870" s="4">
        <v>935.0</v>
      </c>
      <c r="H1870" s="4">
        <v>315.0</v>
      </c>
      <c r="I1870" s="21">
        <f t="array" ref="I1870">XLOOKUP($A1870,product!A:A,product!E:E)</f>
        <v>1.13</v>
      </c>
      <c r="J1870" s="4">
        <f t="shared" si="2"/>
        <v>355.95</v>
      </c>
      <c r="K1870" s="22">
        <f t="shared" si="3"/>
        <v>1</v>
      </c>
      <c r="L1870" s="4">
        <f t="shared" si="4"/>
        <v>1</v>
      </c>
    </row>
    <row r="1871">
      <c r="A1871" s="23">
        <v>5754.0</v>
      </c>
      <c r="B1871" s="24" t="str">
        <f t="array" ref="B1871">xlookup($A1871,product!$A:$A,product!B:B)</f>
        <v>Epicerie salée</v>
      </c>
      <c r="C1871" s="24" t="str">
        <f t="array" ref="C1871">xlookup($A1871,product!$A:$A,product!C:C)</f>
        <v>Apéritifs bio</v>
      </c>
      <c r="D1871" s="24" t="str">
        <f t="array" ref="D1871">xlookup($A1871,product!$A:$A,product!D:D)</f>
        <v>Biscuits apéritif bio</v>
      </c>
      <c r="E1871" s="25" t="str">
        <f t="shared" si="1"/>
        <v>5754-Apéritifs bio-Biscuits apéritif bio</v>
      </c>
      <c r="F1871" s="25">
        <v>0.0</v>
      </c>
      <c r="G1871" s="25">
        <v>135.0</v>
      </c>
      <c r="H1871" s="25">
        <v>6.0</v>
      </c>
      <c r="I1871" s="26">
        <f t="array" ref="I1871">XLOOKUP($A1871,product!A:A,product!E:E)</f>
        <v>1.91</v>
      </c>
      <c r="J1871" s="25">
        <f t="shared" si="2"/>
        <v>11.46</v>
      </c>
      <c r="K1871" s="27">
        <f t="shared" si="3"/>
        <v>1</v>
      </c>
      <c r="L1871" s="25">
        <f t="shared" si="4"/>
        <v>1</v>
      </c>
    </row>
    <row r="1872">
      <c r="A1872" s="19">
        <v>10648.0</v>
      </c>
      <c r="B1872" s="20" t="str">
        <f t="array" ref="B1872">xlookup($A1872,product!$A:$A,product!B:B)</f>
        <v>Epicerie salée</v>
      </c>
      <c r="C1872" s="20" t="str">
        <f t="array" ref="C1872">xlookup($A1872,product!$A:$A,product!C:C)</f>
        <v>Apéritifs bio</v>
      </c>
      <c r="D1872" s="20" t="str">
        <f t="array" ref="D1872">xlookup($A1872,product!$A:$A,product!D:D)</f>
        <v>Biscuits apéritif bio</v>
      </c>
      <c r="E1872" s="4" t="str">
        <f t="shared" si="1"/>
        <v>10648-Apéritifs bio-Biscuits apéritif bio</v>
      </c>
      <c r="F1872" s="4">
        <v>0.0</v>
      </c>
      <c r="G1872" s="4">
        <v>874.0</v>
      </c>
      <c r="H1872" s="4">
        <v>429.0</v>
      </c>
      <c r="I1872" s="21">
        <f t="array" ref="I1872">XLOOKUP($A1872,product!A:A,product!E:E)</f>
        <v>1.1</v>
      </c>
      <c r="J1872" s="4">
        <f t="shared" si="2"/>
        <v>471.9</v>
      </c>
      <c r="K1872" s="22">
        <f t="shared" si="3"/>
        <v>1</v>
      </c>
      <c r="L1872" s="4">
        <f t="shared" si="4"/>
        <v>1</v>
      </c>
    </row>
    <row r="1873">
      <c r="A1873" s="23">
        <v>114947.0</v>
      </c>
      <c r="B1873" s="24" t="str">
        <f t="array" ref="B1873">xlookup($A1873,product!$A:$A,product!B:B)</f>
        <v>Epicerie salée</v>
      </c>
      <c r="C1873" s="24" t="str">
        <f t="array" ref="C1873">xlookup($A1873,product!$A:$A,product!C:C)</f>
        <v>Apéritifs bio</v>
      </c>
      <c r="D1873" s="24" t="str">
        <f t="array" ref="D1873">xlookup($A1873,product!$A:$A,product!D:D)</f>
        <v>Fruits secs bio apéritif</v>
      </c>
      <c r="E1873" s="25" t="str">
        <f t="shared" si="1"/>
        <v>114947-Apéritifs bio-Fruits secs bio apéritif</v>
      </c>
      <c r="F1873" s="25">
        <v>0.0</v>
      </c>
      <c r="G1873" s="25">
        <v>854.0</v>
      </c>
      <c r="H1873" s="25">
        <v>28.0</v>
      </c>
      <c r="I1873" s="26">
        <f t="array" ref="I1873">XLOOKUP($A1873,product!A:A,product!E:E)</f>
        <v>2.05</v>
      </c>
      <c r="J1873" s="25">
        <f t="shared" si="2"/>
        <v>57.4</v>
      </c>
      <c r="K1873" s="27">
        <f t="shared" si="3"/>
        <v>1</v>
      </c>
      <c r="L1873" s="25">
        <f t="shared" si="4"/>
        <v>1</v>
      </c>
    </row>
    <row r="1874">
      <c r="A1874" s="19">
        <v>44728.0</v>
      </c>
      <c r="B1874" s="20" t="str">
        <f t="array" ref="B1874">xlookup($A1874,product!$A:$A,product!B:B)</f>
        <v>Epicerie salée</v>
      </c>
      <c r="C1874" s="20" t="str">
        <f t="array" ref="C1874">xlookup($A1874,product!$A:$A,product!C:C)</f>
        <v>Apéritifs bio</v>
      </c>
      <c r="D1874" s="20" t="str">
        <f t="array" ref="D1874">xlookup($A1874,product!$A:$A,product!D:D)</f>
        <v>Fruits secs bio apéritif</v>
      </c>
      <c r="E1874" s="4" t="str">
        <f t="shared" si="1"/>
        <v>44728-Apéritifs bio-Fruits secs bio apéritif</v>
      </c>
      <c r="F1874" s="4">
        <v>1.0</v>
      </c>
      <c r="G1874" s="4">
        <v>331.0</v>
      </c>
      <c r="H1874" s="4">
        <v>101.0</v>
      </c>
      <c r="I1874" s="21">
        <f t="array" ref="I1874">XLOOKUP($A1874,product!A:A,product!E:E)</f>
        <v>2.28</v>
      </c>
      <c r="J1874" s="4">
        <f t="shared" si="2"/>
        <v>230.28</v>
      </c>
      <c r="K1874" s="22">
        <f t="shared" si="3"/>
        <v>1</v>
      </c>
      <c r="L1874" s="4">
        <f t="shared" si="4"/>
        <v>1</v>
      </c>
    </row>
    <row r="1875">
      <c r="A1875" s="23">
        <v>120709.0</v>
      </c>
      <c r="B1875" s="24" t="str">
        <f t="array" ref="B1875">xlookup($A1875,product!$A:$A,product!B:B)</f>
        <v>Epicerie salée</v>
      </c>
      <c r="C1875" s="24" t="str">
        <f t="array" ref="C1875">xlookup($A1875,product!$A:$A,product!C:C)</f>
        <v>Apéritifs bio</v>
      </c>
      <c r="D1875" s="24" t="str">
        <f t="array" ref="D1875">xlookup($A1875,product!$A:$A,product!D:D)</f>
        <v>Fruits secs bio apéritif</v>
      </c>
      <c r="E1875" s="25" t="str">
        <f t="shared" si="1"/>
        <v>120709-Apéritifs bio-Fruits secs bio apéritif</v>
      </c>
      <c r="F1875" s="25">
        <v>1.0</v>
      </c>
      <c r="G1875" s="25">
        <v>549.0</v>
      </c>
      <c r="H1875" s="25">
        <v>459.0</v>
      </c>
      <c r="I1875" s="26">
        <f t="array" ref="I1875">XLOOKUP($A1875,product!A:A,product!E:E)</f>
        <v>24.99</v>
      </c>
      <c r="J1875" s="25">
        <f t="shared" si="2"/>
        <v>11470.41</v>
      </c>
      <c r="K1875" s="27">
        <f t="shared" si="3"/>
        <v>1</v>
      </c>
      <c r="L1875" s="25">
        <f t="shared" si="4"/>
        <v>1</v>
      </c>
    </row>
    <row r="1876">
      <c r="A1876" s="19">
        <v>114949.0</v>
      </c>
      <c r="B1876" s="20" t="str">
        <f t="array" ref="B1876">xlookup($A1876,product!$A:$A,product!B:B)</f>
        <v>Epicerie salée</v>
      </c>
      <c r="C1876" s="20" t="str">
        <f t="array" ref="C1876">xlookup($A1876,product!$A:$A,product!C:C)</f>
        <v>Apéritifs bio</v>
      </c>
      <c r="D1876" s="20" t="str">
        <f t="array" ref="D1876">xlookup($A1876,product!$A:$A,product!D:D)</f>
        <v>Fruits secs bio apéritif</v>
      </c>
      <c r="E1876" s="4" t="str">
        <f t="shared" si="1"/>
        <v>114949-Apéritifs bio-Fruits secs bio apéritif</v>
      </c>
      <c r="F1876" s="4">
        <v>0.0</v>
      </c>
      <c r="G1876" s="4">
        <v>893.0</v>
      </c>
      <c r="H1876" s="4">
        <v>334.0</v>
      </c>
      <c r="I1876" s="21">
        <f t="array" ref="I1876">XLOOKUP($A1876,product!A:A,product!E:E)</f>
        <v>2.05</v>
      </c>
      <c r="J1876" s="4">
        <f t="shared" si="2"/>
        <v>684.7</v>
      </c>
      <c r="K1876" s="22">
        <f t="shared" si="3"/>
        <v>1</v>
      </c>
      <c r="L1876" s="4">
        <f t="shared" si="4"/>
        <v>1</v>
      </c>
    </row>
    <row r="1877">
      <c r="A1877" s="23">
        <v>48706.0</v>
      </c>
      <c r="B1877" s="24" t="str">
        <f t="array" ref="B1877">xlookup($A1877,product!$A:$A,product!B:B)</f>
        <v>Epicerie salée</v>
      </c>
      <c r="C1877" s="24" t="str">
        <f t="array" ref="C1877">xlookup($A1877,product!$A:$A,product!C:C)</f>
        <v>Apéritifs bio</v>
      </c>
      <c r="D1877" s="24" t="str">
        <f t="array" ref="D1877">xlookup($A1877,product!$A:$A,product!D:D)</f>
        <v>Fruits secs bio apéritif</v>
      </c>
      <c r="E1877" s="25" t="str">
        <f t="shared" si="1"/>
        <v>48706-Apéritifs bio-Fruits secs bio apéritif</v>
      </c>
      <c r="F1877" s="25">
        <v>1.0</v>
      </c>
      <c r="G1877" s="25">
        <v>392.0</v>
      </c>
      <c r="H1877" s="25">
        <v>200.0</v>
      </c>
      <c r="I1877" s="26">
        <f t="array" ref="I1877">XLOOKUP($A1877,product!A:A,product!E:E)</f>
        <v>3.58</v>
      </c>
      <c r="J1877" s="25">
        <f t="shared" si="2"/>
        <v>716</v>
      </c>
      <c r="K1877" s="27">
        <f t="shared" si="3"/>
        <v>1</v>
      </c>
      <c r="L1877" s="25">
        <f t="shared" si="4"/>
        <v>1</v>
      </c>
    </row>
    <row r="1878">
      <c r="A1878" s="19">
        <v>78411.0</v>
      </c>
      <c r="B1878" s="20" t="str">
        <f t="array" ref="B1878">xlookup($A1878,product!$A:$A,product!B:B)</f>
        <v>Epicerie salée</v>
      </c>
      <c r="C1878" s="20" t="str">
        <f t="array" ref="C1878">xlookup($A1878,product!$A:$A,product!C:C)</f>
        <v>Apéritifs bio</v>
      </c>
      <c r="D1878" s="20" t="str">
        <f t="array" ref="D1878">xlookup($A1878,product!$A:$A,product!D:D)</f>
        <v>Fruits secs bio apéritif</v>
      </c>
      <c r="E1878" s="4" t="str">
        <f t="shared" si="1"/>
        <v>78411-Apéritifs bio-Fruits secs bio apéritif</v>
      </c>
      <c r="F1878" s="4">
        <v>0.0</v>
      </c>
      <c r="G1878" s="4">
        <v>766.0</v>
      </c>
      <c r="H1878" s="4">
        <v>98.0</v>
      </c>
      <c r="I1878" s="21">
        <f t="array" ref="I1878">XLOOKUP($A1878,product!A:A,product!E:E)</f>
        <v>1.92</v>
      </c>
      <c r="J1878" s="4">
        <f t="shared" si="2"/>
        <v>188.16</v>
      </c>
      <c r="K1878" s="22">
        <f t="shared" si="3"/>
        <v>1</v>
      </c>
      <c r="L1878" s="4">
        <f t="shared" si="4"/>
        <v>1</v>
      </c>
    </row>
    <row r="1879">
      <c r="A1879" s="23">
        <v>120016.0</v>
      </c>
      <c r="B1879" s="24" t="str">
        <f t="array" ref="B1879">xlookup($A1879,product!$A:$A,product!B:B)</f>
        <v>Epicerie salée</v>
      </c>
      <c r="C1879" s="24" t="str">
        <f t="array" ref="C1879">xlookup($A1879,product!$A:$A,product!C:C)</f>
        <v>Apéritifs bio</v>
      </c>
      <c r="D1879" s="24" t="str">
        <f t="array" ref="D1879">xlookup($A1879,product!$A:$A,product!D:D)</f>
        <v>Fruits secs bio apéritif</v>
      </c>
      <c r="E1879" s="25" t="str">
        <f t="shared" si="1"/>
        <v>120016-Apéritifs bio-Fruits secs bio apéritif</v>
      </c>
      <c r="F1879" s="25">
        <v>1.0</v>
      </c>
      <c r="G1879" s="25">
        <v>531.0</v>
      </c>
      <c r="H1879" s="25">
        <v>335.0</v>
      </c>
      <c r="I1879" s="26">
        <f t="array" ref="I1879">XLOOKUP($A1879,product!A:A,product!E:E)</f>
        <v>2.27</v>
      </c>
      <c r="J1879" s="25">
        <f t="shared" si="2"/>
        <v>760.45</v>
      </c>
      <c r="K1879" s="27">
        <f t="shared" si="3"/>
        <v>1</v>
      </c>
      <c r="L1879" s="25">
        <f t="shared" si="4"/>
        <v>1</v>
      </c>
    </row>
    <row r="1880">
      <c r="A1880" s="19">
        <v>120710.0</v>
      </c>
      <c r="B1880" s="20" t="str">
        <f t="array" ref="B1880">xlookup($A1880,product!$A:$A,product!B:B)</f>
        <v>Epicerie salée</v>
      </c>
      <c r="C1880" s="20" t="str">
        <f t="array" ref="C1880">xlookup($A1880,product!$A:$A,product!C:C)</f>
        <v>Apéritifs bio</v>
      </c>
      <c r="D1880" s="20" t="str">
        <f t="array" ref="D1880">xlookup($A1880,product!$A:$A,product!D:D)</f>
        <v>Fruits secs bio apéritif</v>
      </c>
      <c r="E1880" s="4" t="str">
        <f t="shared" si="1"/>
        <v>120710-Apéritifs bio-Fruits secs bio apéritif</v>
      </c>
      <c r="F1880" s="4">
        <v>1.0</v>
      </c>
      <c r="G1880" s="4">
        <v>312.0</v>
      </c>
      <c r="H1880" s="4">
        <v>252.0</v>
      </c>
      <c r="I1880" s="21">
        <f t="array" ref="I1880">XLOOKUP($A1880,product!A:A,product!E:E)</f>
        <v>10.48</v>
      </c>
      <c r="J1880" s="4">
        <f t="shared" si="2"/>
        <v>2640.96</v>
      </c>
      <c r="K1880" s="22">
        <f t="shared" si="3"/>
        <v>1</v>
      </c>
      <c r="L1880" s="4">
        <f t="shared" si="4"/>
        <v>1</v>
      </c>
    </row>
    <row r="1881">
      <c r="A1881" s="23">
        <v>48705.0</v>
      </c>
      <c r="B1881" s="24" t="str">
        <f t="array" ref="B1881">xlookup($A1881,product!$A:$A,product!B:B)</f>
        <v>Epicerie salée</v>
      </c>
      <c r="C1881" s="24" t="str">
        <f t="array" ref="C1881">xlookup($A1881,product!$A:$A,product!C:C)</f>
        <v>Apéritifs bio</v>
      </c>
      <c r="D1881" s="24" t="str">
        <f t="array" ref="D1881">xlookup($A1881,product!$A:$A,product!D:D)</f>
        <v>Fruits secs bio apéritif</v>
      </c>
      <c r="E1881" s="25" t="str">
        <f t="shared" si="1"/>
        <v>48705-Apéritifs bio-Fruits secs bio apéritif</v>
      </c>
      <c r="F1881" s="25">
        <v>1.0</v>
      </c>
      <c r="G1881" s="25">
        <v>482.0</v>
      </c>
      <c r="H1881" s="25">
        <v>66.0</v>
      </c>
      <c r="I1881" s="26">
        <f t="array" ref="I1881">XLOOKUP($A1881,product!A:A,product!E:E)</f>
        <v>1.88</v>
      </c>
      <c r="J1881" s="25">
        <f t="shared" si="2"/>
        <v>124.08</v>
      </c>
      <c r="K1881" s="27">
        <f t="shared" si="3"/>
        <v>1</v>
      </c>
      <c r="L1881" s="25">
        <f t="shared" si="4"/>
        <v>1</v>
      </c>
    </row>
    <row r="1882">
      <c r="A1882" s="19">
        <v>114948.0</v>
      </c>
      <c r="B1882" s="20" t="str">
        <f t="array" ref="B1882">xlookup($A1882,product!$A:$A,product!B:B)</f>
        <v>Epicerie salée</v>
      </c>
      <c r="C1882" s="20" t="str">
        <f t="array" ref="C1882">xlookup($A1882,product!$A:$A,product!C:C)</f>
        <v>Apéritifs bio</v>
      </c>
      <c r="D1882" s="20" t="str">
        <f t="array" ref="D1882">xlookup($A1882,product!$A:$A,product!D:D)</f>
        <v>Fruits secs bio apéritif</v>
      </c>
      <c r="E1882" s="4" t="str">
        <f t="shared" si="1"/>
        <v>114948-Apéritifs bio-Fruits secs bio apéritif</v>
      </c>
      <c r="F1882" s="4">
        <v>0.0</v>
      </c>
      <c r="G1882" s="4">
        <v>952.0</v>
      </c>
      <c r="H1882" s="4">
        <v>237.0</v>
      </c>
      <c r="I1882" s="21">
        <f t="array" ref="I1882">XLOOKUP($A1882,product!A:A,product!E:E)</f>
        <v>2.32</v>
      </c>
      <c r="J1882" s="4">
        <f t="shared" si="2"/>
        <v>549.84</v>
      </c>
      <c r="K1882" s="22">
        <f t="shared" si="3"/>
        <v>1</v>
      </c>
      <c r="L1882" s="4">
        <f t="shared" si="4"/>
        <v>1</v>
      </c>
    </row>
    <row r="1883">
      <c r="A1883" s="23">
        <v>117330.0</v>
      </c>
      <c r="B1883" s="24" t="str">
        <f t="array" ref="B1883">xlookup($A1883,product!$A:$A,product!B:B)</f>
        <v>Epicerie salée</v>
      </c>
      <c r="C1883" s="24" t="str">
        <f t="array" ref="C1883">xlookup($A1883,product!$A:$A,product!C:C)</f>
        <v>Apéritifs bio</v>
      </c>
      <c r="D1883" s="24" t="str">
        <f t="array" ref="D1883">xlookup($A1883,product!$A:$A,product!D:D)</f>
        <v>Fruits secs bio apéritif</v>
      </c>
      <c r="E1883" s="25" t="str">
        <f t="shared" si="1"/>
        <v>117330-Apéritifs bio-Fruits secs bio apéritif</v>
      </c>
      <c r="F1883" s="25">
        <v>1.0</v>
      </c>
      <c r="G1883" s="25">
        <v>226.0</v>
      </c>
      <c r="H1883" s="25">
        <v>104.0</v>
      </c>
      <c r="I1883" s="26">
        <f t="array" ref="I1883">XLOOKUP($A1883,product!A:A,product!E:E)</f>
        <v>2.58</v>
      </c>
      <c r="J1883" s="25">
        <f t="shared" si="2"/>
        <v>268.32</v>
      </c>
      <c r="K1883" s="27">
        <f t="shared" si="3"/>
        <v>1</v>
      </c>
      <c r="L1883" s="25">
        <f t="shared" si="4"/>
        <v>1</v>
      </c>
    </row>
    <row r="1884">
      <c r="A1884" s="19">
        <v>89665.0</v>
      </c>
      <c r="B1884" s="20" t="str">
        <f t="array" ref="B1884">xlookup($A1884,product!$A:$A,product!B:B)</f>
        <v>Epicerie salée</v>
      </c>
      <c r="C1884" s="20" t="str">
        <f t="array" ref="C1884">xlookup($A1884,product!$A:$A,product!C:C)</f>
        <v>Apéritifs bio</v>
      </c>
      <c r="D1884" s="20" t="str">
        <f t="array" ref="D1884">xlookup($A1884,product!$A:$A,product!D:D)</f>
        <v>Fruits secs bio apéritif</v>
      </c>
      <c r="E1884" s="4" t="str">
        <f t="shared" si="1"/>
        <v>89665-Apéritifs bio-Fruits secs bio apéritif</v>
      </c>
      <c r="F1884" s="4">
        <v>0.0</v>
      </c>
      <c r="G1884" s="4">
        <v>787.0</v>
      </c>
      <c r="H1884" s="4">
        <v>460.0</v>
      </c>
      <c r="I1884" s="21">
        <f t="array" ref="I1884">XLOOKUP($A1884,product!A:A,product!E:E)</f>
        <v>2.32</v>
      </c>
      <c r="J1884" s="4">
        <f t="shared" si="2"/>
        <v>1067.2</v>
      </c>
      <c r="K1884" s="22">
        <f t="shared" si="3"/>
        <v>1</v>
      </c>
      <c r="L1884" s="4">
        <f t="shared" si="4"/>
        <v>1</v>
      </c>
    </row>
    <row r="1885">
      <c r="A1885" s="23">
        <v>89450.0</v>
      </c>
      <c r="B1885" s="24" t="str">
        <f t="array" ref="B1885">xlookup($A1885,product!$A:$A,product!B:B)</f>
        <v>Santé &amp; Bien-être</v>
      </c>
      <c r="C1885" s="24" t="str">
        <f t="array" ref="C1885">xlookup($A1885,product!$A:$A,product!C:C)</f>
        <v>Aromathérapie</v>
      </c>
      <c r="D1885" s="24" t="str">
        <f t="array" ref="D1885">xlookup($A1885,product!$A:$A,product!D:D)</f>
        <v>Eaux florales</v>
      </c>
      <c r="E1885" s="25" t="str">
        <f t="shared" si="1"/>
        <v>89450-Aromathérapie-Eaux florales</v>
      </c>
      <c r="F1885" s="25">
        <v>0.0</v>
      </c>
      <c r="G1885" s="25">
        <v>582.0</v>
      </c>
      <c r="H1885" s="25">
        <v>407.0</v>
      </c>
      <c r="I1885" s="26">
        <f t="array" ref="I1885">XLOOKUP($A1885,product!A:A,product!E:E)</f>
        <v>3.87</v>
      </c>
      <c r="J1885" s="25">
        <f t="shared" si="2"/>
        <v>1575.09</v>
      </c>
      <c r="K1885" s="27">
        <f t="shared" si="3"/>
        <v>1</v>
      </c>
      <c r="L1885" s="25">
        <f t="shared" si="4"/>
        <v>1</v>
      </c>
    </row>
    <row r="1886">
      <c r="A1886" s="19">
        <v>72080.0</v>
      </c>
      <c r="B1886" s="20" t="str">
        <f t="array" ref="B1886">xlookup($A1886,product!$A:$A,product!B:B)</f>
        <v>Santé &amp; Bien-être</v>
      </c>
      <c r="C1886" s="20" t="str">
        <f t="array" ref="C1886">xlookup($A1886,product!$A:$A,product!C:C)</f>
        <v>Aromathérapie</v>
      </c>
      <c r="D1886" s="20" t="str">
        <f t="array" ref="D1886">xlookup($A1886,product!$A:$A,product!D:D)</f>
        <v>Eaux florales</v>
      </c>
      <c r="E1886" s="4" t="str">
        <f t="shared" si="1"/>
        <v>72080-Aromathérapie-Eaux florales</v>
      </c>
      <c r="F1886" s="4">
        <v>0.0</v>
      </c>
      <c r="G1886" s="4">
        <v>144.0</v>
      </c>
      <c r="H1886" s="4">
        <v>30.0</v>
      </c>
      <c r="I1886" s="21">
        <f t="array" ref="I1886">XLOOKUP($A1886,product!A:A,product!E:E)</f>
        <v>4.09</v>
      </c>
      <c r="J1886" s="4">
        <f t="shared" si="2"/>
        <v>122.7</v>
      </c>
      <c r="K1886" s="22">
        <f t="shared" si="3"/>
        <v>1</v>
      </c>
      <c r="L1886" s="4">
        <f t="shared" si="4"/>
        <v>1</v>
      </c>
    </row>
    <row r="1887">
      <c r="A1887" s="23">
        <v>72086.0</v>
      </c>
      <c r="B1887" s="24" t="str">
        <f t="array" ref="B1887">xlookup($A1887,product!$A:$A,product!B:B)</f>
        <v>Santé &amp; Bien-être</v>
      </c>
      <c r="C1887" s="24" t="str">
        <f t="array" ref="C1887">xlookup($A1887,product!$A:$A,product!C:C)</f>
        <v>Aromathérapie</v>
      </c>
      <c r="D1887" s="24" t="str">
        <f t="array" ref="D1887">xlookup($A1887,product!$A:$A,product!D:D)</f>
        <v>Eaux florales</v>
      </c>
      <c r="E1887" s="25" t="str">
        <f t="shared" si="1"/>
        <v>72086-Aromathérapie-Eaux florales</v>
      </c>
      <c r="F1887" s="25">
        <v>1.0</v>
      </c>
      <c r="G1887" s="25">
        <v>869.0</v>
      </c>
      <c r="H1887" s="25">
        <v>734.0</v>
      </c>
      <c r="I1887" s="26">
        <f t="array" ref="I1887">XLOOKUP($A1887,product!A:A,product!E:E)</f>
        <v>4.09</v>
      </c>
      <c r="J1887" s="25">
        <f t="shared" si="2"/>
        <v>3002.06</v>
      </c>
      <c r="K1887" s="27">
        <f t="shared" si="3"/>
        <v>1</v>
      </c>
      <c r="L1887" s="25">
        <f t="shared" si="4"/>
        <v>1</v>
      </c>
    </row>
    <row r="1888">
      <c r="A1888" s="19">
        <v>117076.0</v>
      </c>
      <c r="B1888" s="20" t="str">
        <f t="array" ref="B1888">xlookup($A1888,product!$A:$A,product!B:B)</f>
        <v>Santé &amp; Bien-être</v>
      </c>
      <c r="C1888" s="20" t="str">
        <f t="array" ref="C1888">xlookup($A1888,product!$A:$A,product!C:C)</f>
        <v>Aromathérapie</v>
      </c>
      <c r="D1888" s="20" t="str">
        <f t="array" ref="D1888">xlookup($A1888,product!$A:$A,product!D:D)</f>
        <v>Eaux florales</v>
      </c>
      <c r="E1888" s="4" t="str">
        <f t="shared" si="1"/>
        <v>117076-Aromathérapie-Eaux florales</v>
      </c>
      <c r="F1888" s="4">
        <v>0.0</v>
      </c>
      <c r="G1888" s="4">
        <v>213.0</v>
      </c>
      <c r="H1888" s="4">
        <v>205.0</v>
      </c>
      <c r="I1888" s="21">
        <f t="array" ref="I1888">XLOOKUP($A1888,product!A:A,product!E:E)</f>
        <v>4.75</v>
      </c>
      <c r="J1888" s="4">
        <f t="shared" si="2"/>
        <v>973.75</v>
      </c>
      <c r="K1888" s="22">
        <f t="shared" si="3"/>
        <v>1</v>
      </c>
      <c r="L1888" s="4">
        <f t="shared" si="4"/>
        <v>1</v>
      </c>
    </row>
    <row r="1889">
      <c r="A1889" s="23">
        <v>72081.0</v>
      </c>
      <c r="B1889" s="24" t="str">
        <f t="array" ref="B1889">xlookup($A1889,product!$A:$A,product!B:B)</f>
        <v>Santé &amp; Bien-être</v>
      </c>
      <c r="C1889" s="24" t="str">
        <f t="array" ref="C1889">xlookup($A1889,product!$A:$A,product!C:C)</f>
        <v>Aromathérapie</v>
      </c>
      <c r="D1889" s="24" t="str">
        <f t="array" ref="D1889">xlookup($A1889,product!$A:$A,product!D:D)</f>
        <v>Eaux florales</v>
      </c>
      <c r="E1889" s="25" t="str">
        <f t="shared" si="1"/>
        <v>72081-Aromathérapie-Eaux florales</v>
      </c>
      <c r="F1889" s="25">
        <v>1.0</v>
      </c>
      <c r="G1889" s="25">
        <v>742.0</v>
      </c>
      <c r="H1889" s="25">
        <v>53.0</v>
      </c>
      <c r="I1889" s="26">
        <f t="array" ref="I1889">XLOOKUP($A1889,product!A:A,product!E:E)</f>
        <v>3.77</v>
      </c>
      <c r="J1889" s="25">
        <f t="shared" si="2"/>
        <v>199.81</v>
      </c>
      <c r="K1889" s="27">
        <f t="shared" si="3"/>
        <v>1</v>
      </c>
      <c r="L1889" s="25">
        <f t="shared" si="4"/>
        <v>1</v>
      </c>
    </row>
    <row r="1890">
      <c r="A1890" s="19">
        <v>72088.0</v>
      </c>
      <c r="B1890" s="20" t="str">
        <f t="array" ref="B1890">xlookup($A1890,product!$A:$A,product!B:B)</f>
        <v>Santé &amp; Bien-être</v>
      </c>
      <c r="C1890" s="20" t="str">
        <f t="array" ref="C1890">xlookup($A1890,product!$A:$A,product!C:C)</f>
        <v>Aromathérapie</v>
      </c>
      <c r="D1890" s="20" t="str">
        <f t="array" ref="D1890">xlookup($A1890,product!$A:$A,product!D:D)</f>
        <v>Eaux florales</v>
      </c>
      <c r="E1890" s="4" t="str">
        <f t="shared" si="1"/>
        <v>72088-Aromathérapie-Eaux florales</v>
      </c>
      <c r="F1890" s="4">
        <v>1.0</v>
      </c>
      <c r="G1890" s="4">
        <v>903.0</v>
      </c>
      <c r="H1890" s="4">
        <v>318.0</v>
      </c>
      <c r="I1890" s="21">
        <f t="array" ref="I1890">XLOOKUP($A1890,product!A:A,product!E:E)</f>
        <v>3.97</v>
      </c>
      <c r="J1890" s="4">
        <f t="shared" si="2"/>
        <v>1262.46</v>
      </c>
      <c r="K1890" s="22">
        <f t="shared" si="3"/>
        <v>1</v>
      </c>
      <c r="L1890" s="4">
        <f t="shared" si="4"/>
        <v>1</v>
      </c>
    </row>
    <row r="1891">
      <c r="A1891" s="23">
        <v>72078.0</v>
      </c>
      <c r="B1891" s="24" t="str">
        <f t="array" ref="B1891">xlookup($A1891,product!$A:$A,product!B:B)</f>
        <v>Santé &amp; Bien-être</v>
      </c>
      <c r="C1891" s="24" t="str">
        <f t="array" ref="C1891">xlookup($A1891,product!$A:$A,product!C:C)</f>
        <v>Aromathérapie</v>
      </c>
      <c r="D1891" s="24" t="str">
        <f t="array" ref="D1891">xlookup($A1891,product!$A:$A,product!D:D)</f>
        <v>Eaux florales</v>
      </c>
      <c r="E1891" s="25" t="str">
        <f t="shared" si="1"/>
        <v>72078-Aromathérapie-Eaux florales</v>
      </c>
      <c r="F1891" s="25">
        <v>0.0</v>
      </c>
      <c r="G1891" s="25">
        <v>557.0</v>
      </c>
      <c r="H1891" s="25">
        <v>447.0</v>
      </c>
      <c r="I1891" s="26">
        <f t="array" ref="I1891">XLOOKUP($A1891,product!A:A,product!E:E)</f>
        <v>3.69</v>
      </c>
      <c r="J1891" s="25">
        <f t="shared" si="2"/>
        <v>1649.43</v>
      </c>
      <c r="K1891" s="27">
        <f t="shared" si="3"/>
        <v>1</v>
      </c>
      <c r="L1891" s="25">
        <f t="shared" si="4"/>
        <v>1</v>
      </c>
    </row>
    <row r="1892">
      <c r="A1892" s="19">
        <v>72085.0</v>
      </c>
      <c r="B1892" s="20" t="str">
        <f t="array" ref="B1892">xlookup($A1892,product!$A:$A,product!B:B)</f>
        <v>Santé &amp; Bien-être</v>
      </c>
      <c r="C1892" s="20" t="str">
        <f t="array" ref="C1892">xlookup($A1892,product!$A:$A,product!C:C)</f>
        <v>Aromathérapie</v>
      </c>
      <c r="D1892" s="20" t="str">
        <f t="array" ref="D1892">xlookup($A1892,product!$A:$A,product!D:D)</f>
        <v>Eaux florales</v>
      </c>
      <c r="E1892" s="4" t="str">
        <f t="shared" si="1"/>
        <v>72085-Aromathérapie-Eaux florales</v>
      </c>
      <c r="F1892" s="4">
        <v>0.0</v>
      </c>
      <c r="G1892" s="4">
        <v>185.0</v>
      </c>
      <c r="H1892" s="4">
        <v>67.0</v>
      </c>
      <c r="I1892" s="21">
        <f t="array" ref="I1892">XLOOKUP($A1892,product!A:A,product!E:E)</f>
        <v>4.45</v>
      </c>
      <c r="J1892" s="4">
        <f t="shared" si="2"/>
        <v>298.15</v>
      </c>
      <c r="K1892" s="22">
        <f t="shared" si="3"/>
        <v>1</v>
      </c>
      <c r="L1892" s="4">
        <f t="shared" si="4"/>
        <v>1</v>
      </c>
    </row>
    <row r="1893">
      <c r="A1893" s="23">
        <v>112204.0</v>
      </c>
      <c r="B1893" s="24" t="str">
        <f t="array" ref="B1893">xlookup($A1893,product!$A:$A,product!B:B)</f>
        <v>Santé &amp; Bien-être</v>
      </c>
      <c r="C1893" s="24" t="str">
        <f t="array" ref="C1893">xlookup($A1893,product!$A:$A,product!C:C)</f>
        <v>Aromathérapie</v>
      </c>
      <c r="D1893" s="24" t="str">
        <f t="array" ref="D1893">xlookup($A1893,product!$A:$A,product!D:D)</f>
        <v>Eaux florales</v>
      </c>
      <c r="E1893" s="25" t="str">
        <f t="shared" si="1"/>
        <v>112204-Aromathérapie-Eaux florales</v>
      </c>
      <c r="F1893" s="25">
        <v>1.0</v>
      </c>
      <c r="G1893" s="25">
        <v>177.0</v>
      </c>
      <c r="H1893" s="25">
        <v>124.0</v>
      </c>
      <c r="I1893" s="26">
        <f t="array" ref="I1893">XLOOKUP($A1893,product!A:A,product!E:E)</f>
        <v>4.85</v>
      </c>
      <c r="J1893" s="25">
        <f t="shared" si="2"/>
        <v>601.4</v>
      </c>
      <c r="K1893" s="27">
        <f t="shared" si="3"/>
        <v>1</v>
      </c>
      <c r="L1893" s="25">
        <f t="shared" si="4"/>
        <v>1</v>
      </c>
    </row>
    <row r="1894">
      <c r="A1894" s="19">
        <v>59138.0</v>
      </c>
      <c r="B1894" s="20" t="str">
        <f t="array" ref="B1894">xlookup($A1894,product!$A:$A,product!B:B)</f>
        <v>Santé &amp; Bien-être</v>
      </c>
      <c r="C1894" s="20" t="str">
        <f t="array" ref="C1894">xlookup($A1894,product!$A:$A,product!C:C)</f>
        <v>Aromathérapie</v>
      </c>
      <c r="D1894" s="20" t="str">
        <f t="array" ref="D1894">xlookup($A1894,product!$A:$A,product!D:D)</f>
        <v>Eaux florales</v>
      </c>
      <c r="E1894" s="4" t="str">
        <f t="shared" si="1"/>
        <v>59138-Aromathérapie-Eaux florales</v>
      </c>
      <c r="F1894" s="4">
        <v>1.0</v>
      </c>
      <c r="G1894" s="4">
        <v>227.0</v>
      </c>
      <c r="H1894" s="4">
        <v>91.0</v>
      </c>
      <c r="I1894" s="21">
        <f t="array" ref="I1894">XLOOKUP($A1894,product!A:A,product!E:E)</f>
        <v>3.83</v>
      </c>
      <c r="J1894" s="4">
        <f t="shared" si="2"/>
        <v>348.53</v>
      </c>
      <c r="K1894" s="22">
        <f t="shared" si="3"/>
        <v>1</v>
      </c>
      <c r="L1894" s="4">
        <f t="shared" si="4"/>
        <v>1</v>
      </c>
    </row>
    <row r="1895">
      <c r="A1895" s="23">
        <v>72074.0</v>
      </c>
      <c r="B1895" s="24" t="str">
        <f t="array" ref="B1895">xlookup($A1895,product!$A:$A,product!B:B)</f>
        <v>Santé &amp; Bien-être</v>
      </c>
      <c r="C1895" s="24" t="str">
        <f t="array" ref="C1895">xlookup($A1895,product!$A:$A,product!C:C)</f>
        <v>Aromathérapie</v>
      </c>
      <c r="D1895" s="24" t="str">
        <f t="array" ref="D1895">xlookup($A1895,product!$A:$A,product!D:D)</f>
        <v>Eaux florales</v>
      </c>
      <c r="E1895" s="25" t="str">
        <f t="shared" si="1"/>
        <v>72074-Aromathérapie-Eaux florales</v>
      </c>
      <c r="F1895" s="25">
        <v>0.0</v>
      </c>
      <c r="G1895" s="25">
        <v>658.0</v>
      </c>
      <c r="H1895" s="25">
        <v>86.0</v>
      </c>
      <c r="I1895" s="26">
        <f t="array" ref="I1895">XLOOKUP($A1895,product!A:A,product!E:E)</f>
        <v>3.59</v>
      </c>
      <c r="J1895" s="25">
        <f t="shared" si="2"/>
        <v>308.74</v>
      </c>
      <c r="K1895" s="27">
        <f t="shared" si="3"/>
        <v>1</v>
      </c>
      <c r="L1895" s="25">
        <f t="shared" si="4"/>
        <v>1</v>
      </c>
    </row>
    <row r="1896">
      <c r="A1896" s="19">
        <v>72096.0</v>
      </c>
      <c r="B1896" s="20" t="str">
        <f t="array" ref="B1896">xlookup($A1896,product!$A:$A,product!B:B)</f>
        <v>Santé &amp; Bien-être</v>
      </c>
      <c r="C1896" s="20" t="str">
        <f t="array" ref="C1896">xlookup($A1896,product!$A:$A,product!C:C)</f>
        <v>Aromathérapie</v>
      </c>
      <c r="D1896" s="20" t="str">
        <f t="array" ref="D1896">xlookup($A1896,product!$A:$A,product!D:D)</f>
        <v>Eaux florales</v>
      </c>
      <c r="E1896" s="4" t="str">
        <f t="shared" si="1"/>
        <v>72096-Aromathérapie-Eaux florales</v>
      </c>
      <c r="F1896" s="4">
        <v>1.0</v>
      </c>
      <c r="G1896" s="4">
        <v>969.0</v>
      </c>
      <c r="H1896" s="4">
        <v>141.0</v>
      </c>
      <c r="I1896" s="21">
        <f t="array" ref="I1896">XLOOKUP($A1896,product!A:A,product!E:E)</f>
        <v>7.57</v>
      </c>
      <c r="J1896" s="4">
        <f t="shared" si="2"/>
        <v>1067.37</v>
      </c>
      <c r="K1896" s="22">
        <f t="shared" si="3"/>
        <v>1</v>
      </c>
      <c r="L1896" s="4">
        <f t="shared" si="4"/>
        <v>1</v>
      </c>
    </row>
    <row r="1897">
      <c r="A1897" s="23">
        <v>72099.0</v>
      </c>
      <c r="B1897" s="24" t="str">
        <f t="array" ref="B1897">xlookup($A1897,product!$A:$A,product!B:B)</f>
        <v>Santé &amp; Bien-être</v>
      </c>
      <c r="C1897" s="24" t="str">
        <f t="array" ref="C1897">xlookup($A1897,product!$A:$A,product!C:C)</f>
        <v>Aromathérapie</v>
      </c>
      <c r="D1897" s="24" t="str">
        <f t="array" ref="D1897">xlookup($A1897,product!$A:$A,product!D:D)</f>
        <v>Eaux florales</v>
      </c>
      <c r="E1897" s="25" t="str">
        <f t="shared" si="1"/>
        <v>72099-Aromathérapie-Eaux florales</v>
      </c>
      <c r="F1897" s="25">
        <v>1.0</v>
      </c>
      <c r="G1897" s="25">
        <v>702.0</v>
      </c>
      <c r="H1897" s="25">
        <v>65.0</v>
      </c>
      <c r="I1897" s="26">
        <f t="array" ref="I1897">XLOOKUP($A1897,product!A:A,product!E:E)</f>
        <v>6.66</v>
      </c>
      <c r="J1897" s="25">
        <f t="shared" si="2"/>
        <v>432.9</v>
      </c>
      <c r="K1897" s="27">
        <f t="shared" si="3"/>
        <v>1</v>
      </c>
      <c r="L1897" s="25">
        <f t="shared" si="4"/>
        <v>1</v>
      </c>
    </row>
    <row r="1898">
      <c r="A1898" s="19">
        <v>89451.0</v>
      </c>
      <c r="B1898" s="20" t="str">
        <f t="array" ref="B1898">xlookup($A1898,product!$A:$A,product!B:B)</f>
        <v>Santé &amp; Bien-être</v>
      </c>
      <c r="C1898" s="20" t="str">
        <f t="array" ref="C1898">xlookup($A1898,product!$A:$A,product!C:C)</f>
        <v>Aromathérapie</v>
      </c>
      <c r="D1898" s="20" t="str">
        <f t="array" ref="D1898">xlookup($A1898,product!$A:$A,product!D:D)</f>
        <v>Eaux florales</v>
      </c>
      <c r="E1898" s="4" t="str">
        <f t="shared" si="1"/>
        <v>89451-Aromathérapie-Eaux florales</v>
      </c>
      <c r="F1898" s="4">
        <v>0.0</v>
      </c>
      <c r="G1898" s="4">
        <v>741.0</v>
      </c>
      <c r="H1898" s="4">
        <v>116.0</v>
      </c>
      <c r="I1898" s="21">
        <f t="array" ref="I1898">XLOOKUP($A1898,product!A:A,product!E:E)</f>
        <v>2.78</v>
      </c>
      <c r="J1898" s="4">
        <f t="shared" si="2"/>
        <v>322.48</v>
      </c>
      <c r="K1898" s="22">
        <f t="shared" si="3"/>
        <v>1</v>
      </c>
      <c r="L1898" s="4">
        <f t="shared" si="4"/>
        <v>1</v>
      </c>
    </row>
    <row r="1899">
      <c r="A1899" s="23">
        <v>29606.0</v>
      </c>
      <c r="B1899" s="24" t="str">
        <f t="array" ref="B1899">xlookup($A1899,product!$A:$A,product!B:B)</f>
        <v>Santé &amp; Bien-être</v>
      </c>
      <c r="C1899" s="24" t="str">
        <f t="array" ref="C1899">xlookup($A1899,product!$A:$A,product!C:C)</f>
        <v>Aromathérapie</v>
      </c>
      <c r="D1899" s="24" t="str">
        <f t="array" ref="D1899">xlookup($A1899,product!$A:$A,product!D:D)</f>
        <v>Eaux florales</v>
      </c>
      <c r="E1899" s="25" t="str">
        <f t="shared" si="1"/>
        <v>29606-Aromathérapie-Eaux florales</v>
      </c>
      <c r="F1899" s="25">
        <v>0.0</v>
      </c>
      <c r="G1899" s="25">
        <v>532.0</v>
      </c>
      <c r="H1899" s="25">
        <v>281.0</v>
      </c>
      <c r="I1899" s="26">
        <f t="array" ref="I1899">XLOOKUP($A1899,product!A:A,product!E:E)</f>
        <v>5.56</v>
      </c>
      <c r="J1899" s="25">
        <f t="shared" si="2"/>
        <v>1562.36</v>
      </c>
      <c r="K1899" s="27">
        <f t="shared" si="3"/>
        <v>1</v>
      </c>
      <c r="L1899" s="25">
        <f t="shared" si="4"/>
        <v>1</v>
      </c>
    </row>
    <row r="1900">
      <c r="A1900" s="19">
        <v>72089.0</v>
      </c>
      <c r="B1900" s="20" t="str">
        <f t="array" ref="B1900">xlookup($A1900,product!$A:$A,product!B:B)</f>
        <v>Santé &amp; Bien-être</v>
      </c>
      <c r="C1900" s="20" t="str">
        <f t="array" ref="C1900">xlookup($A1900,product!$A:$A,product!C:C)</f>
        <v>Aromathérapie</v>
      </c>
      <c r="D1900" s="20" t="str">
        <f t="array" ref="D1900">xlookup($A1900,product!$A:$A,product!D:D)</f>
        <v>Eaux florales</v>
      </c>
      <c r="E1900" s="4" t="str">
        <f t="shared" si="1"/>
        <v>72089-Aromathérapie-Eaux florales</v>
      </c>
      <c r="F1900" s="4">
        <v>1.0</v>
      </c>
      <c r="G1900" s="4">
        <v>352.0</v>
      </c>
      <c r="H1900" s="4">
        <v>308.0</v>
      </c>
      <c r="I1900" s="21">
        <f t="array" ref="I1900">XLOOKUP($A1900,product!A:A,product!E:E)</f>
        <v>4.65</v>
      </c>
      <c r="J1900" s="4">
        <f t="shared" si="2"/>
        <v>1432.2</v>
      </c>
      <c r="K1900" s="22">
        <f t="shared" si="3"/>
        <v>1</v>
      </c>
      <c r="L1900" s="4">
        <f t="shared" si="4"/>
        <v>1</v>
      </c>
    </row>
    <row r="1901">
      <c r="A1901" s="23">
        <v>29601.0</v>
      </c>
      <c r="B1901" s="24" t="str">
        <f t="array" ref="B1901">xlookup($A1901,product!$A:$A,product!B:B)</f>
        <v>Santé &amp; Bien-être</v>
      </c>
      <c r="C1901" s="24" t="str">
        <f t="array" ref="C1901">xlookup($A1901,product!$A:$A,product!C:C)</f>
        <v>Aromathérapie</v>
      </c>
      <c r="D1901" s="24" t="str">
        <f t="array" ref="D1901">xlookup($A1901,product!$A:$A,product!D:D)</f>
        <v>Eaux florales</v>
      </c>
      <c r="E1901" s="25" t="str">
        <f t="shared" si="1"/>
        <v>29601-Aromathérapie-Eaux florales</v>
      </c>
      <c r="F1901" s="25">
        <v>1.0</v>
      </c>
      <c r="G1901" s="25">
        <v>616.0</v>
      </c>
      <c r="H1901" s="25">
        <v>422.0</v>
      </c>
      <c r="I1901" s="26">
        <f t="array" ref="I1901">XLOOKUP($A1901,product!A:A,product!E:E)</f>
        <v>4.99</v>
      </c>
      <c r="J1901" s="25">
        <f t="shared" si="2"/>
        <v>2105.78</v>
      </c>
      <c r="K1901" s="27">
        <f t="shared" si="3"/>
        <v>1</v>
      </c>
      <c r="L1901" s="25">
        <f t="shared" si="4"/>
        <v>1</v>
      </c>
    </row>
    <row r="1902">
      <c r="A1902" s="19">
        <v>50372.0</v>
      </c>
      <c r="B1902" s="20" t="str">
        <f t="array" ref="B1902">xlookup($A1902,product!$A:$A,product!B:B)</f>
        <v>Santé &amp; Bien-être</v>
      </c>
      <c r="C1902" s="20" t="str">
        <f t="array" ref="C1902">xlookup($A1902,product!$A:$A,product!C:C)</f>
        <v>Aromathérapie</v>
      </c>
      <c r="D1902" s="20" t="str">
        <f t="array" ref="D1902">xlookup($A1902,product!$A:$A,product!D:D)</f>
        <v>Eaux florales</v>
      </c>
      <c r="E1902" s="4" t="str">
        <f t="shared" si="1"/>
        <v>50372-Aromathérapie-Eaux florales</v>
      </c>
      <c r="F1902" s="4">
        <v>1.0</v>
      </c>
      <c r="G1902" s="4">
        <v>129.0</v>
      </c>
      <c r="H1902" s="4">
        <v>68.0</v>
      </c>
      <c r="I1902" s="21">
        <f t="array" ref="I1902">XLOOKUP($A1902,product!A:A,product!E:E)</f>
        <v>4.9</v>
      </c>
      <c r="J1902" s="4">
        <f t="shared" si="2"/>
        <v>333.2</v>
      </c>
      <c r="K1902" s="22">
        <f t="shared" si="3"/>
        <v>1</v>
      </c>
      <c r="L1902" s="4">
        <f t="shared" si="4"/>
        <v>1</v>
      </c>
    </row>
    <row r="1903">
      <c r="A1903" s="23">
        <v>89452.0</v>
      </c>
      <c r="B1903" s="24" t="str">
        <f t="array" ref="B1903">xlookup($A1903,product!$A:$A,product!B:B)</f>
        <v>Santé &amp; Bien-être</v>
      </c>
      <c r="C1903" s="24" t="str">
        <f t="array" ref="C1903">xlookup($A1903,product!$A:$A,product!C:C)</f>
        <v>Aromathérapie</v>
      </c>
      <c r="D1903" s="24" t="str">
        <f t="array" ref="D1903">xlookup($A1903,product!$A:$A,product!D:D)</f>
        <v>Eaux florales</v>
      </c>
      <c r="E1903" s="25" t="str">
        <f t="shared" si="1"/>
        <v>89452-Aromathérapie-Eaux florales</v>
      </c>
      <c r="F1903" s="25">
        <v>0.0</v>
      </c>
      <c r="G1903" s="25">
        <v>892.0</v>
      </c>
      <c r="H1903" s="25">
        <v>205.0</v>
      </c>
      <c r="I1903" s="26">
        <f t="array" ref="I1903">XLOOKUP($A1903,product!A:A,product!E:E)</f>
        <v>2.78</v>
      </c>
      <c r="J1903" s="25">
        <f t="shared" si="2"/>
        <v>569.9</v>
      </c>
      <c r="K1903" s="27">
        <f t="shared" si="3"/>
        <v>1</v>
      </c>
      <c r="L1903" s="25">
        <f t="shared" si="4"/>
        <v>1</v>
      </c>
    </row>
    <row r="1904">
      <c r="A1904" s="19">
        <v>156019.0</v>
      </c>
      <c r="B1904" s="20" t="str">
        <f t="array" ref="B1904">xlookup($A1904,product!$A:$A,product!B:B)</f>
        <v>Santé &amp; Bien-être</v>
      </c>
      <c r="C1904" s="20" t="str">
        <f t="array" ref="C1904">xlookup($A1904,product!$A:$A,product!C:C)</f>
        <v>Aromathérapie</v>
      </c>
      <c r="D1904" s="20" t="str">
        <f t="array" ref="D1904">xlookup($A1904,product!$A:$A,product!D:D)</f>
        <v>Huiles essentielles olfactives</v>
      </c>
      <c r="E1904" s="4" t="str">
        <f t="shared" si="1"/>
        <v>156019-Aromathérapie-Huiles essentielles olfactives</v>
      </c>
      <c r="F1904" s="4">
        <v>0.0</v>
      </c>
      <c r="G1904" s="4">
        <v>222.0</v>
      </c>
      <c r="H1904" s="4">
        <v>57.0</v>
      </c>
      <c r="I1904" s="21">
        <f t="array" ref="I1904">XLOOKUP($A1904,product!A:A,product!E:E)</f>
        <v>5.82</v>
      </c>
      <c r="J1904" s="4">
        <f t="shared" si="2"/>
        <v>331.74</v>
      </c>
      <c r="K1904" s="22">
        <f t="shared" si="3"/>
        <v>1</v>
      </c>
      <c r="L1904" s="4">
        <f t="shared" si="4"/>
        <v>1</v>
      </c>
    </row>
    <row r="1905">
      <c r="A1905" s="23">
        <v>117705.0</v>
      </c>
      <c r="B1905" s="24" t="str">
        <f t="array" ref="B1905">xlookup($A1905,product!$A:$A,product!B:B)</f>
        <v>Santé &amp; Bien-être</v>
      </c>
      <c r="C1905" s="24" t="str">
        <f t="array" ref="C1905">xlookup($A1905,product!$A:$A,product!C:C)</f>
        <v>Aromathérapie</v>
      </c>
      <c r="D1905" s="24" t="str">
        <f t="array" ref="D1905">xlookup($A1905,product!$A:$A,product!D:D)</f>
        <v>Huiles végétales cosmétique</v>
      </c>
      <c r="E1905" s="25" t="str">
        <f t="shared" si="1"/>
        <v>117705-Aromathérapie-Huiles végétales cosmétique</v>
      </c>
      <c r="F1905" s="25">
        <v>1.0</v>
      </c>
      <c r="G1905" s="25">
        <v>715.0</v>
      </c>
      <c r="H1905" s="25">
        <v>331.0</v>
      </c>
      <c r="I1905" s="26">
        <f t="array" ref="I1905">XLOOKUP($A1905,product!A:A,product!E:E)</f>
        <v>6.17</v>
      </c>
      <c r="J1905" s="25">
        <f t="shared" si="2"/>
        <v>2042.27</v>
      </c>
      <c r="K1905" s="27">
        <f t="shared" si="3"/>
        <v>1</v>
      </c>
      <c r="L1905" s="25">
        <f t="shared" si="4"/>
        <v>1</v>
      </c>
    </row>
    <row r="1906">
      <c r="A1906" s="19">
        <v>121184.0</v>
      </c>
      <c r="B1906" s="20" t="str">
        <f t="array" ref="B1906">xlookup($A1906,product!$A:$A,product!B:B)</f>
        <v>Santé &amp; Bien-être</v>
      </c>
      <c r="C1906" s="20" t="str">
        <f t="array" ref="C1906">xlookup($A1906,product!$A:$A,product!C:C)</f>
        <v>Aromathérapie</v>
      </c>
      <c r="D1906" s="20" t="str">
        <f t="array" ref="D1906">xlookup($A1906,product!$A:$A,product!D:D)</f>
        <v>Huiles végétales cosmétique</v>
      </c>
      <c r="E1906" s="4" t="str">
        <f t="shared" si="1"/>
        <v>121184-Aromathérapie-Huiles végétales cosmétique</v>
      </c>
      <c r="F1906" s="4">
        <v>1.0</v>
      </c>
      <c r="G1906" s="4">
        <v>27.0</v>
      </c>
      <c r="H1906" s="4">
        <v>27.0</v>
      </c>
      <c r="I1906" s="21">
        <f t="array" ref="I1906">XLOOKUP($A1906,product!A:A,product!E:E)</f>
        <v>6.49</v>
      </c>
      <c r="J1906" s="4">
        <f t="shared" si="2"/>
        <v>175.23</v>
      </c>
      <c r="K1906" s="22">
        <f t="shared" si="3"/>
        <v>1</v>
      </c>
      <c r="L1906" s="4">
        <f t="shared" si="4"/>
        <v>1</v>
      </c>
    </row>
    <row r="1907">
      <c r="A1907" s="23">
        <v>89446.0</v>
      </c>
      <c r="B1907" s="24" t="str">
        <f t="array" ref="B1907">xlookup($A1907,product!$A:$A,product!B:B)</f>
        <v>Santé &amp; Bien-être</v>
      </c>
      <c r="C1907" s="24" t="str">
        <f t="array" ref="C1907">xlookup($A1907,product!$A:$A,product!C:C)</f>
        <v>Aromathérapie</v>
      </c>
      <c r="D1907" s="24" t="str">
        <f t="array" ref="D1907">xlookup($A1907,product!$A:$A,product!D:D)</f>
        <v>Huiles végétales cosmétique</v>
      </c>
      <c r="E1907" s="25" t="str">
        <f t="shared" si="1"/>
        <v>89446-Aromathérapie-Huiles végétales cosmétique</v>
      </c>
      <c r="F1907" s="25">
        <v>1.0</v>
      </c>
      <c r="G1907" s="25">
        <v>206.0</v>
      </c>
      <c r="H1907" s="25">
        <v>97.0</v>
      </c>
      <c r="I1907" s="26">
        <f t="array" ref="I1907">XLOOKUP($A1907,product!A:A,product!E:E)</f>
        <v>6.74</v>
      </c>
      <c r="J1907" s="25">
        <f t="shared" si="2"/>
        <v>653.78</v>
      </c>
      <c r="K1907" s="27">
        <f t="shared" si="3"/>
        <v>1</v>
      </c>
      <c r="L1907" s="25">
        <f t="shared" si="4"/>
        <v>1</v>
      </c>
    </row>
    <row r="1908">
      <c r="A1908" s="19">
        <v>102339.0</v>
      </c>
      <c r="B1908" s="20" t="str">
        <f t="array" ref="B1908">xlookup($A1908,product!$A:$A,product!B:B)</f>
        <v>Santé &amp; Bien-être</v>
      </c>
      <c r="C1908" s="20" t="str">
        <f t="array" ref="C1908">xlookup($A1908,product!$A:$A,product!C:C)</f>
        <v>Aromathérapie</v>
      </c>
      <c r="D1908" s="20" t="str">
        <f t="array" ref="D1908">xlookup($A1908,product!$A:$A,product!D:D)</f>
        <v>Huiles végétales cosmétique</v>
      </c>
      <c r="E1908" s="4" t="str">
        <f t="shared" si="1"/>
        <v>102339-Aromathérapie-Huiles végétales cosmétique</v>
      </c>
      <c r="F1908" s="4">
        <v>0.0</v>
      </c>
      <c r="G1908" s="4">
        <v>586.0</v>
      </c>
      <c r="H1908" s="4">
        <v>229.0</v>
      </c>
      <c r="I1908" s="21">
        <f t="array" ref="I1908">XLOOKUP($A1908,product!A:A,product!E:E)</f>
        <v>3.39</v>
      </c>
      <c r="J1908" s="4">
        <f t="shared" si="2"/>
        <v>776.31</v>
      </c>
      <c r="K1908" s="22">
        <f t="shared" si="3"/>
        <v>1</v>
      </c>
      <c r="L1908" s="4">
        <f t="shared" si="4"/>
        <v>1</v>
      </c>
    </row>
    <row r="1909">
      <c r="A1909" s="23">
        <v>121193.0</v>
      </c>
      <c r="B1909" s="24" t="str">
        <f t="array" ref="B1909">xlookup($A1909,product!$A:$A,product!B:B)</f>
        <v>Santé &amp; Bien-être</v>
      </c>
      <c r="C1909" s="24" t="str">
        <f t="array" ref="C1909">xlookup($A1909,product!$A:$A,product!C:C)</f>
        <v>Aromathérapie</v>
      </c>
      <c r="D1909" s="24" t="str">
        <f t="array" ref="D1909">xlookup($A1909,product!$A:$A,product!D:D)</f>
        <v>Huiles végétales cosmétique</v>
      </c>
      <c r="E1909" s="25" t="str">
        <f t="shared" si="1"/>
        <v>121193-Aromathérapie-Huiles végétales cosmétique</v>
      </c>
      <c r="F1909" s="25">
        <v>1.0</v>
      </c>
      <c r="G1909" s="25">
        <v>183.0</v>
      </c>
      <c r="H1909" s="25">
        <v>10.0</v>
      </c>
      <c r="I1909" s="26">
        <f t="array" ref="I1909">XLOOKUP($A1909,product!A:A,product!E:E)</f>
        <v>3.13</v>
      </c>
      <c r="J1909" s="25">
        <f t="shared" si="2"/>
        <v>31.3</v>
      </c>
      <c r="K1909" s="27">
        <f t="shared" si="3"/>
        <v>1</v>
      </c>
      <c r="L1909" s="25">
        <f t="shared" si="4"/>
        <v>1</v>
      </c>
    </row>
    <row r="1910">
      <c r="A1910" s="19">
        <v>102332.0</v>
      </c>
      <c r="B1910" s="20" t="str">
        <f t="array" ref="B1910">xlookup($A1910,product!$A:$A,product!B:B)</f>
        <v>Santé &amp; Bien-être</v>
      </c>
      <c r="C1910" s="20" t="str">
        <f t="array" ref="C1910">xlookup($A1910,product!$A:$A,product!C:C)</f>
        <v>Aromathérapie</v>
      </c>
      <c r="D1910" s="20" t="str">
        <f t="array" ref="D1910">xlookup($A1910,product!$A:$A,product!D:D)</f>
        <v>Huiles végétales cosmétique</v>
      </c>
      <c r="E1910" s="4" t="str">
        <f t="shared" si="1"/>
        <v>102332-Aromathérapie-Huiles végétales cosmétique</v>
      </c>
      <c r="F1910" s="4">
        <v>1.0</v>
      </c>
      <c r="G1910" s="4">
        <v>420.0</v>
      </c>
      <c r="H1910" s="4">
        <v>345.0</v>
      </c>
      <c r="I1910" s="21">
        <f t="array" ref="I1910">XLOOKUP($A1910,product!A:A,product!E:E)</f>
        <v>5.19</v>
      </c>
      <c r="J1910" s="4">
        <f t="shared" si="2"/>
        <v>1790.55</v>
      </c>
      <c r="K1910" s="22">
        <f t="shared" si="3"/>
        <v>1</v>
      </c>
      <c r="L1910" s="4">
        <f t="shared" si="4"/>
        <v>1</v>
      </c>
    </row>
    <row r="1911">
      <c r="A1911" s="23">
        <v>121775.0</v>
      </c>
      <c r="B1911" s="24" t="str">
        <f t="array" ref="B1911">xlookup($A1911,product!$A:$A,product!B:B)</f>
        <v>Santé &amp; Bien-être</v>
      </c>
      <c r="C1911" s="24" t="str">
        <f t="array" ref="C1911">xlookup($A1911,product!$A:$A,product!C:C)</f>
        <v>Aromathérapie</v>
      </c>
      <c r="D1911" s="24" t="str">
        <f t="array" ref="D1911">xlookup($A1911,product!$A:$A,product!D:D)</f>
        <v>Huiles végétales cosmétique</v>
      </c>
      <c r="E1911" s="25" t="str">
        <f t="shared" si="1"/>
        <v>121775-Aromathérapie-Huiles végétales cosmétique</v>
      </c>
      <c r="F1911" s="25">
        <v>1.0</v>
      </c>
      <c r="G1911" s="25">
        <v>205.0</v>
      </c>
      <c r="H1911" s="25">
        <v>188.0</v>
      </c>
      <c r="I1911" s="26">
        <f t="array" ref="I1911">XLOOKUP($A1911,product!A:A,product!E:E)</f>
        <v>4.63</v>
      </c>
      <c r="J1911" s="25">
        <f t="shared" si="2"/>
        <v>870.44</v>
      </c>
      <c r="K1911" s="27">
        <f t="shared" si="3"/>
        <v>1</v>
      </c>
      <c r="L1911" s="25">
        <f t="shared" si="4"/>
        <v>1</v>
      </c>
    </row>
    <row r="1912">
      <c r="A1912" s="19">
        <v>100903.0</v>
      </c>
      <c r="B1912" s="20" t="str">
        <f t="array" ref="B1912">xlookup($A1912,product!$A:$A,product!B:B)</f>
        <v>Santé &amp; Bien-être</v>
      </c>
      <c r="C1912" s="20" t="str">
        <f t="array" ref="C1912">xlookup($A1912,product!$A:$A,product!C:C)</f>
        <v>Aromathérapie</v>
      </c>
      <c r="D1912" s="20" t="str">
        <f t="array" ref="D1912">xlookup($A1912,product!$A:$A,product!D:D)</f>
        <v>Huiles végétales cosmétique</v>
      </c>
      <c r="E1912" s="4" t="str">
        <f t="shared" si="1"/>
        <v>100903-Aromathérapie-Huiles végétales cosmétique</v>
      </c>
      <c r="F1912" s="4">
        <v>0.0</v>
      </c>
      <c r="G1912" s="4">
        <v>496.0</v>
      </c>
      <c r="H1912" s="4">
        <v>9.0</v>
      </c>
      <c r="I1912" s="21">
        <f t="array" ref="I1912">XLOOKUP($A1912,product!A:A,product!E:E)</f>
        <v>11.77</v>
      </c>
      <c r="J1912" s="4">
        <f t="shared" si="2"/>
        <v>105.93</v>
      </c>
      <c r="K1912" s="22">
        <f t="shared" si="3"/>
        <v>1</v>
      </c>
      <c r="L1912" s="4">
        <f t="shared" si="4"/>
        <v>1</v>
      </c>
    </row>
    <row r="1913">
      <c r="A1913" s="23">
        <v>81463.0</v>
      </c>
      <c r="B1913" s="24" t="str">
        <f t="array" ref="B1913">xlookup($A1913,product!$A:$A,product!B:B)</f>
        <v>Santé &amp; Bien-être</v>
      </c>
      <c r="C1913" s="24" t="str">
        <f t="array" ref="C1913">xlookup($A1913,product!$A:$A,product!C:C)</f>
        <v>Aromathérapie</v>
      </c>
      <c r="D1913" s="24" t="str">
        <f t="array" ref="D1913">xlookup($A1913,product!$A:$A,product!D:D)</f>
        <v>Huiles végétales cosmétique</v>
      </c>
      <c r="E1913" s="25" t="str">
        <f t="shared" si="1"/>
        <v>81463-Aromathérapie-Huiles végétales cosmétique</v>
      </c>
      <c r="F1913" s="25">
        <v>1.0</v>
      </c>
      <c r="G1913" s="25">
        <v>941.0</v>
      </c>
      <c r="H1913" s="25">
        <v>871.0</v>
      </c>
      <c r="I1913" s="26">
        <f t="array" ref="I1913">XLOOKUP($A1913,product!A:A,product!E:E)</f>
        <v>6.19</v>
      </c>
      <c r="J1913" s="25">
        <f t="shared" si="2"/>
        <v>5391.49</v>
      </c>
      <c r="K1913" s="27">
        <f t="shared" si="3"/>
        <v>1</v>
      </c>
      <c r="L1913" s="25">
        <f t="shared" si="4"/>
        <v>1</v>
      </c>
    </row>
    <row r="1914">
      <c r="A1914" s="19">
        <v>75788.0</v>
      </c>
      <c r="B1914" s="20" t="str">
        <f t="array" ref="B1914">xlookup($A1914,product!$A:$A,product!B:B)</f>
        <v>Santé &amp; Bien-être</v>
      </c>
      <c r="C1914" s="20" t="str">
        <f t="array" ref="C1914">xlookup($A1914,product!$A:$A,product!C:C)</f>
        <v>Aromathérapie</v>
      </c>
      <c r="D1914" s="20" t="str">
        <f t="array" ref="D1914">xlookup($A1914,product!$A:$A,product!D:D)</f>
        <v>Huiles végétales cosmétique</v>
      </c>
      <c r="E1914" s="4" t="str">
        <f t="shared" si="1"/>
        <v>75788-Aromathérapie-Huiles végétales cosmétique</v>
      </c>
      <c r="F1914" s="4">
        <v>0.0</v>
      </c>
      <c r="G1914" s="4">
        <v>505.0</v>
      </c>
      <c r="H1914" s="4">
        <v>268.0</v>
      </c>
      <c r="I1914" s="21">
        <f t="array" ref="I1914">XLOOKUP($A1914,product!A:A,product!E:E)</f>
        <v>4.22</v>
      </c>
      <c r="J1914" s="4">
        <f t="shared" si="2"/>
        <v>1130.96</v>
      </c>
      <c r="K1914" s="22">
        <f t="shared" si="3"/>
        <v>1</v>
      </c>
      <c r="L1914" s="4">
        <f t="shared" si="4"/>
        <v>1</v>
      </c>
    </row>
    <row r="1915">
      <c r="A1915" s="23">
        <v>121185.0</v>
      </c>
      <c r="B1915" s="24" t="str">
        <f t="array" ref="B1915">xlookup($A1915,product!$A:$A,product!B:B)</f>
        <v>Santé &amp; Bien-être</v>
      </c>
      <c r="C1915" s="24" t="str">
        <f t="array" ref="C1915">xlookup($A1915,product!$A:$A,product!C:C)</f>
        <v>Aromathérapie</v>
      </c>
      <c r="D1915" s="24" t="str">
        <f t="array" ref="D1915">xlookup($A1915,product!$A:$A,product!D:D)</f>
        <v>Huiles végétales cosmétique</v>
      </c>
      <c r="E1915" s="25" t="str">
        <f t="shared" si="1"/>
        <v>121185-Aromathérapie-Huiles végétales cosmétique</v>
      </c>
      <c r="F1915" s="25">
        <v>0.0</v>
      </c>
      <c r="G1915" s="25">
        <v>472.0</v>
      </c>
      <c r="H1915" s="25">
        <v>337.0</v>
      </c>
      <c r="I1915" s="26">
        <f t="array" ref="I1915">XLOOKUP($A1915,product!A:A,product!E:E)</f>
        <v>6.05</v>
      </c>
      <c r="J1915" s="25">
        <f t="shared" si="2"/>
        <v>2038.85</v>
      </c>
      <c r="K1915" s="27">
        <f t="shared" si="3"/>
        <v>1</v>
      </c>
      <c r="L1915" s="25">
        <f t="shared" si="4"/>
        <v>1</v>
      </c>
    </row>
    <row r="1916">
      <c r="A1916" s="19">
        <v>89440.0</v>
      </c>
      <c r="B1916" s="20" t="str">
        <f t="array" ref="B1916">xlookup($A1916,product!$A:$A,product!B:B)</f>
        <v>Santé &amp; Bien-être</v>
      </c>
      <c r="C1916" s="20" t="str">
        <f t="array" ref="C1916">xlookup($A1916,product!$A:$A,product!C:C)</f>
        <v>Aromathérapie</v>
      </c>
      <c r="D1916" s="20" t="str">
        <f t="array" ref="D1916">xlookup($A1916,product!$A:$A,product!D:D)</f>
        <v>Huiles végétales cosmétique</v>
      </c>
      <c r="E1916" s="4" t="str">
        <f t="shared" si="1"/>
        <v>89440-Aromathérapie-Huiles végétales cosmétique</v>
      </c>
      <c r="F1916" s="4">
        <v>0.0</v>
      </c>
      <c r="G1916" s="4">
        <v>549.0</v>
      </c>
      <c r="H1916" s="4">
        <v>131.0</v>
      </c>
      <c r="I1916" s="21">
        <f t="array" ref="I1916">XLOOKUP($A1916,product!A:A,product!E:E)</f>
        <v>3.95</v>
      </c>
      <c r="J1916" s="4">
        <f t="shared" si="2"/>
        <v>517.45</v>
      </c>
      <c r="K1916" s="22">
        <f t="shared" si="3"/>
        <v>1</v>
      </c>
      <c r="L1916" s="4">
        <f t="shared" si="4"/>
        <v>1</v>
      </c>
    </row>
    <row r="1917">
      <c r="A1917" s="23">
        <v>103058.0</v>
      </c>
      <c r="B1917" s="24" t="str">
        <f t="array" ref="B1917">xlookup($A1917,product!$A:$A,product!B:B)</f>
        <v>Santé &amp; Bien-être</v>
      </c>
      <c r="C1917" s="24" t="str">
        <f t="array" ref="C1917">xlookup($A1917,product!$A:$A,product!C:C)</f>
        <v>Aromathérapie</v>
      </c>
      <c r="D1917" s="24" t="str">
        <f t="array" ref="D1917">xlookup($A1917,product!$A:$A,product!D:D)</f>
        <v>Huiles végétales cosmétique</v>
      </c>
      <c r="E1917" s="25" t="str">
        <f t="shared" si="1"/>
        <v>103058-Aromathérapie-Huiles végétales cosmétique</v>
      </c>
      <c r="F1917" s="25">
        <v>0.0</v>
      </c>
      <c r="G1917" s="25">
        <v>764.0</v>
      </c>
      <c r="H1917" s="25">
        <v>149.0</v>
      </c>
      <c r="I1917" s="26">
        <f t="array" ref="I1917">XLOOKUP($A1917,product!A:A,product!E:E)</f>
        <v>3.87</v>
      </c>
      <c r="J1917" s="25">
        <f t="shared" si="2"/>
        <v>576.63</v>
      </c>
      <c r="K1917" s="27">
        <f t="shared" si="3"/>
        <v>1</v>
      </c>
      <c r="L1917" s="25">
        <f t="shared" si="4"/>
        <v>1</v>
      </c>
    </row>
    <row r="1918">
      <c r="A1918" s="19">
        <v>117716.0</v>
      </c>
      <c r="B1918" s="20" t="str">
        <f t="array" ref="B1918">xlookup($A1918,product!$A:$A,product!B:B)</f>
        <v>Santé &amp; Bien-être</v>
      </c>
      <c r="C1918" s="20" t="str">
        <f t="array" ref="C1918">xlookup($A1918,product!$A:$A,product!C:C)</f>
        <v>Aromathérapie</v>
      </c>
      <c r="D1918" s="20" t="str">
        <f t="array" ref="D1918">xlookup($A1918,product!$A:$A,product!D:D)</f>
        <v>Huiles végétales cosmétique</v>
      </c>
      <c r="E1918" s="4" t="str">
        <f t="shared" si="1"/>
        <v>117716-Aromathérapie-Huiles végétales cosmétique</v>
      </c>
      <c r="F1918" s="4">
        <v>0.0</v>
      </c>
      <c r="G1918" s="4">
        <v>165.0</v>
      </c>
      <c r="H1918" s="4">
        <v>111.0</v>
      </c>
      <c r="I1918" s="21">
        <f t="array" ref="I1918">XLOOKUP($A1918,product!A:A,product!E:E)</f>
        <v>6.24</v>
      </c>
      <c r="J1918" s="4">
        <f t="shared" si="2"/>
        <v>692.64</v>
      </c>
      <c r="K1918" s="22">
        <f t="shared" si="3"/>
        <v>1</v>
      </c>
      <c r="L1918" s="4">
        <f t="shared" si="4"/>
        <v>1</v>
      </c>
    </row>
    <row r="1919">
      <c r="A1919" s="23">
        <v>71287.0</v>
      </c>
      <c r="B1919" s="24" t="str">
        <f t="array" ref="B1919">xlookup($A1919,product!$A:$A,product!B:B)</f>
        <v>Santé &amp; Bien-être</v>
      </c>
      <c r="C1919" s="24" t="str">
        <f t="array" ref="C1919">xlookup($A1919,product!$A:$A,product!C:C)</f>
        <v>Aromathérapie</v>
      </c>
      <c r="D1919" s="24" t="str">
        <f t="array" ref="D1919">xlookup($A1919,product!$A:$A,product!D:D)</f>
        <v>Huiles végétales cosmétique</v>
      </c>
      <c r="E1919" s="25" t="str">
        <f t="shared" si="1"/>
        <v>71287-Aromathérapie-Huiles végétales cosmétique</v>
      </c>
      <c r="F1919" s="25">
        <v>0.0</v>
      </c>
      <c r="G1919" s="25">
        <v>429.0</v>
      </c>
      <c r="H1919" s="25">
        <v>195.0</v>
      </c>
      <c r="I1919" s="26">
        <f t="array" ref="I1919">XLOOKUP($A1919,product!A:A,product!E:E)</f>
        <v>5.45</v>
      </c>
      <c r="J1919" s="25">
        <f t="shared" si="2"/>
        <v>1062.75</v>
      </c>
      <c r="K1919" s="27">
        <f t="shared" si="3"/>
        <v>1</v>
      </c>
      <c r="L1919" s="25">
        <f t="shared" si="4"/>
        <v>1</v>
      </c>
    </row>
    <row r="1920">
      <c r="A1920" s="19">
        <v>110685.0</v>
      </c>
      <c r="B1920" s="20" t="str">
        <f t="array" ref="B1920">xlookup($A1920,product!$A:$A,product!B:B)</f>
        <v>Santé &amp; Bien-être</v>
      </c>
      <c r="C1920" s="20" t="str">
        <f t="array" ref="C1920">xlookup($A1920,product!$A:$A,product!C:C)</f>
        <v>Aromathérapie</v>
      </c>
      <c r="D1920" s="20" t="str">
        <f t="array" ref="D1920">xlookup($A1920,product!$A:$A,product!D:D)</f>
        <v>Huiles végétales cosmétique</v>
      </c>
      <c r="E1920" s="4" t="str">
        <f t="shared" si="1"/>
        <v>110685-Aromathérapie-Huiles végétales cosmétique</v>
      </c>
      <c r="F1920" s="4">
        <v>1.0</v>
      </c>
      <c r="G1920" s="4">
        <v>497.0</v>
      </c>
      <c r="H1920" s="4">
        <v>284.0</v>
      </c>
      <c r="I1920" s="21">
        <f t="array" ref="I1920">XLOOKUP($A1920,product!A:A,product!E:E)</f>
        <v>11.87</v>
      </c>
      <c r="J1920" s="4">
        <f t="shared" si="2"/>
        <v>3371.08</v>
      </c>
      <c r="K1920" s="22">
        <f t="shared" si="3"/>
        <v>1</v>
      </c>
      <c r="L1920" s="4">
        <f t="shared" si="4"/>
        <v>1</v>
      </c>
    </row>
    <row r="1921">
      <c r="A1921" s="23">
        <v>79335.0</v>
      </c>
      <c r="B1921" s="24" t="str">
        <f t="array" ref="B1921">xlookup($A1921,product!$A:$A,product!B:B)</f>
        <v>Santé &amp; Bien-être</v>
      </c>
      <c r="C1921" s="24" t="str">
        <f t="array" ref="C1921">xlookup($A1921,product!$A:$A,product!C:C)</f>
        <v>Aromathérapie</v>
      </c>
      <c r="D1921" s="24" t="str">
        <f t="array" ref="D1921">xlookup($A1921,product!$A:$A,product!D:D)</f>
        <v>Huiles végétales cosmétique</v>
      </c>
      <c r="E1921" s="25" t="str">
        <f t="shared" si="1"/>
        <v>79335-Aromathérapie-Huiles végétales cosmétique</v>
      </c>
      <c r="F1921" s="25">
        <v>0.0</v>
      </c>
      <c r="G1921" s="25">
        <v>84.0</v>
      </c>
      <c r="H1921" s="25">
        <v>59.0</v>
      </c>
      <c r="I1921" s="26">
        <f t="array" ref="I1921">XLOOKUP($A1921,product!A:A,product!E:E)</f>
        <v>7.63</v>
      </c>
      <c r="J1921" s="25">
        <f t="shared" si="2"/>
        <v>450.17</v>
      </c>
      <c r="K1921" s="27">
        <f t="shared" si="3"/>
        <v>1</v>
      </c>
      <c r="L1921" s="25">
        <f t="shared" si="4"/>
        <v>1</v>
      </c>
    </row>
    <row r="1922">
      <c r="A1922" s="19">
        <v>45538.0</v>
      </c>
      <c r="B1922" s="20" t="str">
        <f t="array" ref="B1922">xlookup($A1922,product!$A:$A,product!B:B)</f>
        <v>Santé &amp; Bien-être</v>
      </c>
      <c r="C1922" s="20" t="str">
        <f t="array" ref="C1922">xlookup($A1922,product!$A:$A,product!C:C)</f>
        <v>Aromathérapie</v>
      </c>
      <c r="D1922" s="20" t="str">
        <f t="array" ref="D1922">xlookup($A1922,product!$A:$A,product!D:D)</f>
        <v>Huiles végétales cosmétique</v>
      </c>
      <c r="E1922" s="4" t="str">
        <f t="shared" si="1"/>
        <v>45538-Aromathérapie-Huiles végétales cosmétique</v>
      </c>
      <c r="F1922" s="4">
        <v>0.0</v>
      </c>
      <c r="G1922" s="4">
        <v>422.0</v>
      </c>
      <c r="H1922" s="4">
        <v>222.0</v>
      </c>
      <c r="I1922" s="21">
        <f t="array" ref="I1922">XLOOKUP($A1922,product!A:A,product!E:E)</f>
        <v>4.96</v>
      </c>
      <c r="J1922" s="4">
        <f t="shared" si="2"/>
        <v>1101.12</v>
      </c>
      <c r="K1922" s="22">
        <f t="shared" si="3"/>
        <v>1</v>
      </c>
      <c r="L1922" s="4">
        <f t="shared" si="4"/>
        <v>1</v>
      </c>
    </row>
    <row r="1923">
      <c r="A1923" s="23">
        <v>76691.0</v>
      </c>
      <c r="B1923" s="24" t="str">
        <f t="array" ref="B1923">xlookup($A1923,product!$A:$A,product!B:B)</f>
        <v>Santé &amp; Bien-être</v>
      </c>
      <c r="C1923" s="24" t="str">
        <f t="array" ref="C1923">xlookup($A1923,product!$A:$A,product!C:C)</f>
        <v>Aromathérapie</v>
      </c>
      <c r="D1923" s="24" t="str">
        <f t="array" ref="D1923">xlookup($A1923,product!$A:$A,product!D:D)</f>
        <v>Huiles végétales cosmétique</v>
      </c>
      <c r="E1923" s="25" t="str">
        <f t="shared" si="1"/>
        <v>76691-Aromathérapie-Huiles végétales cosmétique</v>
      </c>
      <c r="F1923" s="25">
        <v>1.0</v>
      </c>
      <c r="G1923" s="25">
        <v>553.0</v>
      </c>
      <c r="H1923" s="25">
        <v>327.0</v>
      </c>
      <c r="I1923" s="26">
        <f t="array" ref="I1923">XLOOKUP($A1923,product!A:A,product!E:E)</f>
        <v>6.73</v>
      </c>
      <c r="J1923" s="25">
        <f t="shared" si="2"/>
        <v>2200.71</v>
      </c>
      <c r="K1923" s="27">
        <f t="shared" si="3"/>
        <v>1</v>
      </c>
      <c r="L1923" s="25">
        <f t="shared" si="4"/>
        <v>1</v>
      </c>
    </row>
    <row r="1924">
      <c r="A1924" s="19">
        <v>2336.0</v>
      </c>
      <c r="B1924" s="20" t="str">
        <f t="array" ref="B1924">xlookup($A1924,product!$A:$A,product!B:B)</f>
        <v>Santé &amp; Bien-être</v>
      </c>
      <c r="C1924" s="20" t="str">
        <f t="array" ref="C1924">xlookup($A1924,product!$A:$A,product!C:C)</f>
        <v>Aromathérapie</v>
      </c>
      <c r="D1924" s="20" t="str">
        <f t="array" ref="D1924">xlookup($A1924,product!$A:$A,product!D:D)</f>
        <v>Huiles végétales cosmétique</v>
      </c>
      <c r="E1924" s="4" t="str">
        <f t="shared" si="1"/>
        <v>2336-Aromathérapie-Huiles végétales cosmétique</v>
      </c>
      <c r="F1924" s="4">
        <v>0.0</v>
      </c>
      <c r="G1924" s="4">
        <v>223.0</v>
      </c>
      <c r="H1924" s="4">
        <v>58.0</v>
      </c>
      <c r="I1924" s="21">
        <f t="array" ref="I1924">XLOOKUP($A1924,product!A:A,product!E:E)</f>
        <v>5.06</v>
      </c>
      <c r="J1924" s="4">
        <f t="shared" si="2"/>
        <v>293.48</v>
      </c>
      <c r="K1924" s="22">
        <f t="shared" si="3"/>
        <v>1</v>
      </c>
      <c r="L1924" s="4">
        <f t="shared" si="4"/>
        <v>1</v>
      </c>
    </row>
    <row r="1925">
      <c r="A1925" s="23">
        <v>91912.0</v>
      </c>
      <c r="B1925" s="24" t="str">
        <f t="array" ref="B1925">xlookup($A1925,product!$A:$A,product!B:B)</f>
        <v>Santé &amp; Bien-être</v>
      </c>
      <c r="C1925" s="24" t="str">
        <f t="array" ref="C1925">xlookup($A1925,product!$A:$A,product!C:C)</f>
        <v>Aromathérapie</v>
      </c>
      <c r="D1925" s="24" t="str">
        <f t="array" ref="D1925">xlookup($A1925,product!$A:$A,product!D:D)</f>
        <v>Huiles végétales cosmétique</v>
      </c>
      <c r="E1925" s="25" t="str">
        <f t="shared" si="1"/>
        <v>91912-Aromathérapie-Huiles végétales cosmétique</v>
      </c>
      <c r="F1925" s="25">
        <v>0.0</v>
      </c>
      <c r="G1925" s="25">
        <v>106.0</v>
      </c>
      <c r="H1925" s="25">
        <v>31.0</v>
      </c>
      <c r="I1925" s="26">
        <f t="array" ref="I1925">XLOOKUP($A1925,product!A:A,product!E:E)</f>
        <v>4.54</v>
      </c>
      <c r="J1925" s="25">
        <f t="shared" si="2"/>
        <v>140.74</v>
      </c>
      <c r="K1925" s="27">
        <f t="shared" si="3"/>
        <v>1</v>
      </c>
      <c r="L1925" s="25">
        <f t="shared" si="4"/>
        <v>1</v>
      </c>
    </row>
    <row r="1926">
      <c r="A1926" s="19">
        <v>110826.0</v>
      </c>
      <c r="B1926" s="20" t="str">
        <f t="array" ref="B1926">xlookup($A1926,product!$A:$A,product!B:B)</f>
        <v>Santé &amp; Bien-être</v>
      </c>
      <c r="C1926" s="20" t="str">
        <f t="array" ref="C1926">xlookup($A1926,product!$A:$A,product!C:C)</f>
        <v>Aromathérapie</v>
      </c>
      <c r="D1926" s="20" t="str">
        <f t="array" ref="D1926">xlookup($A1926,product!$A:$A,product!D:D)</f>
        <v>Huiles végétales cosmétique</v>
      </c>
      <c r="E1926" s="4" t="str">
        <f t="shared" si="1"/>
        <v>110826-Aromathérapie-Huiles végétales cosmétique</v>
      </c>
      <c r="F1926" s="4">
        <v>0.0</v>
      </c>
      <c r="G1926" s="4">
        <v>211.0</v>
      </c>
      <c r="H1926" s="4">
        <v>28.0</v>
      </c>
      <c r="I1926" s="21">
        <f t="array" ref="I1926">XLOOKUP($A1926,product!A:A,product!E:E)</f>
        <v>7.36</v>
      </c>
      <c r="J1926" s="4">
        <f t="shared" si="2"/>
        <v>206.08</v>
      </c>
      <c r="K1926" s="22">
        <f t="shared" si="3"/>
        <v>1</v>
      </c>
      <c r="L1926" s="4">
        <f t="shared" si="4"/>
        <v>1</v>
      </c>
    </row>
    <row r="1927">
      <c r="A1927" s="23">
        <v>117710.0</v>
      </c>
      <c r="B1927" s="24" t="str">
        <f t="array" ref="B1927">xlookup($A1927,product!$A:$A,product!B:B)</f>
        <v>Santé &amp; Bien-être</v>
      </c>
      <c r="C1927" s="24" t="str">
        <f t="array" ref="C1927">xlookup($A1927,product!$A:$A,product!C:C)</f>
        <v>Aromathérapie</v>
      </c>
      <c r="D1927" s="24" t="str">
        <f t="array" ref="D1927">xlookup($A1927,product!$A:$A,product!D:D)</f>
        <v>Huiles végétales cosmétique</v>
      </c>
      <c r="E1927" s="25" t="str">
        <f t="shared" si="1"/>
        <v>117710-Aromathérapie-Huiles végétales cosmétique</v>
      </c>
      <c r="F1927" s="25">
        <v>1.0</v>
      </c>
      <c r="G1927" s="25">
        <v>468.0</v>
      </c>
      <c r="H1927" s="25">
        <v>207.0</v>
      </c>
      <c r="I1927" s="26">
        <f t="array" ref="I1927">XLOOKUP($A1927,product!A:A,product!E:E)</f>
        <v>4.14</v>
      </c>
      <c r="J1927" s="25">
        <f t="shared" si="2"/>
        <v>856.98</v>
      </c>
      <c r="K1927" s="27">
        <f t="shared" si="3"/>
        <v>1</v>
      </c>
      <c r="L1927" s="25">
        <f t="shared" si="4"/>
        <v>1</v>
      </c>
    </row>
    <row r="1928">
      <c r="A1928" s="19">
        <v>3621.0</v>
      </c>
      <c r="B1928" s="20" t="str">
        <f t="array" ref="B1928">xlookup($A1928,product!$A:$A,product!B:B)</f>
        <v>Santé &amp; Bien-être</v>
      </c>
      <c r="C1928" s="20" t="str">
        <f t="array" ref="C1928">xlookup($A1928,product!$A:$A,product!C:C)</f>
        <v>Aromathérapie</v>
      </c>
      <c r="D1928" s="20" t="str">
        <f t="array" ref="D1928">xlookup($A1928,product!$A:$A,product!D:D)</f>
        <v>Huiles végétales cosmétique</v>
      </c>
      <c r="E1928" s="4" t="str">
        <f t="shared" si="1"/>
        <v>3621-Aromathérapie-Huiles végétales cosmétique</v>
      </c>
      <c r="F1928" s="4">
        <v>0.0</v>
      </c>
      <c r="G1928" s="4">
        <v>755.0</v>
      </c>
      <c r="H1928" s="4">
        <v>358.0</v>
      </c>
      <c r="I1928" s="21">
        <f t="array" ref="I1928">XLOOKUP($A1928,product!A:A,product!E:E)</f>
        <v>3.95</v>
      </c>
      <c r="J1928" s="4">
        <f t="shared" si="2"/>
        <v>1414.1</v>
      </c>
      <c r="K1928" s="22">
        <f t="shared" si="3"/>
        <v>1</v>
      </c>
      <c r="L1928" s="4">
        <f t="shared" si="4"/>
        <v>1</v>
      </c>
    </row>
    <row r="1929">
      <c r="A1929" s="23">
        <v>4179.0</v>
      </c>
      <c r="B1929" s="24" t="str">
        <f t="array" ref="B1929">xlookup($A1929,product!$A:$A,product!B:B)</f>
        <v>Santé &amp; Bien-être</v>
      </c>
      <c r="C1929" s="24" t="str">
        <f t="array" ref="C1929">xlookup($A1929,product!$A:$A,product!C:C)</f>
        <v>Aromathérapie</v>
      </c>
      <c r="D1929" s="24" t="str">
        <f t="array" ref="D1929">xlookup($A1929,product!$A:$A,product!D:D)</f>
        <v>Huiles végétales cosmétique</v>
      </c>
      <c r="E1929" s="25" t="str">
        <f t="shared" si="1"/>
        <v>4179-Aromathérapie-Huiles végétales cosmétique</v>
      </c>
      <c r="F1929" s="25">
        <v>1.0</v>
      </c>
      <c r="G1929" s="25">
        <v>528.0</v>
      </c>
      <c r="H1929" s="25">
        <v>243.0</v>
      </c>
      <c r="I1929" s="26">
        <f t="array" ref="I1929">XLOOKUP($A1929,product!A:A,product!E:E)</f>
        <v>6.85</v>
      </c>
      <c r="J1929" s="25">
        <f t="shared" si="2"/>
        <v>1664.55</v>
      </c>
      <c r="K1929" s="27">
        <f t="shared" si="3"/>
        <v>1</v>
      </c>
      <c r="L1929" s="25">
        <f t="shared" si="4"/>
        <v>1</v>
      </c>
    </row>
    <row r="1930">
      <c r="A1930" s="19">
        <v>89407.0</v>
      </c>
      <c r="B1930" s="20" t="str">
        <f t="array" ref="B1930">xlookup($A1930,product!$A:$A,product!B:B)</f>
        <v>Santé &amp; Bien-être</v>
      </c>
      <c r="C1930" s="20" t="str">
        <f t="array" ref="C1930">xlookup($A1930,product!$A:$A,product!C:C)</f>
        <v>Aromathérapie</v>
      </c>
      <c r="D1930" s="20" t="str">
        <f t="array" ref="D1930">xlookup($A1930,product!$A:$A,product!D:D)</f>
        <v>Huiles végétales cosmétique</v>
      </c>
      <c r="E1930" s="4" t="str">
        <f t="shared" si="1"/>
        <v>89407-Aromathérapie-Huiles végétales cosmétique</v>
      </c>
      <c r="F1930" s="4">
        <v>1.0</v>
      </c>
      <c r="G1930" s="4">
        <v>211.0</v>
      </c>
      <c r="H1930" s="4">
        <v>194.0</v>
      </c>
      <c r="I1930" s="21">
        <f t="array" ref="I1930">XLOOKUP($A1930,product!A:A,product!E:E)</f>
        <v>3.7</v>
      </c>
      <c r="J1930" s="4">
        <f t="shared" si="2"/>
        <v>717.8</v>
      </c>
      <c r="K1930" s="22">
        <f t="shared" si="3"/>
        <v>1</v>
      </c>
      <c r="L1930" s="4">
        <f t="shared" si="4"/>
        <v>1</v>
      </c>
    </row>
    <row r="1931">
      <c r="A1931" s="23">
        <v>121190.0</v>
      </c>
      <c r="B1931" s="24" t="str">
        <f t="array" ref="B1931">xlookup($A1931,product!$A:$A,product!B:B)</f>
        <v>Santé &amp; Bien-être</v>
      </c>
      <c r="C1931" s="24" t="str">
        <f t="array" ref="C1931">xlookup($A1931,product!$A:$A,product!C:C)</f>
        <v>Aromathérapie</v>
      </c>
      <c r="D1931" s="24" t="str">
        <f t="array" ref="D1931">xlookup($A1931,product!$A:$A,product!D:D)</f>
        <v>Huiles végétales cosmétique</v>
      </c>
      <c r="E1931" s="25" t="str">
        <f t="shared" si="1"/>
        <v>121190-Aromathérapie-Huiles végétales cosmétique</v>
      </c>
      <c r="F1931" s="25">
        <v>1.0</v>
      </c>
      <c r="G1931" s="25">
        <v>197.0</v>
      </c>
      <c r="H1931" s="25">
        <v>166.0</v>
      </c>
      <c r="I1931" s="26">
        <f t="array" ref="I1931">XLOOKUP($A1931,product!A:A,product!E:E)</f>
        <v>6.53</v>
      </c>
      <c r="J1931" s="25">
        <f t="shared" si="2"/>
        <v>1083.98</v>
      </c>
      <c r="K1931" s="27">
        <f t="shared" si="3"/>
        <v>1</v>
      </c>
      <c r="L1931" s="25">
        <f t="shared" si="4"/>
        <v>1</v>
      </c>
    </row>
    <row r="1932">
      <c r="A1932" s="19">
        <v>45524.0</v>
      </c>
      <c r="B1932" s="20" t="str">
        <f t="array" ref="B1932">xlookup($A1932,product!$A:$A,product!B:B)</f>
        <v>Santé &amp; Bien-être</v>
      </c>
      <c r="C1932" s="20" t="str">
        <f t="array" ref="C1932">xlookup($A1932,product!$A:$A,product!C:C)</f>
        <v>Aromathérapie</v>
      </c>
      <c r="D1932" s="20" t="str">
        <f t="array" ref="D1932">xlookup($A1932,product!$A:$A,product!D:D)</f>
        <v>Huiles végétales cosmétique</v>
      </c>
      <c r="E1932" s="4" t="str">
        <f t="shared" si="1"/>
        <v>45524-Aromathérapie-Huiles végétales cosmétique</v>
      </c>
      <c r="F1932" s="4">
        <v>1.0</v>
      </c>
      <c r="G1932" s="4">
        <v>325.0</v>
      </c>
      <c r="H1932" s="4">
        <v>133.0</v>
      </c>
      <c r="I1932" s="21">
        <f t="array" ref="I1932">XLOOKUP($A1932,product!A:A,product!E:E)</f>
        <v>5.53</v>
      </c>
      <c r="J1932" s="4">
        <f t="shared" si="2"/>
        <v>735.49</v>
      </c>
      <c r="K1932" s="22">
        <f t="shared" si="3"/>
        <v>1</v>
      </c>
      <c r="L1932" s="4">
        <f t="shared" si="4"/>
        <v>1</v>
      </c>
    </row>
    <row r="1933">
      <c r="A1933" s="23">
        <v>3634.0</v>
      </c>
      <c r="B1933" s="24" t="str">
        <f t="array" ref="B1933">xlookup($A1933,product!$A:$A,product!B:B)</f>
        <v>Santé &amp; Bien-être</v>
      </c>
      <c r="C1933" s="24" t="str">
        <f t="array" ref="C1933">xlookup($A1933,product!$A:$A,product!C:C)</f>
        <v>Aromathérapie</v>
      </c>
      <c r="D1933" s="24" t="str">
        <f t="array" ref="D1933">xlookup($A1933,product!$A:$A,product!D:D)</f>
        <v>Huiles végétales cosmétique</v>
      </c>
      <c r="E1933" s="25" t="str">
        <f t="shared" si="1"/>
        <v>3634-Aromathérapie-Huiles végétales cosmétique</v>
      </c>
      <c r="F1933" s="25">
        <v>0.0</v>
      </c>
      <c r="G1933" s="25">
        <v>890.0</v>
      </c>
      <c r="H1933" s="25">
        <v>406.0</v>
      </c>
      <c r="I1933" s="26">
        <f t="array" ref="I1933">XLOOKUP($A1933,product!A:A,product!E:E)</f>
        <v>3.87</v>
      </c>
      <c r="J1933" s="25">
        <f t="shared" si="2"/>
        <v>1571.22</v>
      </c>
      <c r="K1933" s="27">
        <f t="shared" si="3"/>
        <v>1</v>
      </c>
      <c r="L1933" s="25">
        <f t="shared" si="4"/>
        <v>1</v>
      </c>
    </row>
    <row r="1934">
      <c r="A1934" s="19">
        <v>104327.0</v>
      </c>
      <c r="B1934" s="20" t="str">
        <f t="array" ref="B1934">xlookup($A1934,product!$A:$A,product!B:B)</f>
        <v>Santé &amp; Bien-être</v>
      </c>
      <c r="C1934" s="20" t="str">
        <f t="array" ref="C1934">xlookup($A1934,product!$A:$A,product!C:C)</f>
        <v>Aromathérapie</v>
      </c>
      <c r="D1934" s="20" t="str">
        <f t="array" ref="D1934">xlookup($A1934,product!$A:$A,product!D:D)</f>
        <v>Huiles végétales cosmétique</v>
      </c>
      <c r="E1934" s="4" t="str">
        <f t="shared" si="1"/>
        <v>104327-Aromathérapie-Huiles végétales cosmétique</v>
      </c>
      <c r="F1934" s="4">
        <v>0.0</v>
      </c>
      <c r="G1934" s="4">
        <v>177.0</v>
      </c>
      <c r="H1934" s="4">
        <v>52.0</v>
      </c>
      <c r="I1934" s="21">
        <f t="array" ref="I1934">XLOOKUP($A1934,product!A:A,product!E:E)</f>
        <v>5.13</v>
      </c>
      <c r="J1934" s="4">
        <f t="shared" si="2"/>
        <v>266.76</v>
      </c>
      <c r="K1934" s="22">
        <f t="shared" si="3"/>
        <v>1</v>
      </c>
      <c r="L1934" s="4">
        <f t="shared" si="4"/>
        <v>1</v>
      </c>
    </row>
    <row r="1935">
      <c r="A1935" s="23">
        <v>71282.0</v>
      </c>
      <c r="B1935" s="24" t="str">
        <f t="array" ref="B1935">xlookup($A1935,product!$A:$A,product!B:B)</f>
        <v>Santé &amp; Bien-être</v>
      </c>
      <c r="C1935" s="24" t="str">
        <f t="array" ref="C1935">xlookup($A1935,product!$A:$A,product!C:C)</f>
        <v>Aromathérapie</v>
      </c>
      <c r="D1935" s="24" t="str">
        <f t="array" ref="D1935">xlookup($A1935,product!$A:$A,product!D:D)</f>
        <v>Huiles végétales cosmétique</v>
      </c>
      <c r="E1935" s="25" t="str">
        <f t="shared" si="1"/>
        <v>71282-Aromathérapie-Huiles végétales cosmétique</v>
      </c>
      <c r="F1935" s="25">
        <v>1.0</v>
      </c>
      <c r="G1935" s="25">
        <v>773.0</v>
      </c>
      <c r="H1935" s="25">
        <v>741.0</v>
      </c>
      <c r="I1935" s="26">
        <f t="array" ref="I1935">XLOOKUP($A1935,product!A:A,product!E:E)</f>
        <v>4.1</v>
      </c>
      <c r="J1935" s="25">
        <f t="shared" si="2"/>
        <v>3038.1</v>
      </c>
      <c r="K1935" s="27">
        <f t="shared" si="3"/>
        <v>1</v>
      </c>
      <c r="L1935" s="25">
        <f t="shared" si="4"/>
        <v>1</v>
      </c>
    </row>
    <row r="1936">
      <c r="A1936" s="19">
        <v>89411.0</v>
      </c>
      <c r="B1936" s="20" t="str">
        <f t="array" ref="B1936">xlookup($A1936,product!$A:$A,product!B:B)</f>
        <v>Santé &amp; Bien-être</v>
      </c>
      <c r="C1936" s="20" t="str">
        <f t="array" ref="C1936">xlookup($A1936,product!$A:$A,product!C:C)</f>
        <v>Aromathérapie</v>
      </c>
      <c r="D1936" s="20" t="str">
        <f t="array" ref="D1936">xlookup($A1936,product!$A:$A,product!D:D)</f>
        <v>Huiles végétales cosmétique</v>
      </c>
      <c r="E1936" s="4" t="str">
        <f t="shared" si="1"/>
        <v>89411-Aromathérapie-Huiles végétales cosmétique</v>
      </c>
      <c r="F1936" s="4">
        <v>1.0</v>
      </c>
      <c r="G1936" s="4">
        <v>572.0</v>
      </c>
      <c r="H1936" s="4">
        <v>189.0</v>
      </c>
      <c r="I1936" s="21">
        <f t="array" ref="I1936">XLOOKUP($A1936,product!A:A,product!E:E)</f>
        <v>3.74</v>
      </c>
      <c r="J1936" s="4">
        <f t="shared" si="2"/>
        <v>706.86</v>
      </c>
      <c r="K1936" s="22">
        <f t="shared" si="3"/>
        <v>1</v>
      </c>
      <c r="L1936" s="4">
        <f t="shared" si="4"/>
        <v>1</v>
      </c>
    </row>
    <row r="1937">
      <c r="A1937" s="23">
        <v>105361.0</v>
      </c>
      <c r="B1937" s="24" t="str">
        <f t="array" ref="B1937">xlookup($A1937,product!$A:$A,product!B:B)</f>
        <v>Santé &amp; Bien-être</v>
      </c>
      <c r="C1937" s="24" t="str">
        <f t="array" ref="C1937">xlookup($A1937,product!$A:$A,product!C:C)</f>
        <v>Aromathérapie</v>
      </c>
      <c r="D1937" s="24" t="str">
        <f t="array" ref="D1937">xlookup($A1937,product!$A:$A,product!D:D)</f>
        <v>Huiles essentielles à diffuser</v>
      </c>
      <c r="E1937" s="25" t="str">
        <f t="shared" si="1"/>
        <v>105361-Aromathérapie-Huiles essentielles à diffuser</v>
      </c>
      <c r="F1937" s="25">
        <v>1.0</v>
      </c>
      <c r="G1937" s="25">
        <v>784.0</v>
      </c>
      <c r="H1937" s="25">
        <v>74.0</v>
      </c>
      <c r="I1937" s="26">
        <f t="array" ref="I1937">XLOOKUP($A1937,product!A:A,product!E:E)</f>
        <v>7.19</v>
      </c>
      <c r="J1937" s="25">
        <f t="shared" si="2"/>
        <v>532.06</v>
      </c>
      <c r="K1937" s="27">
        <f t="shared" si="3"/>
        <v>1</v>
      </c>
      <c r="L1937" s="25">
        <f t="shared" si="4"/>
        <v>1</v>
      </c>
    </row>
    <row r="1938">
      <c r="A1938" s="19">
        <v>105359.0</v>
      </c>
      <c r="B1938" s="20" t="str">
        <f t="array" ref="B1938">xlookup($A1938,product!$A:$A,product!B:B)</f>
        <v>Santé &amp; Bien-être</v>
      </c>
      <c r="C1938" s="20" t="str">
        <f t="array" ref="C1938">xlookup($A1938,product!$A:$A,product!C:C)</f>
        <v>Aromathérapie</v>
      </c>
      <c r="D1938" s="20" t="str">
        <f t="array" ref="D1938">xlookup($A1938,product!$A:$A,product!D:D)</f>
        <v>Huiles essentielles à diffuser</v>
      </c>
      <c r="E1938" s="4" t="str">
        <f t="shared" si="1"/>
        <v>105359-Aromathérapie-Huiles essentielles à diffuser</v>
      </c>
      <c r="F1938" s="4">
        <v>0.0</v>
      </c>
      <c r="G1938" s="4">
        <v>715.0</v>
      </c>
      <c r="H1938" s="4">
        <v>656.0</v>
      </c>
      <c r="I1938" s="21">
        <f t="array" ref="I1938">XLOOKUP($A1938,product!A:A,product!E:E)</f>
        <v>7.19</v>
      </c>
      <c r="J1938" s="4">
        <f t="shared" si="2"/>
        <v>4716.64</v>
      </c>
      <c r="K1938" s="22">
        <f t="shared" si="3"/>
        <v>1</v>
      </c>
      <c r="L1938" s="4">
        <f t="shared" si="4"/>
        <v>1</v>
      </c>
    </row>
    <row r="1939">
      <c r="A1939" s="23">
        <v>75174.0</v>
      </c>
      <c r="B1939" s="24" t="str">
        <f t="array" ref="B1939">xlookup($A1939,product!$A:$A,product!B:B)</f>
        <v>Santé &amp; Bien-être</v>
      </c>
      <c r="C1939" s="24" t="str">
        <f t="array" ref="C1939">xlookup($A1939,product!$A:$A,product!C:C)</f>
        <v>Aromathérapie</v>
      </c>
      <c r="D1939" s="24" t="str">
        <f t="array" ref="D1939">xlookup($A1939,product!$A:$A,product!D:D)</f>
        <v>Huiles essentielles à diffuser</v>
      </c>
      <c r="E1939" s="25" t="str">
        <f t="shared" si="1"/>
        <v>75174-Aromathérapie-Huiles essentielles à diffuser</v>
      </c>
      <c r="F1939" s="25">
        <v>1.0</v>
      </c>
      <c r="G1939" s="25">
        <v>65.0</v>
      </c>
      <c r="H1939" s="25">
        <v>36.0</v>
      </c>
      <c r="I1939" s="26">
        <f t="array" ref="I1939">XLOOKUP($A1939,product!A:A,product!E:E)</f>
        <v>3.65</v>
      </c>
      <c r="J1939" s="25">
        <f t="shared" si="2"/>
        <v>131.4</v>
      </c>
      <c r="K1939" s="27">
        <f t="shared" si="3"/>
        <v>1</v>
      </c>
      <c r="L1939" s="25">
        <f t="shared" si="4"/>
        <v>1</v>
      </c>
    </row>
    <row r="1940">
      <c r="A1940" s="19">
        <v>11895.0</v>
      </c>
      <c r="B1940" s="20" t="str">
        <f t="array" ref="B1940">xlookup($A1940,product!$A:$A,product!B:B)</f>
        <v>Santé &amp; Bien-être</v>
      </c>
      <c r="C1940" s="20" t="str">
        <f t="array" ref="C1940">xlookup($A1940,product!$A:$A,product!C:C)</f>
        <v>Aromathérapie</v>
      </c>
      <c r="D1940" s="20" t="str">
        <f t="array" ref="D1940">xlookup($A1940,product!$A:$A,product!D:D)</f>
        <v>Huiles essentielles à diffuser</v>
      </c>
      <c r="E1940" s="4" t="str">
        <f t="shared" si="1"/>
        <v>11895-Aromathérapie-Huiles essentielles à diffuser</v>
      </c>
      <c r="F1940" s="4">
        <v>0.0</v>
      </c>
      <c r="G1940" s="4">
        <v>389.0</v>
      </c>
      <c r="H1940" s="4">
        <v>109.0</v>
      </c>
      <c r="I1940" s="21">
        <f t="array" ref="I1940">XLOOKUP($A1940,product!A:A,product!E:E)</f>
        <v>8.24</v>
      </c>
      <c r="J1940" s="4">
        <f t="shared" si="2"/>
        <v>898.16</v>
      </c>
      <c r="K1940" s="22">
        <f t="shared" si="3"/>
        <v>1</v>
      </c>
      <c r="L1940" s="4">
        <f t="shared" si="4"/>
        <v>1</v>
      </c>
    </row>
    <row r="1941">
      <c r="A1941" s="23">
        <v>11812.0</v>
      </c>
      <c r="B1941" s="24" t="str">
        <f t="array" ref="B1941">xlookup($A1941,product!$A:$A,product!B:B)</f>
        <v>Santé &amp; Bien-être</v>
      </c>
      <c r="C1941" s="24" t="str">
        <f t="array" ref="C1941">xlookup($A1941,product!$A:$A,product!C:C)</f>
        <v>Aromathérapie</v>
      </c>
      <c r="D1941" s="24" t="str">
        <f t="array" ref="D1941">xlookup($A1941,product!$A:$A,product!D:D)</f>
        <v>Huiles essentielles à diffuser</v>
      </c>
      <c r="E1941" s="25" t="str">
        <f t="shared" si="1"/>
        <v>11812-Aromathérapie-Huiles essentielles à diffuser</v>
      </c>
      <c r="F1941" s="25">
        <v>0.0</v>
      </c>
      <c r="G1941" s="25">
        <v>494.0</v>
      </c>
      <c r="H1941" s="25">
        <v>154.0</v>
      </c>
      <c r="I1941" s="26">
        <f t="array" ref="I1941">XLOOKUP($A1941,product!A:A,product!E:E)</f>
        <v>4.84</v>
      </c>
      <c r="J1941" s="25">
        <f t="shared" si="2"/>
        <v>745.36</v>
      </c>
      <c r="K1941" s="27">
        <f t="shared" si="3"/>
        <v>1</v>
      </c>
      <c r="L1941" s="25">
        <f t="shared" si="4"/>
        <v>1</v>
      </c>
    </row>
    <row r="1942">
      <c r="A1942" s="19">
        <v>11815.0</v>
      </c>
      <c r="B1942" s="20" t="str">
        <f t="array" ref="B1942">xlookup($A1942,product!$A:$A,product!B:B)</f>
        <v>Santé &amp; Bien-être</v>
      </c>
      <c r="C1942" s="20" t="str">
        <f t="array" ref="C1942">xlookup($A1942,product!$A:$A,product!C:C)</f>
        <v>Aromathérapie</v>
      </c>
      <c r="D1942" s="20" t="str">
        <f t="array" ref="D1942">xlookup($A1942,product!$A:$A,product!D:D)</f>
        <v>Huiles essentielles alimentaires</v>
      </c>
      <c r="E1942" s="4" t="str">
        <f t="shared" si="1"/>
        <v>11815-Aromathérapie-Huiles essentielles alimentaires</v>
      </c>
      <c r="F1942" s="4">
        <v>1.0</v>
      </c>
      <c r="G1942" s="4">
        <v>390.0</v>
      </c>
      <c r="H1942" s="4">
        <v>193.0</v>
      </c>
      <c r="I1942" s="21">
        <f t="array" ref="I1942">XLOOKUP($A1942,product!A:A,product!E:E)</f>
        <v>4.77</v>
      </c>
      <c r="J1942" s="4">
        <f t="shared" si="2"/>
        <v>920.61</v>
      </c>
      <c r="K1942" s="22">
        <f t="shared" si="3"/>
        <v>1</v>
      </c>
      <c r="L1942" s="4">
        <f t="shared" si="4"/>
        <v>1</v>
      </c>
    </row>
    <row r="1943">
      <c r="A1943" s="23">
        <v>11784.0</v>
      </c>
      <c r="B1943" s="24" t="str">
        <f t="array" ref="B1943">xlookup($A1943,product!$A:$A,product!B:B)</f>
        <v>Santé &amp; Bien-être</v>
      </c>
      <c r="C1943" s="24" t="str">
        <f t="array" ref="C1943">xlookup($A1943,product!$A:$A,product!C:C)</f>
        <v>Aromathérapie</v>
      </c>
      <c r="D1943" s="24" t="str">
        <f t="array" ref="D1943">xlookup($A1943,product!$A:$A,product!D:D)</f>
        <v>Huiles essentielles alimentaires</v>
      </c>
      <c r="E1943" s="25" t="str">
        <f t="shared" si="1"/>
        <v>11784-Aromathérapie-Huiles essentielles alimentaires</v>
      </c>
      <c r="F1943" s="25">
        <v>1.0</v>
      </c>
      <c r="G1943" s="25">
        <v>769.0</v>
      </c>
      <c r="H1943" s="25">
        <v>152.0</v>
      </c>
      <c r="I1943" s="26">
        <f t="array" ref="I1943">XLOOKUP($A1943,product!A:A,product!E:E)</f>
        <v>4.5</v>
      </c>
      <c r="J1943" s="25">
        <f t="shared" si="2"/>
        <v>684</v>
      </c>
      <c r="K1943" s="27">
        <f t="shared" si="3"/>
        <v>1</v>
      </c>
      <c r="L1943" s="25">
        <f t="shared" si="4"/>
        <v>1</v>
      </c>
    </row>
    <row r="1944">
      <c r="A1944" s="19">
        <v>89241.0</v>
      </c>
      <c r="B1944" s="20" t="str">
        <f t="array" ref="B1944">xlookup($A1944,product!$A:$A,product!B:B)</f>
        <v>Santé &amp; Bien-être</v>
      </c>
      <c r="C1944" s="20" t="str">
        <f t="array" ref="C1944">xlookup($A1944,product!$A:$A,product!C:C)</f>
        <v>Aromathérapie</v>
      </c>
      <c r="D1944" s="20" t="str">
        <f t="array" ref="D1944">xlookup($A1944,product!$A:$A,product!D:D)</f>
        <v>Huiles essentielles alimentaires</v>
      </c>
      <c r="E1944" s="4" t="str">
        <f t="shared" si="1"/>
        <v>89241-Aromathérapie-Huiles essentielles alimentaires</v>
      </c>
      <c r="F1944" s="4">
        <v>1.0</v>
      </c>
      <c r="G1944" s="4">
        <v>761.0</v>
      </c>
      <c r="H1944" s="4">
        <v>386.0</v>
      </c>
      <c r="I1944" s="21">
        <f t="array" ref="I1944">XLOOKUP($A1944,product!A:A,product!E:E)</f>
        <v>4.48</v>
      </c>
      <c r="J1944" s="4">
        <f t="shared" si="2"/>
        <v>1729.28</v>
      </c>
      <c r="K1944" s="22">
        <f t="shared" si="3"/>
        <v>1</v>
      </c>
      <c r="L1944" s="4">
        <f t="shared" si="4"/>
        <v>1</v>
      </c>
    </row>
    <row r="1945">
      <c r="A1945" s="23">
        <v>117688.0</v>
      </c>
      <c r="B1945" s="24" t="str">
        <f t="array" ref="B1945">xlookup($A1945,product!$A:$A,product!B:B)</f>
        <v>Santé &amp; Bien-être</v>
      </c>
      <c r="C1945" s="24" t="str">
        <f t="array" ref="C1945">xlookup($A1945,product!$A:$A,product!C:C)</f>
        <v>Aromathérapie</v>
      </c>
      <c r="D1945" s="24" t="str">
        <f t="array" ref="D1945">xlookup($A1945,product!$A:$A,product!D:D)</f>
        <v>Huiles essentielles alimentaires</v>
      </c>
      <c r="E1945" s="25" t="str">
        <f t="shared" si="1"/>
        <v>117688-Aromathérapie-Huiles essentielles alimentaires</v>
      </c>
      <c r="F1945" s="25">
        <v>1.0</v>
      </c>
      <c r="G1945" s="25">
        <v>579.0</v>
      </c>
      <c r="H1945" s="25">
        <v>81.0</v>
      </c>
      <c r="I1945" s="26">
        <f t="array" ref="I1945">XLOOKUP($A1945,product!A:A,product!E:E)</f>
        <v>6</v>
      </c>
      <c r="J1945" s="25">
        <f t="shared" si="2"/>
        <v>486</v>
      </c>
      <c r="K1945" s="27">
        <f t="shared" si="3"/>
        <v>1</v>
      </c>
      <c r="L1945" s="25">
        <f t="shared" si="4"/>
        <v>1</v>
      </c>
    </row>
    <row r="1946">
      <c r="A1946" s="19">
        <v>77688.0</v>
      </c>
      <c r="B1946" s="20" t="str">
        <f t="array" ref="B1946">xlookup($A1946,product!$A:$A,product!B:B)</f>
        <v>Santé &amp; Bien-être</v>
      </c>
      <c r="C1946" s="20" t="str">
        <f t="array" ref="C1946">xlookup($A1946,product!$A:$A,product!C:C)</f>
        <v>Aromathérapie</v>
      </c>
      <c r="D1946" s="20" t="str">
        <f t="array" ref="D1946">xlookup($A1946,product!$A:$A,product!D:D)</f>
        <v>Huiles essentielles alimentaires</v>
      </c>
      <c r="E1946" s="4" t="str">
        <f t="shared" si="1"/>
        <v>77688-Aromathérapie-Huiles essentielles alimentaires</v>
      </c>
      <c r="F1946" s="4">
        <v>0.0</v>
      </c>
      <c r="G1946" s="4">
        <v>905.0</v>
      </c>
      <c r="H1946" s="4">
        <v>699.0</v>
      </c>
      <c r="I1946" s="21">
        <f t="array" ref="I1946">XLOOKUP($A1946,product!A:A,product!E:E)</f>
        <v>9.75</v>
      </c>
      <c r="J1946" s="4">
        <f t="shared" si="2"/>
        <v>6815.25</v>
      </c>
      <c r="K1946" s="22">
        <f t="shared" si="3"/>
        <v>1</v>
      </c>
      <c r="L1946" s="4">
        <f t="shared" si="4"/>
        <v>1</v>
      </c>
    </row>
    <row r="1947">
      <c r="A1947" s="23">
        <v>89282.0</v>
      </c>
      <c r="B1947" s="24" t="str">
        <f t="array" ref="B1947">xlookup($A1947,product!$A:$A,product!B:B)</f>
        <v>Santé &amp; Bien-être</v>
      </c>
      <c r="C1947" s="24" t="str">
        <f t="array" ref="C1947">xlookup($A1947,product!$A:$A,product!C:C)</f>
        <v>Aromathérapie</v>
      </c>
      <c r="D1947" s="24" t="str">
        <f t="array" ref="D1947">xlookup($A1947,product!$A:$A,product!D:D)</f>
        <v>Huiles essentielles alimentaires</v>
      </c>
      <c r="E1947" s="25" t="str">
        <f t="shared" si="1"/>
        <v>89282-Aromathérapie-Huiles essentielles alimentaires</v>
      </c>
      <c r="F1947" s="25">
        <v>0.0</v>
      </c>
      <c r="G1947" s="25">
        <v>906.0</v>
      </c>
      <c r="H1947" s="25">
        <v>537.0</v>
      </c>
      <c r="I1947" s="26">
        <f t="array" ref="I1947">XLOOKUP($A1947,product!A:A,product!E:E)</f>
        <v>9.7</v>
      </c>
      <c r="J1947" s="25">
        <f t="shared" si="2"/>
        <v>5208.9</v>
      </c>
      <c r="K1947" s="27">
        <f t="shared" si="3"/>
        <v>1</v>
      </c>
      <c r="L1947" s="25">
        <f t="shared" si="4"/>
        <v>1</v>
      </c>
    </row>
    <row r="1948">
      <c r="A1948" s="19">
        <v>11769.0</v>
      </c>
      <c r="B1948" s="20" t="str">
        <f t="array" ref="B1948">xlookup($A1948,product!$A:$A,product!B:B)</f>
        <v>Santé &amp; Bien-être</v>
      </c>
      <c r="C1948" s="20" t="str">
        <f t="array" ref="C1948">xlookup($A1948,product!$A:$A,product!C:C)</f>
        <v>Aromathérapie</v>
      </c>
      <c r="D1948" s="20" t="str">
        <f t="array" ref="D1948">xlookup($A1948,product!$A:$A,product!D:D)</f>
        <v>Huiles essentielles alimentaires</v>
      </c>
      <c r="E1948" s="4" t="str">
        <f t="shared" si="1"/>
        <v>11769-Aromathérapie-Huiles essentielles alimentaires</v>
      </c>
      <c r="F1948" s="4">
        <v>1.0</v>
      </c>
      <c r="G1948" s="4">
        <v>783.0</v>
      </c>
      <c r="H1948" s="4">
        <v>536.0</v>
      </c>
      <c r="I1948" s="21">
        <f t="array" ref="I1948">XLOOKUP($A1948,product!A:A,product!E:E)</f>
        <v>6.92</v>
      </c>
      <c r="J1948" s="4">
        <f t="shared" si="2"/>
        <v>3709.12</v>
      </c>
      <c r="K1948" s="22">
        <f t="shared" si="3"/>
        <v>1</v>
      </c>
      <c r="L1948" s="4">
        <f t="shared" si="4"/>
        <v>1</v>
      </c>
    </row>
    <row r="1949">
      <c r="A1949" s="23">
        <v>117544.0</v>
      </c>
      <c r="B1949" s="24" t="str">
        <f t="array" ref="B1949">xlookup($A1949,product!$A:$A,product!B:B)</f>
        <v>Santé &amp; Bien-être</v>
      </c>
      <c r="C1949" s="24" t="str">
        <f t="array" ref="C1949">xlookup($A1949,product!$A:$A,product!C:C)</f>
        <v>Aromathérapie</v>
      </c>
      <c r="D1949" s="24" t="str">
        <f t="array" ref="D1949">xlookup($A1949,product!$A:$A,product!D:D)</f>
        <v>Huiles essentielles alimentaires</v>
      </c>
      <c r="E1949" s="25" t="str">
        <f t="shared" si="1"/>
        <v>117544-Aromathérapie-Huiles essentielles alimentaires</v>
      </c>
      <c r="F1949" s="25">
        <v>1.0</v>
      </c>
      <c r="G1949" s="25">
        <v>124.0</v>
      </c>
      <c r="H1949" s="25">
        <v>108.0</v>
      </c>
      <c r="I1949" s="26">
        <f t="array" ref="I1949">XLOOKUP($A1949,product!A:A,product!E:E)</f>
        <v>5.32</v>
      </c>
      <c r="J1949" s="25">
        <f t="shared" si="2"/>
        <v>574.56</v>
      </c>
      <c r="K1949" s="27">
        <f t="shared" si="3"/>
        <v>1</v>
      </c>
      <c r="L1949" s="25">
        <f t="shared" si="4"/>
        <v>1</v>
      </c>
    </row>
    <row r="1950">
      <c r="A1950" s="19">
        <v>94860.0</v>
      </c>
      <c r="B1950" s="20" t="str">
        <f t="array" ref="B1950">xlookup($A1950,product!$A:$A,product!B:B)</f>
        <v>Santé &amp; Bien-être</v>
      </c>
      <c r="C1950" s="20" t="str">
        <f t="array" ref="C1950">xlookup($A1950,product!$A:$A,product!C:C)</f>
        <v>Aromathérapie</v>
      </c>
      <c r="D1950" s="20" t="str">
        <f t="array" ref="D1950">xlookup($A1950,product!$A:$A,product!D:D)</f>
        <v>Huiles essentielles alimentaires</v>
      </c>
      <c r="E1950" s="4" t="str">
        <f t="shared" si="1"/>
        <v>94860-Aromathérapie-Huiles essentielles alimentaires</v>
      </c>
      <c r="F1950" s="4">
        <v>1.0</v>
      </c>
      <c r="G1950" s="4">
        <v>611.0</v>
      </c>
      <c r="H1950" s="4">
        <v>548.0</v>
      </c>
      <c r="I1950" s="21">
        <f t="array" ref="I1950">XLOOKUP($A1950,product!A:A,product!E:E)</f>
        <v>3.77</v>
      </c>
      <c r="J1950" s="4">
        <f t="shared" si="2"/>
        <v>2065.96</v>
      </c>
      <c r="K1950" s="22">
        <f t="shared" si="3"/>
        <v>1</v>
      </c>
      <c r="L1950" s="4">
        <f t="shared" si="4"/>
        <v>1</v>
      </c>
    </row>
    <row r="1951">
      <c r="A1951" s="23">
        <v>79041.0</v>
      </c>
      <c r="B1951" s="24" t="str">
        <f t="array" ref="B1951">xlookup($A1951,product!$A:$A,product!B:B)</f>
        <v>Santé &amp; Bien-être</v>
      </c>
      <c r="C1951" s="24" t="str">
        <f t="array" ref="C1951">xlookup($A1951,product!$A:$A,product!C:C)</f>
        <v>Aromathérapie</v>
      </c>
      <c r="D1951" s="24" t="str">
        <f t="array" ref="D1951">xlookup($A1951,product!$A:$A,product!D:D)</f>
        <v>Huiles essentielles alimentaires</v>
      </c>
      <c r="E1951" s="25" t="str">
        <f t="shared" si="1"/>
        <v>79041-Aromathérapie-Huiles essentielles alimentaires</v>
      </c>
      <c r="F1951" s="25">
        <v>0.0</v>
      </c>
      <c r="G1951" s="25">
        <v>241.0</v>
      </c>
      <c r="H1951" s="25">
        <v>8.0</v>
      </c>
      <c r="I1951" s="26">
        <f t="array" ref="I1951">XLOOKUP($A1951,product!A:A,product!E:E)</f>
        <v>4.97</v>
      </c>
      <c r="J1951" s="25">
        <f t="shared" si="2"/>
        <v>39.76</v>
      </c>
      <c r="K1951" s="27">
        <f t="shared" si="3"/>
        <v>1</v>
      </c>
      <c r="L1951" s="25">
        <f t="shared" si="4"/>
        <v>1</v>
      </c>
    </row>
    <row r="1952">
      <c r="A1952" s="19">
        <v>117686.0</v>
      </c>
      <c r="B1952" s="20" t="str">
        <f t="array" ref="B1952">xlookup($A1952,product!$A:$A,product!B:B)</f>
        <v>Santé &amp; Bien-être</v>
      </c>
      <c r="C1952" s="20" t="str">
        <f t="array" ref="C1952">xlookup($A1952,product!$A:$A,product!C:C)</f>
        <v>Aromathérapie</v>
      </c>
      <c r="D1952" s="20" t="str">
        <f t="array" ref="D1952">xlookup($A1952,product!$A:$A,product!D:D)</f>
        <v>Huiles essentielles alimentaires</v>
      </c>
      <c r="E1952" s="4" t="str">
        <f t="shared" si="1"/>
        <v>117686-Aromathérapie-Huiles essentielles alimentaires</v>
      </c>
      <c r="F1952" s="4">
        <v>0.0</v>
      </c>
      <c r="G1952" s="4">
        <v>436.0</v>
      </c>
      <c r="H1952" s="4">
        <v>276.0</v>
      </c>
      <c r="I1952" s="21">
        <f t="array" ref="I1952">XLOOKUP($A1952,product!A:A,product!E:E)</f>
        <v>4.37</v>
      </c>
      <c r="J1952" s="4">
        <f t="shared" si="2"/>
        <v>1206.12</v>
      </c>
      <c r="K1952" s="22">
        <f t="shared" si="3"/>
        <v>1</v>
      </c>
      <c r="L1952" s="4">
        <f t="shared" si="4"/>
        <v>1</v>
      </c>
    </row>
    <row r="1953">
      <c r="A1953" s="23">
        <v>89299.0</v>
      </c>
      <c r="B1953" s="24" t="str">
        <f t="array" ref="B1953">xlookup($A1953,product!$A:$A,product!B:B)</f>
        <v>Santé &amp; Bien-être</v>
      </c>
      <c r="C1953" s="24" t="str">
        <f t="array" ref="C1953">xlookup($A1953,product!$A:$A,product!C:C)</f>
        <v>Aromathérapie</v>
      </c>
      <c r="D1953" s="24" t="str">
        <f t="array" ref="D1953">xlookup($A1953,product!$A:$A,product!D:D)</f>
        <v>Huiles essentielles alimentaires</v>
      </c>
      <c r="E1953" s="25" t="str">
        <f t="shared" si="1"/>
        <v>89299-Aromathérapie-Huiles essentielles alimentaires</v>
      </c>
      <c r="F1953" s="25">
        <v>0.0</v>
      </c>
      <c r="G1953" s="25">
        <v>953.0</v>
      </c>
      <c r="H1953" s="25">
        <v>203.0</v>
      </c>
      <c r="I1953" s="26">
        <f t="array" ref="I1953">XLOOKUP($A1953,product!A:A,product!E:E)</f>
        <v>3.11</v>
      </c>
      <c r="J1953" s="25">
        <f t="shared" si="2"/>
        <v>631.33</v>
      </c>
      <c r="K1953" s="27">
        <f t="shared" si="3"/>
        <v>1</v>
      </c>
      <c r="L1953" s="25">
        <f t="shared" si="4"/>
        <v>1</v>
      </c>
    </row>
    <row r="1954">
      <c r="A1954" s="19">
        <v>11823.0</v>
      </c>
      <c r="B1954" s="20" t="str">
        <f t="array" ref="B1954">xlookup($A1954,product!$A:$A,product!B:B)</f>
        <v>Santé &amp; Bien-être</v>
      </c>
      <c r="C1954" s="20" t="str">
        <f t="array" ref="C1954">xlookup($A1954,product!$A:$A,product!C:C)</f>
        <v>Aromathérapie</v>
      </c>
      <c r="D1954" s="20" t="str">
        <f t="array" ref="D1954">xlookup($A1954,product!$A:$A,product!D:D)</f>
        <v>Huiles essentielles alimentaires</v>
      </c>
      <c r="E1954" s="4" t="str">
        <f t="shared" si="1"/>
        <v>11823-Aromathérapie-Huiles essentielles alimentaires</v>
      </c>
      <c r="F1954" s="4">
        <v>1.0</v>
      </c>
      <c r="G1954" s="4">
        <v>316.0</v>
      </c>
      <c r="H1954" s="4">
        <v>84.0</v>
      </c>
      <c r="I1954" s="21">
        <f t="array" ref="I1954">XLOOKUP($A1954,product!A:A,product!E:E)</f>
        <v>6.91</v>
      </c>
      <c r="J1954" s="4">
        <f t="shared" si="2"/>
        <v>580.44</v>
      </c>
      <c r="K1954" s="22">
        <f t="shared" si="3"/>
        <v>1</v>
      </c>
      <c r="L1954" s="4">
        <f t="shared" si="4"/>
        <v>1</v>
      </c>
    </row>
    <row r="1955">
      <c r="A1955" s="23">
        <v>117543.0</v>
      </c>
      <c r="B1955" s="24" t="str">
        <f t="array" ref="B1955">xlookup($A1955,product!$A:$A,product!B:B)</f>
        <v>Santé &amp; Bien-être</v>
      </c>
      <c r="C1955" s="24" t="str">
        <f t="array" ref="C1955">xlookup($A1955,product!$A:$A,product!C:C)</f>
        <v>Aromathérapie</v>
      </c>
      <c r="D1955" s="24" t="str">
        <f t="array" ref="D1955">xlookup($A1955,product!$A:$A,product!D:D)</f>
        <v>Huiles essentielles alimentaires</v>
      </c>
      <c r="E1955" s="25" t="str">
        <f t="shared" si="1"/>
        <v>117543-Aromathérapie-Huiles essentielles alimentaires</v>
      </c>
      <c r="F1955" s="25">
        <v>0.0</v>
      </c>
      <c r="G1955" s="25">
        <v>417.0</v>
      </c>
      <c r="H1955" s="25">
        <v>299.0</v>
      </c>
      <c r="I1955" s="26">
        <f t="array" ref="I1955">XLOOKUP($A1955,product!A:A,product!E:E)</f>
        <v>5.24</v>
      </c>
      <c r="J1955" s="25">
        <f t="shared" si="2"/>
        <v>1566.76</v>
      </c>
      <c r="K1955" s="27">
        <f t="shared" si="3"/>
        <v>1</v>
      </c>
      <c r="L1955" s="25">
        <f t="shared" si="4"/>
        <v>1</v>
      </c>
    </row>
    <row r="1956">
      <c r="A1956" s="19">
        <v>11765.0</v>
      </c>
      <c r="B1956" s="20" t="str">
        <f t="array" ref="B1956">xlookup($A1956,product!$A:$A,product!B:B)</f>
        <v>Santé &amp; Bien-être</v>
      </c>
      <c r="C1956" s="20" t="str">
        <f t="array" ref="C1956">xlookup($A1956,product!$A:$A,product!C:C)</f>
        <v>Aromathérapie</v>
      </c>
      <c r="D1956" s="20" t="str">
        <f t="array" ref="D1956">xlookup($A1956,product!$A:$A,product!D:D)</f>
        <v>Huiles essentielles alimentaires</v>
      </c>
      <c r="E1956" s="4" t="str">
        <f t="shared" si="1"/>
        <v>11765-Aromathérapie-Huiles essentielles alimentaires</v>
      </c>
      <c r="F1956" s="4">
        <v>1.0</v>
      </c>
      <c r="G1956" s="4">
        <v>458.0</v>
      </c>
      <c r="H1956" s="4">
        <v>259.0</v>
      </c>
      <c r="I1956" s="21">
        <f t="array" ref="I1956">XLOOKUP($A1956,product!A:A,product!E:E)</f>
        <v>4.14</v>
      </c>
      <c r="J1956" s="4">
        <f t="shared" si="2"/>
        <v>1072.26</v>
      </c>
      <c r="K1956" s="22">
        <f t="shared" si="3"/>
        <v>1</v>
      </c>
      <c r="L1956" s="4">
        <f t="shared" si="4"/>
        <v>1</v>
      </c>
    </row>
    <row r="1957">
      <c r="A1957" s="23">
        <v>121519.0</v>
      </c>
      <c r="B1957" s="24" t="str">
        <f t="array" ref="B1957">xlookup($A1957,product!$A:$A,product!B:B)</f>
        <v>Santé &amp; Bien-être</v>
      </c>
      <c r="C1957" s="24" t="str">
        <f t="array" ref="C1957">xlookup($A1957,product!$A:$A,product!C:C)</f>
        <v>Aromathérapie</v>
      </c>
      <c r="D1957" s="24" t="str">
        <f t="array" ref="D1957">xlookup($A1957,product!$A:$A,product!D:D)</f>
        <v>Huiles essentielles alimentaires</v>
      </c>
      <c r="E1957" s="25" t="str">
        <f t="shared" si="1"/>
        <v>121519-Aromathérapie-Huiles essentielles alimentaires</v>
      </c>
      <c r="F1957" s="25">
        <v>1.0</v>
      </c>
      <c r="G1957" s="25">
        <v>620.0</v>
      </c>
      <c r="H1957" s="25">
        <v>245.0</v>
      </c>
      <c r="I1957" s="26">
        <f t="array" ref="I1957">XLOOKUP($A1957,product!A:A,product!E:E)</f>
        <v>3.94</v>
      </c>
      <c r="J1957" s="25">
        <f t="shared" si="2"/>
        <v>965.3</v>
      </c>
      <c r="K1957" s="27">
        <f t="shared" si="3"/>
        <v>1</v>
      </c>
      <c r="L1957" s="25">
        <f t="shared" si="4"/>
        <v>1</v>
      </c>
    </row>
    <row r="1958">
      <c r="A1958" s="19">
        <v>71276.0</v>
      </c>
      <c r="B1958" s="20" t="str">
        <f t="array" ref="B1958">xlookup($A1958,product!$A:$A,product!B:B)</f>
        <v>Santé &amp; Bien-être</v>
      </c>
      <c r="C1958" s="20" t="str">
        <f t="array" ref="C1958">xlookup($A1958,product!$A:$A,product!C:C)</f>
        <v>Aromathérapie</v>
      </c>
      <c r="D1958" s="20" t="str">
        <f t="array" ref="D1958">xlookup($A1958,product!$A:$A,product!D:D)</f>
        <v>Huiles essentielles alimentaires</v>
      </c>
      <c r="E1958" s="4" t="str">
        <f t="shared" si="1"/>
        <v>71276-Aromathérapie-Huiles essentielles alimentaires</v>
      </c>
      <c r="F1958" s="4">
        <v>1.0</v>
      </c>
      <c r="G1958" s="4">
        <v>448.0</v>
      </c>
      <c r="H1958" s="4">
        <v>442.0</v>
      </c>
      <c r="I1958" s="21">
        <f t="array" ref="I1958">XLOOKUP($A1958,product!A:A,product!E:E)</f>
        <v>3</v>
      </c>
      <c r="J1958" s="4">
        <f t="shared" si="2"/>
        <v>1326</v>
      </c>
      <c r="K1958" s="22">
        <f t="shared" si="3"/>
        <v>1</v>
      </c>
      <c r="L1958" s="4">
        <f t="shared" si="4"/>
        <v>1</v>
      </c>
    </row>
    <row r="1959">
      <c r="A1959" s="23">
        <v>120135.0</v>
      </c>
      <c r="B1959" s="24" t="str">
        <f t="array" ref="B1959">xlookup($A1959,product!$A:$A,product!B:B)</f>
        <v>Santé &amp; Bien-être</v>
      </c>
      <c r="C1959" s="24" t="str">
        <f t="array" ref="C1959">xlookup($A1959,product!$A:$A,product!C:C)</f>
        <v>Aromathérapie</v>
      </c>
      <c r="D1959" s="24" t="str">
        <f t="array" ref="D1959">xlookup($A1959,product!$A:$A,product!D:D)</f>
        <v>Huiles essentielles alimentaires</v>
      </c>
      <c r="E1959" s="25" t="str">
        <f t="shared" si="1"/>
        <v>120135-Aromathérapie-Huiles essentielles alimentaires</v>
      </c>
      <c r="F1959" s="25">
        <v>0.0</v>
      </c>
      <c r="G1959" s="25">
        <v>270.0</v>
      </c>
      <c r="H1959" s="25">
        <v>44.0</v>
      </c>
      <c r="I1959" s="26">
        <f t="array" ref="I1959">XLOOKUP($A1959,product!A:A,product!E:E)</f>
        <v>3.67</v>
      </c>
      <c r="J1959" s="25">
        <f t="shared" si="2"/>
        <v>161.48</v>
      </c>
      <c r="K1959" s="27">
        <f t="shared" si="3"/>
        <v>1</v>
      </c>
      <c r="L1959" s="25">
        <f t="shared" si="4"/>
        <v>1</v>
      </c>
    </row>
    <row r="1960">
      <c r="A1960" s="19">
        <v>116793.0</v>
      </c>
      <c r="B1960" s="20" t="str">
        <f t="array" ref="B1960">xlookup($A1960,product!$A:$A,product!B:B)</f>
        <v>Santé &amp; Bien-être</v>
      </c>
      <c r="C1960" s="20" t="str">
        <f t="array" ref="C1960">xlookup($A1960,product!$A:$A,product!C:C)</f>
        <v>Aromathérapie</v>
      </c>
      <c r="D1960" s="20" t="str">
        <f t="array" ref="D1960">xlookup($A1960,product!$A:$A,product!D:D)</f>
        <v>Huiles essentielles alimentaires</v>
      </c>
      <c r="E1960" s="4" t="str">
        <f t="shared" si="1"/>
        <v>116793-Aromathérapie-Huiles essentielles alimentaires</v>
      </c>
      <c r="F1960" s="4">
        <v>1.0</v>
      </c>
      <c r="G1960" s="4">
        <v>856.0</v>
      </c>
      <c r="H1960" s="4">
        <v>725.0</v>
      </c>
      <c r="I1960" s="21">
        <f t="array" ref="I1960">XLOOKUP($A1960,product!A:A,product!E:E)</f>
        <v>4.26</v>
      </c>
      <c r="J1960" s="4">
        <f t="shared" si="2"/>
        <v>3088.5</v>
      </c>
      <c r="K1960" s="22">
        <f t="shared" si="3"/>
        <v>1</v>
      </c>
      <c r="L1960" s="4">
        <f t="shared" si="4"/>
        <v>1</v>
      </c>
    </row>
    <row r="1961">
      <c r="A1961" s="23">
        <v>11774.0</v>
      </c>
      <c r="B1961" s="24" t="str">
        <f t="array" ref="B1961">xlookup($A1961,product!$A:$A,product!B:B)</f>
        <v>Santé &amp; Bien-être</v>
      </c>
      <c r="C1961" s="24" t="str">
        <f t="array" ref="C1961">xlookup($A1961,product!$A:$A,product!C:C)</f>
        <v>Aromathérapie</v>
      </c>
      <c r="D1961" s="24" t="str">
        <f t="array" ref="D1961">xlookup($A1961,product!$A:$A,product!D:D)</f>
        <v>Huiles essentielles alimentaires</v>
      </c>
      <c r="E1961" s="25" t="str">
        <f t="shared" si="1"/>
        <v>11774-Aromathérapie-Huiles essentielles alimentaires</v>
      </c>
      <c r="F1961" s="25">
        <v>0.0</v>
      </c>
      <c r="G1961" s="25">
        <v>661.0</v>
      </c>
      <c r="H1961" s="25">
        <v>593.0</v>
      </c>
      <c r="I1961" s="26">
        <f t="array" ref="I1961">XLOOKUP($A1961,product!A:A,product!E:E)</f>
        <v>2.48</v>
      </c>
      <c r="J1961" s="25">
        <f t="shared" si="2"/>
        <v>1470.64</v>
      </c>
      <c r="K1961" s="27">
        <f t="shared" si="3"/>
        <v>1</v>
      </c>
      <c r="L1961" s="25">
        <f t="shared" si="4"/>
        <v>1</v>
      </c>
    </row>
    <row r="1962">
      <c r="A1962" s="19">
        <v>11900.0</v>
      </c>
      <c r="B1962" s="20" t="str">
        <f t="array" ref="B1962">xlookup($A1962,product!$A:$A,product!B:B)</f>
        <v>Santé &amp; Bien-être</v>
      </c>
      <c r="C1962" s="20" t="str">
        <f t="array" ref="C1962">xlookup($A1962,product!$A:$A,product!C:C)</f>
        <v>Aromathérapie</v>
      </c>
      <c r="D1962" s="20" t="str">
        <f t="array" ref="D1962">xlookup($A1962,product!$A:$A,product!D:D)</f>
        <v>Huiles essentielles alimentaires</v>
      </c>
      <c r="E1962" s="4" t="str">
        <f t="shared" si="1"/>
        <v>11900-Aromathérapie-Huiles essentielles alimentaires</v>
      </c>
      <c r="F1962" s="4">
        <v>0.0</v>
      </c>
      <c r="G1962" s="4">
        <v>902.0</v>
      </c>
      <c r="H1962" s="4">
        <v>180.0</v>
      </c>
      <c r="I1962" s="21">
        <f t="array" ref="I1962">XLOOKUP($A1962,product!A:A,product!E:E)</f>
        <v>3.45</v>
      </c>
      <c r="J1962" s="4">
        <f t="shared" si="2"/>
        <v>621</v>
      </c>
      <c r="K1962" s="22">
        <f t="shared" si="3"/>
        <v>1</v>
      </c>
      <c r="L1962" s="4">
        <f t="shared" si="4"/>
        <v>1</v>
      </c>
    </row>
    <row r="1963">
      <c r="A1963" s="23">
        <v>11809.0</v>
      </c>
      <c r="B1963" s="24" t="str">
        <f t="array" ref="B1963">xlookup($A1963,product!$A:$A,product!B:B)</f>
        <v>Santé &amp; Bien-être</v>
      </c>
      <c r="C1963" s="24" t="str">
        <f t="array" ref="C1963">xlookup($A1963,product!$A:$A,product!C:C)</f>
        <v>Aromathérapie</v>
      </c>
      <c r="D1963" s="24" t="str">
        <f t="array" ref="D1963">xlookup($A1963,product!$A:$A,product!D:D)</f>
        <v>Huiles essentielles alimentaires</v>
      </c>
      <c r="E1963" s="25" t="str">
        <f t="shared" si="1"/>
        <v>11809-Aromathérapie-Huiles essentielles alimentaires</v>
      </c>
      <c r="F1963" s="25">
        <v>1.0</v>
      </c>
      <c r="G1963" s="25">
        <v>631.0</v>
      </c>
      <c r="H1963" s="25">
        <v>309.0</v>
      </c>
      <c r="I1963" s="26">
        <f t="array" ref="I1963">XLOOKUP($A1963,product!A:A,product!E:E)</f>
        <v>3.46</v>
      </c>
      <c r="J1963" s="25">
        <f t="shared" si="2"/>
        <v>1069.14</v>
      </c>
      <c r="K1963" s="27">
        <f t="shared" si="3"/>
        <v>1</v>
      </c>
      <c r="L1963" s="25">
        <f t="shared" si="4"/>
        <v>1</v>
      </c>
    </row>
    <row r="1964">
      <c r="A1964" s="19">
        <v>117642.0</v>
      </c>
      <c r="B1964" s="20" t="str">
        <f t="array" ref="B1964">xlookup($A1964,product!$A:$A,product!B:B)</f>
        <v>Santé &amp; Bien-être</v>
      </c>
      <c r="C1964" s="20" t="str">
        <f t="array" ref="C1964">xlookup($A1964,product!$A:$A,product!C:C)</f>
        <v>Aromathérapie</v>
      </c>
      <c r="D1964" s="20" t="str">
        <f t="array" ref="D1964">xlookup($A1964,product!$A:$A,product!D:D)</f>
        <v>Huiles essentielles alimentaires</v>
      </c>
      <c r="E1964" s="4" t="str">
        <f t="shared" si="1"/>
        <v>117642-Aromathérapie-Huiles essentielles alimentaires</v>
      </c>
      <c r="F1964" s="4">
        <v>1.0</v>
      </c>
      <c r="G1964" s="4">
        <v>153.0</v>
      </c>
      <c r="H1964" s="4">
        <v>135.0</v>
      </c>
      <c r="I1964" s="21">
        <f t="array" ref="I1964">XLOOKUP($A1964,product!A:A,product!E:E)</f>
        <v>6</v>
      </c>
      <c r="J1964" s="4">
        <f t="shared" si="2"/>
        <v>810</v>
      </c>
      <c r="K1964" s="22">
        <f t="shared" si="3"/>
        <v>1</v>
      </c>
      <c r="L1964" s="4">
        <f t="shared" si="4"/>
        <v>1</v>
      </c>
    </row>
    <row r="1965">
      <c r="A1965" s="23">
        <v>71259.0</v>
      </c>
      <c r="B1965" s="24" t="str">
        <f t="array" ref="B1965">xlookup($A1965,product!$A:$A,product!B:B)</f>
        <v>Santé &amp; Bien-être</v>
      </c>
      <c r="C1965" s="24" t="str">
        <f t="array" ref="C1965">xlookup($A1965,product!$A:$A,product!C:C)</f>
        <v>Aromathérapie</v>
      </c>
      <c r="D1965" s="24" t="str">
        <f t="array" ref="D1965">xlookup($A1965,product!$A:$A,product!D:D)</f>
        <v>Huiles essentielles alimentaires</v>
      </c>
      <c r="E1965" s="25" t="str">
        <f t="shared" si="1"/>
        <v>71259-Aromathérapie-Huiles essentielles alimentaires</v>
      </c>
      <c r="F1965" s="25">
        <v>0.0</v>
      </c>
      <c r="G1965" s="25">
        <v>563.0</v>
      </c>
      <c r="H1965" s="25">
        <v>270.0</v>
      </c>
      <c r="I1965" s="26">
        <f t="array" ref="I1965">XLOOKUP($A1965,product!A:A,product!E:E)</f>
        <v>4.62</v>
      </c>
      <c r="J1965" s="25">
        <f t="shared" si="2"/>
        <v>1247.4</v>
      </c>
      <c r="K1965" s="27">
        <f t="shared" si="3"/>
        <v>1</v>
      </c>
      <c r="L1965" s="25">
        <f t="shared" si="4"/>
        <v>1</v>
      </c>
    </row>
    <row r="1966">
      <c r="A1966" s="19">
        <v>79047.0</v>
      </c>
      <c r="B1966" s="20" t="str">
        <f t="array" ref="B1966">xlookup($A1966,product!$A:$A,product!B:B)</f>
        <v>Santé &amp; Bien-être</v>
      </c>
      <c r="C1966" s="20" t="str">
        <f t="array" ref="C1966">xlookup($A1966,product!$A:$A,product!C:C)</f>
        <v>Aromathérapie</v>
      </c>
      <c r="D1966" s="20" t="str">
        <f t="array" ref="D1966">xlookup($A1966,product!$A:$A,product!D:D)</f>
        <v>Huiles essentielles alimentaires</v>
      </c>
      <c r="E1966" s="4" t="str">
        <f t="shared" si="1"/>
        <v>79047-Aromathérapie-Huiles essentielles alimentaires</v>
      </c>
      <c r="F1966" s="4">
        <v>0.0</v>
      </c>
      <c r="G1966" s="4">
        <v>642.0</v>
      </c>
      <c r="H1966" s="4">
        <v>591.0</v>
      </c>
      <c r="I1966" s="21">
        <f t="array" ref="I1966">XLOOKUP($A1966,product!A:A,product!E:E)</f>
        <v>7.52</v>
      </c>
      <c r="J1966" s="4">
        <f t="shared" si="2"/>
        <v>4444.32</v>
      </c>
      <c r="K1966" s="22">
        <f t="shared" si="3"/>
        <v>1</v>
      </c>
      <c r="L1966" s="4">
        <f t="shared" si="4"/>
        <v>1</v>
      </c>
    </row>
    <row r="1967">
      <c r="A1967" s="23">
        <v>11796.0</v>
      </c>
      <c r="B1967" s="24" t="str">
        <f t="array" ref="B1967">xlookup($A1967,product!$A:$A,product!B:B)</f>
        <v>Santé &amp; Bien-être</v>
      </c>
      <c r="C1967" s="24" t="str">
        <f t="array" ref="C1967">xlookup($A1967,product!$A:$A,product!C:C)</f>
        <v>Aromathérapie</v>
      </c>
      <c r="D1967" s="24" t="str">
        <f t="array" ref="D1967">xlookup($A1967,product!$A:$A,product!D:D)</f>
        <v>Huiles essentielles alimentaires</v>
      </c>
      <c r="E1967" s="25" t="str">
        <f t="shared" si="1"/>
        <v>11796-Aromathérapie-Huiles essentielles alimentaires</v>
      </c>
      <c r="F1967" s="25">
        <v>1.0</v>
      </c>
      <c r="G1967" s="25">
        <v>500.0</v>
      </c>
      <c r="H1967" s="25">
        <v>377.0</v>
      </c>
      <c r="I1967" s="26">
        <f t="array" ref="I1967">XLOOKUP($A1967,product!A:A,product!E:E)</f>
        <v>2.75</v>
      </c>
      <c r="J1967" s="25">
        <f t="shared" si="2"/>
        <v>1036.75</v>
      </c>
      <c r="K1967" s="27">
        <f t="shared" si="3"/>
        <v>1</v>
      </c>
      <c r="L1967" s="25">
        <f t="shared" si="4"/>
        <v>1</v>
      </c>
    </row>
    <row r="1968">
      <c r="A1968" s="19">
        <v>79043.0</v>
      </c>
      <c r="B1968" s="20" t="str">
        <f t="array" ref="B1968">xlookup($A1968,product!$A:$A,product!B:B)</f>
        <v>Santé &amp; Bien-être</v>
      </c>
      <c r="C1968" s="20" t="str">
        <f t="array" ref="C1968">xlookup($A1968,product!$A:$A,product!C:C)</f>
        <v>Aromathérapie</v>
      </c>
      <c r="D1968" s="20" t="str">
        <f t="array" ref="D1968">xlookup($A1968,product!$A:$A,product!D:D)</f>
        <v>Huiles essentielles alimentaires</v>
      </c>
      <c r="E1968" s="4" t="str">
        <f t="shared" si="1"/>
        <v>79043-Aromathérapie-Huiles essentielles alimentaires</v>
      </c>
      <c r="F1968" s="4">
        <v>1.0</v>
      </c>
      <c r="G1968" s="4">
        <v>168.0</v>
      </c>
      <c r="H1968" s="4">
        <v>1.0</v>
      </c>
      <c r="I1968" s="21">
        <f t="array" ref="I1968">XLOOKUP($A1968,product!A:A,product!E:E)</f>
        <v>7.19</v>
      </c>
      <c r="J1968" s="4">
        <f t="shared" si="2"/>
        <v>7.19</v>
      </c>
      <c r="K1968" s="22">
        <f t="shared" si="3"/>
        <v>1</v>
      </c>
      <c r="L1968" s="4">
        <f t="shared" si="4"/>
        <v>1</v>
      </c>
    </row>
    <row r="1969">
      <c r="A1969" s="23">
        <v>89246.0</v>
      </c>
      <c r="B1969" s="24" t="str">
        <f t="array" ref="B1969">xlookup($A1969,product!$A:$A,product!B:B)</f>
        <v>Santé &amp; Bien-être</v>
      </c>
      <c r="C1969" s="24" t="str">
        <f t="array" ref="C1969">xlookup($A1969,product!$A:$A,product!C:C)</f>
        <v>Aromathérapie</v>
      </c>
      <c r="D1969" s="24" t="str">
        <f t="array" ref="D1969">xlookup($A1969,product!$A:$A,product!D:D)</f>
        <v>Huiles essentielles alimentaires</v>
      </c>
      <c r="E1969" s="25" t="str">
        <f t="shared" si="1"/>
        <v>89246-Aromathérapie-Huiles essentielles alimentaires</v>
      </c>
      <c r="F1969" s="25">
        <v>1.0</v>
      </c>
      <c r="G1969" s="25">
        <v>196.0</v>
      </c>
      <c r="H1969" s="25">
        <v>159.0</v>
      </c>
      <c r="I1969" s="26">
        <f t="array" ref="I1969">XLOOKUP($A1969,product!A:A,product!E:E)</f>
        <v>3.8</v>
      </c>
      <c r="J1969" s="25">
        <f t="shared" si="2"/>
        <v>604.2</v>
      </c>
      <c r="K1969" s="27">
        <f t="shared" si="3"/>
        <v>1</v>
      </c>
      <c r="L1969" s="25">
        <f t="shared" si="4"/>
        <v>1</v>
      </c>
    </row>
    <row r="1970">
      <c r="A1970" s="19">
        <v>71275.0</v>
      </c>
      <c r="B1970" s="20" t="str">
        <f t="array" ref="B1970">xlookup($A1970,product!$A:$A,product!B:B)</f>
        <v>Santé &amp; Bien-être</v>
      </c>
      <c r="C1970" s="20" t="str">
        <f t="array" ref="C1970">xlookup($A1970,product!$A:$A,product!C:C)</f>
        <v>Aromathérapie</v>
      </c>
      <c r="D1970" s="20" t="str">
        <f t="array" ref="D1970">xlookup($A1970,product!$A:$A,product!D:D)</f>
        <v>Huiles essentielles alimentaires</v>
      </c>
      <c r="E1970" s="4" t="str">
        <f t="shared" si="1"/>
        <v>71275-Aromathérapie-Huiles essentielles alimentaires</v>
      </c>
      <c r="F1970" s="4">
        <v>0.0</v>
      </c>
      <c r="G1970" s="4">
        <v>279.0</v>
      </c>
      <c r="H1970" s="4">
        <v>114.0</v>
      </c>
      <c r="I1970" s="21">
        <f t="array" ref="I1970">XLOOKUP($A1970,product!A:A,product!E:E)</f>
        <v>4.12</v>
      </c>
      <c r="J1970" s="4">
        <f t="shared" si="2"/>
        <v>469.68</v>
      </c>
      <c r="K1970" s="22">
        <f t="shared" si="3"/>
        <v>1</v>
      </c>
      <c r="L1970" s="4">
        <f t="shared" si="4"/>
        <v>1</v>
      </c>
    </row>
    <row r="1971">
      <c r="A1971" s="23">
        <v>11800.0</v>
      </c>
      <c r="B1971" s="24" t="str">
        <f t="array" ref="B1971">xlookup($A1971,product!$A:$A,product!B:B)</f>
        <v>Santé &amp; Bien-être</v>
      </c>
      <c r="C1971" s="24" t="str">
        <f t="array" ref="C1971">xlookup($A1971,product!$A:$A,product!C:C)</f>
        <v>Aromathérapie</v>
      </c>
      <c r="D1971" s="24" t="str">
        <f t="array" ref="D1971">xlookup($A1971,product!$A:$A,product!D:D)</f>
        <v>Huiles essentielles alimentaires</v>
      </c>
      <c r="E1971" s="25" t="str">
        <f t="shared" si="1"/>
        <v>11800-Aromathérapie-Huiles essentielles alimentaires</v>
      </c>
      <c r="F1971" s="25">
        <v>0.0</v>
      </c>
      <c r="G1971" s="25">
        <v>715.0</v>
      </c>
      <c r="H1971" s="25">
        <v>507.0</v>
      </c>
      <c r="I1971" s="26">
        <f t="array" ref="I1971">XLOOKUP($A1971,product!A:A,product!E:E)</f>
        <v>4.61</v>
      </c>
      <c r="J1971" s="25">
        <f t="shared" si="2"/>
        <v>2337.27</v>
      </c>
      <c r="K1971" s="27">
        <f t="shared" si="3"/>
        <v>1</v>
      </c>
      <c r="L1971" s="25">
        <f t="shared" si="4"/>
        <v>1</v>
      </c>
    </row>
    <row r="1972">
      <c r="A1972" s="19">
        <v>11818.0</v>
      </c>
      <c r="B1972" s="20" t="str">
        <f t="array" ref="B1972">xlookup($A1972,product!$A:$A,product!B:B)</f>
        <v>Santé &amp; Bien-être</v>
      </c>
      <c r="C1972" s="20" t="str">
        <f t="array" ref="C1972">xlookup($A1972,product!$A:$A,product!C:C)</f>
        <v>Aromathérapie</v>
      </c>
      <c r="D1972" s="20" t="str">
        <f t="array" ref="D1972">xlookup($A1972,product!$A:$A,product!D:D)</f>
        <v>Huiles essentielles alimentaires</v>
      </c>
      <c r="E1972" s="4" t="str">
        <f t="shared" si="1"/>
        <v>11818-Aromathérapie-Huiles essentielles alimentaires</v>
      </c>
      <c r="F1972" s="4">
        <v>0.0</v>
      </c>
      <c r="G1972" s="4">
        <v>388.0</v>
      </c>
      <c r="H1972" s="4">
        <v>97.0</v>
      </c>
      <c r="I1972" s="21">
        <f t="array" ref="I1972">XLOOKUP($A1972,product!A:A,product!E:E)</f>
        <v>4.14</v>
      </c>
      <c r="J1972" s="4">
        <f t="shared" si="2"/>
        <v>401.58</v>
      </c>
      <c r="K1972" s="22">
        <f t="shared" si="3"/>
        <v>1</v>
      </c>
      <c r="L1972" s="4">
        <f t="shared" si="4"/>
        <v>1</v>
      </c>
    </row>
    <row r="1973">
      <c r="A1973" s="23">
        <v>11795.0</v>
      </c>
      <c r="B1973" s="24" t="str">
        <f t="array" ref="B1973">xlookup($A1973,product!$A:$A,product!B:B)</f>
        <v>Santé &amp; Bien-être</v>
      </c>
      <c r="C1973" s="24" t="str">
        <f t="array" ref="C1973">xlookup($A1973,product!$A:$A,product!C:C)</f>
        <v>Aromathérapie</v>
      </c>
      <c r="D1973" s="24" t="str">
        <f t="array" ref="D1973">xlookup($A1973,product!$A:$A,product!D:D)</f>
        <v>Huiles essentielles alimentaires</v>
      </c>
      <c r="E1973" s="25" t="str">
        <f t="shared" si="1"/>
        <v>11795-Aromathérapie-Huiles essentielles alimentaires</v>
      </c>
      <c r="F1973" s="25">
        <v>1.0</v>
      </c>
      <c r="G1973" s="25">
        <v>781.0</v>
      </c>
      <c r="H1973" s="25">
        <v>477.0</v>
      </c>
      <c r="I1973" s="26">
        <f t="array" ref="I1973">XLOOKUP($A1973,product!A:A,product!E:E)</f>
        <v>4.15</v>
      </c>
      <c r="J1973" s="25">
        <f t="shared" si="2"/>
        <v>1979.55</v>
      </c>
      <c r="K1973" s="27">
        <f t="shared" si="3"/>
        <v>1</v>
      </c>
      <c r="L1973" s="25">
        <f t="shared" si="4"/>
        <v>1</v>
      </c>
    </row>
    <row r="1974">
      <c r="A1974" s="19">
        <v>117641.0</v>
      </c>
      <c r="B1974" s="20" t="str">
        <f t="array" ref="B1974">xlookup($A1974,product!$A:$A,product!B:B)</f>
        <v>Santé &amp; Bien-être</v>
      </c>
      <c r="C1974" s="20" t="str">
        <f t="array" ref="C1974">xlookup($A1974,product!$A:$A,product!C:C)</f>
        <v>Aromathérapie</v>
      </c>
      <c r="D1974" s="20" t="str">
        <f t="array" ref="D1974">xlookup($A1974,product!$A:$A,product!D:D)</f>
        <v>Huiles essentielles alimentaires</v>
      </c>
      <c r="E1974" s="4" t="str">
        <f t="shared" si="1"/>
        <v>117641-Aromathérapie-Huiles essentielles alimentaires</v>
      </c>
      <c r="F1974" s="4">
        <v>0.0</v>
      </c>
      <c r="G1974" s="4">
        <v>795.0</v>
      </c>
      <c r="H1974" s="4">
        <v>705.0</v>
      </c>
      <c r="I1974" s="21">
        <f t="array" ref="I1974">XLOOKUP($A1974,product!A:A,product!E:E)</f>
        <v>4.37</v>
      </c>
      <c r="J1974" s="4">
        <f t="shared" si="2"/>
        <v>3080.85</v>
      </c>
      <c r="K1974" s="22">
        <f t="shared" si="3"/>
        <v>1</v>
      </c>
      <c r="L1974" s="4">
        <f t="shared" si="4"/>
        <v>1</v>
      </c>
    </row>
    <row r="1975">
      <c r="A1975" s="23">
        <v>82579.0</v>
      </c>
      <c r="B1975" s="24" t="str">
        <f t="array" ref="B1975">xlookup($A1975,product!$A:$A,product!B:B)</f>
        <v>Santé &amp; Bien-être</v>
      </c>
      <c r="C1975" s="24" t="str">
        <f t="array" ref="C1975">xlookup($A1975,product!$A:$A,product!C:C)</f>
        <v>Aromathérapie</v>
      </c>
      <c r="D1975" s="24" t="str">
        <f t="array" ref="D1975">xlookup($A1975,product!$A:$A,product!D:D)</f>
        <v>Huiles essentielles alimentaires</v>
      </c>
      <c r="E1975" s="25" t="str">
        <f t="shared" si="1"/>
        <v>82579-Aromathérapie-Huiles essentielles alimentaires</v>
      </c>
      <c r="F1975" s="25">
        <v>0.0</v>
      </c>
      <c r="G1975" s="25">
        <v>599.0</v>
      </c>
      <c r="H1975" s="25">
        <v>486.0</v>
      </c>
      <c r="I1975" s="26">
        <f t="array" ref="I1975">XLOOKUP($A1975,product!A:A,product!E:E)</f>
        <v>5.96</v>
      </c>
      <c r="J1975" s="25">
        <f t="shared" si="2"/>
        <v>2896.56</v>
      </c>
      <c r="K1975" s="27">
        <f t="shared" si="3"/>
        <v>1</v>
      </c>
      <c r="L1975" s="25">
        <f t="shared" si="4"/>
        <v>1</v>
      </c>
    </row>
    <row r="1976">
      <c r="A1976" s="19">
        <v>120153.0</v>
      </c>
      <c r="B1976" s="20" t="str">
        <f t="array" ref="B1976">xlookup($A1976,product!$A:$A,product!B:B)</f>
        <v>Santé &amp; Bien-être</v>
      </c>
      <c r="C1976" s="20" t="str">
        <f t="array" ref="C1976">xlookup($A1976,product!$A:$A,product!C:C)</f>
        <v>Aromathérapie</v>
      </c>
      <c r="D1976" s="20" t="str">
        <f t="array" ref="D1976">xlookup($A1976,product!$A:$A,product!D:D)</f>
        <v>Huiles essentielles alimentaires</v>
      </c>
      <c r="E1976" s="4" t="str">
        <f t="shared" si="1"/>
        <v>120153-Aromathérapie-Huiles essentielles alimentaires</v>
      </c>
      <c r="F1976" s="4">
        <v>1.0</v>
      </c>
      <c r="G1976" s="4">
        <v>392.0</v>
      </c>
      <c r="H1976" s="4">
        <v>120.0</v>
      </c>
      <c r="I1976" s="21">
        <f t="array" ref="I1976">XLOOKUP($A1976,product!A:A,product!E:E)</f>
        <v>2.07</v>
      </c>
      <c r="J1976" s="4">
        <f t="shared" si="2"/>
        <v>248.4</v>
      </c>
      <c r="K1976" s="22">
        <f t="shared" si="3"/>
        <v>1</v>
      </c>
      <c r="L1976" s="4">
        <f t="shared" si="4"/>
        <v>1</v>
      </c>
    </row>
    <row r="1977">
      <c r="A1977" s="23">
        <v>81320.0</v>
      </c>
      <c r="B1977" s="24" t="str">
        <f t="array" ref="B1977">xlookup($A1977,product!$A:$A,product!B:B)</f>
        <v>Santé &amp; Bien-être</v>
      </c>
      <c r="C1977" s="24" t="str">
        <f t="array" ref="C1977">xlookup($A1977,product!$A:$A,product!C:C)</f>
        <v>Aromathérapie</v>
      </c>
      <c r="D1977" s="24" t="str">
        <f t="array" ref="D1977">xlookup($A1977,product!$A:$A,product!D:D)</f>
        <v>Huiles essentielles alimentaires</v>
      </c>
      <c r="E1977" s="25" t="str">
        <f t="shared" si="1"/>
        <v>81320-Aromathérapie-Huiles essentielles alimentaires</v>
      </c>
      <c r="F1977" s="25">
        <v>0.0</v>
      </c>
      <c r="G1977" s="25">
        <v>500.0</v>
      </c>
      <c r="H1977" s="25">
        <v>429.0</v>
      </c>
      <c r="I1977" s="26">
        <f t="array" ref="I1977">XLOOKUP($A1977,product!A:A,product!E:E)</f>
        <v>3.76</v>
      </c>
      <c r="J1977" s="25">
        <f t="shared" si="2"/>
        <v>1613.04</v>
      </c>
      <c r="K1977" s="27">
        <f t="shared" si="3"/>
        <v>1</v>
      </c>
      <c r="L1977" s="25">
        <f t="shared" si="4"/>
        <v>1</v>
      </c>
    </row>
    <row r="1978">
      <c r="A1978" s="19">
        <v>121517.0</v>
      </c>
      <c r="B1978" s="20" t="str">
        <f t="array" ref="B1978">xlookup($A1978,product!$A:$A,product!B:B)</f>
        <v>Santé &amp; Bien-être</v>
      </c>
      <c r="C1978" s="20" t="str">
        <f t="array" ref="C1978">xlookup($A1978,product!$A:$A,product!C:C)</f>
        <v>Aromathérapie</v>
      </c>
      <c r="D1978" s="20" t="str">
        <f t="array" ref="D1978">xlookup($A1978,product!$A:$A,product!D:D)</f>
        <v>Huiles essentielles alimentaires</v>
      </c>
      <c r="E1978" s="4" t="str">
        <f t="shared" si="1"/>
        <v>121517-Aromathérapie-Huiles essentielles alimentaires</v>
      </c>
      <c r="F1978" s="4">
        <v>1.0</v>
      </c>
      <c r="G1978" s="4">
        <v>972.0</v>
      </c>
      <c r="H1978" s="4">
        <v>36.0</v>
      </c>
      <c r="I1978" s="21">
        <f t="array" ref="I1978">XLOOKUP($A1978,product!A:A,product!E:E)</f>
        <v>5.75</v>
      </c>
      <c r="J1978" s="4">
        <f t="shared" si="2"/>
        <v>207</v>
      </c>
      <c r="K1978" s="22">
        <f t="shared" si="3"/>
        <v>1</v>
      </c>
      <c r="L1978" s="4">
        <f t="shared" si="4"/>
        <v>1</v>
      </c>
    </row>
    <row r="1979">
      <c r="A1979" s="23">
        <v>89276.0</v>
      </c>
      <c r="B1979" s="24" t="str">
        <f t="array" ref="B1979">xlookup($A1979,product!$A:$A,product!B:B)</f>
        <v>Santé &amp; Bien-être</v>
      </c>
      <c r="C1979" s="24" t="str">
        <f t="array" ref="C1979">xlookup($A1979,product!$A:$A,product!C:C)</f>
        <v>Aromathérapie</v>
      </c>
      <c r="D1979" s="24" t="str">
        <f t="array" ref="D1979">xlookup($A1979,product!$A:$A,product!D:D)</f>
        <v>Huiles essentielles alimentaires</v>
      </c>
      <c r="E1979" s="25" t="str">
        <f t="shared" si="1"/>
        <v>89276-Aromathérapie-Huiles essentielles alimentaires</v>
      </c>
      <c r="F1979" s="25">
        <v>1.0</v>
      </c>
      <c r="G1979" s="25">
        <v>268.0</v>
      </c>
      <c r="H1979" s="25">
        <v>14.0</v>
      </c>
      <c r="I1979" s="26">
        <f t="array" ref="I1979">XLOOKUP($A1979,product!A:A,product!E:E)</f>
        <v>3.35</v>
      </c>
      <c r="J1979" s="25">
        <f t="shared" si="2"/>
        <v>46.9</v>
      </c>
      <c r="K1979" s="27">
        <f t="shared" si="3"/>
        <v>1</v>
      </c>
      <c r="L1979" s="25">
        <f t="shared" si="4"/>
        <v>1</v>
      </c>
    </row>
    <row r="1980">
      <c r="A1980" s="19">
        <v>11822.0</v>
      </c>
      <c r="B1980" s="20" t="str">
        <f t="array" ref="B1980">xlookup($A1980,product!$A:$A,product!B:B)</f>
        <v>Santé &amp; Bien-être</v>
      </c>
      <c r="C1980" s="20" t="str">
        <f t="array" ref="C1980">xlookup($A1980,product!$A:$A,product!C:C)</f>
        <v>Aromathérapie</v>
      </c>
      <c r="D1980" s="20" t="str">
        <f t="array" ref="D1980">xlookup($A1980,product!$A:$A,product!D:D)</f>
        <v>Huiles essentielles alimentaires</v>
      </c>
      <c r="E1980" s="4" t="str">
        <f t="shared" si="1"/>
        <v>11822-Aromathérapie-Huiles essentielles alimentaires</v>
      </c>
      <c r="F1980" s="4">
        <v>1.0</v>
      </c>
      <c r="G1980" s="4">
        <v>524.0</v>
      </c>
      <c r="H1980" s="4">
        <v>242.0</v>
      </c>
      <c r="I1980" s="21">
        <f t="array" ref="I1980">XLOOKUP($A1980,product!A:A,product!E:E)</f>
        <v>8.99</v>
      </c>
      <c r="J1980" s="4">
        <f t="shared" si="2"/>
        <v>2175.58</v>
      </c>
      <c r="K1980" s="22">
        <f t="shared" si="3"/>
        <v>1</v>
      </c>
      <c r="L1980" s="4">
        <f t="shared" si="4"/>
        <v>1</v>
      </c>
    </row>
    <row r="1981">
      <c r="A1981" s="23">
        <v>11771.0</v>
      </c>
      <c r="B1981" s="24" t="str">
        <f t="array" ref="B1981">xlookup($A1981,product!$A:$A,product!B:B)</f>
        <v>Santé &amp; Bien-être</v>
      </c>
      <c r="C1981" s="24" t="str">
        <f t="array" ref="C1981">xlookup($A1981,product!$A:$A,product!C:C)</f>
        <v>Aromathérapie</v>
      </c>
      <c r="D1981" s="24" t="str">
        <f t="array" ref="D1981">xlookup($A1981,product!$A:$A,product!D:D)</f>
        <v>Huiles essentielles alimentaires</v>
      </c>
      <c r="E1981" s="25" t="str">
        <f t="shared" si="1"/>
        <v>11771-Aromathérapie-Huiles essentielles alimentaires</v>
      </c>
      <c r="F1981" s="25">
        <v>1.0</v>
      </c>
      <c r="G1981" s="25">
        <v>943.0</v>
      </c>
      <c r="H1981" s="25">
        <v>860.0</v>
      </c>
      <c r="I1981" s="26">
        <f t="array" ref="I1981">XLOOKUP($A1981,product!A:A,product!E:E)</f>
        <v>2.76</v>
      </c>
      <c r="J1981" s="25">
        <f t="shared" si="2"/>
        <v>2373.6</v>
      </c>
      <c r="K1981" s="27">
        <f t="shared" si="3"/>
        <v>1</v>
      </c>
      <c r="L1981" s="25">
        <f t="shared" si="4"/>
        <v>1</v>
      </c>
    </row>
    <row r="1982">
      <c r="A1982" s="19">
        <v>89295.0</v>
      </c>
      <c r="B1982" s="20" t="str">
        <f t="array" ref="B1982">xlookup($A1982,product!$A:$A,product!B:B)</f>
        <v>Santé &amp; Bien-être</v>
      </c>
      <c r="C1982" s="20" t="str">
        <f t="array" ref="C1982">xlookup($A1982,product!$A:$A,product!C:C)</f>
        <v>Aromathérapie</v>
      </c>
      <c r="D1982" s="20" t="str">
        <f t="array" ref="D1982">xlookup($A1982,product!$A:$A,product!D:D)</f>
        <v>Huiles essentielles alimentaires</v>
      </c>
      <c r="E1982" s="4" t="str">
        <f t="shared" si="1"/>
        <v>89295-Aromathérapie-Huiles essentielles alimentaires</v>
      </c>
      <c r="F1982" s="4">
        <v>0.0</v>
      </c>
      <c r="G1982" s="4">
        <v>109.0</v>
      </c>
      <c r="H1982" s="4">
        <v>90.0</v>
      </c>
      <c r="I1982" s="21">
        <f t="array" ref="I1982">XLOOKUP($A1982,product!A:A,product!E:E)</f>
        <v>4.04</v>
      </c>
      <c r="J1982" s="4">
        <f t="shared" si="2"/>
        <v>363.6</v>
      </c>
      <c r="K1982" s="22">
        <f t="shared" si="3"/>
        <v>1</v>
      </c>
      <c r="L1982" s="4">
        <f t="shared" si="4"/>
        <v>1</v>
      </c>
    </row>
    <row r="1983">
      <c r="A1983" s="23">
        <v>117684.0</v>
      </c>
      <c r="B1983" s="24" t="str">
        <f t="array" ref="B1983">xlookup($A1983,product!$A:$A,product!B:B)</f>
        <v>Santé &amp; Bien-être</v>
      </c>
      <c r="C1983" s="24" t="str">
        <f t="array" ref="C1983">xlookup($A1983,product!$A:$A,product!C:C)</f>
        <v>Aromathérapie</v>
      </c>
      <c r="D1983" s="24" t="str">
        <f t="array" ref="D1983">xlookup($A1983,product!$A:$A,product!D:D)</f>
        <v>Huiles essentielles alimentaires</v>
      </c>
      <c r="E1983" s="25" t="str">
        <f t="shared" si="1"/>
        <v>117684-Aromathérapie-Huiles essentielles alimentaires</v>
      </c>
      <c r="F1983" s="25">
        <v>1.0</v>
      </c>
      <c r="G1983" s="25">
        <v>228.0</v>
      </c>
      <c r="H1983" s="25">
        <v>147.0</v>
      </c>
      <c r="I1983" s="26">
        <f t="array" ref="I1983">XLOOKUP($A1983,product!A:A,product!E:E)</f>
        <v>5.45</v>
      </c>
      <c r="J1983" s="25">
        <f t="shared" si="2"/>
        <v>801.15</v>
      </c>
      <c r="K1983" s="27">
        <f t="shared" si="3"/>
        <v>1</v>
      </c>
      <c r="L1983" s="25">
        <f t="shared" si="4"/>
        <v>1</v>
      </c>
    </row>
    <row r="1984">
      <c r="A1984" s="19">
        <v>11817.0</v>
      </c>
      <c r="B1984" s="20" t="str">
        <f t="array" ref="B1984">xlookup($A1984,product!$A:$A,product!B:B)</f>
        <v>Santé &amp; Bien-être</v>
      </c>
      <c r="C1984" s="20" t="str">
        <f t="array" ref="C1984">xlookup($A1984,product!$A:$A,product!C:C)</f>
        <v>Aromathérapie</v>
      </c>
      <c r="D1984" s="20" t="str">
        <f t="array" ref="D1984">xlookup($A1984,product!$A:$A,product!D:D)</f>
        <v>Huiles essentielles alimentaires</v>
      </c>
      <c r="E1984" s="4" t="str">
        <f t="shared" si="1"/>
        <v>11817-Aromathérapie-Huiles essentielles alimentaires</v>
      </c>
      <c r="F1984" s="4">
        <v>0.0</v>
      </c>
      <c r="G1984" s="4">
        <v>190.0</v>
      </c>
      <c r="H1984" s="4">
        <v>189.0</v>
      </c>
      <c r="I1984" s="21">
        <f t="array" ref="I1984">XLOOKUP($A1984,product!A:A,product!E:E)</f>
        <v>5.52</v>
      </c>
      <c r="J1984" s="4">
        <f t="shared" si="2"/>
        <v>1043.28</v>
      </c>
      <c r="K1984" s="22">
        <f t="shared" si="3"/>
        <v>1</v>
      </c>
      <c r="L1984" s="4">
        <f t="shared" si="4"/>
        <v>1</v>
      </c>
    </row>
    <row r="1985">
      <c r="A1985" s="23">
        <v>120697.0</v>
      </c>
      <c r="B1985" s="24" t="str">
        <f t="array" ref="B1985">xlookup($A1985,product!$A:$A,product!B:B)</f>
        <v>Santé &amp; Bien-être</v>
      </c>
      <c r="C1985" s="24" t="str">
        <f t="array" ref="C1985">xlookup($A1985,product!$A:$A,product!C:C)</f>
        <v>Aromathérapie</v>
      </c>
      <c r="D1985" s="24" t="str">
        <f t="array" ref="D1985">xlookup($A1985,product!$A:$A,product!D:D)</f>
        <v>Huiles essentielles alimentaires</v>
      </c>
      <c r="E1985" s="25" t="str">
        <f t="shared" si="1"/>
        <v>120697-Aromathérapie-Huiles essentielles alimentaires</v>
      </c>
      <c r="F1985" s="25">
        <v>0.0</v>
      </c>
      <c r="G1985" s="25">
        <v>319.0</v>
      </c>
      <c r="H1985" s="25">
        <v>290.0</v>
      </c>
      <c r="I1985" s="26">
        <f t="array" ref="I1985">XLOOKUP($A1985,product!A:A,product!E:E)</f>
        <v>9.4</v>
      </c>
      <c r="J1985" s="25">
        <f t="shared" si="2"/>
        <v>2726</v>
      </c>
      <c r="K1985" s="27">
        <f t="shared" si="3"/>
        <v>1</v>
      </c>
      <c r="L1985" s="25">
        <f t="shared" si="4"/>
        <v>1</v>
      </c>
    </row>
    <row r="1986">
      <c r="A1986" s="19">
        <v>11783.0</v>
      </c>
      <c r="B1986" s="20" t="str">
        <f t="array" ref="B1986">xlookup($A1986,product!$A:$A,product!B:B)</f>
        <v>Santé &amp; Bien-être</v>
      </c>
      <c r="C1986" s="20" t="str">
        <f t="array" ref="C1986">xlookup($A1986,product!$A:$A,product!C:C)</f>
        <v>Aromathérapie</v>
      </c>
      <c r="D1986" s="20" t="str">
        <f t="array" ref="D1986">xlookup($A1986,product!$A:$A,product!D:D)</f>
        <v>Huiles essentielles alimentaires</v>
      </c>
      <c r="E1986" s="4" t="str">
        <f t="shared" si="1"/>
        <v>11783-Aromathérapie-Huiles essentielles alimentaires</v>
      </c>
      <c r="F1986" s="4">
        <v>1.0</v>
      </c>
      <c r="G1986" s="4">
        <v>675.0</v>
      </c>
      <c r="H1986" s="4">
        <v>90.0</v>
      </c>
      <c r="I1986" s="21">
        <f t="array" ref="I1986">XLOOKUP($A1986,product!A:A,product!E:E)</f>
        <v>3.59</v>
      </c>
      <c r="J1986" s="4">
        <f t="shared" si="2"/>
        <v>323.1</v>
      </c>
      <c r="K1986" s="22">
        <f t="shared" si="3"/>
        <v>1</v>
      </c>
      <c r="L1986" s="4">
        <f t="shared" si="4"/>
        <v>1</v>
      </c>
    </row>
    <row r="1987">
      <c r="A1987" s="23">
        <v>11821.0</v>
      </c>
      <c r="B1987" s="24" t="str">
        <f t="array" ref="B1987">xlookup($A1987,product!$A:$A,product!B:B)</f>
        <v>Santé &amp; Bien-être</v>
      </c>
      <c r="C1987" s="24" t="str">
        <f t="array" ref="C1987">xlookup($A1987,product!$A:$A,product!C:C)</f>
        <v>Aromathérapie</v>
      </c>
      <c r="D1987" s="24" t="str">
        <f t="array" ref="D1987">xlookup($A1987,product!$A:$A,product!D:D)</f>
        <v>Huiles essentielles alimentaires</v>
      </c>
      <c r="E1987" s="25" t="str">
        <f t="shared" si="1"/>
        <v>11821-Aromathérapie-Huiles essentielles alimentaires</v>
      </c>
      <c r="F1987" s="25">
        <v>1.0</v>
      </c>
      <c r="G1987" s="25">
        <v>266.0</v>
      </c>
      <c r="H1987" s="25">
        <v>10.0</v>
      </c>
      <c r="I1987" s="26">
        <f t="array" ref="I1987">XLOOKUP($A1987,product!A:A,product!E:E)</f>
        <v>6.12</v>
      </c>
      <c r="J1987" s="25">
        <f t="shared" si="2"/>
        <v>61.2</v>
      </c>
      <c r="K1987" s="27">
        <f t="shared" si="3"/>
        <v>1</v>
      </c>
      <c r="L1987" s="25">
        <f t="shared" si="4"/>
        <v>1</v>
      </c>
    </row>
    <row r="1988">
      <c r="A1988" s="19">
        <v>11814.0</v>
      </c>
      <c r="B1988" s="20" t="str">
        <f t="array" ref="B1988">xlookup($A1988,product!$A:$A,product!B:B)</f>
        <v>Santé &amp; Bien-être</v>
      </c>
      <c r="C1988" s="20" t="str">
        <f t="array" ref="C1988">xlookup($A1988,product!$A:$A,product!C:C)</f>
        <v>Aromathérapie</v>
      </c>
      <c r="D1988" s="20" t="str">
        <f t="array" ref="D1988">xlookup($A1988,product!$A:$A,product!D:D)</f>
        <v>Huiles essentielles cosmétiques</v>
      </c>
      <c r="E1988" s="4" t="str">
        <f t="shared" si="1"/>
        <v>11814-Aromathérapie-Huiles essentielles cosmétiques</v>
      </c>
      <c r="F1988" s="4">
        <v>1.0</v>
      </c>
      <c r="G1988" s="4">
        <v>518.0</v>
      </c>
      <c r="H1988" s="4">
        <v>82.0</v>
      </c>
      <c r="I1988" s="21">
        <f t="array" ref="I1988">XLOOKUP($A1988,product!A:A,product!E:E)</f>
        <v>5.52</v>
      </c>
      <c r="J1988" s="4">
        <f t="shared" si="2"/>
        <v>452.64</v>
      </c>
      <c r="K1988" s="22">
        <f t="shared" si="3"/>
        <v>1</v>
      </c>
      <c r="L1988" s="4">
        <f t="shared" si="4"/>
        <v>1</v>
      </c>
    </row>
    <row r="1989">
      <c r="A1989" s="23">
        <v>71242.0</v>
      </c>
      <c r="B1989" s="24" t="str">
        <f t="array" ref="B1989">xlookup($A1989,product!$A:$A,product!B:B)</f>
        <v>Santé &amp; Bien-être</v>
      </c>
      <c r="C1989" s="24" t="str">
        <f t="array" ref="C1989">xlookup($A1989,product!$A:$A,product!C:C)</f>
        <v>Aromathérapie</v>
      </c>
      <c r="D1989" s="24" t="str">
        <f t="array" ref="D1989">xlookup($A1989,product!$A:$A,product!D:D)</f>
        <v>Huiles essentielles cosmétiques</v>
      </c>
      <c r="E1989" s="25" t="str">
        <f t="shared" si="1"/>
        <v>71242-Aromathérapie-Huiles essentielles cosmétiques</v>
      </c>
      <c r="F1989" s="25">
        <v>1.0</v>
      </c>
      <c r="G1989" s="25">
        <v>700.0</v>
      </c>
      <c r="H1989" s="25">
        <v>618.0</v>
      </c>
      <c r="I1989" s="26">
        <f t="array" ref="I1989">XLOOKUP($A1989,product!A:A,product!E:E)</f>
        <v>2.78</v>
      </c>
      <c r="J1989" s="25">
        <f t="shared" si="2"/>
        <v>1718.04</v>
      </c>
      <c r="K1989" s="27">
        <f t="shared" si="3"/>
        <v>1</v>
      </c>
      <c r="L1989" s="25">
        <f t="shared" si="4"/>
        <v>1</v>
      </c>
    </row>
    <row r="1990">
      <c r="A1990" s="19">
        <v>120449.0</v>
      </c>
      <c r="B1990" s="20" t="str">
        <f t="array" ref="B1990">xlookup($A1990,product!$A:$A,product!B:B)</f>
        <v>Epicerie sucrée</v>
      </c>
      <c r="C1990" s="20" t="str">
        <f t="array" ref="C1990">xlookup($A1990,product!$A:$A,product!C:C)</f>
        <v>Confiserie Bio</v>
      </c>
      <c r="D1990" s="20" t="str">
        <f t="array" ref="D1990">xlookup($A1990,product!$A:$A,product!D:D)</f>
        <v>Bonbon</v>
      </c>
      <c r="E1990" s="4" t="str">
        <f t="shared" si="1"/>
        <v>120449-Confiserie Bio-Bonbon</v>
      </c>
      <c r="F1990" s="4">
        <v>0.0</v>
      </c>
      <c r="G1990" s="4">
        <v>115.0</v>
      </c>
      <c r="H1990" s="4">
        <v>20.0</v>
      </c>
      <c r="I1990" s="21">
        <f t="array" ref="I1990">XLOOKUP($A1990,product!A:A,product!E:E)</f>
        <v>1.41</v>
      </c>
      <c r="J1990" s="4">
        <f t="shared" si="2"/>
        <v>28.2</v>
      </c>
      <c r="K1990" s="22">
        <f t="shared" si="3"/>
        <v>1</v>
      </c>
      <c r="L1990" s="4">
        <f t="shared" si="4"/>
        <v>1</v>
      </c>
    </row>
    <row r="1991">
      <c r="A1991" s="23">
        <v>23682.0</v>
      </c>
      <c r="B1991" s="24" t="str">
        <f t="array" ref="B1991">xlookup($A1991,product!$A:$A,product!B:B)</f>
        <v>Epicerie sucrée</v>
      </c>
      <c r="C1991" s="24" t="str">
        <f t="array" ref="C1991">xlookup($A1991,product!$A:$A,product!C:C)</f>
        <v>Confiserie Bio</v>
      </c>
      <c r="D1991" s="24" t="str">
        <f t="array" ref="D1991">xlookup($A1991,product!$A:$A,product!D:D)</f>
        <v>Bonbon</v>
      </c>
      <c r="E1991" s="25" t="str">
        <f t="shared" si="1"/>
        <v>23682-Confiserie Bio-Bonbon</v>
      </c>
      <c r="F1991" s="25">
        <v>1.0</v>
      </c>
      <c r="G1991" s="25">
        <v>969.0</v>
      </c>
      <c r="H1991" s="25">
        <v>118.0</v>
      </c>
      <c r="I1991" s="26">
        <f t="array" ref="I1991">XLOOKUP($A1991,product!A:A,product!E:E)</f>
        <v>1.69</v>
      </c>
      <c r="J1991" s="25">
        <f t="shared" si="2"/>
        <v>199.42</v>
      </c>
      <c r="K1991" s="27">
        <f t="shared" si="3"/>
        <v>1</v>
      </c>
      <c r="L1991" s="25">
        <f t="shared" si="4"/>
        <v>1</v>
      </c>
    </row>
    <row r="1992">
      <c r="A1992" s="19">
        <v>119076.0</v>
      </c>
      <c r="B1992" s="20" t="str">
        <f t="array" ref="B1992">xlookup($A1992,product!$A:$A,product!B:B)</f>
        <v>Epicerie sucrée</v>
      </c>
      <c r="C1992" s="20" t="str">
        <f t="array" ref="C1992">xlookup($A1992,product!$A:$A,product!C:C)</f>
        <v>Confiserie Bio</v>
      </c>
      <c r="D1992" s="20" t="str">
        <f t="array" ref="D1992">xlookup($A1992,product!$A:$A,product!D:D)</f>
        <v>Bonbon</v>
      </c>
      <c r="E1992" s="4" t="str">
        <f t="shared" si="1"/>
        <v>119076-Confiserie Bio-Bonbon</v>
      </c>
      <c r="F1992" s="4">
        <v>0.0</v>
      </c>
      <c r="G1992" s="4">
        <v>171.0</v>
      </c>
      <c r="H1992" s="4">
        <v>31.0</v>
      </c>
      <c r="I1992" s="21">
        <f t="array" ref="I1992">XLOOKUP($A1992,product!A:A,product!E:E)</f>
        <v>1.14</v>
      </c>
      <c r="J1992" s="4">
        <f t="shared" si="2"/>
        <v>35.34</v>
      </c>
      <c r="K1992" s="22">
        <f t="shared" si="3"/>
        <v>1</v>
      </c>
      <c r="L1992" s="4">
        <f t="shared" si="4"/>
        <v>1</v>
      </c>
    </row>
    <row r="1993">
      <c r="A1993" s="23">
        <v>9139.0</v>
      </c>
      <c r="B1993" s="24" t="str">
        <f t="array" ref="B1993">xlookup($A1993,product!$A:$A,product!B:B)</f>
        <v>Epicerie sucrée</v>
      </c>
      <c r="C1993" s="24" t="str">
        <f t="array" ref="C1993">xlookup($A1993,product!$A:$A,product!C:C)</f>
        <v>Confiserie Bio</v>
      </c>
      <c r="D1993" s="24" t="str">
        <f t="array" ref="D1993">xlookup($A1993,product!$A:$A,product!D:D)</f>
        <v>Bonbon</v>
      </c>
      <c r="E1993" s="25" t="str">
        <f t="shared" si="1"/>
        <v>9139-Confiserie Bio-Bonbon</v>
      </c>
      <c r="F1993" s="25">
        <v>1.0</v>
      </c>
      <c r="G1993" s="25">
        <v>364.0</v>
      </c>
      <c r="H1993" s="25">
        <v>137.0</v>
      </c>
      <c r="I1993" s="26">
        <f t="array" ref="I1993">XLOOKUP($A1993,product!A:A,product!E:E)</f>
        <v>1.16</v>
      </c>
      <c r="J1993" s="25">
        <f t="shared" si="2"/>
        <v>158.92</v>
      </c>
      <c r="K1993" s="27">
        <f t="shared" si="3"/>
        <v>1</v>
      </c>
      <c r="L1993" s="25">
        <f t="shared" si="4"/>
        <v>1</v>
      </c>
    </row>
    <row r="1994">
      <c r="A1994" s="19">
        <v>9138.0</v>
      </c>
      <c r="B1994" s="20" t="str">
        <f t="array" ref="B1994">xlookup($A1994,product!$A:$A,product!B:B)</f>
        <v>Epicerie sucrée</v>
      </c>
      <c r="C1994" s="20" t="str">
        <f t="array" ref="C1994">xlookup($A1994,product!$A:$A,product!C:C)</f>
        <v>Confiserie Bio</v>
      </c>
      <c r="D1994" s="20" t="str">
        <f t="array" ref="D1994">xlookup($A1994,product!$A:$A,product!D:D)</f>
        <v>Bonbon</v>
      </c>
      <c r="E1994" s="4" t="str">
        <f t="shared" si="1"/>
        <v>9138-Confiserie Bio-Bonbon</v>
      </c>
      <c r="F1994" s="4">
        <v>0.0</v>
      </c>
      <c r="G1994" s="4">
        <v>384.0</v>
      </c>
      <c r="H1994" s="4">
        <v>311.0</v>
      </c>
      <c r="I1994" s="21">
        <f t="array" ref="I1994">XLOOKUP($A1994,product!A:A,product!E:E)</f>
        <v>1.16</v>
      </c>
      <c r="J1994" s="4">
        <f t="shared" si="2"/>
        <v>360.76</v>
      </c>
      <c r="K1994" s="22">
        <f t="shared" si="3"/>
        <v>1</v>
      </c>
      <c r="L1994" s="4">
        <f t="shared" si="4"/>
        <v>1</v>
      </c>
    </row>
    <row r="1995">
      <c r="A1995" s="23">
        <v>109483.0</v>
      </c>
      <c r="B1995" s="24" t="str">
        <f t="array" ref="B1995">xlookup($A1995,product!$A:$A,product!B:B)</f>
        <v>Epicerie sucrée</v>
      </c>
      <c r="C1995" s="24" t="str">
        <f t="array" ref="C1995">xlookup($A1995,product!$A:$A,product!C:C)</f>
        <v>Confiserie Bio</v>
      </c>
      <c r="D1995" s="24" t="str">
        <f t="array" ref="D1995">xlookup($A1995,product!$A:$A,product!D:D)</f>
        <v>Bonbon</v>
      </c>
      <c r="E1995" s="25" t="str">
        <f t="shared" si="1"/>
        <v>109483-Confiserie Bio-Bonbon</v>
      </c>
      <c r="F1995" s="25">
        <v>1.0</v>
      </c>
      <c r="G1995" s="25">
        <v>753.0</v>
      </c>
      <c r="H1995" s="25">
        <v>436.0</v>
      </c>
      <c r="I1995" s="26">
        <f t="array" ref="I1995">XLOOKUP($A1995,product!A:A,product!E:E)</f>
        <v>2.14</v>
      </c>
      <c r="J1995" s="25">
        <f t="shared" si="2"/>
        <v>933.04</v>
      </c>
      <c r="K1995" s="27">
        <f t="shared" si="3"/>
        <v>1</v>
      </c>
      <c r="L1995" s="25">
        <f t="shared" si="4"/>
        <v>1</v>
      </c>
    </row>
    <row r="1996">
      <c r="A1996" s="19">
        <v>120438.0</v>
      </c>
      <c r="B1996" s="20" t="str">
        <f t="array" ref="B1996">xlookup($A1996,product!$A:$A,product!B:B)</f>
        <v>Epicerie sucrée</v>
      </c>
      <c r="C1996" s="20" t="str">
        <f t="array" ref="C1996">xlookup($A1996,product!$A:$A,product!C:C)</f>
        <v>Confiserie Bio</v>
      </c>
      <c r="D1996" s="20" t="str">
        <f t="array" ref="D1996">xlookup($A1996,product!$A:$A,product!D:D)</f>
        <v>Bonbon</v>
      </c>
      <c r="E1996" s="4" t="str">
        <f t="shared" si="1"/>
        <v>120438-Confiserie Bio-Bonbon</v>
      </c>
      <c r="F1996" s="4">
        <v>1.0</v>
      </c>
      <c r="G1996" s="4">
        <v>335.0</v>
      </c>
      <c r="H1996" s="4">
        <v>110.0</v>
      </c>
      <c r="I1996" s="21">
        <f t="array" ref="I1996">XLOOKUP($A1996,product!A:A,product!E:E)</f>
        <v>1.41</v>
      </c>
      <c r="J1996" s="4">
        <f t="shared" si="2"/>
        <v>155.1</v>
      </c>
      <c r="K1996" s="22">
        <f t="shared" si="3"/>
        <v>1</v>
      </c>
      <c r="L1996" s="4">
        <f t="shared" si="4"/>
        <v>1</v>
      </c>
    </row>
    <row r="1997">
      <c r="A1997" s="23">
        <v>120439.0</v>
      </c>
      <c r="B1997" s="24" t="str">
        <f t="array" ref="B1997">xlookup($A1997,product!$A:$A,product!B:B)</f>
        <v>Epicerie sucrée</v>
      </c>
      <c r="C1997" s="24" t="str">
        <f t="array" ref="C1997">xlookup($A1997,product!$A:$A,product!C:C)</f>
        <v>Confiserie Bio</v>
      </c>
      <c r="D1997" s="24" t="str">
        <f t="array" ref="D1997">xlookup($A1997,product!$A:$A,product!D:D)</f>
        <v>Bonbon</v>
      </c>
      <c r="E1997" s="25" t="str">
        <f t="shared" si="1"/>
        <v>120439-Confiserie Bio-Bonbon</v>
      </c>
      <c r="F1997" s="25">
        <v>1.0</v>
      </c>
      <c r="G1997" s="25">
        <v>373.0</v>
      </c>
      <c r="H1997" s="25">
        <v>93.0</v>
      </c>
      <c r="I1997" s="26">
        <f t="array" ref="I1997">XLOOKUP($A1997,product!A:A,product!E:E)</f>
        <v>1.41</v>
      </c>
      <c r="J1997" s="25">
        <f t="shared" si="2"/>
        <v>131.13</v>
      </c>
      <c r="K1997" s="27">
        <f t="shared" si="3"/>
        <v>1</v>
      </c>
      <c r="L1997" s="25">
        <f t="shared" si="4"/>
        <v>1</v>
      </c>
    </row>
    <row r="1998">
      <c r="A1998" s="19">
        <v>23681.0</v>
      </c>
      <c r="B1998" s="20" t="str">
        <f t="array" ref="B1998">xlookup($A1998,product!$A:$A,product!B:B)</f>
        <v>Epicerie sucrée</v>
      </c>
      <c r="C1998" s="20" t="str">
        <f t="array" ref="C1998">xlookup($A1998,product!$A:$A,product!C:C)</f>
        <v>Confiserie Bio</v>
      </c>
      <c r="D1998" s="20" t="str">
        <f t="array" ref="D1998">xlookup($A1998,product!$A:$A,product!D:D)</f>
        <v>Bonbon</v>
      </c>
      <c r="E1998" s="4" t="str">
        <f t="shared" si="1"/>
        <v>23681-Confiserie Bio-Bonbon</v>
      </c>
      <c r="F1998" s="4">
        <v>1.0</v>
      </c>
      <c r="G1998" s="4">
        <v>765.0</v>
      </c>
      <c r="H1998" s="4">
        <v>480.0</v>
      </c>
      <c r="I1998" s="21">
        <f t="array" ref="I1998">XLOOKUP($A1998,product!A:A,product!E:E)</f>
        <v>1.69</v>
      </c>
      <c r="J1998" s="4">
        <f t="shared" si="2"/>
        <v>811.2</v>
      </c>
      <c r="K1998" s="22">
        <f t="shared" si="3"/>
        <v>1</v>
      </c>
      <c r="L1998" s="4">
        <f t="shared" si="4"/>
        <v>1</v>
      </c>
    </row>
    <row r="1999">
      <c r="A1999" s="23">
        <v>89564.0</v>
      </c>
      <c r="B1999" s="24" t="str">
        <f t="array" ref="B1999">xlookup($A1999,product!$A:$A,product!B:B)</f>
        <v>Epicerie sucrée</v>
      </c>
      <c r="C1999" s="24" t="str">
        <f t="array" ref="C1999">xlookup($A1999,product!$A:$A,product!C:C)</f>
        <v>Confiserie Bio</v>
      </c>
      <c r="D1999" s="24" t="str">
        <f t="array" ref="D1999">xlookup($A1999,product!$A:$A,product!D:D)</f>
        <v>Bonbon</v>
      </c>
      <c r="E1999" s="25" t="str">
        <f t="shared" si="1"/>
        <v>89564-Confiserie Bio-Bonbon</v>
      </c>
      <c r="F1999" s="25">
        <v>1.0</v>
      </c>
      <c r="G1999" s="25">
        <v>132.0</v>
      </c>
      <c r="H1999" s="25">
        <v>88.0</v>
      </c>
      <c r="I1999" s="26">
        <f t="array" ref="I1999">XLOOKUP($A1999,product!A:A,product!E:E)</f>
        <v>1.39</v>
      </c>
      <c r="J1999" s="25">
        <f t="shared" si="2"/>
        <v>122.32</v>
      </c>
      <c r="K1999" s="27">
        <f t="shared" si="3"/>
        <v>1</v>
      </c>
      <c r="L1999" s="25">
        <f t="shared" si="4"/>
        <v>1</v>
      </c>
    </row>
    <row r="2000">
      <c r="A2000" s="19">
        <v>111962.0</v>
      </c>
      <c r="B2000" s="20" t="str">
        <f t="array" ref="B2000">xlookup($A2000,product!$A:$A,product!B:B)</f>
        <v>Epicerie sucrée</v>
      </c>
      <c r="C2000" s="20" t="str">
        <f t="array" ref="C2000">xlookup($A2000,product!$A:$A,product!C:C)</f>
        <v>Confiserie Bio</v>
      </c>
      <c r="D2000" s="20" t="str">
        <f t="array" ref="D2000">xlookup($A2000,product!$A:$A,product!D:D)</f>
        <v>Bonbon</v>
      </c>
      <c r="E2000" s="4" t="str">
        <f t="shared" si="1"/>
        <v>111962-Confiserie Bio-Bonbon</v>
      </c>
      <c r="F2000" s="4">
        <v>0.0</v>
      </c>
      <c r="G2000" s="4">
        <v>632.0</v>
      </c>
      <c r="H2000" s="4">
        <v>607.0</v>
      </c>
      <c r="I2000" s="21">
        <f t="array" ref="I2000">XLOOKUP($A2000,product!A:A,product!E:E)</f>
        <v>1.84</v>
      </c>
      <c r="J2000" s="4">
        <f t="shared" si="2"/>
        <v>1116.88</v>
      </c>
      <c r="K2000" s="22">
        <f t="shared" si="3"/>
        <v>1</v>
      </c>
      <c r="L2000" s="4">
        <f t="shared" si="4"/>
        <v>1</v>
      </c>
    </row>
    <row r="2001">
      <c r="A2001" s="23">
        <v>124771.0</v>
      </c>
      <c r="B2001" s="24" t="str">
        <f t="array" ref="B2001">xlookup($A2001,product!$A:$A,product!B:B)</f>
        <v>Epicerie sucrée</v>
      </c>
      <c r="C2001" s="24" t="str">
        <f t="array" ref="C2001">xlookup($A2001,product!$A:$A,product!C:C)</f>
        <v>Confiserie Bio</v>
      </c>
      <c r="D2001" s="24" t="str">
        <f t="array" ref="D2001">xlookup($A2001,product!$A:$A,product!D:D)</f>
        <v>Bonbon</v>
      </c>
      <c r="E2001" s="25" t="str">
        <f t="shared" si="1"/>
        <v>124771-Confiserie Bio-Bonbon</v>
      </c>
      <c r="F2001" s="25">
        <v>1.0</v>
      </c>
      <c r="G2001" s="25">
        <v>81.0</v>
      </c>
      <c r="H2001" s="25">
        <v>36.0</v>
      </c>
      <c r="I2001" s="26">
        <f t="array" ref="I2001">XLOOKUP($A2001,product!A:A,product!E:E)</f>
        <v>3.14</v>
      </c>
      <c r="J2001" s="25">
        <f t="shared" si="2"/>
        <v>113.04</v>
      </c>
      <c r="K2001" s="27">
        <f t="shared" si="3"/>
        <v>1</v>
      </c>
      <c r="L2001" s="25">
        <f t="shared" si="4"/>
        <v>1</v>
      </c>
    </row>
    <row r="2002">
      <c r="A2002" s="19">
        <v>120446.0</v>
      </c>
      <c r="B2002" s="20" t="str">
        <f t="array" ref="B2002">xlookup($A2002,product!$A:$A,product!B:B)</f>
        <v>Epicerie sucrée</v>
      </c>
      <c r="C2002" s="20" t="str">
        <f t="array" ref="C2002">xlookup($A2002,product!$A:$A,product!C:C)</f>
        <v>Confiserie Bio</v>
      </c>
      <c r="D2002" s="20" t="str">
        <f t="array" ref="D2002">xlookup($A2002,product!$A:$A,product!D:D)</f>
        <v>Bonbon</v>
      </c>
      <c r="E2002" s="4" t="str">
        <f t="shared" si="1"/>
        <v>120446-Confiserie Bio-Bonbon</v>
      </c>
      <c r="F2002" s="4">
        <v>1.0</v>
      </c>
      <c r="G2002" s="4">
        <v>822.0</v>
      </c>
      <c r="H2002" s="4">
        <v>403.0</v>
      </c>
      <c r="I2002" s="21">
        <f t="array" ref="I2002">XLOOKUP($A2002,product!A:A,product!E:E)</f>
        <v>1.41</v>
      </c>
      <c r="J2002" s="4">
        <f t="shared" si="2"/>
        <v>568.23</v>
      </c>
      <c r="K2002" s="22">
        <f t="shared" si="3"/>
        <v>1</v>
      </c>
      <c r="L2002" s="4">
        <f t="shared" si="4"/>
        <v>1</v>
      </c>
    </row>
    <row r="2003">
      <c r="A2003" s="23">
        <v>111973.0</v>
      </c>
      <c r="B2003" s="24" t="str">
        <f t="array" ref="B2003">xlookup($A2003,product!$A:$A,product!B:B)</f>
        <v>Epicerie sucrée</v>
      </c>
      <c r="C2003" s="24" t="str">
        <f t="array" ref="C2003">xlookup($A2003,product!$A:$A,product!C:C)</f>
        <v>Confiserie Bio</v>
      </c>
      <c r="D2003" s="24" t="str">
        <f t="array" ref="D2003">xlookup($A2003,product!$A:$A,product!D:D)</f>
        <v>Bonbon</v>
      </c>
      <c r="E2003" s="25" t="str">
        <f t="shared" si="1"/>
        <v>111973-Confiserie Bio-Bonbon</v>
      </c>
      <c r="F2003" s="25">
        <v>1.0</v>
      </c>
      <c r="G2003" s="25">
        <v>568.0</v>
      </c>
      <c r="H2003" s="25">
        <v>380.0</v>
      </c>
      <c r="I2003" s="26">
        <f t="array" ref="I2003">XLOOKUP($A2003,product!A:A,product!E:E)</f>
        <v>0.89</v>
      </c>
      <c r="J2003" s="25">
        <f t="shared" si="2"/>
        <v>338.2</v>
      </c>
      <c r="K2003" s="27">
        <f t="shared" si="3"/>
        <v>1</v>
      </c>
      <c r="L2003" s="25">
        <f t="shared" si="4"/>
        <v>1</v>
      </c>
    </row>
    <row r="2004">
      <c r="A2004" s="19">
        <v>120437.0</v>
      </c>
      <c r="B2004" s="20" t="str">
        <f t="array" ref="B2004">xlookup($A2004,product!$A:$A,product!B:B)</f>
        <v>Epicerie sucrée</v>
      </c>
      <c r="C2004" s="20" t="str">
        <f t="array" ref="C2004">xlookup($A2004,product!$A:$A,product!C:C)</f>
        <v>Confiserie Bio</v>
      </c>
      <c r="D2004" s="20" t="str">
        <f t="array" ref="D2004">xlookup($A2004,product!$A:$A,product!D:D)</f>
        <v>Bonbon</v>
      </c>
      <c r="E2004" s="4" t="str">
        <f t="shared" si="1"/>
        <v>120437-Confiserie Bio-Bonbon</v>
      </c>
      <c r="F2004" s="4">
        <v>0.0</v>
      </c>
      <c r="G2004" s="4">
        <v>131.0</v>
      </c>
      <c r="H2004" s="4">
        <v>47.0</v>
      </c>
      <c r="I2004" s="21">
        <f t="array" ref="I2004">XLOOKUP($A2004,product!A:A,product!E:E)</f>
        <v>1.41</v>
      </c>
      <c r="J2004" s="4">
        <f t="shared" si="2"/>
        <v>66.27</v>
      </c>
      <c r="K2004" s="22">
        <f t="shared" si="3"/>
        <v>1</v>
      </c>
      <c r="L2004" s="4">
        <f t="shared" si="4"/>
        <v>1</v>
      </c>
    </row>
    <row r="2005">
      <c r="A2005" s="23">
        <v>124769.0</v>
      </c>
      <c r="B2005" s="24" t="str">
        <f t="array" ref="B2005">xlookup($A2005,product!$A:$A,product!B:B)</f>
        <v>Epicerie sucrée</v>
      </c>
      <c r="C2005" s="24" t="str">
        <f t="array" ref="C2005">xlookup($A2005,product!$A:$A,product!C:C)</f>
        <v>Confiserie Bio</v>
      </c>
      <c r="D2005" s="24" t="str">
        <f t="array" ref="D2005">xlookup($A2005,product!$A:$A,product!D:D)</f>
        <v>Bonbon</v>
      </c>
      <c r="E2005" s="25" t="str">
        <f t="shared" si="1"/>
        <v>124769-Confiserie Bio-Bonbon</v>
      </c>
      <c r="F2005" s="25">
        <v>1.0</v>
      </c>
      <c r="G2005" s="25">
        <v>393.0</v>
      </c>
      <c r="H2005" s="25">
        <v>122.0</v>
      </c>
      <c r="I2005" s="26">
        <f t="array" ref="I2005">XLOOKUP($A2005,product!A:A,product!E:E)</f>
        <v>1.91</v>
      </c>
      <c r="J2005" s="25">
        <f t="shared" si="2"/>
        <v>233.02</v>
      </c>
      <c r="K2005" s="27">
        <f t="shared" si="3"/>
        <v>1</v>
      </c>
      <c r="L2005" s="25">
        <f t="shared" si="4"/>
        <v>1</v>
      </c>
    </row>
    <row r="2006">
      <c r="A2006" s="19">
        <v>111972.0</v>
      </c>
      <c r="B2006" s="20" t="str">
        <f t="array" ref="B2006">xlookup($A2006,product!$A:$A,product!B:B)</f>
        <v>Epicerie sucrée</v>
      </c>
      <c r="C2006" s="20" t="str">
        <f t="array" ref="C2006">xlookup($A2006,product!$A:$A,product!C:C)</f>
        <v>Confiserie Bio</v>
      </c>
      <c r="D2006" s="20" t="str">
        <f t="array" ref="D2006">xlookup($A2006,product!$A:$A,product!D:D)</f>
        <v>Bonbon</v>
      </c>
      <c r="E2006" s="4" t="str">
        <f t="shared" si="1"/>
        <v>111972-Confiserie Bio-Bonbon</v>
      </c>
      <c r="F2006" s="4">
        <v>0.0</v>
      </c>
      <c r="G2006" s="4">
        <v>144.0</v>
      </c>
      <c r="H2006" s="4">
        <v>114.0</v>
      </c>
      <c r="I2006" s="21">
        <f t="array" ref="I2006">XLOOKUP($A2006,product!A:A,product!E:E)</f>
        <v>0.89</v>
      </c>
      <c r="J2006" s="4">
        <f t="shared" si="2"/>
        <v>101.46</v>
      </c>
      <c r="K2006" s="22">
        <f t="shared" si="3"/>
        <v>1</v>
      </c>
      <c r="L2006" s="4">
        <f t="shared" si="4"/>
        <v>1</v>
      </c>
    </row>
    <row r="2007">
      <c r="A2007" s="23">
        <v>47390.0</v>
      </c>
      <c r="B2007" s="24" t="str">
        <f t="array" ref="B2007">xlookup($A2007,product!$A:$A,product!B:B)</f>
        <v>Epicerie sucrée</v>
      </c>
      <c r="C2007" s="24" t="str">
        <f t="array" ref="C2007">xlookup($A2007,product!$A:$A,product!C:C)</f>
        <v>Confiserie Bio</v>
      </c>
      <c r="D2007" s="24" t="str">
        <f t="array" ref="D2007">xlookup($A2007,product!$A:$A,product!D:D)</f>
        <v>Nougat</v>
      </c>
      <c r="E2007" s="25" t="str">
        <f t="shared" si="1"/>
        <v>47390-Confiserie Bio-Nougat</v>
      </c>
      <c r="F2007" s="25">
        <v>0.0</v>
      </c>
      <c r="G2007" s="25">
        <v>958.0</v>
      </c>
      <c r="H2007" s="25">
        <v>119.0</v>
      </c>
      <c r="I2007" s="26">
        <f t="array" ref="I2007">XLOOKUP($A2007,product!A:A,product!E:E)</f>
        <v>1.11</v>
      </c>
      <c r="J2007" s="25">
        <f t="shared" si="2"/>
        <v>132.09</v>
      </c>
      <c r="K2007" s="27">
        <f t="shared" si="3"/>
        <v>1</v>
      </c>
      <c r="L2007" s="25">
        <f t="shared" si="4"/>
        <v>1</v>
      </c>
    </row>
    <row r="2008">
      <c r="A2008" s="19">
        <v>27047.0</v>
      </c>
      <c r="B2008" s="20" t="str">
        <f t="array" ref="B2008">xlookup($A2008,product!$A:$A,product!B:B)</f>
        <v>Epicerie sucrée</v>
      </c>
      <c r="C2008" s="20" t="str">
        <f t="array" ref="C2008">xlookup($A2008,product!$A:$A,product!C:C)</f>
        <v>Confiserie Bio</v>
      </c>
      <c r="D2008" s="20" t="str">
        <f t="array" ref="D2008">xlookup($A2008,product!$A:$A,product!D:D)</f>
        <v>Guimauve</v>
      </c>
      <c r="E2008" s="4" t="str">
        <f t="shared" si="1"/>
        <v>27047-Confiserie Bio-Guimauve</v>
      </c>
      <c r="F2008" s="4">
        <v>0.0</v>
      </c>
      <c r="G2008" s="4">
        <v>345.0</v>
      </c>
      <c r="H2008" s="4">
        <v>66.0</v>
      </c>
      <c r="I2008" s="21">
        <f t="array" ref="I2008">XLOOKUP($A2008,product!A:A,product!E:E)</f>
        <v>2.69</v>
      </c>
      <c r="J2008" s="4">
        <f t="shared" si="2"/>
        <v>177.54</v>
      </c>
      <c r="K2008" s="22">
        <f t="shared" si="3"/>
        <v>1</v>
      </c>
      <c r="L2008" s="4">
        <f t="shared" si="4"/>
        <v>1</v>
      </c>
    </row>
    <row r="2009">
      <c r="A2009" s="23">
        <v>68713.0</v>
      </c>
      <c r="B2009" s="24" t="str">
        <f t="array" ref="B2009">xlookup($A2009,product!$A:$A,product!B:B)</f>
        <v>Epicerie sucrée</v>
      </c>
      <c r="C2009" s="24" t="str">
        <f t="array" ref="C2009">xlookup($A2009,product!$A:$A,product!C:C)</f>
        <v>Confiserie Bio</v>
      </c>
      <c r="D2009" s="24" t="str">
        <f t="array" ref="D2009">xlookup($A2009,product!$A:$A,product!D:D)</f>
        <v>Guimauve</v>
      </c>
      <c r="E2009" s="25" t="str">
        <f t="shared" si="1"/>
        <v>68713-Confiserie Bio-Guimauve</v>
      </c>
      <c r="F2009" s="25">
        <v>1.0</v>
      </c>
      <c r="G2009" s="25">
        <v>600.0</v>
      </c>
      <c r="H2009" s="25">
        <v>551.0</v>
      </c>
      <c r="I2009" s="26">
        <f t="array" ref="I2009">XLOOKUP($A2009,product!A:A,product!E:E)</f>
        <v>3.55</v>
      </c>
      <c r="J2009" s="25">
        <f t="shared" si="2"/>
        <v>1956.05</v>
      </c>
      <c r="K2009" s="27">
        <f t="shared" si="3"/>
        <v>1</v>
      </c>
      <c r="L2009" s="25">
        <f t="shared" si="4"/>
        <v>1</v>
      </c>
    </row>
    <row r="2010">
      <c r="A2010" s="19">
        <v>120568.0</v>
      </c>
      <c r="B2010" s="20" t="str">
        <f t="array" ref="B2010">xlookup($A2010,product!$A:$A,product!B:B)</f>
        <v>Epicerie sucrée</v>
      </c>
      <c r="C2010" s="20" t="str">
        <f t="array" ref="C2010">xlookup($A2010,product!$A:$A,product!C:C)</f>
        <v>Confiserie Bio</v>
      </c>
      <c r="D2010" s="20" t="str">
        <f t="array" ref="D2010">xlookup($A2010,product!$A:$A,product!D:D)</f>
        <v>Chewing-gums</v>
      </c>
      <c r="E2010" s="4" t="str">
        <f t="shared" si="1"/>
        <v>120568-Confiserie Bio-Chewing-gums</v>
      </c>
      <c r="F2010" s="4">
        <v>1.0</v>
      </c>
      <c r="G2010" s="4">
        <v>960.0</v>
      </c>
      <c r="H2010" s="4">
        <v>38.0</v>
      </c>
      <c r="I2010" s="21">
        <f t="array" ref="I2010">XLOOKUP($A2010,product!A:A,product!E:E)</f>
        <v>1.68</v>
      </c>
      <c r="J2010" s="4">
        <f t="shared" si="2"/>
        <v>63.84</v>
      </c>
      <c r="K2010" s="22">
        <f t="shared" si="3"/>
        <v>1</v>
      </c>
      <c r="L2010" s="4">
        <f t="shared" si="4"/>
        <v>1</v>
      </c>
    </row>
    <row r="2011">
      <c r="A2011" s="23">
        <v>120567.0</v>
      </c>
      <c r="B2011" s="24" t="str">
        <f t="array" ref="B2011">xlookup($A2011,product!$A:$A,product!B:B)</f>
        <v>Epicerie sucrée</v>
      </c>
      <c r="C2011" s="24" t="str">
        <f t="array" ref="C2011">xlookup($A2011,product!$A:$A,product!C:C)</f>
        <v>Confiserie Bio</v>
      </c>
      <c r="D2011" s="24" t="str">
        <f t="array" ref="D2011">xlookup($A2011,product!$A:$A,product!D:D)</f>
        <v>Chewing-gums</v>
      </c>
      <c r="E2011" s="25" t="str">
        <f t="shared" si="1"/>
        <v>120567-Confiserie Bio-Chewing-gums</v>
      </c>
      <c r="F2011" s="25">
        <v>1.0</v>
      </c>
      <c r="G2011" s="25">
        <v>671.0</v>
      </c>
      <c r="H2011" s="25">
        <v>45.0</v>
      </c>
      <c r="I2011" s="26">
        <f t="array" ref="I2011">XLOOKUP($A2011,product!A:A,product!E:E)</f>
        <v>1.68</v>
      </c>
      <c r="J2011" s="25">
        <f t="shared" si="2"/>
        <v>75.6</v>
      </c>
      <c r="K2011" s="27">
        <f t="shared" si="3"/>
        <v>1</v>
      </c>
      <c r="L2011" s="25">
        <f t="shared" si="4"/>
        <v>1</v>
      </c>
    </row>
    <row r="2012">
      <c r="A2012" s="19">
        <v>77038.0</v>
      </c>
      <c r="B2012" s="20" t="str">
        <f t="array" ref="B2012">xlookup($A2012,product!$A:$A,product!B:B)</f>
        <v>Epicerie sucrée</v>
      </c>
      <c r="C2012" s="20" t="str">
        <f t="array" ref="C2012">xlookup($A2012,product!$A:$A,product!C:C)</f>
        <v>Confiserie Bio</v>
      </c>
      <c r="D2012" s="20" t="str">
        <f t="array" ref="D2012">xlookup($A2012,product!$A:$A,product!D:D)</f>
        <v>Chewing-gums</v>
      </c>
      <c r="E2012" s="4" t="str">
        <f t="shared" si="1"/>
        <v>77038-Confiserie Bio-Chewing-gums</v>
      </c>
      <c r="F2012" s="4">
        <v>1.0</v>
      </c>
      <c r="G2012" s="4">
        <v>595.0</v>
      </c>
      <c r="H2012" s="4">
        <v>481.0</v>
      </c>
      <c r="I2012" s="21">
        <f t="array" ref="I2012">XLOOKUP($A2012,product!A:A,product!E:E)</f>
        <v>1.35</v>
      </c>
      <c r="J2012" s="4">
        <f t="shared" si="2"/>
        <v>649.35</v>
      </c>
      <c r="K2012" s="22">
        <f t="shared" si="3"/>
        <v>1</v>
      </c>
      <c r="L2012" s="4">
        <f t="shared" si="4"/>
        <v>1</v>
      </c>
    </row>
    <row r="2013">
      <c r="A2013" s="23">
        <v>87760.0</v>
      </c>
      <c r="B2013" s="24" t="str">
        <f t="array" ref="B2013">xlookup($A2013,product!$A:$A,product!B:B)</f>
        <v>Beauté &amp; Hygiène</v>
      </c>
      <c r="C2013" s="24" t="str">
        <f t="array" ref="C2013">xlookup($A2013,product!$A:$A,product!C:C)</f>
        <v>Douche et Bain</v>
      </c>
      <c r="D2013" s="24" t="str">
        <f t="array" ref="D2013">xlookup($A2013,product!$A:$A,product!D:D)</f>
        <v>Savon</v>
      </c>
      <c r="E2013" s="25" t="str">
        <f t="shared" si="1"/>
        <v>87760-Douche et Bain-Savon</v>
      </c>
      <c r="F2013" s="25">
        <v>1.0</v>
      </c>
      <c r="G2013" s="25">
        <v>879.0</v>
      </c>
      <c r="H2013" s="25">
        <v>333.0</v>
      </c>
      <c r="I2013" s="26">
        <f t="array" ref="I2013">XLOOKUP($A2013,product!A:A,product!E:E)</f>
        <v>2.23</v>
      </c>
      <c r="J2013" s="25">
        <f t="shared" si="2"/>
        <v>742.59</v>
      </c>
      <c r="K2013" s="27">
        <f t="shared" si="3"/>
        <v>1</v>
      </c>
      <c r="L2013" s="25">
        <f t="shared" si="4"/>
        <v>1</v>
      </c>
    </row>
    <row r="2014">
      <c r="A2014" s="19">
        <v>122612.0</v>
      </c>
      <c r="B2014" s="20" t="str">
        <f t="array" ref="B2014">xlookup($A2014,product!$A:$A,product!B:B)</f>
        <v>Beauté &amp; Hygiène</v>
      </c>
      <c r="C2014" s="20" t="str">
        <f t="array" ref="C2014">xlookup($A2014,product!$A:$A,product!C:C)</f>
        <v>Douche et Bain</v>
      </c>
      <c r="D2014" s="20" t="str">
        <f t="array" ref="D2014">xlookup($A2014,product!$A:$A,product!D:D)</f>
        <v>Savon</v>
      </c>
      <c r="E2014" s="4" t="str">
        <f t="shared" si="1"/>
        <v>122612-Douche et Bain-Savon</v>
      </c>
      <c r="F2014" s="4">
        <v>0.0</v>
      </c>
      <c r="G2014" s="4">
        <v>464.0</v>
      </c>
      <c r="H2014" s="4">
        <v>226.0</v>
      </c>
      <c r="I2014" s="21">
        <f t="array" ref="I2014">XLOOKUP($A2014,product!A:A,product!E:E)</f>
        <v>1.44</v>
      </c>
      <c r="J2014" s="4">
        <f t="shared" si="2"/>
        <v>325.44</v>
      </c>
      <c r="K2014" s="22">
        <f t="shared" si="3"/>
        <v>1</v>
      </c>
      <c r="L2014" s="4">
        <f t="shared" si="4"/>
        <v>1</v>
      </c>
    </row>
    <row r="2015">
      <c r="A2015" s="23">
        <v>110655.0</v>
      </c>
      <c r="B2015" s="24" t="str">
        <f t="array" ref="B2015">xlookup($A2015,product!$A:$A,product!B:B)</f>
        <v>Beauté &amp; Hygiène</v>
      </c>
      <c r="C2015" s="24" t="str">
        <f t="array" ref="C2015">xlookup($A2015,product!$A:$A,product!C:C)</f>
        <v>Douche et Bain</v>
      </c>
      <c r="D2015" s="24" t="str">
        <f t="array" ref="D2015">xlookup($A2015,product!$A:$A,product!D:D)</f>
        <v>Savon</v>
      </c>
      <c r="E2015" s="25" t="str">
        <f t="shared" si="1"/>
        <v>110655-Douche et Bain-Savon</v>
      </c>
      <c r="F2015" s="25">
        <v>1.0</v>
      </c>
      <c r="G2015" s="25">
        <v>205.0</v>
      </c>
      <c r="H2015" s="25">
        <v>196.0</v>
      </c>
      <c r="I2015" s="26">
        <f t="array" ref="I2015">XLOOKUP($A2015,product!A:A,product!E:E)</f>
        <v>3.12</v>
      </c>
      <c r="J2015" s="25">
        <f t="shared" si="2"/>
        <v>611.52</v>
      </c>
      <c r="K2015" s="27">
        <f t="shared" si="3"/>
        <v>1</v>
      </c>
      <c r="L2015" s="25">
        <f t="shared" si="4"/>
        <v>1</v>
      </c>
    </row>
    <row r="2016">
      <c r="A2016" s="19">
        <v>87785.0</v>
      </c>
      <c r="B2016" s="20" t="str">
        <f t="array" ref="B2016">xlookup($A2016,product!$A:$A,product!B:B)</f>
        <v>Beauté &amp; Hygiène</v>
      </c>
      <c r="C2016" s="20" t="str">
        <f t="array" ref="C2016">xlookup($A2016,product!$A:$A,product!C:C)</f>
        <v>Douche et Bain</v>
      </c>
      <c r="D2016" s="20" t="str">
        <f t="array" ref="D2016">xlookup($A2016,product!$A:$A,product!D:D)</f>
        <v>Savon</v>
      </c>
      <c r="E2016" s="4" t="str">
        <f t="shared" si="1"/>
        <v>87785-Douche et Bain-Savon</v>
      </c>
      <c r="F2016" s="4">
        <v>0.0</v>
      </c>
      <c r="G2016" s="4">
        <v>333.0</v>
      </c>
      <c r="H2016" s="4">
        <v>271.0</v>
      </c>
      <c r="I2016" s="21">
        <f t="array" ref="I2016">XLOOKUP($A2016,product!A:A,product!E:E)</f>
        <v>2.16</v>
      </c>
      <c r="J2016" s="4">
        <f t="shared" si="2"/>
        <v>585.36</v>
      </c>
      <c r="K2016" s="22">
        <f t="shared" si="3"/>
        <v>1</v>
      </c>
      <c r="L2016" s="4">
        <f t="shared" si="4"/>
        <v>1</v>
      </c>
    </row>
    <row r="2017">
      <c r="A2017" s="23">
        <v>122629.0</v>
      </c>
      <c r="B2017" s="24" t="str">
        <f t="array" ref="B2017">xlookup($A2017,product!$A:$A,product!B:B)</f>
        <v>Beauté &amp; Hygiène</v>
      </c>
      <c r="C2017" s="24" t="str">
        <f t="array" ref="C2017">xlookup($A2017,product!$A:$A,product!C:C)</f>
        <v>Douche et Bain</v>
      </c>
      <c r="D2017" s="24" t="str">
        <f t="array" ref="D2017">xlookup($A2017,product!$A:$A,product!D:D)</f>
        <v>Savon</v>
      </c>
      <c r="E2017" s="25" t="str">
        <f t="shared" si="1"/>
        <v>122629-Douche et Bain-Savon</v>
      </c>
      <c r="F2017" s="25">
        <v>1.0</v>
      </c>
      <c r="G2017" s="25">
        <v>138.0</v>
      </c>
      <c r="H2017" s="25">
        <v>135.0</v>
      </c>
      <c r="I2017" s="26">
        <f t="array" ref="I2017">XLOOKUP($A2017,product!A:A,product!E:E)</f>
        <v>2.82</v>
      </c>
      <c r="J2017" s="25">
        <f t="shared" si="2"/>
        <v>380.7</v>
      </c>
      <c r="K2017" s="27">
        <f t="shared" si="3"/>
        <v>1</v>
      </c>
      <c r="L2017" s="25">
        <f t="shared" si="4"/>
        <v>1</v>
      </c>
    </row>
    <row r="2018">
      <c r="A2018" s="19">
        <v>122614.0</v>
      </c>
      <c r="B2018" s="20" t="str">
        <f t="array" ref="B2018">xlookup($A2018,product!$A:$A,product!B:B)</f>
        <v>Beauté &amp; Hygiène</v>
      </c>
      <c r="C2018" s="20" t="str">
        <f t="array" ref="C2018">xlookup($A2018,product!$A:$A,product!C:C)</f>
        <v>Douche et Bain</v>
      </c>
      <c r="D2018" s="20" t="str">
        <f t="array" ref="D2018">xlookup($A2018,product!$A:$A,product!D:D)</f>
        <v>Savon</v>
      </c>
      <c r="E2018" s="4" t="str">
        <f t="shared" si="1"/>
        <v>122614-Douche et Bain-Savon</v>
      </c>
      <c r="F2018" s="4">
        <v>1.0</v>
      </c>
      <c r="G2018" s="4">
        <v>922.0</v>
      </c>
      <c r="H2018" s="4">
        <v>684.0</v>
      </c>
      <c r="I2018" s="21">
        <f t="array" ref="I2018">XLOOKUP($A2018,product!A:A,product!E:E)</f>
        <v>1.44</v>
      </c>
      <c r="J2018" s="4">
        <f t="shared" si="2"/>
        <v>984.96</v>
      </c>
      <c r="K2018" s="22">
        <f t="shared" si="3"/>
        <v>1</v>
      </c>
      <c r="L2018" s="4">
        <f t="shared" si="4"/>
        <v>1</v>
      </c>
    </row>
    <row r="2019">
      <c r="A2019" s="23">
        <v>122788.0</v>
      </c>
      <c r="B2019" s="24" t="str">
        <f t="array" ref="B2019">xlookup($A2019,product!$A:$A,product!B:B)</f>
        <v>Beauté &amp; Hygiène</v>
      </c>
      <c r="C2019" s="24" t="str">
        <f t="array" ref="C2019">xlookup($A2019,product!$A:$A,product!C:C)</f>
        <v>Douche et Bain</v>
      </c>
      <c r="D2019" s="24" t="str">
        <f t="array" ref="D2019">xlookup($A2019,product!$A:$A,product!D:D)</f>
        <v>Savon</v>
      </c>
      <c r="E2019" s="25" t="str">
        <f t="shared" si="1"/>
        <v>122788-Douche et Bain-Savon</v>
      </c>
      <c r="F2019" s="25">
        <v>1.0</v>
      </c>
      <c r="G2019" s="25">
        <v>146.0</v>
      </c>
      <c r="H2019" s="25">
        <v>137.0</v>
      </c>
      <c r="I2019" s="26">
        <f t="array" ref="I2019">XLOOKUP($A2019,product!A:A,product!E:E)</f>
        <v>2.42</v>
      </c>
      <c r="J2019" s="25">
        <f t="shared" si="2"/>
        <v>331.54</v>
      </c>
      <c r="K2019" s="27">
        <f t="shared" si="3"/>
        <v>1</v>
      </c>
      <c r="L2019" s="25">
        <f t="shared" si="4"/>
        <v>1</v>
      </c>
    </row>
    <row r="2020">
      <c r="A2020" s="19">
        <v>20226.0</v>
      </c>
      <c r="B2020" s="20" t="str">
        <f t="array" ref="B2020">xlookup($A2020,product!$A:$A,product!B:B)</f>
        <v>Beauté &amp; Hygiène</v>
      </c>
      <c r="C2020" s="20" t="str">
        <f t="array" ref="C2020">xlookup($A2020,product!$A:$A,product!C:C)</f>
        <v>Douche et Bain</v>
      </c>
      <c r="D2020" s="20" t="str">
        <f t="array" ref="D2020">xlookup($A2020,product!$A:$A,product!D:D)</f>
        <v>Savon</v>
      </c>
      <c r="E2020" s="4" t="str">
        <f t="shared" si="1"/>
        <v>20226-Douche et Bain-Savon</v>
      </c>
      <c r="F2020" s="4">
        <v>1.0</v>
      </c>
      <c r="G2020" s="4">
        <v>165.0</v>
      </c>
      <c r="H2020" s="4">
        <v>29.0</v>
      </c>
      <c r="I2020" s="21">
        <f t="array" ref="I2020">XLOOKUP($A2020,product!A:A,product!E:E)</f>
        <v>3.76</v>
      </c>
      <c r="J2020" s="4">
        <f t="shared" si="2"/>
        <v>109.04</v>
      </c>
      <c r="K2020" s="22">
        <f t="shared" si="3"/>
        <v>1</v>
      </c>
      <c r="L2020" s="4">
        <f t="shared" si="4"/>
        <v>1</v>
      </c>
    </row>
    <row r="2021">
      <c r="A2021" s="23">
        <v>120894.0</v>
      </c>
      <c r="B2021" s="24" t="str">
        <f t="array" ref="B2021">xlookup($A2021,product!$A:$A,product!B:B)</f>
        <v>Beauté &amp; Hygiène</v>
      </c>
      <c r="C2021" s="24" t="str">
        <f t="array" ref="C2021">xlookup($A2021,product!$A:$A,product!C:C)</f>
        <v>Douche et Bain</v>
      </c>
      <c r="D2021" s="24" t="str">
        <f t="array" ref="D2021">xlookup($A2021,product!$A:$A,product!D:D)</f>
        <v>Savon</v>
      </c>
      <c r="E2021" s="25" t="str">
        <f t="shared" si="1"/>
        <v>120894-Douche et Bain-Savon</v>
      </c>
      <c r="F2021" s="25">
        <v>1.0</v>
      </c>
      <c r="G2021" s="25">
        <v>78.0</v>
      </c>
      <c r="H2021" s="25">
        <v>13.0</v>
      </c>
      <c r="I2021" s="26">
        <f t="array" ref="I2021">XLOOKUP($A2021,product!A:A,product!E:E)</f>
        <v>3.49</v>
      </c>
      <c r="J2021" s="25">
        <f t="shared" si="2"/>
        <v>45.37</v>
      </c>
      <c r="K2021" s="27">
        <f t="shared" si="3"/>
        <v>1</v>
      </c>
      <c r="L2021" s="25">
        <f t="shared" si="4"/>
        <v>1</v>
      </c>
    </row>
    <row r="2022">
      <c r="A2022" s="19">
        <v>46762.0</v>
      </c>
      <c r="B2022" s="20" t="str">
        <f t="array" ref="B2022">xlookup($A2022,product!$A:$A,product!B:B)</f>
        <v>Beauté &amp; Hygiène</v>
      </c>
      <c r="C2022" s="20" t="str">
        <f t="array" ref="C2022">xlookup($A2022,product!$A:$A,product!C:C)</f>
        <v>Douche et Bain</v>
      </c>
      <c r="D2022" s="20" t="str">
        <f t="array" ref="D2022">xlookup($A2022,product!$A:$A,product!D:D)</f>
        <v>Savon</v>
      </c>
      <c r="E2022" s="4" t="str">
        <f t="shared" si="1"/>
        <v>46762-Douche et Bain-Savon</v>
      </c>
      <c r="F2022" s="4">
        <v>0.0</v>
      </c>
      <c r="G2022" s="4">
        <v>670.0</v>
      </c>
      <c r="H2022" s="4">
        <v>39.0</v>
      </c>
      <c r="I2022" s="21">
        <f t="array" ref="I2022">XLOOKUP($A2022,product!A:A,product!E:E)</f>
        <v>1.91</v>
      </c>
      <c r="J2022" s="4">
        <f t="shared" si="2"/>
        <v>74.49</v>
      </c>
      <c r="K2022" s="22">
        <f t="shared" si="3"/>
        <v>1</v>
      </c>
      <c r="L2022" s="4">
        <f t="shared" si="4"/>
        <v>1</v>
      </c>
    </row>
    <row r="2023">
      <c r="A2023" s="23">
        <v>118212.0</v>
      </c>
      <c r="B2023" s="24" t="str">
        <f t="array" ref="B2023">xlookup($A2023,product!$A:$A,product!B:B)</f>
        <v>Beauté &amp; Hygiène</v>
      </c>
      <c r="C2023" s="24" t="str">
        <f t="array" ref="C2023">xlookup($A2023,product!$A:$A,product!C:C)</f>
        <v>Douche et Bain</v>
      </c>
      <c r="D2023" s="24" t="str">
        <f t="array" ref="D2023">xlookup($A2023,product!$A:$A,product!D:D)</f>
        <v>Savon</v>
      </c>
      <c r="E2023" s="25" t="str">
        <f t="shared" si="1"/>
        <v>118212-Douche et Bain-Savon</v>
      </c>
      <c r="F2023" s="25">
        <v>0.0</v>
      </c>
      <c r="G2023" s="25">
        <v>695.0</v>
      </c>
      <c r="H2023" s="25">
        <v>306.0</v>
      </c>
      <c r="I2023" s="26">
        <f t="array" ref="I2023">XLOOKUP($A2023,product!A:A,product!E:E)</f>
        <v>2.88</v>
      </c>
      <c r="J2023" s="25">
        <f t="shared" si="2"/>
        <v>881.28</v>
      </c>
      <c r="K2023" s="27">
        <f t="shared" si="3"/>
        <v>1</v>
      </c>
      <c r="L2023" s="25">
        <f t="shared" si="4"/>
        <v>1</v>
      </c>
    </row>
    <row r="2024">
      <c r="A2024" s="19">
        <v>150950.0</v>
      </c>
      <c r="B2024" s="20" t="str">
        <f t="array" ref="B2024">xlookup($A2024,product!$A:$A,product!B:B)</f>
        <v>Beauté &amp; Hygiène</v>
      </c>
      <c r="C2024" s="20" t="str">
        <f t="array" ref="C2024">xlookup($A2024,product!$A:$A,product!C:C)</f>
        <v>Douche et Bain</v>
      </c>
      <c r="D2024" s="20" t="str">
        <f t="array" ref="D2024">xlookup($A2024,product!$A:$A,product!D:D)</f>
        <v>Savon</v>
      </c>
      <c r="E2024" s="4" t="str">
        <f t="shared" si="1"/>
        <v>150950-Douche et Bain-Savon</v>
      </c>
      <c r="F2024" s="4">
        <v>1.0</v>
      </c>
      <c r="G2024" s="4">
        <v>140.0</v>
      </c>
      <c r="H2024" s="4">
        <v>69.0</v>
      </c>
      <c r="I2024" s="21">
        <f t="array" ref="I2024">XLOOKUP($A2024,product!A:A,product!E:E)</f>
        <v>2.2</v>
      </c>
      <c r="J2024" s="4">
        <f t="shared" si="2"/>
        <v>151.8</v>
      </c>
      <c r="K2024" s="22">
        <f t="shared" si="3"/>
        <v>1</v>
      </c>
      <c r="L2024" s="4">
        <f t="shared" si="4"/>
        <v>1</v>
      </c>
    </row>
    <row r="2025">
      <c r="A2025" s="23">
        <v>190106.0</v>
      </c>
      <c r="B2025" s="24" t="str">
        <f t="array" ref="B2025">xlookup($A2025,product!$A:$A,product!B:B)</f>
        <v>Beauté &amp; Hygiène</v>
      </c>
      <c r="C2025" s="24" t="str">
        <f t="array" ref="C2025">xlookup($A2025,product!$A:$A,product!C:C)</f>
        <v>Douche et Bain</v>
      </c>
      <c r="D2025" s="24" t="str">
        <f t="array" ref="D2025">xlookup($A2025,product!$A:$A,product!D:D)</f>
        <v>Savon</v>
      </c>
      <c r="E2025" s="25" t="str">
        <f t="shared" si="1"/>
        <v>190106-Douche et Bain-Savon</v>
      </c>
      <c r="F2025" s="25">
        <v>1.0</v>
      </c>
      <c r="G2025" s="25">
        <v>831.0</v>
      </c>
      <c r="H2025" s="25">
        <v>200.0</v>
      </c>
      <c r="I2025" s="26">
        <f t="array" ref="I2025">XLOOKUP($A2025,product!A:A,product!E:E)</f>
        <v>2</v>
      </c>
      <c r="J2025" s="25">
        <f t="shared" si="2"/>
        <v>400</v>
      </c>
      <c r="K2025" s="27">
        <f t="shared" si="3"/>
        <v>1</v>
      </c>
      <c r="L2025" s="25">
        <f t="shared" si="4"/>
        <v>1</v>
      </c>
    </row>
    <row r="2026">
      <c r="A2026" s="19">
        <v>79810.0</v>
      </c>
      <c r="B2026" s="20" t="str">
        <f t="array" ref="B2026">xlookup($A2026,product!$A:$A,product!B:B)</f>
        <v>Beauté &amp; Hygiène</v>
      </c>
      <c r="C2026" s="20" t="str">
        <f t="array" ref="C2026">xlookup($A2026,product!$A:$A,product!C:C)</f>
        <v>Douche et Bain</v>
      </c>
      <c r="D2026" s="20" t="str">
        <f t="array" ref="D2026">xlookup($A2026,product!$A:$A,product!D:D)</f>
        <v>Savon</v>
      </c>
      <c r="E2026" s="4" t="str">
        <f t="shared" si="1"/>
        <v>79810-Douche et Bain-Savon</v>
      </c>
      <c r="F2026" s="4">
        <v>1.0</v>
      </c>
      <c r="G2026" s="4">
        <v>37.0</v>
      </c>
      <c r="H2026" s="4">
        <v>17.0</v>
      </c>
      <c r="I2026" s="21">
        <f t="array" ref="I2026">XLOOKUP($A2026,product!A:A,product!E:E)</f>
        <v>2.1</v>
      </c>
      <c r="J2026" s="4">
        <f t="shared" si="2"/>
        <v>35.7</v>
      </c>
      <c r="K2026" s="22">
        <f t="shared" si="3"/>
        <v>1</v>
      </c>
      <c r="L2026" s="4">
        <f t="shared" si="4"/>
        <v>1</v>
      </c>
    </row>
    <row r="2027">
      <c r="A2027" s="23">
        <v>82459.0</v>
      </c>
      <c r="B2027" s="24" t="str">
        <f t="array" ref="B2027">xlookup($A2027,product!$A:$A,product!B:B)</f>
        <v>Beauté &amp; Hygiène</v>
      </c>
      <c r="C2027" s="24" t="str">
        <f t="array" ref="C2027">xlookup($A2027,product!$A:$A,product!C:C)</f>
        <v>Douche et Bain</v>
      </c>
      <c r="D2027" s="24" t="str">
        <f t="array" ref="D2027">xlookup($A2027,product!$A:$A,product!D:D)</f>
        <v>Savon</v>
      </c>
      <c r="E2027" s="25" t="str">
        <f t="shared" si="1"/>
        <v>82459-Douche et Bain-Savon</v>
      </c>
      <c r="F2027" s="25">
        <v>0.0</v>
      </c>
      <c r="G2027" s="25">
        <v>701.0</v>
      </c>
      <c r="H2027" s="25">
        <v>565.0</v>
      </c>
      <c r="I2027" s="26">
        <f t="array" ref="I2027">XLOOKUP($A2027,product!A:A,product!E:E)</f>
        <v>1.97</v>
      </c>
      <c r="J2027" s="25">
        <f t="shared" si="2"/>
        <v>1113.05</v>
      </c>
      <c r="K2027" s="27">
        <f t="shared" si="3"/>
        <v>1</v>
      </c>
      <c r="L2027" s="25">
        <f t="shared" si="4"/>
        <v>1</v>
      </c>
    </row>
    <row r="2028">
      <c r="A2028" s="19">
        <v>49360.0</v>
      </c>
      <c r="B2028" s="20" t="str">
        <f t="array" ref="B2028">xlookup($A2028,product!$A:$A,product!B:B)</f>
        <v>Beauté &amp; Hygiène</v>
      </c>
      <c r="C2028" s="20" t="str">
        <f t="array" ref="C2028">xlookup($A2028,product!$A:$A,product!C:C)</f>
        <v>Douche et Bain</v>
      </c>
      <c r="D2028" s="20" t="str">
        <f t="array" ref="D2028">xlookup($A2028,product!$A:$A,product!D:D)</f>
        <v>Savon</v>
      </c>
      <c r="E2028" s="4" t="str">
        <f t="shared" si="1"/>
        <v>49360-Douche et Bain-Savon</v>
      </c>
      <c r="F2028" s="4">
        <v>1.0</v>
      </c>
      <c r="G2028" s="4">
        <v>787.0</v>
      </c>
      <c r="H2028" s="4">
        <v>229.0</v>
      </c>
      <c r="I2028" s="21">
        <f t="array" ref="I2028">XLOOKUP($A2028,product!A:A,product!E:E)</f>
        <v>2.91</v>
      </c>
      <c r="J2028" s="4">
        <f t="shared" si="2"/>
        <v>666.39</v>
      </c>
      <c r="K2028" s="22">
        <f t="shared" si="3"/>
        <v>1</v>
      </c>
      <c r="L2028" s="4">
        <f t="shared" si="4"/>
        <v>1</v>
      </c>
    </row>
    <row r="2029">
      <c r="A2029" s="23">
        <v>194507.0</v>
      </c>
      <c r="B2029" s="24" t="str">
        <f t="array" ref="B2029">xlookup($A2029,product!$A:$A,product!B:B)</f>
        <v>Beauté &amp; Hygiène</v>
      </c>
      <c r="C2029" s="24" t="str">
        <f t="array" ref="C2029">xlookup($A2029,product!$A:$A,product!C:C)</f>
        <v>Douche et Bain</v>
      </c>
      <c r="D2029" s="24" t="str">
        <f t="array" ref="D2029">xlookup($A2029,product!$A:$A,product!D:D)</f>
        <v>Savon</v>
      </c>
      <c r="E2029" s="25" t="str">
        <f t="shared" si="1"/>
        <v>194507-Douche et Bain-Savon</v>
      </c>
      <c r="F2029" s="25">
        <v>0.0</v>
      </c>
      <c r="G2029" s="25">
        <v>388.0</v>
      </c>
      <c r="H2029" s="25">
        <v>114.0</v>
      </c>
      <c r="I2029" s="26">
        <f t="array" ref="I2029">XLOOKUP($A2029,product!A:A,product!E:E)</f>
        <v>2.64</v>
      </c>
      <c r="J2029" s="25">
        <f t="shared" si="2"/>
        <v>300.96</v>
      </c>
      <c r="K2029" s="27">
        <f t="shared" si="3"/>
        <v>1</v>
      </c>
      <c r="L2029" s="25">
        <f t="shared" si="4"/>
        <v>1</v>
      </c>
    </row>
    <row r="2030">
      <c r="A2030" s="19">
        <v>82453.0</v>
      </c>
      <c r="B2030" s="20" t="str">
        <f t="array" ref="B2030">xlookup($A2030,product!$A:$A,product!B:B)</f>
        <v>Beauté &amp; Hygiène</v>
      </c>
      <c r="C2030" s="20" t="str">
        <f t="array" ref="C2030">xlookup($A2030,product!$A:$A,product!C:C)</f>
        <v>Douche et Bain</v>
      </c>
      <c r="D2030" s="20" t="str">
        <f t="array" ref="D2030">xlookup($A2030,product!$A:$A,product!D:D)</f>
        <v>Savon</v>
      </c>
      <c r="E2030" s="4" t="str">
        <f t="shared" si="1"/>
        <v>82453-Douche et Bain-Savon</v>
      </c>
      <c r="F2030" s="4">
        <v>1.0</v>
      </c>
      <c r="G2030" s="4">
        <v>394.0</v>
      </c>
      <c r="H2030" s="4">
        <v>278.0</v>
      </c>
      <c r="I2030" s="21">
        <f t="array" ref="I2030">XLOOKUP($A2030,product!A:A,product!E:E)</f>
        <v>1.97</v>
      </c>
      <c r="J2030" s="4">
        <f t="shared" si="2"/>
        <v>547.66</v>
      </c>
      <c r="K2030" s="22">
        <f t="shared" si="3"/>
        <v>1</v>
      </c>
      <c r="L2030" s="4">
        <f t="shared" si="4"/>
        <v>1</v>
      </c>
    </row>
    <row r="2031">
      <c r="A2031" s="23">
        <v>79669.0</v>
      </c>
      <c r="B2031" s="24" t="str">
        <f t="array" ref="B2031">xlookup($A2031,product!$A:$A,product!B:B)</f>
        <v>Beauté &amp; Hygiène</v>
      </c>
      <c r="C2031" s="24" t="str">
        <f t="array" ref="C2031">xlookup($A2031,product!$A:$A,product!C:C)</f>
        <v>Douche et Bain</v>
      </c>
      <c r="D2031" s="24" t="str">
        <f t="array" ref="D2031">xlookup($A2031,product!$A:$A,product!D:D)</f>
        <v>Savon</v>
      </c>
      <c r="E2031" s="25" t="str">
        <f t="shared" si="1"/>
        <v>79669-Douche et Bain-Savon</v>
      </c>
      <c r="F2031" s="25">
        <v>1.0</v>
      </c>
      <c r="G2031" s="25">
        <v>488.0</v>
      </c>
      <c r="H2031" s="25">
        <v>386.0</v>
      </c>
      <c r="I2031" s="26">
        <f t="array" ref="I2031">XLOOKUP($A2031,product!A:A,product!E:E)</f>
        <v>2.1</v>
      </c>
      <c r="J2031" s="25">
        <f t="shared" si="2"/>
        <v>810.6</v>
      </c>
      <c r="K2031" s="27">
        <f t="shared" si="3"/>
        <v>1</v>
      </c>
      <c r="L2031" s="25">
        <f t="shared" si="4"/>
        <v>1</v>
      </c>
    </row>
    <row r="2032">
      <c r="A2032" s="19">
        <v>122294.0</v>
      </c>
      <c r="B2032" s="20" t="str">
        <f t="array" ref="B2032">xlookup($A2032,product!$A:$A,product!B:B)</f>
        <v>Beauté &amp; Hygiène</v>
      </c>
      <c r="C2032" s="20" t="str">
        <f t="array" ref="C2032">xlookup($A2032,product!$A:$A,product!C:C)</f>
        <v>Douche et Bain</v>
      </c>
      <c r="D2032" s="20" t="str">
        <f t="array" ref="D2032">xlookup($A2032,product!$A:$A,product!D:D)</f>
        <v>Savon</v>
      </c>
      <c r="E2032" s="4" t="str">
        <f t="shared" si="1"/>
        <v>122294-Douche et Bain-Savon</v>
      </c>
      <c r="F2032" s="4">
        <v>0.0</v>
      </c>
      <c r="G2032" s="4">
        <v>850.0</v>
      </c>
      <c r="H2032" s="4">
        <v>789.0</v>
      </c>
      <c r="I2032" s="21">
        <f t="array" ref="I2032">XLOOKUP($A2032,product!A:A,product!E:E)</f>
        <v>0.82</v>
      </c>
      <c r="J2032" s="4">
        <f t="shared" si="2"/>
        <v>646.98</v>
      </c>
      <c r="K2032" s="22">
        <f t="shared" si="3"/>
        <v>1</v>
      </c>
      <c r="L2032" s="4">
        <f t="shared" si="4"/>
        <v>1</v>
      </c>
    </row>
    <row r="2033">
      <c r="A2033" s="23">
        <v>73245.0</v>
      </c>
      <c r="B2033" s="24" t="str">
        <f t="array" ref="B2033">xlookup($A2033,product!$A:$A,product!B:B)</f>
        <v>Beauté &amp; Hygiène</v>
      </c>
      <c r="C2033" s="24" t="str">
        <f t="array" ref="C2033">xlookup($A2033,product!$A:$A,product!C:C)</f>
        <v>Douche et Bain</v>
      </c>
      <c r="D2033" s="24" t="str">
        <f t="array" ref="D2033">xlookup($A2033,product!$A:$A,product!D:D)</f>
        <v>Savon</v>
      </c>
      <c r="E2033" s="25" t="str">
        <f t="shared" si="1"/>
        <v>73245-Douche et Bain-Savon</v>
      </c>
      <c r="F2033" s="25">
        <v>0.0</v>
      </c>
      <c r="G2033" s="25">
        <v>37.0</v>
      </c>
      <c r="H2033" s="25">
        <v>37.0</v>
      </c>
      <c r="I2033" s="26">
        <f t="array" ref="I2033">XLOOKUP($A2033,product!A:A,product!E:E)</f>
        <v>0.9</v>
      </c>
      <c r="J2033" s="25">
        <f t="shared" si="2"/>
        <v>33.3</v>
      </c>
      <c r="K2033" s="27">
        <f t="shared" si="3"/>
        <v>1</v>
      </c>
      <c r="L2033" s="25">
        <f t="shared" si="4"/>
        <v>1</v>
      </c>
    </row>
    <row r="2034">
      <c r="A2034" s="19">
        <v>122082.0</v>
      </c>
      <c r="B2034" s="20" t="str">
        <f t="array" ref="B2034">xlookup($A2034,product!$A:$A,product!B:B)</f>
        <v>Beauté &amp; Hygiène</v>
      </c>
      <c r="C2034" s="20" t="str">
        <f t="array" ref="C2034">xlookup($A2034,product!$A:$A,product!C:C)</f>
        <v>Douche et Bain</v>
      </c>
      <c r="D2034" s="20" t="str">
        <f t="array" ref="D2034">xlookup($A2034,product!$A:$A,product!D:D)</f>
        <v>Savon</v>
      </c>
      <c r="E2034" s="4" t="str">
        <f t="shared" si="1"/>
        <v>122082-Douche et Bain-Savon</v>
      </c>
      <c r="F2034" s="4">
        <v>0.0</v>
      </c>
      <c r="G2034" s="4">
        <v>674.0</v>
      </c>
      <c r="H2034" s="4">
        <v>269.0</v>
      </c>
      <c r="I2034" s="21">
        <f t="array" ref="I2034">XLOOKUP($A2034,product!A:A,product!E:E)</f>
        <v>2</v>
      </c>
      <c r="J2034" s="4">
        <f t="shared" si="2"/>
        <v>538</v>
      </c>
      <c r="K2034" s="22">
        <f t="shared" si="3"/>
        <v>1</v>
      </c>
      <c r="L2034" s="4">
        <f t="shared" si="4"/>
        <v>1</v>
      </c>
    </row>
    <row r="2035">
      <c r="A2035" s="23">
        <v>194501.0</v>
      </c>
      <c r="B2035" s="24" t="str">
        <f t="array" ref="B2035">xlookup($A2035,product!$A:$A,product!B:B)</f>
        <v>Beauté &amp; Hygiène</v>
      </c>
      <c r="C2035" s="24" t="str">
        <f t="array" ref="C2035">xlookup($A2035,product!$A:$A,product!C:C)</f>
        <v>Douche et Bain</v>
      </c>
      <c r="D2035" s="24" t="str">
        <f t="array" ref="D2035">xlookup($A2035,product!$A:$A,product!D:D)</f>
        <v>Savon</v>
      </c>
      <c r="E2035" s="25" t="str">
        <f t="shared" si="1"/>
        <v>194501-Douche et Bain-Savon</v>
      </c>
      <c r="F2035" s="25">
        <v>0.0</v>
      </c>
      <c r="G2035" s="25">
        <v>380.0</v>
      </c>
      <c r="H2035" s="25">
        <v>151.0</v>
      </c>
      <c r="I2035" s="26">
        <f t="array" ref="I2035">XLOOKUP($A2035,product!A:A,product!E:E)</f>
        <v>2.64</v>
      </c>
      <c r="J2035" s="25">
        <f t="shared" si="2"/>
        <v>398.64</v>
      </c>
      <c r="K2035" s="27">
        <f t="shared" si="3"/>
        <v>1</v>
      </c>
      <c r="L2035" s="25">
        <f t="shared" si="4"/>
        <v>1</v>
      </c>
    </row>
    <row r="2036">
      <c r="A2036" s="19">
        <v>79105.0</v>
      </c>
      <c r="B2036" s="20" t="str">
        <f t="array" ref="B2036">xlookup($A2036,product!$A:$A,product!B:B)</f>
        <v>Beauté &amp; Hygiène</v>
      </c>
      <c r="C2036" s="20" t="str">
        <f t="array" ref="C2036">xlookup($A2036,product!$A:$A,product!C:C)</f>
        <v>Douche et Bain</v>
      </c>
      <c r="D2036" s="20" t="str">
        <f t="array" ref="D2036">xlookup($A2036,product!$A:$A,product!D:D)</f>
        <v>Savon</v>
      </c>
      <c r="E2036" s="4" t="str">
        <f t="shared" si="1"/>
        <v>79105-Douche et Bain-Savon</v>
      </c>
      <c r="F2036" s="4">
        <v>1.0</v>
      </c>
      <c r="G2036" s="4">
        <v>771.0</v>
      </c>
      <c r="H2036" s="4">
        <v>88.0</v>
      </c>
      <c r="I2036" s="21">
        <f t="array" ref="I2036">XLOOKUP($A2036,product!A:A,product!E:E)</f>
        <v>2.07</v>
      </c>
      <c r="J2036" s="4">
        <f t="shared" si="2"/>
        <v>182.16</v>
      </c>
      <c r="K2036" s="22">
        <f t="shared" si="3"/>
        <v>1</v>
      </c>
      <c r="L2036" s="4">
        <f t="shared" si="4"/>
        <v>1</v>
      </c>
    </row>
    <row r="2037">
      <c r="A2037" s="23">
        <v>87769.0</v>
      </c>
      <c r="B2037" s="24" t="str">
        <f t="array" ref="B2037">xlookup($A2037,product!$A:$A,product!B:B)</f>
        <v>Beauté &amp; Hygiène</v>
      </c>
      <c r="C2037" s="24" t="str">
        <f t="array" ref="C2037">xlookup($A2037,product!$A:$A,product!C:C)</f>
        <v>Douche et Bain</v>
      </c>
      <c r="D2037" s="24" t="str">
        <f t="array" ref="D2037">xlookup($A2037,product!$A:$A,product!D:D)</f>
        <v>Savon</v>
      </c>
      <c r="E2037" s="25" t="str">
        <f t="shared" si="1"/>
        <v>87769-Douche et Bain-Savon</v>
      </c>
      <c r="F2037" s="25">
        <v>1.0</v>
      </c>
      <c r="G2037" s="25">
        <v>593.0</v>
      </c>
      <c r="H2037" s="25">
        <v>81.0</v>
      </c>
      <c r="I2037" s="26">
        <f t="array" ref="I2037">XLOOKUP($A2037,product!A:A,product!E:E)</f>
        <v>2.23</v>
      </c>
      <c r="J2037" s="25">
        <f t="shared" si="2"/>
        <v>180.63</v>
      </c>
      <c r="K2037" s="27">
        <f t="shared" si="3"/>
        <v>1</v>
      </c>
      <c r="L2037" s="25">
        <f t="shared" si="4"/>
        <v>1</v>
      </c>
    </row>
    <row r="2038">
      <c r="A2038" s="19">
        <v>9734.0</v>
      </c>
      <c r="B2038" s="20" t="str">
        <f t="array" ref="B2038">xlookup($A2038,product!$A:$A,product!B:B)</f>
        <v>Beauté &amp; Hygiène</v>
      </c>
      <c r="C2038" s="20" t="str">
        <f t="array" ref="C2038">xlookup($A2038,product!$A:$A,product!C:C)</f>
        <v>Douche et Bain</v>
      </c>
      <c r="D2038" s="20" t="str">
        <f t="array" ref="D2038">xlookup($A2038,product!$A:$A,product!D:D)</f>
        <v>Savon</v>
      </c>
      <c r="E2038" s="4" t="str">
        <f t="shared" si="1"/>
        <v>9734-Douche et Bain-Savon</v>
      </c>
      <c r="F2038" s="4">
        <v>0.0</v>
      </c>
      <c r="G2038" s="4">
        <v>977.0</v>
      </c>
      <c r="H2038" s="4">
        <v>951.0</v>
      </c>
      <c r="I2038" s="21">
        <f t="array" ref="I2038">XLOOKUP($A2038,product!A:A,product!E:E)</f>
        <v>2</v>
      </c>
      <c r="J2038" s="4">
        <f t="shared" si="2"/>
        <v>1902</v>
      </c>
      <c r="K2038" s="22">
        <f t="shared" si="3"/>
        <v>1</v>
      </c>
      <c r="L2038" s="4">
        <f t="shared" si="4"/>
        <v>1</v>
      </c>
    </row>
    <row r="2039">
      <c r="A2039" s="23">
        <v>149615.0</v>
      </c>
      <c r="B2039" s="24" t="str">
        <f t="array" ref="B2039">xlookup($A2039,product!$A:$A,product!B:B)</f>
        <v>Beauté &amp; Hygiène</v>
      </c>
      <c r="C2039" s="24" t="str">
        <f t="array" ref="C2039">xlookup($A2039,product!$A:$A,product!C:C)</f>
        <v>Douche et Bain</v>
      </c>
      <c r="D2039" s="24" t="str">
        <f t="array" ref="D2039">xlookup($A2039,product!$A:$A,product!D:D)</f>
        <v>Savon</v>
      </c>
      <c r="E2039" s="25" t="str">
        <f t="shared" si="1"/>
        <v>149615-Douche et Bain-Savon</v>
      </c>
      <c r="F2039" s="25">
        <v>1.0</v>
      </c>
      <c r="G2039" s="25">
        <v>860.0</v>
      </c>
      <c r="H2039" s="25">
        <v>314.0</v>
      </c>
      <c r="I2039" s="26">
        <f t="array" ref="I2039">XLOOKUP($A2039,product!A:A,product!E:E)</f>
        <v>2.37</v>
      </c>
      <c r="J2039" s="25">
        <f t="shared" si="2"/>
        <v>744.18</v>
      </c>
      <c r="K2039" s="27">
        <f t="shared" si="3"/>
        <v>1</v>
      </c>
      <c r="L2039" s="25">
        <f t="shared" si="4"/>
        <v>1</v>
      </c>
    </row>
    <row r="2040">
      <c r="A2040" s="19">
        <v>108966.0</v>
      </c>
      <c r="B2040" s="20" t="str">
        <f t="array" ref="B2040">xlookup($A2040,product!$A:$A,product!B:B)</f>
        <v>Beauté &amp; Hygiène</v>
      </c>
      <c r="C2040" s="20" t="str">
        <f t="array" ref="C2040">xlookup($A2040,product!$A:$A,product!C:C)</f>
        <v>Douche et Bain</v>
      </c>
      <c r="D2040" s="20" t="str">
        <f t="array" ref="D2040">xlookup($A2040,product!$A:$A,product!D:D)</f>
        <v>Savon</v>
      </c>
      <c r="E2040" s="4" t="str">
        <f t="shared" si="1"/>
        <v>108966-Douche et Bain-Savon</v>
      </c>
      <c r="F2040" s="4">
        <v>1.0</v>
      </c>
      <c r="G2040" s="4">
        <v>880.0</v>
      </c>
      <c r="H2040" s="4">
        <v>178.0</v>
      </c>
      <c r="I2040" s="21">
        <f t="array" ref="I2040">XLOOKUP($A2040,product!A:A,product!E:E)</f>
        <v>2.23</v>
      </c>
      <c r="J2040" s="4">
        <f t="shared" si="2"/>
        <v>396.94</v>
      </c>
      <c r="K2040" s="22">
        <f t="shared" si="3"/>
        <v>1</v>
      </c>
      <c r="L2040" s="4">
        <f t="shared" si="4"/>
        <v>1</v>
      </c>
    </row>
    <row r="2041">
      <c r="A2041" s="23">
        <v>116943.0</v>
      </c>
      <c r="B2041" s="24" t="str">
        <f t="array" ref="B2041">xlookup($A2041,product!$A:$A,product!B:B)</f>
        <v>Beauté &amp; Hygiène</v>
      </c>
      <c r="C2041" s="24" t="str">
        <f t="array" ref="C2041">xlookup($A2041,product!$A:$A,product!C:C)</f>
        <v>Douche et Bain</v>
      </c>
      <c r="D2041" s="24" t="str">
        <f t="array" ref="D2041">xlookup($A2041,product!$A:$A,product!D:D)</f>
        <v>Savon</v>
      </c>
      <c r="E2041" s="25" t="str">
        <f t="shared" si="1"/>
        <v>116943-Douche et Bain-Savon</v>
      </c>
      <c r="F2041" s="25">
        <v>1.0</v>
      </c>
      <c r="G2041" s="25">
        <v>268.0</v>
      </c>
      <c r="H2041" s="25">
        <v>119.0</v>
      </c>
      <c r="I2041" s="26">
        <f t="array" ref="I2041">XLOOKUP($A2041,product!A:A,product!E:E)</f>
        <v>2.23</v>
      </c>
      <c r="J2041" s="25">
        <f t="shared" si="2"/>
        <v>265.37</v>
      </c>
      <c r="K2041" s="27">
        <f t="shared" si="3"/>
        <v>1</v>
      </c>
      <c r="L2041" s="25">
        <f t="shared" si="4"/>
        <v>1</v>
      </c>
    </row>
    <row r="2042">
      <c r="A2042" s="19">
        <v>46769.0</v>
      </c>
      <c r="B2042" s="20" t="str">
        <f t="array" ref="B2042">xlookup($A2042,product!$A:$A,product!B:B)</f>
        <v>Beauté &amp; Hygiène</v>
      </c>
      <c r="C2042" s="20" t="str">
        <f t="array" ref="C2042">xlookup($A2042,product!$A:$A,product!C:C)</f>
        <v>Douche et Bain</v>
      </c>
      <c r="D2042" s="20" t="str">
        <f t="array" ref="D2042">xlookup($A2042,product!$A:$A,product!D:D)</f>
        <v>Savon</v>
      </c>
      <c r="E2042" s="4" t="str">
        <f t="shared" si="1"/>
        <v>46769-Douche et Bain-Savon</v>
      </c>
      <c r="F2042" s="4">
        <v>0.0</v>
      </c>
      <c r="G2042" s="4">
        <v>260.0</v>
      </c>
      <c r="H2042" s="4">
        <v>123.0</v>
      </c>
      <c r="I2042" s="21">
        <f t="array" ref="I2042">XLOOKUP($A2042,product!A:A,product!E:E)</f>
        <v>1.91</v>
      </c>
      <c r="J2042" s="4">
        <f t="shared" si="2"/>
        <v>234.93</v>
      </c>
      <c r="K2042" s="22">
        <f t="shared" si="3"/>
        <v>1</v>
      </c>
      <c r="L2042" s="4">
        <f t="shared" si="4"/>
        <v>1</v>
      </c>
    </row>
    <row r="2043">
      <c r="A2043" s="23">
        <v>87766.0</v>
      </c>
      <c r="B2043" s="24" t="str">
        <f t="array" ref="B2043">xlookup($A2043,product!$A:$A,product!B:B)</f>
        <v>Beauté &amp; Hygiène</v>
      </c>
      <c r="C2043" s="24" t="str">
        <f t="array" ref="C2043">xlookup($A2043,product!$A:$A,product!C:C)</f>
        <v>Douche et Bain</v>
      </c>
      <c r="D2043" s="24" t="str">
        <f t="array" ref="D2043">xlookup($A2043,product!$A:$A,product!D:D)</f>
        <v>Savon</v>
      </c>
      <c r="E2043" s="25" t="str">
        <f t="shared" si="1"/>
        <v>87766-Douche et Bain-Savon</v>
      </c>
      <c r="F2043" s="25">
        <v>1.0</v>
      </c>
      <c r="G2043" s="25">
        <v>655.0</v>
      </c>
      <c r="H2043" s="25">
        <v>54.0</v>
      </c>
      <c r="I2043" s="26">
        <f t="array" ref="I2043">XLOOKUP($A2043,product!A:A,product!E:E)</f>
        <v>2.23</v>
      </c>
      <c r="J2043" s="25">
        <f t="shared" si="2"/>
        <v>120.42</v>
      </c>
      <c r="K2043" s="27">
        <f t="shared" si="3"/>
        <v>1</v>
      </c>
      <c r="L2043" s="25">
        <f t="shared" si="4"/>
        <v>1</v>
      </c>
    </row>
    <row r="2044">
      <c r="A2044" s="19">
        <v>110701.0</v>
      </c>
      <c r="B2044" s="20" t="str">
        <f t="array" ref="B2044">xlookup($A2044,product!$A:$A,product!B:B)</f>
        <v>Beauté &amp; Hygiène</v>
      </c>
      <c r="C2044" s="20" t="str">
        <f t="array" ref="C2044">xlookup($A2044,product!$A:$A,product!C:C)</f>
        <v>Douche et Bain</v>
      </c>
      <c r="D2044" s="20" t="str">
        <f t="array" ref="D2044">xlookup($A2044,product!$A:$A,product!D:D)</f>
        <v>Savon</v>
      </c>
      <c r="E2044" s="4" t="str">
        <f t="shared" si="1"/>
        <v>110701-Douche et Bain-Savon</v>
      </c>
      <c r="F2044" s="4">
        <v>1.0</v>
      </c>
      <c r="G2044" s="4">
        <v>648.0</v>
      </c>
      <c r="H2044" s="4">
        <v>46.0</v>
      </c>
      <c r="I2044" s="21">
        <f t="array" ref="I2044">XLOOKUP($A2044,product!A:A,product!E:E)</f>
        <v>1.69</v>
      </c>
      <c r="J2044" s="4">
        <f t="shared" si="2"/>
        <v>77.74</v>
      </c>
      <c r="K2044" s="22">
        <f t="shared" si="3"/>
        <v>1</v>
      </c>
      <c r="L2044" s="4">
        <f t="shared" si="4"/>
        <v>1</v>
      </c>
    </row>
    <row r="2045">
      <c r="A2045" s="23">
        <v>4205.0</v>
      </c>
      <c r="B2045" s="24" t="str">
        <f t="array" ref="B2045">xlookup($A2045,product!$A:$A,product!B:B)</f>
        <v>Beauté &amp; Hygiène</v>
      </c>
      <c r="C2045" s="24" t="str">
        <f t="array" ref="C2045">xlookup($A2045,product!$A:$A,product!C:C)</f>
        <v>Douche et Bain</v>
      </c>
      <c r="D2045" s="24" t="str">
        <f t="array" ref="D2045">xlookup($A2045,product!$A:$A,product!D:D)</f>
        <v>Savon</v>
      </c>
      <c r="E2045" s="25" t="str">
        <f t="shared" si="1"/>
        <v>4205-Douche et Bain-Savon</v>
      </c>
      <c r="F2045" s="25">
        <v>1.0</v>
      </c>
      <c r="G2045" s="25">
        <v>204.0</v>
      </c>
      <c r="H2045" s="25">
        <v>174.0</v>
      </c>
      <c r="I2045" s="26">
        <f t="array" ref="I2045">XLOOKUP($A2045,product!A:A,product!E:E)</f>
        <v>2.53</v>
      </c>
      <c r="J2045" s="25">
        <f t="shared" si="2"/>
        <v>440.22</v>
      </c>
      <c r="K2045" s="27">
        <f t="shared" si="3"/>
        <v>1</v>
      </c>
      <c r="L2045" s="25">
        <f t="shared" si="4"/>
        <v>1</v>
      </c>
    </row>
    <row r="2046">
      <c r="A2046" s="19">
        <v>122615.0</v>
      </c>
      <c r="B2046" s="20" t="str">
        <f t="array" ref="B2046">xlookup($A2046,product!$A:$A,product!B:B)</f>
        <v>Beauté &amp; Hygiène</v>
      </c>
      <c r="C2046" s="20" t="str">
        <f t="array" ref="C2046">xlookup($A2046,product!$A:$A,product!C:C)</f>
        <v>Douche et Bain</v>
      </c>
      <c r="D2046" s="20" t="str">
        <f t="array" ref="D2046">xlookup($A2046,product!$A:$A,product!D:D)</f>
        <v>Savon</v>
      </c>
      <c r="E2046" s="4" t="str">
        <f t="shared" si="1"/>
        <v>122615-Douche et Bain-Savon</v>
      </c>
      <c r="F2046" s="4">
        <v>0.0</v>
      </c>
      <c r="G2046" s="4">
        <v>348.0</v>
      </c>
      <c r="H2046" s="4">
        <v>270.0</v>
      </c>
      <c r="I2046" s="21">
        <f t="array" ref="I2046">XLOOKUP($A2046,product!A:A,product!E:E)</f>
        <v>1.44</v>
      </c>
      <c r="J2046" s="4">
        <f t="shared" si="2"/>
        <v>388.8</v>
      </c>
      <c r="K2046" s="22">
        <f t="shared" si="3"/>
        <v>1</v>
      </c>
      <c r="L2046" s="4">
        <f t="shared" si="4"/>
        <v>1</v>
      </c>
    </row>
    <row r="2047">
      <c r="A2047" s="23">
        <v>87800.0</v>
      </c>
      <c r="B2047" s="24" t="str">
        <f t="array" ref="B2047">xlookup($A2047,product!$A:$A,product!B:B)</f>
        <v>Beauté &amp; Hygiène</v>
      </c>
      <c r="C2047" s="24" t="str">
        <f t="array" ref="C2047">xlookup($A2047,product!$A:$A,product!C:C)</f>
        <v>Douche et Bain</v>
      </c>
      <c r="D2047" s="24" t="str">
        <f t="array" ref="D2047">xlookup($A2047,product!$A:$A,product!D:D)</f>
        <v>Savon</v>
      </c>
      <c r="E2047" s="25" t="str">
        <f t="shared" si="1"/>
        <v>87800-Douche et Bain-Savon</v>
      </c>
      <c r="F2047" s="25">
        <v>1.0</v>
      </c>
      <c r="G2047" s="25">
        <v>938.0</v>
      </c>
      <c r="H2047" s="25">
        <v>377.0</v>
      </c>
      <c r="I2047" s="26">
        <f t="array" ref="I2047">XLOOKUP($A2047,product!A:A,product!E:E)</f>
        <v>2.34</v>
      </c>
      <c r="J2047" s="25">
        <f t="shared" si="2"/>
        <v>882.18</v>
      </c>
      <c r="K2047" s="27">
        <f t="shared" si="3"/>
        <v>1</v>
      </c>
      <c r="L2047" s="25">
        <f t="shared" si="4"/>
        <v>1</v>
      </c>
    </row>
    <row r="2048">
      <c r="A2048" s="19">
        <v>87801.0</v>
      </c>
      <c r="B2048" s="20" t="str">
        <f t="array" ref="B2048">xlookup($A2048,product!$A:$A,product!B:B)</f>
        <v>Beauté &amp; Hygiène</v>
      </c>
      <c r="C2048" s="20" t="str">
        <f t="array" ref="C2048">xlookup($A2048,product!$A:$A,product!C:C)</f>
        <v>Douche et Bain</v>
      </c>
      <c r="D2048" s="20" t="str">
        <f t="array" ref="D2048">xlookup($A2048,product!$A:$A,product!D:D)</f>
        <v>Savon</v>
      </c>
      <c r="E2048" s="4" t="str">
        <f t="shared" si="1"/>
        <v>87801-Douche et Bain-Savon</v>
      </c>
      <c r="F2048" s="4">
        <v>1.0</v>
      </c>
      <c r="G2048" s="4">
        <v>279.0</v>
      </c>
      <c r="H2048" s="4">
        <v>255.0</v>
      </c>
      <c r="I2048" s="21">
        <f t="array" ref="I2048">XLOOKUP($A2048,product!A:A,product!E:E)</f>
        <v>2.23</v>
      </c>
      <c r="J2048" s="4">
        <f t="shared" si="2"/>
        <v>568.65</v>
      </c>
      <c r="K2048" s="22">
        <f t="shared" si="3"/>
        <v>1</v>
      </c>
      <c r="L2048" s="4">
        <f t="shared" si="4"/>
        <v>1</v>
      </c>
    </row>
    <row r="2049">
      <c r="A2049" s="23">
        <v>87767.0</v>
      </c>
      <c r="B2049" s="24" t="str">
        <f t="array" ref="B2049">xlookup($A2049,product!$A:$A,product!B:B)</f>
        <v>Beauté &amp; Hygiène</v>
      </c>
      <c r="C2049" s="24" t="str">
        <f t="array" ref="C2049">xlookup($A2049,product!$A:$A,product!C:C)</f>
        <v>Douche et Bain</v>
      </c>
      <c r="D2049" s="24" t="str">
        <f t="array" ref="D2049">xlookup($A2049,product!$A:$A,product!D:D)</f>
        <v>Savon</v>
      </c>
      <c r="E2049" s="25" t="str">
        <f t="shared" si="1"/>
        <v>87767-Douche et Bain-Savon</v>
      </c>
      <c r="F2049" s="25">
        <v>0.0</v>
      </c>
      <c r="G2049" s="25">
        <v>507.0</v>
      </c>
      <c r="H2049" s="25">
        <v>166.0</v>
      </c>
      <c r="I2049" s="26">
        <f t="array" ref="I2049">XLOOKUP($A2049,product!A:A,product!E:E)</f>
        <v>2.23</v>
      </c>
      <c r="J2049" s="25">
        <f t="shared" si="2"/>
        <v>370.18</v>
      </c>
      <c r="K2049" s="27">
        <f t="shared" si="3"/>
        <v>1</v>
      </c>
      <c r="L2049" s="25">
        <f t="shared" si="4"/>
        <v>1</v>
      </c>
    </row>
    <row r="2050">
      <c r="A2050" s="19">
        <v>82454.0</v>
      </c>
      <c r="B2050" s="20" t="str">
        <f t="array" ref="B2050">xlookup($A2050,product!$A:$A,product!B:B)</f>
        <v>Beauté &amp; Hygiène</v>
      </c>
      <c r="C2050" s="20" t="str">
        <f t="array" ref="C2050">xlookup($A2050,product!$A:$A,product!C:C)</f>
        <v>Douche et Bain</v>
      </c>
      <c r="D2050" s="20" t="str">
        <f t="array" ref="D2050">xlookup($A2050,product!$A:$A,product!D:D)</f>
        <v>Savon</v>
      </c>
      <c r="E2050" s="4" t="str">
        <f t="shared" si="1"/>
        <v>82454-Douche et Bain-Savon</v>
      </c>
      <c r="F2050" s="4">
        <v>1.0</v>
      </c>
      <c r="G2050" s="4">
        <v>278.0</v>
      </c>
      <c r="H2050" s="4">
        <v>250.0</v>
      </c>
      <c r="I2050" s="21">
        <f t="array" ref="I2050">XLOOKUP($A2050,product!A:A,product!E:E)</f>
        <v>1.97</v>
      </c>
      <c r="J2050" s="4">
        <f t="shared" si="2"/>
        <v>492.5</v>
      </c>
      <c r="K2050" s="22">
        <f t="shared" si="3"/>
        <v>1</v>
      </c>
      <c r="L2050" s="4">
        <f t="shared" si="4"/>
        <v>1</v>
      </c>
    </row>
    <row r="2051">
      <c r="A2051" s="23">
        <v>194506.0</v>
      </c>
      <c r="B2051" s="24" t="str">
        <f t="array" ref="B2051">xlookup($A2051,product!$A:$A,product!B:B)</f>
        <v>Beauté &amp; Hygiène</v>
      </c>
      <c r="C2051" s="24" t="str">
        <f t="array" ref="C2051">xlookup($A2051,product!$A:$A,product!C:C)</f>
        <v>Douche et Bain</v>
      </c>
      <c r="D2051" s="24" t="str">
        <f t="array" ref="D2051">xlookup($A2051,product!$A:$A,product!D:D)</f>
        <v>Savon</v>
      </c>
      <c r="E2051" s="25" t="str">
        <f t="shared" si="1"/>
        <v>194506-Douche et Bain-Savon</v>
      </c>
      <c r="F2051" s="25">
        <v>1.0</v>
      </c>
      <c r="G2051" s="25">
        <v>259.0</v>
      </c>
      <c r="H2051" s="25">
        <v>16.0</v>
      </c>
      <c r="I2051" s="26">
        <f t="array" ref="I2051">XLOOKUP($A2051,product!A:A,product!E:E)</f>
        <v>2.88</v>
      </c>
      <c r="J2051" s="25">
        <f t="shared" si="2"/>
        <v>46.08</v>
      </c>
      <c r="K2051" s="27">
        <f t="shared" si="3"/>
        <v>1</v>
      </c>
      <c r="L2051" s="25">
        <f t="shared" si="4"/>
        <v>1</v>
      </c>
    </row>
    <row r="2052">
      <c r="A2052" s="19">
        <v>16240.0</v>
      </c>
      <c r="B2052" s="20" t="str">
        <f t="array" ref="B2052">xlookup($A2052,product!$A:$A,product!B:B)</f>
        <v>Beauté &amp; Hygiène</v>
      </c>
      <c r="C2052" s="20" t="str">
        <f t="array" ref="C2052">xlookup($A2052,product!$A:$A,product!C:C)</f>
        <v>Douche et Bain</v>
      </c>
      <c r="D2052" s="20" t="str">
        <f t="array" ref="D2052">xlookup($A2052,product!$A:$A,product!D:D)</f>
        <v>Savon</v>
      </c>
      <c r="E2052" s="4" t="str">
        <f t="shared" si="1"/>
        <v>16240-Douche et Bain-Savon</v>
      </c>
      <c r="F2052" s="4">
        <v>1.0</v>
      </c>
      <c r="G2052" s="4">
        <v>82.0</v>
      </c>
      <c r="H2052" s="4">
        <v>17.0</v>
      </c>
      <c r="I2052" s="21">
        <f t="array" ref="I2052">XLOOKUP($A2052,product!A:A,product!E:E)</f>
        <v>2.64</v>
      </c>
      <c r="J2052" s="4">
        <f t="shared" si="2"/>
        <v>44.88</v>
      </c>
      <c r="K2052" s="22">
        <f t="shared" si="3"/>
        <v>1</v>
      </c>
      <c r="L2052" s="4">
        <f t="shared" si="4"/>
        <v>1</v>
      </c>
    </row>
    <row r="2053">
      <c r="A2053" s="23">
        <v>16237.0</v>
      </c>
      <c r="B2053" s="24" t="str">
        <f t="array" ref="B2053">xlookup($A2053,product!$A:$A,product!B:B)</f>
        <v>Beauté &amp; Hygiène</v>
      </c>
      <c r="C2053" s="24" t="str">
        <f t="array" ref="C2053">xlookup($A2053,product!$A:$A,product!C:C)</f>
        <v>Douche et Bain</v>
      </c>
      <c r="D2053" s="24" t="str">
        <f t="array" ref="D2053">xlookup($A2053,product!$A:$A,product!D:D)</f>
        <v>Savon</v>
      </c>
      <c r="E2053" s="25" t="str">
        <f t="shared" si="1"/>
        <v>16237-Douche et Bain-Savon</v>
      </c>
      <c r="F2053" s="25">
        <v>0.0</v>
      </c>
      <c r="G2053" s="25">
        <v>888.0</v>
      </c>
      <c r="H2053" s="25">
        <v>174.0</v>
      </c>
      <c r="I2053" s="26">
        <f t="array" ref="I2053">XLOOKUP($A2053,product!A:A,product!E:E)</f>
        <v>2.64</v>
      </c>
      <c r="J2053" s="25">
        <f t="shared" si="2"/>
        <v>459.36</v>
      </c>
      <c r="K2053" s="27">
        <f t="shared" si="3"/>
        <v>1</v>
      </c>
      <c r="L2053" s="25">
        <f t="shared" si="4"/>
        <v>1</v>
      </c>
    </row>
    <row r="2054">
      <c r="A2054" s="19">
        <v>122760.0</v>
      </c>
      <c r="B2054" s="20" t="str">
        <f t="array" ref="B2054">xlookup($A2054,product!$A:$A,product!B:B)</f>
        <v>Beauté &amp; Hygiène</v>
      </c>
      <c r="C2054" s="20" t="str">
        <f t="array" ref="C2054">xlookup($A2054,product!$A:$A,product!C:C)</f>
        <v>Douche et Bain</v>
      </c>
      <c r="D2054" s="20" t="str">
        <f t="array" ref="D2054">xlookup($A2054,product!$A:$A,product!D:D)</f>
        <v>Savon</v>
      </c>
      <c r="E2054" s="4" t="str">
        <f t="shared" si="1"/>
        <v>122760-Douche et Bain-Savon</v>
      </c>
      <c r="F2054" s="4">
        <v>1.0</v>
      </c>
      <c r="G2054" s="4">
        <v>341.0</v>
      </c>
      <c r="H2054" s="4">
        <v>211.0</v>
      </c>
      <c r="I2054" s="21">
        <f t="array" ref="I2054">XLOOKUP($A2054,product!A:A,product!E:E)</f>
        <v>2.92</v>
      </c>
      <c r="J2054" s="4">
        <f t="shared" si="2"/>
        <v>616.12</v>
      </c>
      <c r="K2054" s="22">
        <f t="shared" si="3"/>
        <v>1</v>
      </c>
      <c r="L2054" s="4">
        <f t="shared" si="4"/>
        <v>1</v>
      </c>
    </row>
    <row r="2055">
      <c r="A2055" s="23">
        <v>82446.0</v>
      </c>
      <c r="B2055" s="24" t="str">
        <f t="array" ref="B2055">xlookup($A2055,product!$A:$A,product!B:B)</f>
        <v>Beauté &amp; Hygiène</v>
      </c>
      <c r="C2055" s="24" t="str">
        <f t="array" ref="C2055">xlookup($A2055,product!$A:$A,product!C:C)</f>
        <v>Douche et Bain</v>
      </c>
      <c r="D2055" s="24" t="str">
        <f t="array" ref="D2055">xlookup($A2055,product!$A:$A,product!D:D)</f>
        <v>Savon</v>
      </c>
      <c r="E2055" s="25" t="str">
        <f t="shared" si="1"/>
        <v>82446-Douche et Bain-Savon</v>
      </c>
      <c r="F2055" s="25">
        <v>0.0</v>
      </c>
      <c r="G2055" s="25">
        <v>84.0</v>
      </c>
      <c r="H2055" s="25">
        <v>81.0</v>
      </c>
      <c r="I2055" s="26">
        <f t="array" ref="I2055">XLOOKUP($A2055,product!A:A,product!E:E)</f>
        <v>2.88</v>
      </c>
      <c r="J2055" s="25">
        <f t="shared" si="2"/>
        <v>233.28</v>
      </c>
      <c r="K2055" s="27">
        <f t="shared" si="3"/>
        <v>1</v>
      </c>
      <c r="L2055" s="25">
        <f t="shared" si="4"/>
        <v>1</v>
      </c>
    </row>
    <row r="2056">
      <c r="A2056" s="19">
        <v>118333.0</v>
      </c>
      <c r="B2056" s="20" t="str">
        <f t="array" ref="B2056">xlookup($A2056,product!$A:$A,product!B:B)</f>
        <v>Beauté &amp; Hygiène</v>
      </c>
      <c r="C2056" s="20" t="str">
        <f t="array" ref="C2056">xlookup($A2056,product!$A:$A,product!C:C)</f>
        <v>Douche et Bain</v>
      </c>
      <c r="D2056" s="20" t="str">
        <f t="array" ref="D2056">xlookup($A2056,product!$A:$A,product!D:D)</f>
        <v>Savon</v>
      </c>
      <c r="E2056" s="4" t="str">
        <f t="shared" si="1"/>
        <v>118333-Douche et Bain-Savon</v>
      </c>
      <c r="F2056" s="4">
        <v>0.0</v>
      </c>
      <c r="G2056" s="4">
        <v>48.0</v>
      </c>
      <c r="H2056" s="4">
        <v>1.0</v>
      </c>
      <c r="I2056" s="21">
        <f t="array" ref="I2056">XLOOKUP($A2056,product!A:A,product!E:E)</f>
        <v>1.44</v>
      </c>
      <c r="J2056" s="4">
        <f t="shared" si="2"/>
        <v>1.44</v>
      </c>
      <c r="K2056" s="22">
        <f t="shared" si="3"/>
        <v>1</v>
      </c>
      <c r="L2056" s="4">
        <f t="shared" si="4"/>
        <v>1</v>
      </c>
    </row>
    <row r="2057">
      <c r="A2057" s="23">
        <v>122774.0</v>
      </c>
      <c r="B2057" s="24" t="str">
        <f t="array" ref="B2057">xlookup($A2057,product!$A:$A,product!B:B)</f>
        <v>Beauté &amp; Hygiène</v>
      </c>
      <c r="C2057" s="24" t="str">
        <f t="array" ref="C2057">xlookup($A2057,product!$A:$A,product!C:C)</f>
        <v>Douche et Bain</v>
      </c>
      <c r="D2057" s="24" t="str">
        <f t="array" ref="D2057">xlookup($A2057,product!$A:$A,product!D:D)</f>
        <v>Savon</v>
      </c>
      <c r="E2057" s="25" t="str">
        <f t="shared" si="1"/>
        <v>122774-Douche et Bain-Savon</v>
      </c>
      <c r="F2057" s="25">
        <v>0.0</v>
      </c>
      <c r="G2057" s="25">
        <v>619.0</v>
      </c>
      <c r="H2057" s="25">
        <v>207.0</v>
      </c>
      <c r="I2057" s="26">
        <f t="array" ref="I2057">XLOOKUP($A2057,product!A:A,product!E:E)</f>
        <v>2.92</v>
      </c>
      <c r="J2057" s="25">
        <f t="shared" si="2"/>
        <v>604.44</v>
      </c>
      <c r="K2057" s="27">
        <f t="shared" si="3"/>
        <v>1</v>
      </c>
      <c r="L2057" s="25">
        <f t="shared" si="4"/>
        <v>1</v>
      </c>
    </row>
    <row r="2058">
      <c r="A2058" s="19">
        <v>87789.0</v>
      </c>
      <c r="B2058" s="20" t="str">
        <f t="array" ref="B2058">xlookup($A2058,product!$A:$A,product!B:B)</f>
        <v>Beauté &amp; Hygiène</v>
      </c>
      <c r="C2058" s="20" t="str">
        <f t="array" ref="C2058">xlookup($A2058,product!$A:$A,product!C:C)</f>
        <v>Douche et Bain</v>
      </c>
      <c r="D2058" s="20" t="str">
        <f t="array" ref="D2058">xlookup($A2058,product!$A:$A,product!D:D)</f>
        <v>Savon</v>
      </c>
      <c r="E2058" s="4" t="str">
        <f t="shared" si="1"/>
        <v>87789-Douche et Bain-Savon</v>
      </c>
      <c r="F2058" s="4">
        <v>0.0</v>
      </c>
      <c r="G2058" s="4">
        <v>430.0</v>
      </c>
      <c r="H2058" s="4">
        <v>298.0</v>
      </c>
      <c r="I2058" s="21">
        <f t="array" ref="I2058">XLOOKUP($A2058,product!A:A,product!E:E)</f>
        <v>2.23</v>
      </c>
      <c r="J2058" s="4">
        <f t="shared" si="2"/>
        <v>664.54</v>
      </c>
      <c r="K2058" s="22">
        <f t="shared" si="3"/>
        <v>1</v>
      </c>
      <c r="L2058" s="4">
        <f t="shared" si="4"/>
        <v>1</v>
      </c>
    </row>
    <row r="2059">
      <c r="A2059" s="23">
        <v>111159.0</v>
      </c>
      <c r="B2059" s="24" t="str">
        <f t="array" ref="B2059">xlookup($A2059,product!$A:$A,product!B:B)</f>
        <v>Beauté &amp; Hygiène</v>
      </c>
      <c r="C2059" s="24" t="str">
        <f t="array" ref="C2059">xlookup($A2059,product!$A:$A,product!C:C)</f>
        <v>Douche et Bain</v>
      </c>
      <c r="D2059" s="24" t="str">
        <f t="array" ref="D2059">xlookup($A2059,product!$A:$A,product!D:D)</f>
        <v>Savon</v>
      </c>
      <c r="E2059" s="25" t="str">
        <f t="shared" si="1"/>
        <v>111159-Douche et Bain-Savon</v>
      </c>
      <c r="F2059" s="25">
        <v>0.0</v>
      </c>
      <c r="G2059" s="25">
        <v>404.0</v>
      </c>
      <c r="H2059" s="25">
        <v>223.0</v>
      </c>
      <c r="I2059" s="26">
        <f t="array" ref="I2059">XLOOKUP($A2059,product!A:A,product!E:E)</f>
        <v>3.01</v>
      </c>
      <c r="J2059" s="25">
        <f t="shared" si="2"/>
        <v>671.23</v>
      </c>
      <c r="K2059" s="27">
        <f t="shared" si="3"/>
        <v>1</v>
      </c>
      <c r="L2059" s="25">
        <f t="shared" si="4"/>
        <v>1</v>
      </c>
    </row>
    <row r="2060">
      <c r="A2060" s="19">
        <v>194500.0</v>
      </c>
      <c r="B2060" s="20" t="str">
        <f t="array" ref="B2060">xlookup($A2060,product!$A:$A,product!B:B)</f>
        <v>Beauté &amp; Hygiène</v>
      </c>
      <c r="C2060" s="20" t="str">
        <f t="array" ref="C2060">xlookup($A2060,product!$A:$A,product!C:C)</f>
        <v>Douche et Bain</v>
      </c>
      <c r="D2060" s="20" t="str">
        <f t="array" ref="D2060">xlookup($A2060,product!$A:$A,product!D:D)</f>
        <v>Savon</v>
      </c>
      <c r="E2060" s="4" t="str">
        <f t="shared" si="1"/>
        <v>194500-Douche et Bain-Savon</v>
      </c>
      <c r="F2060" s="4">
        <v>1.0</v>
      </c>
      <c r="G2060" s="4">
        <v>466.0</v>
      </c>
      <c r="H2060" s="4">
        <v>391.0</v>
      </c>
      <c r="I2060" s="21">
        <f t="array" ref="I2060">XLOOKUP($A2060,product!A:A,product!E:E)</f>
        <v>2.4</v>
      </c>
      <c r="J2060" s="4">
        <f t="shared" si="2"/>
        <v>938.4</v>
      </c>
      <c r="K2060" s="22">
        <f t="shared" si="3"/>
        <v>1</v>
      </c>
      <c r="L2060" s="4">
        <f t="shared" si="4"/>
        <v>1</v>
      </c>
    </row>
    <row r="2061">
      <c r="A2061" s="23">
        <v>80432.0</v>
      </c>
      <c r="B2061" s="24" t="str">
        <f t="array" ref="B2061">xlookup($A2061,product!$A:$A,product!B:B)</f>
        <v>Beauté &amp; Hygiène</v>
      </c>
      <c r="C2061" s="24" t="str">
        <f t="array" ref="C2061">xlookup($A2061,product!$A:$A,product!C:C)</f>
        <v>Douche et Bain</v>
      </c>
      <c r="D2061" s="24" t="str">
        <f t="array" ref="D2061">xlookup($A2061,product!$A:$A,product!D:D)</f>
        <v>Savon</v>
      </c>
      <c r="E2061" s="25" t="str">
        <f t="shared" si="1"/>
        <v>80432-Douche et Bain-Savon</v>
      </c>
      <c r="F2061" s="25">
        <v>0.0</v>
      </c>
      <c r="G2061" s="25">
        <v>4.0</v>
      </c>
      <c r="H2061" s="25">
        <v>2.0</v>
      </c>
      <c r="I2061" s="26">
        <f t="array" ref="I2061">XLOOKUP($A2061,product!A:A,product!E:E)</f>
        <v>3.4</v>
      </c>
      <c r="J2061" s="25">
        <f t="shared" si="2"/>
        <v>6.8</v>
      </c>
      <c r="K2061" s="27">
        <f t="shared" si="3"/>
        <v>1</v>
      </c>
      <c r="L2061" s="25">
        <f t="shared" si="4"/>
        <v>1</v>
      </c>
    </row>
    <row r="2062">
      <c r="A2062" s="19">
        <v>122636.0</v>
      </c>
      <c r="B2062" s="20" t="str">
        <f t="array" ref="B2062">xlookup($A2062,product!$A:$A,product!B:B)</f>
        <v>Beauté &amp; Hygiène</v>
      </c>
      <c r="C2062" s="20" t="str">
        <f t="array" ref="C2062">xlookup($A2062,product!$A:$A,product!C:C)</f>
        <v>Douche et Bain</v>
      </c>
      <c r="D2062" s="20" t="str">
        <f t="array" ref="D2062">xlookup($A2062,product!$A:$A,product!D:D)</f>
        <v>Savon</v>
      </c>
      <c r="E2062" s="4" t="str">
        <f t="shared" si="1"/>
        <v>122636-Douche et Bain-Savon</v>
      </c>
      <c r="F2062" s="4">
        <v>1.0</v>
      </c>
      <c r="G2062" s="4">
        <v>170.0</v>
      </c>
      <c r="H2062" s="4">
        <v>150.0</v>
      </c>
      <c r="I2062" s="21">
        <f t="array" ref="I2062">XLOOKUP($A2062,product!A:A,product!E:E)</f>
        <v>3.43</v>
      </c>
      <c r="J2062" s="4">
        <f t="shared" si="2"/>
        <v>514.5</v>
      </c>
      <c r="K2062" s="22">
        <f t="shared" si="3"/>
        <v>1</v>
      </c>
      <c r="L2062" s="4">
        <f t="shared" si="4"/>
        <v>1</v>
      </c>
    </row>
    <row r="2063">
      <c r="A2063" s="23">
        <v>110697.0</v>
      </c>
      <c r="B2063" s="24" t="str">
        <f t="array" ref="B2063">xlookup($A2063,product!$A:$A,product!B:B)</f>
        <v>Beauté &amp; Hygiène</v>
      </c>
      <c r="C2063" s="24" t="str">
        <f t="array" ref="C2063">xlookup($A2063,product!$A:$A,product!C:C)</f>
        <v>Douche et Bain</v>
      </c>
      <c r="D2063" s="24" t="str">
        <f t="array" ref="D2063">xlookup($A2063,product!$A:$A,product!D:D)</f>
        <v>Savon</v>
      </c>
      <c r="E2063" s="25" t="str">
        <f t="shared" si="1"/>
        <v>110697-Douche et Bain-Savon</v>
      </c>
      <c r="F2063" s="25">
        <v>0.0</v>
      </c>
      <c r="G2063" s="25">
        <v>888.0</v>
      </c>
      <c r="H2063" s="25">
        <v>878.0</v>
      </c>
      <c r="I2063" s="26">
        <f t="array" ref="I2063">XLOOKUP($A2063,product!A:A,product!E:E)</f>
        <v>1.43</v>
      </c>
      <c r="J2063" s="25">
        <f t="shared" si="2"/>
        <v>1255.54</v>
      </c>
      <c r="K2063" s="27">
        <f t="shared" si="3"/>
        <v>1</v>
      </c>
      <c r="L2063" s="25">
        <f t="shared" si="4"/>
        <v>1</v>
      </c>
    </row>
    <row r="2064">
      <c r="A2064" s="19">
        <v>117966.0</v>
      </c>
      <c r="B2064" s="20" t="str">
        <f t="array" ref="B2064">xlookup($A2064,product!$A:$A,product!B:B)</f>
        <v>Beauté &amp; Hygiène</v>
      </c>
      <c r="C2064" s="20" t="str">
        <f t="array" ref="C2064">xlookup($A2064,product!$A:$A,product!C:C)</f>
        <v>Douche et Bain</v>
      </c>
      <c r="D2064" s="20" t="str">
        <f t="array" ref="D2064">xlookup($A2064,product!$A:$A,product!D:D)</f>
        <v>Savon</v>
      </c>
      <c r="E2064" s="4" t="str">
        <f t="shared" si="1"/>
        <v>117966-Douche et Bain-Savon</v>
      </c>
      <c r="F2064" s="4">
        <v>0.0</v>
      </c>
      <c r="G2064" s="4">
        <v>923.0</v>
      </c>
      <c r="H2064" s="4">
        <v>623.0</v>
      </c>
      <c r="I2064" s="21">
        <f t="array" ref="I2064">XLOOKUP($A2064,product!A:A,product!E:E)</f>
        <v>4.32</v>
      </c>
      <c r="J2064" s="4">
        <f t="shared" si="2"/>
        <v>2691.36</v>
      </c>
      <c r="K2064" s="22">
        <f t="shared" si="3"/>
        <v>1</v>
      </c>
      <c r="L2064" s="4">
        <f t="shared" si="4"/>
        <v>1</v>
      </c>
    </row>
    <row r="2065">
      <c r="A2065" s="23">
        <v>122782.0</v>
      </c>
      <c r="B2065" s="24" t="str">
        <f t="array" ref="B2065">xlookup($A2065,product!$A:$A,product!B:B)</f>
        <v>Beauté &amp; Hygiène</v>
      </c>
      <c r="C2065" s="24" t="str">
        <f t="array" ref="C2065">xlookup($A2065,product!$A:$A,product!C:C)</f>
        <v>Douche et Bain</v>
      </c>
      <c r="D2065" s="24" t="str">
        <f t="array" ref="D2065">xlookup($A2065,product!$A:$A,product!D:D)</f>
        <v>Savon</v>
      </c>
      <c r="E2065" s="25" t="str">
        <f t="shared" si="1"/>
        <v>122782-Douche et Bain-Savon</v>
      </c>
      <c r="F2065" s="25">
        <v>0.0</v>
      </c>
      <c r="G2065" s="25">
        <v>731.0</v>
      </c>
      <c r="H2065" s="25">
        <v>57.0</v>
      </c>
      <c r="I2065" s="26">
        <f t="array" ref="I2065">XLOOKUP($A2065,product!A:A,product!E:E)</f>
        <v>3.41</v>
      </c>
      <c r="J2065" s="25">
        <f t="shared" si="2"/>
        <v>194.37</v>
      </c>
      <c r="K2065" s="27">
        <f t="shared" si="3"/>
        <v>1</v>
      </c>
      <c r="L2065" s="25">
        <f t="shared" si="4"/>
        <v>1</v>
      </c>
    </row>
    <row r="2066">
      <c r="A2066" s="19">
        <v>49358.0</v>
      </c>
      <c r="B2066" s="20" t="str">
        <f t="array" ref="B2066">xlookup($A2066,product!$A:$A,product!B:B)</f>
        <v>Beauté &amp; Hygiène</v>
      </c>
      <c r="C2066" s="20" t="str">
        <f t="array" ref="C2066">xlookup($A2066,product!$A:$A,product!C:C)</f>
        <v>Douche et Bain</v>
      </c>
      <c r="D2066" s="20" t="str">
        <f t="array" ref="D2066">xlookup($A2066,product!$A:$A,product!D:D)</f>
        <v>Savon</v>
      </c>
      <c r="E2066" s="4" t="str">
        <f t="shared" si="1"/>
        <v>49358-Douche et Bain-Savon</v>
      </c>
      <c r="F2066" s="4">
        <v>1.0</v>
      </c>
      <c r="G2066" s="4">
        <v>371.0</v>
      </c>
      <c r="H2066" s="4">
        <v>133.0</v>
      </c>
      <c r="I2066" s="21">
        <f t="array" ref="I2066">XLOOKUP($A2066,product!A:A,product!E:E)</f>
        <v>2.91</v>
      </c>
      <c r="J2066" s="4">
        <f t="shared" si="2"/>
        <v>387.03</v>
      </c>
      <c r="K2066" s="22">
        <f t="shared" si="3"/>
        <v>1</v>
      </c>
      <c r="L2066" s="4">
        <f t="shared" si="4"/>
        <v>1</v>
      </c>
    </row>
    <row r="2067">
      <c r="A2067" s="23">
        <v>190250.0</v>
      </c>
      <c r="B2067" s="24" t="str">
        <f t="array" ref="B2067">xlookup($A2067,product!$A:$A,product!B:B)</f>
        <v>Beauté &amp; Hygiène</v>
      </c>
      <c r="C2067" s="24" t="str">
        <f t="array" ref="C2067">xlookup($A2067,product!$A:$A,product!C:C)</f>
        <v>Douche et Bain</v>
      </c>
      <c r="D2067" s="24" t="str">
        <f t="array" ref="D2067">xlookup($A2067,product!$A:$A,product!D:D)</f>
        <v>Savon</v>
      </c>
      <c r="E2067" s="25" t="str">
        <f t="shared" si="1"/>
        <v>190250-Douche et Bain-Savon</v>
      </c>
      <c r="F2067" s="25">
        <v>0.0</v>
      </c>
      <c r="G2067" s="25">
        <v>162.0</v>
      </c>
      <c r="H2067" s="25">
        <v>83.0</v>
      </c>
      <c r="I2067" s="26">
        <f t="array" ref="I2067">XLOOKUP($A2067,product!A:A,product!E:E)</f>
        <v>1.37</v>
      </c>
      <c r="J2067" s="25">
        <f t="shared" si="2"/>
        <v>113.71</v>
      </c>
      <c r="K2067" s="27">
        <f t="shared" si="3"/>
        <v>1</v>
      </c>
      <c r="L2067" s="25">
        <f t="shared" si="4"/>
        <v>1</v>
      </c>
    </row>
    <row r="2068">
      <c r="A2068" s="19">
        <v>100243.0</v>
      </c>
      <c r="B2068" s="20" t="str">
        <f t="array" ref="B2068">xlookup($A2068,product!$A:$A,product!B:B)</f>
        <v>Beauté &amp; Hygiène</v>
      </c>
      <c r="C2068" s="20" t="str">
        <f t="array" ref="C2068">xlookup($A2068,product!$A:$A,product!C:C)</f>
        <v>Douche et Bain</v>
      </c>
      <c r="D2068" s="20" t="str">
        <f t="array" ref="D2068">xlookup($A2068,product!$A:$A,product!D:D)</f>
        <v>Savon</v>
      </c>
      <c r="E2068" s="4" t="str">
        <f t="shared" si="1"/>
        <v>100243-Douche et Bain-Savon</v>
      </c>
      <c r="F2068" s="4">
        <v>1.0</v>
      </c>
      <c r="G2068" s="4">
        <v>574.0</v>
      </c>
      <c r="H2068" s="4">
        <v>188.0</v>
      </c>
      <c r="I2068" s="21">
        <f t="array" ref="I2068">XLOOKUP($A2068,product!A:A,product!E:E)</f>
        <v>0.81</v>
      </c>
      <c r="J2068" s="4">
        <f t="shared" si="2"/>
        <v>152.28</v>
      </c>
      <c r="K2068" s="22">
        <f t="shared" si="3"/>
        <v>1</v>
      </c>
      <c r="L2068" s="4">
        <f t="shared" si="4"/>
        <v>1</v>
      </c>
    </row>
    <row r="2069">
      <c r="A2069" s="23">
        <v>87773.0</v>
      </c>
      <c r="B2069" s="24" t="str">
        <f t="array" ref="B2069">xlookup($A2069,product!$A:$A,product!B:B)</f>
        <v>Beauté &amp; Hygiène</v>
      </c>
      <c r="C2069" s="24" t="str">
        <f t="array" ref="C2069">xlookup($A2069,product!$A:$A,product!C:C)</f>
        <v>Douche et Bain</v>
      </c>
      <c r="D2069" s="24" t="str">
        <f t="array" ref="D2069">xlookup($A2069,product!$A:$A,product!D:D)</f>
        <v>Savon</v>
      </c>
      <c r="E2069" s="25" t="str">
        <f t="shared" si="1"/>
        <v>87773-Douche et Bain-Savon</v>
      </c>
      <c r="F2069" s="25">
        <v>1.0</v>
      </c>
      <c r="G2069" s="25">
        <v>937.0</v>
      </c>
      <c r="H2069" s="25">
        <v>736.0</v>
      </c>
      <c r="I2069" s="26">
        <f t="array" ref="I2069">XLOOKUP($A2069,product!A:A,product!E:E)</f>
        <v>2.23</v>
      </c>
      <c r="J2069" s="25">
        <f t="shared" si="2"/>
        <v>1641.28</v>
      </c>
      <c r="K2069" s="27">
        <f t="shared" si="3"/>
        <v>1</v>
      </c>
      <c r="L2069" s="25">
        <f t="shared" si="4"/>
        <v>1</v>
      </c>
    </row>
    <row r="2070">
      <c r="A2070" s="19">
        <v>79103.0</v>
      </c>
      <c r="B2070" s="20" t="str">
        <f t="array" ref="B2070">xlookup($A2070,product!$A:$A,product!B:B)</f>
        <v>Beauté &amp; Hygiène</v>
      </c>
      <c r="C2070" s="20" t="str">
        <f t="array" ref="C2070">xlookup($A2070,product!$A:$A,product!C:C)</f>
        <v>Douche et Bain</v>
      </c>
      <c r="D2070" s="20" t="str">
        <f t="array" ref="D2070">xlookup($A2070,product!$A:$A,product!D:D)</f>
        <v>Savon</v>
      </c>
      <c r="E2070" s="4" t="str">
        <f t="shared" si="1"/>
        <v>79103-Douche et Bain-Savon</v>
      </c>
      <c r="F2070" s="4">
        <v>0.0</v>
      </c>
      <c r="G2070" s="4">
        <v>61.0</v>
      </c>
      <c r="H2070" s="4">
        <v>22.0</v>
      </c>
      <c r="I2070" s="21">
        <f t="array" ref="I2070">XLOOKUP($A2070,product!A:A,product!E:E)</f>
        <v>2.07</v>
      </c>
      <c r="J2070" s="4">
        <f t="shared" si="2"/>
        <v>45.54</v>
      </c>
      <c r="K2070" s="22">
        <f t="shared" si="3"/>
        <v>1</v>
      </c>
      <c r="L2070" s="4">
        <f t="shared" si="4"/>
        <v>1</v>
      </c>
    </row>
    <row r="2071">
      <c r="A2071" s="23">
        <v>87759.0</v>
      </c>
      <c r="B2071" s="24" t="str">
        <f t="array" ref="B2071">xlookup($A2071,product!$A:$A,product!B:B)</f>
        <v>Beauté &amp; Hygiène</v>
      </c>
      <c r="C2071" s="24" t="str">
        <f t="array" ref="C2071">xlookup($A2071,product!$A:$A,product!C:C)</f>
        <v>Douche et Bain</v>
      </c>
      <c r="D2071" s="24" t="str">
        <f t="array" ref="D2071">xlookup($A2071,product!$A:$A,product!D:D)</f>
        <v>Savon</v>
      </c>
      <c r="E2071" s="25" t="str">
        <f t="shared" si="1"/>
        <v>87759-Douche et Bain-Savon</v>
      </c>
      <c r="F2071" s="25">
        <v>1.0</v>
      </c>
      <c r="G2071" s="25">
        <v>23.0</v>
      </c>
      <c r="H2071" s="25">
        <v>16.0</v>
      </c>
      <c r="I2071" s="26">
        <f t="array" ref="I2071">XLOOKUP($A2071,product!A:A,product!E:E)</f>
        <v>2.23</v>
      </c>
      <c r="J2071" s="25">
        <f t="shared" si="2"/>
        <v>35.68</v>
      </c>
      <c r="K2071" s="27">
        <f t="shared" si="3"/>
        <v>1</v>
      </c>
      <c r="L2071" s="25">
        <f t="shared" si="4"/>
        <v>1</v>
      </c>
    </row>
    <row r="2072">
      <c r="A2072" s="19">
        <v>82461.0</v>
      </c>
      <c r="B2072" s="20" t="str">
        <f t="array" ref="B2072">xlookup($A2072,product!$A:$A,product!B:B)</f>
        <v>Beauté &amp; Hygiène</v>
      </c>
      <c r="C2072" s="20" t="str">
        <f t="array" ref="C2072">xlookup($A2072,product!$A:$A,product!C:C)</f>
        <v>Douche et Bain</v>
      </c>
      <c r="D2072" s="20" t="str">
        <f t="array" ref="D2072">xlookup($A2072,product!$A:$A,product!D:D)</f>
        <v>Savon</v>
      </c>
      <c r="E2072" s="4" t="str">
        <f t="shared" si="1"/>
        <v>82461-Douche et Bain-Savon</v>
      </c>
      <c r="F2072" s="4">
        <v>1.0</v>
      </c>
      <c r="G2072" s="4">
        <v>416.0</v>
      </c>
      <c r="H2072" s="4">
        <v>156.0</v>
      </c>
      <c r="I2072" s="21">
        <f t="array" ref="I2072">XLOOKUP($A2072,product!A:A,product!E:E)</f>
        <v>1.97</v>
      </c>
      <c r="J2072" s="4">
        <f t="shared" si="2"/>
        <v>307.32</v>
      </c>
      <c r="K2072" s="22">
        <f t="shared" si="3"/>
        <v>1</v>
      </c>
      <c r="L2072" s="4">
        <f t="shared" si="4"/>
        <v>1</v>
      </c>
    </row>
    <row r="2073">
      <c r="A2073" s="23">
        <v>122613.0</v>
      </c>
      <c r="B2073" s="24" t="str">
        <f t="array" ref="B2073">xlookup($A2073,product!$A:$A,product!B:B)</f>
        <v>Beauté &amp; Hygiène</v>
      </c>
      <c r="C2073" s="24" t="str">
        <f t="array" ref="C2073">xlookup($A2073,product!$A:$A,product!C:C)</f>
        <v>Douche et Bain</v>
      </c>
      <c r="D2073" s="24" t="str">
        <f t="array" ref="D2073">xlookup($A2073,product!$A:$A,product!D:D)</f>
        <v>Savon</v>
      </c>
      <c r="E2073" s="25" t="str">
        <f t="shared" si="1"/>
        <v>122613-Douche et Bain-Savon</v>
      </c>
      <c r="F2073" s="25">
        <v>0.0</v>
      </c>
      <c r="G2073" s="25">
        <v>314.0</v>
      </c>
      <c r="H2073" s="25">
        <v>191.0</v>
      </c>
      <c r="I2073" s="26">
        <f t="array" ref="I2073">XLOOKUP($A2073,product!A:A,product!E:E)</f>
        <v>1.44</v>
      </c>
      <c r="J2073" s="25">
        <f t="shared" si="2"/>
        <v>275.04</v>
      </c>
      <c r="K2073" s="27">
        <f t="shared" si="3"/>
        <v>1</v>
      </c>
      <c r="L2073" s="25">
        <f t="shared" si="4"/>
        <v>1</v>
      </c>
    </row>
    <row r="2074">
      <c r="A2074" s="19">
        <v>79746.0</v>
      </c>
      <c r="B2074" s="20" t="str">
        <f t="array" ref="B2074">xlookup($A2074,product!$A:$A,product!B:B)</f>
        <v>Beauté &amp; Hygiène</v>
      </c>
      <c r="C2074" s="20" t="str">
        <f t="array" ref="C2074">xlookup($A2074,product!$A:$A,product!C:C)</f>
        <v>Douche et Bain</v>
      </c>
      <c r="D2074" s="20" t="str">
        <f t="array" ref="D2074">xlookup($A2074,product!$A:$A,product!D:D)</f>
        <v>Savon</v>
      </c>
      <c r="E2074" s="4" t="str">
        <f t="shared" si="1"/>
        <v>79746-Douche et Bain-Savon</v>
      </c>
      <c r="F2074" s="4">
        <v>0.0</v>
      </c>
      <c r="G2074" s="4">
        <v>255.0</v>
      </c>
      <c r="H2074" s="4">
        <v>150.0</v>
      </c>
      <c r="I2074" s="21">
        <f t="array" ref="I2074">XLOOKUP($A2074,product!A:A,product!E:E)</f>
        <v>2.61</v>
      </c>
      <c r="J2074" s="4">
        <f t="shared" si="2"/>
        <v>391.5</v>
      </c>
      <c r="K2074" s="22">
        <f t="shared" si="3"/>
        <v>1</v>
      </c>
      <c r="L2074" s="4">
        <f t="shared" si="4"/>
        <v>1</v>
      </c>
    </row>
    <row r="2075">
      <c r="A2075" s="23">
        <v>110860.0</v>
      </c>
      <c r="B2075" s="24" t="str">
        <f t="array" ref="B2075">xlookup($A2075,product!$A:$A,product!B:B)</f>
        <v>Beauté &amp; Hygiène</v>
      </c>
      <c r="C2075" s="24" t="str">
        <f t="array" ref="C2075">xlookup($A2075,product!$A:$A,product!C:C)</f>
        <v>Douche et Bain</v>
      </c>
      <c r="D2075" s="24" t="str">
        <f t="array" ref="D2075">xlookup($A2075,product!$A:$A,product!D:D)</f>
        <v>Savon</v>
      </c>
      <c r="E2075" s="25" t="str">
        <f t="shared" si="1"/>
        <v>110860-Douche et Bain-Savon</v>
      </c>
      <c r="F2075" s="25">
        <v>1.0</v>
      </c>
      <c r="G2075" s="25">
        <v>262.0</v>
      </c>
      <c r="H2075" s="25">
        <v>195.0</v>
      </c>
      <c r="I2075" s="26">
        <f t="array" ref="I2075">XLOOKUP($A2075,product!A:A,product!E:E)</f>
        <v>2.09</v>
      </c>
      <c r="J2075" s="25">
        <f t="shared" si="2"/>
        <v>407.55</v>
      </c>
      <c r="K2075" s="27">
        <f t="shared" si="3"/>
        <v>1</v>
      </c>
      <c r="L2075" s="25">
        <f t="shared" si="4"/>
        <v>1</v>
      </c>
    </row>
    <row r="2076">
      <c r="A2076" s="19">
        <v>49355.0</v>
      </c>
      <c r="B2076" s="20" t="str">
        <f t="array" ref="B2076">xlookup($A2076,product!$A:$A,product!B:B)</f>
        <v>Beauté &amp; Hygiène</v>
      </c>
      <c r="C2076" s="20" t="str">
        <f t="array" ref="C2076">xlookup($A2076,product!$A:$A,product!C:C)</f>
        <v>Douche et Bain</v>
      </c>
      <c r="D2076" s="20" t="str">
        <f t="array" ref="D2076">xlookup($A2076,product!$A:$A,product!D:D)</f>
        <v>Savon</v>
      </c>
      <c r="E2076" s="4" t="str">
        <f t="shared" si="1"/>
        <v>49355-Douche et Bain-Savon</v>
      </c>
      <c r="F2076" s="4">
        <v>0.0</v>
      </c>
      <c r="G2076" s="4">
        <v>384.0</v>
      </c>
      <c r="H2076" s="4">
        <v>141.0</v>
      </c>
      <c r="I2076" s="21">
        <f t="array" ref="I2076">XLOOKUP($A2076,product!A:A,product!E:E)</f>
        <v>2.91</v>
      </c>
      <c r="J2076" s="4">
        <f t="shared" si="2"/>
        <v>410.31</v>
      </c>
      <c r="K2076" s="22">
        <f t="shared" si="3"/>
        <v>1</v>
      </c>
      <c r="L2076" s="4">
        <f t="shared" si="4"/>
        <v>1</v>
      </c>
    </row>
    <row r="2077">
      <c r="A2077" s="23">
        <v>93520.0</v>
      </c>
      <c r="B2077" s="24" t="str">
        <f t="array" ref="B2077">xlookup($A2077,product!$A:$A,product!B:B)</f>
        <v>Beauté &amp; Hygiène</v>
      </c>
      <c r="C2077" s="24" t="str">
        <f t="array" ref="C2077">xlookup($A2077,product!$A:$A,product!C:C)</f>
        <v>Douche et Bain</v>
      </c>
      <c r="D2077" s="24" t="str">
        <f t="array" ref="D2077">xlookup($A2077,product!$A:$A,product!D:D)</f>
        <v>Savon</v>
      </c>
      <c r="E2077" s="25" t="str">
        <f t="shared" si="1"/>
        <v>93520-Douche et Bain-Savon</v>
      </c>
      <c r="F2077" s="25">
        <v>1.0</v>
      </c>
      <c r="G2077" s="25">
        <v>444.0</v>
      </c>
      <c r="H2077" s="25">
        <v>153.0</v>
      </c>
      <c r="I2077" s="26">
        <f t="array" ref="I2077">XLOOKUP($A2077,product!A:A,product!E:E)</f>
        <v>2.86</v>
      </c>
      <c r="J2077" s="25">
        <f t="shared" si="2"/>
        <v>437.58</v>
      </c>
      <c r="K2077" s="27">
        <f t="shared" si="3"/>
        <v>1</v>
      </c>
      <c r="L2077" s="25">
        <f t="shared" si="4"/>
        <v>1</v>
      </c>
    </row>
    <row r="2078">
      <c r="A2078" s="19">
        <v>87765.0</v>
      </c>
      <c r="B2078" s="20" t="str">
        <f t="array" ref="B2078">xlookup($A2078,product!$A:$A,product!B:B)</f>
        <v>Beauté &amp; Hygiène</v>
      </c>
      <c r="C2078" s="20" t="str">
        <f t="array" ref="C2078">xlookup($A2078,product!$A:$A,product!C:C)</f>
        <v>Douche et Bain</v>
      </c>
      <c r="D2078" s="20" t="str">
        <f t="array" ref="D2078">xlookup($A2078,product!$A:$A,product!D:D)</f>
        <v>Savon</v>
      </c>
      <c r="E2078" s="4" t="str">
        <f t="shared" si="1"/>
        <v>87765-Douche et Bain-Savon</v>
      </c>
      <c r="F2078" s="4">
        <v>0.0</v>
      </c>
      <c r="G2078" s="4">
        <v>28.0</v>
      </c>
      <c r="H2078" s="4">
        <v>11.0</v>
      </c>
      <c r="I2078" s="21">
        <f t="array" ref="I2078">XLOOKUP($A2078,product!A:A,product!E:E)</f>
        <v>2.23</v>
      </c>
      <c r="J2078" s="4">
        <f t="shared" si="2"/>
        <v>24.53</v>
      </c>
      <c r="K2078" s="22">
        <f t="shared" si="3"/>
        <v>1</v>
      </c>
      <c r="L2078" s="4">
        <f t="shared" si="4"/>
        <v>1</v>
      </c>
    </row>
    <row r="2079">
      <c r="A2079" s="23">
        <v>110863.0</v>
      </c>
      <c r="B2079" s="24" t="str">
        <f t="array" ref="B2079">xlookup($A2079,product!$A:$A,product!B:B)</f>
        <v>Beauté &amp; Hygiène</v>
      </c>
      <c r="C2079" s="24" t="str">
        <f t="array" ref="C2079">xlookup($A2079,product!$A:$A,product!C:C)</f>
        <v>Douche et Bain</v>
      </c>
      <c r="D2079" s="24" t="str">
        <f t="array" ref="D2079">xlookup($A2079,product!$A:$A,product!D:D)</f>
        <v>Savon</v>
      </c>
      <c r="E2079" s="25" t="str">
        <f t="shared" si="1"/>
        <v>110863-Douche et Bain-Savon</v>
      </c>
      <c r="F2079" s="25">
        <v>1.0</v>
      </c>
      <c r="G2079" s="25">
        <v>538.0</v>
      </c>
      <c r="H2079" s="25">
        <v>289.0</v>
      </c>
      <c r="I2079" s="26">
        <f t="array" ref="I2079">XLOOKUP($A2079,product!A:A,product!E:E)</f>
        <v>2.09</v>
      </c>
      <c r="J2079" s="25">
        <f t="shared" si="2"/>
        <v>604.01</v>
      </c>
      <c r="K2079" s="27">
        <f t="shared" si="3"/>
        <v>1</v>
      </c>
      <c r="L2079" s="25">
        <f t="shared" si="4"/>
        <v>1</v>
      </c>
    </row>
    <row r="2080">
      <c r="A2080" s="19">
        <v>16238.0</v>
      </c>
      <c r="B2080" s="20" t="str">
        <f t="array" ref="B2080">xlookup($A2080,product!$A:$A,product!B:B)</f>
        <v>Beauté &amp; Hygiène</v>
      </c>
      <c r="C2080" s="20" t="str">
        <f t="array" ref="C2080">xlookup($A2080,product!$A:$A,product!C:C)</f>
        <v>Douche et Bain</v>
      </c>
      <c r="D2080" s="20" t="str">
        <f t="array" ref="D2080">xlookup($A2080,product!$A:$A,product!D:D)</f>
        <v>Savon</v>
      </c>
      <c r="E2080" s="4" t="str">
        <f t="shared" si="1"/>
        <v>16238-Douche et Bain-Savon</v>
      </c>
      <c r="F2080" s="4">
        <v>1.0</v>
      </c>
      <c r="G2080" s="4">
        <v>879.0</v>
      </c>
      <c r="H2080" s="4">
        <v>258.0</v>
      </c>
      <c r="I2080" s="21">
        <f t="array" ref="I2080">XLOOKUP($A2080,product!A:A,product!E:E)</f>
        <v>2.64</v>
      </c>
      <c r="J2080" s="4">
        <f t="shared" si="2"/>
        <v>681.12</v>
      </c>
      <c r="K2080" s="22">
        <f t="shared" si="3"/>
        <v>1</v>
      </c>
      <c r="L2080" s="4">
        <f t="shared" si="4"/>
        <v>1</v>
      </c>
    </row>
    <row r="2081">
      <c r="A2081" s="23">
        <v>122643.0</v>
      </c>
      <c r="B2081" s="24" t="str">
        <f t="array" ref="B2081">xlookup($A2081,product!$A:$A,product!B:B)</f>
        <v>Beauté &amp; Hygiène</v>
      </c>
      <c r="C2081" s="24" t="str">
        <f t="array" ref="C2081">xlookup($A2081,product!$A:$A,product!C:C)</f>
        <v>Douche et Bain</v>
      </c>
      <c r="D2081" s="24" t="str">
        <f t="array" ref="D2081">xlookup($A2081,product!$A:$A,product!D:D)</f>
        <v>Savon</v>
      </c>
      <c r="E2081" s="25" t="str">
        <f t="shared" si="1"/>
        <v>122643-Douche et Bain-Savon</v>
      </c>
      <c r="F2081" s="25">
        <v>0.0</v>
      </c>
      <c r="G2081" s="25">
        <v>923.0</v>
      </c>
      <c r="H2081" s="25">
        <v>643.0</v>
      </c>
      <c r="I2081" s="26">
        <f t="array" ref="I2081">XLOOKUP($A2081,product!A:A,product!E:E)</f>
        <v>3.43</v>
      </c>
      <c r="J2081" s="25">
        <f t="shared" si="2"/>
        <v>2205.49</v>
      </c>
      <c r="K2081" s="27">
        <f t="shared" si="3"/>
        <v>1</v>
      </c>
      <c r="L2081" s="25">
        <f t="shared" si="4"/>
        <v>1</v>
      </c>
    </row>
    <row r="2082">
      <c r="A2082" s="19">
        <v>82452.0</v>
      </c>
      <c r="B2082" s="20" t="str">
        <f t="array" ref="B2082">xlookup($A2082,product!$A:$A,product!B:B)</f>
        <v>Beauté &amp; Hygiène</v>
      </c>
      <c r="C2082" s="20" t="str">
        <f t="array" ref="C2082">xlookup($A2082,product!$A:$A,product!C:C)</f>
        <v>Douche et Bain</v>
      </c>
      <c r="D2082" s="20" t="str">
        <f t="array" ref="D2082">xlookup($A2082,product!$A:$A,product!D:D)</f>
        <v>Savon</v>
      </c>
      <c r="E2082" s="4" t="str">
        <f t="shared" si="1"/>
        <v>82452-Douche et Bain-Savon</v>
      </c>
      <c r="F2082" s="4">
        <v>1.0</v>
      </c>
      <c r="G2082" s="4">
        <v>433.0</v>
      </c>
      <c r="H2082" s="4">
        <v>432.0</v>
      </c>
      <c r="I2082" s="21">
        <f t="array" ref="I2082">XLOOKUP($A2082,product!A:A,product!E:E)</f>
        <v>1.97</v>
      </c>
      <c r="J2082" s="4">
        <f t="shared" si="2"/>
        <v>851.04</v>
      </c>
      <c r="K2082" s="22">
        <f t="shared" si="3"/>
        <v>1</v>
      </c>
      <c r="L2082" s="4">
        <f t="shared" si="4"/>
        <v>1</v>
      </c>
    </row>
    <row r="2083">
      <c r="A2083" s="23">
        <v>122775.0</v>
      </c>
      <c r="B2083" s="24" t="str">
        <f t="array" ref="B2083">xlookup($A2083,product!$A:$A,product!B:B)</f>
        <v>Beauté &amp; Hygiène</v>
      </c>
      <c r="C2083" s="24" t="str">
        <f t="array" ref="C2083">xlookup($A2083,product!$A:$A,product!C:C)</f>
        <v>Douche et Bain</v>
      </c>
      <c r="D2083" s="24" t="str">
        <f t="array" ref="D2083">xlookup($A2083,product!$A:$A,product!D:D)</f>
        <v>Savon</v>
      </c>
      <c r="E2083" s="25" t="str">
        <f t="shared" si="1"/>
        <v>122775-Douche et Bain-Savon</v>
      </c>
      <c r="F2083" s="25">
        <v>0.0</v>
      </c>
      <c r="G2083" s="25">
        <v>453.0</v>
      </c>
      <c r="H2083" s="25">
        <v>184.0</v>
      </c>
      <c r="I2083" s="26">
        <f t="array" ref="I2083">XLOOKUP($A2083,product!A:A,product!E:E)</f>
        <v>2.92</v>
      </c>
      <c r="J2083" s="25">
        <f t="shared" si="2"/>
        <v>537.28</v>
      </c>
      <c r="K2083" s="27">
        <f t="shared" si="3"/>
        <v>1</v>
      </c>
      <c r="L2083" s="25">
        <f t="shared" si="4"/>
        <v>1</v>
      </c>
    </row>
    <row r="2084">
      <c r="A2084" s="19">
        <v>100240.0</v>
      </c>
      <c r="B2084" s="20" t="str">
        <f t="array" ref="B2084">xlookup($A2084,product!$A:$A,product!B:B)</f>
        <v>Beauté &amp; Hygiène</v>
      </c>
      <c r="C2084" s="20" t="str">
        <f t="array" ref="C2084">xlookup($A2084,product!$A:$A,product!C:C)</f>
        <v>Douche et Bain</v>
      </c>
      <c r="D2084" s="20" t="str">
        <f t="array" ref="D2084">xlookup($A2084,product!$A:$A,product!D:D)</f>
        <v>Savon</v>
      </c>
      <c r="E2084" s="4" t="str">
        <f t="shared" si="1"/>
        <v>100240-Douche et Bain-Savon</v>
      </c>
      <c r="F2084" s="4">
        <v>0.0</v>
      </c>
      <c r="G2084" s="4">
        <v>944.0</v>
      </c>
      <c r="H2084" s="4">
        <v>774.0</v>
      </c>
      <c r="I2084" s="21">
        <f t="array" ref="I2084">XLOOKUP($A2084,product!A:A,product!E:E)</f>
        <v>0.88</v>
      </c>
      <c r="J2084" s="4">
        <f t="shared" si="2"/>
        <v>681.12</v>
      </c>
      <c r="K2084" s="22">
        <f t="shared" si="3"/>
        <v>1</v>
      </c>
      <c r="L2084" s="4">
        <f t="shared" si="4"/>
        <v>1</v>
      </c>
    </row>
    <row r="2085">
      <c r="A2085" s="23">
        <v>87758.0</v>
      </c>
      <c r="B2085" s="24" t="str">
        <f t="array" ref="B2085">xlookup($A2085,product!$A:$A,product!B:B)</f>
        <v>Beauté &amp; Hygiène</v>
      </c>
      <c r="C2085" s="24" t="str">
        <f t="array" ref="C2085">xlookup($A2085,product!$A:$A,product!C:C)</f>
        <v>Douche et Bain</v>
      </c>
      <c r="D2085" s="24" t="str">
        <f t="array" ref="D2085">xlookup($A2085,product!$A:$A,product!D:D)</f>
        <v>Savon</v>
      </c>
      <c r="E2085" s="25" t="str">
        <f t="shared" si="1"/>
        <v>87758-Douche et Bain-Savon</v>
      </c>
      <c r="F2085" s="25">
        <v>0.0</v>
      </c>
      <c r="G2085" s="25">
        <v>738.0</v>
      </c>
      <c r="H2085" s="25">
        <v>463.0</v>
      </c>
      <c r="I2085" s="26">
        <f t="array" ref="I2085">XLOOKUP($A2085,product!A:A,product!E:E)</f>
        <v>2.16</v>
      </c>
      <c r="J2085" s="25">
        <f t="shared" si="2"/>
        <v>1000.08</v>
      </c>
      <c r="K2085" s="27">
        <f t="shared" si="3"/>
        <v>1</v>
      </c>
      <c r="L2085" s="25">
        <f t="shared" si="4"/>
        <v>1</v>
      </c>
    </row>
    <row r="2086">
      <c r="A2086" s="19">
        <v>110689.0</v>
      </c>
      <c r="B2086" s="20" t="str">
        <f t="array" ref="B2086">xlookup($A2086,product!$A:$A,product!B:B)</f>
        <v>Beauté &amp; Hygiène</v>
      </c>
      <c r="C2086" s="20" t="str">
        <f t="array" ref="C2086">xlookup($A2086,product!$A:$A,product!C:C)</f>
        <v>Douche et Bain</v>
      </c>
      <c r="D2086" s="20" t="str">
        <f t="array" ref="D2086">xlookup($A2086,product!$A:$A,product!D:D)</f>
        <v>Savon</v>
      </c>
      <c r="E2086" s="4" t="str">
        <f t="shared" si="1"/>
        <v>110689-Douche et Bain-Savon</v>
      </c>
      <c r="F2086" s="4">
        <v>0.0</v>
      </c>
      <c r="G2086" s="4">
        <v>628.0</v>
      </c>
      <c r="H2086" s="4">
        <v>199.0</v>
      </c>
      <c r="I2086" s="21">
        <f t="array" ref="I2086">XLOOKUP($A2086,product!A:A,product!E:E)</f>
        <v>1.29</v>
      </c>
      <c r="J2086" s="4">
        <f t="shared" si="2"/>
        <v>256.71</v>
      </c>
      <c r="K2086" s="22">
        <f t="shared" si="3"/>
        <v>1</v>
      </c>
      <c r="L2086" s="4">
        <f t="shared" si="4"/>
        <v>1</v>
      </c>
    </row>
    <row r="2087">
      <c r="A2087" s="23">
        <v>110704.0</v>
      </c>
      <c r="B2087" s="24" t="str">
        <f t="array" ref="B2087">xlookup($A2087,product!$A:$A,product!B:B)</f>
        <v>Beauté &amp; Hygiène</v>
      </c>
      <c r="C2087" s="24" t="str">
        <f t="array" ref="C2087">xlookup($A2087,product!$A:$A,product!C:C)</f>
        <v>Douche et Bain</v>
      </c>
      <c r="D2087" s="24" t="str">
        <f t="array" ref="D2087">xlookup($A2087,product!$A:$A,product!D:D)</f>
        <v>Savon</v>
      </c>
      <c r="E2087" s="25" t="str">
        <f t="shared" si="1"/>
        <v>110704-Douche et Bain-Savon</v>
      </c>
      <c r="F2087" s="25">
        <v>0.0</v>
      </c>
      <c r="G2087" s="25">
        <v>947.0</v>
      </c>
      <c r="H2087" s="25">
        <v>896.0</v>
      </c>
      <c r="I2087" s="26">
        <f t="array" ref="I2087">XLOOKUP($A2087,product!A:A,product!E:E)</f>
        <v>2.57</v>
      </c>
      <c r="J2087" s="25">
        <f t="shared" si="2"/>
        <v>2302.72</v>
      </c>
      <c r="K2087" s="27">
        <f t="shared" si="3"/>
        <v>1</v>
      </c>
      <c r="L2087" s="25">
        <f t="shared" si="4"/>
        <v>1</v>
      </c>
    </row>
    <row r="2088">
      <c r="A2088" s="19">
        <v>82455.0</v>
      </c>
      <c r="B2088" s="20" t="str">
        <f t="array" ref="B2088">xlookup($A2088,product!$A:$A,product!B:B)</f>
        <v>Beauté &amp; Hygiène</v>
      </c>
      <c r="C2088" s="20" t="str">
        <f t="array" ref="C2088">xlookup($A2088,product!$A:$A,product!C:C)</f>
        <v>Douche et Bain</v>
      </c>
      <c r="D2088" s="20" t="str">
        <f t="array" ref="D2088">xlookup($A2088,product!$A:$A,product!D:D)</f>
        <v>Savon</v>
      </c>
      <c r="E2088" s="4" t="str">
        <f t="shared" si="1"/>
        <v>82455-Douche et Bain-Savon</v>
      </c>
      <c r="F2088" s="4">
        <v>1.0</v>
      </c>
      <c r="G2088" s="4">
        <v>409.0</v>
      </c>
      <c r="H2088" s="4">
        <v>252.0</v>
      </c>
      <c r="I2088" s="21">
        <f t="array" ref="I2088">XLOOKUP($A2088,product!A:A,product!E:E)</f>
        <v>1.97</v>
      </c>
      <c r="J2088" s="4">
        <f t="shared" si="2"/>
        <v>496.44</v>
      </c>
      <c r="K2088" s="22">
        <f t="shared" si="3"/>
        <v>1</v>
      </c>
      <c r="L2088" s="4">
        <f t="shared" si="4"/>
        <v>1</v>
      </c>
    </row>
    <row r="2089">
      <c r="A2089" s="23">
        <v>127013.0</v>
      </c>
      <c r="B2089" s="24" t="str">
        <f t="array" ref="B2089">xlookup($A2089,product!$A:$A,product!B:B)</f>
        <v>Beauté &amp; Hygiène</v>
      </c>
      <c r="C2089" s="24" t="str">
        <f t="array" ref="C2089">xlookup($A2089,product!$A:$A,product!C:C)</f>
        <v>Douche et Bain</v>
      </c>
      <c r="D2089" s="24" t="str">
        <f t="array" ref="D2089">xlookup($A2089,product!$A:$A,product!D:D)</f>
        <v>Savon</v>
      </c>
      <c r="E2089" s="25" t="str">
        <f t="shared" si="1"/>
        <v>127013-Douche et Bain-Savon</v>
      </c>
      <c r="F2089" s="25">
        <v>1.0</v>
      </c>
      <c r="G2089" s="25">
        <v>149.0</v>
      </c>
      <c r="H2089" s="25">
        <v>59.0</v>
      </c>
      <c r="I2089" s="26">
        <f t="array" ref="I2089">XLOOKUP($A2089,product!A:A,product!E:E)</f>
        <v>2.75</v>
      </c>
      <c r="J2089" s="25">
        <f t="shared" si="2"/>
        <v>162.25</v>
      </c>
      <c r="K2089" s="27">
        <f t="shared" si="3"/>
        <v>1</v>
      </c>
      <c r="L2089" s="25">
        <f t="shared" si="4"/>
        <v>1</v>
      </c>
    </row>
    <row r="2090">
      <c r="A2090" s="19">
        <v>113063.0</v>
      </c>
      <c r="B2090" s="20" t="str">
        <f t="array" ref="B2090">xlookup($A2090,product!$A:$A,product!B:B)</f>
        <v>Beauté &amp; Hygiène</v>
      </c>
      <c r="C2090" s="20" t="str">
        <f t="array" ref="C2090">xlookup($A2090,product!$A:$A,product!C:C)</f>
        <v>Douche et Bain</v>
      </c>
      <c r="D2090" s="20" t="str">
        <f t="array" ref="D2090">xlookup($A2090,product!$A:$A,product!D:D)</f>
        <v>Savon</v>
      </c>
      <c r="E2090" s="4" t="str">
        <f t="shared" si="1"/>
        <v>113063-Douche et Bain-Savon</v>
      </c>
      <c r="F2090" s="4">
        <v>1.0</v>
      </c>
      <c r="G2090" s="4">
        <v>859.0</v>
      </c>
      <c r="H2090" s="4">
        <v>158.0</v>
      </c>
      <c r="I2090" s="21">
        <f t="array" ref="I2090">XLOOKUP($A2090,product!A:A,product!E:E)</f>
        <v>3.05</v>
      </c>
      <c r="J2090" s="4">
        <f t="shared" si="2"/>
        <v>481.9</v>
      </c>
      <c r="K2090" s="22">
        <f t="shared" si="3"/>
        <v>1</v>
      </c>
      <c r="L2090" s="4">
        <f t="shared" si="4"/>
        <v>1</v>
      </c>
    </row>
    <row r="2091">
      <c r="A2091" s="23">
        <v>11296.0</v>
      </c>
      <c r="B2091" s="24" t="str">
        <f t="array" ref="B2091">xlookup($A2091,product!$A:$A,product!B:B)</f>
        <v>Beauté &amp; Hygiène</v>
      </c>
      <c r="C2091" s="24" t="str">
        <f t="array" ref="C2091">xlookup($A2091,product!$A:$A,product!C:C)</f>
        <v>Douche et Bain</v>
      </c>
      <c r="D2091" s="24" t="str">
        <f t="array" ref="D2091">xlookup($A2091,product!$A:$A,product!D:D)</f>
        <v>Savon</v>
      </c>
      <c r="E2091" s="25" t="str">
        <f t="shared" si="1"/>
        <v>11296-Douche et Bain-Savon</v>
      </c>
      <c r="F2091" s="25">
        <v>0.0</v>
      </c>
      <c r="G2091" s="25">
        <v>362.0</v>
      </c>
      <c r="H2091" s="25">
        <v>78.0</v>
      </c>
      <c r="I2091" s="26">
        <f t="array" ref="I2091">XLOOKUP($A2091,product!A:A,product!E:E)</f>
        <v>4.06</v>
      </c>
      <c r="J2091" s="25">
        <f t="shared" si="2"/>
        <v>316.68</v>
      </c>
      <c r="K2091" s="27">
        <f t="shared" si="3"/>
        <v>1</v>
      </c>
      <c r="L2091" s="25">
        <f t="shared" si="4"/>
        <v>1</v>
      </c>
    </row>
    <row r="2092">
      <c r="A2092" s="19">
        <v>105305.0</v>
      </c>
      <c r="B2092" s="20" t="str">
        <f t="array" ref="B2092">xlookup($A2092,product!$A:$A,product!B:B)</f>
        <v>Beauté &amp; Hygiène</v>
      </c>
      <c r="C2092" s="20" t="str">
        <f t="array" ref="C2092">xlookup($A2092,product!$A:$A,product!C:C)</f>
        <v>Douche et Bain</v>
      </c>
      <c r="D2092" s="20" t="str">
        <f t="array" ref="D2092">xlookup($A2092,product!$A:$A,product!D:D)</f>
        <v>Savon</v>
      </c>
      <c r="E2092" s="4" t="str">
        <f t="shared" si="1"/>
        <v>105305-Douche et Bain-Savon</v>
      </c>
      <c r="F2092" s="4">
        <v>1.0</v>
      </c>
      <c r="G2092" s="4">
        <v>182.0</v>
      </c>
      <c r="H2092" s="4">
        <v>157.0</v>
      </c>
      <c r="I2092" s="21">
        <f t="array" ref="I2092">XLOOKUP($A2092,product!A:A,product!E:E)</f>
        <v>3.78</v>
      </c>
      <c r="J2092" s="4">
        <f t="shared" si="2"/>
        <v>593.46</v>
      </c>
      <c r="K2092" s="22">
        <f t="shared" si="3"/>
        <v>1</v>
      </c>
      <c r="L2092" s="4">
        <f t="shared" si="4"/>
        <v>1</v>
      </c>
    </row>
    <row r="2093">
      <c r="A2093" s="23">
        <v>73244.0</v>
      </c>
      <c r="B2093" s="24" t="str">
        <f t="array" ref="B2093">xlookup($A2093,product!$A:$A,product!B:B)</f>
        <v>Beauté &amp; Hygiène</v>
      </c>
      <c r="C2093" s="24" t="str">
        <f t="array" ref="C2093">xlookup($A2093,product!$A:$A,product!C:C)</f>
        <v>Douche et Bain</v>
      </c>
      <c r="D2093" s="24" t="str">
        <f t="array" ref="D2093">xlookup($A2093,product!$A:$A,product!D:D)</f>
        <v>Savon</v>
      </c>
      <c r="E2093" s="25" t="str">
        <f t="shared" si="1"/>
        <v>73244-Douche et Bain-Savon</v>
      </c>
      <c r="F2093" s="25">
        <v>1.0</v>
      </c>
      <c r="G2093" s="25">
        <v>152.0</v>
      </c>
      <c r="H2093" s="25">
        <v>78.0</v>
      </c>
      <c r="I2093" s="26">
        <f t="array" ref="I2093">XLOOKUP($A2093,product!A:A,product!E:E)</f>
        <v>0.91</v>
      </c>
      <c r="J2093" s="25">
        <f t="shared" si="2"/>
        <v>70.98</v>
      </c>
      <c r="K2093" s="27">
        <f t="shared" si="3"/>
        <v>1</v>
      </c>
      <c r="L2093" s="25">
        <f t="shared" si="4"/>
        <v>1</v>
      </c>
    </row>
    <row r="2094">
      <c r="A2094" s="19">
        <v>82458.0</v>
      </c>
      <c r="B2094" s="20" t="str">
        <f t="array" ref="B2094">xlookup($A2094,product!$A:$A,product!B:B)</f>
        <v>Beauté &amp; Hygiène</v>
      </c>
      <c r="C2094" s="20" t="str">
        <f t="array" ref="C2094">xlookup($A2094,product!$A:$A,product!C:C)</f>
        <v>Douche et Bain</v>
      </c>
      <c r="D2094" s="20" t="str">
        <f t="array" ref="D2094">xlookup($A2094,product!$A:$A,product!D:D)</f>
        <v>Savon</v>
      </c>
      <c r="E2094" s="4" t="str">
        <f t="shared" si="1"/>
        <v>82458-Douche et Bain-Savon</v>
      </c>
      <c r="F2094" s="4">
        <v>1.0</v>
      </c>
      <c r="G2094" s="4">
        <v>2.0</v>
      </c>
      <c r="H2094" s="4">
        <v>2.0</v>
      </c>
      <c r="I2094" s="21">
        <f t="array" ref="I2094">XLOOKUP($A2094,product!A:A,product!E:E)</f>
        <v>1.97</v>
      </c>
      <c r="J2094" s="4">
        <f t="shared" si="2"/>
        <v>3.94</v>
      </c>
      <c r="K2094" s="22">
        <f t="shared" si="3"/>
        <v>1</v>
      </c>
      <c r="L2094" s="4">
        <f t="shared" si="4"/>
        <v>1</v>
      </c>
    </row>
    <row r="2095">
      <c r="A2095" s="23">
        <v>105302.0</v>
      </c>
      <c r="B2095" s="24" t="str">
        <f t="array" ref="B2095">xlookup($A2095,product!$A:$A,product!B:B)</f>
        <v>Beauté &amp; Hygiène</v>
      </c>
      <c r="C2095" s="24" t="str">
        <f t="array" ref="C2095">xlookup($A2095,product!$A:$A,product!C:C)</f>
        <v>Douche et Bain</v>
      </c>
      <c r="D2095" s="24" t="str">
        <f t="array" ref="D2095">xlookup($A2095,product!$A:$A,product!D:D)</f>
        <v>Savon</v>
      </c>
      <c r="E2095" s="25" t="str">
        <f t="shared" si="1"/>
        <v>105302-Douche et Bain-Savon</v>
      </c>
      <c r="F2095" s="25">
        <v>1.0</v>
      </c>
      <c r="G2095" s="25">
        <v>90.0</v>
      </c>
      <c r="H2095" s="25">
        <v>82.0</v>
      </c>
      <c r="I2095" s="26">
        <f t="array" ref="I2095">XLOOKUP($A2095,product!A:A,product!E:E)</f>
        <v>2.55</v>
      </c>
      <c r="J2095" s="25">
        <f t="shared" si="2"/>
        <v>209.1</v>
      </c>
      <c r="K2095" s="27">
        <f t="shared" si="3"/>
        <v>1</v>
      </c>
      <c r="L2095" s="25">
        <f t="shared" si="4"/>
        <v>1</v>
      </c>
    </row>
    <row r="2096">
      <c r="A2096" s="19">
        <v>150951.0</v>
      </c>
      <c r="B2096" s="20" t="str">
        <f t="array" ref="B2096">xlookup($A2096,product!$A:$A,product!B:B)</f>
        <v>Beauté &amp; Hygiène</v>
      </c>
      <c r="C2096" s="20" t="str">
        <f t="array" ref="C2096">xlookup($A2096,product!$A:$A,product!C:C)</f>
        <v>Douche et Bain</v>
      </c>
      <c r="D2096" s="20" t="str">
        <f t="array" ref="D2096">xlookup($A2096,product!$A:$A,product!D:D)</f>
        <v>Savon</v>
      </c>
      <c r="E2096" s="4" t="str">
        <f t="shared" si="1"/>
        <v>150951-Douche et Bain-Savon</v>
      </c>
      <c r="F2096" s="4">
        <v>1.0</v>
      </c>
      <c r="G2096" s="4">
        <v>462.0</v>
      </c>
      <c r="H2096" s="4">
        <v>78.0</v>
      </c>
      <c r="I2096" s="21">
        <f t="array" ref="I2096">XLOOKUP($A2096,product!A:A,product!E:E)</f>
        <v>1.46</v>
      </c>
      <c r="J2096" s="4">
        <f t="shared" si="2"/>
        <v>113.88</v>
      </c>
      <c r="K2096" s="22">
        <f t="shared" si="3"/>
        <v>1</v>
      </c>
      <c r="L2096" s="4">
        <f t="shared" si="4"/>
        <v>1</v>
      </c>
    </row>
    <row r="2097">
      <c r="A2097" s="23">
        <v>122492.0</v>
      </c>
      <c r="B2097" s="24" t="str">
        <f t="array" ref="B2097">xlookup($A2097,product!$A:$A,product!B:B)</f>
        <v>Beauté &amp; Hygiène</v>
      </c>
      <c r="C2097" s="24" t="str">
        <f t="array" ref="C2097">xlookup($A2097,product!$A:$A,product!C:C)</f>
        <v>Douche et Bain</v>
      </c>
      <c r="D2097" s="24" t="str">
        <f t="array" ref="D2097">xlookup($A2097,product!$A:$A,product!D:D)</f>
        <v>Gel douche</v>
      </c>
      <c r="E2097" s="25" t="str">
        <f t="shared" si="1"/>
        <v>122492-Douche et Bain-Gel douche</v>
      </c>
      <c r="F2097" s="25">
        <v>1.0</v>
      </c>
      <c r="G2097" s="25">
        <v>863.0</v>
      </c>
      <c r="H2097" s="25">
        <v>525.0</v>
      </c>
      <c r="I2097" s="26">
        <f t="array" ref="I2097">XLOOKUP($A2097,product!A:A,product!E:E)</f>
        <v>4.21</v>
      </c>
      <c r="J2097" s="25">
        <f t="shared" si="2"/>
        <v>2210.25</v>
      </c>
      <c r="K2097" s="27">
        <f t="shared" si="3"/>
        <v>1</v>
      </c>
      <c r="L2097" s="25">
        <f t="shared" si="4"/>
        <v>1</v>
      </c>
    </row>
    <row r="2098">
      <c r="A2098" s="19">
        <v>110436.0</v>
      </c>
      <c r="B2098" s="20" t="str">
        <f t="array" ref="B2098">xlookup($A2098,product!$A:$A,product!B:B)</f>
        <v>Beauté &amp; Hygiène</v>
      </c>
      <c r="C2098" s="20" t="str">
        <f t="array" ref="C2098">xlookup($A2098,product!$A:$A,product!C:C)</f>
        <v>Douche et Bain</v>
      </c>
      <c r="D2098" s="20" t="str">
        <f t="array" ref="D2098">xlookup($A2098,product!$A:$A,product!D:D)</f>
        <v>Gel douche</v>
      </c>
      <c r="E2098" s="4" t="str">
        <f t="shared" si="1"/>
        <v>110436-Douche et Bain-Gel douche</v>
      </c>
      <c r="F2098" s="4">
        <v>0.0</v>
      </c>
      <c r="G2098" s="4">
        <v>54.0</v>
      </c>
      <c r="H2098" s="4">
        <v>33.0</v>
      </c>
      <c r="I2098" s="21">
        <f t="array" ref="I2098">XLOOKUP($A2098,product!A:A,product!E:E)</f>
        <v>3.97</v>
      </c>
      <c r="J2098" s="4">
        <f t="shared" si="2"/>
        <v>131.01</v>
      </c>
      <c r="K2098" s="22">
        <f t="shared" si="3"/>
        <v>1</v>
      </c>
      <c r="L2098" s="4">
        <f t="shared" si="4"/>
        <v>1</v>
      </c>
    </row>
    <row r="2099">
      <c r="A2099" s="23">
        <v>10674.0</v>
      </c>
      <c r="B2099" s="24" t="str">
        <f t="array" ref="B2099">xlookup($A2099,product!$A:$A,product!B:B)</f>
        <v>Beauté &amp; Hygiène</v>
      </c>
      <c r="C2099" s="24" t="str">
        <f t="array" ref="C2099">xlookup($A2099,product!$A:$A,product!C:C)</f>
        <v>Douche et Bain</v>
      </c>
      <c r="D2099" s="24" t="str">
        <f t="array" ref="D2099">xlookup($A2099,product!$A:$A,product!D:D)</f>
        <v>Gel douche</v>
      </c>
      <c r="E2099" s="25" t="str">
        <f t="shared" si="1"/>
        <v>10674-Douche et Bain-Gel douche</v>
      </c>
      <c r="F2099" s="25">
        <v>1.0</v>
      </c>
      <c r="G2099" s="25">
        <v>271.0</v>
      </c>
      <c r="H2099" s="25">
        <v>251.0</v>
      </c>
      <c r="I2099" s="26">
        <f t="array" ref="I2099">XLOOKUP($A2099,product!A:A,product!E:E)</f>
        <v>6.36</v>
      </c>
      <c r="J2099" s="25">
        <f t="shared" si="2"/>
        <v>1596.36</v>
      </c>
      <c r="K2099" s="27">
        <f t="shared" si="3"/>
        <v>1</v>
      </c>
      <c r="L2099" s="25">
        <f t="shared" si="4"/>
        <v>1</v>
      </c>
    </row>
    <row r="2100">
      <c r="A2100" s="19">
        <v>117166.0</v>
      </c>
      <c r="B2100" s="20" t="str">
        <f t="array" ref="B2100">xlookup($A2100,product!$A:$A,product!B:B)</f>
        <v>Beauté &amp; Hygiène</v>
      </c>
      <c r="C2100" s="20" t="str">
        <f t="array" ref="C2100">xlookup($A2100,product!$A:$A,product!C:C)</f>
        <v>Douche et Bain</v>
      </c>
      <c r="D2100" s="20" t="str">
        <f t="array" ref="D2100">xlookup($A2100,product!$A:$A,product!D:D)</f>
        <v>Gel douche</v>
      </c>
      <c r="E2100" s="4" t="str">
        <f t="shared" si="1"/>
        <v>117166-Douche et Bain-Gel douche</v>
      </c>
      <c r="F2100" s="4">
        <v>1.0</v>
      </c>
      <c r="G2100" s="4">
        <v>489.0</v>
      </c>
      <c r="H2100" s="4">
        <v>99.0</v>
      </c>
      <c r="I2100" s="21">
        <f t="array" ref="I2100">XLOOKUP($A2100,product!A:A,product!E:E)</f>
        <v>6.12</v>
      </c>
      <c r="J2100" s="4">
        <f t="shared" si="2"/>
        <v>605.88</v>
      </c>
      <c r="K2100" s="22">
        <f t="shared" si="3"/>
        <v>1</v>
      </c>
      <c r="L2100" s="4">
        <f t="shared" si="4"/>
        <v>1</v>
      </c>
    </row>
    <row r="2101">
      <c r="A2101" s="23">
        <v>111776.0</v>
      </c>
      <c r="B2101" s="24" t="str">
        <f t="array" ref="B2101">xlookup($A2101,product!$A:$A,product!B:B)</f>
        <v>Beauté &amp; Hygiène</v>
      </c>
      <c r="C2101" s="24" t="str">
        <f t="array" ref="C2101">xlookup($A2101,product!$A:$A,product!C:C)</f>
        <v>Douche et Bain</v>
      </c>
      <c r="D2101" s="24" t="str">
        <f t="array" ref="D2101">xlookup($A2101,product!$A:$A,product!D:D)</f>
        <v>Gel douche</v>
      </c>
      <c r="E2101" s="25" t="str">
        <f t="shared" si="1"/>
        <v>111776-Douche et Bain-Gel douche</v>
      </c>
      <c r="F2101" s="25">
        <v>0.0</v>
      </c>
      <c r="G2101" s="25">
        <v>807.0</v>
      </c>
      <c r="H2101" s="25">
        <v>628.0</v>
      </c>
      <c r="I2101" s="26">
        <f t="array" ref="I2101">XLOOKUP($A2101,product!A:A,product!E:E)</f>
        <v>2.94</v>
      </c>
      <c r="J2101" s="25">
        <f t="shared" si="2"/>
        <v>1846.32</v>
      </c>
      <c r="K2101" s="27">
        <f t="shared" si="3"/>
        <v>1</v>
      </c>
      <c r="L2101" s="25">
        <f t="shared" si="4"/>
        <v>1</v>
      </c>
    </row>
    <row r="2102">
      <c r="A2102" s="19">
        <v>122388.0</v>
      </c>
      <c r="B2102" s="20" t="str">
        <f t="array" ref="B2102">xlookup($A2102,product!$A:$A,product!B:B)</f>
        <v>Beauté &amp; Hygiène</v>
      </c>
      <c r="C2102" s="20" t="str">
        <f t="array" ref="C2102">xlookup($A2102,product!$A:$A,product!C:C)</f>
        <v>Douche et Bain</v>
      </c>
      <c r="D2102" s="20" t="str">
        <f t="array" ref="D2102">xlookup($A2102,product!$A:$A,product!D:D)</f>
        <v>Gel douche</v>
      </c>
      <c r="E2102" s="4" t="str">
        <f t="shared" si="1"/>
        <v>122388-Douche et Bain-Gel douche</v>
      </c>
      <c r="F2102" s="4">
        <v>1.0</v>
      </c>
      <c r="G2102" s="4">
        <v>414.0</v>
      </c>
      <c r="H2102" s="4">
        <v>195.0</v>
      </c>
      <c r="I2102" s="21">
        <f t="array" ref="I2102">XLOOKUP($A2102,product!A:A,product!E:E)</f>
        <v>23.58</v>
      </c>
      <c r="J2102" s="4">
        <f t="shared" si="2"/>
        <v>4598.1</v>
      </c>
      <c r="K2102" s="22">
        <f t="shared" si="3"/>
        <v>1</v>
      </c>
      <c r="L2102" s="4">
        <f t="shared" si="4"/>
        <v>1</v>
      </c>
    </row>
    <row r="2103">
      <c r="A2103" s="23">
        <v>117160.0</v>
      </c>
      <c r="B2103" s="24" t="str">
        <f t="array" ref="B2103">xlookup($A2103,product!$A:$A,product!B:B)</f>
        <v>Beauté &amp; Hygiène</v>
      </c>
      <c r="C2103" s="24" t="str">
        <f t="array" ref="C2103">xlookup($A2103,product!$A:$A,product!C:C)</f>
        <v>Douche et Bain</v>
      </c>
      <c r="D2103" s="24" t="str">
        <f t="array" ref="D2103">xlookup($A2103,product!$A:$A,product!D:D)</f>
        <v>Gel douche</v>
      </c>
      <c r="E2103" s="25" t="str">
        <f t="shared" si="1"/>
        <v>117160-Douche et Bain-Gel douche</v>
      </c>
      <c r="F2103" s="25">
        <v>0.0</v>
      </c>
      <c r="G2103" s="25">
        <v>113.0</v>
      </c>
      <c r="H2103" s="25">
        <v>45.0</v>
      </c>
      <c r="I2103" s="26">
        <f t="array" ref="I2103">XLOOKUP($A2103,product!A:A,product!E:E)</f>
        <v>6.56</v>
      </c>
      <c r="J2103" s="25">
        <f t="shared" si="2"/>
        <v>295.2</v>
      </c>
      <c r="K2103" s="27">
        <f t="shared" si="3"/>
        <v>1</v>
      </c>
      <c r="L2103" s="25">
        <f t="shared" si="4"/>
        <v>1</v>
      </c>
    </row>
    <row r="2104">
      <c r="A2104" s="19">
        <v>98795.0</v>
      </c>
      <c r="B2104" s="20" t="str">
        <f t="array" ref="B2104">xlookup($A2104,product!$A:$A,product!B:B)</f>
        <v>Beauté &amp; Hygiène</v>
      </c>
      <c r="C2104" s="20" t="str">
        <f t="array" ref="C2104">xlookup($A2104,product!$A:$A,product!C:C)</f>
        <v>Douche et Bain</v>
      </c>
      <c r="D2104" s="20" t="str">
        <f t="array" ref="D2104">xlookup($A2104,product!$A:$A,product!D:D)</f>
        <v>Gel douche</v>
      </c>
      <c r="E2104" s="4" t="str">
        <f t="shared" si="1"/>
        <v>98795-Douche et Bain-Gel douche</v>
      </c>
      <c r="F2104" s="4">
        <v>1.0</v>
      </c>
      <c r="G2104" s="4">
        <v>513.0</v>
      </c>
      <c r="H2104" s="4">
        <v>396.0</v>
      </c>
      <c r="I2104" s="21">
        <f t="array" ref="I2104">XLOOKUP($A2104,product!A:A,product!E:E)</f>
        <v>5.84</v>
      </c>
      <c r="J2104" s="4">
        <f t="shared" si="2"/>
        <v>2312.64</v>
      </c>
      <c r="K2104" s="22">
        <f t="shared" si="3"/>
        <v>1</v>
      </c>
      <c r="L2104" s="4">
        <f t="shared" si="4"/>
        <v>1</v>
      </c>
    </row>
    <row r="2105">
      <c r="A2105" s="23">
        <v>117150.0</v>
      </c>
      <c r="B2105" s="24" t="str">
        <f t="array" ref="B2105">xlookup($A2105,product!$A:$A,product!B:B)</f>
        <v>Beauté &amp; Hygiène</v>
      </c>
      <c r="C2105" s="24" t="str">
        <f t="array" ref="C2105">xlookup($A2105,product!$A:$A,product!C:C)</f>
        <v>Douche et Bain</v>
      </c>
      <c r="D2105" s="24" t="str">
        <f t="array" ref="D2105">xlookup($A2105,product!$A:$A,product!D:D)</f>
        <v>Gel douche</v>
      </c>
      <c r="E2105" s="25" t="str">
        <f t="shared" si="1"/>
        <v>117150-Douche et Bain-Gel douche</v>
      </c>
      <c r="F2105" s="25">
        <v>0.0</v>
      </c>
      <c r="G2105" s="25">
        <v>241.0</v>
      </c>
      <c r="H2105" s="25">
        <v>151.0</v>
      </c>
      <c r="I2105" s="26">
        <f t="array" ref="I2105">XLOOKUP($A2105,product!A:A,product!E:E)</f>
        <v>6.56</v>
      </c>
      <c r="J2105" s="25">
        <f t="shared" si="2"/>
        <v>990.56</v>
      </c>
      <c r="K2105" s="27">
        <f t="shared" si="3"/>
        <v>1</v>
      </c>
      <c r="L2105" s="25">
        <f t="shared" si="4"/>
        <v>1</v>
      </c>
    </row>
    <row r="2106">
      <c r="A2106" s="19">
        <v>109416.0</v>
      </c>
      <c r="B2106" s="20" t="str">
        <f t="array" ref="B2106">xlookup($A2106,product!$A:$A,product!B:B)</f>
        <v>Beauté &amp; Hygiène</v>
      </c>
      <c r="C2106" s="20" t="str">
        <f t="array" ref="C2106">xlookup($A2106,product!$A:$A,product!C:C)</f>
        <v>Douche et Bain</v>
      </c>
      <c r="D2106" s="20" t="str">
        <f t="array" ref="D2106">xlookup($A2106,product!$A:$A,product!D:D)</f>
        <v>Gel douche</v>
      </c>
      <c r="E2106" s="4" t="str">
        <f t="shared" si="1"/>
        <v>109416-Douche et Bain-Gel douche</v>
      </c>
      <c r="F2106" s="4">
        <v>1.0</v>
      </c>
      <c r="G2106" s="4">
        <v>558.0</v>
      </c>
      <c r="H2106" s="4">
        <v>20.0</v>
      </c>
      <c r="I2106" s="21">
        <f t="array" ref="I2106">XLOOKUP($A2106,product!A:A,product!E:E)</f>
        <v>2.2</v>
      </c>
      <c r="J2106" s="4">
        <f t="shared" si="2"/>
        <v>44</v>
      </c>
      <c r="K2106" s="22">
        <f t="shared" si="3"/>
        <v>1</v>
      </c>
      <c r="L2106" s="4">
        <f t="shared" si="4"/>
        <v>1</v>
      </c>
    </row>
    <row r="2107">
      <c r="A2107" s="23">
        <v>122291.0</v>
      </c>
      <c r="B2107" s="24" t="str">
        <f t="array" ref="B2107">xlookup($A2107,product!$A:$A,product!B:B)</f>
        <v>Beauté &amp; Hygiène</v>
      </c>
      <c r="C2107" s="24" t="str">
        <f t="array" ref="C2107">xlookup($A2107,product!$A:$A,product!C:C)</f>
        <v>Douche et Bain</v>
      </c>
      <c r="D2107" s="24" t="str">
        <f t="array" ref="D2107">xlookup($A2107,product!$A:$A,product!D:D)</f>
        <v>Gel douche</v>
      </c>
      <c r="E2107" s="25" t="str">
        <f t="shared" si="1"/>
        <v>122291-Douche et Bain-Gel douche</v>
      </c>
      <c r="F2107" s="25">
        <v>0.0</v>
      </c>
      <c r="G2107" s="25">
        <v>462.0</v>
      </c>
      <c r="H2107" s="25">
        <v>395.0</v>
      </c>
      <c r="I2107" s="26">
        <f t="array" ref="I2107">XLOOKUP($A2107,product!A:A,product!E:E)</f>
        <v>11.29</v>
      </c>
      <c r="J2107" s="25">
        <f t="shared" si="2"/>
        <v>4459.55</v>
      </c>
      <c r="K2107" s="27">
        <f t="shared" si="3"/>
        <v>1</v>
      </c>
      <c r="L2107" s="25">
        <f t="shared" si="4"/>
        <v>1</v>
      </c>
    </row>
    <row r="2108">
      <c r="A2108" s="19">
        <v>21820.0</v>
      </c>
      <c r="B2108" s="20" t="str">
        <f t="array" ref="B2108">xlookup($A2108,product!$A:$A,product!B:B)</f>
        <v>Beauté &amp; Hygiène</v>
      </c>
      <c r="C2108" s="20" t="str">
        <f t="array" ref="C2108">xlookup($A2108,product!$A:$A,product!C:C)</f>
        <v>Douche et Bain</v>
      </c>
      <c r="D2108" s="20" t="str">
        <f t="array" ref="D2108">xlookup($A2108,product!$A:$A,product!D:D)</f>
        <v>Gel douche</v>
      </c>
      <c r="E2108" s="4" t="str">
        <f t="shared" si="1"/>
        <v>21820-Douche et Bain-Gel douche</v>
      </c>
      <c r="F2108" s="4">
        <v>0.0</v>
      </c>
      <c r="G2108" s="4">
        <v>31.0</v>
      </c>
      <c r="H2108" s="4">
        <v>15.0</v>
      </c>
      <c r="I2108" s="21">
        <f t="array" ref="I2108">XLOOKUP($A2108,product!A:A,product!E:E)</f>
        <v>5.35</v>
      </c>
      <c r="J2108" s="4">
        <f t="shared" si="2"/>
        <v>80.25</v>
      </c>
      <c r="K2108" s="22">
        <f t="shared" si="3"/>
        <v>1</v>
      </c>
      <c r="L2108" s="4">
        <f t="shared" si="4"/>
        <v>1</v>
      </c>
    </row>
    <row r="2109">
      <c r="A2109" s="23">
        <v>150105.0</v>
      </c>
      <c r="B2109" s="24" t="str">
        <f t="array" ref="B2109">xlookup($A2109,product!$A:$A,product!B:B)</f>
        <v>Beauté &amp; Hygiène</v>
      </c>
      <c r="C2109" s="24" t="str">
        <f t="array" ref="C2109">xlookup($A2109,product!$A:$A,product!C:C)</f>
        <v>Douche et Bain</v>
      </c>
      <c r="D2109" s="24" t="str">
        <f t="array" ref="D2109">xlookup($A2109,product!$A:$A,product!D:D)</f>
        <v>Gel douche</v>
      </c>
      <c r="E2109" s="25" t="str">
        <f t="shared" si="1"/>
        <v>150105-Douche et Bain-Gel douche</v>
      </c>
      <c r="F2109" s="25">
        <v>0.0</v>
      </c>
      <c r="G2109" s="25">
        <v>338.0</v>
      </c>
      <c r="H2109" s="25">
        <v>170.0</v>
      </c>
      <c r="I2109" s="26">
        <f t="array" ref="I2109">XLOOKUP($A2109,product!A:A,product!E:E)</f>
        <v>6.27</v>
      </c>
      <c r="J2109" s="25">
        <f t="shared" si="2"/>
        <v>1065.9</v>
      </c>
      <c r="K2109" s="27">
        <f t="shared" si="3"/>
        <v>1</v>
      </c>
      <c r="L2109" s="25">
        <f t="shared" si="4"/>
        <v>1</v>
      </c>
    </row>
    <row r="2110">
      <c r="A2110" s="19">
        <v>46474.0</v>
      </c>
      <c r="B2110" s="20" t="str">
        <f t="array" ref="B2110">xlookup($A2110,product!$A:$A,product!B:B)</f>
        <v>Beauté &amp; Hygiène</v>
      </c>
      <c r="C2110" s="20" t="str">
        <f t="array" ref="C2110">xlookup($A2110,product!$A:$A,product!C:C)</f>
        <v>Douche et Bain</v>
      </c>
      <c r="D2110" s="20" t="str">
        <f t="array" ref="D2110">xlookup($A2110,product!$A:$A,product!D:D)</f>
        <v>Gel douche</v>
      </c>
      <c r="E2110" s="4" t="str">
        <f t="shared" si="1"/>
        <v>46474-Douche et Bain-Gel douche</v>
      </c>
      <c r="F2110" s="4">
        <v>1.0</v>
      </c>
      <c r="G2110" s="4">
        <v>451.0</v>
      </c>
      <c r="H2110" s="4">
        <v>76.0</v>
      </c>
      <c r="I2110" s="21">
        <f t="array" ref="I2110">XLOOKUP($A2110,product!A:A,product!E:E)</f>
        <v>5.53</v>
      </c>
      <c r="J2110" s="4">
        <f t="shared" si="2"/>
        <v>420.28</v>
      </c>
      <c r="K2110" s="22">
        <f t="shared" si="3"/>
        <v>1</v>
      </c>
      <c r="L2110" s="4">
        <f t="shared" si="4"/>
        <v>1</v>
      </c>
    </row>
    <row r="2111">
      <c r="A2111" s="23">
        <v>118207.0</v>
      </c>
      <c r="B2111" s="24" t="str">
        <f t="array" ref="B2111">xlookup($A2111,product!$A:$A,product!B:B)</f>
        <v>Beauté &amp; Hygiène</v>
      </c>
      <c r="C2111" s="24" t="str">
        <f t="array" ref="C2111">xlookup($A2111,product!$A:$A,product!C:C)</f>
        <v>Douche et Bain</v>
      </c>
      <c r="D2111" s="24" t="str">
        <f t="array" ref="D2111">xlookup($A2111,product!$A:$A,product!D:D)</f>
        <v>Gel douche</v>
      </c>
      <c r="E2111" s="25" t="str">
        <f t="shared" si="1"/>
        <v>118207-Douche et Bain-Gel douche</v>
      </c>
      <c r="F2111" s="25">
        <v>1.0</v>
      </c>
      <c r="G2111" s="25">
        <v>911.0</v>
      </c>
      <c r="H2111" s="25">
        <v>599.0</v>
      </c>
      <c r="I2111" s="26">
        <f t="array" ref="I2111">XLOOKUP($A2111,product!A:A,product!E:E)</f>
        <v>4.48</v>
      </c>
      <c r="J2111" s="25">
        <f t="shared" si="2"/>
        <v>2683.52</v>
      </c>
      <c r="K2111" s="27">
        <f t="shared" si="3"/>
        <v>1</v>
      </c>
      <c r="L2111" s="25">
        <f t="shared" si="4"/>
        <v>1</v>
      </c>
    </row>
    <row r="2112">
      <c r="A2112" s="19">
        <v>111007.0</v>
      </c>
      <c r="B2112" s="20" t="str">
        <f t="array" ref="B2112">xlookup($A2112,product!$A:$A,product!B:B)</f>
        <v>Beauté &amp; Hygiène</v>
      </c>
      <c r="C2112" s="20" t="str">
        <f t="array" ref="C2112">xlookup($A2112,product!$A:$A,product!C:C)</f>
        <v>Douche et Bain</v>
      </c>
      <c r="D2112" s="20" t="str">
        <f t="array" ref="D2112">xlookup($A2112,product!$A:$A,product!D:D)</f>
        <v>Gel douche</v>
      </c>
      <c r="E2112" s="4" t="str">
        <f t="shared" si="1"/>
        <v>111007-Douche et Bain-Gel douche</v>
      </c>
      <c r="F2112" s="4">
        <v>1.0</v>
      </c>
      <c r="G2112" s="4">
        <v>390.0</v>
      </c>
      <c r="H2112" s="4">
        <v>389.0</v>
      </c>
      <c r="I2112" s="21">
        <f t="array" ref="I2112">XLOOKUP($A2112,product!A:A,product!E:E)</f>
        <v>4.93</v>
      </c>
      <c r="J2112" s="4">
        <f t="shared" si="2"/>
        <v>1917.77</v>
      </c>
      <c r="K2112" s="22">
        <f t="shared" si="3"/>
        <v>1</v>
      </c>
      <c r="L2112" s="4">
        <f t="shared" si="4"/>
        <v>1</v>
      </c>
    </row>
    <row r="2113">
      <c r="A2113" s="23">
        <v>9727.0</v>
      </c>
      <c r="B2113" s="24" t="str">
        <f t="array" ref="B2113">xlookup($A2113,product!$A:$A,product!B:B)</f>
        <v>Beauté &amp; Hygiène</v>
      </c>
      <c r="C2113" s="24" t="str">
        <f t="array" ref="C2113">xlookup($A2113,product!$A:$A,product!C:C)</f>
        <v>Douche et Bain</v>
      </c>
      <c r="D2113" s="24" t="str">
        <f t="array" ref="D2113">xlookup($A2113,product!$A:$A,product!D:D)</f>
        <v>Gel douche</v>
      </c>
      <c r="E2113" s="25" t="str">
        <f t="shared" si="1"/>
        <v>9727-Douche et Bain-Gel douche</v>
      </c>
      <c r="F2113" s="25">
        <v>1.0</v>
      </c>
      <c r="G2113" s="25">
        <v>798.0</v>
      </c>
      <c r="H2113" s="25">
        <v>743.0</v>
      </c>
      <c r="I2113" s="26">
        <f t="array" ref="I2113">XLOOKUP($A2113,product!A:A,product!E:E)</f>
        <v>4.49</v>
      </c>
      <c r="J2113" s="25">
        <f t="shared" si="2"/>
        <v>3336.07</v>
      </c>
      <c r="K2113" s="27">
        <f t="shared" si="3"/>
        <v>1</v>
      </c>
      <c r="L2113" s="25">
        <f t="shared" si="4"/>
        <v>1</v>
      </c>
    </row>
    <row r="2114">
      <c r="A2114" s="19">
        <v>72321.0</v>
      </c>
      <c r="B2114" s="20" t="str">
        <f t="array" ref="B2114">xlookup($A2114,product!$A:$A,product!B:B)</f>
        <v>Beauté &amp; Hygiène</v>
      </c>
      <c r="C2114" s="20" t="str">
        <f t="array" ref="C2114">xlookup($A2114,product!$A:$A,product!C:C)</f>
        <v>Douche et Bain</v>
      </c>
      <c r="D2114" s="20" t="str">
        <f t="array" ref="D2114">xlookup($A2114,product!$A:$A,product!D:D)</f>
        <v>Gel douche</v>
      </c>
      <c r="E2114" s="4" t="str">
        <f t="shared" si="1"/>
        <v>72321-Douche et Bain-Gel douche</v>
      </c>
      <c r="F2114" s="4">
        <v>1.0</v>
      </c>
      <c r="G2114" s="4">
        <v>618.0</v>
      </c>
      <c r="H2114" s="4">
        <v>419.0</v>
      </c>
      <c r="I2114" s="21">
        <f t="array" ref="I2114">XLOOKUP($A2114,product!A:A,product!E:E)</f>
        <v>3.99</v>
      </c>
      <c r="J2114" s="4">
        <f t="shared" si="2"/>
        <v>1671.81</v>
      </c>
      <c r="K2114" s="22">
        <f t="shared" si="3"/>
        <v>1</v>
      </c>
      <c r="L2114" s="4">
        <f t="shared" si="4"/>
        <v>1</v>
      </c>
    </row>
    <row r="2115">
      <c r="A2115" s="23">
        <v>100063.0</v>
      </c>
      <c r="B2115" s="24" t="str">
        <f t="array" ref="B2115">xlookup($A2115,product!$A:$A,product!B:B)</f>
        <v>Beauté &amp; Hygiène</v>
      </c>
      <c r="C2115" s="24" t="str">
        <f t="array" ref="C2115">xlookup($A2115,product!$A:$A,product!C:C)</f>
        <v>Douche et Bain</v>
      </c>
      <c r="D2115" s="24" t="str">
        <f t="array" ref="D2115">xlookup($A2115,product!$A:$A,product!D:D)</f>
        <v>Gel douche</v>
      </c>
      <c r="E2115" s="25" t="str">
        <f t="shared" si="1"/>
        <v>100063-Douche et Bain-Gel douche</v>
      </c>
      <c r="F2115" s="25">
        <v>0.0</v>
      </c>
      <c r="G2115" s="25">
        <v>943.0</v>
      </c>
      <c r="H2115" s="25">
        <v>514.0</v>
      </c>
      <c r="I2115" s="26">
        <f t="array" ref="I2115">XLOOKUP($A2115,product!A:A,product!E:E)</f>
        <v>6.41</v>
      </c>
      <c r="J2115" s="25">
        <f t="shared" si="2"/>
        <v>3294.74</v>
      </c>
      <c r="K2115" s="27">
        <f t="shared" si="3"/>
        <v>1</v>
      </c>
      <c r="L2115" s="25">
        <f t="shared" si="4"/>
        <v>1</v>
      </c>
    </row>
    <row r="2116">
      <c r="A2116" s="19">
        <v>79818.0</v>
      </c>
      <c r="B2116" s="20" t="str">
        <f t="array" ref="B2116">xlookup($A2116,product!$A:$A,product!B:B)</f>
        <v>Beauté &amp; Hygiène</v>
      </c>
      <c r="C2116" s="20" t="str">
        <f t="array" ref="C2116">xlookup($A2116,product!$A:$A,product!C:C)</f>
        <v>Douche et Bain</v>
      </c>
      <c r="D2116" s="20" t="str">
        <f t="array" ref="D2116">xlookup($A2116,product!$A:$A,product!D:D)</f>
        <v>Gel douche</v>
      </c>
      <c r="E2116" s="4" t="str">
        <f t="shared" si="1"/>
        <v>79818-Douche et Bain-Gel douche</v>
      </c>
      <c r="F2116" s="4">
        <v>0.0</v>
      </c>
      <c r="G2116" s="4">
        <v>770.0</v>
      </c>
      <c r="H2116" s="4">
        <v>151.0</v>
      </c>
      <c r="I2116" s="21">
        <f t="array" ref="I2116">XLOOKUP($A2116,product!A:A,product!E:E)</f>
        <v>3.97</v>
      </c>
      <c r="J2116" s="4">
        <f t="shared" si="2"/>
        <v>599.47</v>
      </c>
      <c r="K2116" s="22">
        <f t="shared" si="3"/>
        <v>1</v>
      </c>
      <c r="L2116" s="4">
        <f t="shared" si="4"/>
        <v>1</v>
      </c>
    </row>
    <row r="2117">
      <c r="A2117" s="23">
        <v>121731.0</v>
      </c>
      <c r="B2117" s="24" t="str">
        <f t="array" ref="B2117">xlookup($A2117,product!$A:$A,product!B:B)</f>
        <v>Beauté &amp; Hygiène</v>
      </c>
      <c r="C2117" s="24" t="str">
        <f t="array" ref="C2117">xlookup($A2117,product!$A:$A,product!C:C)</f>
        <v>Douche et Bain</v>
      </c>
      <c r="D2117" s="24" t="str">
        <f t="array" ref="D2117">xlookup($A2117,product!$A:$A,product!D:D)</f>
        <v>Gel douche</v>
      </c>
      <c r="E2117" s="25" t="str">
        <f t="shared" si="1"/>
        <v>121731-Douche et Bain-Gel douche</v>
      </c>
      <c r="F2117" s="25">
        <v>0.0</v>
      </c>
      <c r="G2117" s="25">
        <v>734.0</v>
      </c>
      <c r="H2117" s="25">
        <v>270.0</v>
      </c>
      <c r="I2117" s="26">
        <f t="array" ref="I2117">XLOOKUP($A2117,product!A:A,product!E:E)</f>
        <v>6.09</v>
      </c>
      <c r="J2117" s="25">
        <f t="shared" si="2"/>
        <v>1644.3</v>
      </c>
      <c r="K2117" s="27">
        <f t="shared" si="3"/>
        <v>1</v>
      </c>
      <c r="L2117" s="25">
        <f t="shared" si="4"/>
        <v>1</v>
      </c>
    </row>
    <row r="2118">
      <c r="A2118" s="19">
        <v>200584.0</v>
      </c>
      <c r="B2118" s="20" t="str">
        <f t="array" ref="B2118">xlookup($A2118,product!$A:$A,product!B:B)</f>
        <v>Beauté &amp; Hygiène</v>
      </c>
      <c r="C2118" s="20" t="str">
        <f t="array" ref="C2118">xlookup($A2118,product!$A:$A,product!C:C)</f>
        <v>Douche et Bain</v>
      </c>
      <c r="D2118" s="20" t="str">
        <f t="array" ref="D2118">xlookup($A2118,product!$A:$A,product!D:D)</f>
        <v>Gel douche</v>
      </c>
      <c r="E2118" s="4" t="str">
        <f t="shared" si="1"/>
        <v>200584-Douche et Bain-Gel douche</v>
      </c>
      <c r="F2118" s="4">
        <v>1.0</v>
      </c>
      <c r="G2118" s="4">
        <v>303.0</v>
      </c>
      <c r="H2118" s="4">
        <v>40.0</v>
      </c>
      <c r="I2118" s="21">
        <f t="array" ref="I2118">XLOOKUP($A2118,product!A:A,product!E:E)</f>
        <v>5.4</v>
      </c>
      <c r="J2118" s="4">
        <f t="shared" si="2"/>
        <v>216</v>
      </c>
      <c r="K2118" s="22">
        <f t="shared" si="3"/>
        <v>1</v>
      </c>
      <c r="L2118" s="4">
        <f t="shared" si="4"/>
        <v>1</v>
      </c>
    </row>
    <row r="2119">
      <c r="A2119" s="23">
        <v>68600.0</v>
      </c>
      <c r="B2119" s="24" t="str">
        <f t="array" ref="B2119">xlookup($A2119,product!$A:$A,product!B:B)</f>
        <v>Beauté &amp; Hygiène</v>
      </c>
      <c r="C2119" s="24" t="str">
        <f t="array" ref="C2119">xlookup($A2119,product!$A:$A,product!C:C)</f>
        <v>Douche et Bain</v>
      </c>
      <c r="D2119" s="24" t="str">
        <f t="array" ref="D2119">xlookup($A2119,product!$A:$A,product!D:D)</f>
        <v>Gel douche</v>
      </c>
      <c r="E2119" s="25" t="str">
        <f t="shared" si="1"/>
        <v>68600-Douche et Bain-Gel douche</v>
      </c>
      <c r="F2119" s="25">
        <v>0.0</v>
      </c>
      <c r="G2119" s="25">
        <v>269.0</v>
      </c>
      <c r="H2119" s="25">
        <v>267.0</v>
      </c>
      <c r="I2119" s="26">
        <f t="array" ref="I2119">XLOOKUP($A2119,product!A:A,product!E:E)</f>
        <v>4.17</v>
      </c>
      <c r="J2119" s="25">
        <f t="shared" si="2"/>
        <v>1113.39</v>
      </c>
      <c r="K2119" s="27">
        <f t="shared" si="3"/>
        <v>1</v>
      </c>
      <c r="L2119" s="25">
        <f t="shared" si="4"/>
        <v>1</v>
      </c>
    </row>
    <row r="2120">
      <c r="A2120" s="19">
        <v>98788.0</v>
      </c>
      <c r="B2120" s="20" t="str">
        <f t="array" ref="B2120">xlookup($A2120,product!$A:$A,product!B:B)</f>
        <v>Beauté &amp; Hygiène</v>
      </c>
      <c r="C2120" s="20" t="str">
        <f t="array" ref="C2120">xlookup($A2120,product!$A:$A,product!C:C)</f>
        <v>Douche et Bain</v>
      </c>
      <c r="D2120" s="20" t="str">
        <f t="array" ref="D2120">xlookup($A2120,product!$A:$A,product!D:D)</f>
        <v>Gel douche</v>
      </c>
      <c r="E2120" s="4" t="str">
        <f t="shared" si="1"/>
        <v>98788-Douche et Bain-Gel douche</v>
      </c>
      <c r="F2120" s="4">
        <v>1.0</v>
      </c>
      <c r="G2120" s="4">
        <v>726.0</v>
      </c>
      <c r="H2120" s="4">
        <v>256.0</v>
      </c>
      <c r="I2120" s="21">
        <f t="array" ref="I2120">XLOOKUP($A2120,product!A:A,product!E:E)</f>
        <v>5.84</v>
      </c>
      <c r="J2120" s="4">
        <f t="shared" si="2"/>
        <v>1495.04</v>
      </c>
      <c r="K2120" s="22">
        <f t="shared" si="3"/>
        <v>1</v>
      </c>
      <c r="L2120" s="4">
        <f t="shared" si="4"/>
        <v>1</v>
      </c>
    </row>
    <row r="2121">
      <c r="A2121" s="23">
        <v>122390.0</v>
      </c>
      <c r="B2121" s="24" t="str">
        <f t="array" ref="B2121">xlookup($A2121,product!$A:$A,product!B:B)</f>
        <v>Beauté &amp; Hygiène</v>
      </c>
      <c r="C2121" s="24" t="str">
        <f t="array" ref="C2121">xlookup($A2121,product!$A:$A,product!C:C)</f>
        <v>Douche et Bain</v>
      </c>
      <c r="D2121" s="24" t="str">
        <f t="array" ref="D2121">xlookup($A2121,product!$A:$A,product!D:D)</f>
        <v>Gel douche</v>
      </c>
      <c r="E2121" s="25" t="str">
        <f t="shared" si="1"/>
        <v>122390-Douche et Bain-Gel douche</v>
      </c>
      <c r="F2121" s="25">
        <v>0.0</v>
      </c>
      <c r="G2121" s="25">
        <v>569.0</v>
      </c>
      <c r="H2121" s="25">
        <v>398.0</v>
      </c>
      <c r="I2121" s="26">
        <f t="array" ref="I2121">XLOOKUP($A2121,product!A:A,product!E:E)</f>
        <v>23.58</v>
      </c>
      <c r="J2121" s="25">
        <f t="shared" si="2"/>
        <v>9384.84</v>
      </c>
      <c r="K2121" s="27">
        <f t="shared" si="3"/>
        <v>1</v>
      </c>
      <c r="L2121" s="25">
        <f t="shared" si="4"/>
        <v>1</v>
      </c>
    </row>
    <row r="2122">
      <c r="A2122" s="19">
        <v>109930.0</v>
      </c>
      <c r="B2122" s="20" t="str">
        <f t="array" ref="B2122">xlookup($A2122,product!$A:$A,product!B:B)</f>
        <v>Beauté &amp; Hygiène</v>
      </c>
      <c r="C2122" s="20" t="str">
        <f t="array" ref="C2122">xlookup($A2122,product!$A:$A,product!C:C)</f>
        <v>Douche et Bain</v>
      </c>
      <c r="D2122" s="20" t="str">
        <f t="array" ref="D2122">xlookup($A2122,product!$A:$A,product!D:D)</f>
        <v>Gel douche</v>
      </c>
      <c r="E2122" s="4" t="str">
        <f t="shared" si="1"/>
        <v>109930-Douche et Bain-Gel douche</v>
      </c>
      <c r="F2122" s="4">
        <v>0.0</v>
      </c>
      <c r="G2122" s="4">
        <v>125.0</v>
      </c>
      <c r="H2122" s="4">
        <v>12.0</v>
      </c>
      <c r="I2122" s="21">
        <f t="array" ref="I2122">XLOOKUP($A2122,product!A:A,product!E:E)</f>
        <v>5.77</v>
      </c>
      <c r="J2122" s="4">
        <f t="shared" si="2"/>
        <v>69.24</v>
      </c>
      <c r="K2122" s="22">
        <f t="shared" si="3"/>
        <v>1</v>
      </c>
      <c r="L2122" s="4">
        <f t="shared" si="4"/>
        <v>1</v>
      </c>
    </row>
    <row r="2123">
      <c r="A2123" s="23">
        <v>118299.0</v>
      </c>
      <c r="B2123" s="24" t="str">
        <f t="array" ref="B2123">xlookup($A2123,product!$A:$A,product!B:B)</f>
        <v>Beauté &amp; Hygiène</v>
      </c>
      <c r="C2123" s="24" t="str">
        <f t="array" ref="C2123">xlookup($A2123,product!$A:$A,product!C:C)</f>
        <v>Douche et Bain</v>
      </c>
      <c r="D2123" s="24" t="str">
        <f t="array" ref="D2123">xlookup($A2123,product!$A:$A,product!D:D)</f>
        <v>Gel douche</v>
      </c>
      <c r="E2123" s="25" t="str">
        <f t="shared" si="1"/>
        <v>118299-Douche et Bain-Gel douche</v>
      </c>
      <c r="F2123" s="25">
        <v>0.0</v>
      </c>
      <c r="G2123" s="25">
        <v>706.0</v>
      </c>
      <c r="H2123" s="25">
        <v>573.0</v>
      </c>
      <c r="I2123" s="26">
        <f t="array" ref="I2123">XLOOKUP($A2123,product!A:A,product!E:E)</f>
        <v>6.5</v>
      </c>
      <c r="J2123" s="25">
        <f t="shared" si="2"/>
        <v>3724.5</v>
      </c>
      <c r="K2123" s="27">
        <f t="shared" si="3"/>
        <v>1</v>
      </c>
      <c r="L2123" s="25">
        <f t="shared" si="4"/>
        <v>1</v>
      </c>
    </row>
    <row r="2124">
      <c r="A2124" s="19">
        <v>72320.0</v>
      </c>
      <c r="B2124" s="20" t="str">
        <f t="array" ref="B2124">xlookup($A2124,product!$A:$A,product!B:B)</f>
        <v>Beauté &amp; Hygiène</v>
      </c>
      <c r="C2124" s="20" t="str">
        <f t="array" ref="C2124">xlookup($A2124,product!$A:$A,product!C:C)</f>
        <v>Douche et Bain</v>
      </c>
      <c r="D2124" s="20" t="str">
        <f t="array" ref="D2124">xlookup($A2124,product!$A:$A,product!D:D)</f>
        <v>Gel douche</v>
      </c>
      <c r="E2124" s="4" t="str">
        <f t="shared" si="1"/>
        <v>72320-Douche et Bain-Gel douche</v>
      </c>
      <c r="F2124" s="4">
        <v>1.0</v>
      </c>
      <c r="G2124" s="4">
        <v>744.0</v>
      </c>
      <c r="H2124" s="4">
        <v>447.0</v>
      </c>
      <c r="I2124" s="21">
        <f t="array" ref="I2124">XLOOKUP($A2124,product!A:A,product!E:E)</f>
        <v>3.99</v>
      </c>
      <c r="J2124" s="4">
        <f t="shared" si="2"/>
        <v>1783.53</v>
      </c>
      <c r="K2124" s="22">
        <f t="shared" si="3"/>
        <v>1</v>
      </c>
      <c r="L2124" s="4">
        <f t="shared" si="4"/>
        <v>1</v>
      </c>
    </row>
    <row r="2125">
      <c r="A2125" s="23">
        <v>87839.0</v>
      </c>
      <c r="B2125" s="24" t="str">
        <f t="array" ref="B2125">xlookup($A2125,product!$A:$A,product!B:B)</f>
        <v>Beauté &amp; Hygiène</v>
      </c>
      <c r="C2125" s="24" t="str">
        <f t="array" ref="C2125">xlookup($A2125,product!$A:$A,product!C:C)</f>
        <v>Douche et Bain</v>
      </c>
      <c r="D2125" s="24" t="str">
        <f t="array" ref="D2125">xlookup($A2125,product!$A:$A,product!D:D)</f>
        <v>Gel douche</v>
      </c>
      <c r="E2125" s="25" t="str">
        <f t="shared" si="1"/>
        <v>87839-Douche et Bain-Gel douche</v>
      </c>
      <c r="F2125" s="25">
        <v>1.0</v>
      </c>
      <c r="G2125" s="25">
        <v>842.0</v>
      </c>
      <c r="H2125" s="25">
        <v>693.0</v>
      </c>
      <c r="I2125" s="26">
        <f t="array" ref="I2125">XLOOKUP($A2125,product!A:A,product!E:E)</f>
        <v>6.3</v>
      </c>
      <c r="J2125" s="25">
        <f t="shared" si="2"/>
        <v>4365.9</v>
      </c>
      <c r="K2125" s="27">
        <f t="shared" si="3"/>
        <v>1</v>
      </c>
      <c r="L2125" s="25">
        <f t="shared" si="4"/>
        <v>1</v>
      </c>
    </row>
    <row r="2126">
      <c r="A2126" s="19">
        <v>79819.0</v>
      </c>
      <c r="B2126" s="20" t="str">
        <f t="array" ref="B2126">xlookup($A2126,product!$A:$A,product!B:B)</f>
        <v>Beauté &amp; Hygiène</v>
      </c>
      <c r="C2126" s="20" t="str">
        <f t="array" ref="C2126">xlookup($A2126,product!$A:$A,product!C:C)</f>
        <v>Douche et Bain</v>
      </c>
      <c r="D2126" s="20" t="str">
        <f t="array" ref="D2126">xlookup($A2126,product!$A:$A,product!D:D)</f>
        <v>Gel douche</v>
      </c>
      <c r="E2126" s="4" t="str">
        <f t="shared" si="1"/>
        <v>79819-Douche et Bain-Gel douche</v>
      </c>
      <c r="F2126" s="4">
        <v>0.0</v>
      </c>
      <c r="G2126" s="4">
        <v>723.0</v>
      </c>
      <c r="H2126" s="4">
        <v>372.0</v>
      </c>
      <c r="I2126" s="21">
        <f t="array" ref="I2126">XLOOKUP($A2126,product!A:A,product!E:E)</f>
        <v>4.34</v>
      </c>
      <c r="J2126" s="4">
        <f t="shared" si="2"/>
        <v>1614.48</v>
      </c>
      <c r="K2126" s="22">
        <f t="shared" si="3"/>
        <v>1</v>
      </c>
      <c r="L2126" s="4">
        <f t="shared" si="4"/>
        <v>1</v>
      </c>
    </row>
    <row r="2127">
      <c r="A2127" s="23">
        <v>117169.0</v>
      </c>
      <c r="B2127" s="24" t="str">
        <f t="array" ref="B2127">xlookup($A2127,product!$A:$A,product!B:B)</f>
        <v>Beauté &amp; Hygiène</v>
      </c>
      <c r="C2127" s="24" t="str">
        <f t="array" ref="C2127">xlookup($A2127,product!$A:$A,product!C:C)</f>
        <v>Douche et Bain</v>
      </c>
      <c r="D2127" s="24" t="str">
        <f t="array" ref="D2127">xlookup($A2127,product!$A:$A,product!D:D)</f>
        <v>Gel douche</v>
      </c>
      <c r="E2127" s="25" t="str">
        <f t="shared" si="1"/>
        <v>117169-Douche et Bain-Gel douche</v>
      </c>
      <c r="F2127" s="25">
        <v>1.0</v>
      </c>
      <c r="G2127" s="25">
        <v>408.0</v>
      </c>
      <c r="H2127" s="25">
        <v>83.0</v>
      </c>
      <c r="I2127" s="26">
        <f t="array" ref="I2127">XLOOKUP($A2127,product!A:A,product!E:E)</f>
        <v>6.12</v>
      </c>
      <c r="J2127" s="25">
        <f t="shared" si="2"/>
        <v>507.96</v>
      </c>
      <c r="K2127" s="27">
        <f t="shared" si="3"/>
        <v>1</v>
      </c>
      <c r="L2127" s="25">
        <f t="shared" si="4"/>
        <v>1</v>
      </c>
    </row>
    <row r="2128">
      <c r="A2128" s="19">
        <v>200585.0</v>
      </c>
      <c r="B2128" s="20" t="str">
        <f t="array" ref="B2128">xlookup($A2128,product!$A:$A,product!B:B)</f>
        <v>Beauté &amp; Hygiène</v>
      </c>
      <c r="C2128" s="20" t="str">
        <f t="array" ref="C2128">xlookup($A2128,product!$A:$A,product!C:C)</f>
        <v>Douche et Bain</v>
      </c>
      <c r="D2128" s="20" t="str">
        <f t="array" ref="D2128">xlookup($A2128,product!$A:$A,product!D:D)</f>
        <v>Gel douche</v>
      </c>
      <c r="E2128" s="4" t="str">
        <f t="shared" si="1"/>
        <v>200585-Douche et Bain-Gel douche</v>
      </c>
      <c r="F2128" s="4">
        <v>0.0</v>
      </c>
      <c r="G2128" s="4">
        <v>87.0</v>
      </c>
      <c r="H2128" s="4">
        <v>2.0</v>
      </c>
      <c r="I2128" s="21">
        <f t="array" ref="I2128">XLOOKUP($A2128,product!A:A,product!E:E)</f>
        <v>5.4</v>
      </c>
      <c r="J2128" s="4">
        <f t="shared" si="2"/>
        <v>10.8</v>
      </c>
      <c r="K2128" s="22">
        <f t="shared" si="3"/>
        <v>1</v>
      </c>
      <c r="L2128" s="4">
        <f t="shared" si="4"/>
        <v>1</v>
      </c>
    </row>
    <row r="2129">
      <c r="A2129" s="23">
        <v>70339.0</v>
      </c>
      <c r="B2129" s="24" t="str">
        <f t="array" ref="B2129">xlookup($A2129,product!$A:$A,product!B:B)</f>
        <v>Beauté &amp; Hygiène</v>
      </c>
      <c r="C2129" s="24" t="str">
        <f t="array" ref="C2129">xlookup($A2129,product!$A:$A,product!C:C)</f>
        <v>Douche et Bain</v>
      </c>
      <c r="D2129" s="24" t="str">
        <f t="array" ref="D2129">xlookup($A2129,product!$A:$A,product!D:D)</f>
        <v>Gel douche</v>
      </c>
      <c r="E2129" s="25" t="str">
        <f t="shared" si="1"/>
        <v>70339-Douche et Bain-Gel douche</v>
      </c>
      <c r="F2129" s="25">
        <v>0.0</v>
      </c>
      <c r="G2129" s="25">
        <v>259.0</v>
      </c>
      <c r="H2129" s="25">
        <v>199.0</v>
      </c>
      <c r="I2129" s="26">
        <f t="array" ref="I2129">XLOOKUP($A2129,product!A:A,product!E:E)</f>
        <v>21.42</v>
      </c>
      <c r="J2129" s="25">
        <f t="shared" si="2"/>
        <v>4262.58</v>
      </c>
      <c r="K2129" s="27">
        <f t="shared" si="3"/>
        <v>1</v>
      </c>
      <c r="L2129" s="25">
        <f t="shared" si="4"/>
        <v>1</v>
      </c>
    </row>
    <row r="2130">
      <c r="A2130" s="19">
        <v>45597.0</v>
      </c>
      <c r="B2130" s="20" t="str">
        <f t="array" ref="B2130">xlookup($A2130,product!$A:$A,product!B:B)</f>
        <v>Beauté &amp; Hygiène</v>
      </c>
      <c r="C2130" s="20" t="str">
        <f t="array" ref="C2130">xlookup($A2130,product!$A:$A,product!C:C)</f>
        <v>Douche et Bain</v>
      </c>
      <c r="D2130" s="20" t="str">
        <f t="array" ref="D2130">xlookup($A2130,product!$A:$A,product!D:D)</f>
        <v>Gel douche</v>
      </c>
      <c r="E2130" s="4" t="str">
        <f t="shared" si="1"/>
        <v>45597-Douche et Bain-Gel douche</v>
      </c>
      <c r="F2130" s="4">
        <v>1.0</v>
      </c>
      <c r="G2130" s="4">
        <v>57.0</v>
      </c>
      <c r="H2130" s="4">
        <v>37.0</v>
      </c>
      <c r="I2130" s="21">
        <f t="array" ref="I2130">XLOOKUP($A2130,product!A:A,product!E:E)</f>
        <v>6.49</v>
      </c>
      <c r="J2130" s="4">
        <f t="shared" si="2"/>
        <v>240.13</v>
      </c>
      <c r="K2130" s="22">
        <f t="shared" si="3"/>
        <v>1</v>
      </c>
      <c r="L2130" s="4">
        <f t="shared" si="4"/>
        <v>1</v>
      </c>
    </row>
    <row r="2131">
      <c r="A2131" s="23">
        <v>117147.0</v>
      </c>
      <c r="B2131" s="24" t="str">
        <f t="array" ref="B2131">xlookup($A2131,product!$A:$A,product!B:B)</f>
        <v>Beauté &amp; Hygiène</v>
      </c>
      <c r="C2131" s="24" t="str">
        <f t="array" ref="C2131">xlookup($A2131,product!$A:$A,product!C:C)</f>
        <v>Douche et Bain</v>
      </c>
      <c r="D2131" s="24" t="str">
        <f t="array" ref="D2131">xlookup($A2131,product!$A:$A,product!D:D)</f>
        <v>Gel douche</v>
      </c>
      <c r="E2131" s="25" t="str">
        <f t="shared" si="1"/>
        <v>117147-Douche et Bain-Gel douche</v>
      </c>
      <c r="F2131" s="25">
        <v>1.0</v>
      </c>
      <c r="G2131" s="25">
        <v>774.0</v>
      </c>
      <c r="H2131" s="25">
        <v>591.0</v>
      </c>
      <c r="I2131" s="26">
        <f t="array" ref="I2131">XLOOKUP($A2131,product!A:A,product!E:E)</f>
        <v>6.56</v>
      </c>
      <c r="J2131" s="25">
        <f t="shared" si="2"/>
        <v>3876.96</v>
      </c>
      <c r="K2131" s="27">
        <f t="shared" si="3"/>
        <v>1</v>
      </c>
      <c r="L2131" s="25">
        <f t="shared" si="4"/>
        <v>1</v>
      </c>
    </row>
    <row r="2132">
      <c r="A2132" s="19">
        <v>46309.0</v>
      </c>
      <c r="B2132" s="20" t="str">
        <f t="array" ref="B2132">xlookup($A2132,product!$A:$A,product!B:B)</f>
        <v>Beauté &amp; Hygiène</v>
      </c>
      <c r="C2132" s="20" t="str">
        <f t="array" ref="C2132">xlookup($A2132,product!$A:$A,product!C:C)</f>
        <v>Douche et Bain</v>
      </c>
      <c r="D2132" s="20" t="str">
        <f t="array" ref="D2132">xlookup($A2132,product!$A:$A,product!D:D)</f>
        <v>Gel douche</v>
      </c>
      <c r="E2132" s="4" t="str">
        <f t="shared" si="1"/>
        <v>46309-Douche et Bain-Gel douche</v>
      </c>
      <c r="F2132" s="4">
        <v>0.0</v>
      </c>
      <c r="G2132" s="4">
        <v>155.0</v>
      </c>
      <c r="H2132" s="4">
        <v>108.0</v>
      </c>
      <c r="I2132" s="21">
        <f t="array" ref="I2132">XLOOKUP($A2132,product!A:A,product!E:E)</f>
        <v>7.96</v>
      </c>
      <c r="J2132" s="4">
        <f t="shared" si="2"/>
        <v>859.68</v>
      </c>
      <c r="K2132" s="22">
        <f t="shared" si="3"/>
        <v>1</v>
      </c>
      <c r="L2132" s="4">
        <f t="shared" si="4"/>
        <v>1</v>
      </c>
    </row>
    <row r="2133">
      <c r="A2133" s="23">
        <v>45595.0</v>
      </c>
      <c r="B2133" s="24" t="str">
        <f t="array" ref="B2133">xlookup($A2133,product!$A:$A,product!B:B)</f>
        <v>Beauté &amp; Hygiène</v>
      </c>
      <c r="C2133" s="24" t="str">
        <f t="array" ref="C2133">xlookup($A2133,product!$A:$A,product!C:C)</f>
        <v>Douche et Bain</v>
      </c>
      <c r="D2133" s="24" t="str">
        <f t="array" ref="D2133">xlookup($A2133,product!$A:$A,product!D:D)</f>
        <v>Gel douche</v>
      </c>
      <c r="E2133" s="25" t="str">
        <f t="shared" si="1"/>
        <v>45595-Douche et Bain-Gel douche</v>
      </c>
      <c r="F2133" s="25">
        <v>1.0</v>
      </c>
      <c r="G2133" s="25">
        <v>199.0</v>
      </c>
      <c r="H2133" s="25">
        <v>115.0</v>
      </c>
      <c r="I2133" s="26">
        <f t="array" ref="I2133">XLOOKUP($A2133,product!A:A,product!E:E)</f>
        <v>6.49</v>
      </c>
      <c r="J2133" s="25">
        <f t="shared" si="2"/>
        <v>746.35</v>
      </c>
      <c r="K2133" s="27">
        <f t="shared" si="3"/>
        <v>1</v>
      </c>
      <c r="L2133" s="25">
        <f t="shared" si="4"/>
        <v>1</v>
      </c>
    </row>
    <row r="2134">
      <c r="A2134" s="19">
        <v>100311.0</v>
      </c>
      <c r="B2134" s="20" t="str">
        <f t="array" ref="B2134">xlookup($A2134,product!$A:$A,product!B:B)</f>
        <v>Beauté &amp; Hygiène</v>
      </c>
      <c r="C2134" s="20" t="str">
        <f t="array" ref="C2134">xlookup($A2134,product!$A:$A,product!C:C)</f>
        <v>Douche et Bain</v>
      </c>
      <c r="D2134" s="20" t="str">
        <f t="array" ref="D2134">xlookup($A2134,product!$A:$A,product!D:D)</f>
        <v>Gel douche</v>
      </c>
      <c r="E2134" s="4" t="str">
        <f t="shared" si="1"/>
        <v>100311-Douche et Bain-Gel douche</v>
      </c>
      <c r="F2134" s="4">
        <v>1.0</v>
      </c>
      <c r="G2134" s="4">
        <v>25.0</v>
      </c>
      <c r="H2134" s="4">
        <v>1.0</v>
      </c>
      <c r="I2134" s="21">
        <f t="array" ref="I2134">XLOOKUP($A2134,product!A:A,product!E:E)</f>
        <v>5.19</v>
      </c>
      <c r="J2134" s="4">
        <f t="shared" si="2"/>
        <v>5.19</v>
      </c>
      <c r="K2134" s="22">
        <f t="shared" si="3"/>
        <v>1</v>
      </c>
      <c r="L2134" s="4">
        <f t="shared" si="4"/>
        <v>1</v>
      </c>
    </row>
    <row r="2135">
      <c r="A2135" s="23">
        <v>122491.0</v>
      </c>
      <c r="B2135" s="24" t="str">
        <f t="array" ref="B2135">xlookup($A2135,product!$A:$A,product!B:B)</f>
        <v>Beauté &amp; Hygiène</v>
      </c>
      <c r="C2135" s="24" t="str">
        <f t="array" ref="C2135">xlookup($A2135,product!$A:$A,product!C:C)</f>
        <v>Douche et Bain</v>
      </c>
      <c r="D2135" s="24" t="str">
        <f t="array" ref="D2135">xlookup($A2135,product!$A:$A,product!D:D)</f>
        <v>Gel douche</v>
      </c>
      <c r="E2135" s="25" t="str">
        <f t="shared" si="1"/>
        <v>122491-Douche et Bain-Gel douche</v>
      </c>
      <c r="F2135" s="25">
        <v>1.0</v>
      </c>
      <c r="G2135" s="25">
        <v>337.0</v>
      </c>
      <c r="H2135" s="25">
        <v>234.0</v>
      </c>
      <c r="I2135" s="26">
        <f t="array" ref="I2135">XLOOKUP($A2135,product!A:A,product!E:E)</f>
        <v>4.21</v>
      </c>
      <c r="J2135" s="25">
        <f t="shared" si="2"/>
        <v>985.14</v>
      </c>
      <c r="K2135" s="27">
        <f t="shared" si="3"/>
        <v>1</v>
      </c>
      <c r="L2135" s="25">
        <f t="shared" si="4"/>
        <v>1</v>
      </c>
    </row>
    <row r="2136">
      <c r="A2136" s="19">
        <v>117466.0</v>
      </c>
      <c r="B2136" s="20" t="str">
        <f t="array" ref="B2136">xlookup($A2136,product!$A:$A,product!B:B)</f>
        <v>Beauté &amp; Hygiène</v>
      </c>
      <c r="C2136" s="20" t="str">
        <f t="array" ref="C2136">xlookup($A2136,product!$A:$A,product!C:C)</f>
        <v>Douche et Bain</v>
      </c>
      <c r="D2136" s="20" t="str">
        <f t="array" ref="D2136">xlookup($A2136,product!$A:$A,product!D:D)</f>
        <v>Gel douche</v>
      </c>
      <c r="E2136" s="4" t="str">
        <f t="shared" si="1"/>
        <v>117466-Douche et Bain-Gel douche</v>
      </c>
      <c r="F2136" s="4">
        <v>1.0</v>
      </c>
      <c r="G2136" s="4">
        <v>320.0</v>
      </c>
      <c r="H2136" s="4">
        <v>228.0</v>
      </c>
      <c r="I2136" s="21">
        <f t="array" ref="I2136">XLOOKUP($A2136,product!A:A,product!E:E)</f>
        <v>3.99</v>
      </c>
      <c r="J2136" s="4">
        <f t="shared" si="2"/>
        <v>909.72</v>
      </c>
      <c r="K2136" s="22">
        <f t="shared" si="3"/>
        <v>1</v>
      </c>
      <c r="L2136" s="4">
        <f t="shared" si="4"/>
        <v>1</v>
      </c>
    </row>
    <row r="2137">
      <c r="A2137" s="23">
        <v>85107.0</v>
      </c>
      <c r="B2137" s="24" t="str">
        <f t="array" ref="B2137">xlookup($A2137,product!$A:$A,product!B:B)</f>
        <v>Beauté &amp; Hygiène</v>
      </c>
      <c r="C2137" s="24" t="str">
        <f t="array" ref="C2137">xlookup($A2137,product!$A:$A,product!C:C)</f>
        <v>Douche et Bain</v>
      </c>
      <c r="D2137" s="24" t="str">
        <f t="array" ref="D2137">xlookup($A2137,product!$A:$A,product!D:D)</f>
        <v>Gel douche</v>
      </c>
      <c r="E2137" s="25" t="str">
        <f t="shared" si="1"/>
        <v>85107-Douche et Bain-Gel douche</v>
      </c>
      <c r="F2137" s="25">
        <v>0.0</v>
      </c>
      <c r="G2137" s="25">
        <v>660.0</v>
      </c>
      <c r="H2137" s="25">
        <v>25.0</v>
      </c>
      <c r="I2137" s="26">
        <f t="array" ref="I2137">XLOOKUP($A2137,product!A:A,product!E:E)</f>
        <v>24.12</v>
      </c>
      <c r="J2137" s="25">
        <f t="shared" si="2"/>
        <v>603</v>
      </c>
      <c r="K2137" s="27">
        <f t="shared" si="3"/>
        <v>1</v>
      </c>
      <c r="L2137" s="25">
        <f t="shared" si="4"/>
        <v>1</v>
      </c>
    </row>
    <row r="2138">
      <c r="A2138" s="19">
        <v>45594.0</v>
      </c>
      <c r="B2138" s="20" t="str">
        <f t="array" ref="B2138">xlookup($A2138,product!$A:$A,product!B:B)</f>
        <v>Beauté &amp; Hygiène</v>
      </c>
      <c r="C2138" s="20" t="str">
        <f t="array" ref="C2138">xlookup($A2138,product!$A:$A,product!C:C)</f>
        <v>Douche et Bain</v>
      </c>
      <c r="D2138" s="20" t="str">
        <f t="array" ref="D2138">xlookup($A2138,product!$A:$A,product!D:D)</f>
        <v>Gel douche</v>
      </c>
      <c r="E2138" s="4" t="str">
        <f t="shared" si="1"/>
        <v>45594-Douche et Bain-Gel douche</v>
      </c>
      <c r="F2138" s="4">
        <v>1.0</v>
      </c>
      <c r="G2138" s="4">
        <v>391.0</v>
      </c>
      <c r="H2138" s="4">
        <v>371.0</v>
      </c>
      <c r="I2138" s="21">
        <f t="array" ref="I2138">XLOOKUP($A2138,product!A:A,product!E:E)</f>
        <v>6.49</v>
      </c>
      <c r="J2138" s="4">
        <f t="shared" si="2"/>
        <v>2407.79</v>
      </c>
      <c r="K2138" s="22">
        <f t="shared" si="3"/>
        <v>1</v>
      </c>
      <c r="L2138" s="4">
        <f t="shared" si="4"/>
        <v>1</v>
      </c>
    </row>
    <row r="2139">
      <c r="A2139" s="23">
        <v>118298.0</v>
      </c>
      <c r="B2139" s="24" t="str">
        <f t="array" ref="B2139">xlookup($A2139,product!$A:$A,product!B:B)</f>
        <v>Beauté &amp; Hygiène</v>
      </c>
      <c r="C2139" s="24" t="str">
        <f t="array" ref="C2139">xlookup($A2139,product!$A:$A,product!C:C)</f>
        <v>Douche et Bain</v>
      </c>
      <c r="D2139" s="24" t="str">
        <f t="array" ref="D2139">xlookup($A2139,product!$A:$A,product!D:D)</f>
        <v>Gel douche</v>
      </c>
      <c r="E2139" s="25" t="str">
        <f t="shared" si="1"/>
        <v>118298-Douche et Bain-Gel douche</v>
      </c>
      <c r="F2139" s="25">
        <v>0.0</v>
      </c>
      <c r="G2139" s="25">
        <v>865.0</v>
      </c>
      <c r="H2139" s="25">
        <v>515.0</v>
      </c>
      <c r="I2139" s="26">
        <f t="array" ref="I2139">XLOOKUP($A2139,product!A:A,product!E:E)</f>
        <v>6.5</v>
      </c>
      <c r="J2139" s="25">
        <f t="shared" si="2"/>
        <v>3347.5</v>
      </c>
      <c r="K2139" s="27">
        <f t="shared" si="3"/>
        <v>1</v>
      </c>
      <c r="L2139" s="25">
        <f t="shared" si="4"/>
        <v>1</v>
      </c>
    </row>
    <row r="2140">
      <c r="A2140" s="19">
        <v>98802.0</v>
      </c>
      <c r="B2140" s="20" t="str">
        <f t="array" ref="B2140">xlookup($A2140,product!$A:$A,product!B:B)</f>
        <v>Beauté &amp; Hygiène</v>
      </c>
      <c r="C2140" s="20" t="str">
        <f t="array" ref="C2140">xlookup($A2140,product!$A:$A,product!C:C)</f>
        <v>Douche et Bain</v>
      </c>
      <c r="D2140" s="20" t="str">
        <f t="array" ref="D2140">xlookup($A2140,product!$A:$A,product!D:D)</f>
        <v>Gel douche</v>
      </c>
      <c r="E2140" s="4" t="str">
        <f t="shared" si="1"/>
        <v>98802-Douche et Bain-Gel douche</v>
      </c>
      <c r="F2140" s="4">
        <v>0.0</v>
      </c>
      <c r="G2140" s="4">
        <v>89.0</v>
      </c>
      <c r="H2140" s="4">
        <v>7.0</v>
      </c>
      <c r="I2140" s="21">
        <f t="array" ref="I2140">XLOOKUP($A2140,product!A:A,product!E:E)</f>
        <v>4.04</v>
      </c>
      <c r="J2140" s="4">
        <f t="shared" si="2"/>
        <v>28.28</v>
      </c>
      <c r="K2140" s="22">
        <f t="shared" si="3"/>
        <v>1</v>
      </c>
      <c r="L2140" s="4">
        <f t="shared" si="4"/>
        <v>1</v>
      </c>
    </row>
    <row r="2141">
      <c r="A2141" s="23">
        <v>46985.0</v>
      </c>
      <c r="B2141" s="24" t="str">
        <f t="array" ref="B2141">xlookup($A2141,product!$A:$A,product!B:B)</f>
        <v>Beauté &amp; Hygiène</v>
      </c>
      <c r="C2141" s="24" t="str">
        <f t="array" ref="C2141">xlookup($A2141,product!$A:$A,product!C:C)</f>
        <v>Douche et Bain</v>
      </c>
      <c r="D2141" s="24" t="str">
        <f t="array" ref="D2141">xlookup($A2141,product!$A:$A,product!D:D)</f>
        <v>Gel douche</v>
      </c>
      <c r="E2141" s="25" t="str">
        <f t="shared" si="1"/>
        <v>46985-Douche et Bain-Gel douche</v>
      </c>
      <c r="F2141" s="25">
        <v>0.0</v>
      </c>
      <c r="G2141" s="25">
        <v>858.0</v>
      </c>
      <c r="H2141" s="25">
        <v>855.0</v>
      </c>
      <c r="I2141" s="26">
        <f t="array" ref="I2141">XLOOKUP($A2141,product!A:A,product!E:E)</f>
        <v>3.49</v>
      </c>
      <c r="J2141" s="25">
        <f t="shared" si="2"/>
        <v>2983.95</v>
      </c>
      <c r="K2141" s="27">
        <f t="shared" si="3"/>
        <v>1</v>
      </c>
      <c r="L2141" s="25">
        <f t="shared" si="4"/>
        <v>1</v>
      </c>
    </row>
    <row r="2142">
      <c r="A2142" s="19">
        <v>46476.0</v>
      </c>
      <c r="B2142" s="20" t="str">
        <f t="array" ref="B2142">xlookup($A2142,product!$A:$A,product!B:B)</f>
        <v>Beauté &amp; Hygiène</v>
      </c>
      <c r="C2142" s="20" t="str">
        <f t="array" ref="C2142">xlookup($A2142,product!$A:$A,product!C:C)</f>
        <v>Douche et Bain</v>
      </c>
      <c r="D2142" s="20" t="str">
        <f t="array" ref="D2142">xlookup($A2142,product!$A:$A,product!D:D)</f>
        <v>Gel douche</v>
      </c>
      <c r="E2142" s="4" t="str">
        <f t="shared" si="1"/>
        <v>46476-Douche et Bain-Gel douche</v>
      </c>
      <c r="F2142" s="4">
        <v>1.0</v>
      </c>
      <c r="G2142" s="4">
        <v>607.0</v>
      </c>
      <c r="H2142" s="4">
        <v>251.0</v>
      </c>
      <c r="I2142" s="21">
        <f t="array" ref="I2142">XLOOKUP($A2142,product!A:A,product!E:E)</f>
        <v>5.82</v>
      </c>
      <c r="J2142" s="4">
        <f t="shared" si="2"/>
        <v>1460.82</v>
      </c>
      <c r="K2142" s="22">
        <f t="shared" si="3"/>
        <v>1</v>
      </c>
      <c r="L2142" s="4">
        <f t="shared" si="4"/>
        <v>1</v>
      </c>
    </row>
    <row r="2143">
      <c r="A2143" s="23">
        <v>110187.0</v>
      </c>
      <c r="B2143" s="24" t="str">
        <f t="array" ref="B2143">xlookup($A2143,product!$A:$A,product!B:B)</f>
        <v>Beauté &amp; Hygiène</v>
      </c>
      <c r="C2143" s="24" t="str">
        <f t="array" ref="C2143">xlookup($A2143,product!$A:$A,product!C:C)</f>
        <v>Douche et Bain</v>
      </c>
      <c r="D2143" s="24" t="str">
        <f t="array" ref="D2143">xlookup($A2143,product!$A:$A,product!D:D)</f>
        <v>Gel douche</v>
      </c>
      <c r="E2143" s="25" t="str">
        <f t="shared" si="1"/>
        <v>110187-Douche et Bain-Gel douche</v>
      </c>
      <c r="F2143" s="25">
        <v>0.0</v>
      </c>
      <c r="G2143" s="25">
        <v>718.0</v>
      </c>
      <c r="H2143" s="25">
        <v>484.0</v>
      </c>
      <c r="I2143" s="26">
        <f t="array" ref="I2143">XLOOKUP($A2143,product!A:A,product!E:E)</f>
        <v>4.75</v>
      </c>
      <c r="J2143" s="25">
        <f t="shared" si="2"/>
        <v>2299</v>
      </c>
      <c r="K2143" s="27">
        <f t="shared" si="3"/>
        <v>1</v>
      </c>
      <c r="L2143" s="25">
        <f t="shared" si="4"/>
        <v>1</v>
      </c>
    </row>
    <row r="2144">
      <c r="A2144" s="19">
        <v>79988.0</v>
      </c>
      <c r="B2144" s="20" t="str">
        <f t="array" ref="B2144">xlookup($A2144,product!$A:$A,product!B:B)</f>
        <v>Beauté &amp; Hygiène</v>
      </c>
      <c r="C2144" s="20" t="str">
        <f t="array" ref="C2144">xlookup($A2144,product!$A:$A,product!C:C)</f>
        <v>Douche et Bain</v>
      </c>
      <c r="D2144" s="20" t="str">
        <f t="array" ref="D2144">xlookup($A2144,product!$A:$A,product!D:D)</f>
        <v>Gel douche</v>
      </c>
      <c r="E2144" s="4" t="str">
        <f t="shared" si="1"/>
        <v>79988-Douche et Bain-Gel douche</v>
      </c>
      <c r="F2144" s="4">
        <v>1.0</v>
      </c>
      <c r="G2144" s="4">
        <v>509.0</v>
      </c>
      <c r="H2144" s="4">
        <v>74.0</v>
      </c>
      <c r="I2144" s="21">
        <f t="array" ref="I2144">XLOOKUP($A2144,product!A:A,product!E:E)</f>
        <v>5.05</v>
      </c>
      <c r="J2144" s="4">
        <f t="shared" si="2"/>
        <v>373.7</v>
      </c>
      <c r="K2144" s="22">
        <f t="shared" si="3"/>
        <v>1</v>
      </c>
      <c r="L2144" s="4">
        <f t="shared" si="4"/>
        <v>1</v>
      </c>
    </row>
    <row r="2145">
      <c r="A2145" s="23">
        <v>46970.0</v>
      </c>
      <c r="B2145" s="24" t="str">
        <f t="array" ref="B2145">xlookup($A2145,product!$A:$A,product!B:B)</f>
        <v>Beauté &amp; Hygiène</v>
      </c>
      <c r="C2145" s="24" t="str">
        <f t="array" ref="C2145">xlookup($A2145,product!$A:$A,product!C:C)</f>
        <v>Douche et Bain</v>
      </c>
      <c r="D2145" s="24" t="str">
        <f t="array" ref="D2145">xlookup($A2145,product!$A:$A,product!D:D)</f>
        <v>Gel douche</v>
      </c>
      <c r="E2145" s="25" t="str">
        <f t="shared" si="1"/>
        <v>46970-Douche et Bain-Gel douche</v>
      </c>
      <c r="F2145" s="25">
        <v>1.0</v>
      </c>
      <c r="G2145" s="25">
        <v>224.0</v>
      </c>
      <c r="H2145" s="25">
        <v>132.0</v>
      </c>
      <c r="I2145" s="26">
        <f t="array" ref="I2145">XLOOKUP($A2145,product!A:A,product!E:E)</f>
        <v>7.29</v>
      </c>
      <c r="J2145" s="25">
        <f t="shared" si="2"/>
        <v>962.28</v>
      </c>
      <c r="K2145" s="27">
        <f t="shared" si="3"/>
        <v>1</v>
      </c>
      <c r="L2145" s="25">
        <f t="shared" si="4"/>
        <v>1</v>
      </c>
    </row>
    <row r="2146">
      <c r="A2146" s="19">
        <v>6519.0</v>
      </c>
      <c r="B2146" s="20" t="str">
        <f t="array" ref="B2146">xlookup($A2146,product!$A:$A,product!B:B)</f>
        <v>Beauté &amp; Hygiène</v>
      </c>
      <c r="C2146" s="20" t="str">
        <f t="array" ref="C2146">xlookup($A2146,product!$A:$A,product!C:C)</f>
        <v>Douche et Bain</v>
      </c>
      <c r="D2146" s="20" t="str">
        <f t="array" ref="D2146">xlookup($A2146,product!$A:$A,product!D:D)</f>
        <v>Gel douche</v>
      </c>
      <c r="E2146" s="4" t="str">
        <f t="shared" si="1"/>
        <v>6519-Douche et Bain-Gel douche</v>
      </c>
      <c r="F2146" s="4">
        <v>0.0</v>
      </c>
      <c r="G2146" s="4">
        <v>763.0</v>
      </c>
      <c r="H2146" s="4">
        <v>538.0</v>
      </c>
      <c r="I2146" s="21">
        <f t="array" ref="I2146">XLOOKUP($A2146,product!A:A,product!E:E)</f>
        <v>7.32</v>
      </c>
      <c r="J2146" s="4">
        <f t="shared" si="2"/>
        <v>3938.16</v>
      </c>
      <c r="K2146" s="22">
        <f t="shared" si="3"/>
        <v>1</v>
      </c>
      <c r="L2146" s="4">
        <f t="shared" si="4"/>
        <v>1</v>
      </c>
    </row>
    <row r="2147">
      <c r="A2147" s="23">
        <v>118205.0</v>
      </c>
      <c r="B2147" s="24" t="str">
        <f t="array" ref="B2147">xlookup($A2147,product!$A:$A,product!B:B)</f>
        <v>Beauté &amp; Hygiène</v>
      </c>
      <c r="C2147" s="24" t="str">
        <f t="array" ref="C2147">xlookup($A2147,product!$A:$A,product!C:C)</f>
        <v>Douche et Bain</v>
      </c>
      <c r="D2147" s="24" t="str">
        <f t="array" ref="D2147">xlookup($A2147,product!$A:$A,product!D:D)</f>
        <v>Gel douche</v>
      </c>
      <c r="E2147" s="25" t="str">
        <f t="shared" si="1"/>
        <v>118205-Douche et Bain-Gel douche</v>
      </c>
      <c r="F2147" s="25">
        <v>1.0</v>
      </c>
      <c r="G2147" s="25">
        <v>328.0</v>
      </c>
      <c r="H2147" s="25">
        <v>60.0</v>
      </c>
      <c r="I2147" s="26">
        <f t="array" ref="I2147">XLOOKUP($A2147,product!A:A,product!E:E)</f>
        <v>4.48</v>
      </c>
      <c r="J2147" s="25">
        <f t="shared" si="2"/>
        <v>268.8</v>
      </c>
      <c r="K2147" s="27">
        <f t="shared" si="3"/>
        <v>1</v>
      </c>
      <c r="L2147" s="25">
        <f t="shared" si="4"/>
        <v>1</v>
      </c>
    </row>
    <row r="2148">
      <c r="A2148" s="19">
        <v>109412.0</v>
      </c>
      <c r="B2148" s="20" t="str">
        <f t="array" ref="B2148">xlookup($A2148,product!$A:$A,product!B:B)</f>
        <v>Beauté &amp; Hygiène</v>
      </c>
      <c r="C2148" s="20" t="str">
        <f t="array" ref="C2148">xlookup($A2148,product!$A:$A,product!C:C)</f>
        <v>Douche et Bain</v>
      </c>
      <c r="D2148" s="20" t="str">
        <f t="array" ref="D2148">xlookup($A2148,product!$A:$A,product!D:D)</f>
        <v>Gel douche</v>
      </c>
      <c r="E2148" s="4" t="str">
        <f t="shared" si="1"/>
        <v>109412-Douche et Bain-Gel douche</v>
      </c>
      <c r="F2148" s="4">
        <v>1.0</v>
      </c>
      <c r="G2148" s="4">
        <v>370.0</v>
      </c>
      <c r="H2148" s="4">
        <v>72.0</v>
      </c>
      <c r="I2148" s="21">
        <f t="array" ref="I2148">XLOOKUP($A2148,product!A:A,product!E:E)</f>
        <v>2.2</v>
      </c>
      <c r="J2148" s="4">
        <f t="shared" si="2"/>
        <v>158.4</v>
      </c>
      <c r="K2148" s="22">
        <f t="shared" si="3"/>
        <v>1</v>
      </c>
      <c r="L2148" s="4">
        <f t="shared" si="4"/>
        <v>1</v>
      </c>
    </row>
    <row r="2149">
      <c r="A2149" s="23">
        <v>117931.0</v>
      </c>
      <c r="B2149" s="24" t="str">
        <f t="array" ref="B2149">xlookup($A2149,product!$A:$A,product!B:B)</f>
        <v>Beauté &amp; Hygiène</v>
      </c>
      <c r="C2149" s="24" t="str">
        <f t="array" ref="C2149">xlookup($A2149,product!$A:$A,product!C:C)</f>
        <v>Douche et Bain</v>
      </c>
      <c r="D2149" s="24" t="str">
        <f t="array" ref="D2149">xlookup($A2149,product!$A:$A,product!D:D)</f>
        <v>Gel douche</v>
      </c>
      <c r="E2149" s="25" t="str">
        <f t="shared" si="1"/>
        <v>117931-Douche et Bain-Gel douche</v>
      </c>
      <c r="F2149" s="25">
        <v>0.0</v>
      </c>
      <c r="G2149" s="25">
        <v>23.0</v>
      </c>
      <c r="H2149" s="25">
        <v>6.0</v>
      </c>
      <c r="I2149" s="26">
        <f t="array" ref="I2149">XLOOKUP($A2149,product!A:A,product!E:E)</f>
        <v>3.07</v>
      </c>
      <c r="J2149" s="25">
        <f t="shared" si="2"/>
        <v>18.42</v>
      </c>
      <c r="K2149" s="27">
        <f t="shared" si="3"/>
        <v>1</v>
      </c>
      <c r="L2149" s="25">
        <f t="shared" si="4"/>
        <v>1</v>
      </c>
    </row>
    <row r="2150">
      <c r="A2150" s="19">
        <v>70042.0</v>
      </c>
      <c r="B2150" s="20" t="str">
        <f t="array" ref="B2150">xlookup($A2150,product!$A:$A,product!B:B)</f>
        <v>Beauté &amp; Hygiène</v>
      </c>
      <c r="C2150" s="20" t="str">
        <f t="array" ref="C2150">xlookup($A2150,product!$A:$A,product!C:C)</f>
        <v>Douche et Bain</v>
      </c>
      <c r="D2150" s="20" t="str">
        <f t="array" ref="D2150">xlookup($A2150,product!$A:$A,product!D:D)</f>
        <v>Gel douche</v>
      </c>
      <c r="E2150" s="4" t="str">
        <f t="shared" si="1"/>
        <v>70042-Douche et Bain-Gel douche</v>
      </c>
      <c r="F2150" s="4">
        <v>0.0</v>
      </c>
      <c r="G2150" s="4">
        <v>437.0</v>
      </c>
      <c r="H2150" s="4">
        <v>374.0</v>
      </c>
      <c r="I2150" s="21">
        <f t="array" ref="I2150">XLOOKUP($A2150,product!A:A,product!E:E)</f>
        <v>2.97</v>
      </c>
      <c r="J2150" s="4">
        <f t="shared" si="2"/>
        <v>1110.78</v>
      </c>
      <c r="K2150" s="22">
        <f t="shared" si="3"/>
        <v>1</v>
      </c>
      <c r="L2150" s="4">
        <f t="shared" si="4"/>
        <v>1</v>
      </c>
    </row>
    <row r="2151">
      <c r="A2151" s="23">
        <v>150104.0</v>
      </c>
      <c r="B2151" s="24" t="str">
        <f t="array" ref="B2151">xlookup($A2151,product!$A:$A,product!B:B)</f>
        <v>Beauté &amp; Hygiène</v>
      </c>
      <c r="C2151" s="24" t="str">
        <f t="array" ref="C2151">xlookup($A2151,product!$A:$A,product!C:C)</f>
        <v>Douche et Bain</v>
      </c>
      <c r="D2151" s="24" t="str">
        <f t="array" ref="D2151">xlookup($A2151,product!$A:$A,product!D:D)</f>
        <v>Gel douche</v>
      </c>
      <c r="E2151" s="25" t="str">
        <f t="shared" si="1"/>
        <v>150104-Douche et Bain-Gel douche</v>
      </c>
      <c r="F2151" s="25">
        <v>0.0</v>
      </c>
      <c r="G2151" s="25">
        <v>156.0</v>
      </c>
      <c r="H2151" s="25">
        <v>35.0</v>
      </c>
      <c r="I2151" s="26">
        <f t="array" ref="I2151">XLOOKUP($A2151,product!A:A,product!E:E)</f>
        <v>2.09</v>
      </c>
      <c r="J2151" s="25">
        <f t="shared" si="2"/>
        <v>73.15</v>
      </c>
      <c r="K2151" s="27">
        <f t="shared" si="3"/>
        <v>1</v>
      </c>
      <c r="L2151" s="25">
        <f t="shared" si="4"/>
        <v>1</v>
      </c>
    </row>
    <row r="2152">
      <c r="A2152" s="19">
        <v>72319.0</v>
      </c>
      <c r="B2152" s="20" t="str">
        <f t="array" ref="B2152">xlookup($A2152,product!$A:$A,product!B:B)</f>
        <v>Beauté &amp; Hygiène</v>
      </c>
      <c r="C2152" s="20" t="str">
        <f t="array" ref="C2152">xlookup($A2152,product!$A:$A,product!C:C)</f>
        <v>Douche et Bain</v>
      </c>
      <c r="D2152" s="20" t="str">
        <f t="array" ref="D2152">xlookup($A2152,product!$A:$A,product!D:D)</f>
        <v>Gel douche</v>
      </c>
      <c r="E2152" s="4" t="str">
        <f t="shared" si="1"/>
        <v>72319-Douche et Bain-Gel douche</v>
      </c>
      <c r="F2152" s="4">
        <v>1.0</v>
      </c>
      <c r="G2152" s="4">
        <v>423.0</v>
      </c>
      <c r="H2152" s="4">
        <v>182.0</v>
      </c>
      <c r="I2152" s="21">
        <f t="array" ref="I2152">XLOOKUP($A2152,product!A:A,product!E:E)</f>
        <v>6.49</v>
      </c>
      <c r="J2152" s="4">
        <f t="shared" si="2"/>
        <v>1181.18</v>
      </c>
      <c r="K2152" s="22">
        <f t="shared" si="3"/>
        <v>1</v>
      </c>
      <c r="L2152" s="4">
        <f t="shared" si="4"/>
        <v>1</v>
      </c>
    </row>
    <row r="2153">
      <c r="A2153" s="23">
        <v>100060.0</v>
      </c>
      <c r="B2153" s="24" t="str">
        <f t="array" ref="B2153">xlookup($A2153,product!$A:$A,product!B:B)</f>
        <v>Beauté &amp; Hygiène</v>
      </c>
      <c r="C2153" s="24" t="str">
        <f t="array" ref="C2153">xlookup($A2153,product!$A:$A,product!C:C)</f>
        <v>Douche et Bain</v>
      </c>
      <c r="D2153" s="24" t="str">
        <f t="array" ref="D2153">xlookup($A2153,product!$A:$A,product!D:D)</f>
        <v>Gel douche</v>
      </c>
      <c r="E2153" s="25" t="str">
        <f t="shared" si="1"/>
        <v>100060-Douche et Bain-Gel douche</v>
      </c>
      <c r="F2153" s="25">
        <v>0.0</v>
      </c>
      <c r="G2153" s="25">
        <v>903.0</v>
      </c>
      <c r="H2153" s="25">
        <v>839.0</v>
      </c>
      <c r="I2153" s="26">
        <f t="array" ref="I2153">XLOOKUP($A2153,product!A:A,product!E:E)</f>
        <v>6.41</v>
      </c>
      <c r="J2153" s="25">
        <f t="shared" si="2"/>
        <v>5377.99</v>
      </c>
      <c r="K2153" s="27">
        <f t="shared" si="3"/>
        <v>1</v>
      </c>
      <c r="L2153" s="25">
        <f t="shared" si="4"/>
        <v>1</v>
      </c>
    </row>
    <row r="2154">
      <c r="A2154" s="19">
        <v>6521.0</v>
      </c>
      <c r="B2154" s="20" t="str">
        <f t="array" ref="B2154">xlookup($A2154,product!$A:$A,product!B:B)</f>
        <v>Beauté &amp; Hygiène</v>
      </c>
      <c r="C2154" s="20" t="str">
        <f t="array" ref="C2154">xlookup($A2154,product!$A:$A,product!C:C)</f>
        <v>Douche et Bain</v>
      </c>
      <c r="D2154" s="20" t="str">
        <f t="array" ref="D2154">xlookup($A2154,product!$A:$A,product!D:D)</f>
        <v>Gel douche</v>
      </c>
      <c r="E2154" s="4" t="str">
        <f t="shared" si="1"/>
        <v>6521-Douche et Bain-Gel douche</v>
      </c>
      <c r="F2154" s="4">
        <v>1.0</v>
      </c>
      <c r="G2154" s="4">
        <v>490.0</v>
      </c>
      <c r="H2154" s="4">
        <v>421.0</v>
      </c>
      <c r="I2154" s="21">
        <f t="array" ref="I2154">XLOOKUP($A2154,product!A:A,product!E:E)</f>
        <v>6.8</v>
      </c>
      <c r="J2154" s="4">
        <f t="shared" si="2"/>
        <v>2862.8</v>
      </c>
      <c r="K2154" s="22">
        <f t="shared" si="3"/>
        <v>1</v>
      </c>
      <c r="L2154" s="4">
        <f t="shared" si="4"/>
        <v>1</v>
      </c>
    </row>
    <row r="2155">
      <c r="A2155" s="23">
        <v>45058.0</v>
      </c>
      <c r="B2155" s="24" t="str">
        <f t="array" ref="B2155">xlookup($A2155,product!$A:$A,product!B:B)</f>
        <v>Beauté &amp; Hygiène</v>
      </c>
      <c r="C2155" s="24" t="str">
        <f t="array" ref="C2155">xlookup($A2155,product!$A:$A,product!C:C)</f>
        <v>Douche et Bain</v>
      </c>
      <c r="D2155" s="24" t="str">
        <f t="array" ref="D2155">xlookup($A2155,product!$A:$A,product!D:D)</f>
        <v>Gel douche</v>
      </c>
      <c r="E2155" s="25" t="str">
        <f t="shared" si="1"/>
        <v>45058-Douche et Bain-Gel douche</v>
      </c>
      <c r="F2155" s="25">
        <v>0.0</v>
      </c>
      <c r="G2155" s="25">
        <v>509.0</v>
      </c>
      <c r="H2155" s="25">
        <v>408.0</v>
      </c>
      <c r="I2155" s="26">
        <f t="array" ref="I2155">XLOOKUP($A2155,product!A:A,product!E:E)</f>
        <v>6.5</v>
      </c>
      <c r="J2155" s="25">
        <f t="shared" si="2"/>
        <v>2652</v>
      </c>
      <c r="K2155" s="27">
        <f t="shared" si="3"/>
        <v>1</v>
      </c>
      <c r="L2155" s="25">
        <f t="shared" si="4"/>
        <v>1</v>
      </c>
    </row>
    <row r="2156">
      <c r="A2156" s="19">
        <v>117139.0</v>
      </c>
      <c r="B2156" s="20" t="str">
        <f t="array" ref="B2156">xlookup($A2156,product!$A:$A,product!B:B)</f>
        <v>Beauté &amp; Hygiène</v>
      </c>
      <c r="C2156" s="20" t="str">
        <f t="array" ref="C2156">xlookup($A2156,product!$A:$A,product!C:C)</f>
        <v>Douche et Bain</v>
      </c>
      <c r="D2156" s="20" t="str">
        <f t="array" ref="D2156">xlookup($A2156,product!$A:$A,product!D:D)</f>
        <v>Gel douche</v>
      </c>
      <c r="E2156" s="4" t="str">
        <f t="shared" si="1"/>
        <v>117139-Douche et Bain-Gel douche</v>
      </c>
      <c r="F2156" s="4">
        <v>1.0</v>
      </c>
      <c r="G2156" s="4">
        <v>378.0</v>
      </c>
      <c r="H2156" s="4">
        <v>168.0</v>
      </c>
      <c r="I2156" s="21">
        <f t="array" ref="I2156">XLOOKUP($A2156,product!A:A,product!E:E)</f>
        <v>6.56</v>
      </c>
      <c r="J2156" s="4">
        <f t="shared" si="2"/>
        <v>1102.08</v>
      </c>
      <c r="K2156" s="22">
        <f t="shared" si="3"/>
        <v>1</v>
      </c>
      <c r="L2156" s="4">
        <f t="shared" si="4"/>
        <v>1</v>
      </c>
    </row>
    <row r="2157">
      <c r="A2157" s="23">
        <v>117464.0</v>
      </c>
      <c r="B2157" s="24" t="str">
        <f t="array" ref="B2157">xlookup($A2157,product!$A:$A,product!B:B)</f>
        <v>Beauté &amp; Hygiène</v>
      </c>
      <c r="C2157" s="24" t="str">
        <f t="array" ref="C2157">xlookup($A2157,product!$A:$A,product!C:C)</f>
        <v>Douche et Bain</v>
      </c>
      <c r="D2157" s="24" t="str">
        <f t="array" ref="D2157">xlookup($A2157,product!$A:$A,product!D:D)</f>
        <v>Gel douche</v>
      </c>
      <c r="E2157" s="25" t="str">
        <f t="shared" si="1"/>
        <v>117464-Douche et Bain-Gel douche</v>
      </c>
      <c r="F2157" s="25">
        <v>0.0</v>
      </c>
      <c r="G2157" s="25">
        <v>910.0</v>
      </c>
      <c r="H2157" s="25">
        <v>457.0</v>
      </c>
      <c r="I2157" s="26">
        <f t="array" ref="I2157">XLOOKUP($A2157,product!A:A,product!E:E)</f>
        <v>6.49</v>
      </c>
      <c r="J2157" s="25">
        <f t="shared" si="2"/>
        <v>2965.93</v>
      </c>
      <c r="K2157" s="27">
        <f t="shared" si="3"/>
        <v>1</v>
      </c>
      <c r="L2157" s="25">
        <f t="shared" si="4"/>
        <v>1</v>
      </c>
    </row>
    <row r="2158">
      <c r="A2158" s="19">
        <v>111777.0</v>
      </c>
      <c r="B2158" s="20" t="str">
        <f t="array" ref="B2158">xlookup($A2158,product!$A:$A,product!B:B)</f>
        <v>Beauté &amp; Hygiène</v>
      </c>
      <c r="C2158" s="20" t="str">
        <f t="array" ref="C2158">xlookup($A2158,product!$A:$A,product!C:C)</f>
        <v>Douche et Bain</v>
      </c>
      <c r="D2158" s="20" t="str">
        <f t="array" ref="D2158">xlookup($A2158,product!$A:$A,product!D:D)</f>
        <v>Gel douche</v>
      </c>
      <c r="E2158" s="4" t="str">
        <f t="shared" si="1"/>
        <v>111777-Douche et Bain-Gel douche</v>
      </c>
      <c r="F2158" s="4">
        <v>1.0</v>
      </c>
      <c r="G2158" s="4">
        <v>114.0</v>
      </c>
      <c r="H2158" s="4">
        <v>40.0</v>
      </c>
      <c r="I2158" s="21">
        <f t="array" ref="I2158">XLOOKUP($A2158,product!A:A,product!E:E)</f>
        <v>2.94</v>
      </c>
      <c r="J2158" s="4">
        <f t="shared" si="2"/>
        <v>117.6</v>
      </c>
      <c r="K2158" s="22">
        <f t="shared" si="3"/>
        <v>1</v>
      </c>
      <c r="L2158" s="4">
        <f t="shared" si="4"/>
        <v>1</v>
      </c>
    </row>
    <row r="2159">
      <c r="A2159" s="23">
        <v>122375.0</v>
      </c>
      <c r="B2159" s="24" t="str">
        <f t="array" ref="B2159">xlookup($A2159,product!$A:$A,product!B:B)</f>
        <v>Beauté &amp; Hygiène</v>
      </c>
      <c r="C2159" s="24" t="str">
        <f t="array" ref="C2159">xlookup($A2159,product!$A:$A,product!C:C)</f>
        <v>Douche et Bain</v>
      </c>
      <c r="D2159" s="24" t="str">
        <f t="array" ref="D2159">xlookup($A2159,product!$A:$A,product!D:D)</f>
        <v>Savon liquide</v>
      </c>
      <c r="E2159" s="25" t="str">
        <f t="shared" si="1"/>
        <v>122375-Douche et Bain-Savon liquide</v>
      </c>
      <c r="F2159" s="25">
        <v>1.0</v>
      </c>
      <c r="G2159" s="25">
        <v>304.0</v>
      </c>
      <c r="H2159" s="25">
        <v>23.0</v>
      </c>
      <c r="I2159" s="26">
        <f t="array" ref="I2159">XLOOKUP($A2159,product!A:A,product!E:E)</f>
        <v>15.29</v>
      </c>
      <c r="J2159" s="25">
        <f t="shared" si="2"/>
        <v>351.67</v>
      </c>
      <c r="K2159" s="27">
        <f t="shared" si="3"/>
        <v>1</v>
      </c>
      <c r="L2159" s="25">
        <f t="shared" si="4"/>
        <v>1</v>
      </c>
    </row>
    <row r="2160">
      <c r="A2160" s="19">
        <v>122282.0</v>
      </c>
      <c r="B2160" s="20" t="str">
        <f t="array" ref="B2160">xlookup($A2160,product!$A:$A,product!B:B)</f>
        <v>Beauté &amp; Hygiène</v>
      </c>
      <c r="C2160" s="20" t="str">
        <f t="array" ref="C2160">xlookup($A2160,product!$A:$A,product!C:C)</f>
        <v>Douche et Bain</v>
      </c>
      <c r="D2160" s="20" t="str">
        <f t="array" ref="D2160">xlookup($A2160,product!$A:$A,product!D:D)</f>
        <v>Savon liquide</v>
      </c>
      <c r="E2160" s="4" t="str">
        <f t="shared" si="1"/>
        <v>122282-Douche et Bain-Savon liquide</v>
      </c>
      <c r="F2160" s="4">
        <v>0.0</v>
      </c>
      <c r="G2160" s="4">
        <v>215.0</v>
      </c>
      <c r="H2160" s="4">
        <v>46.0</v>
      </c>
      <c r="I2160" s="21">
        <f t="array" ref="I2160">XLOOKUP($A2160,product!A:A,product!E:E)</f>
        <v>18.29</v>
      </c>
      <c r="J2160" s="4">
        <f t="shared" si="2"/>
        <v>841.34</v>
      </c>
      <c r="K2160" s="22">
        <f t="shared" si="3"/>
        <v>1</v>
      </c>
      <c r="L2160" s="4">
        <f t="shared" si="4"/>
        <v>1</v>
      </c>
    </row>
    <row r="2161">
      <c r="A2161" s="23">
        <v>47161.0</v>
      </c>
      <c r="B2161" s="24" t="str">
        <f t="array" ref="B2161">xlookup($A2161,product!$A:$A,product!B:B)</f>
        <v>Beauté &amp; Hygiène</v>
      </c>
      <c r="C2161" s="24" t="str">
        <f t="array" ref="C2161">xlookup($A2161,product!$A:$A,product!C:C)</f>
        <v>Douche et Bain</v>
      </c>
      <c r="D2161" s="24" t="str">
        <f t="array" ref="D2161">xlookup($A2161,product!$A:$A,product!D:D)</f>
        <v>Savon liquide</v>
      </c>
      <c r="E2161" s="25" t="str">
        <f t="shared" si="1"/>
        <v>47161-Douche et Bain-Savon liquide</v>
      </c>
      <c r="F2161" s="25">
        <v>1.0</v>
      </c>
      <c r="G2161" s="25">
        <v>264.0</v>
      </c>
      <c r="H2161" s="25">
        <v>51.0</v>
      </c>
      <c r="I2161" s="26">
        <f t="array" ref="I2161">XLOOKUP($A2161,product!A:A,product!E:E)</f>
        <v>5.35</v>
      </c>
      <c r="J2161" s="25">
        <f t="shared" si="2"/>
        <v>272.85</v>
      </c>
      <c r="K2161" s="27">
        <f t="shared" si="3"/>
        <v>1</v>
      </c>
      <c r="L2161" s="25">
        <f t="shared" si="4"/>
        <v>1</v>
      </c>
    </row>
    <row r="2162">
      <c r="A2162" s="19">
        <v>47159.0</v>
      </c>
      <c r="B2162" s="20" t="str">
        <f t="array" ref="B2162">xlookup($A2162,product!$A:$A,product!B:B)</f>
        <v>Beauté &amp; Hygiène</v>
      </c>
      <c r="C2162" s="20" t="str">
        <f t="array" ref="C2162">xlookup($A2162,product!$A:$A,product!C:C)</f>
        <v>Douche et Bain</v>
      </c>
      <c r="D2162" s="20" t="str">
        <f t="array" ref="D2162">xlookup($A2162,product!$A:$A,product!D:D)</f>
        <v>Savon liquide</v>
      </c>
      <c r="E2162" s="4" t="str">
        <f t="shared" si="1"/>
        <v>47159-Douche et Bain-Savon liquide</v>
      </c>
      <c r="F2162" s="4">
        <v>0.0</v>
      </c>
      <c r="G2162" s="4">
        <v>759.0</v>
      </c>
      <c r="H2162" s="4">
        <v>600.0</v>
      </c>
      <c r="I2162" s="21">
        <f t="array" ref="I2162">XLOOKUP($A2162,product!A:A,product!E:E)</f>
        <v>2.62</v>
      </c>
      <c r="J2162" s="4">
        <f t="shared" si="2"/>
        <v>1572</v>
      </c>
      <c r="K2162" s="22">
        <f t="shared" si="3"/>
        <v>1</v>
      </c>
      <c r="L2162" s="4">
        <f t="shared" si="4"/>
        <v>1</v>
      </c>
    </row>
    <row r="2163">
      <c r="A2163" s="23">
        <v>71327.0</v>
      </c>
      <c r="B2163" s="24" t="str">
        <f t="array" ref="B2163">xlookup($A2163,product!$A:$A,product!B:B)</f>
        <v>Beauté &amp; Hygiène</v>
      </c>
      <c r="C2163" s="24" t="str">
        <f t="array" ref="C2163">xlookup($A2163,product!$A:$A,product!C:C)</f>
        <v>Douche et Bain</v>
      </c>
      <c r="D2163" s="24" t="str">
        <f t="array" ref="D2163">xlookup($A2163,product!$A:$A,product!D:D)</f>
        <v>Savon liquide</v>
      </c>
      <c r="E2163" s="25" t="str">
        <f t="shared" si="1"/>
        <v>71327-Douche et Bain-Savon liquide</v>
      </c>
      <c r="F2163" s="25">
        <v>0.0</v>
      </c>
      <c r="G2163" s="25">
        <v>83.0</v>
      </c>
      <c r="H2163" s="25">
        <v>42.0</v>
      </c>
      <c r="I2163" s="26">
        <f t="array" ref="I2163">XLOOKUP($A2163,product!A:A,product!E:E)</f>
        <v>21.9</v>
      </c>
      <c r="J2163" s="25">
        <f t="shared" si="2"/>
        <v>919.8</v>
      </c>
      <c r="K2163" s="27">
        <f t="shared" si="3"/>
        <v>1</v>
      </c>
      <c r="L2163" s="25">
        <f t="shared" si="4"/>
        <v>1</v>
      </c>
    </row>
    <row r="2164">
      <c r="A2164" s="19">
        <v>122276.0</v>
      </c>
      <c r="B2164" s="20" t="str">
        <f t="array" ref="B2164">xlookup($A2164,product!$A:$A,product!B:B)</f>
        <v>Beauté &amp; Hygiène</v>
      </c>
      <c r="C2164" s="20" t="str">
        <f t="array" ref="C2164">xlookup($A2164,product!$A:$A,product!C:C)</f>
        <v>Douche et Bain</v>
      </c>
      <c r="D2164" s="20" t="str">
        <f t="array" ref="D2164">xlookup($A2164,product!$A:$A,product!D:D)</f>
        <v>Savon liquide</v>
      </c>
      <c r="E2164" s="4" t="str">
        <f t="shared" si="1"/>
        <v>122276-Douche et Bain-Savon liquide</v>
      </c>
      <c r="F2164" s="4">
        <v>0.0</v>
      </c>
      <c r="G2164" s="4">
        <v>34.0</v>
      </c>
      <c r="H2164" s="4">
        <v>3.0</v>
      </c>
      <c r="I2164" s="21">
        <f t="array" ref="I2164">XLOOKUP($A2164,product!A:A,product!E:E)</f>
        <v>2.11</v>
      </c>
      <c r="J2164" s="4">
        <f t="shared" si="2"/>
        <v>6.33</v>
      </c>
      <c r="K2164" s="22">
        <f t="shared" si="3"/>
        <v>1</v>
      </c>
      <c r="L2164" s="4">
        <f t="shared" si="4"/>
        <v>1</v>
      </c>
    </row>
    <row r="2165">
      <c r="A2165" s="23">
        <v>72806.0</v>
      </c>
      <c r="B2165" s="24" t="str">
        <f t="array" ref="B2165">xlookup($A2165,product!$A:$A,product!B:B)</f>
        <v>Beauté &amp; Hygiène</v>
      </c>
      <c r="C2165" s="24" t="str">
        <f t="array" ref="C2165">xlookup($A2165,product!$A:$A,product!C:C)</f>
        <v>Douche et Bain</v>
      </c>
      <c r="D2165" s="24" t="str">
        <f t="array" ref="D2165">xlookup($A2165,product!$A:$A,product!D:D)</f>
        <v>Savon liquide</v>
      </c>
      <c r="E2165" s="25" t="str">
        <f t="shared" si="1"/>
        <v>72806-Douche et Bain-Savon liquide</v>
      </c>
      <c r="F2165" s="25">
        <v>1.0</v>
      </c>
      <c r="G2165" s="25">
        <v>769.0</v>
      </c>
      <c r="H2165" s="25">
        <v>719.0</v>
      </c>
      <c r="I2165" s="26">
        <f t="array" ref="I2165">XLOOKUP($A2165,product!A:A,product!E:E)</f>
        <v>3.15</v>
      </c>
      <c r="J2165" s="25">
        <f t="shared" si="2"/>
        <v>2264.85</v>
      </c>
      <c r="K2165" s="27">
        <f t="shared" si="3"/>
        <v>1</v>
      </c>
      <c r="L2165" s="25">
        <f t="shared" si="4"/>
        <v>1</v>
      </c>
    </row>
    <row r="2166">
      <c r="A2166" s="19">
        <v>100248.0</v>
      </c>
      <c r="B2166" s="20" t="str">
        <f t="array" ref="B2166">xlookup($A2166,product!$A:$A,product!B:B)</f>
        <v>Beauté &amp; Hygiène</v>
      </c>
      <c r="C2166" s="20" t="str">
        <f t="array" ref="C2166">xlookup($A2166,product!$A:$A,product!C:C)</f>
        <v>Douche et Bain</v>
      </c>
      <c r="D2166" s="20" t="str">
        <f t="array" ref="D2166">xlookup($A2166,product!$A:$A,product!D:D)</f>
        <v>Savon liquide</v>
      </c>
      <c r="E2166" s="4" t="str">
        <f t="shared" si="1"/>
        <v>100248-Douche et Bain-Savon liquide</v>
      </c>
      <c r="F2166" s="4">
        <v>0.0</v>
      </c>
      <c r="G2166" s="4">
        <v>445.0</v>
      </c>
      <c r="H2166" s="4">
        <v>38.0</v>
      </c>
      <c r="I2166" s="21">
        <f t="array" ref="I2166">XLOOKUP($A2166,product!A:A,product!E:E)</f>
        <v>5.41</v>
      </c>
      <c r="J2166" s="4">
        <f t="shared" si="2"/>
        <v>205.58</v>
      </c>
      <c r="K2166" s="22">
        <f t="shared" si="3"/>
        <v>1</v>
      </c>
      <c r="L2166" s="4">
        <f t="shared" si="4"/>
        <v>1</v>
      </c>
    </row>
    <row r="2167">
      <c r="A2167" s="23">
        <v>122378.0</v>
      </c>
      <c r="B2167" s="24" t="str">
        <f t="array" ref="B2167">xlookup($A2167,product!$A:$A,product!B:B)</f>
        <v>Beauté &amp; Hygiène</v>
      </c>
      <c r="C2167" s="24" t="str">
        <f t="array" ref="C2167">xlookup($A2167,product!$A:$A,product!C:C)</f>
        <v>Douche et Bain</v>
      </c>
      <c r="D2167" s="24" t="str">
        <f t="array" ref="D2167">xlookup($A2167,product!$A:$A,product!D:D)</f>
        <v>Savon liquide</v>
      </c>
      <c r="E2167" s="25" t="str">
        <f t="shared" si="1"/>
        <v>122378-Douche et Bain-Savon liquide</v>
      </c>
      <c r="F2167" s="25">
        <v>1.0</v>
      </c>
      <c r="G2167" s="25">
        <v>155.0</v>
      </c>
      <c r="H2167" s="25">
        <v>43.0</v>
      </c>
      <c r="I2167" s="26">
        <f t="array" ref="I2167">XLOOKUP($A2167,product!A:A,product!E:E)</f>
        <v>3.87</v>
      </c>
      <c r="J2167" s="25">
        <f t="shared" si="2"/>
        <v>166.41</v>
      </c>
      <c r="K2167" s="27">
        <f t="shared" si="3"/>
        <v>1</v>
      </c>
      <c r="L2167" s="25">
        <f t="shared" si="4"/>
        <v>1</v>
      </c>
    </row>
    <row r="2168">
      <c r="A2168" s="19">
        <v>44762.0</v>
      </c>
      <c r="B2168" s="20" t="str">
        <f t="array" ref="B2168">xlookup($A2168,product!$A:$A,product!B:B)</f>
        <v>Beauté &amp; Hygiène</v>
      </c>
      <c r="C2168" s="20" t="str">
        <f t="array" ref="C2168">xlookup($A2168,product!$A:$A,product!C:C)</f>
        <v>Douche et Bain</v>
      </c>
      <c r="D2168" s="20" t="str">
        <f t="array" ref="D2168">xlookup($A2168,product!$A:$A,product!D:D)</f>
        <v>Savon liquide</v>
      </c>
      <c r="E2168" s="4" t="str">
        <f t="shared" si="1"/>
        <v>44762-Douche et Bain-Savon liquide</v>
      </c>
      <c r="F2168" s="4">
        <v>0.0</v>
      </c>
      <c r="G2168" s="4">
        <v>81.0</v>
      </c>
      <c r="H2168" s="4">
        <v>24.0</v>
      </c>
      <c r="I2168" s="21">
        <f t="array" ref="I2168">XLOOKUP($A2168,product!A:A,product!E:E)</f>
        <v>6.71</v>
      </c>
      <c r="J2168" s="4">
        <f t="shared" si="2"/>
        <v>161.04</v>
      </c>
      <c r="K2168" s="22">
        <f t="shared" si="3"/>
        <v>1</v>
      </c>
      <c r="L2168" s="4">
        <f t="shared" si="4"/>
        <v>1</v>
      </c>
    </row>
    <row r="2169">
      <c r="A2169" s="23">
        <v>100247.0</v>
      </c>
      <c r="B2169" s="24" t="str">
        <f t="array" ref="B2169">xlookup($A2169,product!$A:$A,product!B:B)</f>
        <v>Beauté &amp; Hygiène</v>
      </c>
      <c r="C2169" s="24" t="str">
        <f t="array" ref="C2169">xlookup($A2169,product!$A:$A,product!C:C)</f>
        <v>Douche et Bain</v>
      </c>
      <c r="D2169" s="24" t="str">
        <f t="array" ref="D2169">xlookup($A2169,product!$A:$A,product!D:D)</f>
        <v>Savon liquide</v>
      </c>
      <c r="E2169" s="25" t="str">
        <f t="shared" si="1"/>
        <v>100247-Douche et Bain-Savon liquide</v>
      </c>
      <c r="F2169" s="25">
        <v>0.0</v>
      </c>
      <c r="G2169" s="25">
        <v>71.0</v>
      </c>
      <c r="H2169" s="25">
        <v>15.0</v>
      </c>
      <c r="I2169" s="26">
        <f t="array" ref="I2169">XLOOKUP($A2169,product!A:A,product!E:E)</f>
        <v>2.53</v>
      </c>
      <c r="J2169" s="25">
        <f t="shared" si="2"/>
        <v>37.95</v>
      </c>
      <c r="K2169" s="27">
        <f t="shared" si="3"/>
        <v>1</v>
      </c>
      <c r="L2169" s="25">
        <f t="shared" si="4"/>
        <v>1</v>
      </c>
    </row>
    <row r="2170">
      <c r="A2170" s="19">
        <v>182272.0</v>
      </c>
      <c r="B2170" s="20" t="str">
        <f t="array" ref="B2170">xlookup($A2170,product!$A:$A,product!B:B)</f>
        <v>Beauté &amp; Hygiène</v>
      </c>
      <c r="C2170" s="20" t="str">
        <f t="array" ref="C2170">xlookup($A2170,product!$A:$A,product!C:C)</f>
        <v>Douche et Bain</v>
      </c>
      <c r="D2170" s="20" t="str">
        <f t="array" ref="D2170">xlookup($A2170,product!$A:$A,product!D:D)</f>
        <v>Savon liquide</v>
      </c>
      <c r="E2170" s="4" t="str">
        <f t="shared" si="1"/>
        <v>182272-Douche et Bain-Savon liquide</v>
      </c>
      <c r="F2170" s="4">
        <v>1.0</v>
      </c>
      <c r="G2170" s="4">
        <v>219.0</v>
      </c>
      <c r="H2170" s="4">
        <v>57.0</v>
      </c>
      <c r="I2170" s="21">
        <f t="array" ref="I2170">XLOOKUP($A2170,product!A:A,product!E:E)</f>
        <v>4.77</v>
      </c>
      <c r="J2170" s="4">
        <f t="shared" si="2"/>
        <v>271.89</v>
      </c>
      <c r="K2170" s="22">
        <f t="shared" si="3"/>
        <v>1</v>
      </c>
      <c r="L2170" s="4">
        <f t="shared" si="4"/>
        <v>1</v>
      </c>
    </row>
    <row r="2171">
      <c r="A2171" s="23">
        <v>128297.0</v>
      </c>
      <c r="B2171" s="24" t="str">
        <f t="array" ref="B2171">xlookup($A2171,product!$A:$A,product!B:B)</f>
        <v>Beauté &amp; Hygiène</v>
      </c>
      <c r="C2171" s="24" t="str">
        <f t="array" ref="C2171">xlookup($A2171,product!$A:$A,product!C:C)</f>
        <v>Douche et Bain</v>
      </c>
      <c r="D2171" s="24" t="str">
        <f t="array" ref="D2171">xlookup($A2171,product!$A:$A,product!D:D)</f>
        <v>Savon liquide</v>
      </c>
      <c r="E2171" s="25" t="str">
        <f t="shared" si="1"/>
        <v>128297-Douche et Bain-Savon liquide</v>
      </c>
      <c r="F2171" s="25">
        <v>1.0</v>
      </c>
      <c r="G2171" s="25">
        <v>626.0</v>
      </c>
      <c r="H2171" s="25">
        <v>620.0</v>
      </c>
      <c r="I2171" s="26">
        <f t="array" ref="I2171">XLOOKUP($A2171,product!A:A,product!E:E)</f>
        <v>7.3</v>
      </c>
      <c r="J2171" s="25">
        <f t="shared" si="2"/>
        <v>4526</v>
      </c>
      <c r="K2171" s="27">
        <f t="shared" si="3"/>
        <v>1</v>
      </c>
      <c r="L2171" s="25">
        <f t="shared" si="4"/>
        <v>1</v>
      </c>
    </row>
    <row r="2172">
      <c r="A2172" s="19">
        <v>10673.0</v>
      </c>
      <c r="B2172" s="20" t="str">
        <f t="array" ref="B2172">xlookup($A2172,product!$A:$A,product!B:B)</f>
        <v>Beauté &amp; Hygiène</v>
      </c>
      <c r="C2172" s="20" t="str">
        <f t="array" ref="C2172">xlookup($A2172,product!$A:$A,product!C:C)</f>
        <v>Douche et Bain</v>
      </c>
      <c r="D2172" s="20" t="str">
        <f t="array" ref="D2172">xlookup($A2172,product!$A:$A,product!D:D)</f>
        <v>Savon liquide</v>
      </c>
      <c r="E2172" s="4" t="str">
        <f t="shared" si="1"/>
        <v>10673-Douche et Bain-Savon liquide</v>
      </c>
      <c r="F2172" s="4">
        <v>0.0</v>
      </c>
      <c r="G2172" s="4">
        <v>340.0</v>
      </c>
      <c r="H2172" s="4">
        <v>11.0</v>
      </c>
      <c r="I2172" s="21">
        <f t="array" ref="I2172">XLOOKUP($A2172,product!A:A,product!E:E)</f>
        <v>5.35</v>
      </c>
      <c r="J2172" s="4">
        <f t="shared" si="2"/>
        <v>58.85</v>
      </c>
      <c r="K2172" s="22">
        <f t="shared" si="3"/>
        <v>1</v>
      </c>
      <c r="L2172" s="4">
        <f t="shared" si="4"/>
        <v>1</v>
      </c>
    </row>
    <row r="2173">
      <c r="A2173" s="23">
        <v>69332.0</v>
      </c>
      <c r="B2173" s="24" t="str">
        <f t="array" ref="B2173">xlookup($A2173,product!$A:$A,product!B:B)</f>
        <v>Beauté &amp; Hygiène</v>
      </c>
      <c r="C2173" s="24" t="str">
        <f t="array" ref="C2173">xlookup($A2173,product!$A:$A,product!C:C)</f>
        <v>Douche et Bain</v>
      </c>
      <c r="D2173" s="24" t="str">
        <f t="array" ref="D2173">xlookup($A2173,product!$A:$A,product!D:D)</f>
        <v>Savon liquide</v>
      </c>
      <c r="E2173" s="25" t="str">
        <f t="shared" si="1"/>
        <v>69332-Douche et Bain-Savon liquide</v>
      </c>
      <c r="F2173" s="25">
        <v>0.0</v>
      </c>
      <c r="G2173" s="25">
        <v>668.0</v>
      </c>
      <c r="H2173" s="25">
        <v>130.0</v>
      </c>
      <c r="I2173" s="26">
        <f t="array" ref="I2173">XLOOKUP($A2173,product!A:A,product!E:E)</f>
        <v>6.53</v>
      </c>
      <c r="J2173" s="25">
        <f t="shared" si="2"/>
        <v>848.9</v>
      </c>
      <c r="K2173" s="27">
        <f t="shared" si="3"/>
        <v>1</v>
      </c>
      <c r="L2173" s="25">
        <f t="shared" si="4"/>
        <v>1</v>
      </c>
    </row>
    <row r="2174">
      <c r="A2174" s="19">
        <v>151239.0</v>
      </c>
      <c r="B2174" s="20" t="str">
        <f t="array" ref="B2174">xlookup($A2174,product!$A:$A,product!B:B)</f>
        <v>Beauté &amp; Hygiène</v>
      </c>
      <c r="C2174" s="20" t="str">
        <f t="array" ref="C2174">xlookup($A2174,product!$A:$A,product!C:C)</f>
        <v>Douche et Bain</v>
      </c>
      <c r="D2174" s="20" t="str">
        <f t="array" ref="D2174">xlookup($A2174,product!$A:$A,product!D:D)</f>
        <v>Savon liquide</v>
      </c>
      <c r="E2174" s="4" t="str">
        <f t="shared" si="1"/>
        <v>151239-Douche et Bain-Savon liquide</v>
      </c>
      <c r="F2174" s="4">
        <v>1.0</v>
      </c>
      <c r="G2174" s="4">
        <v>55.0</v>
      </c>
      <c r="H2174" s="4">
        <v>44.0</v>
      </c>
      <c r="I2174" s="21">
        <f t="array" ref="I2174">XLOOKUP($A2174,product!A:A,product!E:E)</f>
        <v>2.73</v>
      </c>
      <c r="J2174" s="4">
        <f t="shared" si="2"/>
        <v>120.12</v>
      </c>
      <c r="K2174" s="22">
        <f t="shared" si="3"/>
        <v>1</v>
      </c>
      <c r="L2174" s="4">
        <f t="shared" si="4"/>
        <v>1</v>
      </c>
    </row>
    <row r="2175">
      <c r="A2175" s="23">
        <v>116667.0</v>
      </c>
      <c r="B2175" s="24" t="str">
        <f t="array" ref="B2175">xlookup($A2175,product!$A:$A,product!B:B)</f>
        <v>Beauté &amp; Hygiène</v>
      </c>
      <c r="C2175" s="24" t="str">
        <f t="array" ref="C2175">xlookup($A2175,product!$A:$A,product!C:C)</f>
        <v>Douche et Bain</v>
      </c>
      <c r="D2175" s="24" t="str">
        <f t="array" ref="D2175">xlookup($A2175,product!$A:$A,product!D:D)</f>
        <v>Savon liquide</v>
      </c>
      <c r="E2175" s="25" t="str">
        <f t="shared" si="1"/>
        <v>116667-Douche et Bain-Savon liquide</v>
      </c>
      <c r="F2175" s="25">
        <v>0.0</v>
      </c>
      <c r="G2175" s="25">
        <v>356.0</v>
      </c>
      <c r="H2175" s="25">
        <v>84.0</v>
      </c>
      <c r="I2175" s="26">
        <f t="array" ref="I2175">XLOOKUP($A2175,product!A:A,product!E:E)</f>
        <v>4.8</v>
      </c>
      <c r="J2175" s="25">
        <f t="shared" si="2"/>
        <v>403.2</v>
      </c>
      <c r="K2175" s="27">
        <f t="shared" si="3"/>
        <v>1</v>
      </c>
      <c r="L2175" s="25">
        <f t="shared" si="4"/>
        <v>1</v>
      </c>
    </row>
    <row r="2176">
      <c r="A2176" s="19">
        <v>72809.0</v>
      </c>
      <c r="B2176" s="20" t="str">
        <f t="array" ref="B2176">xlookup($A2176,product!$A:$A,product!B:B)</f>
        <v>Beauté &amp; Hygiène</v>
      </c>
      <c r="C2176" s="20" t="str">
        <f t="array" ref="C2176">xlookup($A2176,product!$A:$A,product!C:C)</f>
        <v>Douche et Bain</v>
      </c>
      <c r="D2176" s="20" t="str">
        <f t="array" ref="D2176">xlookup($A2176,product!$A:$A,product!D:D)</f>
        <v>Savon liquide</v>
      </c>
      <c r="E2176" s="4" t="str">
        <f t="shared" si="1"/>
        <v>72809-Douche et Bain-Savon liquide</v>
      </c>
      <c r="F2176" s="4">
        <v>1.0</v>
      </c>
      <c r="G2176" s="4">
        <v>871.0</v>
      </c>
      <c r="H2176" s="4">
        <v>239.0</v>
      </c>
      <c r="I2176" s="21">
        <f t="array" ref="I2176">XLOOKUP($A2176,product!A:A,product!E:E)</f>
        <v>5.95</v>
      </c>
      <c r="J2176" s="4">
        <f t="shared" si="2"/>
        <v>1422.05</v>
      </c>
      <c r="K2176" s="22">
        <f t="shared" si="3"/>
        <v>1</v>
      </c>
      <c r="L2176" s="4">
        <f t="shared" si="4"/>
        <v>1</v>
      </c>
    </row>
    <row r="2177">
      <c r="A2177" s="23">
        <v>165917.0</v>
      </c>
      <c r="B2177" s="24" t="str">
        <f t="array" ref="B2177">xlookup($A2177,product!$A:$A,product!B:B)</f>
        <v>Beauté &amp; Hygiène</v>
      </c>
      <c r="C2177" s="24" t="str">
        <f t="array" ref="C2177">xlookup($A2177,product!$A:$A,product!C:C)</f>
        <v>Douche et Bain</v>
      </c>
      <c r="D2177" s="24" t="str">
        <f t="array" ref="D2177">xlookup($A2177,product!$A:$A,product!D:D)</f>
        <v>Savon liquide</v>
      </c>
      <c r="E2177" s="25" t="str">
        <f t="shared" si="1"/>
        <v>165917-Douche et Bain-Savon liquide</v>
      </c>
      <c r="F2177" s="25">
        <v>0.0</v>
      </c>
      <c r="G2177" s="25">
        <v>2.0</v>
      </c>
      <c r="H2177" s="25">
        <v>2.0</v>
      </c>
      <c r="I2177" s="26">
        <f t="array" ref="I2177">XLOOKUP($A2177,product!A:A,product!E:E)</f>
        <v>4.7</v>
      </c>
      <c r="J2177" s="25">
        <f t="shared" si="2"/>
        <v>9.4</v>
      </c>
      <c r="K2177" s="27">
        <f t="shared" si="3"/>
        <v>1</v>
      </c>
      <c r="L2177" s="25">
        <f t="shared" si="4"/>
        <v>1</v>
      </c>
    </row>
    <row r="2178">
      <c r="A2178" s="19">
        <v>8746.0</v>
      </c>
      <c r="B2178" s="20" t="str">
        <f t="array" ref="B2178">xlookup($A2178,product!$A:$A,product!B:B)</f>
        <v>Beauté &amp; Hygiène</v>
      </c>
      <c r="C2178" s="20" t="str">
        <f t="array" ref="C2178">xlookup($A2178,product!$A:$A,product!C:C)</f>
        <v>Douche et Bain</v>
      </c>
      <c r="D2178" s="20" t="str">
        <f t="array" ref="D2178">xlookup($A2178,product!$A:$A,product!D:D)</f>
        <v>Savon liquide</v>
      </c>
      <c r="E2178" s="4" t="str">
        <f t="shared" si="1"/>
        <v>8746-Douche et Bain-Savon liquide</v>
      </c>
      <c r="F2178" s="4">
        <v>1.0</v>
      </c>
      <c r="G2178" s="4">
        <v>2.0</v>
      </c>
      <c r="H2178" s="4">
        <v>0.0</v>
      </c>
      <c r="I2178" s="21">
        <f t="array" ref="I2178">XLOOKUP($A2178,product!A:A,product!E:E)</f>
        <v>4.14</v>
      </c>
      <c r="J2178" s="4">
        <f t="shared" si="2"/>
        <v>0</v>
      </c>
      <c r="K2178" s="22">
        <f t="shared" si="3"/>
        <v>0</v>
      </c>
      <c r="L2178" s="4">
        <f t="shared" si="4"/>
        <v>1</v>
      </c>
    </row>
    <row r="2179">
      <c r="A2179" s="23">
        <v>122374.0</v>
      </c>
      <c r="B2179" s="24" t="str">
        <f t="array" ref="B2179">xlookup($A2179,product!$A:$A,product!B:B)</f>
        <v>Beauté &amp; Hygiène</v>
      </c>
      <c r="C2179" s="24" t="str">
        <f t="array" ref="C2179">xlookup($A2179,product!$A:$A,product!C:C)</f>
        <v>Douche et Bain</v>
      </c>
      <c r="D2179" s="24" t="str">
        <f t="array" ref="D2179">xlookup($A2179,product!$A:$A,product!D:D)</f>
        <v>Savon liquide</v>
      </c>
      <c r="E2179" s="25" t="str">
        <f t="shared" si="1"/>
        <v>122374-Douche et Bain-Savon liquide</v>
      </c>
      <c r="F2179" s="25">
        <v>0.0</v>
      </c>
      <c r="G2179" s="25">
        <v>722.0</v>
      </c>
      <c r="H2179" s="25">
        <v>672.0</v>
      </c>
      <c r="I2179" s="26">
        <f t="array" ref="I2179">XLOOKUP($A2179,product!A:A,product!E:E)</f>
        <v>4.21</v>
      </c>
      <c r="J2179" s="25">
        <f t="shared" si="2"/>
        <v>2829.12</v>
      </c>
      <c r="K2179" s="27">
        <f t="shared" si="3"/>
        <v>1</v>
      </c>
      <c r="L2179" s="25">
        <f t="shared" si="4"/>
        <v>1</v>
      </c>
    </row>
    <row r="2180">
      <c r="A2180" s="19">
        <v>118166.0</v>
      </c>
      <c r="B2180" s="20" t="str">
        <f t="array" ref="B2180">xlookup($A2180,product!$A:$A,product!B:B)</f>
        <v>Beauté &amp; Hygiène</v>
      </c>
      <c r="C2180" s="20" t="str">
        <f t="array" ref="C2180">xlookup($A2180,product!$A:$A,product!C:C)</f>
        <v>Douche et Bain</v>
      </c>
      <c r="D2180" s="20" t="str">
        <f t="array" ref="D2180">xlookup($A2180,product!$A:$A,product!D:D)</f>
        <v>Savon liquide</v>
      </c>
      <c r="E2180" s="4" t="str">
        <f t="shared" si="1"/>
        <v>118166-Douche et Bain-Savon liquide</v>
      </c>
      <c r="F2180" s="4">
        <v>0.0</v>
      </c>
      <c r="G2180" s="4">
        <v>206.0</v>
      </c>
      <c r="H2180" s="4">
        <v>109.0</v>
      </c>
      <c r="I2180" s="21">
        <f t="array" ref="I2180">XLOOKUP($A2180,product!A:A,product!E:E)</f>
        <v>2.36</v>
      </c>
      <c r="J2180" s="4">
        <f t="shared" si="2"/>
        <v>257.24</v>
      </c>
      <c r="K2180" s="22">
        <f t="shared" si="3"/>
        <v>1</v>
      </c>
      <c r="L2180" s="4">
        <f t="shared" si="4"/>
        <v>1</v>
      </c>
    </row>
    <row r="2181">
      <c r="A2181" s="23">
        <v>42729.0</v>
      </c>
      <c r="B2181" s="24" t="str">
        <f t="array" ref="B2181">xlookup($A2181,product!$A:$A,product!B:B)</f>
        <v>Beauté &amp; Hygiène</v>
      </c>
      <c r="C2181" s="24" t="str">
        <f t="array" ref="C2181">xlookup($A2181,product!$A:$A,product!C:C)</f>
        <v>Douche et Bain</v>
      </c>
      <c r="D2181" s="24" t="str">
        <f t="array" ref="D2181">xlookup($A2181,product!$A:$A,product!D:D)</f>
        <v>Savon liquide</v>
      </c>
      <c r="E2181" s="25" t="str">
        <f t="shared" si="1"/>
        <v>42729-Douche et Bain-Savon liquide</v>
      </c>
      <c r="F2181" s="25">
        <v>0.0</v>
      </c>
      <c r="G2181" s="25">
        <v>392.0</v>
      </c>
      <c r="H2181" s="25">
        <v>61.0</v>
      </c>
      <c r="I2181" s="26">
        <f t="array" ref="I2181">XLOOKUP($A2181,product!A:A,product!E:E)</f>
        <v>5.4</v>
      </c>
      <c r="J2181" s="25">
        <f t="shared" si="2"/>
        <v>329.4</v>
      </c>
      <c r="K2181" s="27">
        <f t="shared" si="3"/>
        <v>1</v>
      </c>
      <c r="L2181" s="25">
        <f t="shared" si="4"/>
        <v>1</v>
      </c>
    </row>
    <row r="2182">
      <c r="A2182" s="19">
        <v>182271.0</v>
      </c>
      <c r="B2182" s="20" t="str">
        <f t="array" ref="B2182">xlookup($A2182,product!$A:$A,product!B:B)</f>
        <v>Beauté &amp; Hygiène</v>
      </c>
      <c r="C2182" s="20" t="str">
        <f t="array" ref="C2182">xlookup($A2182,product!$A:$A,product!C:C)</f>
        <v>Douche et Bain</v>
      </c>
      <c r="D2182" s="20" t="str">
        <f t="array" ref="D2182">xlookup($A2182,product!$A:$A,product!D:D)</f>
        <v>Savon liquide</v>
      </c>
      <c r="E2182" s="4" t="str">
        <f t="shared" si="1"/>
        <v>182271-Douche et Bain-Savon liquide</v>
      </c>
      <c r="F2182" s="4">
        <v>1.0</v>
      </c>
      <c r="G2182" s="4">
        <v>853.0</v>
      </c>
      <c r="H2182" s="4">
        <v>552.0</v>
      </c>
      <c r="I2182" s="21">
        <f t="array" ref="I2182">XLOOKUP($A2182,product!A:A,product!E:E)</f>
        <v>4.77</v>
      </c>
      <c r="J2182" s="4">
        <f t="shared" si="2"/>
        <v>2633.04</v>
      </c>
      <c r="K2182" s="22">
        <f t="shared" si="3"/>
        <v>1</v>
      </c>
      <c r="L2182" s="4">
        <f t="shared" si="4"/>
        <v>1</v>
      </c>
    </row>
    <row r="2183">
      <c r="A2183" s="23">
        <v>109211.0</v>
      </c>
      <c r="B2183" s="24" t="str">
        <f t="array" ref="B2183">xlookup($A2183,product!$A:$A,product!B:B)</f>
        <v>Beauté &amp; Hygiène</v>
      </c>
      <c r="C2183" s="24" t="str">
        <f t="array" ref="C2183">xlookup($A2183,product!$A:$A,product!C:C)</f>
        <v>Douche et Bain</v>
      </c>
      <c r="D2183" s="24" t="str">
        <f t="array" ref="D2183">xlookup($A2183,product!$A:$A,product!D:D)</f>
        <v>Savon liquide</v>
      </c>
      <c r="E2183" s="25" t="str">
        <f t="shared" si="1"/>
        <v>109211-Douche et Bain-Savon liquide</v>
      </c>
      <c r="F2183" s="25">
        <v>0.0</v>
      </c>
      <c r="G2183" s="25">
        <v>369.0</v>
      </c>
      <c r="H2183" s="25">
        <v>277.0</v>
      </c>
      <c r="I2183" s="26">
        <f t="array" ref="I2183">XLOOKUP($A2183,product!A:A,product!E:E)</f>
        <v>2.71</v>
      </c>
      <c r="J2183" s="25">
        <f t="shared" si="2"/>
        <v>750.67</v>
      </c>
      <c r="K2183" s="27">
        <f t="shared" si="3"/>
        <v>1</v>
      </c>
      <c r="L2183" s="25">
        <f t="shared" si="4"/>
        <v>1</v>
      </c>
    </row>
    <row r="2184">
      <c r="A2184" s="19">
        <v>192901.0</v>
      </c>
      <c r="B2184" s="20" t="str">
        <f t="array" ref="B2184">xlookup($A2184,product!$A:$A,product!B:B)</f>
        <v>Beauté &amp; Hygiène</v>
      </c>
      <c r="C2184" s="20" t="str">
        <f t="array" ref="C2184">xlookup($A2184,product!$A:$A,product!C:C)</f>
        <v>Douche et Bain</v>
      </c>
      <c r="D2184" s="20" t="str">
        <f t="array" ref="D2184">xlookup($A2184,product!$A:$A,product!D:D)</f>
        <v>Savon liquide</v>
      </c>
      <c r="E2184" s="4" t="str">
        <f t="shared" si="1"/>
        <v>192901-Douche et Bain-Savon liquide</v>
      </c>
      <c r="F2184" s="4">
        <v>1.0</v>
      </c>
      <c r="G2184" s="4">
        <v>37.0</v>
      </c>
      <c r="H2184" s="4">
        <v>11.0</v>
      </c>
      <c r="I2184" s="21">
        <f t="array" ref="I2184">XLOOKUP($A2184,product!A:A,product!E:E)</f>
        <v>10.69</v>
      </c>
      <c r="J2184" s="4">
        <f t="shared" si="2"/>
        <v>117.59</v>
      </c>
      <c r="K2184" s="22">
        <f t="shared" si="3"/>
        <v>1</v>
      </c>
      <c r="L2184" s="4">
        <f t="shared" si="4"/>
        <v>1</v>
      </c>
    </row>
    <row r="2185">
      <c r="A2185" s="23">
        <v>122379.0</v>
      </c>
      <c r="B2185" s="24" t="str">
        <f t="array" ref="B2185">xlookup($A2185,product!$A:$A,product!B:B)</f>
        <v>Beauté &amp; Hygiène</v>
      </c>
      <c r="C2185" s="24" t="str">
        <f t="array" ref="C2185">xlookup($A2185,product!$A:$A,product!C:C)</f>
        <v>Douche et Bain</v>
      </c>
      <c r="D2185" s="24" t="str">
        <f t="array" ref="D2185">xlookup($A2185,product!$A:$A,product!D:D)</f>
        <v>Savon liquide</v>
      </c>
      <c r="E2185" s="25" t="str">
        <f t="shared" si="1"/>
        <v>122379-Douche et Bain-Savon liquide</v>
      </c>
      <c r="F2185" s="25">
        <v>1.0</v>
      </c>
      <c r="G2185" s="25">
        <v>345.0</v>
      </c>
      <c r="H2185" s="25">
        <v>114.0</v>
      </c>
      <c r="I2185" s="26">
        <f t="array" ref="I2185">XLOOKUP($A2185,product!A:A,product!E:E)</f>
        <v>15.29</v>
      </c>
      <c r="J2185" s="25">
        <f t="shared" si="2"/>
        <v>1743.06</v>
      </c>
      <c r="K2185" s="27">
        <f t="shared" si="3"/>
        <v>1</v>
      </c>
      <c r="L2185" s="25">
        <f t="shared" si="4"/>
        <v>1</v>
      </c>
    </row>
    <row r="2186">
      <c r="A2186" s="19">
        <v>109891.0</v>
      </c>
      <c r="B2186" s="20" t="str">
        <f t="array" ref="B2186">xlookup($A2186,product!$A:$A,product!B:B)</f>
        <v>Beauté &amp; Hygiène</v>
      </c>
      <c r="C2186" s="20" t="str">
        <f t="array" ref="C2186">xlookup($A2186,product!$A:$A,product!C:C)</f>
        <v>Douche et Bain</v>
      </c>
      <c r="D2186" s="20" t="str">
        <f t="array" ref="D2186">xlookup($A2186,product!$A:$A,product!D:D)</f>
        <v>Bain moussant et huile</v>
      </c>
      <c r="E2186" s="4" t="str">
        <f t="shared" si="1"/>
        <v>109891-Douche et Bain-Bain moussant et huile</v>
      </c>
      <c r="F2186" s="4">
        <v>0.0</v>
      </c>
      <c r="G2186" s="4">
        <v>109.0</v>
      </c>
      <c r="H2186" s="4">
        <v>7.0</v>
      </c>
      <c r="I2186" s="21">
        <f t="array" ref="I2186">XLOOKUP($A2186,product!A:A,product!E:E)</f>
        <v>4.72</v>
      </c>
      <c r="J2186" s="4">
        <f t="shared" si="2"/>
        <v>33.04</v>
      </c>
      <c r="K2186" s="22">
        <f t="shared" si="3"/>
        <v>1</v>
      </c>
      <c r="L2186" s="4">
        <f t="shared" si="4"/>
        <v>1</v>
      </c>
    </row>
    <row r="2187">
      <c r="A2187" s="23">
        <v>125688.0</v>
      </c>
      <c r="B2187" s="24" t="str">
        <f t="array" ref="B2187">xlookup($A2187,product!$A:$A,product!B:B)</f>
        <v>Beauté &amp; Hygiène</v>
      </c>
      <c r="C2187" s="24" t="str">
        <f t="array" ref="C2187">xlookup($A2187,product!$A:$A,product!C:C)</f>
        <v>Douche et Bain</v>
      </c>
      <c r="D2187" s="24" t="str">
        <f t="array" ref="D2187">xlookup($A2187,product!$A:$A,product!D:D)</f>
        <v>Bain moussant et huile</v>
      </c>
      <c r="E2187" s="25" t="str">
        <f t="shared" si="1"/>
        <v>125688-Douche et Bain-Bain moussant et huile</v>
      </c>
      <c r="F2187" s="25">
        <v>1.0</v>
      </c>
      <c r="G2187" s="25">
        <v>277.0</v>
      </c>
      <c r="H2187" s="25">
        <v>55.0</v>
      </c>
      <c r="I2187" s="26">
        <f t="array" ref="I2187">XLOOKUP($A2187,product!A:A,product!E:E)</f>
        <v>1.18</v>
      </c>
      <c r="J2187" s="25">
        <f t="shared" si="2"/>
        <v>64.9</v>
      </c>
      <c r="K2187" s="27">
        <f t="shared" si="3"/>
        <v>1</v>
      </c>
      <c r="L2187" s="25">
        <f t="shared" si="4"/>
        <v>1</v>
      </c>
    </row>
    <row r="2188">
      <c r="A2188" s="19">
        <v>68599.0</v>
      </c>
      <c r="B2188" s="20" t="str">
        <f t="array" ref="B2188">xlookup($A2188,product!$A:$A,product!B:B)</f>
        <v>Beauté &amp; Hygiène</v>
      </c>
      <c r="C2188" s="20" t="str">
        <f t="array" ref="C2188">xlookup($A2188,product!$A:$A,product!C:C)</f>
        <v>Douche et Bain</v>
      </c>
      <c r="D2188" s="20" t="str">
        <f t="array" ref="D2188">xlookup($A2188,product!$A:$A,product!D:D)</f>
        <v>Galets et sels de bain</v>
      </c>
      <c r="E2188" s="4" t="str">
        <f t="shared" si="1"/>
        <v>68599-Douche et Bain-Galets et sels de bain</v>
      </c>
      <c r="F2188" s="4">
        <v>1.0</v>
      </c>
      <c r="G2188" s="4">
        <v>233.0</v>
      </c>
      <c r="H2188" s="4">
        <v>223.0</v>
      </c>
      <c r="I2188" s="21">
        <f t="array" ref="I2188">XLOOKUP($A2188,product!A:A,product!E:E)</f>
        <v>2.9</v>
      </c>
      <c r="J2188" s="4">
        <f t="shared" si="2"/>
        <v>646.7</v>
      </c>
      <c r="K2188" s="22">
        <f t="shared" si="3"/>
        <v>1</v>
      </c>
      <c r="L2188" s="4">
        <f t="shared" si="4"/>
        <v>1</v>
      </c>
    </row>
    <row r="2189">
      <c r="A2189" s="23">
        <v>104841.0</v>
      </c>
      <c r="B2189" s="24" t="str">
        <f t="array" ref="B2189">xlookup($A2189,product!$A:$A,product!B:B)</f>
        <v>Beauté &amp; Hygiène</v>
      </c>
      <c r="C2189" s="24" t="str">
        <f t="array" ref="C2189">xlookup($A2189,product!$A:$A,product!C:C)</f>
        <v>Douche et Bain</v>
      </c>
      <c r="D2189" s="24" t="str">
        <f t="array" ref="D2189">xlookup($A2189,product!$A:$A,product!D:D)</f>
        <v>Galets et sels de bain</v>
      </c>
      <c r="E2189" s="25" t="str">
        <f t="shared" si="1"/>
        <v>104841-Douche et Bain-Galets et sels de bain</v>
      </c>
      <c r="F2189" s="25">
        <v>0.0</v>
      </c>
      <c r="G2189" s="25">
        <v>964.0</v>
      </c>
      <c r="H2189" s="25">
        <v>645.0</v>
      </c>
      <c r="I2189" s="26">
        <f t="array" ref="I2189">XLOOKUP($A2189,product!A:A,product!E:E)</f>
        <v>6.68</v>
      </c>
      <c r="J2189" s="25">
        <f t="shared" si="2"/>
        <v>4308.6</v>
      </c>
      <c r="K2189" s="27">
        <f t="shared" si="3"/>
        <v>1</v>
      </c>
      <c r="L2189" s="25">
        <f t="shared" si="4"/>
        <v>1</v>
      </c>
    </row>
    <row r="2190">
      <c r="A2190" s="19">
        <v>20243.0</v>
      </c>
      <c r="B2190" s="20" t="str">
        <f t="array" ref="B2190">xlookup($A2190,product!$A:$A,product!B:B)</f>
        <v>Beauté &amp; Hygiène</v>
      </c>
      <c r="C2190" s="20" t="str">
        <f t="array" ref="C2190">xlookup($A2190,product!$A:$A,product!C:C)</f>
        <v>Douche et Bain</v>
      </c>
      <c r="D2190" s="20" t="str">
        <f t="array" ref="D2190">xlookup($A2190,product!$A:$A,product!D:D)</f>
        <v>Galets et sels de bain</v>
      </c>
      <c r="E2190" s="4" t="str">
        <f t="shared" si="1"/>
        <v>20243-Douche et Bain-Galets et sels de bain</v>
      </c>
      <c r="F2190" s="4">
        <v>0.0</v>
      </c>
      <c r="G2190" s="4">
        <v>938.0</v>
      </c>
      <c r="H2190" s="4">
        <v>509.0</v>
      </c>
      <c r="I2190" s="21">
        <f t="array" ref="I2190">XLOOKUP($A2190,product!A:A,product!E:E)</f>
        <v>9.53</v>
      </c>
      <c r="J2190" s="4">
        <f t="shared" si="2"/>
        <v>4850.77</v>
      </c>
      <c r="K2190" s="22">
        <f t="shared" si="3"/>
        <v>1</v>
      </c>
      <c r="L2190" s="4">
        <f t="shared" si="4"/>
        <v>1</v>
      </c>
    </row>
    <row r="2191">
      <c r="A2191" s="23">
        <v>10332.0</v>
      </c>
      <c r="B2191" s="24" t="str">
        <f t="array" ref="B2191">xlookup($A2191,product!$A:$A,product!B:B)</f>
        <v>Beauté &amp; Hygiène</v>
      </c>
      <c r="C2191" s="24" t="str">
        <f t="array" ref="C2191">xlookup($A2191,product!$A:$A,product!C:C)</f>
        <v>Douche et Bain</v>
      </c>
      <c r="D2191" s="24" t="str">
        <f t="array" ref="D2191">xlookup($A2191,product!$A:$A,product!D:D)</f>
        <v>Brosse et accessoire de bain</v>
      </c>
      <c r="E2191" s="25" t="str">
        <f t="shared" si="1"/>
        <v>10332-Douche et Bain-Brosse et accessoire de bain</v>
      </c>
      <c r="F2191" s="25">
        <v>0.0</v>
      </c>
      <c r="G2191" s="25">
        <v>963.0</v>
      </c>
      <c r="H2191" s="25">
        <v>945.0</v>
      </c>
      <c r="I2191" s="26">
        <f t="array" ref="I2191">XLOOKUP($A2191,product!A:A,product!E:E)</f>
        <v>3.07</v>
      </c>
      <c r="J2191" s="25">
        <f t="shared" si="2"/>
        <v>2901.15</v>
      </c>
      <c r="K2191" s="27">
        <f t="shared" si="3"/>
        <v>1</v>
      </c>
      <c r="L2191" s="25">
        <f t="shared" si="4"/>
        <v>1</v>
      </c>
    </row>
    <row r="2192">
      <c r="A2192" s="19">
        <v>7361.0</v>
      </c>
      <c r="B2192" s="20" t="str">
        <f t="array" ref="B2192">xlookup($A2192,product!$A:$A,product!B:B)</f>
        <v>Beauté &amp; Hygiène</v>
      </c>
      <c r="C2192" s="20" t="str">
        <f t="array" ref="C2192">xlookup($A2192,product!$A:$A,product!C:C)</f>
        <v>Douche et Bain</v>
      </c>
      <c r="D2192" s="20" t="str">
        <f t="array" ref="D2192">xlookup($A2192,product!$A:$A,product!D:D)</f>
        <v>Brosse et accessoire de bain</v>
      </c>
      <c r="E2192" s="4" t="str">
        <f t="shared" si="1"/>
        <v>7361-Douche et Bain-Brosse et accessoire de bain</v>
      </c>
      <c r="F2192" s="4">
        <v>1.0</v>
      </c>
      <c r="G2192" s="4">
        <v>104.0</v>
      </c>
      <c r="H2192" s="4">
        <v>102.0</v>
      </c>
      <c r="I2192" s="21">
        <f t="array" ref="I2192">XLOOKUP($A2192,product!A:A,product!E:E)</f>
        <v>3.65</v>
      </c>
      <c r="J2192" s="4">
        <f t="shared" si="2"/>
        <v>372.3</v>
      </c>
      <c r="K2192" s="22">
        <f t="shared" si="3"/>
        <v>1</v>
      </c>
      <c r="L2192" s="4">
        <f t="shared" si="4"/>
        <v>1</v>
      </c>
    </row>
    <row r="2193">
      <c r="A2193" s="23">
        <v>21320.0</v>
      </c>
      <c r="B2193" s="24" t="str">
        <f t="array" ref="B2193">xlookup($A2193,product!$A:$A,product!B:B)</f>
        <v>Beauté &amp; Hygiène</v>
      </c>
      <c r="C2193" s="24" t="str">
        <f t="array" ref="C2193">xlookup($A2193,product!$A:$A,product!C:C)</f>
        <v>Douche et Bain</v>
      </c>
      <c r="D2193" s="24" t="str">
        <f t="array" ref="D2193">xlookup($A2193,product!$A:$A,product!D:D)</f>
        <v>Brosse et accessoire de bain</v>
      </c>
      <c r="E2193" s="25" t="str">
        <f t="shared" si="1"/>
        <v>21320-Douche et Bain-Brosse et accessoire de bain</v>
      </c>
      <c r="F2193" s="25">
        <v>1.0</v>
      </c>
      <c r="G2193" s="25">
        <v>466.0</v>
      </c>
      <c r="H2193" s="25">
        <v>206.0</v>
      </c>
      <c r="I2193" s="26">
        <f t="array" ref="I2193">XLOOKUP($A2193,product!A:A,product!E:E)</f>
        <v>3.45</v>
      </c>
      <c r="J2193" s="25">
        <f t="shared" si="2"/>
        <v>710.7</v>
      </c>
      <c r="K2193" s="27">
        <f t="shared" si="3"/>
        <v>1</v>
      </c>
      <c r="L2193" s="25">
        <f t="shared" si="4"/>
        <v>1</v>
      </c>
    </row>
    <row r="2194">
      <c r="A2194" s="19">
        <v>7365.0</v>
      </c>
      <c r="B2194" s="20" t="str">
        <f t="array" ref="B2194">xlookup($A2194,product!$A:$A,product!B:B)</f>
        <v>Beauté &amp; Hygiène</v>
      </c>
      <c r="C2194" s="20" t="str">
        <f t="array" ref="C2194">xlookup($A2194,product!$A:$A,product!C:C)</f>
        <v>Douche et Bain</v>
      </c>
      <c r="D2194" s="20" t="str">
        <f t="array" ref="D2194">xlookup($A2194,product!$A:$A,product!D:D)</f>
        <v>Brosse et accessoire de bain</v>
      </c>
      <c r="E2194" s="4" t="str">
        <f t="shared" si="1"/>
        <v>7365-Douche et Bain-Brosse et accessoire de bain</v>
      </c>
      <c r="F2194" s="4">
        <v>0.0</v>
      </c>
      <c r="G2194" s="4">
        <v>721.0</v>
      </c>
      <c r="H2194" s="4">
        <v>663.0</v>
      </c>
      <c r="I2194" s="21">
        <f t="array" ref="I2194">XLOOKUP($A2194,product!A:A,product!E:E)</f>
        <v>8.08</v>
      </c>
      <c r="J2194" s="4">
        <f t="shared" si="2"/>
        <v>5357.04</v>
      </c>
      <c r="K2194" s="22">
        <f t="shared" si="3"/>
        <v>1</v>
      </c>
      <c r="L2194" s="4">
        <f t="shared" si="4"/>
        <v>1</v>
      </c>
    </row>
    <row r="2195">
      <c r="A2195" s="23">
        <v>7364.0</v>
      </c>
      <c r="B2195" s="24" t="str">
        <f t="array" ref="B2195">xlookup($A2195,product!$A:$A,product!B:B)</f>
        <v>Beauté &amp; Hygiène</v>
      </c>
      <c r="C2195" s="24" t="str">
        <f t="array" ref="C2195">xlookup($A2195,product!$A:$A,product!C:C)</f>
        <v>Douche et Bain</v>
      </c>
      <c r="D2195" s="24" t="str">
        <f t="array" ref="D2195">xlookup($A2195,product!$A:$A,product!D:D)</f>
        <v>Brosse et accessoire de bain</v>
      </c>
      <c r="E2195" s="25" t="str">
        <f t="shared" si="1"/>
        <v>7364-Douche et Bain-Brosse et accessoire de bain</v>
      </c>
      <c r="F2195" s="25">
        <v>0.0</v>
      </c>
      <c r="G2195" s="25">
        <v>701.0</v>
      </c>
      <c r="H2195" s="25">
        <v>283.0</v>
      </c>
      <c r="I2195" s="26">
        <f t="array" ref="I2195">XLOOKUP($A2195,product!A:A,product!E:E)</f>
        <v>8.88</v>
      </c>
      <c r="J2195" s="25">
        <f t="shared" si="2"/>
        <v>2513.04</v>
      </c>
      <c r="K2195" s="27">
        <f t="shared" si="3"/>
        <v>1</v>
      </c>
      <c r="L2195" s="25">
        <f t="shared" si="4"/>
        <v>1</v>
      </c>
    </row>
    <row r="2196">
      <c r="A2196" s="19">
        <v>7362.0</v>
      </c>
      <c r="B2196" s="20" t="str">
        <f t="array" ref="B2196">xlookup($A2196,product!$A:$A,product!B:B)</f>
        <v>Beauté &amp; Hygiène</v>
      </c>
      <c r="C2196" s="20" t="str">
        <f t="array" ref="C2196">xlookup($A2196,product!$A:$A,product!C:C)</f>
        <v>Douche et Bain</v>
      </c>
      <c r="D2196" s="20" t="str">
        <f t="array" ref="D2196">xlookup($A2196,product!$A:$A,product!D:D)</f>
        <v>Brosse et accessoire de bain</v>
      </c>
      <c r="E2196" s="4" t="str">
        <f t="shared" si="1"/>
        <v>7362-Douche et Bain-Brosse et accessoire de bain</v>
      </c>
      <c r="F2196" s="4">
        <v>0.0</v>
      </c>
      <c r="G2196" s="4">
        <v>846.0</v>
      </c>
      <c r="H2196" s="4">
        <v>783.0</v>
      </c>
      <c r="I2196" s="21">
        <f t="array" ref="I2196">XLOOKUP($A2196,product!A:A,product!E:E)</f>
        <v>6.3</v>
      </c>
      <c r="J2196" s="4">
        <f t="shared" si="2"/>
        <v>4932.9</v>
      </c>
      <c r="K2196" s="22">
        <f t="shared" si="3"/>
        <v>1</v>
      </c>
      <c r="L2196" s="4">
        <f t="shared" si="4"/>
        <v>1</v>
      </c>
    </row>
    <row r="2197">
      <c r="A2197" s="23">
        <v>117237.0</v>
      </c>
      <c r="B2197" s="24" t="str">
        <f t="array" ref="B2197">xlookup($A2197,product!$A:$A,product!B:B)</f>
        <v>Boisson</v>
      </c>
      <c r="C2197" s="24" t="str">
        <f t="array" ref="C2197">xlookup($A2197,product!$A:$A,product!C:C)</f>
        <v>Jus de grenade</v>
      </c>
      <c r="D2197" s="24" t="str">
        <f t="array" ref="D2197">xlookup($A2197,product!$A:$A,product!D:D)</f>
        <v/>
      </c>
      <c r="E2197" s="25" t="str">
        <f t="shared" si="1"/>
        <v>117237-Jus de grenade-</v>
      </c>
      <c r="F2197" s="25">
        <v>0.0</v>
      </c>
      <c r="G2197" s="25">
        <v>245.0</v>
      </c>
      <c r="H2197" s="25">
        <v>123.0</v>
      </c>
      <c r="I2197" s="26">
        <f t="array" ref="I2197">XLOOKUP($A2197,product!A:A,product!E:E)</f>
        <v>3.14</v>
      </c>
      <c r="J2197" s="25">
        <f t="shared" si="2"/>
        <v>386.22</v>
      </c>
      <c r="K2197" s="27">
        <f t="shared" si="3"/>
        <v>1</v>
      </c>
      <c r="L2197" s="25">
        <f t="shared" si="4"/>
        <v>1</v>
      </c>
    </row>
    <row r="2198">
      <c r="A2198" s="19">
        <v>19784.0</v>
      </c>
      <c r="B2198" s="20" t="str">
        <f t="array" ref="B2198">xlookup($A2198,product!$A:$A,product!B:B)</f>
        <v>Boisson</v>
      </c>
      <c r="C2198" s="20" t="str">
        <f t="array" ref="C2198">xlookup($A2198,product!$A:$A,product!C:C)</f>
        <v>Jus de grenade</v>
      </c>
      <c r="D2198" s="20" t="str">
        <f t="array" ref="D2198">xlookup($A2198,product!$A:$A,product!D:D)</f>
        <v/>
      </c>
      <c r="E2198" s="4" t="str">
        <f t="shared" si="1"/>
        <v>19784-Jus de grenade-</v>
      </c>
      <c r="F2198" s="4">
        <v>0.0</v>
      </c>
      <c r="G2198" s="4">
        <v>903.0</v>
      </c>
      <c r="H2198" s="4">
        <v>781.0</v>
      </c>
      <c r="I2198" s="21">
        <f t="array" ref="I2198">XLOOKUP($A2198,product!A:A,product!E:E)</f>
        <v>4</v>
      </c>
      <c r="J2198" s="4">
        <f t="shared" si="2"/>
        <v>3124</v>
      </c>
      <c r="K2198" s="22">
        <f t="shared" si="3"/>
        <v>1</v>
      </c>
      <c r="L2198" s="4">
        <f t="shared" si="4"/>
        <v>1</v>
      </c>
    </row>
    <row r="2199">
      <c r="A2199" s="23">
        <v>9329.0</v>
      </c>
      <c r="B2199" s="24" t="str">
        <f t="array" ref="B2199">xlookup($A2199,product!$A:$A,product!B:B)</f>
        <v>Boisson</v>
      </c>
      <c r="C2199" s="24" t="str">
        <f t="array" ref="C2199">xlookup($A2199,product!$A:$A,product!C:C)</f>
        <v>Jus de grenade</v>
      </c>
      <c r="D2199" s="24" t="str">
        <f t="array" ref="D2199">xlookup($A2199,product!$A:$A,product!D:D)</f>
        <v/>
      </c>
      <c r="E2199" s="25" t="str">
        <f t="shared" si="1"/>
        <v>9329-Jus de grenade-</v>
      </c>
      <c r="F2199" s="25">
        <v>1.0</v>
      </c>
      <c r="G2199" s="25">
        <v>274.0</v>
      </c>
      <c r="H2199" s="25">
        <v>147.0</v>
      </c>
      <c r="I2199" s="26">
        <f t="array" ref="I2199">XLOOKUP($A2199,product!A:A,product!E:E)</f>
        <v>3.55</v>
      </c>
      <c r="J2199" s="25">
        <f t="shared" si="2"/>
        <v>521.85</v>
      </c>
      <c r="K2199" s="27">
        <f t="shared" si="3"/>
        <v>1</v>
      </c>
      <c r="L2199" s="25">
        <f t="shared" si="4"/>
        <v>1</v>
      </c>
    </row>
    <row r="2200">
      <c r="A2200" s="19">
        <v>10859.0</v>
      </c>
      <c r="B2200" s="20" t="str">
        <f t="array" ref="B2200">xlookup($A2200,product!$A:$A,product!B:B)</f>
        <v>Maison</v>
      </c>
      <c r="C2200" s="20" t="str">
        <f t="array" ref="C2200">xlookup($A2200,product!$A:$A,product!C:C)</f>
        <v>Salle de bains</v>
      </c>
      <c r="D2200" s="20" t="str">
        <f t="array" ref="D2200">xlookup($A2200,product!$A:$A,product!D:D)</f>
        <v>Filtres de douche</v>
      </c>
      <c r="E2200" s="4" t="str">
        <f t="shared" si="1"/>
        <v>10859-Salle de bains-Filtres de douche</v>
      </c>
      <c r="F2200" s="4">
        <v>1.0</v>
      </c>
      <c r="G2200" s="4">
        <v>980.0</v>
      </c>
      <c r="H2200" s="4">
        <v>151.0</v>
      </c>
      <c r="I2200" s="21">
        <f t="array" ref="I2200">XLOOKUP($A2200,product!A:A,product!E:E)</f>
        <v>42.51</v>
      </c>
      <c r="J2200" s="4">
        <f t="shared" si="2"/>
        <v>6419.01</v>
      </c>
      <c r="K2200" s="22">
        <f t="shared" si="3"/>
        <v>1</v>
      </c>
      <c r="L2200" s="4">
        <f t="shared" si="4"/>
        <v>1</v>
      </c>
    </row>
    <row r="2201">
      <c r="A2201" s="23">
        <v>118329.0</v>
      </c>
      <c r="B2201" s="24" t="str">
        <f t="array" ref="B2201">xlookup($A2201,product!$A:$A,product!B:B)</f>
        <v>Maison</v>
      </c>
      <c r="C2201" s="24" t="str">
        <f t="array" ref="C2201">xlookup($A2201,product!$A:$A,product!C:C)</f>
        <v>Salle de bains</v>
      </c>
      <c r="D2201" s="24" t="str">
        <f t="array" ref="D2201">xlookup($A2201,product!$A:$A,product!D:D)</f>
        <v>Distributeur de savon</v>
      </c>
      <c r="E2201" s="25" t="str">
        <f t="shared" si="1"/>
        <v>118329-Salle de bains-Distributeur de savon</v>
      </c>
      <c r="F2201" s="25">
        <v>0.0</v>
      </c>
      <c r="G2201" s="25">
        <v>712.0</v>
      </c>
      <c r="H2201" s="25">
        <v>92.0</v>
      </c>
      <c r="I2201" s="26">
        <f t="array" ref="I2201">XLOOKUP($A2201,product!A:A,product!E:E)</f>
        <v>2.97</v>
      </c>
      <c r="J2201" s="25">
        <f t="shared" si="2"/>
        <v>273.24</v>
      </c>
      <c r="K2201" s="27">
        <f t="shared" si="3"/>
        <v>1</v>
      </c>
      <c r="L2201" s="25">
        <f t="shared" si="4"/>
        <v>1</v>
      </c>
    </row>
    <row r="2202">
      <c r="A2202" s="19">
        <v>105169.0</v>
      </c>
      <c r="B2202" s="20" t="str">
        <f t="array" ref="B2202">xlookup($A2202,product!$A:$A,product!B:B)</f>
        <v>Maison</v>
      </c>
      <c r="C2202" s="20" t="str">
        <f t="array" ref="C2202">xlookup($A2202,product!$A:$A,product!C:C)</f>
        <v>Salle de bains</v>
      </c>
      <c r="D2202" s="20" t="str">
        <f t="array" ref="D2202">xlookup($A2202,product!$A:$A,product!D:D)</f>
        <v>Distributeur de savon</v>
      </c>
      <c r="E2202" s="4" t="str">
        <f t="shared" si="1"/>
        <v>105169-Salle de bains-Distributeur de savon</v>
      </c>
      <c r="F2202" s="4">
        <v>1.0</v>
      </c>
      <c r="G2202" s="4">
        <v>682.0</v>
      </c>
      <c r="H2202" s="4">
        <v>214.0</v>
      </c>
      <c r="I2202" s="21">
        <f t="array" ref="I2202">XLOOKUP($A2202,product!A:A,product!E:E)</f>
        <v>3.15</v>
      </c>
      <c r="J2202" s="4">
        <f t="shared" si="2"/>
        <v>674.1</v>
      </c>
      <c r="K2202" s="22">
        <f t="shared" si="3"/>
        <v>1</v>
      </c>
      <c r="L2202" s="4">
        <f t="shared" si="4"/>
        <v>1</v>
      </c>
    </row>
    <row r="2203">
      <c r="A2203" s="23">
        <v>90567.0</v>
      </c>
      <c r="B2203" s="24" t="str">
        <f t="array" ref="B2203">xlookup($A2203,product!$A:$A,product!B:B)</f>
        <v>Maison</v>
      </c>
      <c r="C2203" s="24" t="str">
        <f t="array" ref="C2203">xlookup($A2203,product!$A:$A,product!C:C)</f>
        <v>Salle de bains</v>
      </c>
      <c r="D2203" s="24" t="str">
        <f t="array" ref="D2203">xlookup($A2203,product!$A:$A,product!D:D)</f>
        <v>Distributeur de savon</v>
      </c>
      <c r="E2203" s="25" t="str">
        <f t="shared" si="1"/>
        <v>90567-Salle de bains-Distributeur de savon</v>
      </c>
      <c r="F2203" s="25">
        <v>1.0</v>
      </c>
      <c r="G2203" s="25">
        <v>574.0</v>
      </c>
      <c r="H2203" s="25">
        <v>355.0</v>
      </c>
      <c r="I2203" s="26">
        <f t="array" ref="I2203">XLOOKUP($A2203,product!A:A,product!E:E)</f>
        <v>11.62</v>
      </c>
      <c r="J2203" s="25">
        <f t="shared" si="2"/>
        <v>4125.1</v>
      </c>
      <c r="K2203" s="27">
        <f t="shared" si="3"/>
        <v>1</v>
      </c>
      <c r="L2203" s="25">
        <f t="shared" si="4"/>
        <v>1</v>
      </c>
    </row>
    <row r="2204">
      <c r="A2204" s="19">
        <v>46672.0</v>
      </c>
      <c r="B2204" s="20" t="str">
        <f t="array" ref="B2204">xlookup($A2204,product!$A:$A,product!B:B)</f>
        <v>Maison</v>
      </c>
      <c r="C2204" s="20" t="str">
        <f t="array" ref="C2204">xlookup($A2204,product!$A:$A,product!C:C)</f>
        <v>Salle de bains</v>
      </c>
      <c r="D2204" s="20" t="str">
        <f t="array" ref="D2204">xlookup($A2204,product!$A:$A,product!D:D)</f>
        <v>Rangement salle de bains</v>
      </c>
      <c r="E2204" s="4" t="str">
        <f t="shared" si="1"/>
        <v>46672-Salle de bains-Rangement salle de bains</v>
      </c>
      <c r="F2204" s="4">
        <v>0.0</v>
      </c>
      <c r="G2204" s="4">
        <v>77.0</v>
      </c>
      <c r="H2204" s="4">
        <v>11.0</v>
      </c>
      <c r="I2204" s="21">
        <f t="array" ref="I2204">XLOOKUP($A2204,product!A:A,product!E:E)</f>
        <v>1.18</v>
      </c>
      <c r="J2204" s="4">
        <f t="shared" si="2"/>
        <v>12.98</v>
      </c>
      <c r="K2204" s="22">
        <f t="shared" si="3"/>
        <v>1</v>
      </c>
      <c r="L2204" s="4">
        <f t="shared" si="4"/>
        <v>1</v>
      </c>
    </row>
    <row r="2205">
      <c r="A2205" s="23">
        <v>118229.0</v>
      </c>
      <c r="B2205" s="24" t="str">
        <f t="array" ref="B2205">xlookup($A2205,product!$A:$A,product!B:B)</f>
        <v>Maison</v>
      </c>
      <c r="C2205" s="24" t="str">
        <f t="array" ref="C2205">xlookup($A2205,product!$A:$A,product!C:C)</f>
        <v>Salle de bains</v>
      </c>
      <c r="D2205" s="24" t="str">
        <f t="array" ref="D2205">xlookup($A2205,product!$A:$A,product!D:D)</f>
        <v>Porte-savon et accessoires</v>
      </c>
      <c r="E2205" s="25" t="str">
        <f t="shared" si="1"/>
        <v>118229-Salle de bains-Porte-savon et accessoires</v>
      </c>
      <c r="F2205" s="25">
        <v>1.0</v>
      </c>
      <c r="G2205" s="25">
        <v>664.0</v>
      </c>
      <c r="H2205" s="25">
        <v>61.0</v>
      </c>
      <c r="I2205" s="26">
        <f t="array" ref="I2205">XLOOKUP($A2205,product!A:A,product!E:E)</f>
        <v>2.63</v>
      </c>
      <c r="J2205" s="25">
        <f t="shared" si="2"/>
        <v>160.43</v>
      </c>
      <c r="K2205" s="27">
        <f t="shared" si="3"/>
        <v>1</v>
      </c>
      <c r="L2205" s="25">
        <f t="shared" si="4"/>
        <v>1</v>
      </c>
    </row>
    <row r="2206">
      <c r="A2206" s="19">
        <v>193230.0</v>
      </c>
      <c r="B2206" s="20" t="str">
        <f t="array" ref="B2206">xlookup($A2206,product!$A:$A,product!B:B)</f>
        <v>Maison</v>
      </c>
      <c r="C2206" s="20" t="str">
        <f t="array" ref="C2206">xlookup($A2206,product!$A:$A,product!C:C)</f>
        <v>Salle de bains</v>
      </c>
      <c r="D2206" s="20" t="str">
        <f t="array" ref="D2206">xlookup($A2206,product!$A:$A,product!D:D)</f>
        <v>Porte-savon et accessoires</v>
      </c>
      <c r="E2206" s="4" t="str">
        <f t="shared" si="1"/>
        <v>193230-Salle de bains-Porte-savon et accessoires</v>
      </c>
      <c r="F2206" s="4">
        <v>1.0</v>
      </c>
      <c r="G2206" s="4">
        <v>701.0</v>
      </c>
      <c r="H2206" s="4">
        <v>166.0</v>
      </c>
      <c r="I2206" s="21">
        <f t="array" ref="I2206">XLOOKUP($A2206,product!A:A,product!E:E)</f>
        <v>2.81</v>
      </c>
      <c r="J2206" s="4">
        <f t="shared" si="2"/>
        <v>466.46</v>
      </c>
      <c r="K2206" s="22">
        <f t="shared" si="3"/>
        <v>1</v>
      </c>
      <c r="L2206" s="4">
        <f t="shared" si="4"/>
        <v>1</v>
      </c>
    </row>
    <row r="2207">
      <c r="A2207" s="23">
        <v>193254.0</v>
      </c>
      <c r="B2207" s="24" t="str">
        <f t="array" ref="B2207">xlookup($A2207,product!$A:$A,product!B:B)</f>
        <v>Maison</v>
      </c>
      <c r="C2207" s="24" t="str">
        <f t="array" ref="C2207">xlookup($A2207,product!$A:$A,product!C:C)</f>
        <v>Salle de bains</v>
      </c>
      <c r="D2207" s="24" t="str">
        <f t="array" ref="D2207">xlookup($A2207,product!$A:$A,product!D:D)</f>
        <v>Porte-savon et accessoires</v>
      </c>
      <c r="E2207" s="25" t="str">
        <f t="shared" si="1"/>
        <v>193254-Salle de bains-Porte-savon et accessoires</v>
      </c>
      <c r="F2207" s="25">
        <v>0.0</v>
      </c>
      <c r="G2207" s="25">
        <v>315.0</v>
      </c>
      <c r="H2207" s="25">
        <v>34.0</v>
      </c>
      <c r="I2207" s="26">
        <f t="array" ref="I2207">XLOOKUP($A2207,product!A:A,product!E:E)</f>
        <v>3.25</v>
      </c>
      <c r="J2207" s="25">
        <f t="shared" si="2"/>
        <v>110.5</v>
      </c>
      <c r="K2207" s="27">
        <f t="shared" si="3"/>
        <v>1</v>
      </c>
      <c r="L2207" s="25">
        <f t="shared" si="4"/>
        <v>1</v>
      </c>
    </row>
    <row r="2208">
      <c r="A2208" s="19">
        <v>113228.0</v>
      </c>
      <c r="B2208" s="20" t="str">
        <f t="array" ref="B2208">xlookup($A2208,product!$A:$A,product!B:B)</f>
        <v>Maison</v>
      </c>
      <c r="C2208" s="20" t="str">
        <f t="array" ref="C2208">xlookup($A2208,product!$A:$A,product!C:C)</f>
        <v>Salle de bains</v>
      </c>
      <c r="D2208" s="20" t="str">
        <f t="array" ref="D2208">xlookup($A2208,product!$A:$A,product!D:D)</f>
        <v>Porte-savon et accessoires</v>
      </c>
      <c r="E2208" s="4" t="str">
        <f t="shared" si="1"/>
        <v>113228-Salle de bains-Porte-savon et accessoires</v>
      </c>
      <c r="F2208" s="4">
        <v>1.0</v>
      </c>
      <c r="G2208" s="4">
        <v>665.0</v>
      </c>
      <c r="H2208" s="4">
        <v>593.0</v>
      </c>
      <c r="I2208" s="21">
        <f t="array" ref="I2208">XLOOKUP($A2208,product!A:A,product!E:E)</f>
        <v>1.35</v>
      </c>
      <c r="J2208" s="4">
        <f t="shared" si="2"/>
        <v>800.55</v>
      </c>
      <c r="K2208" s="22">
        <f t="shared" si="3"/>
        <v>1</v>
      </c>
      <c r="L2208" s="4">
        <f t="shared" si="4"/>
        <v>1</v>
      </c>
    </row>
    <row r="2209">
      <c r="A2209" s="23">
        <v>193193.0</v>
      </c>
      <c r="B2209" s="24" t="str">
        <f t="array" ref="B2209">xlookup($A2209,product!$A:$A,product!B:B)</f>
        <v>Maison</v>
      </c>
      <c r="C2209" s="24" t="str">
        <f t="array" ref="C2209">xlookup($A2209,product!$A:$A,product!C:C)</f>
        <v>Salle de bains</v>
      </c>
      <c r="D2209" s="24" t="str">
        <f t="array" ref="D2209">xlookup($A2209,product!$A:$A,product!D:D)</f>
        <v>Porte-savon et accessoires</v>
      </c>
      <c r="E2209" s="25" t="str">
        <f t="shared" si="1"/>
        <v>193193-Salle de bains-Porte-savon et accessoires</v>
      </c>
      <c r="F2209" s="25">
        <v>1.0</v>
      </c>
      <c r="G2209" s="25">
        <v>930.0</v>
      </c>
      <c r="H2209" s="25">
        <v>117.0</v>
      </c>
      <c r="I2209" s="26">
        <f t="array" ref="I2209">XLOOKUP($A2209,product!A:A,product!E:E)</f>
        <v>3.25</v>
      </c>
      <c r="J2209" s="25">
        <f t="shared" si="2"/>
        <v>380.25</v>
      </c>
      <c r="K2209" s="27">
        <f t="shared" si="3"/>
        <v>1</v>
      </c>
      <c r="L2209" s="25">
        <f t="shared" si="4"/>
        <v>1</v>
      </c>
    </row>
    <row r="2210">
      <c r="A2210" s="19">
        <v>113223.0</v>
      </c>
      <c r="B2210" s="20" t="str">
        <f t="array" ref="B2210">xlookup($A2210,product!$A:$A,product!B:B)</f>
        <v>Maison</v>
      </c>
      <c r="C2210" s="20" t="str">
        <f t="array" ref="C2210">xlookup($A2210,product!$A:$A,product!C:C)</f>
        <v>Salle de bains</v>
      </c>
      <c r="D2210" s="20" t="str">
        <f t="array" ref="D2210">xlookup($A2210,product!$A:$A,product!D:D)</f>
        <v>Porte-savon et accessoires</v>
      </c>
      <c r="E2210" s="4" t="str">
        <f t="shared" si="1"/>
        <v>113223-Salle de bains-Porte-savon et accessoires</v>
      </c>
      <c r="F2210" s="4">
        <v>0.0</v>
      </c>
      <c r="G2210" s="4">
        <v>329.0</v>
      </c>
      <c r="H2210" s="4">
        <v>216.0</v>
      </c>
      <c r="I2210" s="21">
        <f t="array" ref="I2210">XLOOKUP($A2210,product!A:A,product!E:E)</f>
        <v>1.49</v>
      </c>
      <c r="J2210" s="4">
        <f t="shared" si="2"/>
        <v>321.84</v>
      </c>
      <c r="K2210" s="22">
        <f t="shared" si="3"/>
        <v>1</v>
      </c>
      <c r="L2210" s="4">
        <f t="shared" si="4"/>
        <v>1</v>
      </c>
    </row>
    <row r="2211">
      <c r="A2211" s="23">
        <v>113227.0</v>
      </c>
      <c r="B2211" s="24" t="str">
        <f t="array" ref="B2211">xlookup($A2211,product!$A:$A,product!B:B)</f>
        <v>Maison</v>
      </c>
      <c r="C2211" s="24" t="str">
        <f t="array" ref="C2211">xlookup($A2211,product!$A:$A,product!C:C)</f>
        <v>Salle de bains</v>
      </c>
      <c r="D2211" s="24" t="str">
        <f t="array" ref="D2211">xlookup($A2211,product!$A:$A,product!D:D)</f>
        <v>Porte-savon et accessoires</v>
      </c>
      <c r="E2211" s="25" t="str">
        <f t="shared" si="1"/>
        <v>113227-Salle de bains-Porte-savon et accessoires</v>
      </c>
      <c r="F2211" s="25">
        <v>0.0</v>
      </c>
      <c r="G2211" s="25">
        <v>383.0</v>
      </c>
      <c r="H2211" s="25">
        <v>125.0</v>
      </c>
      <c r="I2211" s="26">
        <f t="array" ref="I2211">XLOOKUP($A2211,product!A:A,product!E:E)</f>
        <v>1.35</v>
      </c>
      <c r="J2211" s="25">
        <f t="shared" si="2"/>
        <v>168.75</v>
      </c>
      <c r="K2211" s="27">
        <f t="shared" si="3"/>
        <v>1</v>
      </c>
      <c r="L2211" s="25">
        <f t="shared" si="4"/>
        <v>1</v>
      </c>
    </row>
    <row r="2212">
      <c r="A2212" s="19">
        <v>114198.0</v>
      </c>
      <c r="B2212" s="20" t="str">
        <f t="array" ref="B2212">xlookup($A2212,product!$A:$A,product!B:B)</f>
        <v>Maison</v>
      </c>
      <c r="C2212" s="20" t="str">
        <f t="array" ref="C2212">xlookup($A2212,product!$A:$A,product!C:C)</f>
        <v>Salle de bains</v>
      </c>
      <c r="D2212" s="20" t="str">
        <f t="array" ref="D2212">xlookup($A2212,product!$A:$A,product!D:D)</f>
        <v>Porte-savon et accessoires</v>
      </c>
      <c r="E2212" s="4" t="str">
        <f t="shared" si="1"/>
        <v>114198-Salle de bains-Porte-savon et accessoires</v>
      </c>
      <c r="F2212" s="4">
        <v>0.0</v>
      </c>
      <c r="G2212" s="4">
        <v>446.0</v>
      </c>
      <c r="H2212" s="4">
        <v>108.0</v>
      </c>
      <c r="I2212" s="21">
        <f t="array" ref="I2212">XLOOKUP($A2212,product!A:A,product!E:E)</f>
        <v>1.04</v>
      </c>
      <c r="J2212" s="4">
        <f t="shared" si="2"/>
        <v>112.32</v>
      </c>
      <c r="K2212" s="22">
        <f t="shared" si="3"/>
        <v>1</v>
      </c>
      <c r="L2212" s="4">
        <f t="shared" si="4"/>
        <v>1</v>
      </c>
    </row>
    <row r="2213">
      <c r="A2213" s="23">
        <v>100451.0</v>
      </c>
      <c r="B2213" s="24" t="str">
        <f t="array" ref="B2213">xlookup($A2213,product!$A:$A,product!B:B)</f>
        <v>Maison</v>
      </c>
      <c r="C2213" s="24" t="str">
        <f t="array" ref="C2213">xlookup($A2213,product!$A:$A,product!C:C)</f>
        <v>Salle de bains</v>
      </c>
      <c r="D2213" s="24" t="str">
        <f t="array" ref="D2213">xlookup($A2213,product!$A:$A,product!D:D)</f>
        <v>Porte-savon et accessoires</v>
      </c>
      <c r="E2213" s="25" t="str">
        <f t="shared" si="1"/>
        <v>100451-Salle de bains-Porte-savon et accessoires</v>
      </c>
      <c r="F2213" s="25">
        <v>0.0</v>
      </c>
      <c r="G2213" s="25">
        <v>311.0</v>
      </c>
      <c r="H2213" s="25">
        <v>302.0</v>
      </c>
      <c r="I2213" s="26">
        <f t="array" ref="I2213">XLOOKUP($A2213,product!A:A,product!E:E)</f>
        <v>1.67</v>
      </c>
      <c r="J2213" s="25">
        <f t="shared" si="2"/>
        <v>504.34</v>
      </c>
      <c r="K2213" s="27">
        <f t="shared" si="3"/>
        <v>1</v>
      </c>
      <c r="L2213" s="25">
        <f t="shared" si="4"/>
        <v>1</v>
      </c>
    </row>
    <row r="2214">
      <c r="A2214" s="19">
        <v>100446.0</v>
      </c>
      <c r="B2214" s="20" t="str">
        <f t="array" ref="B2214">xlookup($A2214,product!$A:$A,product!B:B)</f>
        <v>Maison</v>
      </c>
      <c r="C2214" s="20" t="str">
        <f t="array" ref="C2214">xlookup($A2214,product!$A:$A,product!C:C)</f>
        <v>Salle de bains</v>
      </c>
      <c r="D2214" s="20" t="str">
        <f t="array" ref="D2214">xlookup($A2214,product!$A:$A,product!D:D)</f>
        <v>Porte-savon et accessoires</v>
      </c>
      <c r="E2214" s="4" t="str">
        <f t="shared" si="1"/>
        <v>100446-Salle de bains-Porte-savon et accessoires</v>
      </c>
      <c r="F2214" s="4">
        <v>1.0</v>
      </c>
      <c r="G2214" s="4">
        <v>744.0</v>
      </c>
      <c r="H2214" s="4">
        <v>622.0</v>
      </c>
      <c r="I2214" s="21">
        <f t="array" ref="I2214">XLOOKUP($A2214,product!A:A,product!E:E)</f>
        <v>1.12</v>
      </c>
      <c r="J2214" s="4">
        <f t="shared" si="2"/>
        <v>696.64</v>
      </c>
      <c r="K2214" s="22">
        <f t="shared" si="3"/>
        <v>1</v>
      </c>
      <c r="L2214" s="4">
        <f t="shared" si="4"/>
        <v>1</v>
      </c>
    </row>
    <row r="2215">
      <c r="A2215" s="23">
        <v>193253.0</v>
      </c>
      <c r="B2215" s="24" t="str">
        <f t="array" ref="B2215">xlookup($A2215,product!$A:$A,product!B:B)</f>
        <v>Maison</v>
      </c>
      <c r="C2215" s="24" t="str">
        <f t="array" ref="C2215">xlookup($A2215,product!$A:$A,product!C:C)</f>
        <v>Salle de bains</v>
      </c>
      <c r="D2215" s="24" t="str">
        <f t="array" ref="D2215">xlookup($A2215,product!$A:$A,product!D:D)</f>
        <v>Porte-savon et accessoires</v>
      </c>
      <c r="E2215" s="25" t="str">
        <f t="shared" si="1"/>
        <v>193253-Salle de bains-Porte-savon et accessoires</v>
      </c>
      <c r="F2215" s="25">
        <v>1.0</v>
      </c>
      <c r="G2215" s="25">
        <v>908.0</v>
      </c>
      <c r="H2215" s="25">
        <v>277.0</v>
      </c>
      <c r="I2215" s="26">
        <f t="array" ref="I2215">XLOOKUP($A2215,product!A:A,product!E:E)</f>
        <v>3.25</v>
      </c>
      <c r="J2215" s="25">
        <f t="shared" si="2"/>
        <v>900.25</v>
      </c>
      <c r="K2215" s="27">
        <f t="shared" si="3"/>
        <v>1</v>
      </c>
      <c r="L2215" s="25">
        <f t="shared" si="4"/>
        <v>1</v>
      </c>
    </row>
    <row r="2216">
      <c r="A2216" s="19">
        <v>82432.0</v>
      </c>
      <c r="B2216" s="20" t="str">
        <f t="array" ref="B2216">xlookup($A2216,product!$A:$A,product!B:B)</f>
        <v>Maison</v>
      </c>
      <c r="C2216" s="20" t="str">
        <f t="array" ref="C2216">xlookup($A2216,product!$A:$A,product!C:C)</f>
        <v>Salle de bains</v>
      </c>
      <c r="D2216" s="20" t="str">
        <f t="array" ref="D2216">xlookup($A2216,product!$A:$A,product!D:D)</f>
        <v>Porte-savon et accessoires</v>
      </c>
      <c r="E2216" s="4" t="str">
        <f t="shared" si="1"/>
        <v>82432-Salle de bains-Porte-savon et accessoires</v>
      </c>
      <c r="F2216" s="4">
        <v>1.0</v>
      </c>
      <c r="G2216" s="4">
        <v>682.0</v>
      </c>
      <c r="H2216" s="4">
        <v>679.0</v>
      </c>
      <c r="I2216" s="21">
        <f t="array" ref="I2216">XLOOKUP($A2216,product!A:A,product!E:E)</f>
        <v>1.86</v>
      </c>
      <c r="J2216" s="4">
        <f t="shared" si="2"/>
        <v>1262.94</v>
      </c>
      <c r="K2216" s="22">
        <f t="shared" si="3"/>
        <v>1</v>
      </c>
      <c r="L2216" s="4">
        <f t="shared" si="4"/>
        <v>1</v>
      </c>
    </row>
    <row r="2217">
      <c r="A2217" s="23">
        <v>122703.0</v>
      </c>
      <c r="B2217" s="24" t="str">
        <f t="array" ref="B2217">xlookup($A2217,product!$A:$A,product!B:B)</f>
        <v>Beauté &amp; Hygiène</v>
      </c>
      <c r="C2217" s="24" t="str">
        <f t="array" ref="C2217">xlookup($A2217,product!$A:$A,product!C:C)</f>
        <v>Soins Solaires</v>
      </c>
      <c r="D2217" s="24" t="str">
        <f t="array" ref="D2217">xlookup($A2217,product!$A:$A,product!D:D)</f>
        <v>Crèmes solaires teintées</v>
      </c>
      <c r="E2217" s="25" t="str">
        <f t="shared" si="1"/>
        <v>122703-Soins Solaires-Crèmes solaires teintées</v>
      </c>
      <c r="F2217" s="25">
        <v>0.0</v>
      </c>
      <c r="G2217" s="25">
        <v>799.0</v>
      </c>
      <c r="H2217" s="25">
        <v>74.0</v>
      </c>
      <c r="I2217" s="26">
        <f t="array" ref="I2217">XLOOKUP($A2217,product!A:A,product!E:E)</f>
        <v>12.32</v>
      </c>
      <c r="J2217" s="25">
        <f t="shared" si="2"/>
        <v>911.68</v>
      </c>
      <c r="K2217" s="27">
        <f t="shared" si="3"/>
        <v>1</v>
      </c>
      <c r="L2217" s="25">
        <f t="shared" si="4"/>
        <v>1</v>
      </c>
    </row>
    <row r="2218">
      <c r="A2218" s="19">
        <v>129410.0</v>
      </c>
      <c r="B2218" s="20" t="str">
        <f t="array" ref="B2218">xlookup($A2218,product!$A:$A,product!B:B)</f>
        <v>Beauté &amp; Hygiène</v>
      </c>
      <c r="C2218" s="20" t="str">
        <f t="array" ref="C2218">xlookup($A2218,product!$A:$A,product!C:C)</f>
        <v>Soins Solaires</v>
      </c>
      <c r="D2218" s="20" t="str">
        <f t="array" ref="D2218">xlookup($A2218,product!$A:$A,product!D:D)</f>
        <v>Crèmes solaires teintées</v>
      </c>
      <c r="E2218" s="4" t="str">
        <f t="shared" si="1"/>
        <v>129410-Soins Solaires-Crèmes solaires teintées</v>
      </c>
      <c r="F2218" s="4">
        <v>0.0</v>
      </c>
      <c r="G2218" s="4">
        <v>425.0</v>
      </c>
      <c r="H2218" s="4">
        <v>315.0</v>
      </c>
      <c r="I2218" s="21">
        <f t="array" ref="I2218">XLOOKUP($A2218,product!A:A,product!E:E)</f>
        <v>11.15</v>
      </c>
      <c r="J2218" s="4">
        <f t="shared" si="2"/>
        <v>3512.25</v>
      </c>
      <c r="K2218" s="22">
        <f t="shared" si="3"/>
        <v>1</v>
      </c>
      <c r="L2218" s="4">
        <f t="shared" si="4"/>
        <v>1</v>
      </c>
    </row>
    <row r="2219">
      <c r="A2219" s="23">
        <v>103236.0</v>
      </c>
      <c r="B2219" s="24" t="str">
        <f t="array" ref="B2219">xlookup($A2219,product!$A:$A,product!B:B)</f>
        <v>Beauté &amp; Hygiène</v>
      </c>
      <c r="C2219" s="24" t="str">
        <f t="array" ref="C2219">xlookup($A2219,product!$A:$A,product!C:C)</f>
        <v>Soins du corps</v>
      </c>
      <c r="D2219" s="24" t="str">
        <f t="array" ref="D2219">xlookup($A2219,product!$A:$A,product!D:D)</f>
        <v>Gommage</v>
      </c>
      <c r="E2219" s="25" t="str">
        <f t="shared" si="1"/>
        <v>103236-Soins du corps-Gommage</v>
      </c>
      <c r="F2219" s="25">
        <v>1.0</v>
      </c>
      <c r="G2219" s="25">
        <v>768.0</v>
      </c>
      <c r="H2219" s="25">
        <v>687.0</v>
      </c>
      <c r="I2219" s="26">
        <f t="array" ref="I2219">XLOOKUP($A2219,product!A:A,product!E:E)</f>
        <v>4.93</v>
      </c>
      <c r="J2219" s="25">
        <f t="shared" si="2"/>
        <v>3386.91</v>
      </c>
      <c r="K2219" s="27">
        <f t="shared" si="3"/>
        <v>1</v>
      </c>
      <c r="L2219" s="25">
        <f t="shared" si="4"/>
        <v>1</v>
      </c>
    </row>
    <row r="2220">
      <c r="A2220" s="19">
        <v>127534.0</v>
      </c>
      <c r="B2220" s="20" t="str">
        <f t="array" ref="B2220">xlookup($A2220,product!$A:$A,product!B:B)</f>
        <v>Beauté &amp; Hygiène</v>
      </c>
      <c r="C2220" s="20" t="str">
        <f t="array" ref="C2220">xlookup($A2220,product!$A:$A,product!C:C)</f>
        <v>Soins du corps</v>
      </c>
      <c r="D2220" s="20" t="str">
        <f t="array" ref="D2220">xlookup($A2220,product!$A:$A,product!D:D)</f>
        <v>Gommage</v>
      </c>
      <c r="E2220" s="4" t="str">
        <f t="shared" si="1"/>
        <v>127534-Soins du corps-Gommage</v>
      </c>
      <c r="F2220" s="4">
        <v>1.0</v>
      </c>
      <c r="G2220" s="4">
        <v>323.0</v>
      </c>
      <c r="H2220" s="4">
        <v>49.0</v>
      </c>
      <c r="I2220" s="21">
        <f t="array" ref="I2220">XLOOKUP($A2220,product!A:A,product!E:E)</f>
        <v>7.37</v>
      </c>
      <c r="J2220" s="4">
        <f t="shared" si="2"/>
        <v>361.13</v>
      </c>
      <c r="K2220" s="22">
        <f t="shared" si="3"/>
        <v>1</v>
      </c>
      <c r="L2220" s="4">
        <f t="shared" si="4"/>
        <v>1</v>
      </c>
    </row>
    <row r="2221">
      <c r="A2221" s="23">
        <v>100906.0</v>
      </c>
      <c r="B2221" s="24" t="str">
        <f t="array" ref="B2221">xlookup($A2221,product!$A:$A,product!B:B)</f>
        <v>Beauté &amp; Hygiène</v>
      </c>
      <c r="C2221" s="24" t="str">
        <f t="array" ref="C2221">xlookup($A2221,product!$A:$A,product!C:C)</f>
        <v>Soins du corps</v>
      </c>
      <c r="D2221" s="24" t="str">
        <f t="array" ref="D2221">xlookup($A2221,product!$A:$A,product!D:D)</f>
        <v>Huiles corps</v>
      </c>
      <c r="E2221" s="25" t="str">
        <f t="shared" si="1"/>
        <v>100906-Soins du corps-Huiles corps</v>
      </c>
      <c r="F2221" s="25">
        <v>1.0</v>
      </c>
      <c r="G2221" s="25">
        <v>683.0</v>
      </c>
      <c r="H2221" s="25">
        <v>675.0</v>
      </c>
      <c r="I2221" s="26">
        <f t="array" ref="I2221">XLOOKUP($A2221,product!A:A,product!E:E)</f>
        <v>12.54</v>
      </c>
      <c r="J2221" s="25">
        <f t="shared" si="2"/>
        <v>8464.5</v>
      </c>
      <c r="K2221" s="27">
        <f t="shared" si="3"/>
        <v>1</v>
      </c>
      <c r="L2221" s="25">
        <f t="shared" si="4"/>
        <v>1</v>
      </c>
    </row>
    <row r="2222">
      <c r="A2222" s="19">
        <v>109098.0</v>
      </c>
      <c r="B2222" s="20" t="str">
        <f t="array" ref="B2222">xlookup($A2222,product!$A:$A,product!B:B)</f>
        <v>Beauté &amp; Hygiène</v>
      </c>
      <c r="C2222" s="20" t="str">
        <f t="array" ref="C2222">xlookup($A2222,product!$A:$A,product!C:C)</f>
        <v>Soins du corps</v>
      </c>
      <c r="D2222" s="20" t="str">
        <f t="array" ref="D2222">xlookup($A2222,product!$A:$A,product!D:D)</f>
        <v>Huiles corps</v>
      </c>
      <c r="E2222" s="4" t="str">
        <f t="shared" si="1"/>
        <v>109098-Soins du corps-Huiles corps</v>
      </c>
      <c r="F2222" s="4">
        <v>0.0</v>
      </c>
      <c r="G2222" s="4">
        <v>582.0</v>
      </c>
      <c r="H2222" s="4">
        <v>100.0</v>
      </c>
      <c r="I2222" s="21">
        <f t="array" ref="I2222">XLOOKUP($A2222,product!A:A,product!E:E)</f>
        <v>18.25</v>
      </c>
      <c r="J2222" s="4">
        <f t="shared" si="2"/>
        <v>1825</v>
      </c>
      <c r="K2222" s="22">
        <f t="shared" si="3"/>
        <v>1</v>
      </c>
      <c r="L2222" s="4">
        <f t="shared" si="4"/>
        <v>1</v>
      </c>
    </row>
    <row r="2223">
      <c r="A2223" s="23">
        <v>155864.0</v>
      </c>
      <c r="B2223" s="24" t="str">
        <f t="array" ref="B2223">xlookup($A2223,product!$A:$A,product!B:B)</f>
        <v>Beauté &amp; Hygiène</v>
      </c>
      <c r="C2223" s="24" t="str">
        <f t="array" ref="C2223">xlookup($A2223,product!$A:$A,product!C:C)</f>
        <v>Soins du corps</v>
      </c>
      <c r="D2223" s="24" t="str">
        <f t="array" ref="D2223">xlookup($A2223,product!$A:$A,product!D:D)</f>
        <v>Huiles corps</v>
      </c>
      <c r="E2223" s="25" t="str">
        <f t="shared" si="1"/>
        <v>155864-Soins du corps-Huiles corps</v>
      </c>
      <c r="F2223" s="25">
        <v>1.0</v>
      </c>
      <c r="G2223" s="25">
        <v>358.0</v>
      </c>
      <c r="H2223" s="25">
        <v>227.0</v>
      </c>
      <c r="I2223" s="26">
        <f t="array" ref="I2223">XLOOKUP($A2223,product!A:A,product!E:E)</f>
        <v>11.44</v>
      </c>
      <c r="J2223" s="25">
        <f t="shared" si="2"/>
        <v>2596.88</v>
      </c>
      <c r="K2223" s="27">
        <f t="shared" si="3"/>
        <v>1</v>
      </c>
      <c r="L2223" s="25">
        <f t="shared" si="4"/>
        <v>1</v>
      </c>
    </row>
    <row r="2224">
      <c r="A2224" s="19">
        <v>120314.0</v>
      </c>
      <c r="B2224" s="20" t="str">
        <f t="array" ref="B2224">xlookup($A2224,product!$A:$A,product!B:B)</f>
        <v>Beauté &amp; Hygiène</v>
      </c>
      <c r="C2224" s="20" t="str">
        <f t="array" ref="C2224">xlookup($A2224,product!$A:$A,product!C:C)</f>
        <v>Soins du corps</v>
      </c>
      <c r="D2224" s="20" t="str">
        <f t="array" ref="D2224">xlookup($A2224,product!$A:$A,product!D:D)</f>
        <v>Huiles corps</v>
      </c>
      <c r="E2224" s="4" t="str">
        <f t="shared" si="1"/>
        <v>120314-Soins du corps-Huiles corps</v>
      </c>
      <c r="F2224" s="4">
        <v>1.0</v>
      </c>
      <c r="G2224" s="4">
        <v>76.0</v>
      </c>
      <c r="H2224" s="4">
        <v>3.0</v>
      </c>
      <c r="I2224" s="21">
        <f t="array" ref="I2224">XLOOKUP($A2224,product!A:A,product!E:E)</f>
        <v>12.61</v>
      </c>
      <c r="J2224" s="4">
        <f t="shared" si="2"/>
        <v>37.83</v>
      </c>
      <c r="K2224" s="22">
        <f t="shared" si="3"/>
        <v>1</v>
      </c>
      <c r="L2224" s="4">
        <f t="shared" si="4"/>
        <v>1</v>
      </c>
    </row>
    <row r="2225">
      <c r="A2225" s="23">
        <v>199547.0</v>
      </c>
      <c r="B2225" s="24" t="str">
        <f t="array" ref="B2225">xlookup($A2225,product!$A:$A,product!B:B)</f>
        <v>Beauté &amp; Hygiène</v>
      </c>
      <c r="C2225" s="24" t="str">
        <f t="array" ref="C2225">xlookup($A2225,product!$A:$A,product!C:C)</f>
        <v>Soins du corps</v>
      </c>
      <c r="D2225" s="24" t="str">
        <f t="array" ref="D2225">xlookup($A2225,product!$A:$A,product!D:D)</f>
        <v>Laits pour le corps</v>
      </c>
      <c r="E2225" s="25" t="str">
        <f t="shared" si="1"/>
        <v>199547-Soins du corps-Laits pour le corps</v>
      </c>
      <c r="F2225" s="25">
        <v>0.0</v>
      </c>
      <c r="G2225" s="25">
        <v>553.0</v>
      </c>
      <c r="H2225" s="25">
        <v>373.0</v>
      </c>
      <c r="I2225" s="26">
        <f t="array" ref="I2225">XLOOKUP($A2225,product!A:A,product!E:E)</f>
        <v>3.33</v>
      </c>
      <c r="J2225" s="25">
        <f t="shared" si="2"/>
        <v>1242.09</v>
      </c>
      <c r="K2225" s="27">
        <f t="shared" si="3"/>
        <v>1</v>
      </c>
      <c r="L2225" s="25">
        <f t="shared" si="4"/>
        <v>1</v>
      </c>
    </row>
    <row r="2226">
      <c r="A2226" s="19">
        <v>110540.0</v>
      </c>
      <c r="B2226" s="20" t="str">
        <f t="array" ref="B2226">xlookup($A2226,product!$A:$A,product!B:B)</f>
        <v>Beauté &amp; Hygiène</v>
      </c>
      <c r="C2226" s="20" t="str">
        <f t="array" ref="C2226">xlookup($A2226,product!$A:$A,product!C:C)</f>
        <v>Soins du corps</v>
      </c>
      <c r="D2226" s="20" t="str">
        <f t="array" ref="D2226">xlookup($A2226,product!$A:$A,product!D:D)</f>
        <v>Laits pour le corps</v>
      </c>
      <c r="E2226" s="4" t="str">
        <f t="shared" si="1"/>
        <v>110540-Soins du corps-Laits pour le corps</v>
      </c>
      <c r="F2226" s="4">
        <v>0.0</v>
      </c>
      <c r="G2226" s="4">
        <v>945.0</v>
      </c>
      <c r="H2226" s="4">
        <v>473.0</v>
      </c>
      <c r="I2226" s="21">
        <f t="array" ref="I2226">XLOOKUP($A2226,product!A:A,product!E:E)</f>
        <v>4.23</v>
      </c>
      <c r="J2226" s="4">
        <f t="shared" si="2"/>
        <v>2000.79</v>
      </c>
      <c r="K2226" s="22">
        <f t="shared" si="3"/>
        <v>1</v>
      </c>
      <c r="L2226" s="4">
        <f t="shared" si="4"/>
        <v>1</v>
      </c>
    </row>
    <row r="2227">
      <c r="A2227" s="23">
        <v>182190.0</v>
      </c>
      <c r="B2227" s="24" t="str">
        <f t="array" ref="B2227">xlookup($A2227,product!$A:$A,product!B:B)</f>
        <v>Beauté &amp; Hygiène</v>
      </c>
      <c r="C2227" s="24" t="str">
        <f t="array" ref="C2227">xlookup($A2227,product!$A:$A,product!C:C)</f>
        <v>Soins du corps</v>
      </c>
      <c r="D2227" s="24" t="str">
        <f t="array" ref="D2227">xlookup($A2227,product!$A:$A,product!D:D)</f>
        <v>Laits pour le corps</v>
      </c>
      <c r="E2227" s="25" t="str">
        <f t="shared" si="1"/>
        <v>182190-Soins du corps-Laits pour le corps</v>
      </c>
      <c r="F2227" s="25">
        <v>1.0</v>
      </c>
      <c r="G2227" s="25">
        <v>497.0</v>
      </c>
      <c r="H2227" s="25">
        <v>52.0</v>
      </c>
      <c r="I2227" s="26">
        <f t="array" ref="I2227">XLOOKUP($A2227,product!A:A,product!E:E)</f>
        <v>8.07</v>
      </c>
      <c r="J2227" s="25">
        <f t="shared" si="2"/>
        <v>419.64</v>
      </c>
      <c r="K2227" s="27">
        <f t="shared" si="3"/>
        <v>1</v>
      </c>
      <c r="L2227" s="25">
        <f t="shared" si="4"/>
        <v>1</v>
      </c>
    </row>
    <row r="2228">
      <c r="A2228" s="19">
        <v>79341.0</v>
      </c>
      <c r="B2228" s="20" t="str">
        <f t="array" ref="B2228">xlookup($A2228,product!$A:$A,product!B:B)</f>
        <v>Beauté &amp; Hygiène</v>
      </c>
      <c r="C2228" s="20" t="str">
        <f t="array" ref="C2228">xlookup($A2228,product!$A:$A,product!C:C)</f>
        <v>Soins du corps</v>
      </c>
      <c r="D2228" s="20" t="str">
        <f t="array" ref="D2228">xlookup($A2228,product!$A:$A,product!D:D)</f>
        <v>Laits pour le corps</v>
      </c>
      <c r="E2228" s="4" t="str">
        <f t="shared" si="1"/>
        <v>79341-Soins du corps-Laits pour le corps</v>
      </c>
      <c r="F2228" s="4">
        <v>0.0</v>
      </c>
      <c r="G2228" s="4">
        <v>316.0</v>
      </c>
      <c r="H2228" s="4">
        <v>297.0</v>
      </c>
      <c r="I2228" s="21">
        <f t="array" ref="I2228">XLOOKUP($A2228,product!A:A,product!E:E)</f>
        <v>5.87</v>
      </c>
      <c r="J2228" s="4">
        <f t="shared" si="2"/>
        <v>1743.39</v>
      </c>
      <c r="K2228" s="22">
        <f t="shared" si="3"/>
        <v>1</v>
      </c>
      <c r="L2228" s="4">
        <f t="shared" si="4"/>
        <v>1</v>
      </c>
    </row>
    <row r="2229">
      <c r="A2229" s="23">
        <v>108969.0</v>
      </c>
      <c r="B2229" s="24" t="str">
        <f t="array" ref="B2229">xlookup($A2229,product!$A:$A,product!B:B)</f>
        <v>Beauté &amp; Hygiène</v>
      </c>
      <c r="C2229" s="24" t="str">
        <f t="array" ref="C2229">xlookup($A2229,product!$A:$A,product!C:C)</f>
        <v>Soins du corps</v>
      </c>
      <c r="D2229" s="24" t="str">
        <f t="array" ref="D2229">xlookup($A2229,product!$A:$A,product!D:D)</f>
        <v>Laits pour le corps</v>
      </c>
      <c r="E2229" s="25" t="str">
        <f t="shared" si="1"/>
        <v>108969-Soins du corps-Laits pour le corps</v>
      </c>
      <c r="F2229" s="25">
        <v>1.0</v>
      </c>
      <c r="G2229" s="25">
        <v>830.0</v>
      </c>
      <c r="H2229" s="25">
        <v>574.0</v>
      </c>
      <c r="I2229" s="26">
        <f t="array" ref="I2229">XLOOKUP($A2229,product!A:A,product!E:E)</f>
        <v>5</v>
      </c>
      <c r="J2229" s="25">
        <f t="shared" si="2"/>
        <v>2870</v>
      </c>
      <c r="K2229" s="27">
        <f t="shared" si="3"/>
        <v>1</v>
      </c>
      <c r="L2229" s="25">
        <f t="shared" si="4"/>
        <v>1</v>
      </c>
    </row>
    <row r="2230">
      <c r="A2230" s="19">
        <v>79939.0</v>
      </c>
      <c r="B2230" s="20" t="str">
        <f t="array" ref="B2230">xlookup($A2230,product!$A:$A,product!B:B)</f>
        <v>Beauté &amp; Hygiène</v>
      </c>
      <c r="C2230" s="20" t="str">
        <f t="array" ref="C2230">xlookup($A2230,product!$A:$A,product!C:C)</f>
        <v>Soins du corps</v>
      </c>
      <c r="D2230" s="20" t="str">
        <f t="array" ref="D2230">xlookup($A2230,product!$A:$A,product!D:D)</f>
        <v>Laits pour le corps</v>
      </c>
      <c r="E2230" s="4" t="str">
        <f t="shared" si="1"/>
        <v>79939-Soins du corps-Laits pour le corps</v>
      </c>
      <c r="F2230" s="4">
        <v>1.0</v>
      </c>
      <c r="G2230" s="4">
        <v>524.0</v>
      </c>
      <c r="H2230" s="4">
        <v>263.0</v>
      </c>
      <c r="I2230" s="21">
        <f t="array" ref="I2230">XLOOKUP($A2230,product!A:A,product!E:E)</f>
        <v>5.62</v>
      </c>
      <c r="J2230" s="4">
        <f t="shared" si="2"/>
        <v>1478.06</v>
      </c>
      <c r="K2230" s="22">
        <f t="shared" si="3"/>
        <v>1</v>
      </c>
      <c r="L2230" s="4">
        <f t="shared" si="4"/>
        <v>1</v>
      </c>
    </row>
    <row r="2231">
      <c r="A2231" s="23">
        <v>11733.0</v>
      </c>
      <c r="B2231" s="24" t="str">
        <f t="array" ref="B2231">xlookup($A2231,product!$A:$A,product!B:B)</f>
        <v>Beauté &amp; Hygiène</v>
      </c>
      <c r="C2231" s="24" t="str">
        <f t="array" ref="C2231">xlookup($A2231,product!$A:$A,product!C:C)</f>
        <v>Soins du corps</v>
      </c>
      <c r="D2231" s="24" t="str">
        <f t="array" ref="D2231">xlookup($A2231,product!$A:$A,product!D:D)</f>
        <v>Laits pour le corps</v>
      </c>
      <c r="E2231" s="25" t="str">
        <f t="shared" si="1"/>
        <v>11733-Soins du corps-Laits pour le corps</v>
      </c>
      <c r="F2231" s="25">
        <v>1.0</v>
      </c>
      <c r="G2231" s="25">
        <v>942.0</v>
      </c>
      <c r="H2231" s="25">
        <v>763.0</v>
      </c>
      <c r="I2231" s="26">
        <f t="array" ref="I2231">XLOOKUP($A2231,product!A:A,product!E:E)</f>
        <v>9.5</v>
      </c>
      <c r="J2231" s="25">
        <f t="shared" si="2"/>
        <v>7248.5</v>
      </c>
      <c r="K2231" s="27">
        <f t="shared" si="3"/>
        <v>1</v>
      </c>
      <c r="L2231" s="25">
        <f t="shared" si="4"/>
        <v>1</v>
      </c>
    </row>
    <row r="2232">
      <c r="A2232" s="19">
        <v>12647.0</v>
      </c>
      <c r="B2232" s="20" t="str">
        <f t="array" ref="B2232">xlookup($A2232,product!$A:$A,product!B:B)</f>
        <v>Beauté &amp; Hygiène</v>
      </c>
      <c r="C2232" s="20" t="str">
        <f t="array" ref="C2232">xlookup($A2232,product!$A:$A,product!C:C)</f>
        <v>Soins du corps</v>
      </c>
      <c r="D2232" s="20" t="str">
        <f t="array" ref="D2232">xlookup($A2232,product!$A:$A,product!D:D)</f>
        <v>Laits pour le corps</v>
      </c>
      <c r="E2232" s="4" t="str">
        <f t="shared" si="1"/>
        <v>12647-Soins du corps-Laits pour le corps</v>
      </c>
      <c r="F2232" s="4">
        <v>1.0</v>
      </c>
      <c r="G2232" s="4">
        <v>313.0</v>
      </c>
      <c r="H2232" s="4">
        <v>139.0</v>
      </c>
      <c r="I2232" s="21">
        <f t="array" ref="I2232">XLOOKUP($A2232,product!A:A,product!E:E)</f>
        <v>4.49</v>
      </c>
      <c r="J2232" s="4">
        <f t="shared" si="2"/>
        <v>624.11</v>
      </c>
      <c r="K2232" s="22">
        <f t="shared" si="3"/>
        <v>1</v>
      </c>
      <c r="L2232" s="4">
        <f t="shared" si="4"/>
        <v>1</v>
      </c>
    </row>
    <row r="2233">
      <c r="A2233" s="23">
        <v>122292.0</v>
      </c>
      <c r="B2233" s="24" t="str">
        <f t="array" ref="B2233">xlookup($A2233,product!$A:$A,product!B:B)</f>
        <v>Beauté &amp; Hygiène</v>
      </c>
      <c r="C2233" s="24" t="str">
        <f t="array" ref="C2233">xlookup($A2233,product!$A:$A,product!C:C)</f>
        <v>Soins du corps</v>
      </c>
      <c r="D2233" s="24" t="str">
        <f t="array" ref="D2233">xlookup($A2233,product!$A:$A,product!D:D)</f>
        <v>Laits pour le corps</v>
      </c>
      <c r="E2233" s="25" t="str">
        <f t="shared" si="1"/>
        <v>122292-Soins du corps-Laits pour le corps</v>
      </c>
      <c r="F2233" s="25">
        <v>1.0</v>
      </c>
      <c r="G2233" s="25">
        <v>928.0</v>
      </c>
      <c r="H2233" s="25">
        <v>319.0</v>
      </c>
      <c r="I2233" s="26">
        <f t="array" ref="I2233">XLOOKUP($A2233,product!A:A,product!E:E)</f>
        <v>6.74</v>
      </c>
      <c r="J2233" s="25">
        <f t="shared" si="2"/>
        <v>2150.06</v>
      </c>
      <c r="K2233" s="27">
        <f t="shared" si="3"/>
        <v>1</v>
      </c>
      <c r="L2233" s="25">
        <f t="shared" si="4"/>
        <v>1</v>
      </c>
    </row>
    <row r="2234">
      <c r="A2234" s="19">
        <v>117433.0</v>
      </c>
      <c r="B2234" s="20" t="str">
        <f t="array" ref="B2234">xlookup($A2234,product!$A:$A,product!B:B)</f>
        <v>Beauté &amp; Hygiène</v>
      </c>
      <c r="C2234" s="20" t="str">
        <f t="array" ref="C2234">xlookup($A2234,product!$A:$A,product!C:C)</f>
        <v>Soins du corps</v>
      </c>
      <c r="D2234" s="20" t="str">
        <f t="array" ref="D2234">xlookup($A2234,product!$A:$A,product!D:D)</f>
        <v>Laits pour le corps</v>
      </c>
      <c r="E2234" s="4" t="str">
        <f t="shared" si="1"/>
        <v>117433-Soins du corps-Laits pour le corps</v>
      </c>
      <c r="F2234" s="4">
        <v>0.0</v>
      </c>
      <c r="G2234" s="4">
        <v>786.0</v>
      </c>
      <c r="H2234" s="4">
        <v>522.0</v>
      </c>
      <c r="I2234" s="21">
        <f t="array" ref="I2234">XLOOKUP($A2234,product!A:A,product!E:E)</f>
        <v>9.4</v>
      </c>
      <c r="J2234" s="4">
        <f t="shared" si="2"/>
        <v>4906.8</v>
      </c>
      <c r="K2234" s="22">
        <f t="shared" si="3"/>
        <v>1</v>
      </c>
      <c r="L2234" s="4">
        <f t="shared" si="4"/>
        <v>1</v>
      </c>
    </row>
    <row r="2235">
      <c r="A2235" s="23">
        <v>127018.0</v>
      </c>
      <c r="B2235" s="24" t="str">
        <f t="array" ref="B2235">xlookup($A2235,product!$A:$A,product!B:B)</f>
        <v>Beauté &amp; Hygiène</v>
      </c>
      <c r="C2235" s="24" t="str">
        <f t="array" ref="C2235">xlookup($A2235,product!$A:$A,product!C:C)</f>
        <v>Soins du corps</v>
      </c>
      <c r="D2235" s="24" t="str">
        <f t="array" ref="D2235">xlookup($A2235,product!$A:$A,product!D:D)</f>
        <v>Laits pour le corps</v>
      </c>
      <c r="E2235" s="25" t="str">
        <f t="shared" si="1"/>
        <v>127018-Soins du corps-Laits pour le corps</v>
      </c>
      <c r="F2235" s="25">
        <v>1.0</v>
      </c>
      <c r="G2235" s="25">
        <v>672.0</v>
      </c>
      <c r="H2235" s="25">
        <v>393.0</v>
      </c>
      <c r="I2235" s="26">
        <f t="array" ref="I2235">XLOOKUP($A2235,product!A:A,product!E:E)</f>
        <v>6.56</v>
      </c>
      <c r="J2235" s="25">
        <f t="shared" si="2"/>
        <v>2578.08</v>
      </c>
      <c r="K2235" s="27">
        <f t="shared" si="3"/>
        <v>1</v>
      </c>
      <c r="L2235" s="25">
        <f t="shared" si="4"/>
        <v>1</v>
      </c>
    </row>
    <row r="2236">
      <c r="A2236" s="19">
        <v>9705.0</v>
      </c>
      <c r="B2236" s="20" t="str">
        <f t="array" ref="B2236">xlookup($A2236,product!$A:$A,product!B:B)</f>
        <v>Beauté &amp; Hygiène</v>
      </c>
      <c r="C2236" s="20" t="str">
        <f t="array" ref="C2236">xlookup($A2236,product!$A:$A,product!C:C)</f>
        <v>Soins du corps</v>
      </c>
      <c r="D2236" s="20" t="str">
        <f t="array" ref="D2236">xlookup($A2236,product!$A:$A,product!D:D)</f>
        <v>Laits pour le corps</v>
      </c>
      <c r="E2236" s="4" t="str">
        <f t="shared" si="1"/>
        <v>9705-Soins du corps-Laits pour le corps</v>
      </c>
      <c r="F2236" s="4">
        <v>0.0</v>
      </c>
      <c r="G2236" s="4">
        <v>553.0</v>
      </c>
      <c r="H2236" s="4">
        <v>28.0</v>
      </c>
      <c r="I2236" s="21">
        <f t="array" ref="I2236">XLOOKUP($A2236,product!A:A,product!E:E)</f>
        <v>6.4</v>
      </c>
      <c r="J2236" s="4">
        <f t="shared" si="2"/>
        <v>179.2</v>
      </c>
      <c r="K2236" s="22">
        <f t="shared" si="3"/>
        <v>1</v>
      </c>
      <c r="L2236" s="4">
        <f t="shared" si="4"/>
        <v>1</v>
      </c>
    </row>
    <row r="2237">
      <c r="A2237" s="23">
        <v>9703.0</v>
      </c>
      <c r="B2237" s="24" t="str">
        <f t="array" ref="B2237">xlookup($A2237,product!$A:$A,product!B:B)</f>
        <v>Beauté &amp; Hygiène</v>
      </c>
      <c r="C2237" s="24" t="str">
        <f t="array" ref="C2237">xlookup($A2237,product!$A:$A,product!C:C)</f>
        <v>Soins du corps</v>
      </c>
      <c r="D2237" s="24" t="str">
        <f t="array" ref="D2237">xlookup($A2237,product!$A:$A,product!D:D)</f>
        <v>Laits pour le corps</v>
      </c>
      <c r="E2237" s="25" t="str">
        <f t="shared" si="1"/>
        <v>9703-Soins du corps-Laits pour le corps</v>
      </c>
      <c r="F2237" s="25">
        <v>1.0</v>
      </c>
      <c r="G2237" s="25">
        <v>899.0</v>
      </c>
      <c r="H2237" s="25">
        <v>424.0</v>
      </c>
      <c r="I2237" s="26">
        <f t="array" ref="I2237">XLOOKUP($A2237,product!A:A,product!E:E)</f>
        <v>6.4</v>
      </c>
      <c r="J2237" s="25">
        <f t="shared" si="2"/>
        <v>2713.6</v>
      </c>
      <c r="K2237" s="27">
        <f t="shared" si="3"/>
        <v>1</v>
      </c>
      <c r="L2237" s="25">
        <f t="shared" si="4"/>
        <v>1</v>
      </c>
    </row>
    <row r="2238">
      <c r="A2238" s="19">
        <v>86005.0</v>
      </c>
      <c r="B2238" s="20" t="str">
        <f t="array" ref="B2238">xlookup($A2238,product!$A:$A,product!B:B)</f>
        <v>Beauté &amp; Hygiène</v>
      </c>
      <c r="C2238" s="20" t="str">
        <f t="array" ref="C2238">xlookup($A2238,product!$A:$A,product!C:C)</f>
        <v>Soins du corps</v>
      </c>
      <c r="D2238" s="20" t="str">
        <f t="array" ref="D2238">xlookup($A2238,product!$A:$A,product!D:D)</f>
        <v>Laits pour le corps</v>
      </c>
      <c r="E2238" s="4" t="str">
        <f t="shared" si="1"/>
        <v>86005-Soins du corps-Laits pour le corps</v>
      </c>
      <c r="F2238" s="4">
        <v>0.0</v>
      </c>
      <c r="G2238" s="4">
        <v>1.0</v>
      </c>
      <c r="H2238" s="4">
        <v>0.0</v>
      </c>
      <c r="I2238" s="21">
        <f t="array" ref="I2238">XLOOKUP($A2238,product!A:A,product!E:E)</f>
        <v>3.49</v>
      </c>
      <c r="J2238" s="4">
        <f t="shared" si="2"/>
        <v>0</v>
      </c>
      <c r="K2238" s="22">
        <f t="shared" si="3"/>
        <v>0</v>
      </c>
      <c r="L2238" s="4">
        <f t="shared" si="4"/>
        <v>1</v>
      </c>
    </row>
    <row r="2239">
      <c r="A2239" s="23">
        <v>9704.0</v>
      </c>
      <c r="B2239" s="24" t="str">
        <f t="array" ref="B2239">xlookup($A2239,product!$A:$A,product!B:B)</f>
        <v>Beauté &amp; Hygiène</v>
      </c>
      <c r="C2239" s="24" t="str">
        <f t="array" ref="C2239">xlookup($A2239,product!$A:$A,product!C:C)</f>
        <v>Soins du corps</v>
      </c>
      <c r="D2239" s="24" t="str">
        <f t="array" ref="D2239">xlookup($A2239,product!$A:$A,product!D:D)</f>
        <v>Laits pour le corps</v>
      </c>
      <c r="E2239" s="25" t="str">
        <f t="shared" si="1"/>
        <v>9704-Soins du corps-Laits pour le corps</v>
      </c>
      <c r="F2239" s="25">
        <v>0.0</v>
      </c>
      <c r="G2239" s="25">
        <v>760.0</v>
      </c>
      <c r="H2239" s="25">
        <v>596.0</v>
      </c>
      <c r="I2239" s="26">
        <f t="array" ref="I2239">XLOOKUP($A2239,product!A:A,product!E:E)</f>
        <v>6.4</v>
      </c>
      <c r="J2239" s="25">
        <f t="shared" si="2"/>
        <v>3814.4</v>
      </c>
      <c r="K2239" s="27">
        <f t="shared" si="3"/>
        <v>1</v>
      </c>
      <c r="L2239" s="25">
        <f t="shared" si="4"/>
        <v>1</v>
      </c>
    </row>
    <row r="2240">
      <c r="A2240" s="19">
        <v>182189.0</v>
      </c>
      <c r="B2240" s="20" t="str">
        <f t="array" ref="B2240">xlookup($A2240,product!$A:$A,product!B:B)</f>
        <v>Beauté &amp; Hygiène</v>
      </c>
      <c r="C2240" s="20" t="str">
        <f t="array" ref="C2240">xlookup($A2240,product!$A:$A,product!C:C)</f>
        <v>Soins du corps</v>
      </c>
      <c r="D2240" s="20" t="str">
        <f t="array" ref="D2240">xlookup($A2240,product!$A:$A,product!D:D)</f>
        <v>Laits pour le corps</v>
      </c>
      <c r="E2240" s="4" t="str">
        <f t="shared" si="1"/>
        <v>182189-Soins du corps-Laits pour le corps</v>
      </c>
      <c r="F2240" s="4">
        <v>1.0</v>
      </c>
      <c r="G2240" s="4">
        <v>496.0</v>
      </c>
      <c r="H2240" s="4">
        <v>147.0</v>
      </c>
      <c r="I2240" s="21">
        <f t="array" ref="I2240">XLOOKUP($A2240,product!A:A,product!E:E)</f>
        <v>5.7</v>
      </c>
      <c r="J2240" s="4">
        <f t="shared" si="2"/>
        <v>837.9</v>
      </c>
      <c r="K2240" s="22">
        <f t="shared" si="3"/>
        <v>1</v>
      </c>
      <c r="L2240" s="4">
        <f t="shared" si="4"/>
        <v>1</v>
      </c>
    </row>
    <row r="2241">
      <c r="A2241" s="23">
        <v>29452.0</v>
      </c>
      <c r="B2241" s="24" t="str">
        <f t="array" ref="B2241">xlookup($A2241,product!$A:$A,product!B:B)</f>
        <v>Beauté &amp; Hygiène</v>
      </c>
      <c r="C2241" s="24" t="str">
        <f t="array" ref="C2241">xlookup($A2241,product!$A:$A,product!C:C)</f>
        <v>Soins du corps</v>
      </c>
      <c r="D2241" s="24" t="str">
        <f t="array" ref="D2241">xlookup($A2241,product!$A:$A,product!D:D)</f>
        <v>Laits pour le corps</v>
      </c>
      <c r="E2241" s="25" t="str">
        <f t="shared" si="1"/>
        <v>29452-Soins du corps-Laits pour le corps</v>
      </c>
      <c r="F2241" s="25">
        <v>1.0</v>
      </c>
      <c r="G2241" s="25">
        <v>403.0</v>
      </c>
      <c r="H2241" s="25">
        <v>128.0</v>
      </c>
      <c r="I2241" s="26">
        <f t="array" ref="I2241">XLOOKUP($A2241,product!A:A,product!E:E)</f>
        <v>4.12</v>
      </c>
      <c r="J2241" s="25">
        <f t="shared" si="2"/>
        <v>527.36</v>
      </c>
      <c r="K2241" s="27">
        <f t="shared" si="3"/>
        <v>1</v>
      </c>
      <c r="L2241" s="25">
        <f t="shared" si="4"/>
        <v>1</v>
      </c>
    </row>
    <row r="2242">
      <c r="A2242" s="19">
        <v>122485.0</v>
      </c>
      <c r="B2242" s="20" t="str">
        <f t="array" ref="B2242">xlookup($A2242,product!$A:$A,product!B:B)</f>
        <v>Beauté &amp; Hygiène</v>
      </c>
      <c r="C2242" s="20" t="str">
        <f t="array" ref="C2242">xlookup($A2242,product!$A:$A,product!C:C)</f>
        <v>Soins du corps</v>
      </c>
      <c r="D2242" s="20" t="str">
        <f t="array" ref="D2242">xlookup($A2242,product!$A:$A,product!D:D)</f>
        <v>Laits pour le corps</v>
      </c>
      <c r="E2242" s="4" t="str">
        <f t="shared" si="1"/>
        <v>122485-Soins du corps-Laits pour le corps</v>
      </c>
      <c r="F2242" s="4">
        <v>0.0</v>
      </c>
      <c r="G2242" s="4">
        <v>680.0</v>
      </c>
      <c r="H2242" s="4">
        <v>225.0</v>
      </c>
      <c r="I2242" s="21">
        <f t="array" ref="I2242">XLOOKUP($A2242,product!A:A,product!E:E)</f>
        <v>9.65</v>
      </c>
      <c r="J2242" s="4">
        <f t="shared" si="2"/>
        <v>2171.25</v>
      </c>
      <c r="K2242" s="22">
        <f t="shared" si="3"/>
        <v>1</v>
      </c>
      <c r="L2242" s="4">
        <f t="shared" si="4"/>
        <v>1</v>
      </c>
    </row>
    <row r="2243">
      <c r="A2243" s="23">
        <v>9706.0</v>
      </c>
      <c r="B2243" s="24" t="str">
        <f t="array" ref="B2243">xlookup($A2243,product!$A:$A,product!B:B)</f>
        <v>Beauté &amp; Hygiène</v>
      </c>
      <c r="C2243" s="24" t="str">
        <f t="array" ref="C2243">xlookup($A2243,product!$A:$A,product!C:C)</f>
        <v>Soins du corps</v>
      </c>
      <c r="D2243" s="24" t="str">
        <f t="array" ref="D2243">xlookup($A2243,product!$A:$A,product!D:D)</f>
        <v>Laits pour le corps</v>
      </c>
      <c r="E2243" s="25" t="str">
        <f t="shared" si="1"/>
        <v>9706-Soins du corps-Laits pour le corps</v>
      </c>
      <c r="F2243" s="25">
        <v>1.0</v>
      </c>
      <c r="G2243" s="25">
        <v>311.0</v>
      </c>
      <c r="H2243" s="25">
        <v>38.0</v>
      </c>
      <c r="I2243" s="26">
        <f t="array" ref="I2243">XLOOKUP($A2243,product!A:A,product!E:E)</f>
        <v>6.4</v>
      </c>
      <c r="J2243" s="25">
        <f t="shared" si="2"/>
        <v>243.2</v>
      </c>
      <c r="K2243" s="27">
        <f t="shared" si="3"/>
        <v>1</v>
      </c>
      <c r="L2243" s="25">
        <f t="shared" si="4"/>
        <v>1</v>
      </c>
    </row>
    <row r="2244">
      <c r="A2244" s="19">
        <v>12648.0</v>
      </c>
      <c r="B2244" s="20" t="str">
        <f t="array" ref="B2244">xlookup($A2244,product!$A:$A,product!B:B)</f>
        <v>Beauté &amp; Hygiène</v>
      </c>
      <c r="C2244" s="20" t="str">
        <f t="array" ref="C2244">xlookup($A2244,product!$A:$A,product!C:C)</f>
        <v>Soins du corps</v>
      </c>
      <c r="D2244" s="20" t="str">
        <f t="array" ref="D2244">xlookup($A2244,product!$A:$A,product!D:D)</f>
        <v>Laits pour le corps</v>
      </c>
      <c r="E2244" s="4" t="str">
        <f t="shared" si="1"/>
        <v>12648-Soins du corps-Laits pour le corps</v>
      </c>
      <c r="F2244" s="4">
        <v>1.0</v>
      </c>
      <c r="G2244" s="4">
        <v>275.0</v>
      </c>
      <c r="H2244" s="4">
        <v>123.0</v>
      </c>
      <c r="I2244" s="21">
        <f t="array" ref="I2244">XLOOKUP($A2244,product!A:A,product!E:E)</f>
        <v>5.91</v>
      </c>
      <c r="J2244" s="4">
        <f t="shared" si="2"/>
        <v>726.93</v>
      </c>
      <c r="K2244" s="22">
        <f t="shared" si="3"/>
        <v>1</v>
      </c>
      <c r="L2244" s="4">
        <f t="shared" si="4"/>
        <v>1</v>
      </c>
    </row>
    <row r="2245">
      <c r="A2245" s="23">
        <v>93899.0</v>
      </c>
      <c r="B2245" s="24" t="str">
        <f t="array" ref="B2245">xlookup($A2245,product!$A:$A,product!B:B)</f>
        <v>Beauté &amp; Hygiène</v>
      </c>
      <c r="C2245" s="24" t="str">
        <f t="array" ref="C2245">xlookup($A2245,product!$A:$A,product!C:C)</f>
        <v>Soins du corps</v>
      </c>
      <c r="D2245" s="24" t="str">
        <f t="array" ref="D2245">xlookup($A2245,product!$A:$A,product!D:D)</f>
        <v>Soins mains et ongles</v>
      </c>
      <c r="E2245" s="25" t="str">
        <f t="shared" si="1"/>
        <v>93899-Soins du corps-Soins mains et ongles</v>
      </c>
      <c r="F2245" s="25">
        <v>1.0</v>
      </c>
      <c r="G2245" s="25">
        <v>24.0</v>
      </c>
      <c r="H2245" s="25">
        <v>8.0</v>
      </c>
      <c r="I2245" s="26">
        <f t="array" ref="I2245">XLOOKUP($A2245,product!A:A,product!E:E)</f>
        <v>1.7</v>
      </c>
      <c r="J2245" s="25">
        <f t="shared" si="2"/>
        <v>13.6</v>
      </c>
      <c r="K2245" s="27">
        <f t="shared" si="3"/>
        <v>1</v>
      </c>
      <c r="L2245" s="25">
        <f t="shared" si="4"/>
        <v>1</v>
      </c>
    </row>
    <row r="2246">
      <c r="A2246" s="19">
        <v>28890.0</v>
      </c>
      <c r="B2246" s="20" t="str">
        <f t="array" ref="B2246">xlookup($A2246,product!$A:$A,product!B:B)</f>
        <v>Beauté &amp; Hygiène</v>
      </c>
      <c r="C2246" s="20" t="str">
        <f t="array" ref="C2246">xlookup($A2246,product!$A:$A,product!C:C)</f>
        <v>Soins du corps</v>
      </c>
      <c r="D2246" s="20" t="str">
        <f t="array" ref="D2246">xlookup($A2246,product!$A:$A,product!D:D)</f>
        <v>Soins mains et ongles</v>
      </c>
      <c r="E2246" s="4" t="str">
        <f t="shared" si="1"/>
        <v>28890-Soins du corps-Soins mains et ongles</v>
      </c>
      <c r="F2246" s="4">
        <v>1.0</v>
      </c>
      <c r="G2246" s="4">
        <v>512.0</v>
      </c>
      <c r="H2246" s="4">
        <v>498.0</v>
      </c>
      <c r="I2246" s="21">
        <f t="array" ref="I2246">XLOOKUP($A2246,product!A:A,product!E:E)</f>
        <v>2.68</v>
      </c>
      <c r="J2246" s="4">
        <f t="shared" si="2"/>
        <v>1334.64</v>
      </c>
      <c r="K2246" s="22">
        <f t="shared" si="3"/>
        <v>1</v>
      </c>
      <c r="L2246" s="4">
        <f t="shared" si="4"/>
        <v>1</v>
      </c>
    </row>
    <row r="2247">
      <c r="A2247" s="23">
        <v>17638.0</v>
      </c>
      <c r="B2247" s="24" t="str">
        <f t="array" ref="B2247">xlookup($A2247,product!$A:$A,product!B:B)</f>
        <v>Beauté &amp; Hygiène</v>
      </c>
      <c r="C2247" s="24" t="str">
        <f t="array" ref="C2247">xlookup($A2247,product!$A:$A,product!C:C)</f>
        <v>Soins du corps</v>
      </c>
      <c r="D2247" s="24" t="str">
        <f t="array" ref="D2247">xlookup($A2247,product!$A:$A,product!D:D)</f>
        <v>Soins mains et ongles</v>
      </c>
      <c r="E2247" s="25" t="str">
        <f t="shared" si="1"/>
        <v>17638-Soins du corps-Soins mains et ongles</v>
      </c>
      <c r="F2247" s="25">
        <v>1.0</v>
      </c>
      <c r="G2247" s="25">
        <v>923.0</v>
      </c>
      <c r="H2247" s="25">
        <v>199.0</v>
      </c>
      <c r="I2247" s="26">
        <f t="array" ref="I2247">XLOOKUP($A2247,product!A:A,product!E:E)</f>
        <v>2.89</v>
      </c>
      <c r="J2247" s="25">
        <f t="shared" si="2"/>
        <v>575.11</v>
      </c>
      <c r="K2247" s="27">
        <f t="shared" si="3"/>
        <v>1</v>
      </c>
      <c r="L2247" s="25">
        <f t="shared" si="4"/>
        <v>1</v>
      </c>
    </row>
    <row r="2248">
      <c r="A2248" s="19">
        <v>28888.0</v>
      </c>
      <c r="B2248" s="20" t="str">
        <f t="array" ref="B2248">xlookup($A2248,product!$A:$A,product!B:B)</f>
        <v>Beauté &amp; Hygiène</v>
      </c>
      <c r="C2248" s="20" t="str">
        <f t="array" ref="C2248">xlookup($A2248,product!$A:$A,product!C:C)</f>
        <v>Soins du corps</v>
      </c>
      <c r="D2248" s="20" t="str">
        <f t="array" ref="D2248">xlookup($A2248,product!$A:$A,product!D:D)</f>
        <v>Soins mains et ongles</v>
      </c>
      <c r="E2248" s="4" t="str">
        <f t="shared" si="1"/>
        <v>28888-Soins du corps-Soins mains et ongles</v>
      </c>
      <c r="F2248" s="4">
        <v>1.0</v>
      </c>
      <c r="G2248" s="4">
        <v>821.0</v>
      </c>
      <c r="H2248" s="4">
        <v>712.0</v>
      </c>
      <c r="I2248" s="21">
        <f t="array" ref="I2248">XLOOKUP($A2248,product!A:A,product!E:E)</f>
        <v>2.4</v>
      </c>
      <c r="J2248" s="4">
        <f t="shared" si="2"/>
        <v>1708.8</v>
      </c>
      <c r="K2248" s="22">
        <f t="shared" si="3"/>
        <v>1</v>
      </c>
      <c r="L2248" s="4">
        <f t="shared" si="4"/>
        <v>1</v>
      </c>
    </row>
    <row r="2249">
      <c r="A2249" s="23">
        <v>29455.0</v>
      </c>
      <c r="B2249" s="24" t="str">
        <f t="array" ref="B2249">xlookup($A2249,product!$A:$A,product!B:B)</f>
        <v>Beauté &amp; Hygiène</v>
      </c>
      <c r="C2249" s="24" t="str">
        <f t="array" ref="C2249">xlookup($A2249,product!$A:$A,product!C:C)</f>
        <v>Soins du corps</v>
      </c>
      <c r="D2249" s="24" t="str">
        <f t="array" ref="D2249">xlookup($A2249,product!$A:$A,product!D:D)</f>
        <v>Soins mains et ongles</v>
      </c>
      <c r="E2249" s="25" t="str">
        <f t="shared" si="1"/>
        <v>29455-Soins du corps-Soins mains et ongles</v>
      </c>
      <c r="F2249" s="25">
        <v>0.0</v>
      </c>
      <c r="G2249" s="25">
        <v>841.0</v>
      </c>
      <c r="H2249" s="25">
        <v>830.0</v>
      </c>
      <c r="I2249" s="26">
        <f t="array" ref="I2249">XLOOKUP($A2249,product!A:A,product!E:E)</f>
        <v>3.07</v>
      </c>
      <c r="J2249" s="25">
        <f t="shared" si="2"/>
        <v>2548.1</v>
      </c>
      <c r="K2249" s="27">
        <f t="shared" si="3"/>
        <v>1</v>
      </c>
      <c r="L2249" s="25">
        <f t="shared" si="4"/>
        <v>1</v>
      </c>
    </row>
    <row r="2250">
      <c r="A2250" s="19">
        <v>93895.0</v>
      </c>
      <c r="B2250" s="20" t="str">
        <f t="array" ref="B2250">xlookup($A2250,product!$A:$A,product!B:B)</f>
        <v>Beauté &amp; Hygiène</v>
      </c>
      <c r="C2250" s="20" t="str">
        <f t="array" ref="C2250">xlookup($A2250,product!$A:$A,product!C:C)</f>
        <v>Soins du corps</v>
      </c>
      <c r="D2250" s="20" t="str">
        <f t="array" ref="D2250">xlookup($A2250,product!$A:$A,product!D:D)</f>
        <v>Soins mains et ongles</v>
      </c>
      <c r="E2250" s="4" t="str">
        <f t="shared" si="1"/>
        <v>93895-Soins du corps-Soins mains et ongles</v>
      </c>
      <c r="F2250" s="4">
        <v>1.0</v>
      </c>
      <c r="G2250" s="4">
        <v>74.0</v>
      </c>
      <c r="H2250" s="4">
        <v>57.0</v>
      </c>
      <c r="I2250" s="21">
        <f t="array" ref="I2250">XLOOKUP($A2250,product!A:A,product!E:E)</f>
        <v>2.08</v>
      </c>
      <c r="J2250" s="4">
        <f t="shared" si="2"/>
        <v>118.56</v>
      </c>
      <c r="K2250" s="22">
        <f t="shared" si="3"/>
        <v>1</v>
      </c>
      <c r="L2250" s="4">
        <f t="shared" si="4"/>
        <v>1</v>
      </c>
    </row>
    <row r="2251">
      <c r="A2251" s="23">
        <v>116417.0</v>
      </c>
      <c r="B2251" s="24" t="str">
        <f t="array" ref="B2251">xlookup($A2251,product!$A:$A,product!B:B)</f>
        <v>Beauté &amp; Hygiène</v>
      </c>
      <c r="C2251" s="24" t="str">
        <f t="array" ref="C2251">xlookup($A2251,product!$A:$A,product!C:C)</f>
        <v>Soins du corps</v>
      </c>
      <c r="D2251" s="24" t="str">
        <f t="array" ref="D2251">xlookup($A2251,product!$A:$A,product!D:D)</f>
        <v>Soins mains et ongles</v>
      </c>
      <c r="E2251" s="25" t="str">
        <f t="shared" si="1"/>
        <v>116417-Soins du corps-Soins mains et ongles</v>
      </c>
      <c r="F2251" s="25">
        <v>1.0</v>
      </c>
      <c r="G2251" s="25">
        <v>94.0</v>
      </c>
      <c r="H2251" s="25">
        <v>24.0</v>
      </c>
      <c r="I2251" s="26">
        <f t="array" ref="I2251">XLOOKUP($A2251,product!A:A,product!E:E)</f>
        <v>3.35</v>
      </c>
      <c r="J2251" s="25">
        <f t="shared" si="2"/>
        <v>80.4</v>
      </c>
      <c r="K2251" s="27">
        <f t="shared" si="3"/>
        <v>1</v>
      </c>
      <c r="L2251" s="25">
        <f t="shared" si="4"/>
        <v>1</v>
      </c>
    </row>
    <row r="2252">
      <c r="A2252" s="19">
        <v>1971.0</v>
      </c>
      <c r="B2252" s="20" t="str">
        <f t="array" ref="B2252">xlookup($A2252,product!$A:$A,product!B:B)</f>
        <v>Beauté &amp; Hygiène</v>
      </c>
      <c r="C2252" s="20" t="str">
        <f t="array" ref="C2252">xlookup($A2252,product!$A:$A,product!C:C)</f>
        <v>Soins du corps</v>
      </c>
      <c r="D2252" s="20" t="str">
        <f t="array" ref="D2252">xlookup($A2252,product!$A:$A,product!D:D)</f>
        <v>Soins mains et ongles</v>
      </c>
      <c r="E2252" s="4" t="str">
        <f t="shared" si="1"/>
        <v>1971-Soins du corps-Soins mains et ongles</v>
      </c>
      <c r="F2252" s="4">
        <v>1.0</v>
      </c>
      <c r="G2252" s="4">
        <v>621.0</v>
      </c>
      <c r="H2252" s="4">
        <v>42.0</v>
      </c>
      <c r="I2252" s="21">
        <f t="array" ref="I2252">XLOOKUP($A2252,product!A:A,product!E:E)</f>
        <v>3.06</v>
      </c>
      <c r="J2252" s="4">
        <f t="shared" si="2"/>
        <v>128.52</v>
      </c>
      <c r="K2252" s="22">
        <f t="shared" si="3"/>
        <v>1</v>
      </c>
      <c r="L2252" s="4">
        <f t="shared" si="4"/>
        <v>1</v>
      </c>
    </row>
    <row r="2253">
      <c r="A2253" s="23">
        <v>12649.0</v>
      </c>
      <c r="B2253" s="24" t="str">
        <f t="array" ref="B2253">xlookup($A2253,product!$A:$A,product!B:B)</f>
        <v>Beauté &amp; Hygiène</v>
      </c>
      <c r="C2253" s="24" t="str">
        <f t="array" ref="C2253">xlookup($A2253,product!$A:$A,product!C:C)</f>
        <v>Soins du corps</v>
      </c>
      <c r="D2253" s="24" t="str">
        <f t="array" ref="D2253">xlookup($A2253,product!$A:$A,product!D:D)</f>
        <v>Soins mains et ongles</v>
      </c>
      <c r="E2253" s="25" t="str">
        <f t="shared" si="1"/>
        <v>12649-Soins du corps-Soins mains et ongles</v>
      </c>
      <c r="F2253" s="25">
        <v>0.0</v>
      </c>
      <c r="G2253" s="25">
        <v>280.0</v>
      </c>
      <c r="H2253" s="25">
        <v>129.0</v>
      </c>
      <c r="I2253" s="26">
        <f t="array" ref="I2253">XLOOKUP($A2253,product!A:A,product!E:E)</f>
        <v>4.57</v>
      </c>
      <c r="J2253" s="25">
        <f t="shared" si="2"/>
        <v>589.53</v>
      </c>
      <c r="K2253" s="27">
        <f t="shared" si="3"/>
        <v>1</v>
      </c>
      <c r="L2253" s="25">
        <f t="shared" si="4"/>
        <v>1</v>
      </c>
    </row>
    <row r="2254">
      <c r="A2254" s="19">
        <v>93896.0</v>
      </c>
      <c r="B2254" s="20" t="str">
        <f t="array" ref="B2254">xlookup($A2254,product!$A:$A,product!B:B)</f>
        <v>Beauté &amp; Hygiène</v>
      </c>
      <c r="C2254" s="20" t="str">
        <f t="array" ref="C2254">xlookup($A2254,product!$A:$A,product!C:C)</f>
        <v>Soins du corps</v>
      </c>
      <c r="D2254" s="20" t="str">
        <f t="array" ref="D2254">xlookup($A2254,product!$A:$A,product!D:D)</f>
        <v>Soins mains et ongles</v>
      </c>
      <c r="E2254" s="4" t="str">
        <f t="shared" si="1"/>
        <v>93896-Soins du corps-Soins mains et ongles</v>
      </c>
      <c r="F2254" s="4">
        <v>0.0</v>
      </c>
      <c r="G2254" s="4">
        <v>570.0</v>
      </c>
      <c r="H2254" s="4">
        <v>119.0</v>
      </c>
      <c r="I2254" s="21">
        <f t="array" ref="I2254">XLOOKUP($A2254,product!A:A,product!E:E)</f>
        <v>2.08</v>
      </c>
      <c r="J2254" s="4">
        <f t="shared" si="2"/>
        <v>247.52</v>
      </c>
      <c r="K2254" s="22">
        <f t="shared" si="3"/>
        <v>1</v>
      </c>
      <c r="L2254" s="4">
        <f t="shared" si="4"/>
        <v>1</v>
      </c>
    </row>
    <row r="2255">
      <c r="A2255" s="23">
        <v>44386.0</v>
      </c>
      <c r="B2255" s="24" t="str">
        <f t="array" ref="B2255">xlookup($A2255,product!$A:$A,product!B:B)</f>
        <v>Beauté &amp; Hygiène</v>
      </c>
      <c r="C2255" s="24" t="str">
        <f t="array" ref="C2255">xlookup($A2255,product!$A:$A,product!C:C)</f>
        <v>Soins du corps</v>
      </c>
      <c r="D2255" s="24" t="str">
        <f t="array" ref="D2255">xlookup($A2255,product!$A:$A,product!D:D)</f>
        <v>Soins mains et ongles</v>
      </c>
      <c r="E2255" s="25" t="str">
        <f t="shared" si="1"/>
        <v>44386-Soins du corps-Soins mains et ongles</v>
      </c>
      <c r="F2255" s="25">
        <v>0.0</v>
      </c>
      <c r="G2255" s="25">
        <v>313.0</v>
      </c>
      <c r="H2255" s="25">
        <v>85.0</v>
      </c>
      <c r="I2255" s="26">
        <f t="array" ref="I2255">XLOOKUP($A2255,product!A:A,product!E:E)</f>
        <v>3.91</v>
      </c>
      <c r="J2255" s="25">
        <f t="shared" si="2"/>
        <v>332.35</v>
      </c>
      <c r="K2255" s="27">
        <f t="shared" si="3"/>
        <v>1</v>
      </c>
      <c r="L2255" s="25">
        <f t="shared" si="4"/>
        <v>1</v>
      </c>
    </row>
    <row r="2256">
      <c r="A2256" s="19">
        <v>188156.0</v>
      </c>
      <c r="B2256" s="20" t="str">
        <f t="array" ref="B2256">xlookup($A2256,product!$A:$A,product!B:B)</f>
        <v>Beauté &amp; Hygiène</v>
      </c>
      <c r="C2256" s="20" t="str">
        <f t="array" ref="C2256">xlookup($A2256,product!$A:$A,product!C:C)</f>
        <v>Soins du corps</v>
      </c>
      <c r="D2256" s="20" t="str">
        <f t="array" ref="D2256">xlookup($A2256,product!$A:$A,product!D:D)</f>
        <v>Soins mains et ongles</v>
      </c>
      <c r="E2256" s="4" t="str">
        <f t="shared" si="1"/>
        <v>188156-Soins du corps-Soins mains et ongles</v>
      </c>
      <c r="F2256" s="4">
        <v>0.0</v>
      </c>
      <c r="G2256" s="4">
        <v>69.0</v>
      </c>
      <c r="H2256" s="4">
        <v>3.0</v>
      </c>
      <c r="I2256" s="21">
        <f t="array" ref="I2256">XLOOKUP($A2256,product!A:A,product!E:E)</f>
        <v>3.15</v>
      </c>
      <c r="J2256" s="4">
        <f t="shared" si="2"/>
        <v>9.45</v>
      </c>
      <c r="K2256" s="22">
        <f t="shared" si="3"/>
        <v>1</v>
      </c>
      <c r="L2256" s="4">
        <f t="shared" si="4"/>
        <v>1</v>
      </c>
    </row>
    <row r="2257">
      <c r="A2257" s="23">
        <v>7360.0</v>
      </c>
      <c r="B2257" s="24" t="str">
        <f t="array" ref="B2257">xlookup($A2257,product!$A:$A,product!B:B)</f>
        <v>Beauté &amp; Hygiène</v>
      </c>
      <c r="C2257" s="24" t="str">
        <f t="array" ref="C2257">xlookup($A2257,product!$A:$A,product!C:C)</f>
        <v>Soins du corps</v>
      </c>
      <c r="D2257" s="24" t="str">
        <f t="array" ref="D2257">xlookup($A2257,product!$A:$A,product!D:D)</f>
        <v>Soins mains et ongles</v>
      </c>
      <c r="E2257" s="25" t="str">
        <f t="shared" si="1"/>
        <v>7360-Soins du corps-Soins mains et ongles</v>
      </c>
      <c r="F2257" s="25">
        <v>1.0</v>
      </c>
      <c r="G2257" s="25">
        <v>474.0</v>
      </c>
      <c r="H2257" s="25">
        <v>291.0</v>
      </c>
      <c r="I2257" s="26">
        <f t="array" ref="I2257">XLOOKUP($A2257,product!A:A,product!E:E)</f>
        <v>1.03</v>
      </c>
      <c r="J2257" s="25">
        <f t="shared" si="2"/>
        <v>299.73</v>
      </c>
      <c r="K2257" s="27">
        <f t="shared" si="3"/>
        <v>1</v>
      </c>
      <c r="L2257" s="25">
        <f t="shared" si="4"/>
        <v>1</v>
      </c>
    </row>
    <row r="2258">
      <c r="A2258" s="19">
        <v>79323.0</v>
      </c>
      <c r="B2258" s="20" t="str">
        <f t="array" ref="B2258">xlookup($A2258,product!$A:$A,product!B:B)</f>
        <v>Beauté &amp; Hygiène</v>
      </c>
      <c r="C2258" s="20" t="str">
        <f t="array" ref="C2258">xlookup($A2258,product!$A:$A,product!C:C)</f>
        <v>Soins du corps</v>
      </c>
      <c r="D2258" s="20" t="str">
        <f t="array" ref="D2258">xlookup($A2258,product!$A:$A,product!D:D)</f>
        <v>Soins pieds et jambes</v>
      </c>
      <c r="E2258" s="4" t="str">
        <f t="shared" si="1"/>
        <v>79323-Soins du corps-Soins pieds et jambes</v>
      </c>
      <c r="F2258" s="4">
        <v>0.0</v>
      </c>
      <c r="G2258" s="4">
        <v>564.0</v>
      </c>
      <c r="H2258" s="4">
        <v>487.0</v>
      </c>
      <c r="I2258" s="21">
        <f t="array" ref="I2258">XLOOKUP($A2258,product!A:A,product!E:E)</f>
        <v>4.76</v>
      </c>
      <c r="J2258" s="4">
        <f t="shared" si="2"/>
        <v>2318.12</v>
      </c>
      <c r="K2258" s="22">
        <f t="shared" si="3"/>
        <v>1</v>
      </c>
      <c r="L2258" s="4">
        <f t="shared" si="4"/>
        <v>1</v>
      </c>
    </row>
    <row r="2259">
      <c r="A2259" s="23">
        <v>72015.0</v>
      </c>
      <c r="B2259" s="24" t="str">
        <f t="array" ref="B2259">xlookup($A2259,product!$A:$A,product!B:B)</f>
        <v>Beauté &amp; Hygiène</v>
      </c>
      <c r="C2259" s="24" t="str">
        <f t="array" ref="C2259">xlookup($A2259,product!$A:$A,product!C:C)</f>
        <v>Soins du corps</v>
      </c>
      <c r="D2259" s="24" t="str">
        <f t="array" ref="D2259">xlookup($A2259,product!$A:$A,product!D:D)</f>
        <v>Soins pieds et jambes</v>
      </c>
      <c r="E2259" s="25" t="str">
        <f t="shared" si="1"/>
        <v>72015-Soins du corps-Soins pieds et jambes</v>
      </c>
      <c r="F2259" s="25">
        <v>0.0</v>
      </c>
      <c r="G2259" s="25">
        <v>903.0</v>
      </c>
      <c r="H2259" s="25">
        <v>536.0</v>
      </c>
      <c r="I2259" s="26">
        <f t="array" ref="I2259">XLOOKUP($A2259,product!A:A,product!E:E)</f>
        <v>2.24</v>
      </c>
      <c r="J2259" s="25">
        <f t="shared" si="2"/>
        <v>1200.64</v>
      </c>
      <c r="K2259" s="27">
        <f t="shared" si="3"/>
        <v>1</v>
      </c>
      <c r="L2259" s="25">
        <f t="shared" si="4"/>
        <v>1</v>
      </c>
    </row>
    <row r="2260">
      <c r="A2260" s="19">
        <v>44310.0</v>
      </c>
      <c r="B2260" s="20" t="str">
        <f t="array" ref="B2260">xlookup($A2260,product!$A:$A,product!B:B)</f>
        <v>Beauté &amp; Hygiène</v>
      </c>
      <c r="C2260" s="20" t="str">
        <f t="array" ref="C2260">xlookup($A2260,product!$A:$A,product!C:C)</f>
        <v>Soins du corps</v>
      </c>
      <c r="D2260" s="20" t="str">
        <f t="array" ref="D2260">xlookup($A2260,product!$A:$A,product!D:D)</f>
        <v>Soins pieds et jambes</v>
      </c>
      <c r="E2260" s="4" t="str">
        <f t="shared" si="1"/>
        <v>44310-Soins du corps-Soins pieds et jambes</v>
      </c>
      <c r="F2260" s="4">
        <v>1.0</v>
      </c>
      <c r="G2260" s="4">
        <v>944.0</v>
      </c>
      <c r="H2260" s="4">
        <v>540.0</v>
      </c>
      <c r="I2260" s="21">
        <f t="array" ref="I2260">XLOOKUP($A2260,product!A:A,product!E:E)</f>
        <v>3.56</v>
      </c>
      <c r="J2260" s="4">
        <f t="shared" si="2"/>
        <v>1922.4</v>
      </c>
      <c r="K2260" s="22">
        <f t="shared" si="3"/>
        <v>1</v>
      </c>
      <c r="L2260" s="4">
        <f t="shared" si="4"/>
        <v>1</v>
      </c>
    </row>
    <row r="2261">
      <c r="A2261" s="23">
        <v>77044.0</v>
      </c>
      <c r="B2261" s="24" t="str">
        <f t="array" ref="B2261">xlookup($A2261,product!$A:$A,product!B:B)</f>
        <v>Beauté &amp; Hygiène</v>
      </c>
      <c r="C2261" s="24" t="str">
        <f t="array" ref="C2261">xlookup($A2261,product!$A:$A,product!C:C)</f>
        <v>Soins du corps</v>
      </c>
      <c r="D2261" s="24" t="str">
        <f t="array" ref="D2261">xlookup($A2261,product!$A:$A,product!D:D)</f>
        <v>Soins pieds et jambes</v>
      </c>
      <c r="E2261" s="25" t="str">
        <f t="shared" si="1"/>
        <v>77044-Soins du corps-Soins pieds et jambes</v>
      </c>
      <c r="F2261" s="25">
        <v>0.0</v>
      </c>
      <c r="G2261" s="25">
        <v>180.0</v>
      </c>
      <c r="H2261" s="25">
        <v>138.0</v>
      </c>
      <c r="I2261" s="26">
        <f t="array" ref="I2261">XLOOKUP($A2261,product!A:A,product!E:E)</f>
        <v>6.36</v>
      </c>
      <c r="J2261" s="25">
        <f t="shared" si="2"/>
        <v>877.68</v>
      </c>
      <c r="K2261" s="27">
        <f t="shared" si="3"/>
        <v>1</v>
      </c>
      <c r="L2261" s="25">
        <f t="shared" si="4"/>
        <v>1</v>
      </c>
    </row>
    <row r="2262">
      <c r="A2262" s="19">
        <v>120636.0</v>
      </c>
      <c r="B2262" s="20" t="str">
        <f t="array" ref="B2262">xlookup($A2262,product!$A:$A,product!B:B)</f>
        <v>Beauté &amp; Hygiène</v>
      </c>
      <c r="C2262" s="20" t="str">
        <f t="array" ref="C2262">xlookup($A2262,product!$A:$A,product!C:C)</f>
        <v>Soins du corps</v>
      </c>
      <c r="D2262" s="20" t="str">
        <f t="array" ref="D2262">xlookup($A2262,product!$A:$A,product!D:D)</f>
        <v>Soins pieds et jambes</v>
      </c>
      <c r="E2262" s="4" t="str">
        <f t="shared" si="1"/>
        <v>120636-Soins du corps-Soins pieds et jambes</v>
      </c>
      <c r="F2262" s="4">
        <v>1.0</v>
      </c>
      <c r="G2262" s="4">
        <v>778.0</v>
      </c>
      <c r="H2262" s="4">
        <v>443.0</v>
      </c>
      <c r="I2262" s="21">
        <f t="array" ref="I2262">XLOOKUP($A2262,product!A:A,product!E:E)</f>
        <v>5.41</v>
      </c>
      <c r="J2262" s="4">
        <f t="shared" si="2"/>
        <v>2396.63</v>
      </c>
      <c r="K2262" s="22">
        <f t="shared" si="3"/>
        <v>1</v>
      </c>
      <c r="L2262" s="4">
        <f t="shared" si="4"/>
        <v>1</v>
      </c>
    </row>
    <row r="2263">
      <c r="A2263" s="23">
        <v>92662.0</v>
      </c>
      <c r="B2263" s="24" t="str">
        <f t="array" ref="B2263">xlookup($A2263,product!$A:$A,product!B:B)</f>
        <v>Beauté &amp; Hygiène</v>
      </c>
      <c r="C2263" s="24" t="str">
        <f t="array" ref="C2263">xlookup($A2263,product!$A:$A,product!C:C)</f>
        <v>Soins du corps</v>
      </c>
      <c r="D2263" s="24" t="str">
        <f t="array" ref="D2263">xlookup($A2263,product!$A:$A,product!D:D)</f>
        <v>Soins pieds et jambes</v>
      </c>
      <c r="E2263" s="25" t="str">
        <f t="shared" si="1"/>
        <v>92662-Soins du corps-Soins pieds et jambes</v>
      </c>
      <c r="F2263" s="25">
        <v>0.0</v>
      </c>
      <c r="G2263" s="25">
        <v>491.0</v>
      </c>
      <c r="H2263" s="25">
        <v>469.0</v>
      </c>
      <c r="I2263" s="26">
        <f t="array" ref="I2263">XLOOKUP($A2263,product!A:A,product!E:E)</f>
        <v>3.23</v>
      </c>
      <c r="J2263" s="25">
        <f t="shared" si="2"/>
        <v>1514.87</v>
      </c>
      <c r="K2263" s="27">
        <f t="shared" si="3"/>
        <v>1</v>
      </c>
      <c r="L2263" s="25">
        <f t="shared" si="4"/>
        <v>1</v>
      </c>
    </row>
    <row r="2264">
      <c r="A2264" s="19">
        <v>117263.0</v>
      </c>
      <c r="B2264" s="20" t="str">
        <f t="array" ref="B2264">xlookup($A2264,product!$A:$A,product!B:B)</f>
        <v>Beauté &amp; Hygiène</v>
      </c>
      <c r="C2264" s="20" t="str">
        <f t="array" ref="C2264">xlookup($A2264,product!$A:$A,product!C:C)</f>
        <v>Soins du corps</v>
      </c>
      <c r="D2264" s="20" t="str">
        <f t="array" ref="D2264">xlookup($A2264,product!$A:$A,product!D:D)</f>
        <v>Eau de toilette et Parfum</v>
      </c>
      <c r="E2264" s="4" t="str">
        <f t="shared" si="1"/>
        <v>117263-Soins du corps-Eau de toilette et Parfum</v>
      </c>
      <c r="F2264" s="4">
        <v>1.0</v>
      </c>
      <c r="G2264" s="4">
        <v>642.0</v>
      </c>
      <c r="H2264" s="4">
        <v>75.0</v>
      </c>
      <c r="I2264" s="21">
        <f t="array" ref="I2264">XLOOKUP($A2264,product!A:A,product!E:E)</f>
        <v>3.48</v>
      </c>
      <c r="J2264" s="4">
        <f t="shared" si="2"/>
        <v>261</v>
      </c>
      <c r="K2264" s="22">
        <f t="shared" si="3"/>
        <v>1</v>
      </c>
      <c r="L2264" s="4">
        <f t="shared" si="4"/>
        <v>1</v>
      </c>
    </row>
    <row r="2265">
      <c r="A2265" s="23">
        <v>117261.0</v>
      </c>
      <c r="B2265" s="24" t="str">
        <f t="array" ref="B2265">xlookup($A2265,product!$A:$A,product!B:B)</f>
        <v>Beauté &amp; Hygiène</v>
      </c>
      <c r="C2265" s="24" t="str">
        <f t="array" ref="C2265">xlookup($A2265,product!$A:$A,product!C:C)</f>
        <v>Soins du corps</v>
      </c>
      <c r="D2265" s="24" t="str">
        <f t="array" ref="D2265">xlookup($A2265,product!$A:$A,product!D:D)</f>
        <v>Eau de toilette et Parfum</v>
      </c>
      <c r="E2265" s="25" t="str">
        <f t="shared" si="1"/>
        <v>117261-Soins du corps-Eau de toilette et Parfum</v>
      </c>
      <c r="F2265" s="25">
        <v>0.0</v>
      </c>
      <c r="G2265" s="25">
        <v>529.0</v>
      </c>
      <c r="H2265" s="25">
        <v>159.0</v>
      </c>
      <c r="I2265" s="26">
        <f t="array" ref="I2265">XLOOKUP($A2265,product!A:A,product!E:E)</f>
        <v>3.48</v>
      </c>
      <c r="J2265" s="25">
        <f t="shared" si="2"/>
        <v>553.32</v>
      </c>
      <c r="K2265" s="27">
        <f t="shared" si="3"/>
        <v>1</v>
      </c>
      <c r="L2265" s="25">
        <f t="shared" si="4"/>
        <v>1</v>
      </c>
    </row>
    <row r="2266">
      <c r="A2266" s="19">
        <v>10644.0</v>
      </c>
      <c r="B2266" s="20" t="str">
        <f t="array" ref="B2266">xlookup($A2266,product!$A:$A,product!B:B)</f>
        <v>Beauté &amp; Hygiène</v>
      </c>
      <c r="C2266" s="20" t="str">
        <f t="array" ref="C2266">xlookup($A2266,product!$A:$A,product!C:C)</f>
        <v>Soins du corps</v>
      </c>
      <c r="D2266" s="20" t="str">
        <f t="array" ref="D2266">xlookup($A2266,product!$A:$A,product!D:D)</f>
        <v>Eau de toilette et Parfum</v>
      </c>
      <c r="E2266" s="4" t="str">
        <f t="shared" si="1"/>
        <v>10644-Soins du corps-Eau de toilette et Parfum</v>
      </c>
      <c r="F2266" s="4">
        <v>1.0</v>
      </c>
      <c r="G2266" s="4">
        <v>274.0</v>
      </c>
      <c r="H2266" s="4">
        <v>51.0</v>
      </c>
      <c r="I2266" s="21">
        <f t="array" ref="I2266">XLOOKUP($A2266,product!A:A,product!E:E)</f>
        <v>14</v>
      </c>
      <c r="J2266" s="4">
        <f t="shared" si="2"/>
        <v>714</v>
      </c>
      <c r="K2266" s="22">
        <f t="shared" si="3"/>
        <v>1</v>
      </c>
      <c r="L2266" s="4">
        <f t="shared" si="4"/>
        <v>1</v>
      </c>
    </row>
    <row r="2267">
      <c r="A2267" s="23">
        <v>102457.0</v>
      </c>
      <c r="B2267" s="24" t="str">
        <f t="array" ref="B2267">xlookup($A2267,product!$A:$A,product!B:B)</f>
        <v>Beauté &amp; Hygiène</v>
      </c>
      <c r="C2267" s="24" t="str">
        <f t="array" ref="C2267">xlookup($A2267,product!$A:$A,product!C:C)</f>
        <v>Soins du corps</v>
      </c>
      <c r="D2267" s="24" t="str">
        <f t="array" ref="D2267">xlookup($A2267,product!$A:$A,product!D:D)</f>
        <v>Baume et beurre de karité</v>
      </c>
      <c r="E2267" s="25" t="str">
        <f t="shared" si="1"/>
        <v>102457-Soins du corps-Baume et beurre de karité</v>
      </c>
      <c r="F2267" s="25">
        <v>1.0</v>
      </c>
      <c r="G2267" s="25">
        <v>684.0</v>
      </c>
      <c r="H2267" s="25">
        <v>502.0</v>
      </c>
      <c r="I2267" s="26">
        <f t="array" ref="I2267">XLOOKUP($A2267,product!A:A,product!E:E)</f>
        <v>2.77</v>
      </c>
      <c r="J2267" s="25">
        <f t="shared" si="2"/>
        <v>1390.54</v>
      </c>
      <c r="K2267" s="27">
        <f t="shared" si="3"/>
        <v>1</v>
      </c>
      <c r="L2267" s="25">
        <f t="shared" si="4"/>
        <v>1</v>
      </c>
    </row>
    <row r="2268">
      <c r="A2268" s="19">
        <v>117419.0</v>
      </c>
      <c r="B2268" s="20" t="str">
        <f t="array" ref="B2268">xlookup($A2268,product!$A:$A,product!B:B)</f>
        <v>Beauté &amp; Hygiène</v>
      </c>
      <c r="C2268" s="20" t="str">
        <f t="array" ref="C2268">xlookup($A2268,product!$A:$A,product!C:C)</f>
        <v>Soins du corps</v>
      </c>
      <c r="D2268" s="20" t="str">
        <f t="array" ref="D2268">xlookup($A2268,product!$A:$A,product!D:D)</f>
        <v>Baume et beurre de karité</v>
      </c>
      <c r="E2268" s="4" t="str">
        <f t="shared" si="1"/>
        <v>117419-Soins du corps-Baume et beurre de karité</v>
      </c>
      <c r="F2268" s="4">
        <v>1.0</v>
      </c>
      <c r="G2268" s="4">
        <v>798.0</v>
      </c>
      <c r="H2268" s="4">
        <v>292.0</v>
      </c>
      <c r="I2268" s="21">
        <f t="array" ref="I2268">XLOOKUP($A2268,product!A:A,product!E:E)</f>
        <v>7.54</v>
      </c>
      <c r="J2268" s="4">
        <f t="shared" si="2"/>
        <v>2201.68</v>
      </c>
      <c r="K2268" s="22">
        <f t="shared" si="3"/>
        <v>1</v>
      </c>
      <c r="L2268" s="4">
        <f t="shared" si="4"/>
        <v>1</v>
      </c>
    </row>
    <row r="2269">
      <c r="A2269" s="23">
        <v>150939.0</v>
      </c>
      <c r="B2269" s="24" t="str">
        <f t="array" ref="B2269">xlookup($A2269,product!$A:$A,product!B:B)</f>
        <v>Beauté &amp; Hygiène</v>
      </c>
      <c r="C2269" s="24" t="str">
        <f t="array" ref="C2269">xlookup($A2269,product!$A:$A,product!C:C)</f>
        <v>Soins du corps</v>
      </c>
      <c r="D2269" s="24" t="str">
        <f t="array" ref="D2269">xlookup($A2269,product!$A:$A,product!D:D)</f>
        <v>Baume et beurre de karité</v>
      </c>
      <c r="E2269" s="25" t="str">
        <f t="shared" si="1"/>
        <v>150939-Soins du corps-Baume et beurre de karité</v>
      </c>
      <c r="F2269" s="25">
        <v>1.0</v>
      </c>
      <c r="G2269" s="25">
        <v>706.0</v>
      </c>
      <c r="H2269" s="25">
        <v>229.0</v>
      </c>
      <c r="I2269" s="26">
        <f t="array" ref="I2269">XLOOKUP($A2269,product!A:A,product!E:E)</f>
        <v>6.53</v>
      </c>
      <c r="J2269" s="25">
        <f t="shared" si="2"/>
        <v>1495.37</v>
      </c>
      <c r="K2269" s="27">
        <f t="shared" si="3"/>
        <v>1</v>
      </c>
      <c r="L2269" s="25">
        <f t="shared" si="4"/>
        <v>1</v>
      </c>
    </row>
    <row r="2270">
      <c r="A2270" s="19">
        <v>10517.0</v>
      </c>
      <c r="B2270" s="20" t="str">
        <f t="array" ref="B2270">xlookup($A2270,product!$A:$A,product!B:B)</f>
        <v>Beauté &amp; Hygiène</v>
      </c>
      <c r="C2270" s="20" t="str">
        <f t="array" ref="C2270">xlookup($A2270,product!$A:$A,product!C:C)</f>
        <v>Soins du corps</v>
      </c>
      <c r="D2270" s="20" t="str">
        <f t="array" ref="D2270">xlookup($A2270,product!$A:$A,product!D:D)</f>
        <v>Baume et beurre de karité</v>
      </c>
      <c r="E2270" s="4" t="str">
        <f t="shared" si="1"/>
        <v>10517-Soins du corps-Baume et beurre de karité</v>
      </c>
      <c r="F2270" s="4">
        <v>1.0</v>
      </c>
      <c r="G2270" s="4">
        <v>96.0</v>
      </c>
      <c r="H2270" s="4">
        <v>23.0</v>
      </c>
      <c r="I2270" s="21">
        <f t="array" ref="I2270">XLOOKUP($A2270,product!A:A,product!E:E)</f>
        <v>4.24</v>
      </c>
      <c r="J2270" s="4">
        <f t="shared" si="2"/>
        <v>97.52</v>
      </c>
      <c r="K2270" s="22">
        <f t="shared" si="3"/>
        <v>1</v>
      </c>
      <c r="L2270" s="4">
        <f t="shared" si="4"/>
        <v>1</v>
      </c>
    </row>
    <row r="2271">
      <c r="A2271" s="23">
        <v>79109.0</v>
      </c>
      <c r="B2271" s="24" t="str">
        <f t="array" ref="B2271">xlookup($A2271,product!$A:$A,product!B:B)</f>
        <v>Beauté &amp; Hygiène</v>
      </c>
      <c r="C2271" s="24" t="str">
        <f t="array" ref="C2271">xlookup($A2271,product!$A:$A,product!C:C)</f>
        <v>Soins du corps</v>
      </c>
      <c r="D2271" s="24" t="str">
        <f t="array" ref="D2271">xlookup($A2271,product!$A:$A,product!D:D)</f>
        <v>Baume et beurre de karité</v>
      </c>
      <c r="E2271" s="25" t="str">
        <f t="shared" si="1"/>
        <v>79109-Soins du corps-Baume et beurre de karité</v>
      </c>
      <c r="F2271" s="25">
        <v>1.0</v>
      </c>
      <c r="G2271" s="25">
        <v>379.0</v>
      </c>
      <c r="H2271" s="25">
        <v>135.0</v>
      </c>
      <c r="I2271" s="26">
        <f t="array" ref="I2271">XLOOKUP($A2271,product!A:A,product!E:E)</f>
        <v>2.44</v>
      </c>
      <c r="J2271" s="25">
        <f t="shared" si="2"/>
        <v>329.4</v>
      </c>
      <c r="K2271" s="27">
        <f t="shared" si="3"/>
        <v>1</v>
      </c>
      <c r="L2271" s="25">
        <f t="shared" si="4"/>
        <v>1</v>
      </c>
    </row>
    <row r="2272">
      <c r="A2272" s="19">
        <v>118918.0</v>
      </c>
      <c r="B2272" s="20" t="str">
        <f t="array" ref="B2272">xlookup($A2272,product!$A:$A,product!B:B)</f>
        <v>Beauté &amp; Hygiène</v>
      </c>
      <c r="C2272" s="20" t="str">
        <f t="array" ref="C2272">xlookup($A2272,product!$A:$A,product!C:C)</f>
        <v>Soins du corps</v>
      </c>
      <c r="D2272" s="20" t="str">
        <f t="array" ref="D2272">xlookup($A2272,product!$A:$A,product!D:D)</f>
        <v>Baume et beurre de karité</v>
      </c>
      <c r="E2272" s="4" t="str">
        <f t="shared" si="1"/>
        <v>118918-Soins du corps-Baume et beurre de karité</v>
      </c>
      <c r="F2272" s="4">
        <v>1.0</v>
      </c>
      <c r="G2272" s="4">
        <v>559.0</v>
      </c>
      <c r="H2272" s="4">
        <v>364.0</v>
      </c>
      <c r="I2272" s="21">
        <f t="array" ref="I2272">XLOOKUP($A2272,product!A:A,product!E:E)</f>
        <v>4.42</v>
      </c>
      <c r="J2272" s="4">
        <f t="shared" si="2"/>
        <v>1608.88</v>
      </c>
      <c r="K2272" s="22">
        <f t="shared" si="3"/>
        <v>1</v>
      </c>
      <c r="L2272" s="4">
        <f t="shared" si="4"/>
        <v>1</v>
      </c>
    </row>
    <row r="2273">
      <c r="A2273" s="23">
        <v>102456.0</v>
      </c>
      <c r="B2273" s="24" t="str">
        <f t="array" ref="B2273">xlookup($A2273,product!$A:$A,product!B:B)</f>
        <v>Beauté &amp; Hygiène</v>
      </c>
      <c r="C2273" s="24" t="str">
        <f t="array" ref="C2273">xlookup($A2273,product!$A:$A,product!C:C)</f>
        <v>Soins du corps</v>
      </c>
      <c r="D2273" s="24" t="str">
        <f t="array" ref="D2273">xlookup($A2273,product!$A:$A,product!D:D)</f>
        <v>Baume et beurre de karité</v>
      </c>
      <c r="E2273" s="25" t="str">
        <f t="shared" si="1"/>
        <v>102456-Soins du corps-Baume et beurre de karité</v>
      </c>
      <c r="F2273" s="25">
        <v>1.0</v>
      </c>
      <c r="G2273" s="25">
        <v>37.0</v>
      </c>
      <c r="H2273" s="25">
        <v>17.0</v>
      </c>
      <c r="I2273" s="26">
        <f t="array" ref="I2273">XLOOKUP($A2273,product!A:A,product!E:E)</f>
        <v>2.77</v>
      </c>
      <c r="J2273" s="25">
        <f t="shared" si="2"/>
        <v>47.09</v>
      </c>
      <c r="K2273" s="27">
        <f t="shared" si="3"/>
        <v>1</v>
      </c>
      <c r="L2273" s="25">
        <f t="shared" si="4"/>
        <v>1</v>
      </c>
    </row>
    <row r="2274">
      <c r="A2274" s="19">
        <v>155865.0</v>
      </c>
      <c r="B2274" s="20" t="str">
        <f t="array" ref="B2274">xlookup($A2274,product!$A:$A,product!B:B)</f>
        <v>Beauté &amp; Hygiène</v>
      </c>
      <c r="C2274" s="20" t="str">
        <f t="array" ref="C2274">xlookup($A2274,product!$A:$A,product!C:C)</f>
        <v>Soins du corps</v>
      </c>
      <c r="D2274" s="20" t="str">
        <f t="array" ref="D2274">xlookup($A2274,product!$A:$A,product!D:D)</f>
        <v>Baume et beurre de karité</v>
      </c>
      <c r="E2274" s="4" t="str">
        <f t="shared" si="1"/>
        <v>155865-Soins du corps-Baume et beurre de karité</v>
      </c>
      <c r="F2274" s="4">
        <v>0.0</v>
      </c>
      <c r="G2274" s="4">
        <v>100.0</v>
      </c>
      <c r="H2274" s="4">
        <v>40.0</v>
      </c>
      <c r="I2274" s="21">
        <f t="array" ref="I2274">XLOOKUP($A2274,product!A:A,product!E:E)</f>
        <v>15.59</v>
      </c>
      <c r="J2274" s="4">
        <f t="shared" si="2"/>
        <v>623.6</v>
      </c>
      <c r="K2274" s="22">
        <f t="shared" si="3"/>
        <v>1</v>
      </c>
      <c r="L2274" s="4">
        <f t="shared" si="4"/>
        <v>1</v>
      </c>
    </row>
    <row r="2275">
      <c r="A2275" s="23">
        <v>100443.0</v>
      </c>
      <c r="B2275" s="24" t="str">
        <f t="array" ref="B2275">xlookup($A2275,product!$A:$A,product!B:B)</f>
        <v>Beauté &amp; Hygiène</v>
      </c>
      <c r="C2275" s="24" t="str">
        <f t="array" ref="C2275">xlookup($A2275,product!$A:$A,product!C:C)</f>
        <v>Soins du corps</v>
      </c>
      <c r="D2275" s="24" t="str">
        <f t="array" ref="D2275">xlookup($A2275,product!$A:$A,product!D:D)</f>
        <v>Baume et beurre de karité</v>
      </c>
      <c r="E2275" s="25" t="str">
        <f t="shared" si="1"/>
        <v>100443-Soins du corps-Baume et beurre de karité</v>
      </c>
      <c r="F2275" s="25">
        <v>0.0</v>
      </c>
      <c r="G2275" s="25">
        <v>309.0</v>
      </c>
      <c r="H2275" s="25">
        <v>252.0</v>
      </c>
      <c r="I2275" s="26">
        <f t="array" ref="I2275">XLOOKUP($A2275,product!A:A,product!E:E)</f>
        <v>5.59</v>
      </c>
      <c r="J2275" s="25">
        <f t="shared" si="2"/>
        <v>1408.68</v>
      </c>
      <c r="K2275" s="27">
        <f t="shared" si="3"/>
        <v>1</v>
      </c>
      <c r="L2275" s="25">
        <f t="shared" si="4"/>
        <v>1</v>
      </c>
    </row>
    <row r="2276">
      <c r="A2276" s="19">
        <v>93833.0</v>
      </c>
      <c r="B2276" s="20" t="str">
        <f t="array" ref="B2276">xlookup($A2276,product!$A:$A,product!B:B)</f>
        <v>Beauté &amp; Hygiène</v>
      </c>
      <c r="C2276" s="20" t="str">
        <f t="array" ref="C2276">xlookup($A2276,product!$A:$A,product!C:C)</f>
        <v>Soins du corps</v>
      </c>
      <c r="D2276" s="20" t="str">
        <f t="array" ref="D2276">xlookup($A2276,product!$A:$A,product!D:D)</f>
        <v>Baume et beurre de karité</v>
      </c>
      <c r="E2276" s="4" t="str">
        <f t="shared" si="1"/>
        <v>93833-Soins du corps-Baume et beurre de karité</v>
      </c>
      <c r="F2276" s="4">
        <v>0.0</v>
      </c>
      <c r="G2276" s="4">
        <v>400.0</v>
      </c>
      <c r="H2276" s="4">
        <v>115.0</v>
      </c>
      <c r="I2276" s="21">
        <f t="array" ref="I2276">XLOOKUP($A2276,product!A:A,product!E:E)</f>
        <v>3.36</v>
      </c>
      <c r="J2276" s="4">
        <f t="shared" si="2"/>
        <v>386.4</v>
      </c>
      <c r="K2276" s="22">
        <f t="shared" si="3"/>
        <v>1</v>
      </c>
      <c r="L2276" s="4">
        <f t="shared" si="4"/>
        <v>1</v>
      </c>
    </row>
    <row r="2277">
      <c r="A2277" s="23">
        <v>76693.0</v>
      </c>
      <c r="B2277" s="24" t="str">
        <f t="array" ref="B2277">xlookup($A2277,product!$A:$A,product!B:B)</f>
        <v>Beauté &amp; Hygiène</v>
      </c>
      <c r="C2277" s="24" t="str">
        <f t="array" ref="C2277">xlookup($A2277,product!$A:$A,product!C:C)</f>
        <v>Soins du corps</v>
      </c>
      <c r="D2277" s="24" t="str">
        <f t="array" ref="D2277">xlookup($A2277,product!$A:$A,product!D:D)</f>
        <v>Baume et beurre de karité</v>
      </c>
      <c r="E2277" s="25" t="str">
        <f t="shared" si="1"/>
        <v>76693-Soins du corps-Baume et beurre de karité</v>
      </c>
      <c r="F2277" s="25">
        <v>1.0</v>
      </c>
      <c r="G2277" s="25">
        <v>12.0</v>
      </c>
      <c r="H2277" s="25">
        <v>3.0</v>
      </c>
      <c r="I2277" s="26">
        <f t="array" ref="I2277">XLOOKUP($A2277,product!A:A,product!E:E)</f>
        <v>6.57</v>
      </c>
      <c r="J2277" s="25">
        <f t="shared" si="2"/>
        <v>19.71</v>
      </c>
      <c r="K2277" s="27">
        <f t="shared" si="3"/>
        <v>1</v>
      </c>
      <c r="L2277" s="25">
        <f t="shared" si="4"/>
        <v>1</v>
      </c>
    </row>
    <row r="2278">
      <c r="A2278" s="19">
        <v>100441.0</v>
      </c>
      <c r="B2278" s="20" t="str">
        <f t="array" ref="B2278">xlookup($A2278,product!$A:$A,product!B:B)</f>
        <v>Beauté &amp; Hygiène</v>
      </c>
      <c r="C2278" s="20" t="str">
        <f t="array" ref="C2278">xlookup($A2278,product!$A:$A,product!C:C)</f>
        <v>Soins du corps</v>
      </c>
      <c r="D2278" s="20" t="str">
        <f t="array" ref="D2278">xlookup($A2278,product!$A:$A,product!D:D)</f>
        <v>Baume et beurre de karité</v>
      </c>
      <c r="E2278" s="4" t="str">
        <f t="shared" si="1"/>
        <v>100441-Soins du corps-Baume et beurre de karité</v>
      </c>
      <c r="F2278" s="4">
        <v>0.0</v>
      </c>
      <c r="G2278" s="4">
        <v>921.0</v>
      </c>
      <c r="H2278" s="4">
        <v>120.0</v>
      </c>
      <c r="I2278" s="21">
        <f t="array" ref="I2278">XLOOKUP($A2278,product!A:A,product!E:E)</f>
        <v>5.59</v>
      </c>
      <c r="J2278" s="4">
        <f t="shared" si="2"/>
        <v>670.8</v>
      </c>
      <c r="K2278" s="22">
        <f t="shared" si="3"/>
        <v>1</v>
      </c>
      <c r="L2278" s="4">
        <f t="shared" si="4"/>
        <v>1</v>
      </c>
    </row>
    <row r="2279">
      <c r="A2279" s="23">
        <v>103230.0</v>
      </c>
      <c r="B2279" s="24" t="str">
        <f t="array" ref="B2279">xlookup($A2279,product!$A:$A,product!B:B)</f>
        <v>Beauté &amp; Hygiène</v>
      </c>
      <c r="C2279" s="24" t="str">
        <f t="array" ref="C2279">xlookup($A2279,product!$A:$A,product!C:C)</f>
        <v>Soins du corps</v>
      </c>
      <c r="D2279" s="24" t="str">
        <f t="array" ref="D2279">xlookup($A2279,product!$A:$A,product!D:D)</f>
        <v>Baume et beurre de karité</v>
      </c>
      <c r="E2279" s="25" t="str">
        <f t="shared" si="1"/>
        <v>103230-Soins du corps-Baume et beurre de karité</v>
      </c>
      <c r="F2279" s="25">
        <v>1.0</v>
      </c>
      <c r="G2279" s="25">
        <v>814.0</v>
      </c>
      <c r="H2279" s="25">
        <v>471.0</v>
      </c>
      <c r="I2279" s="26">
        <f t="array" ref="I2279">XLOOKUP($A2279,product!A:A,product!E:E)</f>
        <v>6.43</v>
      </c>
      <c r="J2279" s="25">
        <f t="shared" si="2"/>
        <v>3028.53</v>
      </c>
      <c r="K2279" s="27">
        <f t="shared" si="3"/>
        <v>1</v>
      </c>
      <c r="L2279" s="25">
        <f t="shared" si="4"/>
        <v>1</v>
      </c>
    </row>
    <row r="2280">
      <c r="A2280" s="19">
        <v>117902.0</v>
      </c>
      <c r="B2280" s="20" t="str">
        <f t="array" ref="B2280">xlookup($A2280,product!$A:$A,product!B:B)</f>
        <v>Maison</v>
      </c>
      <c r="C2280" s="20" t="str">
        <f t="array" ref="C2280">xlookup($A2280,product!$A:$A,product!C:C)</f>
        <v>Art de la table</v>
      </c>
      <c r="D2280" s="20" t="str">
        <f t="array" ref="D2280">xlookup($A2280,product!$A:$A,product!D:D)</f>
        <v>Assiette</v>
      </c>
      <c r="E2280" s="4" t="str">
        <f t="shared" si="1"/>
        <v>117902-Art de la table-Assiette</v>
      </c>
      <c r="F2280" s="4">
        <v>1.0</v>
      </c>
      <c r="G2280" s="4">
        <v>147.0</v>
      </c>
      <c r="H2280" s="4">
        <v>53.0</v>
      </c>
      <c r="I2280" s="21">
        <f t="array" ref="I2280">XLOOKUP($A2280,product!A:A,product!E:E)</f>
        <v>8.19</v>
      </c>
      <c r="J2280" s="4">
        <f t="shared" si="2"/>
        <v>434.07</v>
      </c>
      <c r="K2280" s="22">
        <f t="shared" si="3"/>
        <v>1</v>
      </c>
      <c r="L2280" s="4">
        <f t="shared" si="4"/>
        <v>1</v>
      </c>
    </row>
    <row r="2281">
      <c r="A2281" s="23">
        <v>105745.0</v>
      </c>
      <c r="B2281" s="24" t="str">
        <f t="array" ref="B2281">xlookup($A2281,product!$A:$A,product!B:B)</f>
        <v>Maison</v>
      </c>
      <c r="C2281" s="24" t="str">
        <f t="array" ref="C2281">xlookup($A2281,product!$A:$A,product!C:C)</f>
        <v>Art de la table</v>
      </c>
      <c r="D2281" s="24" t="str">
        <f t="array" ref="D2281">xlookup($A2281,product!$A:$A,product!D:D)</f>
        <v>Couverts</v>
      </c>
      <c r="E2281" s="25" t="str">
        <f t="shared" si="1"/>
        <v>105745-Art de la table-Couverts</v>
      </c>
      <c r="F2281" s="25">
        <v>0.0</v>
      </c>
      <c r="G2281" s="25">
        <v>710.0</v>
      </c>
      <c r="H2281" s="25">
        <v>177.0</v>
      </c>
      <c r="I2281" s="26">
        <f t="array" ref="I2281">XLOOKUP($A2281,product!A:A,product!E:E)</f>
        <v>1.63</v>
      </c>
      <c r="J2281" s="25">
        <f t="shared" si="2"/>
        <v>288.51</v>
      </c>
      <c r="K2281" s="27">
        <f t="shared" si="3"/>
        <v>1</v>
      </c>
      <c r="L2281" s="25">
        <f t="shared" si="4"/>
        <v>1</v>
      </c>
    </row>
    <row r="2282">
      <c r="A2282" s="19">
        <v>100811.0</v>
      </c>
      <c r="B2282" s="20" t="str">
        <f t="array" ref="B2282">xlookup($A2282,product!$A:$A,product!B:B)</f>
        <v>Maison</v>
      </c>
      <c r="C2282" s="20" t="str">
        <f t="array" ref="C2282">xlookup($A2282,product!$A:$A,product!C:C)</f>
        <v>Art de la table</v>
      </c>
      <c r="D2282" s="20" t="str">
        <f t="array" ref="D2282">xlookup($A2282,product!$A:$A,product!D:D)</f>
        <v>Couverts</v>
      </c>
      <c r="E2282" s="4" t="str">
        <f t="shared" si="1"/>
        <v>100811-Art de la table-Couverts</v>
      </c>
      <c r="F2282" s="4">
        <v>0.0</v>
      </c>
      <c r="G2282" s="4">
        <v>802.0</v>
      </c>
      <c r="H2282" s="4">
        <v>464.0</v>
      </c>
      <c r="I2282" s="21">
        <f t="array" ref="I2282">XLOOKUP($A2282,product!A:A,product!E:E)</f>
        <v>5.99</v>
      </c>
      <c r="J2282" s="4">
        <f t="shared" si="2"/>
        <v>2779.36</v>
      </c>
      <c r="K2282" s="22">
        <f t="shared" si="3"/>
        <v>1</v>
      </c>
      <c r="L2282" s="4">
        <f t="shared" si="4"/>
        <v>1</v>
      </c>
    </row>
    <row r="2283">
      <c r="A2283" s="23">
        <v>102505.0</v>
      </c>
      <c r="B2283" s="24" t="str">
        <f t="array" ref="B2283">xlookup($A2283,product!$A:$A,product!B:B)</f>
        <v>Maison</v>
      </c>
      <c r="C2283" s="24" t="str">
        <f t="array" ref="C2283">xlookup($A2283,product!$A:$A,product!C:C)</f>
        <v>Art de la table</v>
      </c>
      <c r="D2283" s="24" t="str">
        <f t="array" ref="D2283">xlookup($A2283,product!$A:$A,product!D:D)</f>
        <v>Verre, gobelet</v>
      </c>
      <c r="E2283" s="25" t="str">
        <f t="shared" si="1"/>
        <v>102505-Art de la table-Verre, gobelet</v>
      </c>
      <c r="F2283" s="25">
        <v>0.0</v>
      </c>
      <c r="G2283" s="25">
        <v>873.0</v>
      </c>
      <c r="H2283" s="25">
        <v>852.0</v>
      </c>
      <c r="I2283" s="26">
        <f t="array" ref="I2283">XLOOKUP($A2283,product!A:A,product!E:E)</f>
        <v>3.99</v>
      </c>
      <c r="J2283" s="25">
        <f t="shared" si="2"/>
        <v>3399.48</v>
      </c>
      <c r="K2283" s="27">
        <f t="shared" si="3"/>
        <v>1</v>
      </c>
      <c r="L2283" s="25">
        <f t="shared" si="4"/>
        <v>1</v>
      </c>
    </row>
    <row r="2284">
      <c r="A2284" s="19">
        <v>121317.0</v>
      </c>
      <c r="B2284" s="20" t="str">
        <f t="array" ref="B2284">xlookup($A2284,product!$A:$A,product!B:B)</f>
        <v>Maison</v>
      </c>
      <c r="C2284" s="20" t="str">
        <f t="array" ref="C2284">xlookup($A2284,product!$A:$A,product!C:C)</f>
        <v>Art de la table</v>
      </c>
      <c r="D2284" s="20" t="str">
        <f t="array" ref="D2284">xlookup($A2284,product!$A:$A,product!D:D)</f>
        <v>Verre, gobelet</v>
      </c>
      <c r="E2284" s="4" t="str">
        <f t="shared" si="1"/>
        <v>121317-Art de la table-Verre, gobelet</v>
      </c>
      <c r="F2284" s="4">
        <v>0.0</v>
      </c>
      <c r="G2284" s="4">
        <v>437.0</v>
      </c>
      <c r="H2284" s="4">
        <v>223.0</v>
      </c>
      <c r="I2284" s="21">
        <f t="array" ref="I2284">XLOOKUP($A2284,product!A:A,product!E:E)</f>
        <v>2.04</v>
      </c>
      <c r="J2284" s="4">
        <f t="shared" si="2"/>
        <v>454.92</v>
      </c>
      <c r="K2284" s="22">
        <f t="shared" si="3"/>
        <v>1</v>
      </c>
      <c r="L2284" s="4">
        <f t="shared" si="4"/>
        <v>1</v>
      </c>
    </row>
    <row r="2285">
      <c r="A2285" s="23">
        <v>121318.0</v>
      </c>
      <c r="B2285" s="24" t="str">
        <f t="array" ref="B2285">xlookup($A2285,product!$A:$A,product!B:B)</f>
        <v>Maison</v>
      </c>
      <c r="C2285" s="24" t="str">
        <f t="array" ref="C2285">xlookup($A2285,product!$A:$A,product!C:C)</f>
        <v>Art de la table</v>
      </c>
      <c r="D2285" s="24" t="str">
        <f t="array" ref="D2285">xlookup($A2285,product!$A:$A,product!D:D)</f>
        <v>Verre, gobelet</v>
      </c>
      <c r="E2285" s="25" t="str">
        <f t="shared" si="1"/>
        <v>121318-Art de la table-Verre, gobelet</v>
      </c>
      <c r="F2285" s="25">
        <v>1.0</v>
      </c>
      <c r="G2285" s="25">
        <v>261.0</v>
      </c>
      <c r="H2285" s="25">
        <v>128.0</v>
      </c>
      <c r="I2285" s="26">
        <f t="array" ref="I2285">XLOOKUP($A2285,product!A:A,product!E:E)</f>
        <v>2.04</v>
      </c>
      <c r="J2285" s="25">
        <f t="shared" si="2"/>
        <v>261.12</v>
      </c>
      <c r="K2285" s="27">
        <f t="shared" si="3"/>
        <v>1</v>
      </c>
      <c r="L2285" s="25">
        <f t="shared" si="4"/>
        <v>1</v>
      </c>
    </row>
    <row r="2286">
      <c r="A2286" s="19">
        <v>95155.0</v>
      </c>
      <c r="B2286" s="20" t="str">
        <f t="array" ref="B2286">xlookup($A2286,product!$A:$A,product!B:B)</f>
        <v>Maison</v>
      </c>
      <c r="C2286" s="20" t="str">
        <f t="array" ref="C2286">xlookup($A2286,product!$A:$A,product!C:C)</f>
        <v>Art de la table</v>
      </c>
      <c r="D2286" s="20" t="str">
        <f t="array" ref="D2286">xlookup($A2286,product!$A:$A,product!D:D)</f>
        <v>Accessoires thé et café</v>
      </c>
      <c r="E2286" s="4" t="str">
        <f t="shared" si="1"/>
        <v>95155-Art de la table-Accessoires thé et café</v>
      </c>
      <c r="F2286" s="4">
        <v>1.0</v>
      </c>
      <c r="G2286" s="4">
        <v>613.0</v>
      </c>
      <c r="H2286" s="4">
        <v>368.0</v>
      </c>
      <c r="I2286" s="21">
        <f t="array" ref="I2286">XLOOKUP($A2286,product!A:A,product!E:E)</f>
        <v>1.17</v>
      </c>
      <c r="J2286" s="4">
        <f t="shared" si="2"/>
        <v>430.56</v>
      </c>
      <c r="K2286" s="22">
        <f t="shared" si="3"/>
        <v>1</v>
      </c>
      <c r="L2286" s="4">
        <f t="shared" si="4"/>
        <v>1</v>
      </c>
    </row>
    <row r="2287">
      <c r="A2287" s="23">
        <v>25199.0</v>
      </c>
      <c r="B2287" s="24" t="str">
        <f t="array" ref="B2287">xlookup($A2287,product!$A:$A,product!B:B)</f>
        <v>Maison</v>
      </c>
      <c r="C2287" s="24" t="str">
        <f t="array" ref="C2287">xlookup($A2287,product!$A:$A,product!C:C)</f>
        <v>Art de la table</v>
      </c>
      <c r="D2287" s="24" t="str">
        <f t="array" ref="D2287">xlookup($A2287,product!$A:$A,product!D:D)</f>
        <v>Accessoires thé et café</v>
      </c>
      <c r="E2287" s="25" t="str">
        <f t="shared" si="1"/>
        <v>25199-Art de la table-Accessoires thé et café</v>
      </c>
      <c r="F2287" s="25">
        <v>0.0</v>
      </c>
      <c r="G2287" s="25">
        <v>76.0</v>
      </c>
      <c r="H2287" s="25">
        <v>10.0</v>
      </c>
      <c r="I2287" s="26">
        <f t="array" ref="I2287">XLOOKUP($A2287,product!A:A,product!E:E)</f>
        <v>1.99</v>
      </c>
      <c r="J2287" s="25">
        <f t="shared" si="2"/>
        <v>19.9</v>
      </c>
      <c r="K2287" s="27">
        <f t="shared" si="3"/>
        <v>1</v>
      </c>
      <c r="L2287" s="25">
        <f t="shared" si="4"/>
        <v>1</v>
      </c>
    </row>
    <row r="2288">
      <c r="A2288" s="19">
        <v>156020.0</v>
      </c>
      <c r="B2288" s="20" t="str">
        <f t="array" ref="B2288">xlookup($A2288,product!$A:$A,product!B:B)</f>
        <v>Maison</v>
      </c>
      <c r="C2288" s="20" t="str">
        <f t="array" ref="C2288">xlookup($A2288,product!$A:$A,product!C:C)</f>
        <v>Art de la table</v>
      </c>
      <c r="D2288" s="20" t="str">
        <f t="array" ref="D2288">xlookup($A2288,product!$A:$A,product!D:D)</f>
        <v>Accessoires thé et café</v>
      </c>
      <c r="E2288" s="4" t="str">
        <f t="shared" si="1"/>
        <v>156020-Art de la table-Accessoires thé et café</v>
      </c>
      <c r="F2288" s="4">
        <v>1.0</v>
      </c>
      <c r="G2288" s="4">
        <v>390.0</v>
      </c>
      <c r="H2288" s="4">
        <v>96.0</v>
      </c>
      <c r="I2288" s="21">
        <f t="array" ref="I2288">XLOOKUP($A2288,product!A:A,product!E:E)</f>
        <v>5.84</v>
      </c>
      <c r="J2288" s="4">
        <f t="shared" si="2"/>
        <v>560.64</v>
      </c>
      <c r="K2288" s="22">
        <f t="shared" si="3"/>
        <v>1</v>
      </c>
      <c r="L2288" s="4">
        <f t="shared" si="4"/>
        <v>1</v>
      </c>
    </row>
    <row r="2289">
      <c r="A2289" s="23">
        <v>28587.0</v>
      </c>
      <c r="B2289" s="24" t="str">
        <f t="array" ref="B2289">xlookup($A2289,product!$A:$A,product!B:B)</f>
        <v>Maison</v>
      </c>
      <c r="C2289" s="24" t="str">
        <f t="array" ref="C2289">xlookup($A2289,product!$A:$A,product!C:C)</f>
        <v>Art de la table</v>
      </c>
      <c r="D2289" s="24" t="str">
        <f t="array" ref="D2289">xlookup($A2289,product!$A:$A,product!D:D)</f>
        <v>Accessoires thé et café</v>
      </c>
      <c r="E2289" s="25" t="str">
        <f t="shared" si="1"/>
        <v>28587-Art de la table-Accessoires thé et café</v>
      </c>
      <c r="F2289" s="25">
        <v>0.0</v>
      </c>
      <c r="G2289" s="25">
        <v>826.0</v>
      </c>
      <c r="H2289" s="25">
        <v>615.0</v>
      </c>
      <c r="I2289" s="26">
        <f t="array" ref="I2289">XLOOKUP($A2289,product!A:A,product!E:E)</f>
        <v>1.99</v>
      </c>
      <c r="J2289" s="25">
        <f t="shared" si="2"/>
        <v>1223.85</v>
      </c>
      <c r="K2289" s="27">
        <f t="shared" si="3"/>
        <v>1</v>
      </c>
      <c r="L2289" s="25">
        <f t="shared" si="4"/>
        <v>1</v>
      </c>
    </row>
    <row r="2290">
      <c r="A2290" s="19">
        <v>16050.0</v>
      </c>
      <c r="B2290" s="20" t="str">
        <f t="array" ref="B2290">xlookup($A2290,product!$A:$A,product!B:B)</f>
        <v>Maison</v>
      </c>
      <c r="C2290" s="20" t="str">
        <f t="array" ref="C2290">xlookup($A2290,product!$A:$A,product!C:C)</f>
        <v>Art de la table</v>
      </c>
      <c r="D2290" s="20" t="str">
        <f t="array" ref="D2290">xlookup($A2290,product!$A:$A,product!D:D)</f>
        <v>Accessoires thé et café</v>
      </c>
      <c r="E2290" s="4" t="str">
        <f t="shared" si="1"/>
        <v>16050-Art de la table-Accessoires thé et café</v>
      </c>
      <c r="F2290" s="4">
        <v>0.0</v>
      </c>
      <c r="G2290" s="4">
        <v>612.0</v>
      </c>
      <c r="H2290" s="4">
        <v>438.0</v>
      </c>
      <c r="I2290" s="21">
        <f t="array" ref="I2290">XLOOKUP($A2290,product!A:A,product!E:E)</f>
        <v>1.19</v>
      </c>
      <c r="J2290" s="4">
        <f t="shared" si="2"/>
        <v>521.22</v>
      </c>
      <c r="K2290" s="22">
        <f t="shared" si="3"/>
        <v>1</v>
      </c>
      <c r="L2290" s="4">
        <f t="shared" si="4"/>
        <v>1</v>
      </c>
    </row>
    <row r="2291">
      <c r="A2291" s="23">
        <v>119453.0</v>
      </c>
      <c r="B2291" s="24" t="str">
        <f t="array" ref="B2291">xlookup($A2291,product!$A:$A,product!B:B)</f>
        <v>Maison</v>
      </c>
      <c r="C2291" s="24" t="str">
        <f t="array" ref="C2291">xlookup($A2291,product!$A:$A,product!C:C)</f>
        <v>Art de la table</v>
      </c>
      <c r="D2291" s="24" t="str">
        <f t="array" ref="D2291">xlookup($A2291,product!$A:$A,product!D:D)</f>
        <v>Accessoires thé et café</v>
      </c>
      <c r="E2291" s="25" t="str">
        <f t="shared" si="1"/>
        <v>119453-Art de la table-Accessoires thé et café</v>
      </c>
      <c r="F2291" s="25">
        <v>1.0</v>
      </c>
      <c r="G2291" s="25">
        <v>640.0</v>
      </c>
      <c r="H2291" s="25">
        <v>201.0</v>
      </c>
      <c r="I2291" s="26">
        <f t="array" ref="I2291">XLOOKUP($A2291,product!A:A,product!E:E)</f>
        <v>1.32</v>
      </c>
      <c r="J2291" s="25">
        <f t="shared" si="2"/>
        <v>265.32</v>
      </c>
      <c r="K2291" s="27">
        <f t="shared" si="3"/>
        <v>1</v>
      </c>
      <c r="L2291" s="25">
        <f t="shared" si="4"/>
        <v>1</v>
      </c>
    </row>
    <row r="2292">
      <c r="A2292" s="19">
        <v>113070.0</v>
      </c>
      <c r="B2292" s="20" t="str">
        <f t="array" ref="B2292">xlookup($A2292,product!$A:$A,product!B:B)</f>
        <v>Maison</v>
      </c>
      <c r="C2292" s="20" t="str">
        <f t="array" ref="C2292">xlookup($A2292,product!$A:$A,product!C:C)</f>
        <v>Art de la table</v>
      </c>
      <c r="D2292" s="20" t="str">
        <f t="array" ref="D2292">xlookup($A2292,product!$A:$A,product!D:D)</f>
        <v>Carafe, distributeur de boisson</v>
      </c>
      <c r="E2292" s="4" t="str">
        <f t="shared" si="1"/>
        <v>113070-Art de la table-Carafe, distributeur de boisson</v>
      </c>
      <c r="F2292" s="4">
        <v>0.0</v>
      </c>
      <c r="G2292" s="4">
        <v>370.0</v>
      </c>
      <c r="H2292" s="4">
        <v>183.0</v>
      </c>
      <c r="I2292" s="21">
        <f t="array" ref="I2292">XLOOKUP($A2292,product!A:A,product!E:E)</f>
        <v>0.76</v>
      </c>
      <c r="J2292" s="4">
        <f t="shared" si="2"/>
        <v>139.08</v>
      </c>
      <c r="K2292" s="22">
        <f t="shared" si="3"/>
        <v>1</v>
      </c>
      <c r="L2292" s="4">
        <f t="shared" si="4"/>
        <v>1</v>
      </c>
    </row>
    <row r="2293">
      <c r="A2293" s="23">
        <v>99097.0</v>
      </c>
      <c r="B2293" s="24" t="str">
        <f t="array" ref="B2293">xlookup($A2293,product!$A:$A,product!B:B)</f>
        <v>Maison</v>
      </c>
      <c r="C2293" s="24" t="str">
        <f t="array" ref="C2293">xlookup($A2293,product!$A:$A,product!C:C)</f>
        <v>Art de la table</v>
      </c>
      <c r="D2293" s="24" t="str">
        <f t="array" ref="D2293">xlookup($A2293,product!$A:$A,product!D:D)</f>
        <v>Carafe, distributeur de boisson</v>
      </c>
      <c r="E2293" s="25" t="str">
        <f t="shared" si="1"/>
        <v>99097-Art de la table-Carafe, distributeur de boisson</v>
      </c>
      <c r="F2293" s="25">
        <v>0.0</v>
      </c>
      <c r="G2293" s="25">
        <v>295.0</v>
      </c>
      <c r="H2293" s="25">
        <v>64.0</v>
      </c>
      <c r="I2293" s="26">
        <f t="array" ref="I2293">XLOOKUP($A2293,product!A:A,product!E:E)</f>
        <v>0.84</v>
      </c>
      <c r="J2293" s="25">
        <f t="shared" si="2"/>
        <v>53.76</v>
      </c>
      <c r="K2293" s="27">
        <f t="shared" si="3"/>
        <v>1</v>
      </c>
      <c r="L2293" s="25">
        <f t="shared" si="4"/>
        <v>1</v>
      </c>
    </row>
    <row r="2294">
      <c r="A2294" s="19">
        <v>99099.0</v>
      </c>
      <c r="B2294" s="20" t="str">
        <f t="array" ref="B2294">xlookup($A2294,product!$A:$A,product!B:B)</f>
        <v>Maison</v>
      </c>
      <c r="C2294" s="20" t="str">
        <f t="array" ref="C2294">xlookup($A2294,product!$A:$A,product!C:C)</f>
        <v>Art de la table</v>
      </c>
      <c r="D2294" s="20" t="str">
        <f t="array" ref="D2294">xlookup($A2294,product!$A:$A,product!D:D)</f>
        <v>Carafe, distributeur de boisson</v>
      </c>
      <c r="E2294" s="4" t="str">
        <f t="shared" si="1"/>
        <v>99099-Art de la table-Carafe, distributeur de boisson</v>
      </c>
      <c r="F2294" s="4">
        <v>1.0</v>
      </c>
      <c r="G2294" s="4">
        <v>341.0</v>
      </c>
      <c r="H2294" s="4">
        <v>11.0</v>
      </c>
      <c r="I2294" s="21">
        <f t="array" ref="I2294">XLOOKUP($A2294,product!A:A,product!E:E)</f>
        <v>0.98</v>
      </c>
      <c r="J2294" s="4">
        <f t="shared" si="2"/>
        <v>10.78</v>
      </c>
      <c r="K2294" s="22">
        <f t="shared" si="3"/>
        <v>1</v>
      </c>
      <c r="L2294" s="4">
        <f t="shared" si="4"/>
        <v>1</v>
      </c>
    </row>
    <row r="2295">
      <c r="A2295" s="23">
        <v>104998.0</v>
      </c>
      <c r="B2295" s="24" t="str">
        <f t="array" ref="B2295">xlookup($A2295,product!$A:$A,product!B:B)</f>
        <v>Boisson</v>
      </c>
      <c r="C2295" s="24" t="str">
        <f t="array" ref="C2295">xlookup($A2295,product!$A:$A,product!C:C)</f>
        <v>Eau aromatisée</v>
      </c>
      <c r="D2295" s="24" t="str">
        <f t="array" ref="D2295">xlookup($A2295,product!$A:$A,product!D:D)</f>
        <v/>
      </c>
      <c r="E2295" s="25" t="str">
        <f t="shared" si="1"/>
        <v>104998-Eau aromatisée-</v>
      </c>
      <c r="F2295" s="25">
        <v>1.0</v>
      </c>
      <c r="G2295" s="25">
        <v>8.0</v>
      </c>
      <c r="H2295" s="25">
        <v>1.0</v>
      </c>
      <c r="I2295" s="26">
        <f t="array" ref="I2295">XLOOKUP($A2295,product!A:A,product!E:E)</f>
        <v>2.75</v>
      </c>
      <c r="J2295" s="25">
        <f t="shared" si="2"/>
        <v>2.75</v>
      </c>
      <c r="K2295" s="27">
        <f t="shared" si="3"/>
        <v>1</v>
      </c>
      <c r="L2295" s="25">
        <f t="shared" si="4"/>
        <v>1</v>
      </c>
    </row>
    <row r="2296">
      <c r="A2296" s="19">
        <v>110524.0</v>
      </c>
      <c r="B2296" s="20" t="str">
        <f t="array" ref="B2296">xlookup($A2296,product!$A:$A,product!B:B)</f>
        <v>Boisson</v>
      </c>
      <c r="C2296" s="20" t="str">
        <f t="array" ref="C2296">xlookup($A2296,product!$A:$A,product!C:C)</f>
        <v>Eau aromatisée</v>
      </c>
      <c r="D2296" s="20" t="str">
        <f t="array" ref="D2296">xlookup($A2296,product!$A:$A,product!D:D)</f>
        <v/>
      </c>
      <c r="E2296" s="4" t="str">
        <f t="shared" si="1"/>
        <v>110524-Eau aromatisée-</v>
      </c>
      <c r="F2296" s="4">
        <v>1.0</v>
      </c>
      <c r="G2296" s="4">
        <v>560.0</v>
      </c>
      <c r="H2296" s="4">
        <v>233.0</v>
      </c>
      <c r="I2296" s="21">
        <f t="array" ref="I2296">XLOOKUP($A2296,product!A:A,product!E:E)</f>
        <v>3.48</v>
      </c>
      <c r="J2296" s="4">
        <f t="shared" si="2"/>
        <v>810.84</v>
      </c>
      <c r="K2296" s="22">
        <f t="shared" si="3"/>
        <v>1</v>
      </c>
      <c r="L2296" s="4">
        <f t="shared" si="4"/>
        <v>1</v>
      </c>
    </row>
    <row r="2297">
      <c r="A2297" s="23">
        <v>117133.0</v>
      </c>
      <c r="B2297" s="24" t="str">
        <f t="array" ref="B2297">xlookup($A2297,product!$A:$A,product!B:B)</f>
        <v>Maison</v>
      </c>
      <c r="C2297" s="24" t="str">
        <f t="array" ref="C2297">xlookup($A2297,product!$A:$A,product!C:C)</f>
        <v>Electroménager</v>
      </c>
      <c r="D2297" s="24" t="str">
        <f t="array" ref="D2297">xlookup($A2297,product!$A:$A,product!D:D)</f>
        <v>Petit déjeuner</v>
      </c>
      <c r="E2297" s="25" t="str">
        <f t="shared" si="1"/>
        <v>117133-Electroménager-Petit déjeuner</v>
      </c>
      <c r="F2297" s="25">
        <v>0.0</v>
      </c>
      <c r="G2297" s="25">
        <v>511.0</v>
      </c>
      <c r="H2297" s="25">
        <v>422.0</v>
      </c>
      <c r="I2297" s="26">
        <f t="array" ref="I2297">XLOOKUP($A2297,product!A:A,product!E:E)</f>
        <v>214.32</v>
      </c>
      <c r="J2297" s="25">
        <f t="shared" si="2"/>
        <v>90443.04</v>
      </c>
      <c r="K2297" s="27">
        <f t="shared" si="3"/>
        <v>1</v>
      </c>
      <c r="L2297" s="25">
        <f t="shared" si="4"/>
        <v>1</v>
      </c>
    </row>
    <row r="2298">
      <c r="A2298" s="19">
        <v>70696.0</v>
      </c>
      <c r="B2298" s="20" t="str">
        <f t="array" ref="B2298">xlookup($A2298,product!$A:$A,product!B:B)</f>
        <v>Maison</v>
      </c>
      <c r="C2298" s="20" t="str">
        <f t="array" ref="C2298">xlookup($A2298,product!$A:$A,product!C:C)</f>
        <v>Electroménager</v>
      </c>
      <c r="D2298" s="20" t="str">
        <f t="array" ref="D2298">xlookup($A2298,product!$A:$A,product!D:D)</f>
        <v>Petit déjeuner</v>
      </c>
      <c r="E2298" s="4" t="str">
        <f t="shared" si="1"/>
        <v>70696-Electroménager-Petit déjeuner</v>
      </c>
      <c r="F2298" s="4">
        <v>0.0</v>
      </c>
      <c r="G2298" s="4">
        <v>271.0</v>
      </c>
      <c r="H2298" s="4">
        <v>108.0</v>
      </c>
      <c r="I2298" s="21">
        <f t="array" ref="I2298">XLOOKUP($A2298,product!A:A,product!E:E)</f>
        <v>31.08</v>
      </c>
      <c r="J2298" s="4">
        <f t="shared" si="2"/>
        <v>3356.64</v>
      </c>
      <c r="K2298" s="22">
        <f t="shared" si="3"/>
        <v>1</v>
      </c>
      <c r="L2298" s="4">
        <f t="shared" si="4"/>
        <v>1</v>
      </c>
    </row>
    <row r="2299">
      <c r="A2299" s="23">
        <v>121278.0</v>
      </c>
      <c r="B2299" s="24" t="str">
        <f t="array" ref="B2299">xlookup($A2299,product!$A:$A,product!B:B)</f>
        <v>Maison</v>
      </c>
      <c r="C2299" s="24" t="str">
        <f t="array" ref="C2299">xlookup($A2299,product!$A:$A,product!C:C)</f>
        <v>Electroménager</v>
      </c>
      <c r="D2299" s="24" t="str">
        <f t="array" ref="D2299">xlookup($A2299,product!$A:$A,product!D:D)</f>
        <v>Appareils de cuisine</v>
      </c>
      <c r="E2299" s="25" t="str">
        <f t="shared" si="1"/>
        <v>121278-Electroménager-Appareils de cuisine</v>
      </c>
      <c r="F2299" s="25">
        <v>0.0</v>
      </c>
      <c r="G2299" s="25">
        <v>86.0</v>
      </c>
      <c r="H2299" s="25">
        <v>10.0</v>
      </c>
      <c r="I2299" s="26">
        <f t="array" ref="I2299">XLOOKUP($A2299,product!A:A,product!E:E)</f>
        <v>11.4</v>
      </c>
      <c r="J2299" s="25">
        <f t="shared" si="2"/>
        <v>114</v>
      </c>
      <c r="K2299" s="27">
        <f t="shared" si="3"/>
        <v>1</v>
      </c>
      <c r="L2299" s="25">
        <f t="shared" si="4"/>
        <v>1</v>
      </c>
    </row>
    <row r="2300">
      <c r="A2300" s="19">
        <v>74382.0</v>
      </c>
      <c r="B2300" s="20" t="str">
        <f t="array" ref="B2300">xlookup($A2300,product!$A:$A,product!B:B)</f>
        <v>Boisson</v>
      </c>
      <c r="C2300" s="20" t="str">
        <f t="array" ref="C2300">xlookup($A2300,product!$A:$A,product!C:C)</f>
        <v>Jus de légumes</v>
      </c>
      <c r="D2300" s="20" t="str">
        <f t="array" ref="D2300">xlookup($A2300,product!$A:$A,product!D:D)</f>
        <v>Jus de Breuss</v>
      </c>
      <c r="E2300" s="4" t="str">
        <f t="shared" si="1"/>
        <v>74382-Jus de légumes-Jus de Breuss</v>
      </c>
      <c r="F2300" s="4">
        <v>1.0</v>
      </c>
      <c r="G2300" s="4">
        <v>550.0</v>
      </c>
      <c r="H2300" s="4">
        <v>57.0</v>
      </c>
      <c r="I2300" s="21">
        <f t="array" ref="I2300">XLOOKUP($A2300,product!A:A,product!E:E)</f>
        <v>2.83</v>
      </c>
      <c r="J2300" s="4">
        <f t="shared" si="2"/>
        <v>161.31</v>
      </c>
      <c r="K2300" s="22">
        <f t="shared" si="3"/>
        <v>1</v>
      </c>
      <c r="L2300" s="4">
        <f t="shared" si="4"/>
        <v>1</v>
      </c>
    </row>
    <row r="2301">
      <c r="A2301" s="23">
        <v>121921.0</v>
      </c>
      <c r="B2301" s="24" t="str">
        <f t="array" ref="B2301">xlookup($A2301,product!$A:$A,product!B:B)</f>
        <v>Boisson</v>
      </c>
      <c r="C2301" s="24" t="str">
        <f t="array" ref="C2301">xlookup($A2301,product!$A:$A,product!C:C)</f>
        <v>Jus de légumes</v>
      </c>
      <c r="D2301" s="24" t="str">
        <f t="array" ref="D2301">xlookup($A2301,product!$A:$A,product!D:D)</f>
        <v>Jus de gingembre</v>
      </c>
      <c r="E2301" s="25" t="str">
        <f t="shared" si="1"/>
        <v>121921-Jus de légumes-Jus de gingembre</v>
      </c>
      <c r="F2301" s="25">
        <v>1.0</v>
      </c>
      <c r="G2301" s="25">
        <v>44.0</v>
      </c>
      <c r="H2301" s="25">
        <v>23.0</v>
      </c>
      <c r="I2301" s="26">
        <f t="array" ref="I2301">XLOOKUP($A2301,product!A:A,product!E:E)</f>
        <v>9.78</v>
      </c>
      <c r="J2301" s="25">
        <f t="shared" si="2"/>
        <v>224.94</v>
      </c>
      <c r="K2301" s="27">
        <f t="shared" si="3"/>
        <v>1</v>
      </c>
      <c r="L2301" s="25">
        <f t="shared" si="4"/>
        <v>1</v>
      </c>
    </row>
    <row r="2302">
      <c r="A2302" s="19">
        <v>83853.0</v>
      </c>
      <c r="B2302" s="20" t="str">
        <f t="array" ref="B2302">xlookup($A2302,product!$A:$A,product!B:B)</f>
        <v>Boisson</v>
      </c>
      <c r="C2302" s="20" t="str">
        <f t="array" ref="C2302">xlookup($A2302,product!$A:$A,product!C:C)</f>
        <v>Jus de légumes</v>
      </c>
      <c r="D2302" s="20" t="str">
        <f t="array" ref="D2302">xlookup($A2302,product!$A:$A,product!D:D)</f>
        <v>Jus de tomate bio</v>
      </c>
      <c r="E2302" s="4" t="str">
        <f t="shared" si="1"/>
        <v>83853-Jus de légumes-Jus de tomate bio</v>
      </c>
      <c r="F2302" s="4">
        <v>1.0</v>
      </c>
      <c r="G2302" s="4">
        <v>525.0</v>
      </c>
      <c r="H2302" s="4">
        <v>282.0</v>
      </c>
      <c r="I2302" s="21">
        <f t="array" ref="I2302">XLOOKUP($A2302,product!A:A,product!E:E)</f>
        <v>1.33</v>
      </c>
      <c r="J2302" s="4">
        <f t="shared" si="2"/>
        <v>375.06</v>
      </c>
      <c r="K2302" s="22">
        <f t="shared" si="3"/>
        <v>1</v>
      </c>
      <c r="L2302" s="4">
        <f t="shared" si="4"/>
        <v>1</v>
      </c>
    </row>
    <row r="2303">
      <c r="A2303" s="23">
        <v>111706.0</v>
      </c>
      <c r="B2303" s="24" t="str">
        <f t="array" ref="B2303">xlookup($A2303,product!$A:$A,product!B:B)</f>
        <v>Boisson</v>
      </c>
      <c r="C2303" s="24" t="str">
        <f t="array" ref="C2303">xlookup($A2303,product!$A:$A,product!C:C)</f>
        <v>Jus de légumes</v>
      </c>
      <c r="D2303" s="24" t="str">
        <f t="array" ref="D2303">xlookup($A2303,product!$A:$A,product!D:D)</f>
        <v>Jus de tomate bio</v>
      </c>
      <c r="E2303" s="25" t="str">
        <f t="shared" si="1"/>
        <v>111706-Jus de légumes-Jus de tomate bio</v>
      </c>
      <c r="F2303" s="25">
        <v>0.0</v>
      </c>
      <c r="G2303" s="25">
        <v>379.0</v>
      </c>
      <c r="H2303" s="25">
        <v>249.0</v>
      </c>
      <c r="I2303" s="26">
        <f t="array" ref="I2303">XLOOKUP($A2303,product!A:A,product!E:E)</f>
        <v>2.42</v>
      </c>
      <c r="J2303" s="25">
        <f t="shared" si="2"/>
        <v>602.58</v>
      </c>
      <c r="K2303" s="27">
        <f t="shared" si="3"/>
        <v>1</v>
      </c>
      <c r="L2303" s="25">
        <f t="shared" si="4"/>
        <v>1</v>
      </c>
    </row>
    <row r="2304">
      <c r="A2304" s="19">
        <v>15062.0</v>
      </c>
      <c r="B2304" s="20" t="str">
        <f t="array" ref="B2304">xlookup($A2304,product!$A:$A,product!B:B)</f>
        <v>Boisson</v>
      </c>
      <c r="C2304" s="20" t="str">
        <f t="array" ref="C2304">xlookup($A2304,product!$A:$A,product!C:C)</f>
        <v>Jus de légumes</v>
      </c>
      <c r="D2304" s="20" t="str">
        <f t="array" ref="D2304">xlookup($A2304,product!$A:$A,product!D:D)</f>
        <v>Jus de carotte bio</v>
      </c>
      <c r="E2304" s="4" t="str">
        <f t="shared" si="1"/>
        <v>15062-Jus de légumes-Jus de carotte bio</v>
      </c>
      <c r="F2304" s="4">
        <v>1.0</v>
      </c>
      <c r="G2304" s="4">
        <v>53.0</v>
      </c>
      <c r="H2304" s="4">
        <v>15.0</v>
      </c>
      <c r="I2304" s="21">
        <f t="array" ref="I2304">XLOOKUP($A2304,product!A:A,product!E:E)</f>
        <v>1.79</v>
      </c>
      <c r="J2304" s="4">
        <f t="shared" si="2"/>
        <v>26.85</v>
      </c>
      <c r="K2304" s="22">
        <f t="shared" si="3"/>
        <v>1</v>
      </c>
      <c r="L2304" s="4">
        <f t="shared" si="4"/>
        <v>1</v>
      </c>
    </row>
    <row r="2305">
      <c r="A2305" s="23">
        <v>79948.0</v>
      </c>
      <c r="B2305" s="24" t="str">
        <f t="array" ref="B2305">xlookup($A2305,product!$A:$A,product!B:B)</f>
        <v>Boisson</v>
      </c>
      <c r="C2305" s="24" t="str">
        <f t="array" ref="C2305">xlookup($A2305,product!$A:$A,product!C:C)</f>
        <v>Jus de légumes</v>
      </c>
      <c r="D2305" s="24" t="str">
        <f t="array" ref="D2305">xlookup($A2305,product!$A:$A,product!D:D)</f>
        <v>Jus de carotte bio</v>
      </c>
      <c r="E2305" s="25" t="str">
        <f t="shared" si="1"/>
        <v>79948-Jus de légumes-Jus de carotte bio</v>
      </c>
      <c r="F2305" s="25">
        <v>0.0</v>
      </c>
      <c r="G2305" s="25">
        <v>799.0</v>
      </c>
      <c r="H2305" s="25">
        <v>9.0</v>
      </c>
      <c r="I2305" s="26">
        <f t="array" ref="I2305">XLOOKUP($A2305,product!A:A,product!E:E)</f>
        <v>2.09</v>
      </c>
      <c r="J2305" s="25">
        <f t="shared" si="2"/>
        <v>18.81</v>
      </c>
      <c r="K2305" s="27">
        <f t="shared" si="3"/>
        <v>1</v>
      </c>
      <c r="L2305" s="25">
        <f t="shared" si="4"/>
        <v>1</v>
      </c>
    </row>
    <row r="2306">
      <c r="A2306" s="19">
        <v>84400.0</v>
      </c>
      <c r="B2306" s="20" t="str">
        <f t="array" ref="B2306">xlookup($A2306,product!$A:$A,product!B:B)</f>
        <v>Boisson</v>
      </c>
      <c r="C2306" s="20" t="str">
        <f t="array" ref="C2306">xlookup($A2306,product!$A:$A,product!C:C)</f>
        <v>Jus de légumes</v>
      </c>
      <c r="D2306" s="20" t="str">
        <f t="array" ref="D2306">xlookup($A2306,product!$A:$A,product!D:D)</f>
        <v>Jus de carotte bio</v>
      </c>
      <c r="E2306" s="4" t="str">
        <f t="shared" si="1"/>
        <v>84400-Jus de légumes-Jus de carotte bio</v>
      </c>
      <c r="F2306" s="4">
        <v>1.0</v>
      </c>
      <c r="G2306" s="4">
        <v>166.0</v>
      </c>
      <c r="H2306" s="4">
        <v>81.0</v>
      </c>
      <c r="I2306" s="21">
        <f t="array" ref="I2306">XLOOKUP($A2306,product!A:A,product!E:E)</f>
        <v>1.27</v>
      </c>
      <c r="J2306" s="4">
        <f t="shared" si="2"/>
        <v>102.87</v>
      </c>
      <c r="K2306" s="22">
        <f t="shared" si="3"/>
        <v>1</v>
      </c>
      <c r="L2306" s="4">
        <f t="shared" si="4"/>
        <v>1</v>
      </c>
    </row>
    <row r="2307">
      <c r="A2307" s="23">
        <v>79299.0</v>
      </c>
      <c r="B2307" s="24" t="str">
        <f t="array" ref="B2307">xlookup($A2307,product!$A:$A,product!B:B)</f>
        <v>Boisson</v>
      </c>
      <c r="C2307" s="24" t="str">
        <f t="array" ref="C2307">xlookup($A2307,product!$A:$A,product!C:C)</f>
        <v>Jus de légumes</v>
      </c>
      <c r="D2307" s="24" t="str">
        <f t="array" ref="D2307">xlookup($A2307,product!$A:$A,product!D:D)</f>
        <v>Jus de carotte bio</v>
      </c>
      <c r="E2307" s="25" t="str">
        <f t="shared" si="1"/>
        <v>79299-Jus de légumes-Jus de carotte bio</v>
      </c>
      <c r="F2307" s="25">
        <v>1.0</v>
      </c>
      <c r="G2307" s="25">
        <v>192.0</v>
      </c>
      <c r="H2307" s="25">
        <v>77.0</v>
      </c>
      <c r="I2307" s="26">
        <f t="array" ref="I2307">XLOOKUP($A2307,product!A:A,product!E:E)</f>
        <v>2.58</v>
      </c>
      <c r="J2307" s="25">
        <f t="shared" si="2"/>
        <v>198.66</v>
      </c>
      <c r="K2307" s="27">
        <f t="shared" si="3"/>
        <v>1</v>
      </c>
      <c r="L2307" s="25">
        <f t="shared" si="4"/>
        <v>1</v>
      </c>
    </row>
    <row r="2308">
      <c r="A2308" s="19">
        <v>19776.0</v>
      </c>
      <c r="B2308" s="20" t="str">
        <f t="array" ref="B2308">xlookup($A2308,product!$A:$A,product!B:B)</f>
        <v>Boisson</v>
      </c>
      <c r="C2308" s="20" t="str">
        <f t="array" ref="C2308">xlookup($A2308,product!$A:$A,product!C:C)</f>
        <v>Jus de légumes</v>
      </c>
      <c r="D2308" s="20" t="str">
        <f t="array" ref="D2308">xlookup($A2308,product!$A:$A,product!D:D)</f>
        <v>Jus de carotte bio</v>
      </c>
      <c r="E2308" s="4" t="str">
        <f t="shared" si="1"/>
        <v>19776-Jus de légumes-Jus de carotte bio</v>
      </c>
      <c r="F2308" s="4">
        <v>1.0</v>
      </c>
      <c r="G2308" s="4">
        <v>896.0</v>
      </c>
      <c r="H2308" s="4">
        <v>150.0</v>
      </c>
      <c r="I2308" s="21">
        <f t="array" ref="I2308">XLOOKUP($A2308,product!A:A,product!E:E)</f>
        <v>1.77</v>
      </c>
      <c r="J2308" s="4">
        <f t="shared" si="2"/>
        <v>265.5</v>
      </c>
      <c r="K2308" s="22">
        <f t="shared" si="3"/>
        <v>1</v>
      </c>
      <c r="L2308" s="4">
        <f t="shared" si="4"/>
        <v>1</v>
      </c>
    </row>
    <row r="2309">
      <c r="A2309" s="23">
        <v>74392.0</v>
      </c>
      <c r="B2309" s="24" t="str">
        <f t="array" ref="B2309">xlookup($A2309,product!$A:$A,product!B:B)</f>
        <v>Boisson</v>
      </c>
      <c r="C2309" s="24" t="str">
        <f t="array" ref="C2309">xlookup($A2309,product!$A:$A,product!C:C)</f>
        <v>Jus de légumes</v>
      </c>
      <c r="D2309" s="24" t="str">
        <f t="array" ref="D2309">xlookup($A2309,product!$A:$A,product!D:D)</f>
        <v>Jus multi légumes</v>
      </c>
      <c r="E2309" s="25" t="str">
        <f t="shared" si="1"/>
        <v>74392-Jus de légumes-Jus multi légumes</v>
      </c>
      <c r="F2309" s="25">
        <v>1.0</v>
      </c>
      <c r="G2309" s="25">
        <v>682.0</v>
      </c>
      <c r="H2309" s="25">
        <v>103.0</v>
      </c>
      <c r="I2309" s="26">
        <f t="array" ref="I2309">XLOOKUP($A2309,product!A:A,product!E:E)</f>
        <v>2.77</v>
      </c>
      <c r="J2309" s="25">
        <f t="shared" si="2"/>
        <v>285.31</v>
      </c>
      <c r="K2309" s="27">
        <f t="shared" si="3"/>
        <v>1</v>
      </c>
      <c r="L2309" s="25">
        <f t="shared" si="4"/>
        <v>1</v>
      </c>
    </row>
    <row r="2310">
      <c r="A2310" s="19">
        <v>83399.0</v>
      </c>
      <c r="B2310" s="20" t="str">
        <f t="array" ref="B2310">xlookup($A2310,product!$A:$A,product!B:B)</f>
        <v>Boisson</v>
      </c>
      <c r="C2310" s="20" t="str">
        <f t="array" ref="C2310">xlookup($A2310,product!$A:$A,product!C:C)</f>
        <v>Jus de légumes</v>
      </c>
      <c r="D2310" s="20" t="str">
        <f t="array" ref="D2310">xlookup($A2310,product!$A:$A,product!D:D)</f>
        <v>Jus multi légumes</v>
      </c>
      <c r="E2310" s="4" t="str">
        <f t="shared" si="1"/>
        <v>83399-Jus de légumes-Jus multi légumes</v>
      </c>
      <c r="F2310" s="4">
        <v>0.0</v>
      </c>
      <c r="G2310" s="4">
        <v>521.0</v>
      </c>
      <c r="H2310" s="4">
        <v>241.0</v>
      </c>
      <c r="I2310" s="21">
        <f t="array" ref="I2310">XLOOKUP($A2310,product!A:A,product!E:E)</f>
        <v>2.37</v>
      </c>
      <c r="J2310" s="4">
        <f t="shared" si="2"/>
        <v>571.17</v>
      </c>
      <c r="K2310" s="22">
        <f t="shared" si="3"/>
        <v>1</v>
      </c>
      <c r="L2310" s="4">
        <f t="shared" si="4"/>
        <v>1</v>
      </c>
    </row>
    <row r="2311">
      <c r="A2311" s="23">
        <v>74383.0</v>
      </c>
      <c r="B2311" s="24" t="str">
        <f t="array" ref="B2311">xlookup($A2311,product!$A:$A,product!B:B)</f>
        <v>Boisson</v>
      </c>
      <c r="C2311" s="24" t="str">
        <f t="array" ref="C2311">xlookup($A2311,product!$A:$A,product!C:C)</f>
        <v>Jus de légumes</v>
      </c>
      <c r="D2311" s="24" t="str">
        <f t="array" ref="D2311">xlookup($A2311,product!$A:$A,product!D:D)</f>
        <v>Jus multi légumes</v>
      </c>
      <c r="E2311" s="25" t="str">
        <f t="shared" si="1"/>
        <v>74383-Jus de légumes-Jus multi légumes</v>
      </c>
      <c r="F2311" s="25">
        <v>0.0</v>
      </c>
      <c r="G2311" s="25">
        <v>641.0</v>
      </c>
      <c r="H2311" s="25">
        <v>441.0</v>
      </c>
      <c r="I2311" s="26">
        <f t="array" ref="I2311">XLOOKUP($A2311,product!A:A,product!E:E)</f>
        <v>2.82</v>
      </c>
      <c r="J2311" s="25">
        <f t="shared" si="2"/>
        <v>1243.62</v>
      </c>
      <c r="K2311" s="27">
        <f t="shared" si="3"/>
        <v>1</v>
      </c>
      <c r="L2311" s="25">
        <f t="shared" si="4"/>
        <v>1</v>
      </c>
    </row>
    <row r="2312">
      <c r="A2312" s="19">
        <v>100819.0</v>
      </c>
      <c r="B2312" s="20" t="str">
        <f t="array" ref="B2312">xlookup($A2312,product!$A:$A,product!B:B)</f>
        <v>Boisson</v>
      </c>
      <c r="C2312" s="20" t="str">
        <f t="array" ref="C2312">xlookup($A2312,product!$A:$A,product!C:C)</f>
        <v>Jus de légumes</v>
      </c>
      <c r="D2312" s="20" t="str">
        <f t="array" ref="D2312">xlookup($A2312,product!$A:$A,product!D:D)</f>
        <v>Jus multi légumes</v>
      </c>
      <c r="E2312" s="4" t="str">
        <f t="shared" si="1"/>
        <v>100819-Jus de légumes-Jus multi légumes</v>
      </c>
      <c r="F2312" s="4">
        <v>1.0</v>
      </c>
      <c r="G2312" s="4">
        <v>773.0</v>
      </c>
      <c r="H2312" s="4">
        <v>147.0</v>
      </c>
      <c r="I2312" s="21">
        <f t="array" ref="I2312">XLOOKUP($A2312,product!A:A,product!E:E)</f>
        <v>2.58</v>
      </c>
      <c r="J2312" s="4">
        <f t="shared" si="2"/>
        <v>379.26</v>
      </c>
      <c r="K2312" s="22">
        <f t="shared" si="3"/>
        <v>1</v>
      </c>
      <c r="L2312" s="4">
        <f t="shared" si="4"/>
        <v>1</v>
      </c>
    </row>
    <row r="2313">
      <c r="A2313" s="23">
        <v>190857.0</v>
      </c>
      <c r="B2313" s="24" t="str">
        <f t="array" ref="B2313">xlookup($A2313,product!$A:$A,product!B:B)</f>
        <v>Boisson</v>
      </c>
      <c r="C2313" s="24" t="str">
        <f t="array" ref="C2313">xlookup($A2313,product!$A:$A,product!C:C)</f>
        <v>Jus de légumes</v>
      </c>
      <c r="D2313" s="24" t="str">
        <f t="array" ref="D2313">xlookup($A2313,product!$A:$A,product!D:D)</f>
        <v>Jus multi légumes</v>
      </c>
      <c r="E2313" s="25" t="str">
        <f t="shared" si="1"/>
        <v>190857-Jus de légumes-Jus multi légumes</v>
      </c>
      <c r="F2313" s="25">
        <v>0.0</v>
      </c>
      <c r="G2313" s="25">
        <v>682.0</v>
      </c>
      <c r="H2313" s="25">
        <v>498.0</v>
      </c>
      <c r="I2313" s="26">
        <f t="array" ref="I2313">XLOOKUP($A2313,product!A:A,product!E:E)</f>
        <v>3.33</v>
      </c>
      <c r="J2313" s="25">
        <f t="shared" si="2"/>
        <v>1658.34</v>
      </c>
      <c r="K2313" s="27">
        <f t="shared" si="3"/>
        <v>1</v>
      </c>
      <c r="L2313" s="25">
        <f t="shared" si="4"/>
        <v>1</v>
      </c>
    </row>
    <row r="2314">
      <c r="A2314" s="19">
        <v>120331.0</v>
      </c>
      <c r="B2314" s="20" t="str">
        <f t="array" ref="B2314">xlookup($A2314,product!$A:$A,product!B:B)</f>
        <v>Boisson</v>
      </c>
      <c r="C2314" s="20" t="str">
        <f t="array" ref="C2314">xlookup($A2314,product!$A:$A,product!C:C)</f>
        <v>Jus de légumes</v>
      </c>
      <c r="D2314" s="20" t="str">
        <f t="array" ref="D2314">xlookup($A2314,product!$A:$A,product!D:D)</f>
        <v>Jus multi légumes</v>
      </c>
      <c r="E2314" s="4" t="str">
        <f t="shared" si="1"/>
        <v>120331-Jus de légumes-Jus multi légumes</v>
      </c>
      <c r="F2314" s="4">
        <v>1.0</v>
      </c>
      <c r="G2314" s="4">
        <v>886.0</v>
      </c>
      <c r="H2314" s="4">
        <v>151.0</v>
      </c>
      <c r="I2314" s="21">
        <f t="array" ref="I2314">XLOOKUP($A2314,product!A:A,product!E:E)</f>
        <v>2.58</v>
      </c>
      <c r="J2314" s="4">
        <f t="shared" si="2"/>
        <v>389.58</v>
      </c>
      <c r="K2314" s="22">
        <f t="shared" si="3"/>
        <v>1</v>
      </c>
      <c r="L2314" s="4">
        <f t="shared" si="4"/>
        <v>1</v>
      </c>
    </row>
    <row r="2315">
      <c r="A2315" s="23">
        <v>87580.0</v>
      </c>
      <c r="B2315" s="24" t="str">
        <f t="array" ref="B2315">xlookup($A2315,product!$A:$A,product!B:B)</f>
        <v>Boisson</v>
      </c>
      <c r="C2315" s="24" t="str">
        <f t="array" ref="C2315">xlookup($A2315,product!$A:$A,product!C:C)</f>
        <v>Jus de légumes</v>
      </c>
      <c r="D2315" s="24" t="str">
        <f t="array" ref="D2315">xlookup($A2315,product!$A:$A,product!D:D)</f>
        <v>Jus multi légumes</v>
      </c>
      <c r="E2315" s="25" t="str">
        <f t="shared" si="1"/>
        <v>87580-Jus de légumes-Jus multi légumes</v>
      </c>
      <c r="F2315" s="25">
        <v>1.0</v>
      </c>
      <c r="G2315" s="25">
        <v>955.0</v>
      </c>
      <c r="H2315" s="25">
        <v>132.0</v>
      </c>
      <c r="I2315" s="26">
        <f t="array" ref="I2315">XLOOKUP($A2315,product!A:A,product!E:E)</f>
        <v>2.53</v>
      </c>
      <c r="J2315" s="25">
        <f t="shared" si="2"/>
        <v>333.96</v>
      </c>
      <c r="K2315" s="27">
        <f t="shared" si="3"/>
        <v>1</v>
      </c>
      <c r="L2315" s="25">
        <f t="shared" si="4"/>
        <v>1</v>
      </c>
    </row>
    <row r="2316">
      <c r="A2316" s="19">
        <v>79300.0</v>
      </c>
      <c r="B2316" s="20" t="str">
        <f t="array" ref="B2316">xlookup($A2316,product!$A:$A,product!B:B)</f>
        <v>Boisson</v>
      </c>
      <c r="C2316" s="20" t="str">
        <f t="array" ref="C2316">xlookup($A2316,product!$A:$A,product!C:C)</f>
        <v>Jus de légumes</v>
      </c>
      <c r="D2316" s="20" t="str">
        <f t="array" ref="D2316">xlookup($A2316,product!$A:$A,product!D:D)</f>
        <v>Jus multi légumes</v>
      </c>
      <c r="E2316" s="4" t="str">
        <f t="shared" si="1"/>
        <v>79300-Jus de légumes-Jus multi légumes</v>
      </c>
      <c r="F2316" s="4">
        <v>0.0</v>
      </c>
      <c r="G2316" s="4">
        <v>978.0</v>
      </c>
      <c r="H2316" s="4">
        <v>107.0</v>
      </c>
      <c r="I2316" s="21">
        <f t="array" ref="I2316">XLOOKUP($A2316,product!A:A,product!E:E)</f>
        <v>2.58</v>
      </c>
      <c r="J2316" s="4">
        <f t="shared" si="2"/>
        <v>276.06</v>
      </c>
      <c r="K2316" s="22">
        <f t="shared" si="3"/>
        <v>1</v>
      </c>
      <c r="L2316" s="4">
        <f t="shared" si="4"/>
        <v>1</v>
      </c>
    </row>
    <row r="2317">
      <c r="A2317" s="23">
        <v>79950.0</v>
      </c>
      <c r="B2317" s="24" t="str">
        <f t="array" ref="B2317">xlookup($A2317,product!$A:$A,product!B:B)</f>
        <v>Boisson</v>
      </c>
      <c r="C2317" s="24" t="str">
        <f t="array" ref="C2317">xlookup($A2317,product!$A:$A,product!C:C)</f>
        <v>Jus de légumes</v>
      </c>
      <c r="D2317" s="24" t="str">
        <f t="array" ref="D2317">xlookup($A2317,product!$A:$A,product!D:D)</f>
        <v>Jus de betterave bio</v>
      </c>
      <c r="E2317" s="25" t="str">
        <f t="shared" si="1"/>
        <v>79950-Jus de légumes-Jus de betterave bio</v>
      </c>
      <c r="F2317" s="25">
        <v>1.0</v>
      </c>
      <c r="G2317" s="25">
        <v>437.0</v>
      </c>
      <c r="H2317" s="25">
        <v>61.0</v>
      </c>
      <c r="I2317" s="26">
        <f t="array" ref="I2317">XLOOKUP($A2317,product!A:A,product!E:E)</f>
        <v>2.53</v>
      </c>
      <c r="J2317" s="25">
        <f t="shared" si="2"/>
        <v>154.33</v>
      </c>
      <c r="K2317" s="27">
        <f t="shared" si="3"/>
        <v>1</v>
      </c>
      <c r="L2317" s="25">
        <f t="shared" si="4"/>
        <v>1</v>
      </c>
    </row>
    <row r="2318">
      <c r="A2318" s="19">
        <v>84402.0</v>
      </c>
      <c r="B2318" s="20" t="str">
        <f t="array" ref="B2318">xlookup($A2318,product!$A:$A,product!B:B)</f>
        <v>Boisson</v>
      </c>
      <c r="C2318" s="20" t="str">
        <f t="array" ref="C2318">xlookup($A2318,product!$A:$A,product!C:C)</f>
        <v>Jus de légumes</v>
      </c>
      <c r="D2318" s="20" t="str">
        <f t="array" ref="D2318">xlookup($A2318,product!$A:$A,product!D:D)</f>
        <v>Jus de betterave bio</v>
      </c>
      <c r="E2318" s="4" t="str">
        <f t="shared" si="1"/>
        <v>84402-Jus de légumes-Jus de betterave bio</v>
      </c>
      <c r="F2318" s="4">
        <v>1.0</v>
      </c>
      <c r="G2318" s="4">
        <v>769.0</v>
      </c>
      <c r="H2318" s="4">
        <v>488.0</v>
      </c>
      <c r="I2318" s="21">
        <f t="array" ref="I2318">XLOOKUP($A2318,product!A:A,product!E:E)</f>
        <v>1.27</v>
      </c>
      <c r="J2318" s="4">
        <f t="shared" si="2"/>
        <v>619.76</v>
      </c>
      <c r="K2318" s="22">
        <f t="shared" si="3"/>
        <v>1</v>
      </c>
      <c r="L2318" s="4">
        <f t="shared" si="4"/>
        <v>1</v>
      </c>
    </row>
    <row r="2319">
      <c r="A2319" s="23">
        <v>79298.0</v>
      </c>
      <c r="B2319" s="24" t="str">
        <f t="array" ref="B2319">xlookup($A2319,product!$A:$A,product!B:B)</f>
        <v>Boisson</v>
      </c>
      <c r="C2319" s="24" t="str">
        <f t="array" ref="C2319">xlookup($A2319,product!$A:$A,product!C:C)</f>
        <v>Jus de légumes</v>
      </c>
      <c r="D2319" s="24" t="str">
        <f t="array" ref="D2319">xlookup($A2319,product!$A:$A,product!D:D)</f>
        <v>Jus de betterave bio</v>
      </c>
      <c r="E2319" s="25" t="str">
        <f t="shared" si="1"/>
        <v>79298-Jus de légumes-Jus de betterave bio</v>
      </c>
      <c r="F2319" s="25">
        <v>1.0</v>
      </c>
      <c r="G2319" s="25">
        <v>935.0</v>
      </c>
      <c r="H2319" s="25">
        <v>217.0</v>
      </c>
      <c r="I2319" s="26">
        <f t="array" ref="I2319">XLOOKUP($A2319,product!A:A,product!E:E)</f>
        <v>2.54</v>
      </c>
      <c r="J2319" s="25">
        <f t="shared" si="2"/>
        <v>551.18</v>
      </c>
      <c r="K2319" s="27">
        <f t="shared" si="3"/>
        <v>1</v>
      </c>
      <c r="L2319" s="25">
        <f t="shared" si="4"/>
        <v>1</v>
      </c>
    </row>
    <row r="2320">
      <c r="A2320" s="19">
        <v>145105.0</v>
      </c>
      <c r="B2320" s="20" t="str">
        <f t="array" ref="B2320">xlookup($A2320,product!$A:$A,product!B:B)</f>
        <v>Maison</v>
      </c>
      <c r="C2320" s="20" t="str">
        <f t="array" ref="C2320">xlookup($A2320,product!$A:$A,product!C:C)</f>
        <v>Linge de maison</v>
      </c>
      <c r="D2320" s="20" t="str">
        <f t="array" ref="D2320">xlookup($A2320,product!$A:$A,product!D:D)</f>
        <v>Linge de lit</v>
      </c>
      <c r="E2320" s="4" t="str">
        <f t="shared" si="1"/>
        <v>145105-Linge de maison-Linge de lit</v>
      </c>
      <c r="F2320" s="4">
        <v>0.0</v>
      </c>
      <c r="G2320" s="4">
        <v>759.0</v>
      </c>
      <c r="H2320" s="4">
        <v>348.0</v>
      </c>
      <c r="I2320" s="21">
        <f t="array" ref="I2320">XLOOKUP($A2320,product!A:A,product!E:E)</f>
        <v>4.7</v>
      </c>
      <c r="J2320" s="4">
        <f t="shared" si="2"/>
        <v>1635.6</v>
      </c>
      <c r="K2320" s="22">
        <f t="shared" si="3"/>
        <v>1</v>
      </c>
      <c r="L2320" s="4">
        <f t="shared" si="4"/>
        <v>1</v>
      </c>
    </row>
    <row r="2321">
      <c r="A2321" s="23">
        <v>92313.0</v>
      </c>
      <c r="B2321" s="24" t="str">
        <f t="array" ref="B2321">xlookup($A2321,product!$A:$A,product!B:B)</f>
        <v>Maison</v>
      </c>
      <c r="C2321" s="24" t="str">
        <f t="array" ref="C2321">xlookup($A2321,product!$A:$A,product!C:C)</f>
        <v>Linge de maison</v>
      </c>
      <c r="D2321" s="24" t="str">
        <f t="array" ref="D2321">xlookup($A2321,product!$A:$A,product!D:D)</f>
        <v>Linge de bain</v>
      </c>
      <c r="E2321" s="25" t="str">
        <f t="shared" si="1"/>
        <v>92313-Linge de maison-Linge de bain</v>
      </c>
      <c r="F2321" s="25">
        <v>0.0</v>
      </c>
      <c r="G2321" s="25">
        <v>556.0</v>
      </c>
      <c r="H2321" s="25">
        <v>427.0</v>
      </c>
      <c r="I2321" s="26">
        <f t="array" ref="I2321">XLOOKUP($A2321,product!A:A,product!E:E)</f>
        <v>6.4</v>
      </c>
      <c r="J2321" s="25">
        <f t="shared" si="2"/>
        <v>2732.8</v>
      </c>
      <c r="K2321" s="27">
        <f t="shared" si="3"/>
        <v>1</v>
      </c>
      <c r="L2321" s="25">
        <f t="shared" si="4"/>
        <v>1</v>
      </c>
    </row>
    <row r="2322">
      <c r="A2322" s="19">
        <v>121735.0</v>
      </c>
      <c r="B2322" s="20" t="str">
        <f t="array" ref="B2322">xlookup($A2322,product!$A:$A,product!B:B)</f>
        <v>Maison</v>
      </c>
      <c r="C2322" s="20" t="str">
        <f t="array" ref="C2322">xlookup($A2322,product!$A:$A,product!C:C)</f>
        <v>Linge de maison</v>
      </c>
      <c r="D2322" s="20" t="str">
        <f t="array" ref="D2322">xlookup($A2322,product!$A:$A,product!D:D)</f>
        <v>Linge de lit bébé, enfant</v>
      </c>
      <c r="E2322" s="4" t="str">
        <f t="shared" si="1"/>
        <v>121735-Linge de maison-Linge de lit bébé, enfant</v>
      </c>
      <c r="F2322" s="4">
        <v>1.0</v>
      </c>
      <c r="G2322" s="4">
        <v>200.0</v>
      </c>
      <c r="H2322" s="4">
        <v>184.0</v>
      </c>
      <c r="I2322" s="21">
        <f t="array" ref="I2322">XLOOKUP($A2322,product!A:A,product!E:E)</f>
        <v>9.95</v>
      </c>
      <c r="J2322" s="4">
        <f t="shared" si="2"/>
        <v>1830.8</v>
      </c>
      <c r="K2322" s="22">
        <f t="shared" si="3"/>
        <v>1</v>
      </c>
      <c r="L2322" s="4">
        <f t="shared" si="4"/>
        <v>1</v>
      </c>
    </row>
    <row r="2323">
      <c r="A2323" s="23">
        <v>47545.0</v>
      </c>
      <c r="B2323" s="24" t="str">
        <f t="array" ref="B2323">xlookup($A2323,product!$A:$A,product!B:B)</f>
        <v>Epicerie salée</v>
      </c>
      <c r="C2323" s="24" t="str">
        <f t="array" ref="C2323">xlookup($A2323,product!$A:$A,product!C:C)</f>
        <v>Plats cuisinés</v>
      </c>
      <c r="D2323" s="24" t="str">
        <f t="array" ref="D2323">xlookup($A2323,product!$A:$A,product!D:D)</f>
        <v>Salades bio</v>
      </c>
      <c r="E2323" s="25" t="str">
        <f t="shared" si="1"/>
        <v>47545-Plats cuisinés-Salades bio</v>
      </c>
      <c r="F2323" s="25">
        <v>1.0</v>
      </c>
      <c r="G2323" s="25">
        <v>486.0</v>
      </c>
      <c r="H2323" s="25">
        <v>288.0</v>
      </c>
      <c r="I2323" s="26">
        <f t="array" ref="I2323">XLOOKUP($A2323,product!A:A,product!E:E)</f>
        <v>1.89</v>
      </c>
      <c r="J2323" s="25">
        <f t="shared" si="2"/>
        <v>544.32</v>
      </c>
      <c r="K2323" s="27">
        <f t="shared" si="3"/>
        <v>1</v>
      </c>
      <c r="L2323" s="25">
        <f t="shared" si="4"/>
        <v>1</v>
      </c>
    </row>
    <row r="2324">
      <c r="A2324" s="19">
        <v>122630.0</v>
      </c>
      <c r="B2324" s="20" t="str">
        <f t="array" ref="B2324">xlookup($A2324,product!$A:$A,product!B:B)</f>
        <v>Epicerie salée</v>
      </c>
      <c r="C2324" s="20" t="str">
        <f t="array" ref="C2324">xlookup($A2324,product!$A:$A,product!C:C)</f>
        <v>Plats cuisinés</v>
      </c>
      <c r="D2324" s="20" t="str">
        <f t="array" ref="D2324">xlookup($A2324,product!$A:$A,product!D:D)</f>
        <v>Tofu et seitan</v>
      </c>
      <c r="E2324" s="4" t="str">
        <f t="shared" si="1"/>
        <v>122630-Plats cuisinés-Tofu et seitan</v>
      </c>
      <c r="F2324" s="4">
        <v>0.0</v>
      </c>
      <c r="G2324" s="4">
        <v>624.0</v>
      </c>
      <c r="H2324" s="4">
        <v>287.0</v>
      </c>
      <c r="I2324" s="21">
        <f t="array" ref="I2324">XLOOKUP($A2324,product!A:A,product!E:E)</f>
        <v>2.02</v>
      </c>
      <c r="J2324" s="4">
        <f t="shared" si="2"/>
        <v>579.74</v>
      </c>
      <c r="K2324" s="22">
        <f t="shared" si="3"/>
        <v>1</v>
      </c>
      <c r="L2324" s="4">
        <f t="shared" si="4"/>
        <v>1</v>
      </c>
    </row>
    <row r="2325">
      <c r="A2325" s="23">
        <v>159490.0</v>
      </c>
      <c r="B2325" s="24" t="str">
        <f t="array" ref="B2325">xlookup($A2325,product!$A:$A,product!B:B)</f>
        <v>Epicerie salée</v>
      </c>
      <c r="C2325" s="24" t="str">
        <f t="array" ref="C2325">xlookup($A2325,product!$A:$A,product!C:C)</f>
        <v>Plats cuisinés</v>
      </c>
      <c r="D2325" s="24" t="str">
        <f t="array" ref="D2325">xlookup($A2325,product!$A:$A,product!D:D)</f>
        <v>Tofu et seitan</v>
      </c>
      <c r="E2325" s="25" t="str">
        <f t="shared" si="1"/>
        <v>159490-Plats cuisinés-Tofu et seitan</v>
      </c>
      <c r="F2325" s="25">
        <v>0.0</v>
      </c>
      <c r="G2325" s="25">
        <v>956.0</v>
      </c>
      <c r="H2325" s="25">
        <v>337.0</v>
      </c>
      <c r="I2325" s="26">
        <f t="array" ref="I2325">XLOOKUP($A2325,product!A:A,product!E:E)</f>
        <v>1.93</v>
      </c>
      <c r="J2325" s="25">
        <f t="shared" si="2"/>
        <v>650.41</v>
      </c>
      <c r="K2325" s="27">
        <f t="shared" si="3"/>
        <v>1</v>
      </c>
      <c r="L2325" s="25">
        <f t="shared" si="4"/>
        <v>1</v>
      </c>
    </row>
    <row r="2326">
      <c r="A2326" s="19">
        <v>120519.0</v>
      </c>
      <c r="B2326" s="20" t="str">
        <f t="array" ref="B2326">xlookup($A2326,product!$A:$A,product!B:B)</f>
        <v>Epicerie salée</v>
      </c>
      <c r="C2326" s="20" t="str">
        <f t="array" ref="C2326">xlookup($A2326,product!$A:$A,product!C:C)</f>
        <v>Plats cuisinés</v>
      </c>
      <c r="D2326" s="20" t="str">
        <f t="array" ref="D2326">xlookup($A2326,product!$A:$A,product!D:D)</f>
        <v>Tofu et seitan</v>
      </c>
      <c r="E2326" s="4" t="str">
        <f t="shared" si="1"/>
        <v>120519-Plats cuisinés-Tofu et seitan</v>
      </c>
      <c r="F2326" s="4">
        <v>0.0</v>
      </c>
      <c r="G2326" s="4">
        <v>2.0</v>
      </c>
      <c r="H2326" s="4">
        <v>1.0</v>
      </c>
      <c r="I2326" s="21">
        <f t="array" ref="I2326">XLOOKUP($A2326,product!A:A,product!E:E)</f>
        <v>4.54</v>
      </c>
      <c r="J2326" s="4">
        <f t="shared" si="2"/>
        <v>4.54</v>
      </c>
      <c r="K2326" s="22">
        <f t="shared" si="3"/>
        <v>1</v>
      </c>
      <c r="L2326" s="4">
        <f t="shared" si="4"/>
        <v>1</v>
      </c>
    </row>
    <row r="2327">
      <c r="A2327" s="23">
        <v>159403.0</v>
      </c>
      <c r="B2327" s="24" t="str">
        <f t="array" ref="B2327">xlookup($A2327,product!$A:$A,product!B:B)</f>
        <v>Epicerie salée</v>
      </c>
      <c r="C2327" s="24" t="str">
        <f t="array" ref="C2327">xlookup($A2327,product!$A:$A,product!C:C)</f>
        <v>Plats cuisinés</v>
      </c>
      <c r="D2327" s="24" t="str">
        <f t="array" ref="D2327">xlookup($A2327,product!$A:$A,product!D:D)</f>
        <v>Tofu et seitan</v>
      </c>
      <c r="E2327" s="25" t="str">
        <f t="shared" si="1"/>
        <v>159403-Plats cuisinés-Tofu et seitan</v>
      </c>
      <c r="F2327" s="25">
        <v>0.0</v>
      </c>
      <c r="G2327" s="25">
        <v>404.0</v>
      </c>
      <c r="H2327" s="25">
        <v>0.0</v>
      </c>
      <c r="I2327" s="26">
        <f t="array" ref="I2327">XLOOKUP($A2327,product!A:A,product!E:E)</f>
        <v>1.93</v>
      </c>
      <c r="J2327" s="25">
        <f t="shared" si="2"/>
        <v>0</v>
      </c>
      <c r="K2327" s="27">
        <f t="shared" si="3"/>
        <v>0</v>
      </c>
      <c r="L2327" s="25">
        <f t="shared" si="4"/>
        <v>1</v>
      </c>
    </row>
    <row r="2328">
      <c r="A2328" s="19">
        <v>159617.0</v>
      </c>
      <c r="B2328" s="20" t="str">
        <f t="array" ref="B2328">xlookup($A2328,product!$A:$A,product!B:B)</f>
        <v>Epicerie salée</v>
      </c>
      <c r="C2328" s="20" t="str">
        <f t="array" ref="C2328">xlookup($A2328,product!$A:$A,product!C:C)</f>
        <v>Plats cuisinés</v>
      </c>
      <c r="D2328" s="20" t="str">
        <f t="array" ref="D2328">xlookup($A2328,product!$A:$A,product!D:D)</f>
        <v>Tofu et seitan</v>
      </c>
      <c r="E2328" s="4" t="str">
        <f t="shared" si="1"/>
        <v>159617-Plats cuisinés-Tofu et seitan</v>
      </c>
      <c r="F2328" s="4">
        <v>1.0</v>
      </c>
      <c r="G2328" s="4">
        <v>413.0</v>
      </c>
      <c r="H2328" s="4">
        <v>260.0</v>
      </c>
      <c r="I2328" s="21">
        <f t="array" ref="I2328">XLOOKUP($A2328,product!A:A,product!E:E)</f>
        <v>2.13</v>
      </c>
      <c r="J2328" s="4">
        <f t="shared" si="2"/>
        <v>553.8</v>
      </c>
      <c r="K2328" s="22">
        <f t="shared" si="3"/>
        <v>1</v>
      </c>
      <c r="L2328" s="4">
        <f t="shared" si="4"/>
        <v>1</v>
      </c>
    </row>
    <row r="2329">
      <c r="A2329" s="23">
        <v>85839.0</v>
      </c>
      <c r="B2329" s="24" t="str">
        <f t="array" ref="B2329">xlookup($A2329,product!$A:$A,product!B:B)</f>
        <v>Epicerie salée</v>
      </c>
      <c r="C2329" s="24" t="str">
        <f t="array" ref="C2329">xlookup($A2329,product!$A:$A,product!C:C)</f>
        <v>Plats cuisinés</v>
      </c>
      <c r="D2329" s="24" t="str">
        <f t="array" ref="D2329">xlookup($A2329,product!$A:$A,product!D:D)</f>
        <v>Tofu et seitan</v>
      </c>
      <c r="E2329" s="25" t="str">
        <f t="shared" si="1"/>
        <v>85839-Plats cuisinés-Tofu et seitan</v>
      </c>
      <c r="F2329" s="25">
        <v>1.0</v>
      </c>
      <c r="G2329" s="25">
        <v>84.0</v>
      </c>
      <c r="H2329" s="25">
        <v>75.0</v>
      </c>
      <c r="I2329" s="26">
        <f t="array" ref="I2329">XLOOKUP($A2329,product!A:A,product!E:E)</f>
        <v>1.71</v>
      </c>
      <c r="J2329" s="25">
        <f t="shared" si="2"/>
        <v>128.25</v>
      </c>
      <c r="K2329" s="27">
        <f t="shared" si="3"/>
        <v>1</v>
      </c>
      <c r="L2329" s="25">
        <f t="shared" si="4"/>
        <v>1</v>
      </c>
    </row>
    <row r="2330">
      <c r="A2330" s="19">
        <v>85838.0</v>
      </c>
      <c r="B2330" s="20" t="str">
        <f t="array" ref="B2330">xlookup($A2330,product!$A:$A,product!B:B)</f>
        <v>Epicerie salée</v>
      </c>
      <c r="C2330" s="20" t="str">
        <f t="array" ref="C2330">xlookup($A2330,product!$A:$A,product!C:C)</f>
        <v>Plats cuisinés</v>
      </c>
      <c r="D2330" s="20" t="str">
        <f t="array" ref="D2330">xlookup($A2330,product!$A:$A,product!D:D)</f>
        <v>Tofu et seitan</v>
      </c>
      <c r="E2330" s="4" t="str">
        <f t="shared" si="1"/>
        <v>85838-Plats cuisinés-Tofu et seitan</v>
      </c>
      <c r="F2330" s="4">
        <v>1.0</v>
      </c>
      <c r="G2330" s="4">
        <v>256.0</v>
      </c>
      <c r="H2330" s="4">
        <v>11.0</v>
      </c>
      <c r="I2330" s="21">
        <f t="array" ref="I2330">XLOOKUP($A2330,product!A:A,product!E:E)</f>
        <v>1.67</v>
      </c>
      <c r="J2330" s="4">
        <f t="shared" si="2"/>
        <v>18.37</v>
      </c>
      <c r="K2330" s="22">
        <f t="shared" si="3"/>
        <v>1</v>
      </c>
      <c r="L2330" s="4">
        <f t="shared" si="4"/>
        <v>1</v>
      </c>
    </row>
    <row r="2331">
      <c r="A2331" s="23">
        <v>8868.0</v>
      </c>
      <c r="B2331" s="24" t="str">
        <f t="array" ref="B2331">xlookup($A2331,product!$A:$A,product!B:B)</f>
        <v>Epicerie salée</v>
      </c>
      <c r="C2331" s="24" t="str">
        <f t="array" ref="C2331">xlookup($A2331,product!$A:$A,product!C:C)</f>
        <v>Plats cuisinés</v>
      </c>
      <c r="D2331" s="24" t="str">
        <f t="array" ref="D2331">xlookup($A2331,product!$A:$A,product!D:D)</f>
        <v>Tofu et seitan</v>
      </c>
      <c r="E2331" s="25" t="str">
        <f t="shared" si="1"/>
        <v>8868-Plats cuisinés-Tofu et seitan</v>
      </c>
      <c r="F2331" s="25">
        <v>0.0</v>
      </c>
      <c r="G2331" s="25">
        <v>201.0</v>
      </c>
      <c r="H2331" s="25">
        <v>141.0</v>
      </c>
      <c r="I2331" s="26">
        <f t="array" ref="I2331">XLOOKUP($A2331,product!A:A,product!E:E)</f>
        <v>3.29</v>
      </c>
      <c r="J2331" s="25">
        <f t="shared" si="2"/>
        <v>463.89</v>
      </c>
      <c r="K2331" s="27">
        <f t="shared" si="3"/>
        <v>1</v>
      </c>
      <c r="L2331" s="25">
        <f t="shared" si="4"/>
        <v>1</v>
      </c>
    </row>
    <row r="2332">
      <c r="A2332" s="19">
        <v>116191.0</v>
      </c>
      <c r="B2332" s="20" t="str">
        <f t="array" ref="B2332">xlookup($A2332,product!$A:$A,product!B:B)</f>
        <v>Epicerie salée</v>
      </c>
      <c r="C2332" s="20" t="str">
        <f t="array" ref="C2332">xlookup($A2332,product!$A:$A,product!C:C)</f>
        <v>Plats cuisinés</v>
      </c>
      <c r="D2332" s="20" t="str">
        <f t="array" ref="D2332">xlookup($A2332,product!$A:$A,product!D:D)</f>
        <v>Fruit du jacquier</v>
      </c>
      <c r="E2332" s="4" t="str">
        <f t="shared" si="1"/>
        <v>116191-Plats cuisinés-Fruit du jacquier</v>
      </c>
      <c r="F2332" s="4">
        <v>0.0</v>
      </c>
      <c r="G2332" s="4">
        <v>492.0</v>
      </c>
      <c r="H2332" s="4">
        <v>165.0</v>
      </c>
      <c r="I2332" s="21">
        <f t="array" ref="I2332">XLOOKUP($A2332,product!A:A,product!E:E)</f>
        <v>1.59</v>
      </c>
      <c r="J2332" s="4">
        <f t="shared" si="2"/>
        <v>262.35</v>
      </c>
      <c r="K2332" s="22">
        <f t="shared" si="3"/>
        <v>1</v>
      </c>
      <c r="L2332" s="4">
        <f t="shared" si="4"/>
        <v>1</v>
      </c>
    </row>
    <row r="2333">
      <c r="A2333" s="23">
        <v>90828.0</v>
      </c>
      <c r="B2333" s="24" t="str">
        <f t="array" ref="B2333">xlookup($A2333,product!$A:$A,product!B:B)</f>
        <v>Epicerie salée</v>
      </c>
      <c r="C2333" s="24" t="str">
        <f t="array" ref="C2333">xlookup($A2333,product!$A:$A,product!C:C)</f>
        <v>Plats cuisinés</v>
      </c>
      <c r="D2333" s="24" t="str">
        <f t="array" ref="D2333">xlookup($A2333,product!$A:$A,product!D:D)</f>
        <v>Galettes à cuire et falafel</v>
      </c>
      <c r="E2333" s="25" t="str">
        <f t="shared" si="1"/>
        <v>90828-Plats cuisinés-Galettes à cuire et falafel</v>
      </c>
      <c r="F2333" s="25">
        <v>1.0</v>
      </c>
      <c r="G2333" s="25">
        <v>108.0</v>
      </c>
      <c r="H2333" s="25">
        <v>78.0</v>
      </c>
      <c r="I2333" s="26">
        <f t="array" ref="I2333">XLOOKUP($A2333,product!A:A,product!E:E)</f>
        <v>1.43</v>
      </c>
      <c r="J2333" s="25">
        <f t="shared" si="2"/>
        <v>111.54</v>
      </c>
      <c r="K2333" s="27">
        <f t="shared" si="3"/>
        <v>1</v>
      </c>
      <c r="L2333" s="25">
        <f t="shared" si="4"/>
        <v>1</v>
      </c>
    </row>
    <row r="2334">
      <c r="A2334" s="19">
        <v>26276.0</v>
      </c>
      <c r="B2334" s="20" t="str">
        <f t="array" ref="B2334">xlookup($A2334,product!$A:$A,product!B:B)</f>
        <v>Epicerie salée</v>
      </c>
      <c r="C2334" s="20" t="str">
        <f t="array" ref="C2334">xlookup($A2334,product!$A:$A,product!C:C)</f>
        <v>Plats cuisinés</v>
      </c>
      <c r="D2334" s="20" t="str">
        <f t="array" ref="D2334">xlookup($A2334,product!$A:$A,product!D:D)</f>
        <v>Galettes à cuire et falafel</v>
      </c>
      <c r="E2334" s="4" t="str">
        <f t="shared" si="1"/>
        <v>26276-Plats cuisinés-Galettes à cuire et falafel</v>
      </c>
      <c r="F2334" s="4">
        <v>1.0</v>
      </c>
      <c r="G2334" s="4">
        <v>6.0</v>
      </c>
      <c r="H2334" s="4">
        <v>0.0</v>
      </c>
      <c r="I2334" s="21">
        <f t="array" ref="I2334">XLOOKUP($A2334,product!A:A,product!E:E)</f>
        <v>2.36</v>
      </c>
      <c r="J2334" s="4">
        <f t="shared" si="2"/>
        <v>0</v>
      </c>
      <c r="K2334" s="22">
        <f t="shared" si="3"/>
        <v>0</v>
      </c>
      <c r="L2334" s="4">
        <f t="shared" si="4"/>
        <v>1</v>
      </c>
    </row>
    <row r="2335">
      <c r="A2335" s="23">
        <v>29022.0</v>
      </c>
      <c r="B2335" s="24" t="str">
        <f t="array" ref="B2335">xlookup($A2335,product!$A:$A,product!B:B)</f>
        <v>Epicerie salée</v>
      </c>
      <c r="C2335" s="24" t="str">
        <f t="array" ref="C2335">xlookup($A2335,product!$A:$A,product!C:C)</f>
        <v>Plats cuisinés</v>
      </c>
      <c r="D2335" s="24" t="str">
        <f t="array" ref="D2335">xlookup($A2335,product!$A:$A,product!D:D)</f>
        <v>Galettes à cuire et falafel</v>
      </c>
      <c r="E2335" s="25" t="str">
        <f t="shared" si="1"/>
        <v>29022-Plats cuisinés-Galettes à cuire et falafel</v>
      </c>
      <c r="F2335" s="25">
        <v>1.0</v>
      </c>
      <c r="G2335" s="25">
        <v>887.0</v>
      </c>
      <c r="H2335" s="25">
        <v>534.0</v>
      </c>
      <c r="I2335" s="26">
        <f t="array" ref="I2335">XLOOKUP($A2335,product!A:A,product!E:E)</f>
        <v>2.36</v>
      </c>
      <c r="J2335" s="25">
        <f t="shared" si="2"/>
        <v>1260.24</v>
      </c>
      <c r="K2335" s="27">
        <f t="shared" si="3"/>
        <v>1</v>
      </c>
      <c r="L2335" s="25">
        <f t="shared" si="4"/>
        <v>1</v>
      </c>
    </row>
    <row r="2336">
      <c r="A2336" s="19">
        <v>111081.0</v>
      </c>
      <c r="B2336" s="20" t="str">
        <f t="array" ref="B2336">xlookup($A2336,product!$A:$A,product!B:B)</f>
        <v>Epicerie salée</v>
      </c>
      <c r="C2336" s="20" t="str">
        <f t="array" ref="C2336">xlookup($A2336,product!$A:$A,product!C:C)</f>
        <v>Plats cuisinés</v>
      </c>
      <c r="D2336" s="20" t="str">
        <f t="array" ref="D2336">xlookup($A2336,product!$A:$A,product!D:D)</f>
        <v>Galettes à cuire et falafel</v>
      </c>
      <c r="E2336" s="4" t="str">
        <f t="shared" si="1"/>
        <v>111081-Plats cuisinés-Galettes à cuire et falafel</v>
      </c>
      <c r="F2336" s="4">
        <v>1.0</v>
      </c>
      <c r="G2336" s="4">
        <v>753.0</v>
      </c>
      <c r="H2336" s="4">
        <v>228.0</v>
      </c>
      <c r="I2336" s="21">
        <f t="array" ref="I2336">XLOOKUP($A2336,product!A:A,product!E:E)</f>
        <v>1.7</v>
      </c>
      <c r="J2336" s="4">
        <f t="shared" si="2"/>
        <v>387.6</v>
      </c>
      <c r="K2336" s="22">
        <f t="shared" si="3"/>
        <v>1</v>
      </c>
      <c r="L2336" s="4">
        <f t="shared" si="4"/>
        <v>1</v>
      </c>
    </row>
    <row r="2337">
      <c r="A2337" s="23">
        <v>26277.0</v>
      </c>
      <c r="B2337" s="24" t="str">
        <f t="array" ref="B2337">xlookup($A2337,product!$A:$A,product!B:B)</f>
        <v>Epicerie salée</v>
      </c>
      <c r="C2337" s="24" t="str">
        <f t="array" ref="C2337">xlookup($A2337,product!$A:$A,product!C:C)</f>
        <v>Plats cuisinés</v>
      </c>
      <c r="D2337" s="24" t="str">
        <f t="array" ref="D2337">xlookup($A2337,product!$A:$A,product!D:D)</f>
        <v>Galettes à cuire et falafel</v>
      </c>
      <c r="E2337" s="25" t="str">
        <f t="shared" si="1"/>
        <v>26277-Plats cuisinés-Galettes à cuire et falafel</v>
      </c>
      <c r="F2337" s="25">
        <v>1.0</v>
      </c>
      <c r="G2337" s="25">
        <v>329.0</v>
      </c>
      <c r="H2337" s="25">
        <v>274.0</v>
      </c>
      <c r="I2337" s="26">
        <f t="array" ref="I2337">XLOOKUP($A2337,product!A:A,product!E:E)</f>
        <v>2.36</v>
      </c>
      <c r="J2337" s="25">
        <f t="shared" si="2"/>
        <v>646.64</v>
      </c>
      <c r="K2337" s="27">
        <f t="shared" si="3"/>
        <v>1</v>
      </c>
      <c r="L2337" s="25">
        <f t="shared" si="4"/>
        <v>1</v>
      </c>
    </row>
    <row r="2338">
      <c r="A2338" s="19">
        <v>100251.0</v>
      </c>
      <c r="B2338" s="20" t="str">
        <f t="array" ref="B2338">xlookup($A2338,product!$A:$A,product!B:B)</f>
        <v>Epicerie salée</v>
      </c>
      <c r="C2338" s="20" t="str">
        <f t="array" ref="C2338">xlookup($A2338,product!$A:$A,product!C:C)</f>
        <v>Plats cuisinés</v>
      </c>
      <c r="D2338" s="20" t="str">
        <f t="array" ref="D2338">xlookup($A2338,product!$A:$A,product!D:D)</f>
        <v>Galettes à cuire et falafel</v>
      </c>
      <c r="E2338" s="4" t="str">
        <f t="shared" si="1"/>
        <v>100251-Plats cuisinés-Galettes à cuire et falafel</v>
      </c>
      <c r="F2338" s="4">
        <v>1.0</v>
      </c>
      <c r="G2338" s="4">
        <v>796.0</v>
      </c>
      <c r="H2338" s="4">
        <v>748.0</v>
      </c>
      <c r="I2338" s="21">
        <f t="array" ref="I2338">XLOOKUP($A2338,product!A:A,product!E:E)</f>
        <v>1.68</v>
      </c>
      <c r="J2338" s="4">
        <f t="shared" si="2"/>
        <v>1256.64</v>
      </c>
      <c r="K2338" s="22">
        <f t="shared" si="3"/>
        <v>1</v>
      </c>
      <c r="L2338" s="4">
        <f t="shared" si="4"/>
        <v>1</v>
      </c>
    </row>
    <row r="2339">
      <c r="A2339" s="23">
        <v>87885.0</v>
      </c>
      <c r="B2339" s="24" t="str">
        <f t="array" ref="B2339">xlookup($A2339,product!$A:$A,product!B:B)</f>
        <v>Epicerie salée</v>
      </c>
      <c r="C2339" s="24" t="str">
        <f t="array" ref="C2339">xlookup($A2339,product!$A:$A,product!C:C)</f>
        <v>Plats cuisinés</v>
      </c>
      <c r="D2339" s="24" t="str">
        <f t="array" ref="D2339">xlookup($A2339,product!$A:$A,product!D:D)</f>
        <v>Galettes à cuire et falafel</v>
      </c>
      <c r="E2339" s="25" t="str">
        <f t="shared" si="1"/>
        <v>87885-Plats cuisinés-Galettes à cuire et falafel</v>
      </c>
      <c r="F2339" s="25">
        <v>1.0</v>
      </c>
      <c r="G2339" s="25">
        <v>256.0</v>
      </c>
      <c r="H2339" s="25">
        <v>113.0</v>
      </c>
      <c r="I2339" s="26">
        <f t="array" ref="I2339">XLOOKUP($A2339,product!A:A,product!E:E)</f>
        <v>2.32</v>
      </c>
      <c r="J2339" s="25">
        <f t="shared" si="2"/>
        <v>262.16</v>
      </c>
      <c r="K2339" s="27">
        <f t="shared" si="3"/>
        <v>1</v>
      </c>
      <c r="L2339" s="25">
        <f t="shared" si="4"/>
        <v>1</v>
      </c>
    </row>
    <row r="2340">
      <c r="A2340" s="19">
        <v>29023.0</v>
      </c>
      <c r="B2340" s="20" t="str">
        <f t="array" ref="B2340">xlookup($A2340,product!$A:$A,product!B:B)</f>
        <v>Epicerie salée</v>
      </c>
      <c r="C2340" s="20" t="str">
        <f t="array" ref="C2340">xlookup($A2340,product!$A:$A,product!C:C)</f>
        <v>Plats cuisinés</v>
      </c>
      <c r="D2340" s="20" t="str">
        <f t="array" ref="D2340">xlookup($A2340,product!$A:$A,product!D:D)</f>
        <v>Galettes à cuire et falafel</v>
      </c>
      <c r="E2340" s="4" t="str">
        <f t="shared" si="1"/>
        <v>29023-Plats cuisinés-Galettes à cuire et falafel</v>
      </c>
      <c r="F2340" s="4">
        <v>1.0</v>
      </c>
      <c r="G2340" s="4">
        <v>272.0</v>
      </c>
      <c r="H2340" s="4">
        <v>59.0</v>
      </c>
      <c r="I2340" s="21">
        <f t="array" ref="I2340">XLOOKUP($A2340,product!A:A,product!E:E)</f>
        <v>2.36</v>
      </c>
      <c r="J2340" s="4">
        <f t="shared" si="2"/>
        <v>139.24</v>
      </c>
      <c r="K2340" s="22">
        <f t="shared" si="3"/>
        <v>1</v>
      </c>
      <c r="L2340" s="4">
        <f t="shared" si="4"/>
        <v>1</v>
      </c>
    </row>
    <row r="2341">
      <c r="A2341" s="23">
        <v>100250.0</v>
      </c>
      <c r="B2341" s="24" t="str">
        <f t="array" ref="B2341">xlookup($A2341,product!$A:$A,product!B:B)</f>
        <v>Epicerie salée</v>
      </c>
      <c r="C2341" s="24" t="str">
        <f t="array" ref="C2341">xlookup($A2341,product!$A:$A,product!C:C)</f>
        <v>Plats cuisinés</v>
      </c>
      <c r="D2341" s="24" t="str">
        <f t="array" ref="D2341">xlookup($A2341,product!$A:$A,product!D:D)</f>
        <v>Galettes à cuire et falafel</v>
      </c>
      <c r="E2341" s="25" t="str">
        <f t="shared" si="1"/>
        <v>100250-Plats cuisinés-Galettes à cuire et falafel</v>
      </c>
      <c r="F2341" s="25">
        <v>1.0</v>
      </c>
      <c r="G2341" s="25">
        <v>344.0</v>
      </c>
      <c r="H2341" s="25">
        <v>319.0</v>
      </c>
      <c r="I2341" s="26">
        <f t="array" ref="I2341">XLOOKUP($A2341,product!A:A,product!E:E)</f>
        <v>1.68</v>
      </c>
      <c r="J2341" s="25">
        <f t="shared" si="2"/>
        <v>535.92</v>
      </c>
      <c r="K2341" s="27">
        <f t="shared" si="3"/>
        <v>1</v>
      </c>
      <c r="L2341" s="25">
        <f t="shared" si="4"/>
        <v>1</v>
      </c>
    </row>
    <row r="2342">
      <c r="A2342" s="19">
        <v>116320.0</v>
      </c>
      <c r="B2342" s="20" t="str">
        <f t="array" ref="B2342">xlookup($A2342,product!$A:$A,product!B:B)</f>
        <v>Epicerie salée</v>
      </c>
      <c r="C2342" s="20" t="str">
        <f t="array" ref="C2342">xlookup($A2342,product!$A:$A,product!C:C)</f>
        <v>Plats cuisinés</v>
      </c>
      <c r="D2342" s="20" t="str">
        <f t="array" ref="D2342">xlookup($A2342,product!$A:$A,product!D:D)</f>
        <v>Galettes à cuire et falafel</v>
      </c>
      <c r="E2342" s="4" t="str">
        <f t="shared" si="1"/>
        <v>116320-Plats cuisinés-Galettes à cuire et falafel</v>
      </c>
      <c r="F2342" s="4">
        <v>0.0</v>
      </c>
      <c r="G2342" s="4">
        <v>196.0</v>
      </c>
      <c r="H2342" s="4">
        <v>195.0</v>
      </c>
      <c r="I2342" s="21">
        <f t="array" ref="I2342">XLOOKUP($A2342,product!A:A,product!E:E)</f>
        <v>1.5</v>
      </c>
      <c r="J2342" s="4">
        <f t="shared" si="2"/>
        <v>292.5</v>
      </c>
      <c r="K2342" s="22">
        <f t="shared" si="3"/>
        <v>1</v>
      </c>
      <c r="L2342" s="4">
        <f t="shared" si="4"/>
        <v>1</v>
      </c>
    </row>
    <row r="2343">
      <c r="A2343" s="23">
        <v>122149.0</v>
      </c>
      <c r="B2343" s="24" t="str">
        <f t="array" ref="B2343">xlookup($A2343,product!$A:$A,product!B:B)</f>
        <v>Epicerie salée</v>
      </c>
      <c r="C2343" s="24" t="str">
        <f t="array" ref="C2343">xlookup($A2343,product!$A:$A,product!C:C)</f>
        <v>Plats cuisinés</v>
      </c>
      <c r="D2343" s="24" t="str">
        <f t="array" ref="D2343">xlookup($A2343,product!$A:$A,product!D:D)</f>
        <v>Plats cuisinés viande et poisson</v>
      </c>
      <c r="E2343" s="25" t="str">
        <f t="shared" si="1"/>
        <v>122149-Plats cuisinés-Plats cuisinés viande et poisson</v>
      </c>
      <c r="F2343" s="25">
        <v>1.0</v>
      </c>
      <c r="G2343" s="25">
        <v>759.0</v>
      </c>
      <c r="H2343" s="25">
        <v>553.0</v>
      </c>
      <c r="I2343" s="26">
        <f t="array" ref="I2343">XLOOKUP($A2343,product!A:A,product!E:E)</f>
        <v>9.39</v>
      </c>
      <c r="J2343" s="25">
        <f t="shared" si="2"/>
        <v>5192.67</v>
      </c>
      <c r="K2343" s="27">
        <f t="shared" si="3"/>
        <v>1</v>
      </c>
      <c r="L2343" s="25">
        <f t="shared" si="4"/>
        <v>1</v>
      </c>
    </row>
    <row r="2344">
      <c r="A2344" s="19">
        <v>107220.0</v>
      </c>
      <c r="B2344" s="20" t="str">
        <f t="array" ref="B2344">xlookup($A2344,product!$A:$A,product!B:B)</f>
        <v>Epicerie salée</v>
      </c>
      <c r="C2344" s="20" t="str">
        <f t="array" ref="C2344">xlookup($A2344,product!$A:$A,product!C:C)</f>
        <v>Plats cuisinés</v>
      </c>
      <c r="D2344" s="20" t="str">
        <f t="array" ref="D2344">xlookup($A2344,product!$A:$A,product!D:D)</f>
        <v>Plats cuisinés viande et poisson</v>
      </c>
      <c r="E2344" s="4" t="str">
        <f t="shared" si="1"/>
        <v>107220-Plats cuisinés-Plats cuisinés viande et poisson</v>
      </c>
      <c r="F2344" s="4">
        <v>0.0</v>
      </c>
      <c r="G2344" s="4">
        <v>808.0</v>
      </c>
      <c r="H2344" s="4">
        <v>586.0</v>
      </c>
      <c r="I2344" s="21">
        <f t="array" ref="I2344">XLOOKUP($A2344,product!A:A,product!E:E)</f>
        <v>3.6</v>
      </c>
      <c r="J2344" s="4">
        <f t="shared" si="2"/>
        <v>2109.6</v>
      </c>
      <c r="K2344" s="22">
        <f t="shared" si="3"/>
        <v>1</v>
      </c>
      <c r="L2344" s="4">
        <f t="shared" si="4"/>
        <v>1</v>
      </c>
    </row>
    <row r="2345">
      <c r="A2345" s="23">
        <v>122151.0</v>
      </c>
      <c r="B2345" s="24" t="str">
        <f t="array" ref="B2345">xlookup($A2345,product!$A:$A,product!B:B)</f>
        <v>Epicerie salée</v>
      </c>
      <c r="C2345" s="24" t="str">
        <f t="array" ref="C2345">xlookup($A2345,product!$A:$A,product!C:C)</f>
        <v>Plats cuisinés</v>
      </c>
      <c r="D2345" s="24" t="str">
        <f t="array" ref="D2345">xlookup($A2345,product!$A:$A,product!D:D)</f>
        <v>Plats cuisinés viande et poisson</v>
      </c>
      <c r="E2345" s="25" t="str">
        <f t="shared" si="1"/>
        <v>122151-Plats cuisinés-Plats cuisinés viande et poisson</v>
      </c>
      <c r="F2345" s="25">
        <v>0.0</v>
      </c>
      <c r="G2345" s="25">
        <v>666.0</v>
      </c>
      <c r="H2345" s="25">
        <v>177.0</v>
      </c>
      <c r="I2345" s="26">
        <f t="array" ref="I2345">XLOOKUP($A2345,product!A:A,product!E:E)</f>
        <v>9.39</v>
      </c>
      <c r="J2345" s="25">
        <f t="shared" si="2"/>
        <v>1662.03</v>
      </c>
      <c r="K2345" s="27">
        <f t="shared" si="3"/>
        <v>1</v>
      </c>
      <c r="L2345" s="25">
        <f t="shared" si="4"/>
        <v>1</v>
      </c>
    </row>
    <row r="2346">
      <c r="A2346" s="19">
        <v>115766.0</v>
      </c>
      <c r="B2346" s="20" t="str">
        <f t="array" ref="B2346">xlookup($A2346,product!$A:$A,product!B:B)</f>
        <v>Epicerie salée</v>
      </c>
      <c r="C2346" s="20" t="str">
        <f t="array" ref="C2346">xlookup($A2346,product!$A:$A,product!C:C)</f>
        <v>Plats cuisinés</v>
      </c>
      <c r="D2346" s="20" t="str">
        <f t="array" ref="D2346">xlookup($A2346,product!$A:$A,product!D:D)</f>
        <v>Plats cuisinés viande et poisson</v>
      </c>
      <c r="E2346" s="4" t="str">
        <f t="shared" si="1"/>
        <v>115766-Plats cuisinés-Plats cuisinés viande et poisson</v>
      </c>
      <c r="F2346" s="4">
        <v>1.0</v>
      </c>
      <c r="G2346" s="4">
        <v>555.0</v>
      </c>
      <c r="H2346" s="4">
        <v>140.0</v>
      </c>
      <c r="I2346" s="21">
        <f t="array" ref="I2346">XLOOKUP($A2346,product!A:A,product!E:E)</f>
        <v>1.68</v>
      </c>
      <c r="J2346" s="4">
        <f t="shared" si="2"/>
        <v>235.2</v>
      </c>
      <c r="K2346" s="22">
        <f t="shared" si="3"/>
        <v>1</v>
      </c>
      <c r="L2346" s="4">
        <f t="shared" si="4"/>
        <v>1</v>
      </c>
    </row>
    <row r="2347">
      <c r="A2347" s="23">
        <v>114033.0</v>
      </c>
      <c r="B2347" s="24" t="str">
        <f t="array" ref="B2347">xlookup($A2347,product!$A:$A,product!B:B)</f>
        <v>Epicerie salée</v>
      </c>
      <c r="C2347" s="24" t="str">
        <f t="array" ref="C2347">xlookup($A2347,product!$A:$A,product!C:C)</f>
        <v>Plats cuisinés</v>
      </c>
      <c r="D2347" s="24" t="str">
        <f t="array" ref="D2347">xlookup($A2347,product!$A:$A,product!D:D)</f>
        <v>Plats cuisinés viande et poisson</v>
      </c>
      <c r="E2347" s="25" t="str">
        <f t="shared" si="1"/>
        <v>114033-Plats cuisinés-Plats cuisinés viande et poisson</v>
      </c>
      <c r="F2347" s="25">
        <v>1.0</v>
      </c>
      <c r="G2347" s="25">
        <v>85.0</v>
      </c>
      <c r="H2347" s="25">
        <v>50.0</v>
      </c>
      <c r="I2347" s="26">
        <f t="array" ref="I2347">XLOOKUP($A2347,product!A:A,product!E:E)</f>
        <v>5.65</v>
      </c>
      <c r="J2347" s="25">
        <f t="shared" si="2"/>
        <v>282.5</v>
      </c>
      <c r="K2347" s="27">
        <f t="shared" si="3"/>
        <v>1</v>
      </c>
      <c r="L2347" s="25">
        <f t="shared" si="4"/>
        <v>1</v>
      </c>
    </row>
    <row r="2348">
      <c r="A2348" s="19">
        <v>149508.0</v>
      </c>
      <c r="B2348" s="20" t="str">
        <f t="array" ref="B2348">xlookup($A2348,product!$A:$A,product!B:B)</f>
        <v>Epicerie salée</v>
      </c>
      <c r="C2348" s="20" t="str">
        <f t="array" ref="C2348">xlookup($A2348,product!$A:$A,product!C:C)</f>
        <v>Plats cuisinés</v>
      </c>
      <c r="D2348" s="20" t="str">
        <f t="array" ref="D2348">xlookup($A2348,product!$A:$A,product!D:D)</f>
        <v>Plats cuisinés viande et poisson</v>
      </c>
      <c r="E2348" s="4" t="str">
        <f t="shared" si="1"/>
        <v>149508-Plats cuisinés-Plats cuisinés viande et poisson</v>
      </c>
      <c r="F2348" s="4">
        <v>1.0</v>
      </c>
      <c r="G2348" s="4">
        <v>315.0</v>
      </c>
      <c r="H2348" s="4">
        <v>191.0</v>
      </c>
      <c r="I2348" s="21">
        <f t="array" ref="I2348">XLOOKUP($A2348,product!A:A,product!E:E)</f>
        <v>3.57</v>
      </c>
      <c r="J2348" s="4">
        <f t="shared" si="2"/>
        <v>681.87</v>
      </c>
      <c r="K2348" s="22">
        <f t="shared" si="3"/>
        <v>1</v>
      </c>
      <c r="L2348" s="4">
        <f t="shared" si="4"/>
        <v>1</v>
      </c>
    </row>
    <row r="2349">
      <c r="A2349" s="23">
        <v>107256.0</v>
      </c>
      <c r="B2349" s="24" t="str">
        <f t="array" ref="B2349">xlookup($A2349,product!$A:$A,product!B:B)</f>
        <v>Epicerie salée</v>
      </c>
      <c r="C2349" s="24" t="str">
        <f t="array" ref="C2349">xlookup($A2349,product!$A:$A,product!C:C)</f>
        <v>Plats cuisinés</v>
      </c>
      <c r="D2349" s="24" t="str">
        <f t="array" ref="D2349">xlookup($A2349,product!$A:$A,product!D:D)</f>
        <v>Plats cuisinés viande et poisson</v>
      </c>
      <c r="E2349" s="25" t="str">
        <f t="shared" si="1"/>
        <v>107256-Plats cuisinés-Plats cuisinés viande et poisson</v>
      </c>
      <c r="F2349" s="25">
        <v>0.0</v>
      </c>
      <c r="G2349" s="25">
        <v>167.0</v>
      </c>
      <c r="H2349" s="25">
        <v>120.0</v>
      </c>
      <c r="I2349" s="26">
        <f t="array" ref="I2349">XLOOKUP($A2349,product!A:A,product!E:E)</f>
        <v>1.96</v>
      </c>
      <c r="J2349" s="25">
        <f t="shared" si="2"/>
        <v>235.2</v>
      </c>
      <c r="K2349" s="27">
        <f t="shared" si="3"/>
        <v>1</v>
      </c>
      <c r="L2349" s="25">
        <f t="shared" si="4"/>
        <v>1</v>
      </c>
    </row>
    <row r="2350">
      <c r="A2350" s="19">
        <v>121615.0</v>
      </c>
      <c r="B2350" s="20" t="str">
        <f t="array" ref="B2350">xlookup($A2350,product!$A:$A,product!B:B)</f>
        <v>Epicerie salée</v>
      </c>
      <c r="C2350" s="20" t="str">
        <f t="array" ref="C2350">xlookup($A2350,product!$A:$A,product!C:C)</f>
        <v>Plats cuisinés</v>
      </c>
      <c r="D2350" s="20" t="str">
        <f t="array" ref="D2350">xlookup($A2350,product!$A:$A,product!D:D)</f>
        <v>Plats cuisinés viande et poisson</v>
      </c>
      <c r="E2350" s="4" t="str">
        <f t="shared" si="1"/>
        <v>121615-Plats cuisinés-Plats cuisinés viande et poisson</v>
      </c>
      <c r="F2350" s="4">
        <v>1.0</v>
      </c>
      <c r="G2350" s="4">
        <v>886.0</v>
      </c>
      <c r="H2350" s="4">
        <v>500.0</v>
      </c>
      <c r="I2350" s="21">
        <f t="array" ref="I2350">XLOOKUP($A2350,product!A:A,product!E:E)</f>
        <v>5.65</v>
      </c>
      <c r="J2350" s="4">
        <f t="shared" si="2"/>
        <v>2825</v>
      </c>
      <c r="K2350" s="22">
        <f t="shared" si="3"/>
        <v>1</v>
      </c>
      <c r="L2350" s="4">
        <f t="shared" si="4"/>
        <v>1</v>
      </c>
    </row>
    <row r="2351">
      <c r="A2351" s="23">
        <v>107226.0</v>
      </c>
      <c r="B2351" s="24" t="str">
        <f t="array" ref="B2351">xlookup($A2351,product!$A:$A,product!B:B)</f>
        <v>Epicerie salée</v>
      </c>
      <c r="C2351" s="24" t="str">
        <f t="array" ref="C2351">xlookup($A2351,product!$A:$A,product!C:C)</f>
        <v>Plats cuisinés</v>
      </c>
      <c r="D2351" s="24" t="str">
        <f t="array" ref="D2351">xlookup($A2351,product!$A:$A,product!D:D)</f>
        <v>Plats cuisinés viande et poisson</v>
      </c>
      <c r="E2351" s="25" t="str">
        <f t="shared" si="1"/>
        <v>107226-Plats cuisinés-Plats cuisinés viande et poisson</v>
      </c>
      <c r="F2351" s="25">
        <v>0.0</v>
      </c>
      <c r="G2351" s="25">
        <v>275.0</v>
      </c>
      <c r="H2351" s="25">
        <v>83.0</v>
      </c>
      <c r="I2351" s="26">
        <f t="array" ref="I2351">XLOOKUP($A2351,product!A:A,product!E:E)</f>
        <v>3.68</v>
      </c>
      <c r="J2351" s="25">
        <f t="shared" si="2"/>
        <v>305.44</v>
      </c>
      <c r="K2351" s="27">
        <f t="shared" si="3"/>
        <v>1</v>
      </c>
      <c r="L2351" s="25">
        <f t="shared" si="4"/>
        <v>1</v>
      </c>
    </row>
    <row r="2352">
      <c r="A2352" s="19">
        <v>120188.0</v>
      </c>
      <c r="B2352" s="20" t="str">
        <f t="array" ref="B2352">xlookup($A2352,product!$A:$A,product!B:B)</f>
        <v>Epicerie salée</v>
      </c>
      <c r="C2352" s="20" t="str">
        <f t="array" ref="C2352">xlookup($A2352,product!$A:$A,product!C:C)</f>
        <v>Plats cuisinés</v>
      </c>
      <c r="D2352" s="20" t="str">
        <f t="array" ref="D2352">xlookup($A2352,product!$A:$A,product!D:D)</f>
        <v>Plats cuisinés viande et poisson</v>
      </c>
      <c r="E2352" s="4" t="str">
        <f t="shared" si="1"/>
        <v>120188-Plats cuisinés-Plats cuisinés viande et poisson</v>
      </c>
      <c r="F2352" s="4">
        <v>0.0</v>
      </c>
      <c r="G2352" s="4">
        <v>567.0</v>
      </c>
      <c r="H2352" s="4">
        <v>136.0</v>
      </c>
      <c r="I2352" s="21">
        <f t="array" ref="I2352">XLOOKUP($A2352,product!A:A,product!E:E)</f>
        <v>6.11</v>
      </c>
      <c r="J2352" s="4">
        <f t="shared" si="2"/>
        <v>830.96</v>
      </c>
      <c r="K2352" s="22">
        <f t="shared" si="3"/>
        <v>1</v>
      </c>
      <c r="L2352" s="4">
        <f t="shared" si="4"/>
        <v>1</v>
      </c>
    </row>
    <row r="2353">
      <c r="A2353" s="23">
        <v>107944.0</v>
      </c>
      <c r="B2353" s="24" t="str">
        <f t="array" ref="B2353">xlookup($A2353,product!$A:$A,product!B:B)</f>
        <v>Epicerie salée</v>
      </c>
      <c r="C2353" s="24" t="str">
        <f t="array" ref="C2353">xlookup($A2353,product!$A:$A,product!C:C)</f>
        <v>Plats cuisinés</v>
      </c>
      <c r="D2353" s="24" t="str">
        <f t="array" ref="D2353">xlookup($A2353,product!$A:$A,product!D:D)</f>
        <v>Plats cuisinés viande et poisson</v>
      </c>
      <c r="E2353" s="25" t="str">
        <f t="shared" si="1"/>
        <v>107944-Plats cuisinés-Plats cuisinés viande et poisson</v>
      </c>
      <c r="F2353" s="25">
        <v>1.0</v>
      </c>
      <c r="G2353" s="25">
        <v>791.0</v>
      </c>
      <c r="H2353" s="25">
        <v>228.0</v>
      </c>
      <c r="I2353" s="26">
        <f t="array" ref="I2353">XLOOKUP($A2353,product!A:A,product!E:E)</f>
        <v>6.16</v>
      </c>
      <c r="J2353" s="25">
        <f t="shared" si="2"/>
        <v>1404.48</v>
      </c>
      <c r="K2353" s="27">
        <f t="shared" si="3"/>
        <v>1</v>
      </c>
      <c r="L2353" s="25">
        <f t="shared" si="4"/>
        <v>1</v>
      </c>
    </row>
    <row r="2354">
      <c r="A2354" s="19">
        <v>70243.0</v>
      </c>
      <c r="B2354" s="20" t="str">
        <f t="array" ref="B2354">xlookup($A2354,product!$A:$A,product!B:B)</f>
        <v>Epicerie salée</v>
      </c>
      <c r="C2354" s="20" t="str">
        <f t="array" ref="C2354">xlookup($A2354,product!$A:$A,product!C:C)</f>
        <v>Plats cuisinés</v>
      </c>
      <c r="D2354" s="20" t="str">
        <f t="array" ref="D2354">xlookup($A2354,product!$A:$A,product!D:D)</f>
        <v>Plats cuisinés viande et poisson</v>
      </c>
      <c r="E2354" s="4" t="str">
        <f t="shared" si="1"/>
        <v>70243-Plats cuisinés-Plats cuisinés viande et poisson</v>
      </c>
      <c r="F2354" s="4">
        <v>1.0</v>
      </c>
      <c r="G2354" s="4">
        <v>782.0</v>
      </c>
      <c r="H2354" s="4">
        <v>394.0</v>
      </c>
      <c r="I2354" s="21">
        <f t="array" ref="I2354">XLOOKUP($A2354,product!A:A,product!E:E)</f>
        <v>4.6</v>
      </c>
      <c r="J2354" s="4">
        <f t="shared" si="2"/>
        <v>1812.4</v>
      </c>
      <c r="K2354" s="22">
        <f t="shared" si="3"/>
        <v>1</v>
      </c>
      <c r="L2354" s="4">
        <f t="shared" si="4"/>
        <v>1</v>
      </c>
    </row>
    <row r="2355">
      <c r="A2355" s="23">
        <v>149505.0</v>
      </c>
      <c r="B2355" s="24" t="str">
        <f t="array" ref="B2355">xlookup($A2355,product!$A:$A,product!B:B)</f>
        <v>Epicerie salée</v>
      </c>
      <c r="C2355" s="24" t="str">
        <f t="array" ref="C2355">xlookup($A2355,product!$A:$A,product!C:C)</f>
        <v>Plats cuisinés</v>
      </c>
      <c r="D2355" s="24" t="str">
        <f t="array" ref="D2355">xlookup($A2355,product!$A:$A,product!D:D)</f>
        <v>Plats cuisinés viande et poisson</v>
      </c>
      <c r="E2355" s="25" t="str">
        <f t="shared" si="1"/>
        <v>149505-Plats cuisinés-Plats cuisinés viande et poisson</v>
      </c>
      <c r="F2355" s="25">
        <v>1.0</v>
      </c>
      <c r="G2355" s="25">
        <v>437.0</v>
      </c>
      <c r="H2355" s="25">
        <v>122.0</v>
      </c>
      <c r="I2355" s="26">
        <f t="array" ref="I2355">XLOOKUP($A2355,product!A:A,product!E:E)</f>
        <v>4.07</v>
      </c>
      <c r="J2355" s="25">
        <f t="shared" si="2"/>
        <v>496.54</v>
      </c>
      <c r="K2355" s="27">
        <f t="shared" si="3"/>
        <v>1</v>
      </c>
      <c r="L2355" s="25">
        <f t="shared" si="4"/>
        <v>1</v>
      </c>
    </row>
    <row r="2356">
      <c r="A2356" s="19">
        <v>101428.0</v>
      </c>
      <c r="B2356" s="20" t="str">
        <f t="array" ref="B2356">xlookup($A2356,product!$A:$A,product!B:B)</f>
        <v>Epicerie salée</v>
      </c>
      <c r="C2356" s="20" t="str">
        <f t="array" ref="C2356">xlookup($A2356,product!$A:$A,product!C:C)</f>
        <v>Plats cuisinés</v>
      </c>
      <c r="D2356" s="20" t="str">
        <f t="array" ref="D2356">xlookup($A2356,product!$A:$A,product!D:D)</f>
        <v>Plats cuisinés viande et poisson</v>
      </c>
      <c r="E2356" s="4" t="str">
        <f t="shared" si="1"/>
        <v>101428-Plats cuisinés-Plats cuisinés viande et poisson</v>
      </c>
      <c r="F2356" s="4">
        <v>0.0</v>
      </c>
      <c r="G2356" s="4">
        <v>937.0</v>
      </c>
      <c r="H2356" s="4">
        <v>386.0</v>
      </c>
      <c r="I2356" s="21">
        <f t="array" ref="I2356">XLOOKUP($A2356,product!A:A,product!E:E)</f>
        <v>5.62</v>
      </c>
      <c r="J2356" s="4">
        <f t="shared" si="2"/>
        <v>2169.32</v>
      </c>
      <c r="K2356" s="22">
        <f t="shared" si="3"/>
        <v>1</v>
      </c>
      <c r="L2356" s="4">
        <f t="shared" si="4"/>
        <v>1</v>
      </c>
    </row>
    <row r="2357">
      <c r="A2357" s="23">
        <v>121798.0</v>
      </c>
      <c r="B2357" s="24" t="str">
        <f t="array" ref="B2357">xlookup($A2357,product!$A:$A,product!B:B)</f>
        <v>Epicerie salée</v>
      </c>
      <c r="C2357" s="24" t="str">
        <f t="array" ref="C2357">xlookup($A2357,product!$A:$A,product!C:C)</f>
        <v>Plats cuisinés</v>
      </c>
      <c r="D2357" s="24" t="str">
        <f t="array" ref="D2357">xlookup($A2357,product!$A:$A,product!D:D)</f>
        <v>Plats cuisinés céréales, légumes</v>
      </c>
      <c r="E2357" s="25" t="str">
        <f t="shared" si="1"/>
        <v>121798-Plats cuisinés-Plats cuisinés céréales, légumes</v>
      </c>
      <c r="F2357" s="25">
        <v>0.0</v>
      </c>
      <c r="G2357" s="25">
        <v>273.0</v>
      </c>
      <c r="H2357" s="25">
        <v>46.0</v>
      </c>
      <c r="I2357" s="26">
        <f t="array" ref="I2357">XLOOKUP($A2357,product!A:A,product!E:E)</f>
        <v>1.74</v>
      </c>
      <c r="J2357" s="25">
        <f t="shared" si="2"/>
        <v>80.04</v>
      </c>
      <c r="K2357" s="27">
        <f t="shared" si="3"/>
        <v>1</v>
      </c>
      <c r="L2357" s="25">
        <f t="shared" si="4"/>
        <v>1</v>
      </c>
    </row>
    <row r="2358">
      <c r="A2358" s="19">
        <v>88636.0</v>
      </c>
      <c r="B2358" s="20" t="str">
        <f t="array" ref="B2358">xlookup($A2358,product!$A:$A,product!B:B)</f>
        <v>Epicerie salée</v>
      </c>
      <c r="C2358" s="20" t="str">
        <f t="array" ref="C2358">xlookup($A2358,product!$A:$A,product!C:C)</f>
        <v>Plats cuisinés</v>
      </c>
      <c r="D2358" s="20" t="str">
        <f t="array" ref="D2358">xlookup($A2358,product!$A:$A,product!D:D)</f>
        <v>Plats cuisinés céréales, légumes</v>
      </c>
      <c r="E2358" s="4" t="str">
        <f t="shared" si="1"/>
        <v>88636-Plats cuisinés-Plats cuisinés céréales, légumes</v>
      </c>
      <c r="F2358" s="4">
        <v>0.0</v>
      </c>
      <c r="G2358" s="4">
        <v>953.0</v>
      </c>
      <c r="H2358" s="4">
        <v>269.0</v>
      </c>
      <c r="I2358" s="21">
        <f t="array" ref="I2358">XLOOKUP($A2358,product!A:A,product!E:E)</f>
        <v>3.66</v>
      </c>
      <c r="J2358" s="4">
        <f t="shared" si="2"/>
        <v>984.54</v>
      </c>
      <c r="K2358" s="22">
        <f t="shared" si="3"/>
        <v>1</v>
      </c>
      <c r="L2358" s="4">
        <f t="shared" si="4"/>
        <v>1</v>
      </c>
    </row>
    <row r="2359">
      <c r="A2359" s="23">
        <v>111038.0</v>
      </c>
      <c r="B2359" s="24" t="str">
        <f t="array" ref="B2359">xlookup($A2359,product!$A:$A,product!B:B)</f>
        <v>Epicerie salée</v>
      </c>
      <c r="C2359" s="24" t="str">
        <f t="array" ref="C2359">xlookup($A2359,product!$A:$A,product!C:C)</f>
        <v>Plats cuisinés</v>
      </c>
      <c r="D2359" s="24" t="str">
        <f t="array" ref="D2359">xlookup($A2359,product!$A:$A,product!D:D)</f>
        <v>Plats cuisinés céréales, légumes</v>
      </c>
      <c r="E2359" s="25" t="str">
        <f t="shared" si="1"/>
        <v>111038-Plats cuisinés-Plats cuisinés céréales, légumes</v>
      </c>
      <c r="F2359" s="25">
        <v>0.0</v>
      </c>
      <c r="G2359" s="25">
        <v>713.0</v>
      </c>
      <c r="H2359" s="25">
        <v>538.0</v>
      </c>
      <c r="I2359" s="26">
        <f t="array" ref="I2359">XLOOKUP($A2359,product!A:A,product!E:E)</f>
        <v>1.52</v>
      </c>
      <c r="J2359" s="25">
        <f t="shared" si="2"/>
        <v>817.76</v>
      </c>
      <c r="K2359" s="27">
        <f t="shared" si="3"/>
        <v>1</v>
      </c>
      <c r="L2359" s="25">
        <f t="shared" si="4"/>
        <v>1</v>
      </c>
    </row>
    <row r="2360">
      <c r="A2360" s="19">
        <v>75032.0</v>
      </c>
      <c r="B2360" s="20" t="str">
        <f t="array" ref="B2360">xlookup($A2360,product!$A:$A,product!B:B)</f>
        <v>Epicerie salée</v>
      </c>
      <c r="C2360" s="20" t="str">
        <f t="array" ref="C2360">xlookup($A2360,product!$A:$A,product!C:C)</f>
        <v>Plats cuisinés</v>
      </c>
      <c r="D2360" s="20" t="str">
        <f t="array" ref="D2360">xlookup($A2360,product!$A:$A,product!D:D)</f>
        <v>Plats cuisinés céréales, légumes</v>
      </c>
      <c r="E2360" s="4" t="str">
        <f t="shared" si="1"/>
        <v>75032-Plats cuisinés-Plats cuisinés céréales, légumes</v>
      </c>
      <c r="F2360" s="4">
        <v>1.0</v>
      </c>
      <c r="G2360" s="4">
        <v>419.0</v>
      </c>
      <c r="H2360" s="4">
        <v>41.0</v>
      </c>
      <c r="I2360" s="21">
        <f t="array" ref="I2360">XLOOKUP($A2360,product!A:A,product!E:E)</f>
        <v>2.26</v>
      </c>
      <c r="J2360" s="4">
        <f t="shared" si="2"/>
        <v>92.66</v>
      </c>
      <c r="K2360" s="22">
        <f t="shared" si="3"/>
        <v>1</v>
      </c>
      <c r="L2360" s="4">
        <f t="shared" si="4"/>
        <v>1</v>
      </c>
    </row>
    <row r="2361">
      <c r="A2361" s="23">
        <v>70187.0</v>
      </c>
      <c r="B2361" s="24" t="str">
        <f t="array" ref="B2361">xlookup($A2361,product!$A:$A,product!B:B)</f>
        <v>Epicerie salée</v>
      </c>
      <c r="C2361" s="24" t="str">
        <f t="array" ref="C2361">xlookup($A2361,product!$A:$A,product!C:C)</f>
        <v>Plats cuisinés</v>
      </c>
      <c r="D2361" s="24" t="str">
        <f t="array" ref="D2361">xlookup($A2361,product!$A:$A,product!D:D)</f>
        <v>Plats cuisinés céréales, légumes</v>
      </c>
      <c r="E2361" s="25" t="str">
        <f t="shared" si="1"/>
        <v>70187-Plats cuisinés-Plats cuisinés céréales, légumes</v>
      </c>
      <c r="F2361" s="25">
        <v>1.0</v>
      </c>
      <c r="G2361" s="25">
        <v>800.0</v>
      </c>
      <c r="H2361" s="25">
        <v>478.0</v>
      </c>
      <c r="I2361" s="26">
        <f t="array" ref="I2361">XLOOKUP($A2361,product!A:A,product!E:E)</f>
        <v>2.61</v>
      </c>
      <c r="J2361" s="25">
        <f t="shared" si="2"/>
        <v>1247.58</v>
      </c>
      <c r="K2361" s="27">
        <f t="shared" si="3"/>
        <v>1</v>
      </c>
      <c r="L2361" s="25">
        <f t="shared" si="4"/>
        <v>1</v>
      </c>
    </row>
    <row r="2362">
      <c r="A2362" s="19">
        <v>147278.0</v>
      </c>
      <c r="B2362" s="20" t="str">
        <f t="array" ref="B2362">xlookup($A2362,product!$A:$A,product!B:B)</f>
        <v>Epicerie salée</v>
      </c>
      <c r="C2362" s="20" t="str">
        <f t="array" ref="C2362">xlookup($A2362,product!$A:$A,product!C:C)</f>
        <v>Plats cuisinés</v>
      </c>
      <c r="D2362" s="20" t="str">
        <f t="array" ref="D2362">xlookup($A2362,product!$A:$A,product!D:D)</f>
        <v>Plats cuisinés céréales, légumes</v>
      </c>
      <c r="E2362" s="4" t="str">
        <f t="shared" si="1"/>
        <v>147278-Plats cuisinés-Plats cuisinés céréales, légumes</v>
      </c>
      <c r="F2362" s="4">
        <v>0.0</v>
      </c>
      <c r="G2362" s="4">
        <v>181.0</v>
      </c>
      <c r="H2362" s="4">
        <v>167.0</v>
      </c>
      <c r="I2362" s="21">
        <f t="array" ref="I2362">XLOOKUP($A2362,product!A:A,product!E:E)</f>
        <v>2.4</v>
      </c>
      <c r="J2362" s="4">
        <f t="shared" si="2"/>
        <v>400.8</v>
      </c>
      <c r="K2362" s="22">
        <f t="shared" si="3"/>
        <v>1</v>
      </c>
      <c r="L2362" s="4">
        <f t="shared" si="4"/>
        <v>1</v>
      </c>
    </row>
    <row r="2363">
      <c r="A2363" s="23">
        <v>114972.0</v>
      </c>
      <c r="B2363" s="24" t="str">
        <f t="array" ref="B2363">xlookup($A2363,product!$A:$A,product!B:B)</f>
        <v>Epicerie salée</v>
      </c>
      <c r="C2363" s="24" t="str">
        <f t="array" ref="C2363">xlookup($A2363,product!$A:$A,product!C:C)</f>
        <v>Plats cuisinés</v>
      </c>
      <c r="D2363" s="24" t="str">
        <f t="array" ref="D2363">xlookup($A2363,product!$A:$A,product!D:D)</f>
        <v>Plats cuisinés céréales, légumes</v>
      </c>
      <c r="E2363" s="25" t="str">
        <f t="shared" si="1"/>
        <v>114972-Plats cuisinés-Plats cuisinés céréales, légumes</v>
      </c>
      <c r="F2363" s="25">
        <v>1.0</v>
      </c>
      <c r="G2363" s="25">
        <v>680.0</v>
      </c>
      <c r="H2363" s="25">
        <v>233.0</v>
      </c>
      <c r="I2363" s="26">
        <f t="array" ref="I2363">XLOOKUP($A2363,product!A:A,product!E:E)</f>
        <v>2.11</v>
      </c>
      <c r="J2363" s="25">
        <f t="shared" si="2"/>
        <v>491.63</v>
      </c>
      <c r="K2363" s="27">
        <f t="shared" si="3"/>
        <v>1</v>
      </c>
      <c r="L2363" s="25">
        <f t="shared" si="4"/>
        <v>1</v>
      </c>
    </row>
    <row r="2364">
      <c r="A2364" s="19">
        <v>75072.0</v>
      </c>
      <c r="B2364" s="20" t="str">
        <f t="array" ref="B2364">xlookup($A2364,product!$A:$A,product!B:B)</f>
        <v>Epicerie salée</v>
      </c>
      <c r="C2364" s="20" t="str">
        <f t="array" ref="C2364">xlookup($A2364,product!$A:$A,product!C:C)</f>
        <v>Plats cuisinés</v>
      </c>
      <c r="D2364" s="20" t="str">
        <f t="array" ref="D2364">xlookup($A2364,product!$A:$A,product!D:D)</f>
        <v>Plats cuisinés céréales, légumes</v>
      </c>
      <c r="E2364" s="4" t="str">
        <f t="shared" si="1"/>
        <v>75072-Plats cuisinés-Plats cuisinés céréales, légumes</v>
      </c>
      <c r="F2364" s="4">
        <v>1.0</v>
      </c>
      <c r="G2364" s="4">
        <v>769.0</v>
      </c>
      <c r="H2364" s="4">
        <v>80.0</v>
      </c>
      <c r="I2364" s="21">
        <f t="array" ref="I2364">XLOOKUP($A2364,product!A:A,product!E:E)</f>
        <v>2.15</v>
      </c>
      <c r="J2364" s="4">
        <f t="shared" si="2"/>
        <v>172</v>
      </c>
      <c r="K2364" s="22">
        <f t="shared" si="3"/>
        <v>1</v>
      </c>
      <c r="L2364" s="4">
        <f t="shared" si="4"/>
        <v>1</v>
      </c>
    </row>
    <row r="2365">
      <c r="A2365" s="23">
        <v>114971.0</v>
      </c>
      <c r="B2365" s="24" t="str">
        <f t="array" ref="B2365">xlookup($A2365,product!$A:$A,product!B:B)</f>
        <v>Epicerie salée</v>
      </c>
      <c r="C2365" s="24" t="str">
        <f t="array" ref="C2365">xlookup($A2365,product!$A:$A,product!C:C)</f>
        <v>Plats cuisinés</v>
      </c>
      <c r="D2365" s="24" t="str">
        <f t="array" ref="D2365">xlookup($A2365,product!$A:$A,product!D:D)</f>
        <v>Plats cuisinés céréales, légumes</v>
      </c>
      <c r="E2365" s="25" t="str">
        <f t="shared" si="1"/>
        <v>114971-Plats cuisinés-Plats cuisinés céréales, légumes</v>
      </c>
      <c r="F2365" s="25">
        <v>0.0</v>
      </c>
      <c r="G2365" s="25">
        <v>260.0</v>
      </c>
      <c r="H2365" s="25">
        <v>146.0</v>
      </c>
      <c r="I2365" s="26">
        <f t="array" ref="I2365">XLOOKUP($A2365,product!A:A,product!E:E)</f>
        <v>2.11</v>
      </c>
      <c r="J2365" s="25">
        <f t="shared" si="2"/>
        <v>308.06</v>
      </c>
      <c r="K2365" s="27">
        <f t="shared" si="3"/>
        <v>1</v>
      </c>
      <c r="L2365" s="25">
        <f t="shared" si="4"/>
        <v>1</v>
      </c>
    </row>
    <row r="2366">
      <c r="A2366" s="19">
        <v>99981.0</v>
      </c>
      <c r="B2366" s="20" t="str">
        <f t="array" ref="B2366">xlookup($A2366,product!$A:$A,product!B:B)</f>
        <v>Epicerie salée</v>
      </c>
      <c r="C2366" s="20" t="str">
        <f t="array" ref="C2366">xlookup($A2366,product!$A:$A,product!C:C)</f>
        <v>Plats cuisinés</v>
      </c>
      <c r="D2366" s="20" t="str">
        <f t="array" ref="D2366">xlookup($A2366,product!$A:$A,product!D:D)</f>
        <v>Plats cuisinés céréales, légumes</v>
      </c>
      <c r="E2366" s="4" t="str">
        <f t="shared" si="1"/>
        <v>99981-Plats cuisinés-Plats cuisinés céréales, légumes</v>
      </c>
      <c r="F2366" s="4">
        <v>0.0</v>
      </c>
      <c r="G2366" s="4">
        <v>427.0</v>
      </c>
      <c r="H2366" s="4">
        <v>385.0</v>
      </c>
      <c r="I2366" s="21">
        <f t="array" ref="I2366">XLOOKUP($A2366,product!A:A,product!E:E)</f>
        <v>1.6</v>
      </c>
      <c r="J2366" s="4">
        <f t="shared" si="2"/>
        <v>616</v>
      </c>
      <c r="K2366" s="22">
        <f t="shared" si="3"/>
        <v>1</v>
      </c>
      <c r="L2366" s="4">
        <f t="shared" si="4"/>
        <v>1</v>
      </c>
    </row>
    <row r="2367">
      <c r="A2367" s="23">
        <v>86383.0</v>
      </c>
      <c r="B2367" s="24" t="str">
        <f t="array" ref="B2367">xlookup($A2367,product!$A:$A,product!B:B)</f>
        <v>Epicerie salée</v>
      </c>
      <c r="C2367" s="24" t="str">
        <f t="array" ref="C2367">xlookup($A2367,product!$A:$A,product!C:C)</f>
        <v>Plats cuisinés</v>
      </c>
      <c r="D2367" s="24" t="str">
        <f t="array" ref="D2367">xlookup($A2367,product!$A:$A,product!D:D)</f>
        <v>Plats cuisinés céréales, légumes</v>
      </c>
      <c r="E2367" s="25" t="str">
        <f t="shared" si="1"/>
        <v>86383-Plats cuisinés-Plats cuisinés céréales, légumes</v>
      </c>
      <c r="F2367" s="25">
        <v>0.0</v>
      </c>
      <c r="G2367" s="25">
        <v>525.0</v>
      </c>
      <c r="H2367" s="25">
        <v>441.0</v>
      </c>
      <c r="I2367" s="26">
        <f t="array" ref="I2367">XLOOKUP($A2367,product!A:A,product!E:E)</f>
        <v>2.08</v>
      </c>
      <c r="J2367" s="25">
        <f t="shared" si="2"/>
        <v>917.28</v>
      </c>
      <c r="K2367" s="27">
        <f t="shared" si="3"/>
        <v>1</v>
      </c>
      <c r="L2367" s="25">
        <f t="shared" si="4"/>
        <v>1</v>
      </c>
    </row>
    <row r="2368">
      <c r="A2368" s="19">
        <v>89587.0</v>
      </c>
      <c r="B2368" s="20" t="str">
        <f t="array" ref="B2368">xlookup($A2368,product!$A:$A,product!B:B)</f>
        <v>Epicerie salée</v>
      </c>
      <c r="C2368" s="20" t="str">
        <f t="array" ref="C2368">xlookup($A2368,product!$A:$A,product!C:C)</f>
        <v>Plats cuisinés</v>
      </c>
      <c r="D2368" s="20" t="str">
        <f t="array" ref="D2368">xlookup($A2368,product!$A:$A,product!D:D)</f>
        <v>Plats cuisinés céréales, légumes</v>
      </c>
      <c r="E2368" s="4" t="str">
        <f t="shared" si="1"/>
        <v>89587-Plats cuisinés-Plats cuisinés céréales, légumes</v>
      </c>
      <c r="F2368" s="4">
        <v>1.0</v>
      </c>
      <c r="G2368" s="4">
        <v>43.0</v>
      </c>
      <c r="H2368" s="4">
        <v>14.0</v>
      </c>
      <c r="I2368" s="21">
        <f t="array" ref="I2368">XLOOKUP($A2368,product!A:A,product!E:E)</f>
        <v>2.11</v>
      </c>
      <c r="J2368" s="4">
        <f t="shared" si="2"/>
        <v>29.54</v>
      </c>
      <c r="K2368" s="22">
        <f t="shared" si="3"/>
        <v>1</v>
      </c>
      <c r="L2368" s="4">
        <f t="shared" si="4"/>
        <v>1</v>
      </c>
    </row>
    <row r="2369">
      <c r="A2369" s="23">
        <v>89516.0</v>
      </c>
      <c r="B2369" s="24" t="str">
        <f t="array" ref="B2369">xlookup($A2369,product!$A:$A,product!B:B)</f>
        <v>Epicerie salée</v>
      </c>
      <c r="C2369" s="24" t="str">
        <f t="array" ref="C2369">xlookup($A2369,product!$A:$A,product!C:C)</f>
        <v>Plats cuisinés</v>
      </c>
      <c r="D2369" s="24" t="str">
        <f t="array" ref="D2369">xlookup($A2369,product!$A:$A,product!D:D)</f>
        <v>Plats cuisinés céréales, légumes</v>
      </c>
      <c r="E2369" s="25" t="str">
        <f t="shared" si="1"/>
        <v>89516-Plats cuisinés-Plats cuisinés céréales, légumes</v>
      </c>
      <c r="F2369" s="25">
        <v>1.0</v>
      </c>
      <c r="G2369" s="25">
        <v>333.0</v>
      </c>
      <c r="H2369" s="25">
        <v>171.0</v>
      </c>
      <c r="I2369" s="26">
        <f t="array" ref="I2369">XLOOKUP($A2369,product!A:A,product!E:E)</f>
        <v>2.14</v>
      </c>
      <c r="J2369" s="25">
        <f t="shared" si="2"/>
        <v>365.94</v>
      </c>
      <c r="K2369" s="27">
        <f t="shared" si="3"/>
        <v>1</v>
      </c>
      <c r="L2369" s="25">
        <f t="shared" si="4"/>
        <v>1</v>
      </c>
    </row>
    <row r="2370">
      <c r="A2370" s="19">
        <v>89519.0</v>
      </c>
      <c r="B2370" s="20" t="str">
        <f t="array" ref="B2370">xlookup($A2370,product!$A:$A,product!B:B)</f>
        <v>Epicerie salée</v>
      </c>
      <c r="C2370" s="20" t="str">
        <f t="array" ref="C2370">xlookup($A2370,product!$A:$A,product!C:C)</f>
        <v>Plats cuisinés</v>
      </c>
      <c r="D2370" s="20" t="str">
        <f t="array" ref="D2370">xlookup($A2370,product!$A:$A,product!D:D)</f>
        <v>Plats cuisinés céréales, légumes</v>
      </c>
      <c r="E2370" s="4" t="str">
        <f t="shared" si="1"/>
        <v>89519-Plats cuisinés-Plats cuisinés céréales, légumes</v>
      </c>
      <c r="F2370" s="4">
        <v>1.0</v>
      </c>
      <c r="G2370" s="4">
        <v>220.0</v>
      </c>
      <c r="H2370" s="4">
        <v>117.0</v>
      </c>
      <c r="I2370" s="21">
        <f t="array" ref="I2370">XLOOKUP($A2370,product!A:A,product!E:E)</f>
        <v>1.99</v>
      </c>
      <c r="J2370" s="4">
        <f t="shared" si="2"/>
        <v>232.83</v>
      </c>
      <c r="K2370" s="22">
        <f t="shared" si="3"/>
        <v>1</v>
      </c>
      <c r="L2370" s="4">
        <f t="shared" si="4"/>
        <v>1</v>
      </c>
    </row>
    <row r="2371">
      <c r="A2371" s="23">
        <v>75060.0</v>
      </c>
      <c r="B2371" s="24" t="str">
        <f t="array" ref="B2371">xlookup($A2371,product!$A:$A,product!B:B)</f>
        <v>Epicerie salée</v>
      </c>
      <c r="C2371" s="24" t="str">
        <f t="array" ref="C2371">xlookup($A2371,product!$A:$A,product!C:C)</f>
        <v>Plats cuisinés</v>
      </c>
      <c r="D2371" s="24" t="str">
        <f t="array" ref="D2371">xlookup($A2371,product!$A:$A,product!D:D)</f>
        <v>Plats cuisinés céréales, légumes</v>
      </c>
      <c r="E2371" s="25" t="str">
        <f t="shared" si="1"/>
        <v>75060-Plats cuisinés-Plats cuisinés céréales, légumes</v>
      </c>
      <c r="F2371" s="25">
        <v>1.0</v>
      </c>
      <c r="G2371" s="25">
        <v>37.0</v>
      </c>
      <c r="H2371" s="25">
        <v>11.0</v>
      </c>
      <c r="I2371" s="26">
        <f t="array" ref="I2371">XLOOKUP($A2371,product!A:A,product!E:E)</f>
        <v>1.99</v>
      </c>
      <c r="J2371" s="25">
        <f t="shared" si="2"/>
        <v>21.89</v>
      </c>
      <c r="K2371" s="27">
        <f t="shared" si="3"/>
        <v>1</v>
      </c>
      <c r="L2371" s="25">
        <f t="shared" si="4"/>
        <v>1</v>
      </c>
    </row>
    <row r="2372">
      <c r="A2372" s="19">
        <v>111745.0</v>
      </c>
      <c r="B2372" s="20" t="str">
        <f t="array" ref="B2372">xlookup($A2372,product!$A:$A,product!B:B)</f>
        <v>Epicerie salée</v>
      </c>
      <c r="C2372" s="20" t="str">
        <f t="array" ref="C2372">xlookup($A2372,product!$A:$A,product!C:C)</f>
        <v>Plats cuisinés</v>
      </c>
      <c r="D2372" s="20" t="str">
        <f t="array" ref="D2372">xlookup($A2372,product!$A:$A,product!D:D)</f>
        <v>Plats cuisinés céréales, légumes</v>
      </c>
      <c r="E2372" s="4" t="str">
        <f t="shared" si="1"/>
        <v>111745-Plats cuisinés-Plats cuisinés céréales, légumes</v>
      </c>
      <c r="F2372" s="4">
        <v>0.0</v>
      </c>
      <c r="G2372" s="4">
        <v>672.0</v>
      </c>
      <c r="H2372" s="4">
        <v>16.0</v>
      </c>
      <c r="I2372" s="21">
        <f t="array" ref="I2372">XLOOKUP($A2372,product!A:A,product!E:E)</f>
        <v>1.18</v>
      </c>
      <c r="J2372" s="4">
        <f t="shared" si="2"/>
        <v>18.88</v>
      </c>
      <c r="K2372" s="22">
        <f t="shared" si="3"/>
        <v>1</v>
      </c>
      <c r="L2372" s="4">
        <f t="shared" si="4"/>
        <v>1</v>
      </c>
    </row>
    <row r="2373">
      <c r="A2373" s="23">
        <v>70242.0</v>
      </c>
      <c r="B2373" s="24" t="str">
        <f t="array" ref="B2373">xlookup($A2373,product!$A:$A,product!B:B)</f>
        <v>Epicerie salée</v>
      </c>
      <c r="C2373" s="24" t="str">
        <f t="array" ref="C2373">xlookup($A2373,product!$A:$A,product!C:C)</f>
        <v>Plats cuisinés</v>
      </c>
      <c r="D2373" s="24" t="str">
        <f t="array" ref="D2373">xlookup($A2373,product!$A:$A,product!D:D)</f>
        <v>Plats cuisinés céréales, légumes</v>
      </c>
      <c r="E2373" s="25" t="str">
        <f t="shared" si="1"/>
        <v>70242-Plats cuisinés-Plats cuisinés céréales, légumes</v>
      </c>
      <c r="F2373" s="25">
        <v>1.0</v>
      </c>
      <c r="G2373" s="25">
        <v>294.0</v>
      </c>
      <c r="H2373" s="25">
        <v>190.0</v>
      </c>
      <c r="I2373" s="26">
        <f t="array" ref="I2373">XLOOKUP($A2373,product!A:A,product!E:E)</f>
        <v>3.58</v>
      </c>
      <c r="J2373" s="25">
        <f t="shared" si="2"/>
        <v>680.2</v>
      </c>
      <c r="K2373" s="27">
        <f t="shared" si="3"/>
        <v>1</v>
      </c>
      <c r="L2373" s="25">
        <f t="shared" si="4"/>
        <v>1</v>
      </c>
    </row>
    <row r="2374">
      <c r="A2374" s="19">
        <v>75061.0</v>
      </c>
      <c r="B2374" s="20" t="str">
        <f t="array" ref="B2374">xlookup($A2374,product!$A:$A,product!B:B)</f>
        <v>Epicerie salée</v>
      </c>
      <c r="C2374" s="20" t="str">
        <f t="array" ref="C2374">xlookup($A2374,product!$A:$A,product!C:C)</f>
        <v>Plats cuisinés</v>
      </c>
      <c r="D2374" s="20" t="str">
        <f t="array" ref="D2374">xlookup($A2374,product!$A:$A,product!D:D)</f>
        <v>Plats cuisinés céréales, légumes</v>
      </c>
      <c r="E2374" s="4" t="str">
        <f t="shared" si="1"/>
        <v>75061-Plats cuisinés-Plats cuisinés céréales, légumes</v>
      </c>
      <c r="F2374" s="4">
        <v>1.0</v>
      </c>
      <c r="G2374" s="4">
        <v>97.0</v>
      </c>
      <c r="H2374" s="4">
        <v>66.0</v>
      </c>
      <c r="I2374" s="21">
        <f t="array" ref="I2374">XLOOKUP($A2374,product!A:A,product!E:E)</f>
        <v>1.99</v>
      </c>
      <c r="J2374" s="4">
        <f t="shared" si="2"/>
        <v>131.34</v>
      </c>
      <c r="K2374" s="22">
        <f t="shared" si="3"/>
        <v>1</v>
      </c>
      <c r="L2374" s="4">
        <f t="shared" si="4"/>
        <v>1</v>
      </c>
    </row>
    <row r="2375">
      <c r="A2375" s="23">
        <v>69467.0</v>
      </c>
      <c r="B2375" s="24" t="str">
        <f t="array" ref="B2375">xlookup($A2375,product!$A:$A,product!B:B)</f>
        <v>Epicerie salée</v>
      </c>
      <c r="C2375" s="24" t="str">
        <f t="array" ref="C2375">xlookup($A2375,product!$A:$A,product!C:C)</f>
        <v>Plats cuisinés</v>
      </c>
      <c r="D2375" s="24" t="str">
        <f t="array" ref="D2375">xlookup($A2375,product!$A:$A,product!D:D)</f>
        <v>Plats cuisinés céréales, légumes</v>
      </c>
      <c r="E2375" s="25" t="str">
        <f t="shared" si="1"/>
        <v>69467-Plats cuisinés-Plats cuisinés céréales, légumes</v>
      </c>
      <c r="F2375" s="25">
        <v>0.0</v>
      </c>
      <c r="G2375" s="25">
        <v>721.0</v>
      </c>
      <c r="H2375" s="25">
        <v>508.0</v>
      </c>
      <c r="I2375" s="26">
        <f t="array" ref="I2375">XLOOKUP($A2375,product!A:A,product!E:E)</f>
        <v>3.57</v>
      </c>
      <c r="J2375" s="25">
        <f t="shared" si="2"/>
        <v>1813.56</v>
      </c>
      <c r="K2375" s="27">
        <f t="shared" si="3"/>
        <v>1</v>
      </c>
      <c r="L2375" s="25">
        <f t="shared" si="4"/>
        <v>1</v>
      </c>
    </row>
    <row r="2376">
      <c r="A2376" s="19">
        <v>121800.0</v>
      </c>
      <c r="B2376" s="20" t="str">
        <f t="array" ref="B2376">xlookup($A2376,product!$A:$A,product!B:B)</f>
        <v>Epicerie salée</v>
      </c>
      <c r="C2376" s="20" t="str">
        <f t="array" ref="C2376">xlookup($A2376,product!$A:$A,product!C:C)</f>
        <v>Plats cuisinés</v>
      </c>
      <c r="D2376" s="20" t="str">
        <f t="array" ref="D2376">xlookup($A2376,product!$A:$A,product!D:D)</f>
        <v>Plats cuisinés céréales, légumes</v>
      </c>
      <c r="E2376" s="4" t="str">
        <f t="shared" si="1"/>
        <v>121800-Plats cuisinés-Plats cuisinés céréales, légumes</v>
      </c>
      <c r="F2376" s="4">
        <v>1.0</v>
      </c>
      <c r="G2376" s="4">
        <v>941.0</v>
      </c>
      <c r="H2376" s="4">
        <v>565.0</v>
      </c>
      <c r="I2376" s="21">
        <f t="array" ref="I2376">XLOOKUP($A2376,product!A:A,product!E:E)</f>
        <v>2.39</v>
      </c>
      <c r="J2376" s="4">
        <f t="shared" si="2"/>
        <v>1350.35</v>
      </c>
      <c r="K2376" s="22">
        <f t="shared" si="3"/>
        <v>1</v>
      </c>
      <c r="L2376" s="4">
        <f t="shared" si="4"/>
        <v>1</v>
      </c>
    </row>
    <row r="2377">
      <c r="A2377" s="23">
        <v>110974.0</v>
      </c>
      <c r="B2377" s="24" t="str">
        <f t="array" ref="B2377">xlookup($A2377,product!$A:$A,product!B:B)</f>
        <v>Epicerie salée</v>
      </c>
      <c r="C2377" s="24" t="str">
        <f t="array" ref="C2377">xlookup($A2377,product!$A:$A,product!C:C)</f>
        <v>Plats cuisinés</v>
      </c>
      <c r="D2377" s="24" t="str">
        <f t="array" ref="D2377">xlookup($A2377,product!$A:$A,product!D:D)</f>
        <v>Plats cuisinés céréales, légumes</v>
      </c>
      <c r="E2377" s="25" t="str">
        <f t="shared" si="1"/>
        <v>110974-Plats cuisinés-Plats cuisinés céréales, légumes</v>
      </c>
      <c r="F2377" s="25">
        <v>0.0</v>
      </c>
      <c r="G2377" s="25">
        <v>51.0</v>
      </c>
      <c r="H2377" s="25">
        <v>17.0</v>
      </c>
      <c r="I2377" s="26">
        <f t="array" ref="I2377">XLOOKUP($A2377,product!A:A,product!E:E)</f>
        <v>2.04</v>
      </c>
      <c r="J2377" s="25">
        <f t="shared" si="2"/>
        <v>34.68</v>
      </c>
      <c r="K2377" s="27">
        <f t="shared" si="3"/>
        <v>1</v>
      </c>
      <c r="L2377" s="25">
        <f t="shared" si="4"/>
        <v>1</v>
      </c>
    </row>
    <row r="2378">
      <c r="A2378" s="19">
        <v>114969.0</v>
      </c>
      <c r="B2378" s="20" t="str">
        <f t="array" ref="B2378">xlookup($A2378,product!$A:$A,product!B:B)</f>
        <v>Epicerie salée</v>
      </c>
      <c r="C2378" s="20" t="str">
        <f t="array" ref="C2378">xlookup($A2378,product!$A:$A,product!C:C)</f>
        <v>Plats cuisinés</v>
      </c>
      <c r="D2378" s="20" t="str">
        <f t="array" ref="D2378">xlookup($A2378,product!$A:$A,product!D:D)</f>
        <v>Plats cuisinés céréales, légumes</v>
      </c>
      <c r="E2378" s="4" t="str">
        <f t="shared" si="1"/>
        <v>114969-Plats cuisinés-Plats cuisinés céréales, légumes</v>
      </c>
      <c r="F2378" s="4">
        <v>0.0</v>
      </c>
      <c r="G2378" s="4">
        <v>808.0</v>
      </c>
      <c r="H2378" s="4">
        <v>596.0</v>
      </c>
      <c r="I2378" s="21">
        <f t="array" ref="I2378">XLOOKUP($A2378,product!A:A,product!E:E)</f>
        <v>2.11</v>
      </c>
      <c r="J2378" s="4">
        <f t="shared" si="2"/>
        <v>1257.56</v>
      </c>
      <c r="K2378" s="22">
        <f t="shared" si="3"/>
        <v>1</v>
      </c>
      <c r="L2378" s="4">
        <f t="shared" si="4"/>
        <v>1</v>
      </c>
    </row>
    <row r="2379">
      <c r="A2379" s="23">
        <v>111041.0</v>
      </c>
      <c r="B2379" s="24" t="str">
        <f t="array" ref="B2379">xlookup($A2379,product!$A:$A,product!B:B)</f>
        <v>Epicerie salée</v>
      </c>
      <c r="C2379" s="24" t="str">
        <f t="array" ref="C2379">xlookup($A2379,product!$A:$A,product!C:C)</f>
        <v>Plats cuisinés</v>
      </c>
      <c r="D2379" s="24" t="str">
        <f t="array" ref="D2379">xlookup($A2379,product!$A:$A,product!D:D)</f>
        <v>Plats cuisinés céréales, légumes</v>
      </c>
      <c r="E2379" s="25" t="str">
        <f t="shared" si="1"/>
        <v>111041-Plats cuisinés-Plats cuisinés céréales, légumes</v>
      </c>
      <c r="F2379" s="25">
        <v>1.0</v>
      </c>
      <c r="G2379" s="25">
        <v>930.0</v>
      </c>
      <c r="H2379" s="25">
        <v>468.0</v>
      </c>
      <c r="I2379" s="26">
        <f t="array" ref="I2379">XLOOKUP($A2379,product!A:A,product!E:E)</f>
        <v>1.57</v>
      </c>
      <c r="J2379" s="25">
        <f t="shared" si="2"/>
        <v>734.76</v>
      </c>
      <c r="K2379" s="27">
        <f t="shared" si="3"/>
        <v>1</v>
      </c>
      <c r="L2379" s="25">
        <f t="shared" si="4"/>
        <v>1</v>
      </c>
    </row>
    <row r="2380">
      <c r="A2380" s="19">
        <v>82382.0</v>
      </c>
      <c r="B2380" s="20" t="str">
        <f t="array" ref="B2380">xlookup($A2380,product!$A:$A,product!B:B)</f>
        <v>Epicerie salée</v>
      </c>
      <c r="C2380" s="20" t="str">
        <f t="array" ref="C2380">xlookup($A2380,product!$A:$A,product!C:C)</f>
        <v>Plats cuisinés</v>
      </c>
      <c r="D2380" s="20" t="str">
        <f t="array" ref="D2380">xlookup($A2380,product!$A:$A,product!D:D)</f>
        <v>Plats cuisinés céréales, légumes</v>
      </c>
      <c r="E2380" s="4" t="str">
        <f t="shared" si="1"/>
        <v>82382-Plats cuisinés-Plats cuisinés céréales, légumes</v>
      </c>
      <c r="F2380" s="4">
        <v>1.0</v>
      </c>
      <c r="G2380" s="4">
        <v>359.0</v>
      </c>
      <c r="H2380" s="4">
        <v>138.0</v>
      </c>
      <c r="I2380" s="21">
        <f t="array" ref="I2380">XLOOKUP($A2380,product!A:A,product!E:E)</f>
        <v>1.54</v>
      </c>
      <c r="J2380" s="4">
        <f t="shared" si="2"/>
        <v>212.52</v>
      </c>
      <c r="K2380" s="22">
        <f t="shared" si="3"/>
        <v>1</v>
      </c>
      <c r="L2380" s="4">
        <f t="shared" si="4"/>
        <v>1</v>
      </c>
    </row>
    <row r="2381">
      <c r="A2381" s="23">
        <v>89634.0</v>
      </c>
      <c r="B2381" s="24" t="str">
        <f t="array" ref="B2381">xlookup($A2381,product!$A:$A,product!B:B)</f>
        <v>Epicerie salée</v>
      </c>
      <c r="C2381" s="24" t="str">
        <f t="array" ref="C2381">xlookup($A2381,product!$A:$A,product!C:C)</f>
        <v>Plats cuisinés</v>
      </c>
      <c r="D2381" s="24" t="str">
        <f t="array" ref="D2381">xlookup($A2381,product!$A:$A,product!D:D)</f>
        <v>Plats cuisinés céréales, légumes</v>
      </c>
      <c r="E2381" s="25" t="str">
        <f t="shared" si="1"/>
        <v>89634-Plats cuisinés-Plats cuisinés céréales, légumes</v>
      </c>
      <c r="F2381" s="25">
        <v>1.0</v>
      </c>
      <c r="G2381" s="25">
        <v>807.0</v>
      </c>
      <c r="H2381" s="25">
        <v>428.0</v>
      </c>
      <c r="I2381" s="26">
        <f t="array" ref="I2381">XLOOKUP($A2381,product!A:A,product!E:E)</f>
        <v>2.89</v>
      </c>
      <c r="J2381" s="25">
        <f t="shared" si="2"/>
        <v>1236.92</v>
      </c>
      <c r="K2381" s="27">
        <f t="shared" si="3"/>
        <v>1</v>
      </c>
      <c r="L2381" s="25">
        <f t="shared" si="4"/>
        <v>1</v>
      </c>
    </row>
    <row r="2382">
      <c r="A2382" s="19">
        <v>82381.0</v>
      </c>
      <c r="B2382" s="20" t="str">
        <f t="array" ref="B2382">xlookup($A2382,product!$A:$A,product!B:B)</f>
        <v>Epicerie salée</v>
      </c>
      <c r="C2382" s="20" t="str">
        <f t="array" ref="C2382">xlookup($A2382,product!$A:$A,product!C:C)</f>
        <v>Plats cuisinés</v>
      </c>
      <c r="D2382" s="20" t="str">
        <f t="array" ref="D2382">xlookup($A2382,product!$A:$A,product!D:D)</f>
        <v>Plats cuisinés céréales, légumes</v>
      </c>
      <c r="E2382" s="4" t="str">
        <f t="shared" si="1"/>
        <v>82381-Plats cuisinés-Plats cuisinés céréales, légumes</v>
      </c>
      <c r="F2382" s="4">
        <v>1.0</v>
      </c>
      <c r="G2382" s="4">
        <v>308.0</v>
      </c>
      <c r="H2382" s="4">
        <v>144.0</v>
      </c>
      <c r="I2382" s="21">
        <f t="array" ref="I2382">XLOOKUP($A2382,product!A:A,product!E:E)</f>
        <v>1.59</v>
      </c>
      <c r="J2382" s="4">
        <f t="shared" si="2"/>
        <v>228.96</v>
      </c>
      <c r="K2382" s="22">
        <f t="shared" si="3"/>
        <v>1</v>
      </c>
      <c r="L2382" s="4">
        <f t="shared" si="4"/>
        <v>1</v>
      </c>
    </row>
    <row r="2383">
      <c r="A2383" s="23">
        <v>107232.0</v>
      </c>
      <c r="B2383" s="24" t="str">
        <f t="array" ref="B2383">xlookup($A2383,product!$A:$A,product!B:B)</f>
        <v>Epicerie salée</v>
      </c>
      <c r="C2383" s="24" t="str">
        <f t="array" ref="C2383">xlookup($A2383,product!$A:$A,product!C:C)</f>
        <v>Plats cuisinés</v>
      </c>
      <c r="D2383" s="24" t="str">
        <f t="array" ref="D2383">xlookup($A2383,product!$A:$A,product!D:D)</f>
        <v>Plats cuisinés céréales, légumes</v>
      </c>
      <c r="E2383" s="25" t="str">
        <f t="shared" si="1"/>
        <v>107232-Plats cuisinés-Plats cuisinés céréales, légumes</v>
      </c>
      <c r="F2383" s="25">
        <v>0.0</v>
      </c>
      <c r="G2383" s="25">
        <v>611.0</v>
      </c>
      <c r="H2383" s="25">
        <v>65.0</v>
      </c>
      <c r="I2383" s="26">
        <f t="array" ref="I2383">XLOOKUP($A2383,product!A:A,product!E:E)</f>
        <v>2.42</v>
      </c>
      <c r="J2383" s="25">
        <f t="shared" si="2"/>
        <v>157.3</v>
      </c>
      <c r="K2383" s="27">
        <f t="shared" si="3"/>
        <v>1</v>
      </c>
      <c r="L2383" s="25">
        <f t="shared" si="4"/>
        <v>1</v>
      </c>
    </row>
    <row r="2384">
      <c r="A2384" s="19">
        <v>70247.0</v>
      </c>
      <c r="B2384" s="20" t="str">
        <f t="array" ref="B2384">xlookup($A2384,product!$A:$A,product!B:B)</f>
        <v>Epicerie salée</v>
      </c>
      <c r="C2384" s="20" t="str">
        <f t="array" ref="C2384">xlookup($A2384,product!$A:$A,product!C:C)</f>
        <v>Plats cuisinés</v>
      </c>
      <c r="D2384" s="20" t="str">
        <f t="array" ref="D2384">xlookup($A2384,product!$A:$A,product!D:D)</f>
        <v>Plats cuisinés céréales, légumes</v>
      </c>
      <c r="E2384" s="4" t="str">
        <f t="shared" si="1"/>
        <v>70247-Plats cuisinés-Plats cuisinés céréales, légumes</v>
      </c>
      <c r="F2384" s="4">
        <v>0.0</v>
      </c>
      <c r="G2384" s="4">
        <v>375.0</v>
      </c>
      <c r="H2384" s="4">
        <v>126.0</v>
      </c>
      <c r="I2384" s="21">
        <f t="array" ref="I2384">XLOOKUP($A2384,product!A:A,product!E:E)</f>
        <v>1.77</v>
      </c>
      <c r="J2384" s="4">
        <f t="shared" si="2"/>
        <v>223.02</v>
      </c>
      <c r="K2384" s="22">
        <f t="shared" si="3"/>
        <v>1</v>
      </c>
      <c r="L2384" s="4">
        <f t="shared" si="4"/>
        <v>1</v>
      </c>
    </row>
    <row r="2385">
      <c r="A2385" s="23">
        <v>107253.0</v>
      </c>
      <c r="B2385" s="24" t="str">
        <f t="array" ref="B2385">xlookup($A2385,product!$A:$A,product!B:B)</f>
        <v>Epicerie salée</v>
      </c>
      <c r="C2385" s="24" t="str">
        <f t="array" ref="C2385">xlookup($A2385,product!$A:$A,product!C:C)</f>
        <v>Plats cuisinés</v>
      </c>
      <c r="D2385" s="24" t="str">
        <f t="array" ref="D2385">xlookup($A2385,product!$A:$A,product!D:D)</f>
        <v>Plats cuisinés céréales, légumes</v>
      </c>
      <c r="E2385" s="25" t="str">
        <f t="shared" si="1"/>
        <v>107253-Plats cuisinés-Plats cuisinés céréales, légumes</v>
      </c>
      <c r="F2385" s="25">
        <v>1.0</v>
      </c>
      <c r="G2385" s="25">
        <v>81.0</v>
      </c>
      <c r="H2385" s="25">
        <v>63.0</v>
      </c>
      <c r="I2385" s="26">
        <f t="array" ref="I2385">XLOOKUP($A2385,product!A:A,product!E:E)</f>
        <v>1.96</v>
      </c>
      <c r="J2385" s="25">
        <f t="shared" si="2"/>
        <v>123.48</v>
      </c>
      <c r="K2385" s="27">
        <f t="shared" si="3"/>
        <v>1</v>
      </c>
      <c r="L2385" s="25">
        <f t="shared" si="4"/>
        <v>1</v>
      </c>
    </row>
    <row r="2386">
      <c r="A2386" s="19">
        <v>102709.0</v>
      </c>
      <c r="B2386" s="20" t="str">
        <f t="array" ref="B2386">xlookup($A2386,product!$A:$A,product!B:B)</f>
        <v>Epicerie salée</v>
      </c>
      <c r="C2386" s="20" t="str">
        <f t="array" ref="C2386">xlookup($A2386,product!$A:$A,product!C:C)</f>
        <v>Plats cuisinés</v>
      </c>
      <c r="D2386" s="20" t="str">
        <f t="array" ref="D2386">xlookup($A2386,product!$A:$A,product!D:D)</f>
        <v>Plats cuisinés céréales, légumes</v>
      </c>
      <c r="E2386" s="4" t="str">
        <f t="shared" si="1"/>
        <v>102709-Plats cuisinés-Plats cuisinés céréales, légumes</v>
      </c>
      <c r="F2386" s="4">
        <v>0.0</v>
      </c>
      <c r="G2386" s="4">
        <v>854.0</v>
      </c>
      <c r="H2386" s="4">
        <v>808.0</v>
      </c>
      <c r="I2386" s="21">
        <f t="array" ref="I2386">XLOOKUP($A2386,product!A:A,product!E:E)</f>
        <v>1.52</v>
      </c>
      <c r="J2386" s="4">
        <f t="shared" si="2"/>
        <v>1228.16</v>
      </c>
      <c r="K2386" s="22">
        <f t="shared" si="3"/>
        <v>1</v>
      </c>
      <c r="L2386" s="4">
        <f t="shared" si="4"/>
        <v>1</v>
      </c>
    </row>
    <row r="2387">
      <c r="A2387" s="23">
        <v>75050.0</v>
      </c>
      <c r="B2387" s="24" t="str">
        <f t="array" ref="B2387">xlookup($A2387,product!$A:$A,product!B:B)</f>
        <v>Epicerie salée</v>
      </c>
      <c r="C2387" s="24" t="str">
        <f t="array" ref="C2387">xlookup($A2387,product!$A:$A,product!C:C)</f>
        <v>Plats cuisinés</v>
      </c>
      <c r="D2387" s="24" t="str">
        <f t="array" ref="D2387">xlookup($A2387,product!$A:$A,product!D:D)</f>
        <v>Plats cuisinés céréales, légumes</v>
      </c>
      <c r="E2387" s="25" t="str">
        <f t="shared" si="1"/>
        <v>75050-Plats cuisinés-Plats cuisinés céréales, légumes</v>
      </c>
      <c r="F2387" s="25">
        <v>0.0</v>
      </c>
      <c r="G2387" s="25">
        <v>54.0</v>
      </c>
      <c r="H2387" s="25">
        <v>36.0</v>
      </c>
      <c r="I2387" s="26">
        <f t="array" ref="I2387">XLOOKUP($A2387,product!A:A,product!E:E)</f>
        <v>2.25</v>
      </c>
      <c r="J2387" s="25">
        <f t="shared" si="2"/>
        <v>81</v>
      </c>
      <c r="K2387" s="27">
        <f t="shared" si="3"/>
        <v>1</v>
      </c>
      <c r="L2387" s="25">
        <f t="shared" si="4"/>
        <v>1</v>
      </c>
    </row>
    <row r="2388">
      <c r="A2388" s="19">
        <v>111014.0</v>
      </c>
      <c r="B2388" s="20" t="str">
        <f t="array" ref="B2388">xlookup($A2388,product!$A:$A,product!B:B)</f>
        <v>Epicerie salée</v>
      </c>
      <c r="C2388" s="20" t="str">
        <f t="array" ref="C2388">xlookup($A2388,product!$A:$A,product!C:C)</f>
        <v>Plats cuisinés</v>
      </c>
      <c r="D2388" s="20" t="str">
        <f t="array" ref="D2388">xlookup($A2388,product!$A:$A,product!D:D)</f>
        <v>Plats cuisinés céréales, légumes</v>
      </c>
      <c r="E2388" s="4" t="str">
        <f t="shared" si="1"/>
        <v>111014-Plats cuisinés-Plats cuisinés céréales, légumes</v>
      </c>
      <c r="F2388" s="4">
        <v>1.0</v>
      </c>
      <c r="G2388" s="4">
        <v>618.0</v>
      </c>
      <c r="H2388" s="4">
        <v>511.0</v>
      </c>
      <c r="I2388" s="21">
        <f t="array" ref="I2388">XLOOKUP($A2388,product!A:A,product!E:E)</f>
        <v>1.93</v>
      </c>
      <c r="J2388" s="4">
        <f t="shared" si="2"/>
        <v>986.23</v>
      </c>
      <c r="K2388" s="22">
        <f t="shared" si="3"/>
        <v>1</v>
      </c>
      <c r="L2388" s="4">
        <f t="shared" si="4"/>
        <v>1</v>
      </c>
    </row>
    <row r="2389">
      <c r="A2389" s="23">
        <v>120282.0</v>
      </c>
      <c r="B2389" s="24" t="str">
        <f t="array" ref="B2389">xlookup($A2389,product!$A:$A,product!B:B)</f>
        <v>Beauté &amp; Hygiène</v>
      </c>
      <c r="C2389" s="24" t="str">
        <f t="array" ref="C2389">xlookup($A2389,product!$A:$A,product!C:C)</f>
        <v>Soins du visage</v>
      </c>
      <c r="D2389" s="24" t="str">
        <f t="array" ref="D2389">xlookup($A2389,product!$A:$A,product!D:D)</f>
        <v>Coffret visage</v>
      </c>
      <c r="E2389" s="25" t="str">
        <f t="shared" si="1"/>
        <v>120282-Soins du visage-Coffret visage</v>
      </c>
      <c r="F2389" s="25">
        <v>1.0</v>
      </c>
      <c r="G2389" s="25">
        <v>383.0</v>
      </c>
      <c r="H2389" s="25">
        <v>170.0</v>
      </c>
      <c r="I2389" s="26">
        <f t="array" ref="I2389">XLOOKUP($A2389,product!A:A,product!E:E)</f>
        <v>14.94</v>
      </c>
      <c r="J2389" s="25">
        <f t="shared" si="2"/>
        <v>2539.8</v>
      </c>
      <c r="K2389" s="27">
        <f t="shared" si="3"/>
        <v>1</v>
      </c>
      <c r="L2389" s="25">
        <f t="shared" si="4"/>
        <v>1</v>
      </c>
    </row>
    <row r="2390">
      <c r="A2390" s="19">
        <v>84512.0</v>
      </c>
      <c r="B2390" s="20" t="str">
        <f t="array" ref="B2390">xlookup($A2390,product!$A:$A,product!B:B)</f>
        <v>Beauté &amp; Hygiène</v>
      </c>
      <c r="C2390" s="20" t="str">
        <f t="array" ref="C2390">xlookup($A2390,product!$A:$A,product!C:C)</f>
        <v>Soins du visage</v>
      </c>
      <c r="D2390" s="20" t="str">
        <f t="array" ref="D2390">xlookup($A2390,product!$A:$A,product!D:D)</f>
        <v>Coffret visage</v>
      </c>
      <c r="E2390" s="4" t="str">
        <f t="shared" si="1"/>
        <v>84512-Soins du visage-Coffret visage</v>
      </c>
      <c r="F2390" s="4">
        <v>0.0</v>
      </c>
      <c r="G2390" s="4">
        <v>375.0</v>
      </c>
      <c r="H2390" s="4">
        <v>302.0</v>
      </c>
      <c r="I2390" s="21">
        <f t="array" ref="I2390">XLOOKUP($A2390,product!A:A,product!E:E)</f>
        <v>12.05</v>
      </c>
      <c r="J2390" s="4">
        <f t="shared" si="2"/>
        <v>3639.1</v>
      </c>
      <c r="K2390" s="22">
        <f t="shared" si="3"/>
        <v>1</v>
      </c>
      <c r="L2390" s="4">
        <f t="shared" si="4"/>
        <v>1</v>
      </c>
    </row>
    <row r="2391">
      <c r="A2391" s="23">
        <v>77197.0</v>
      </c>
      <c r="B2391" s="24" t="str">
        <f t="array" ref="B2391">xlookup($A2391,product!$A:$A,product!B:B)</f>
        <v>Beauté &amp; Hygiène</v>
      </c>
      <c r="C2391" s="24" t="str">
        <f t="array" ref="C2391">xlookup($A2391,product!$A:$A,product!C:C)</f>
        <v>Soins du visage</v>
      </c>
      <c r="D2391" s="24" t="str">
        <f t="array" ref="D2391">xlookup($A2391,product!$A:$A,product!D:D)</f>
        <v>Soins des lèvres</v>
      </c>
      <c r="E2391" s="25" t="str">
        <f t="shared" si="1"/>
        <v>77197-Soins du visage-Soins des lèvres</v>
      </c>
      <c r="F2391" s="25">
        <v>0.0</v>
      </c>
      <c r="G2391" s="25">
        <v>550.0</v>
      </c>
      <c r="H2391" s="25">
        <v>523.0</v>
      </c>
      <c r="I2391" s="26">
        <f t="array" ref="I2391">XLOOKUP($A2391,product!A:A,product!E:E)</f>
        <v>2.6</v>
      </c>
      <c r="J2391" s="25">
        <f t="shared" si="2"/>
        <v>1359.8</v>
      </c>
      <c r="K2391" s="27">
        <f t="shared" si="3"/>
        <v>1</v>
      </c>
      <c r="L2391" s="25">
        <f t="shared" si="4"/>
        <v>1</v>
      </c>
    </row>
    <row r="2392">
      <c r="A2392" s="19">
        <v>29650.0</v>
      </c>
      <c r="B2392" s="20" t="str">
        <f t="array" ref="B2392">xlookup($A2392,product!$A:$A,product!B:B)</f>
        <v>Beauté &amp; Hygiène</v>
      </c>
      <c r="C2392" s="20" t="str">
        <f t="array" ref="C2392">xlookup($A2392,product!$A:$A,product!C:C)</f>
        <v>Soins du visage</v>
      </c>
      <c r="D2392" s="20" t="str">
        <f t="array" ref="D2392">xlookup($A2392,product!$A:$A,product!D:D)</f>
        <v>Soins des lèvres</v>
      </c>
      <c r="E2392" s="4" t="str">
        <f t="shared" si="1"/>
        <v>29650-Soins du visage-Soins des lèvres</v>
      </c>
      <c r="F2392" s="4">
        <v>0.0</v>
      </c>
      <c r="G2392" s="4">
        <v>12.0</v>
      </c>
      <c r="H2392" s="4">
        <v>6.0</v>
      </c>
      <c r="I2392" s="21">
        <f t="array" ref="I2392">XLOOKUP($A2392,product!A:A,product!E:E)</f>
        <v>1.39</v>
      </c>
      <c r="J2392" s="4">
        <f t="shared" si="2"/>
        <v>8.34</v>
      </c>
      <c r="K2392" s="22">
        <f t="shared" si="3"/>
        <v>1</v>
      </c>
      <c r="L2392" s="4">
        <f t="shared" si="4"/>
        <v>1</v>
      </c>
    </row>
    <row r="2393">
      <c r="A2393" s="23">
        <v>4162.0</v>
      </c>
      <c r="B2393" s="24" t="str">
        <f t="array" ref="B2393">xlookup($A2393,product!$A:$A,product!B:B)</f>
        <v>Beauté &amp; Hygiène</v>
      </c>
      <c r="C2393" s="24" t="str">
        <f t="array" ref="C2393">xlookup($A2393,product!$A:$A,product!C:C)</f>
        <v>Soins du visage</v>
      </c>
      <c r="D2393" s="24" t="str">
        <f t="array" ref="D2393">xlookup($A2393,product!$A:$A,product!D:D)</f>
        <v>Soins des lèvres</v>
      </c>
      <c r="E2393" s="25" t="str">
        <f t="shared" si="1"/>
        <v>4162-Soins du visage-Soins des lèvres</v>
      </c>
      <c r="F2393" s="25">
        <v>0.0</v>
      </c>
      <c r="G2393" s="25">
        <v>152.0</v>
      </c>
      <c r="H2393" s="25">
        <v>78.0</v>
      </c>
      <c r="I2393" s="26">
        <f t="array" ref="I2393">XLOOKUP($A2393,product!A:A,product!E:E)</f>
        <v>3.09</v>
      </c>
      <c r="J2393" s="25">
        <f t="shared" si="2"/>
        <v>241.02</v>
      </c>
      <c r="K2393" s="27">
        <f t="shared" si="3"/>
        <v>1</v>
      </c>
      <c r="L2393" s="25">
        <f t="shared" si="4"/>
        <v>1</v>
      </c>
    </row>
    <row r="2394">
      <c r="A2394" s="19">
        <v>88214.0</v>
      </c>
      <c r="B2394" s="20" t="str">
        <f t="array" ref="B2394">xlookup($A2394,product!$A:$A,product!B:B)</f>
        <v>Beauté &amp; Hygiène</v>
      </c>
      <c r="C2394" s="20" t="str">
        <f t="array" ref="C2394">xlookup($A2394,product!$A:$A,product!C:C)</f>
        <v>Soins du visage</v>
      </c>
      <c r="D2394" s="20" t="str">
        <f t="array" ref="D2394">xlookup($A2394,product!$A:$A,product!D:D)</f>
        <v>Soins des lèvres</v>
      </c>
      <c r="E2394" s="4" t="str">
        <f t="shared" si="1"/>
        <v>88214-Soins du visage-Soins des lèvres</v>
      </c>
      <c r="F2394" s="4">
        <v>1.0</v>
      </c>
      <c r="G2394" s="4">
        <v>872.0</v>
      </c>
      <c r="H2394" s="4">
        <v>857.0</v>
      </c>
      <c r="I2394" s="21">
        <f t="array" ref="I2394">XLOOKUP($A2394,product!A:A,product!E:E)</f>
        <v>2.13</v>
      </c>
      <c r="J2394" s="4">
        <f t="shared" si="2"/>
        <v>1825.41</v>
      </c>
      <c r="K2394" s="22">
        <f t="shared" si="3"/>
        <v>1</v>
      </c>
      <c r="L2394" s="4">
        <f t="shared" si="4"/>
        <v>1</v>
      </c>
    </row>
    <row r="2395">
      <c r="A2395" s="23">
        <v>73254.0</v>
      </c>
      <c r="B2395" s="24" t="str">
        <f t="array" ref="B2395">xlookup($A2395,product!$A:$A,product!B:B)</f>
        <v>Beauté &amp; Hygiène</v>
      </c>
      <c r="C2395" s="24" t="str">
        <f t="array" ref="C2395">xlookup($A2395,product!$A:$A,product!C:C)</f>
        <v>Soins du visage</v>
      </c>
      <c r="D2395" s="24" t="str">
        <f t="array" ref="D2395">xlookup($A2395,product!$A:$A,product!D:D)</f>
        <v>Soins des lèvres</v>
      </c>
      <c r="E2395" s="25" t="str">
        <f t="shared" si="1"/>
        <v>73254-Soins du visage-Soins des lèvres</v>
      </c>
      <c r="F2395" s="25">
        <v>0.0</v>
      </c>
      <c r="G2395" s="25">
        <v>162.0</v>
      </c>
      <c r="H2395" s="25">
        <v>1.0</v>
      </c>
      <c r="I2395" s="26">
        <f t="array" ref="I2395">XLOOKUP($A2395,product!A:A,product!E:E)</f>
        <v>1.27</v>
      </c>
      <c r="J2395" s="25">
        <f t="shared" si="2"/>
        <v>1.27</v>
      </c>
      <c r="K2395" s="27">
        <f t="shared" si="3"/>
        <v>1</v>
      </c>
      <c r="L2395" s="25">
        <f t="shared" si="4"/>
        <v>1</v>
      </c>
    </row>
    <row r="2396">
      <c r="A2396" s="19">
        <v>108204.0</v>
      </c>
      <c r="B2396" s="20" t="str">
        <f t="array" ref="B2396">xlookup($A2396,product!$A:$A,product!B:B)</f>
        <v>Beauté &amp; Hygiène</v>
      </c>
      <c r="C2396" s="20" t="str">
        <f t="array" ref="C2396">xlookup($A2396,product!$A:$A,product!C:C)</f>
        <v>Soins du visage</v>
      </c>
      <c r="D2396" s="20" t="str">
        <f t="array" ref="D2396">xlookup($A2396,product!$A:$A,product!D:D)</f>
        <v>Soins des lèvres</v>
      </c>
      <c r="E2396" s="4" t="str">
        <f t="shared" si="1"/>
        <v>108204-Soins du visage-Soins des lèvres</v>
      </c>
      <c r="F2396" s="4">
        <v>1.0</v>
      </c>
      <c r="G2396" s="4">
        <v>734.0</v>
      </c>
      <c r="H2396" s="4">
        <v>426.0</v>
      </c>
      <c r="I2396" s="21">
        <f t="array" ref="I2396">XLOOKUP($A2396,product!A:A,product!E:E)</f>
        <v>4</v>
      </c>
      <c r="J2396" s="4">
        <f t="shared" si="2"/>
        <v>1704</v>
      </c>
      <c r="K2396" s="22">
        <f t="shared" si="3"/>
        <v>1</v>
      </c>
      <c r="L2396" s="4">
        <f t="shared" si="4"/>
        <v>1</v>
      </c>
    </row>
    <row r="2397">
      <c r="A2397" s="23">
        <v>9676.0</v>
      </c>
      <c r="B2397" s="24" t="str">
        <f t="array" ref="B2397">xlookup($A2397,product!$A:$A,product!B:B)</f>
        <v>Beauté &amp; Hygiène</v>
      </c>
      <c r="C2397" s="24" t="str">
        <f t="array" ref="C2397">xlookup($A2397,product!$A:$A,product!C:C)</f>
        <v>Soins du visage</v>
      </c>
      <c r="D2397" s="24" t="str">
        <f t="array" ref="D2397">xlookup($A2397,product!$A:$A,product!D:D)</f>
        <v>Soins des lèvres</v>
      </c>
      <c r="E2397" s="25" t="str">
        <f t="shared" si="1"/>
        <v>9676-Soins du visage-Soins des lèvres</v>
      </c>
      <c r="F2397" s="25">
        <v>0.0</v>
      </c>
      <c r="G2397" s="25">
        <v>111.0</v>
      </c>
      <c r="H2397" s="25">
        <v>5.0</v>
      </c>
      <c r="I2397" s="26">
        <f t="array" ref="I2397">XLOOKUP($A2397,product!A:A,product!E:E)</f>
        <v>1.64</v>
      </c>
      <c r="J2397" s="25">
        <f t="shared" si="2"/>
        <v>8.2</v>
      </c>
      <c r="K2397" s="27">
        <f t="shared" si="3"/>
        <v>1</v>
      </c>
      <c r="L2397" s="25">
        <f t="shared" si="4"/>
        <v>1</v>
      </c>
    </row>
    <row r="2398">
      <c r="A2398" s="19">
        <v>44412.0</v>
      </c>
      <c r="B2398" s="20" t="str">
        <f t="array" ref="B2398">xlookup($A2398,product!$A:$A,product!B:B)</f>
        <v>Beauté &amp; Hygiène</v>
      </c>
      <c r="C2398" s="20" t="str">
        <f t="array" ref="C2398">xlookup($A2398,product!$A:$A,product!C:C)</f>
        <v>Soins du visage</v>
      </c>
      <c r="D2398" s="20" t="str">
        <f t="array" ref="D2398">xlookup($A2398,product!$A:$A,product!D:D)</f>
        <v>Soins des lèvres</v>
      </c>
      <c r="E2398" s="4" t="str">
        <f t="shared" si="1"/>
        <v>44412-Soins du visage-Soins des lèvres</v>
      </c>
      <c r="F2398" s="4">
        <v>1.0</v>
      </c>
      <c r="G2398" s="4">
        <v>290.0</v>
      </c>
      <c r="H2398" s="4">
        <v>116.0</v>
      </c>
      <c r="I2398" s="21">
        <f t="array" ref="I2398">XLOOKUP($A2398,product!A:A,product!E:E)</f>
        <v>3.96</v>
      </c>
      <c r="J2398" s="4">
        <f t="shared" si="2"/>
        <v>459.36</v>
      </c>
      <c r="K2398" s="22">
        <f t="shared" si="3"/>
        <v>1</v>
      </c>
      <c r="L2398" s="4">
        <f t="shared" si="4"/>
        <v>1</v>
      </c>
    </row>
    <row r="2399">
      <c r="A2399" s="23">
        <v>73253.0</v>
      </c>
      <c r="B2399" s="24" t="str">
        <f t="array" ref="B2399">xlookup($A2399,product!$A:$A,product!B:B)</f>
        <v>Beauté &amp; Hygiène</v>
      </c>
      <c r="C2399" s="24" t="str">
        <f t="array" ref="C2399">xlookup($A2399,product!$A:$A,product!C:C)</f>
        <v>Soins du visage</v>
      </c>
      <c r="D2399" s="24" t="str">
        <f t="array" ref="D2399">xlookup($A2399,product!$A:$A,product!D:D)</f>
        <v>Soins des lèvres</v>
      </c>
      <c r="E2399" s="25" t="str">
        <f t="shared" si="1"/>
        <v>73253-Soins du visage-Soins des lèvres</v>
      </c>
      <c r="F2399" s="25">
        <v>1.0</v>
      </c>
      <c r="G2399" s="25">
        <v>168.0</v>
      </c>
      <c r="H2399" s="25">
        <v>101.0</v>
      </c>
      <c r="I2399" s="26">
        <f t="array" ref="I2399">XLOOKUP($A2399,product!A:A,product!E:E)</f>
        <v>0.93</v>
      </c>
      <c r="J2399" s="25">
        <f t="shared" si="2"/>
        <v>93.93</v>
      </c>
      <c r="K2399" s="27">
        <f t="shared" si="3"/>
        <v>1</v>
      </c>
      <c r="L2399" s="25">
        <f t="shared" si="4"/>
        <v>1</v>
      </c>
    </row>
    <row r="2400">
      <c r="A2400" s="19">
        <v>122516.0</v>
      </c>
      <c r="B2400" s="20" t="str">
        <f t="array" ref="B2400">xlookup($A2400,product!$A:$A,product!B:B)</f>
        <v>Beauté &amp; Hygiène</v>
      </c>
      <c r="C2400" s="20" t="str">
        <f t="array" ref="C2400">xlookup($A2400,product!$A:$A,product!C:C)</f>
        <v>Soins du visage</v>
      </c>
      <c r="D2400" s="20" t="str">
        <f t="array" ref="D2400">xlookup($A2400,product!$A:$A,product!D:D)</f>
        <v>Soins des lèvres</v>
      </c>
      <c r="E2400" s="4" t="str">
        <f t="shared" si="1"/>
        <v>122516-Soins du visage-Soins des lèvres</v>
      </c>
      <c r="F2400" s="4">
        <v>1.0</v>
      </c>
      <c r="G2400" s="4">
        <v>866.0</v>
      </c>
      <c r="H2400" s="4">
        <v>555.0</v>
      </c>
      <c r="I2400" s="21">
        <f t="array" ref="I2400">XLOOKUP($A2400,product!A:A,product!E:E)</f>
        <v>4.83</v>
      </c>
      <c r="J2400" s="4">
        <f t="shared" si="2"/>
        <v>2680.65</v>
      </c>
      <c r="K2400" s="22">
        <f t="shared" si="3"/>
        <v>1</v>
      </c>
      <c r="L2400" s="4">
        <f t="shared" si="4"/>
        <v>1</v>
      </c>
    </row>
    <row r="2401">
      <c r="A2401" s="23">
        <v>70314.0</v>
      </c>
      <c r="B2401" s="24" t="str">
        <f t="array" ref="B2401">xlookup($A2401,product!$A:$A,product!B:B)</f>
        <v>Beauté &amp; Hygiène</v>
      </c>
      <c r="C2401" s="24" t="str">
        <f t="array" ref="C2401">xlookup($A2401,product!$A:$A,product!C:C)</f>
        <v>Soins du visage</v>
      </c>
      <c r="D2401" s="24" t="str">
        <f t="array" ref="D2401">xlookup($A2401,product!$A:$A,product!D:D)</f>
        <v>Soins des lèvres</v>
      </c>
      <c r="E2401" s="25" t="str">
        <f t="shared" si="1"/>
        <v>70314-Soins du visage-Soins des lèvres</v>
      </c>
      <c r="F2401" s="25">
        <v>1.0</v>
      </c>
      <c r="G2401" s="25">
        <v>475.0</v>
      </c>
      <c r="H2401" s="25">
        <v>455.0</v>
      </c>
      <c r="I2401" s="26">
        <f t="array" ref="I2401">XLOOKUP($A2401,product!A:A,product!E:E)</f>
        <v>3.35</v>
      </c>
      <c r="J2401" s="25">
        <f t="shared" si="2"/>
        <v>1524.25</v>
      </c>
      <c r="K2401" s="27">
        <f t="shared" si="3"/>
        <v>1</v>
      </c>
      <c r="L2401" s="25">
        <f t="shared" si="4"/>
        <v>1</v>
      </c>
    </row>
    <row r="2402">
      <c r="A2402" s="19">
        <v>17644.0</v>
      </c>
      <c r="B2402" s="20" t="str">
        <f t="array" ref="B2402">xlookup($A2402,product!$A:$A,product!B:B)</f>
        <v>Beauté &amp; Hygiène</v>
      </c>
      <c r="C2402" s="20" t="str">
        <f t="array" ref="C2402">xlookup($A2402,product!$A:$A,product!C:C)</f>
        <v>Soins du visage</v>
      </c>
      <c r="D2402" s="20" t="str">
        <f t="array" ref="D2402">xlookup($A2402,product!$A:$A,product!D:D)</f>
        <v>Gommages et exfoliants</v>
      </c>
      <c r="E2402" s="4" t="str">
        <f t="shared" si="1"/>
        <v>17644-Soins du visage-Gommages et exfoliants</v>
      </c>
      <c r="F2402" s="4">
        <v>0.0</v>
      </c>
      <c r="G2402" s="4">
        <v>107.0</v>
      </c>
      <c r="H2402" s="4">
        <v>35.0</v>
      </c>
      <c r="I2402" s="21">
        <f t="array" ref="I2402">XLOOKUP($A2402,product!A:A,product!E:E)</f>
        <v>2.5</v>
      </c>
      <c r="J2402" s="4">
        <f t="shared" si="2"/>
        <v>87.5</v>
      </c>
      <c r="K2402" s="22">
        <f t="shared" si="3"/>
        <v>1</v>
      </c>
      <c r="L2402" s="4">
        <f t="shared" si="4"/>
        <v>1</v>
      </c>
    </row>
    <row r="2403">
      <c r="A2403" s="23">
        <v>118996.0</v>
      </c>
      <c r="B2403" s="24" t="str">
        <f t="array" ref="B2403">xlookup($A2403,product!$A:$A,product!B:B)</f>
        <v>Beauté &amp; Hygiène</v>
      </c>
      <c r="C2403" s="24" t="str">
        <f t="array" ref="C2403">xlookup($A2403,product!$A:$A,product!C:C)</f>
        <v>Soins du visage</v>
      </c>
      <c r="D2403" s="24" t="str">
        <f t="array" ref="D2403">xlookup($A2403,product!$A:$A,product!D:D)</f>
        <v>Gommages et exfoliants</v>
      </c>
      <c r="E2403" s="25" t="str">
        <f t="shared" si="1"/>
        <v>118996-Soins du visage-Gommages et exfoliants</v>
      </c>
      <c r="F2403" s="25">
        <v>0.0</v>
      </c>
      <c r="G2403" s="25">
        <v>250.0</v>
      </c>
      <c r="H2403" s="25">
        <v>186.0</v>
      </c>
      <c r="I2403" s="26">
        <f t="array" ref="I2403">XLOOKUP($A2403,product!A:A,product!E:E)</f>
        <v>5.22</v>
      </c>
      <c r="J2403" s="25">
        <f t="shared" si="2"/>
        <v>970.92</v>
      </c>
      <c r="K2403" s="27">
        <f t="shared" si="3"/>
        <v>1</v>
      </c>
      <c r="L2403" s="25">
        <f t="shared" si="4"/>
        <v>1</v>
      </c>
    </row>
    <row r="2404">
      <c r="A2404" s="19">
        <v>79199.0</v>
      </c>
      <c r="B2404" s="20" t="str">
        <f t="array" ref="B2404">xlookup($A2404,product!$A:$A,product!B:B)</f>
        <v>Beauté &amp; Hygiène</v>
      </c>
      <c r="C2404" s="20" t="str">
        <f t="array" ref="C2404">xlookup($A2404,product!$A:$A,product!C:C)</f>
        <v>Soins du visage</v>
      </c>
      <c r="D2404" s="20" t="str">
        <f t="array" ref="D2404">xlookup($A2404,product!$A:$A,product!D:D)</f>
        <v>Gommages et exfoliants</v>
      </c>
      <c r="E2404" s="4" t="str">
        <f t="shared" si="1"/>
        <v>79199-Soins du visage-Gommages et exfoliants</v>
      </c>
      <c r="F2404" s="4">
        <v>0.0</v>
      </c>
      <c r="G2404" s="4">
        <v>574.0</v>
      </c>
      <c r="H2404" s="4">
        <v>349.0</v>
      </c>
      <c r="I2404" s="21">
        <f t="array" ref="I2404">XLOOKUP($A2404,product!A:A,product!E:E)</f>
        <v>3.76</v>
      </c>
      <c r="J2404" s="4">
        <f t="shared" si="2"/>
        <v>1312.24</v>
      </c>
      <c r="K2404" s="22">
        <f t="shared" si="3"/>
        <v>1</v>
      </c>
      <c r="L2404" s="4">
        <f t="shared" si="4"/>
        <v>1</v>
      </c>
    </row>
    <row r="2405">
      <c r="A2405" s="23">
        <v>128316.0</v>
      </c>
      <c r="B2405" s="24" t="str">
        <f t="array" ref="B2405">xlookup($A2405,product!$A:$A,product!B:B)</f>
        <v>Beauté &amp; Hygiène</v>
      </c>
      <c r="C2405" s="24" t="str">
        <f t="array" ref="C2405">xlookup($A2405,product!$A:$A,product!C:C)</f>
        <v>Soins du visage</v>
      </c>
      <c r="D2405" s="24" t="str">
        <f t="array" ref="D2405">xlookup($A2405,product!$A:$A,product!D:D)</f>
        <v>Gommages et exfoliants</v>
      </c>
      <c r="E2405" s="25" t="str">
        <f t="shared" si="1"/>
        <v>128316-Soins du visage-Gommages et exfoliants</v>
      </c>
      <c r="F2405" s="25">
        <v>1.0</v>
      </c>
      <c r="G2405" s="25">
        <v>337.0</v>
      </c>
      <c r="H2405" s="25">
        <v>56.0</v>
      </c>
      <c r="I2405" s="26">
        <f t="array" ref="I2405">XLOOKUP($A2405,product!A:A,product!E:E)</f>
        <v>3.09</v>
      </c>
      <c r="J2405" s="25">
        <f t="shared" si="2"/>
        <v>173.04</v>
      </c>
      <c r="K2405" s="27">
        <f t="shared" si="3"/>
        <v>1</v>
      </c>
      <c r="L2405" s="25">
        <f t="shared" si="4"/>
        <v>1</v>
      </c>
    </row>
    <row r="2406">
      <c r="A2406" s="19">
        <v>7933.0</v>
      </c>
      <c r="B2406" s="20" t="str">
        <f t="array" ref="B2406">xlookup($A2406,product!$A:$A,product!B:B)</f>
        <v>Beauté &amp; Hygiène</v>
      </c>
      <c r="C2406" s="20" t="str">
        <f t="array" ref="C2406">xlookup($A2406,product!$A:$A,product!C:C)</f>
        <v>Soins du visage</v>
      </c>
      <c r="D2406" s="20" t="str">
        <f t="array" ref="D2406">xlookup($A2406,product!$A:$A,product!D:D)</f>
        <v>Soins contour des yeux</v>
      </c>
      <c r="E2406" s="4" t="str">
        <f t="shared" si="1"/>
        <v>7933-Soins du visage-Soins contour des yeux</v>
      </c>
      <c r="F2406" s="4">
        <v>1.0</v>
      </c>
      <c r="G2406" s="4">
        <v>754.0</v>
      </c>
      <c r="H2406" s="4">
        <v>531.0</v>
      </c>
      <c r="I2406" s="21">
        <f t="array" ref="I2406">XLOOKUP($A2406,product!A:A,product!E:E)</f>
        <v>9.98</v>
      </c>
      <c r="J2406" s="4">
        <f t="shared" si="2"/>
        <v>5299.38</v>
      </c>
      <c r="K2406" s="22">
        <f t="shared" si="3"/>
        <v>1</v>
      </c>
      <c r="L2406" s="4">
        <f t="shared" si="4"/>
        <v>1</v>
      </c>
    </row>
    <row r="2407">
      <c r="A2407" s="23">
        <v>85944.0</v>
      </c>
      <c r="B2407" s="24" t="str">
        <f t="array" ref="B2407">xlookup($A2407,product!$A:$A,product!B:B)</f>
        <v>Beauté &amp; Hygiène</v>
      </c>
      <c r="C2407" s="24" t="str">
        <f t="array" ref="C2407">xlookup($A2407,product!$A:$A,product!C:C)</f>
        <v>Soins du visage</v>
      </c>
      <c r="D2407" s="24" t="str">
        <f t="array" ref="D2407">xlookup($A2407,product!$A:$A,product!D:D)</f>
        <v>Soins contour des yeux</v>
      </c>
      <c r="E2407" s="25" t="str">
        <f t="shared" si="1"/>
        <v>85944-Soins du visage-Soins contour des yeux</v>
      </c>
      <c r="F2407" s="25">
        <v>1.0</v>
      </c>
      <c r="G2407" s="25">
        <v>396.0</v>
      </c>
      <c r="H2407" s="25">
        <v>249.0</v>
      </c>
      <c r="I2407" s="26">
        <f t="array" ref="I2407">XLOOKUP($A2407,product!A:A,product!E:E)</f>
        <v>6.13</v>
      </c>
      <c r="J2407" s="25">
        <f t="shared" si="2"/>
        <v>1526.37</v>
      </c>
      <c r="K2407" s="27">
        <f t="shared" si="3"/>
        <v>1</v>
      </c>
      <c r="L2407" s="25">
        <f t="shared" si="4"/>
        <v>1</v>
      </c>
    </row>
    <row r="2408">
      <c r="A2408" s="19">
        <v>76665.0</v>
      </c>
      <c r="B2408" s="20" t="str">
        <f t="array" ref="B2408">xlookup($A2408,product!$A:$A,product!B:B)</f>
        <v>Beauté &amp; Hygiène</v>
      </c>
      <c r="C2408" s="20" t="str">
        <f t="array" ref="C2408">xlookup($A2408,product!$A:$A,product!C:C)</f>
        <v>Soins du visage</v>
      </c>
      <c r="D2408" s="20" t="str">
        <f t="array" ref="D2408">xlookup($A2408,product!$A:$A,product!D:D)</f>
        <v>Soins contour des yeux</v>
      </c>
      <c r="E2408" s="4" t="str">
        <f t="shared" si="1"/>
        <v>76665-Soins du visage-Soins contour des yeux</v>
      </c>
      <c r="F2408" s="4">
        <v>1.0</v>
      </c>
      <c r="G2408" s="4">
        <v>476.0</v>
      </c>
      <c r="H2408" s="4">
        <v>289.0</v>
      </c>
      <c r="I2408" s="21">
        <f t="array" ref="I2408">XLOOKUP($A2408,product!A:A,product!E:E)</f>
        <v>3.46</v>
      </c>
      <c r="J2408" s="4">
        <f t="shared" si="2"/>
        <v>999.94</v>
      </c>
      <c r="K2408" s="22">
        <f t="shared" si="3"/>
        <v>1</v>
      </c>
      <c r="L2408" s="4">
        <f t="shared" si="4"/>
        <v>1</v>
      </c>
    </row>
    <row r="2409">
      <c r="A2409" s="23">
        <v>102286.0</v>
      </c>
      <c r="B2409" s="24" t="str">
        <f t="array" ref="B2409">xlookup($A2409,product!$A:$A,product!B:B)</f>
        <v>Beauté &amp; Hygiène</v>
      </c>
      <c r="C2409" s="24" t="str">
        <f t="array" ref="C2409">xlookup($A2409,product!$A:$A,product!C:C)</f>
        <v>Soins du visage</v>
      </c>
      <c r="D2409" s="24" t="str">
        <f t="array" ref="D2409">xlookup($A2409,product!$A:$A,product!D:D)</f>
        <v>Soins contour des yeux</v>
      </c>
      <c r="E2409" s="25" t="str">
        <f t="shared" si="1"/>
        <v>102286-Soins du visage-Soins contour des yeux</v>
      </c>
      <c r="F2409" s="25">
        <v>1.0</v>
      </c>
      <c r="G2409" s="25">
        <v>737.0</v>
      </c>
      <c r="H2409" s="25">
        <v>682.0</v>
      </c>
      <c r="I2409" s="26">
        <f t="array" ref="I2409">XLOOKUP($A2409,product!A:A,product!E:E)</f>
        <v>5.95</v>
      </c>
      <c r="J2409" s="25">
        <f t="shared" si="2"/>
        <v>4057.9</v>
      </c>
      <c r="K2409" s="27">
        <f t="shared" si="3"/>
        <v>1</v>
      </c>
      <c r="L2409" s="25">
        <f t="shared" si="4"/>
        <v>1</v>
      </c>
    </row>
    <row r="2410">
      <c r="A2410" s="19">
        <v>77199.0</v>
      </c>
      <c r="B2410" s="20" t="str">
        <f t="array" ref="B2410">xlookup($A2410,product!$A:$A,product!B:B)</f>
        <v>Beauté &amp; Hygiène</v>
      </c>
      <c r="C2410" s="20" t="str">
        <f t="array" ref="C2410">xlookup($A2410,product!$A:$A,product!C:C)</f>
        <v>Soins du visage</v>
      </c>
      <c r="D2410" s="20" t="str">
        <f t="array" ref="D2410">xlookup($A2410,product!$A:$A,product!D:D)</f>
        <v>Soins contour des yeux</v>
      </c>
      <c r="E2410" s="4" t="str">
        <f t="shared" si="1"/>
        <v>77199-Soins du visage-Soins contour des yeux</v>
      </c>
      <c r="F2410" s="4">
        <v>1.0</v>
      </c>
      <c r="G2410" s="4">
        <v>505.0</v>
      </c>
      <c r="H2410" s="4">
        <v>221.0</v>
      </c>
      <c r="I2410" s="21">
        <f t="array" ref="I2410">XLOOKUP($A2410,product!A:A,product!E:E)</f>
        <v>10.99</v>
      </c>
      <c r="J2410" s="4">
        <f t="shared" si="2"/>
        <v>2428.79</v>
      </c>
      <c r="K2410" s="22">
        <f t="shared" si="3"/>
        <v>1</v>
      </c>
      <c r="L2410" s="4">
        <f t="shared" si="4"/>
        <v>1</v>
      </c>
    </row>
    <row r="2411">
      <c r="A2411" s="23">
        <v>11722.0</v>
      </c>
      <c r="B2411" s="24" t="str">
        <f t="array" ref="B2411">xlookup($A2411,product!$A:$A,product!B:B)</f>
        <v>Beauté &amp; Hygiène</v>
      </c>
      <c r="C2411" s="24" t="str">
        <f t="array" ref="C2411">xlookup($A2411,product!$A:$A,product!C:C)</f>
        <v>Soins du visage</v>
      </c>
      <c r="D2411" s="24" t="str">
        <f t="array" ref="D2411">xlookup($A2411,product!$A:$A,product!D:D)</f>
        <v>Soins contour des yeux</v>
      </c>
      <c r="E2411" s="25" t="str">
        <f t="shared" si="1"/>
        <v>11722-Soins du visage-Soins contour des yeux</v>
      </c>
      <c r="F2411" s="25">
        <v>0.0</v>
      </c>
      <c r="G2411" s="25">
        <v>535.0</v>
      </c>
      <c r="H2411" s="25">
        <v>130.0</v>
      </c>
      <c r="I2411" s="26">
        <f t="array" ref="I2411">XLOOKUP($A2411,product!A:A,product!E:E)</f>
        <v>7.56</v>
      </c>
      <c r="J2411" s="25">
        <f t="shared" si="2"/>
        <v>982.8</v>
      </c>
      <c r="K2411" s="27">
        <f t="shared" si="3"/>
        <v>1</v>
      </c>
      <c r="L2411" s="25">
        <f t="shared" si="4"/>
        <v>1</v>
      </c>
    </row>
    <row r="2412">
      <c r="A2412" s="19">
        <v>97949.0</v>
      </c>
      <c r="B2412" s="20" t="str">
        <f t="array" ref="B2412">xlookup($A2412,product!$A:$A,product!B:B)</f>
        <v>Beauté &amp; Hygiène</v>
      </c>
      <c r="C2412" s="20" t="str">
        <f t="array" ref="C2412">xlookup($A2412,product!$A:$A,product!C:C)</f>
        <v>Soins du visage</v>
      </c>
      <c r="D2412" s="20" t="str">
        <f t="array" ref="D2412">xlookup($A2412,product!$A:$A,product!D:D)</f>
        <v>Soins contour des yeux</v>
      </c>
      <c r="E2412" s="4" t="str">
        <f t="shared" si="1"/>
        <v>97949-Soins du visage-Soins contour des yeux</v>
      </c>
      <c r="F2412" s="4">
        <v>1.0</v>
      </c>
      <c r="G2412" s="4">
        <v>353.0</v>
      </c>
      <c r="H2412" s="4">
        <v>91.0</v>
      </c>
      <c r="I2412" s="21">
        <f t="array" ref="I2412">XLOOKUP($A2412,product!A:A,product!E:E)</f>
        <v>6.17</v>
      </c>
      <c r="J2412" s="4">
        <f t="shared" si="2"/>
        <v>561.47</v>
      </c>
      <c r="K2412" s="22">
        <f t="shared" si="3"/>
        <v>1</v>
      </c>
      <c r="L2412" s="4">
        <f t="shared" si="4"/>
        <v>1</v>
      </c>
    </row>
    <row r="2413">
      <c r="A2413" s="23">
        <v>9701.0</v>
      </c>
      <c r="B2413" s="24" t="str">
        <f t="array" ref="B2413">xlookup($A2413,product!$A:$A,product!B:B)</f>
        <v>Beauté &amp; Hygiène</v>
      </c>
      <c r="C2413" s="24" t="str">
        <f t="array" ref="C2413">xlookup($A2413,product!$A:$A,product!C:C)</f>
        <v>Soins du visage</v>
      </c>
      <c r="D2413" s="24" t="str">
        <f t="array" ref="D2413">xlookup($A2413,product!$A:$A,product!D:D)</f>
        <v>Peaux mixtes à grasses</v>
      </c>
      <c r="E2413" s="25" t="str">
        <f t="shared" si="1"/>
        <v>9701-Soins du visage-Peaux mixtes à grasses</v>
      </c>
      <c r="F2413" s="25">
        <v>1.0</v>
      </c>
      <c r="G2413" s="25">
        <v>559.0</v>
      </c>
      <c r="H2413" s="25">
        <v>542.0</v>
      </c>
      <c r="I2413" s="26">
        <f t="array" ref="I2413">XLOOKUP($A2413,product!A:A,product!E:E)</f>
        <v>3.52</v>
      </c>
      <c r="J2413" s="25">
        <f t="shared" si="2"/>
        <v>1907.84</v>
      </c>
      <c r="K2413" s="27">
        <f t="shared" si="3"/>
        <v>1</v>
      </c>
      <c r="L2413" s="25">
        <f t="shared" si="4"/>
        <v>1</v>
      </c>
    </row>
    <row r="2414">
      <c r="A2414" s="19">
        <v>117615.0</v>
      </c>
      <c r="B2414" s="20" t="str">
        <f t="array" ref="B2414">xlookup($A2414,product!$A:$A,product!B:B)</f>
        <v>Beauté &amp; Hygiène</v>
      </c>
      <c r="C2414" s="20" t="str">
        <f t="array" ref="C2414">xlookup($A2414,product!$A:$A,product!C:C)</f>
        <v>Soins du visage</v>
      </c>
      <c r="D2414" s="20" t="str">
        <f t="array" ref="D2414">xlookup($A2414,product!$A:$A,product!D:D)</f>
        <v>Peaux mixtes à grasses</v>
      </c>
      <c r="E2414" s="4" t="str">
        <f t="shared" si="1"/>
        <v>117615-Soins du visage-Peaux mixtes à grasses</v>
      </c>
      <c r="F2414" s="4">
        <v>1.0</v>
      </c>
      <c r="G2414" s="4">
        <v>759.0</v>
      </c>
      <c r="H2414" s="4">
        <v>273.0</v>
      </c>
      <c r="I2414" s="21">
        <f t="array" ref="I2414">XLOOKUP($A2414,product!A:A,product!E:E)</f>
        <v>4.08</v>
      </c>
      <c r="J2414" s="4">
        <f t="shared" si="2"/>
        <v>1113.84</v>
      </c>
      <c r="K2414" s="22">
        <f t="shared" si="3"/>
        <v>1</v>
      </c>
      <c r="L2414" s="4">
        <f t="shared" si="4"/>
        <v>1</v>
      </c>
    </row>
    <row r="2415">
      <c r="A2415" s="23">
        <v>10076.0</v>
      </c>
      <c r="B2415" s="24" t="str">
        <f t="array" ref="B2415">xlookup($A2415,product!$A:$A,product!B:B)</f>
        <v>Beauté &amp; Hygiène</v>
      </c>
      <c r="C2415" s="24" t="str">
        <f t="array" ref="C2415">xlookup($A2415,product!$A:$A,product!C:C)</f>
        <v>Soins du visage</v>
      </c>
      <c r="D2415" s="24" t="str">
        <f t="array" ref="D2415">xlookup($A2415,product!$A:$A,product!D:D)</f>
        <v>Peaux mixtes à grasses</v>
      </c>
      <c r="E2415" s="25" t="str">
        <f t="shared" si="1"/>
        <v>10076-Soins du visage-Peaux mixtes à grasses</v>
      </c>
      <c r="F2415" s="25">
        <v>1.0</v>
      </c>
      <c r="G2415" s="25">
        <v>218.0</v>
      </c>
      <c r="H2415" s="25">
        <v>195.0</v>
      </c>
      <c r="I2415" s="26">
        <f t="array" ref="I2415">XLOOKUP($A2415,product!A:A,product!E:E)</f>
        <v>2.13</v>
      </c>
      <c r="J2415" s="25">
        <f t="shared" si="2"/>
        <v>415.35</v>
      </c>
      <c r="K2415" s="27">
        <f t="shared" si="3"/>
        <v>1</v>
      </c>
      <c r="L2415" s="25">
        <f t="shared" si="4"/>
        <v>1</v>
      </c>
    </row>
    <row r="2416">
      <c r="A2416" s="19">
        <v>106572.0</v>
      </c>
      <c r="B2416" s="20" t="str">
        <f t="array" ref="B2416">xlookup($A2416,product!$A:$A,product!B:B)</f>
        <v>Beauté &amp; Hygiène</v>
      </c>
      <c r="C2416" s="20" t="str">
        <f t="array" ref="C2416">xlookup($A2416,product!$A:$A,product!C:C)</f>
        <v>Soins du visage</v>
      </c>
      <c r="D2416" s="20" t="str">
        <f t="array" ref="D2416">xlookup($A2416,product!$A:$A,product!D:D)</f>
        <v>Peaux mixtes à grasses</v>
      </c>
      <c r="E2416" s="4" t="str">
        <f t="shared" si="1"/>
        <v>106572-Soins du visage-Peaux mixtes à grasses</v>
      </c>
      <c r="F2416" s="4">
        <v>0.0</v>
      </c>
      <c r="G2416" s="4">
        <v>702.0</v>
      </c>
      <c r="H2416" s="4">
        <v>267.0</v>
      </c>
      <c r="I2416" s="21">
        <f t="array" ref="I2416">XLOOKUP($A2416,product!A:A,product!E:E)</f>
        <v>13.71</v>
      </c>
      <c r="J2416" s="4">
        <f t="shared" si="2"/>
        <v>3660.57</v>
      </c>
      <c r="K2416" s="22">
        <f t="shared" si="3"/>
        <v>1</v>
      </c>
      <c r="L2416" s="4">
        <f t="shared" si="4"/>
        <v>1</v>
      </c>
    </row>
    <row r="2417">
      <c r="A2417" s="23">
        <v>10081.0</v>
      </c>
      <c r="B2417" s="24" t="str">
        <f t="array" ref="B2417">xlookup($A2417,product!$A:$A,product!B:B)</f>
        <v>Beauté &amp; Hygiène</v>
      </c>
      <c r="C2417" s="24" t="str">
        <f t="array" ref="C2417">xlookup($A2417,product!$A:$A,product!C:C)</f>
        <v>Soins du visage</v>
      </c>
      <c r="D2417" s="24" t="str">
        <f t="array" ref="D2417">xlookup($A2417,product!$A:$A,product!D:D)</f>
        <v>Peaux mixtes à grasses</v>
      </c>
      <c r="E2417" s="25" t="str">
        <f t="shared" si="1"/>
        <v>10081-Soins du visage-Peaux mixtes à grasses</v>
      </c>
      <c r="F2417" s="25">
        <v>0.0</v>
      </c>
      <c r="G2417" s="25">
        <v>682.0</v>
      </c>
      <c r="H2417" s="25">
        <v>530.0</v>
      </c>
      <c r="I2417" s="26">
        <f t="array" ref="I2417">XLOOKUP($A2417,product!A:A,product!E:E)</f>
        <v>2.13</v>
      </c>
      <c r="J2417" s="25">
        <f t="shared" si="2"/>
        <v>1128.9</v>
      </c>
      <c r="K2417" s="27">
        <f t="shared" si="3"/>
        <v>1</v>
      </c>
      <c r="L2417" s="25">
        <f t="shared" si="4"/>
        <v>1</v>
      </c>
    </row>
    <row r="2418">
      <c r="A2418" s="19">
        <v>46424.0</v>
      </c>
      <c r="B2418" s="20" t="str">
        <f t="array" ref="B2418">xlookup($A2418,product!$A:$A,product!B:B)</f>
        <v>Beauté &amp; Hygiène</v>
      </c>
      <c r="C2418" s="20" t="str">
        <f t="array" ref="C2418">xlookup($A2418,product!$A:$A,product!C:C)</f>
        <v>Soins du visage</v>
      </c>
      <c r="D2418" s="20" t="str">
        <f t="array" ref="D2418">xlookup($A2418,product!$A:$A,product!D:D)</f>
        <v>Peaux mixtes à grasses</v>
      </c>
      <c r="E2418" s="4" t="str">
        <f t="shared" si="1"/>
        <v>46424-Soins du visage-Peaux mixtes à grasses</v>
      </c>
      <c r="F2418" s="4">
        <v>1.0</v>
      </c>
      <c r="G2418" s="4">
        <v>711.0</v>
      </c>
      <c r="H2418" s="4">
        <v>485.0</v>
      </c>
      <c r="I2418" s="21">
        <f t="array" ref="I2418">XLOOKUP($A2418,product!A:A,product!E:E)</f>
        <v>2.94</v>
      </c>
      <c r="J2418" s="4">
        <f t="shared" si="2"/>
        <v>1425.9</v>
      </c>
      <c r="K2418" s="22">
        <f t="shared" si="3"/>
        <v>1</v>
      </c>
      <c r="L2418" s="4">
        <f t="shared" si="4"/>
        <v>1</v>
      </c>
    </row>
    <row r="2419">
      <c r="A2419" s="23">
        <v>118931.0</v>
      </c>
      <c r="B2419" s="24" t="str">
        <f t="array" ref="B2419">xlookup($A2419,product!$A:$A,product!B:B)</f>
        <v>Beauté &amp; Hygiène</v>
      </c>
      <c r="C2419" s="24" t="str">
        <f t="array" ref="C2419">xlookup($A2419,product!$A:$A,product!C:C)</f>
        <v>Soins du visage</v>
      </c>
      <c r="D2419" s="24" t="str">
        <f t="array" ref="D2419">xlookup($A2419,product!$A:$A,product!D:D)</f>
        <v>Peaux mixtes à grasses</v>
      </c>
      <c r="E2419" s="25" t="str">
        <f t="shared" si="1"/>
        <v>118931-Soins du visage-Peaux mixtes à grasses</v>
      </c>
      <c r="F2419" s="25">
        <v>0.0</v>
      </c>
      <c r="G2419" s="25">
        <v>39.0</v>
      </c>
      <c r="H2419" s="25">
        <v>24.0</v>
      </c>
      <c r="I2419" s="26">
        <f t="array" ref="I2419">XLOOKUP($A2419,product!A:A,product!E:E)</f>
        <v>4.18</v>
      </c>
      <c r="J2419" s="25">
        <f t="shared" si="2"/>
        <v>100.32</v>
      </c>
      <c r="K2419" s="27">
        <f t="shared" si="3"/>
        <v>1</v>
      </c>
      <c r="L2419" s="25">
        <f t="shared" si="4"/>
        <v>1</v>
      </c>
    </row>
    <row r="2420">
      <c r="A2420" s="19">
        <v>10078.0</v>
      </c>
      <c r="B2420" s="20" t="str">
        <f t="array" ref="B2420">xlookup($A2420,product!$A:$A,product!B:B)</f>
        <v>Beauté &amp; Hygiène</v>
      </c>
      <c r="C2420" s="20" t="str">
        <f t="array" ref="C2420">xlookup($A2420,product!$A:$A,product!C:C)</f>
        <v>Soins du visage</v>
      </c>
      <c r="D2420" s="20" t="str">
        <f t="array" ref="D2420">xlookup($A2420,product!$A:$A,product!D:D)</f>
        <v>Peaux mixtes à grasses</v>
      </c>
      <c r="E2420" s="4" t="str">
        <f t="shared" si="1"/>
        <v>10078-Soins du visage-Peaux mixtes à grasses</v>
      </c>
      <c r="F2420" s="4">
        <v>0.0</v>
      </c>
      <c r="G2420" s="4">
        <v>204.0</v>
      </c>
      <c r="H2420" s="4">
        <v>64.0</v>
      </c>
      <c r="I2420" s="21">
        <f t="array" ref="I2420">XLOOKUP($A2420,product!A:A,product!E:E)</f>
        <v>2.13</v>
      </c>
      <c r="J2420" s="4">
        <f t="shared" si="2"/>
        <v>136.32</v>
      </c>
      <c r="K2420" s="22">
        <f t="shared" si="3"/>
        <v>1</v>
      </c>
      <c r="L2420" s="4">
        <f t="shared" si="4"/>
        <v>1</v>
      </c>
    </row>
    <row r="2421">
      <c r="A2421" s="23">
        <v>75824.0</v>
      </c>
      <c r="B2421" s="24" t="str">
        <f t="array" ref="B2421">xlookup($A2421,product!$A:$A,product!B:B)</f>
        <v>Beauté &amp; Hygiène</v>
      </c>
      <c r="C2421" s="24" t="str">
        <f t="array" ref="C2421">xlookup($A2421,product!$A:$A,product!C:C)</f>
        <v>Soins du visage</v>
      </c>
      <c r="D2421" s="24" t="str">
        <f t="array" ref="D2421">xlookup($A2421,product!$A:$A,product!D:D)</f>
        <v>Peaux mixtes à grasses</v>
      </c>
      <c r="E2421" s="25" t="str">
        <f t="shared" si="1"/>
        <v>75824-Soins du visage-Peaux mixtes à grasses</v>
      </c>
      <c r="F2421" s="25">
        <v>1.0</v>
      </c>
      <c r="G2421" s="25">
        <v>644.0</v>
      </c>
      <c r="H2421" s="25">
        <v>67.0</v>
      </c>
      <c r="I2421" s="26">
        <f t="array" ref="I2421">XLOOKUP($A2421,product!A:A,product!E:E)</f>
        <v>8.6</v>
      </c>
      <c r="J2421" s="25">
        <f t="shared" si="2"/>
        <v>576.2</v>
      </c>
      <c r="K2421" s="27">
        <f t="shared" si="3"/>
        <v>1</v>
      </c>
      <c r="L2421" s="25">
        <f t="shared" si="4"/>
        <v>1</v>
      </c>
    </row>
    <row r="2422">
      <c r="A2422" s="19">
        <v>80433.0</v>
      </c>
      <c r="B2422" s="20" t="str">
        <f t="array" ref="B2422">xlookup($A2422,product!$A:$A,product!B:B)</f>
        <v>Beauté &amp; Hygiène</v>
      </c>
      <c r="C2422" s="20" t="str">
        <f t="array" ref="C2422">xlookup($A2422,product!$A:$A,product!C:C)</f>
        <v>Soins du visage</v>
      </c>
      <c r="D2422" s="20" t="str">
        <f t="array" ref="D2422">xlookup($A2422,product!$A:$A,product!D:D)</f>
        <v>Peaux mixtes à grasses</v>
      </c>
      <c r="E2422" s="4" t="str">
        <f t="shared" si="1"/>
        <v>80433-Soins du visage-Peaux mixtes à grasses</v>
      </c>
      <c r="F2422" s="4">
        <v>1.0</v>
      </c>
      <c r="G2422" s="4">
        <v>33.0</v>
      </c>
      <c r="H2422" s="4">
        <v>27.0</v>
      </c>
      <c r="I2422" s="21">
        <f t="array" ref="I2422">XLOOKUP($A2422,product!A:A,product!E:E)</f>
        <v>7.36</v>
      </c>
      <c r="J2422" s="4">
        <f t="shared" si="2"/>
        <v>198.72</v>
      </c>
      <c r="K2422" s="22">
        <f t="shared" si="3"/>
        <v>1</v>
      </c>
      <c r="L2422" s="4">
        <f t="shared" si="4"/>
        <v>1</v>
      </c>
    </row>
    <row r="2423">
      <c r="A2423" s="23">
        <v>106566.0</v>
      </c>
      <c r="B2423" s="24" t="str">
        <f t="array" ref="B2423">xlookup($A2423,product!$A:$A,product!B:B)</f>
        <v>Beauté &amp; Hygiène</v>
      </c>
      <c r="C2423" s="24" t="str">
        <f t="array" ref="C2423">xlookup($A2423,product!$A:$A,product!C:C)</f>
        <v>Soins du visage</v>
      </c>
      <c r="D2423" s="24" t="str">
        <f t="array" ref="D2423">xlookup($A2423,product!$A:$A,product!D:D)</f>
        <v>Peaux mixtes à grasses</v>
      </c>
      <c r="E2423" s="25" t="str">
        <f t="shared" si="1"/>
        <v>106566-Soins du visage-Peaux mixtes à grasses</v>
      </c>
      <c r="F2423" s="25">
        <v>1.0</v>
      </c>
      <c r="G2423" s="25">
        <v>868.0</v>
      </c>
      <c r="H2423" s="25">
        <v>164.0</v>
      </c>
      <c r="I2423" s="26">
        <f t="array" ref="I2423">XLOOKUP($A2423,product!A:A,product!E:E)</f>
        <v>13.36</v>
      </c>
      <c r="J2423" s="25">
        <f t="shared" si="2"/>
        <v>2191.04</v>
      </c>
      <c r="K2423" s="27">
        <f t="shared" si="3"/>
        <v>1</v>
      </c>
      <c r="L2423" s="25">
        <f t="shared" si="4"/>
        <v>1</v>
      </c>
    </row>
    <row r="2424">
      <c r="A2424" s="19">
        <v>9702.0</v>
      </c>
      <c r="B2424" s="20" t="str">
        <f t="array" ref="B2424">xlookup($A2424,product!$A:$A,product!B:B)</f>
        <v>Beauté &amp; Hygiène</v>
      </c>
      <c r="C2424" s="20" t="str">
        <f t="array" ref="C2424">xlookup($A2424,product!$A:$A,product!C:C)</f>
        <v>Soins du visage</v>
      </c>
      <c r="D2424" s="20" t="str">
        <f t="array" ref="D2424">xlookup($A2424,product!$A:$A,product!D:D)</f>
        <v>Peaux mixtes à grasses</v>
      </c>
      <c r="E2424" s="4" t="str">
        <f t="shared" si="1"/>
        <v>9702-Soins du visage-Peaux mixtes à grasses</v>
      </c>
      <c r="F2424" s="4">
        <v>0.0</v>
      </c>
      <c r="G2424" s="4">
        <v>378.0</v>
      </c>
      <c r="H2424" s="4">
        <v>88.0</v>
      </c>
      <c r="I2424" s="21">
        <f t="array" ref="I2424">XLOOKUP($A2424,product!A:A,product!E:E)</f>
        <v>3.17</v>
      </c>
      <c r="J2424" s="4">
        <f t="shared" si="2"/>
        <v>278.96</v>
      </c>
      <c r="K2424" s="22">
        <f t="shared" si="3"/>
        <v>1</v>
      </c>
      <c r="L2424" s="4">
        <f t="shared" si="4"/>
        <v>1</v>
      </c>
    </row>
    <row r="2425">
      <c r="A2425" s="23">
        <v>122445.0</v>
      </c>
      <c r="B2425" s="24" t="str">
        <f t="array" ref="B2425">xlookup($A2425,product!$A:$A,product!B:B)</f>
        <v>Beauté &amp; Hygiène</v>
      </c>
      <c r="C2425" s="24" t="str">
        <f t="array" ref="C2425">xlookup($A2425,product!$A:$A,product!C:C)</f>
        <v>Soins du visage</v>
      </c>
      <c r="D2425" s="24" t="str">
        <f t="array" ref="D2425">xlookup($A2425,product!$A:$A,product!D:D)</f>
        <v>Peaux mixtes à grasses</v>
      </c>
      <c r="E2425" s="25" t="str">
        <f t="shared" si="1"/>
        <v>122445-Soins du visage-Peaux mixtes à grasses</v>
      </c>
      <c r="F2425" s="25">
        <v>0.0</v>
      </c>
      <c r="G2425" s="25">
        <v>116.0</v>
      </c>
      <c r="H2425" s="25">
        <v>12.0</v>
      </c>
      <c r="I2425" s="26">
        <f t="array" ref="I2425">XLOOKUP($A2425,product!A:A,product!E:E)</f>
        <v>7.54</v>
      </c>
      <c r="J2425" s="25">
        <f t="shared" si="2"/>
        <v>90.48</v>
      </c>
      <c r="K2425" s="27">
        <f t="shared" si="3"/>
        <v>1</v>
      </c>
      <c r="L2425" s="25">
        <f t="shared" si="4"/>
        <v>1</v>
      </c>
    </row>
    <row r="2426">
      <c r="A2426" s="19">
        <v>77178.0</v>
      </c>
      <c r="B2426" s="20" t="str">
        <f t="array" ref="B2426">xlookup($A2426,product!$A:$A,product!B:B)</f>
        <v>Beauté &amp; Hygiène</v>
      </c>
      <c r="C2426" s="20" t="str">
        <f t="array" ref="C2426">xlookup($A2426,product!$A:$A,product!C:C)</f>
        <v>Soins du visage</v>
      </c>
      <c r="D2426" s="20" t="str">
        <f t="array" ref="D2426">xlookup($A2426,product!$A:$A,product!D:D)</f>
        <v>Peaux mixtes à grasses</v>
      </c>
      <c r="E2426" s="4" t="str">
        <f t="shared" si="1"/>
        <v>77178-Soins du visage-Peaux mixtes à grasses</v>
      </c>
      <c r="F2426" s="4">
        <v>0.0</v>
      </c>
      <c r="G2426" s="4">
        <v>761.0</v>
      </c>
      <c r="H2426" s="4">
        <v>489.0</v>
      </c>
      <c r="I2426" s="21">
        <f t="array" ref="I2426">XLOOKUP($A2426,product!A:A,product!E:E)</f>
        <v>6.09</v>
      </c>
      <c r="J2426" s="4">
        <f t="shared" si="2"/>
        <v>2978.01</v>
      </c>
      <c r="K2426" s="22">
        <f t="shared" si="3"/>
        <v>1</v>
      </c>
      <c r="L2426" s="4">
        <f t="shared" si="4"/>
        <v>1</v>
      </c>
    </row>
    <row r="2427">
      <c r="A2427" s="23">
        <v>10075.0</v>
      </c>
      <c r="B2427" s="24" t="str">
        <f t="array" ref="B2427">xlookup($A2427,product!$A:$A,product!B:B)</f>
        <v>Beauté &amp; Hygiène</v>
      </c>
      <c r="C2427" s="24" t="str">
        <f t="array" ref="C2427">xlookup($A2427,product!$A:$A,product!C:C)</f>
        <v>Soins du visage</v>
      </c>
      <c r="D2427" s="24" t="str">
        <f t="array" ref="D2427">xlookup($A2427,product!$A:$A,product!D:D)</f>
        <v>Peaux mixtes à grasses</v>
      </c>
      <c r="E2427" s="25" t="str">
        <f t="shared" si="1"/>
        <v>10075-Soins du visage-Peaux mixtes à grasses</v>
      </c>
      <c r="F2427" s="25">
        <v>0.0</v>
      </c>
      <c r="G2427" s="25">
        <v>120.0</v>
      </c>
      <c r="H2427" s="25">
        <v>27.0</v>
      </c>
      <c r="I2427" s="26">
        <f t="array" ref="I2427">XLOOKUP($A2427,product!A:A,product!E:E)</f>
        <v>2.13</v>
      </c>
      <c r="J2427" s="25">
        <f t="shared" si="2"/>
        <v>57.51</v>
      </c>
      <c r="K2427" s="27">
        <f t="shared" si="3"/>
        <v>1</v>
      </c>
      <c r="L2427" s="25">
        <f t="shared" si="4"/>
        <v>1</v>
      </c>
    </row>
    <row r="2428">
      <c r="A2428" s="19">
        <v>10079.0</v>
      </c>
      <c r="B2428" s="20" t="str">
        <f t="array" ref="B2428">xlookup($A2428,product!$A:$A,product!B:B)</f>
        <v>Beauté &amp; Hygiène</v>
      </c>
      <c r="C2428" s="20" t="str">
        <f t="array" ref="C2428">xlookup($A2428,product!$A:$A,product!C:C)</f>
        <v>Soins du visage</v>
      </c>
      <c r="D2428" s="20" t="str">
        <f t="array" ref="D2428">xlookup($A2428,product!$A:$A,product!D:D)</f>
        <v>Peaux mixtes à grasses</v>
      </c>
      <c r="E2428" s="4" t="str">
        <f t="shared" si="1"/>
        <v>10079-Soins du visage-Peaux mixtes à grasses</v>
      </c>
      <c r="F2428" s="4">
        <v>1.0</v>
      </c>
      <c r="G2428" s="4">
        <v>897.0</v>
      </c>
      <c r="H2428" s="4">
        <v>429.0</v>
      </c>
      <c r="I2428" s="21">
        <f t="array" ref="I2428">XLOOKUP($A2428,product!A:A,product!E:E)</f>
        <v>2.13</v>
      </c>
      <c r="J2428" s="4">
        <f t="shared" si="2"/>
        <v>913.77</v>
      </c>
      <c r="K2428" s="22">
        <f t="shared" si="3"/>
        <v>1</v>
      </c>
      <c r="L2428" s="4">
        <f t="shared" si="4"/>
        <v>1</v>
      </c>
    </row>
    <row r="2429">
      <c r="A2429" s="23">
        <v>111469.0</v>
      </c>
      <c r="B2429" s="24" t="str">
        <f t="array" ref="B2429">xlookup($A2429,product!$A:$A,product!B:B)</f>
        <v>Beauté &amp; Hygiène</v>
      </c>
      <c r="C2429" s="24" t="str">
        <f t="array" ref="C2429">xlookup($A2429,product!$A:$A,product!C:C)</f>
        <v>Soins du visage</v>
      </c>
      <c r="D2429" s="24" t="str">
        <f t="array" ref="D2429">xlookup($A2429,product!$A:$A,product!D:D)</f>
        <v>Peaux mixtes à grasses</v>
      </c>
      <c r="E2429" s="25" t="str">
        <f t="shared" si="1"/>
        <v>111469-Soins du visage-Peaux mixtes à grasses</v>
      </c>
      <c r="F2429" s="25">
        <v>0.0</v>
      </c>
      <c r="G2429" s="25">
        <v>866.0</v>
      </c>
      <c r="H2429" s="25">
        <v>231.0</v>
      </c>
      <c r="I2429" s="26">
        <f t="array" ref="I2429">XLOOKUP($A2429,product!A:A,product!E:E)</f>
        <v>7.71</v>
      </c>
      <c r="J2429" s="25">
        <f t="shared" si="2"/>
        <v>1781.01</v>
      </c>
      <c r="K2429" s="27">
        <f t="shared" si="3"/>
        <v>1</v>
      </c>
      <c r="L2429" s="25">
        <f t="shared" si="4"/>
        <v>1</v>
      </c>
    </row>
    <row r="2430">
      <c r="A2430" s="19">
        <v>166324.0</v>
      </c>
      <c r="B2430" s="20" t="str">
        <f t="array" ref="B2430">xlookup($A2430,product!$A:$A,product!B:B)</f>
        <v>Beauté &amp; Hygiène</v>
      </c>
      <c r="C2430" s="20" t="str">
        <f t="array" ref="C2430">xlookup($A2430,product!$A:$A,product!C:C)</f>
        <v>Soins du visage</v>
      </c>
      <c r="D2430" s="20" t="str">
        <f t="array" ref="D2430">xlookup($A2430,product!$A:$A,product!D:D)</f>
        <v>Peaux matures, anti-âge</v>
      </c>
      <c r="E2430" s="4" t="str">
        <f t="shared" si="1"/>
        <v>166324-Soins du visage-Peaux matures, anti-âge</v>
      </c>
      <c r="F2430" s="4">
        <v>1.0</v>
      </c>
      <c r="G2430" s="4">
        <v>173.0</v>
      </c>
      <c r="H2430" s="4">
        <v>46.0</v>
      </c>
      <c r="I2430" s="21">
        <f t="array" ref="I2430">XLOOKUP($A2430,product!A:A,product!E:E)</f>
        <v>7.61</v>
      </c>
      <c r="J2430" s="4">
        <f t="shared" si="2"/>
        <v>350.06</v>
      </c>
      <c r="K2430" s="22">
        <f t="shared" si="3"/>
        <v>1</v>
      </c>
      <c r="L2430" s="4">
        <f t="shared" si="4"/>
        <v>1</v>
      </c>
    </row>
    <row r="2431">
      <c r="A2431" s="23">
        <v>7829.0</v>
      </c>
      <c r="B2431" s="24" t="str">
        <f t="array" ref="B2431">xlookup($A2431,product!$A:$A,product!B:B)</f>
        <v>Beauté &amp; Hygiène</v>
      </c>
      <c r="C2431" s="24" t="str">
        <f t="array" ref="C2431">xlookup($A2431,product!$A:$A,product!C:C)</f>
        <v>Soins du visage</v>
      </c>
      <c r="D2431" s="24" t="str">
        <f t="array" ref="D2431">xlookup($A2431,product!$A:$A,product!D:D)</f>
        <v>Peaux matures, anti-âge</v>
      </c>
      <c r="E2431" s="25" t="str">
        <f t="shared" si="1"/>
        <v>7829-Soins du visage-Peaux matures, anti-âge</v>
      </c>
      <c r="F2431" s="25">
        <v>1.0</v>
      </c>
      <c r="G2431" s="25">
        <v>73.0</v>
      </c>
      <c r="H2431" s="25">
        <v>62.0</v>
      </c>
      <c r="I2431" s="26">
        <f t="array" ref="I2431">XLOOKUP($A2431,product!A:A,product!E:E)</f>
        <v>12.22</v>
      </c>
      <c r="J2431" s="25">
        <f t="shared" si="2"/>
        <v>757.64</v>
      </c>
      <c r="K2431" s="27">
        <f t="shared" si="3"/>
        <v>1</v>
      </c>
      <c r="L2431" s="25">
        <f t="shared" si="4"/>
        <v>1</v>
      </c>
    </row>
    <row r="2432">
      <c r="A2432" s="19">
        <v>105507.0</v>
      </c>
      <c r="B2432" s="20" t="str">
        <f t="array" ref="B2432">xlookup($A2432,product!$A:$A,product!B:B)</f>
        <v>Beauté &amp; Hygiène</v>
      </c>
      <c r="C2432" s="20" t="str">
        <f t="array" ref="C2432">xlookup($A2432,product!$A:$A,product!C:C)</f>
        <v>Soins du visage</v>
      </c>
      <c r="D2432" s="20" t="str">
        <f t="array" ref="D2432">xlookup($A2432,product!$A:$A,product!D:D)</f>
        <v>Peaux matures, anti-âge</v>
      </c>
      <c r="E2432" s="4" t="str">
        <f t="shared" si="1"/>
        <v>105507-Soins du visage-Peaux matures, anti-âge</v>
      </c>
      <c r="F2432" s="4">
        <v>1.0</v>
      </c>
      <c r="G2432" s="4">
        <v>343.0</v>
      </c>
      <c r="H2432" s="4">
        <v>158.0</v>
      </c>
      <c r="I2432" s="21">
        <f t="array" ref="I2432">XLOOKUP($A2432,product!A:A,product!E:E)</f>
        <v>14.84</v>
      </c>
      <c r="J2432" s="4">
        <f t="shared" si="2"/>
        <v>2344.72</v>
      </c>
      <c r="K2432" s="22">
        <f t="shared" si="3"/>
        <v>1</v>
      </c>
      <c r="L2432" s="4">
        <f t="shared" si="4"/>
        <v>1</v>
      </c>
    </row>
    <row r="2433">
      <c r="A2433" s="23">
        <v>12834.0</v>
      </c>
      <c r="B2433" s="24" t="str">
        <f t="array" ref="B2433">xlookup($A2433,product!$A:$A,product!B:B)</f>
        <v>Beauté &amp; Hygiène</v>
      </c>
      <c r="C2433" s="24" t="str">
        <f t="array" ref="C2433">xlookup($A2433,product!$A:$A,product!C:C)</f>
        <v>Soins du visage</v>
      </c>
      <c r="D2433" s="24" t="str">
        <f t="array" ref="D2433">xlookup($A2433,product!$A:$A,product!D:D)</f>
        <v>Peaux matures, anti-âge</v>
      </c>
      <c r="E2433" s="25" t="str">
        <f t="shared" si="1"/>
        <v>12834-Soins du visage-Peaux matures, anti-âge</v>
      </c>
      <c r="F2433" s="25">
        <v>1.0</v>
      </c>
      <c r="G2433" s="25">
        <v>366.0</v>
      </c>
      <c r="H2433" s="25">
        <v>70.0</v>
      </c>
      <c r="I2433" s="26">
        <f t="array" ref="I2433">XLOOKUP($A2433,product!A:A,product!E:E)</f>
        <v>11.84</v>
      </c>
      <c r="J2433" s="25">
        <f t="shared" si="2"/>
        <v>828.8</v>
      </c>
      <c r="K2433" s="27">
        <f t="shared" si="3"/>
        <v>1</v>
      </c>
      <c r="L2433" s="25">
        <f t="shared" si="4"/>
        <v>1</v>
      </c>
    </row>
    <row r="2434">
      <c r="A2434" s="19">
        <v>27984.0</v>
      </c>
      <c r="B2434" s="20" t="str">
        <f t="array" ref="B2434">xlookup($A2434,product!$A:$A,product!B:B)</f>
        <v>Beauté &amp; Hygiène</v>
      </c>
      <c r="C2434" s="20" t="str">
        <f t="array" ref="C2434">xlookup($A2434,product!$A:$A,product!C:C)</f>
        <v>Soins du visage</v>
      </c>
      <c r="D2434" s="20" t="str">
        <f t="array" ref="D2434">xlookup($A2434,product!$A:$A,product!D:D)</f>
        <v>Peaux matures, anti-âge</v>
      </c>
      <c r="E2434" s="4" t="str">
        <f t="shared" si="1"/>
        <v>27984-Soins du visage-Peaux matures, anti-âge</v>
      </c>
      <c r="F2434" s="4">
        <v>0.0</v>
      </c>
      <c r="G2434" s="4">
        <v>140.0</v>
      </c>
      <c r="H2434" s="4">
        <v>116.0</v>
      </c>
      <c r="I2434" s="21">
        <f t="array" ref="I2434">XLOOKUP($A2434,product!A:A,product!E:E)</f>
        <v>12.78</v>
      </c>
      <c r="J2434" s="4">
        <f t="shared" si="2"/>
        <v>1482.48</v>
      </c>
      <c r="K2434" s="22">
        <f t="shared" si="3"/>
        <v>1</v>
      </c>
      <c r="L2434" s="4">
        <f t="shared" si="4"/>
        <v>1</v>
      </c>
    </row>
    <row r="2435">
      <c r="A2435" s="23">
        <v>29444.0</v>
      </c>
      <c r="B2435" s="24" t="str">
        <f t="array" ref="B2435">xlookup($A2435,product!$A:$A,product!B:B)</f>
        <v>Beauté &amp; Hygiène</v>
      </c>
      <c r="C2435" s="24" t="str">
        <f t="array" ref="C2435">xlookup($A2435,product!$A:$A,product!C:C)</f>
        <v>Soins du visage</v>
      </c>
      <c r="D2435" s="24" t="str">
        <f t="array" ref="D2435">xlookup($A2435,product!$A:$A,product!D:D)</f>
        <v>Peaux matures, anti-âge</v>
      </c>
      <c r="E2435" s="25" t="str">
        <f t="shared" si="1"/>
        <v>29444-Soins du visage-Peaux matures, anti-âge</v>
      </c>
      <c r="F2435" s="25">
        <v>0.0</v>
      </c>
      <c r="G2435" s="25">
        <v>79.0</v>
      </c>
      <c r="H2435" s="25">
        <v>47.0</v>
      </c>
      <c r="I2435" s="26">
        <f t="array" ref="I2435">XLOOKUP($A2435,product!A:A,product!E:E)</f>
        <v>4.15</v>
      </c>
      <c r="J2435" s="25">
        <f t="shared" si="2"/>
        <v>195.05</v>
      </c>
      <c r="K2435" s="27">
        <f t="shared" si="3"/>
        <v>1</v>
      </c>
      <c r="L2435" s="25">
        <f t="shared" si="4"/>
        <v>1</v>
      </c>
    </row>
    <row r="2436">
      <c r="A2436" s="19">
        <v>107878.0</v>
      </c>
      <c r="B2436" s="20" t="str">
        <f t="array" ref="B2436">xlookup($A2436,product!$A:$A,product!B:B)</f>
        <v>Beauté &amp; Hygiène</v>
      </c>
      <c r="C2436" s="20" t="str">
        <f t="array" ref="C2436">xlookup($A2436,product!$A:$A,product!C:C)</f>
        <v>Soins du visage</v>
      </c>
      <c r="D2436" s="20" t="str">
        <f t="array" ref="D2436">xlookup($A2436,product!$A:$A,product!D:D)</f>
        <v>Peaux matures, anti-âge</v>
      </c>
      <c r="E2436" s="4" t="str">
        <f t="shared" si="1"/>
        <v>107878-Soins du visage-Peaux matures, anti-âge</v>
      </c>
      <c r="F2436" s="4">
        <v>1.0</v>
      </c>
      <c r="G2436" s="4">
        <v>473.0</v>
      </c>
      <c r="H2436" s="4">
        <v>301.0</v>
      </c>
      <c r="I2436" s="21">
        <f t="array" ref="I2436">XLOOKUP($A2436,product!A:A,product!E:E)</f>
        <v>15.47</v>
      </c>
      <c r="J2436" s="4">
        <f t="shared" si="2"/>
        <v>4656.47</v>
      </c>
      <c r="K2436" s="22">
        <f t="shared" si="3"/>
        <v>1</v>
      </c>
      <c r="L2436" s="4">
        <f t="shared" si="4"/>
        <v>1</v>
      </c>
    </row>
    <row r="2437">
      <c r="A2437" s="23">
        <v>122416.0</v>
      </c>
      <c r="B2437" s="24" t="str">
        <f t="array" ref="B2437">xlookup($A2437,product!$A:$A,product!B:B)</f>
        <v>Beauté &amp; Hygiène</v>
      </c>
      <c r="C2437" s="24" t="str">
        <f t="array" ref="C2437">xlookup($A2437,product!$A:$A,product!C:C)</f>
        <v>Soins du visage</v>
      </c>
      <c r="D2437" s="24" t="str">
        <f t="array" ref="D2437">xlookup($A2437,product!$A:$A,product!D:D)</f>
        <v>Peaux matures, anti-âge</v>
      </c>
      <c r="E2437" s="25" t="str">
        <f t="shared" si="1"/>
        <v>122416-Soins du visage-Peaux matures, anti-âge</v>
      </c>
      <c r="F2437" s="25">
        <v>1.0</v>
      </c>
      <c r="G2437" s="25">
        <v>440.0</v>
      </c>
      <c r="H2437" s="25">
        <v>59.0</v>
      </c>
      <c r="I2437" s="26">
        <f t="array" ref="I2437">XLOOKUP($A2437,product!A:A,product!E:E)</f>
        <v>19.34</v>
      </c>
      <c r="J2437" s="25">
        <f t="shared" si="2"/>
        <v>1141.06</v>
      </c>
      <c r="K2437" s="27">
        <f t="shared" si="3"/>
        <v>1</v>
      </c>
      <c r="L2437" s="25">
        <f t="shared" si="4"/>
        <v>1</v>
      </c>
    </row>
    <row r="2438">
      <c r="A2438" s="19">
        <v>95628.0</v>
      </c>
      <c r="B2438" s="20" t="str">
        <f t="array" ref="B2438">xlookup($A2438,product!$A:$A,product!B:B)</f>
        <v>Beauté &amp; Hygiène</v>
      </c>
      <c r="C2438" s="20" t="str">
        <f t="array" ref="C2438">xlookup($A2438,product!$A:$A,product!C:C)</f>
        <v>Soins du visage</v>
      </c>
      <c r="D2438" s="20" t="str">
        <f t="array" ref="D2438">xlookup($A2438,product!$A:$A,product!D:D)</f>
        <v>Peaux matures, anti-âge</v>
      </c>
      <c r="E2438" s="4" t="str">
        <f t="shared" si="1"/>
        <v>95628-Soins du visage-Peaux matures, anti-âge</v>
      </c>
      <c r="F2438" s="4">
        <v>1.0</v>
      </c>
      <c r="G2438" s="4">
        <v>505.0</v>
      </c>
      <c r="H2438" s="4">
        <v>18.0</v>
      </c>
      <c r="I2438" s="21">
        <f t="array" ref="I2438">XLOOKUP($A2438,product!A:A,product!E:E)</f>
        <v>5.77</v>
      </c>
      <c r="J2438" s="4">
        <f t="shared" si="2"/>
        <v>103.86</v>
      </c>
      <c r="K2438" s="22">
        <f t="shared" si="3"/>
        <v>1</v>
      </c>
      <c r="L2438" s="4">
        <f t="shared" si="4"/>
        <v>1</v>
      </c>
    </row>
    <row r="2439">
      <c r="A2439" s="23">
        <v>9654.0</v>
      </c>
      <c r="B2439" s="24" t="str">
        <f t="array" ref="B2439">xlookup($A2439,product!$A:$A,product!B:B)</f>
        <v>Beauté &amp; Hygiène</v>
      </c>
      <c r="C2439" s="24" t="str">
        <f t="array" ref="C2439">xlookup($A2439,product!$A:$A,product!C:C)</f>
        <v>Soins du visage</v>
      </c>
      <c r="D2439" s="24" t="str">
        <f t="array" ref="D2439">xlookup($A2439,product!$A:$A,product!D:D)</f>
        <v>Peaux matures, anti-âge</v>
      </c>
      <c r="E2439" s="25" t="str">
        <f t="shared" si="1"/>
        <v>9654-Soins du visage-Peaux matures, anti-âge</v>
      </c>
      <c r="F2439" s="25">
        <v>0.0</v>
      </c>
      <c r="G2439" s="25">
        <v>348.0</v>
      </c>
      <c r="H2439" s="25">
        <v>332.0</v>
      </c>
      <c r="I2439" s="26">
        <f t="array" ref="I2439">XLOOKUP($A2439,product!A:A,product!E:E)</f>
        <v>11.24</v>
      </c>
      <c r="J2439" s="25">
        <f t="shared" si="2"/>
        <v>3731.68</v>
      </c>
      <c r="K2439" s="27">
        <f t="shared" si="3"/>
        <v>1</v>
      </c>
      <c r="L2439" s="25">
        <f t="shared" si="4"/>
        <v>1</v>
      </c>
    </row>
    <row r="2440">
      <c r="A2440" s="19">
        <v>105609.0</v>
      </c>
      <c r="B2440" s="20" t="str">
        <f t="array" ref="B2440">xlookup($A2440,product!$A:$A,product!B:B)</f>
        <v>Beauté &amp; Hygiène</v>
      </c>
      <c r="C2440" s="20" t="str">
        <f t="array" ref="C2440">xlookup($A2440,product!$A:$A,product!C:C)</f>
        <v>Soins du visage</v>
      </c>
      <c r="D2440" s="20" t="str">
        <f t="array" ref="D2440">xlookup($A2440,product!$A:$A,product!D:D)</f>
        <v>Peaux matures, anti-âge</v>
      </c>
      <c r="E2440" s="4" t="str">
        <f t="shared" si="1"/>
        <v>105609-Soins du visage-Peaux matures, anti-âge</v>
      </c>
      <c r="F2440" s="4">
        <v>1.0</v>
      </c>
      <c r="G2440" s="4">
        <v>479.0</v>
      </c>
      <c r="H2440" s="4">
        <v>393.0</v>
      </c>
      <c r="I2440" s="21">
        <f t="array" ref="I2440">XLOOKUP($A2440,product!A:A,product!E:E)</f>
        <v>12.32</v>
      </c>
      <c r="J2440" s="4">
        <f t="shared" si="2"/>
        <v>4841.76</v>
      </c>
      <c r="K2440" s="22">
        <f t="shared" si="3"/>
        <v>1</v>
      </c>
      <c r="L2440" s="4">
        <f t="shared" si="4"/>
        <v>1</v>
      </c>
    </row>
    <row r="2441">
      <c r="A2441" s="23">
        <v>118932.0</v>
      </c>
      <c r="B2441" s="24" t="str">
        <f t="array" ref="B2441">xlookup($A2441,product!$A:$A,product!B:B)</f>
        <v>Beauté &amp; Hygiène</v>
      </c>
      <c r="C2441" s="24" t="str">
        <f t="array" ref="C2441">xlookup($A2441,product!$A:$A,product!C:C)</f>
        <v>Soins du visage</v>
      </c>
      <c r="D2441" s="24" t="str">
        <f t="array" ref="D2441">xlookup($A2441,product!$A:$A,product!D:D)</f>
        <v>Peaux matures, anti-âge</v>
      </c>
      <c r="E2441" s="25" t="str">
        <f t="shared" si="1"/>
        <v>118932-Soins du visage-Peaux matures, anti-âge</v>
      </c>
      <c r="F2441" s="25">
        <v>0.0</v>
      </c>
      <c r="G2441" s="25">
        <v>603.0</v>
      </c>
      <c r="H2441" s="25">
        <v>416.0</v>
      </c>
      <c r="I2441" s="26">
        <f t="array" ref="I2441">XLOOKUP($A2441,product!A:A,product!E:E)</f>
        <v>5.59</v>
      </c>
      <c r="J2441" s="25">
        <f t="shared" si="2"/>
        <v>2325.44</v>
      </c>
      <c r="K2441" s="27">
        <f t="shared" si="3"/>
        <v>1</v>
      </c>
      <c r="L2441" s="25">
        <f t="shared" si="4"/>
        <v>1</v>
      </c>
    </row>
    <row r="2442">
      <c r="A2442" s="19">
        <v>103976.0</v>
      </c>
      <c r="B2442" s="20" t="str">
        <f t="array" ref="B2442">xlookup($A2442,product!$A:$A,product!B:B)</f>
        <v>Beauté &amp; Hygiène</v>
      </c>
      <c r="C2442" s="20" t="str">
        <f t="array" ref="C2442">xlookup($A2442,product!$A:$A,product!C:C)</f>
        <v>Soins du visage</v>
      </c>
      <c r="D2442" s="20" t="str">
        <f t="array" ref="D2442">xlookup($A2442,product!$A:$A,product!D:D)</f>
        <v>Peaux matures, anti-âge</v>
      </c>
      <c r="E2442" s="4" t="str">
        <f t="shared" si="1"/>
        <v>103976-Soins du visage-Peaux matures, anti-âge</v>
      </c>
      <c r="F2442" s="4">
        <v>0.0</v>
      </c>
      <c r="G2442" s="4">
        <v>565.0</v>
      </c>
      <c r="H2442" s="4">
        <v>14.0</v>
      </c>
      <c r="I2442" s="21">
        <f t="array" ref="I2442">XLOOKUP($A2442,product!A:A,product!E:E)</f>
        <v>7.99</v>
      </c>
      <c r="J2442" s="4">
        <f t="shared" si="2"/>
        <v>111.86</v>
      </c>
      <c r="K2442" s="22">
        <f t="shared" si="3"/>
        <v>1</v>
      </c>
      <c r="L2442" s="4">
        <f t="shared" si="4"/>
        <v>1</v>
      </c>
    </row>
    <row r="2443">
      <c r="A2443" s="23">
        <v>107881.0</v>
      </c>
      <c r="B2443" s="24" t="str">
        <f t="array" ref="B2443">xlookup($A2443,product!$A:$A,product!B:B)</f>
        <v>Beauté &amp; Hygiène</v>
      </c>
      <c r="C2443" s="24" t="str">
        <f t="array" ref="C2443">xlookup($A2443,product!$A:$A,product!C:C)</f>
        <v>Soins du visage</v>
      </c>
      <c r="D2443" s="24" t="str">
        <f t="array" ref="D2443">xlookup($A2443,product!$A:$A,product!D:D)</f>
        <v>Peaux matures, anti-âge</v>
      </c>
      <c r="E2443" s="25" t="str">
        <f t="shared" si="1"/>
        <v>107881-Soins du visage-Peaux matures, anti-âge</v>
      </c>
      <c r="F2443" s="25">
        <v>0.0</v>
      </c>
      <c r="G2443" s="25">
        <v>668.0</v>
      </c>
      <c r="H2443" s="25">
        <v>291.0</v>
      </c>
      <c r="I2443" s="26">
        <f t="array" ref="I2443">XLOOKUP($A2443,product!A:A,product!E:E)</f>
        <v>25.84</v>
      </c>
      <c r="J2443" s="25">
        <f t="shared" si="2"/>
        <v>7519.44</v>
      </c>
      <c r="K2443" s="27">
        <f t="shared" si="3"/>
        <v>1</v>
      </c>
      <c r="L2443" s="25">
        <f t="shared" si="4"/>
        <v>1</v>
      </c>
    </row>
    <row r="2444">
      <c r="A2444" s="19">
        <v>7830.0</v>
      </c>
      <c r="B2444" s="20" t="str">
        <f t="array" ref="B2444">xlookup($A2444,product!$A:$A,product!B:B)</f>
        <v>Beauté &amp; Hygiène</v>
      </c>
      <c r="C2444" s="20" t="str">
        <f t="array" ref="C2444">xlookup($A2444,product!$A:$A,product!C:C)</f>
        <v>Soins du visage</v>
      </c>
      <c r="D2444" s="20" t="str">
        <f t="array" ref="D2444">xlookup($A2444,product!$A:$A,product!D:D)</f>
        <v>Peaux matures, anti-âge</v>
      </c>
      <c r="E2444" s="4" t="str">
        <f t="shared" si="1"/>
        <v>7830-Soins du visage-Peaux matures, anti-âge</v>
      </c>
      <c r="F2444" s="4">
        <v>1.0</v>
      </c>
      <c r="G2444" s="4">
        <v>416.0</v>
      </c>
      <c r="H2444" s="4">
        <v>211.0</v>
      </c>
      <c r="I2444" s="21">
        <f t="array" ref="I2444">XLOOKUP($A2444,product!A:A,product!E:E)</f>
        <v>12.86</v>
      </c>
      <c r="J2444" s="4">
        <f t="shared" si="2"/>
        <v>2713.46</v>
      </c>
      <c r="K2444" s="22">
        <f t="shared" si="3"/>
        <v>1</v>
      </c>
      <c r="L2444" s="4">
        <f t="shared" si="4"/>
        <v>1</v>
      </c>
    </row>
    <row r="2445">
      <c r="A2445" s="23">
        <v>159717.0</v>
      </c>
      <c r="B2445" s="24" t="str">
        <f t="array" ref="B2445">xlookup($A2445,product!$A:$A,product!B:B)</f>
        <v>Beauté &amp; Hygiène</v>
      </c>
      <c r="C2445" s="24" t="str">
        <f t="array" ref="C2445">xlookup($A2445,product!$A:$A,product!C:C)</f>
        <v>Soins du visage</v>
      </c>
      <c r="D2445" s="24" t="str">
        <f t="array" ref="D2445">xlookup($A2445,product!$A:$A,product!D:D)</f>
        <v>Peaux matures, anti-âge</v>
      </c>
      <c r="E2445" s="25" t="str">
        <f t="shared" si="1"/>
        <v>159717-Soins du visage-Peaux matures, anti-âge</v>
      </c>
      <c r="F2445" s="25">
        <v>1.0</v>
      </c>
      <c r="G2445" s="25">
        <v>352.0</v>
      </c>
      <c r="H2445" s="25">
        <v>270.0</v>
      </c>
      <c r="I2445" s="26">
        <f t="array" ref="I2445">XLOOKUP($A2445,product!A:A,product!E:E)</f>
        <v>18.3</v>
      </c>
      <c r="J2445" s="25">
        <f t="shared" si="2"/>
        <v>4941</v>
      </c>
      <c r="K2445" s="27">
        <f t="shared" si="3"/>
        <v>1</v>
      </c>
      <c r="L2445" s="25">
        <f t="shared" si="4"/>
        <v>1</v>
      </c>
    </row>
    <row r="2446">
      <c r="A2446" s="19">
        <v>113449.0</v>
      </c>
      <c r="B2446" s="20" t="str">
        <f t="array" ref="B2446">xlookup($A2446,product!$A:$A,product!B:B)</f>
        <v>Beauté &amp; Hygiène</v>
      </c>
      <c r="C2446" s="20" t="str">
        <f t="array" ref="C2446">xlookup($A2446,product!$A:$A,product!C:C)</f>
        <v>Soins du visage</v>
      </c>
      <c r="D2446" s="20" t="str">
        <f t="array" ref="D2446">xlookup($A2446,product!$A:$A,product!D:D)</f>
        <v>Peaux matures, anti-âge</v>
      </c>
      <c r="E2446" s="4" t="str">
        <f t="shared" si="1"/>
        <v>113449-Soins du visage-Peaux matures, anti-âge</v>
      </c>
      <c r="F2446" s="4">
        <v>0.0</v>
      </c>
      <c r="G2446" s="4">
        <v>645.0</v>
      </c>
      <c r="H2446" s="4">
        <v>359.0</v>
      </c>
      <c r="I2446" s="21">
        <f t="array" ref="I2446">XLOOKUP($A2446,product!A:A,product!E:E)</f>
        <v>8.54</v>
      </c>
      <c r="J2446" s="4">
        <f t="shared" si="2"/>
        <v>3065.86</v>
      </c>
      <c r="K2446" s="22">
        <f t="shared" si="3"/>
        <v>1</v>
      </c>
      <c r="L2446" s="4">
        <f t="shared" si="4"/>
        <v>1</v>
      </c>
    </row>
    <row r="2447">
      <c r="A2447" s="23">
        <v>79942.0</v>
      </c>
      <c r="B2447" s="24" t="str">
        <f t="array" ref="B2447">xlookup($A2447,product!$A:$A,product!B:B)</f>
        <v>Beauté &amp; Hygiène</v>
      </c>
      <c r="C2447" s="24" t="str">
        <f t="array" ref="C2447">xlookup($A2447,product!$A:$A,product!C:C)</f>
        <v>Soins du visage</v>
      </c>
      <c r="D2447" s="24" t="str">
        <f t="array" ref="D2447">xlookup($A2447,product!$A:$A,product!D:D)</f>
        <v>Peaux matures, anti-âge</v>
      </c>
      <c r="E2447" s="25" t="str">
        <f t="shared" si="1"/>
        <v>79942-Soins du visage-Peaux matures, anti-âge</v>
      </c>
      <c r="F2447" s="25">
        <v>0.0</v>
      </c>
      <c r="G2447" s="25">
        <v>680.0</v>
      </c>
      <c r="H2447" s="25">
        <v>105.0</v>
      </c>
      <c r="I2447" s="26">
        <f t="array" ref="I2447">XLOOKUP($A2447,product!A:A,product!E:E)</f>
        <v>7.92</v>
      </c>
      <c r="J2447" s="25">
        <f t="shared" si="2"/>
        <v>831.6</v>
      </c>
      <c r="K2447" s="27">
        <f t="shared" si="3"/>
        <v>1</v>
      </c>
      <c r="L2447" s="25">
        <f t="shared" si="4"/>
        <v>1</v>
      </c>
    </row>
    <row r="2448">
      <c r="A2448" s="19">
        <v>29437.0</v>
      </c>
      <c r="B2448" s="20" t="str">
        <f t="array" ref="B2448">xlookup($A2448,product!$A:$A,product!B:B)</f>
        <v>Beauté &amp; Hygiène</v>
      </c>
      <c r="C2448" s="20" t="str">
        <f t="array" ref="C2448">xlookup($A2448,product!$A:$A,product!C:C)</f>
        <v>Soins du visage</v>
      </c>
      <c r="D2448" s="20" t="str">
        <f t="array" ref="D2448">xlookup($A2448,product!$A:$A,product!D:D)</f>
        <v>Peaux matures, anti-âge</v>
      </c>
      <c r="E2448" s="4" t="str">
        <f t="shared" si="1"/>
        <v>29437-Soins du visage-Peaux matures, anti-âge</v>
      </c>
      <c r="F2448" s="4">
        <v>0.0</v>
      </c>
      <c r="G2448" s="4">
        <v>87.0</v>
      </c>
      <c r="H2448" s="4">
        <v>72.0</v>
      </c>
      <c r="I2448" s="21">
        <f t="array" ref="I2448">XLOOKUP($A2448,product!A:A,product!E:E)</f>
        <v>3.73</v>
      </c>
      <c r="J2448" s="4">
        <f t="shared" si="2"/>
        <v>268.56</v>
      </c>
      <c r="K2448" s="22">
        <f t="shared" si="3"/>
        <v>1</v>
      </c>
      <c r="L2448" s="4">
        <f t="shared" si="4"/>
        <v>1</v>
      </c>
    </row>
    <row r="2449">
      <c r="A2449" s="23">
        <v>99234.0</v>
      </c>
      <c r="B2449" s="24" t="str">
        <f t="array" ref="B2449">xlookup($A2449,product!$A:$A,product!B:B)</f>
        <v>Beauté &amp; Hygiène</v>
      </c>
      <c r="C2449" s="24" t="str">
        <f t="array" ref="C2449">xlookup($A2449,product!$A:$A,product!C:C)</f>
        <v>Soins du visage</v>
      </c>
      <c r="D2449" s="24" t="str">
        <f t="array" ref="D2449">xlookup($A2449,product!$A:$A,product!D:D)</f>
        <v>Peaux matures, anti-âge</v>
      </c>
      <c r="E2449" s="25" t="str">
        <f t="shared" si="1"/>
        <v>99234-Soins du visage-Peaux matures, anti-âge</v>
      </c>
      <c r="F2449" s="25">
        <v>1.0</v>
      </c>
      <c r="G2449" s="25">
        <v>367.0</v>
      </c>
      <c r="H2449" s="25">
        <v>118.0</v>
      </c>
      <c r="I2449" s="26">
        <f t="array" ref="I2449">XLOOKUP($A2449,product!A:A,product!E:E)</f>
        <v>12.48</v>
      </c>
      <c r="J2449" s="25">
        <f t="shared" si="2"/>
        <v>1472.64</v>
      </c>
      <c r="K2449" s="27">
        <f t="shared" si="3"/>
        <v>1</v>
      </c>
      <c r="L2449" s="25">
        <f t="shared" si="4"/>
        <v>1</v>
      </c>
    </row>
    <row r="2450">
      <c r="A2450" s="19">
        <v>103985.0</v>
      </c>
      <c r="B2450" s="20" t="str">
        <f t="array" ref="B2450">xlookup($A2450,product!$A:$A,product!B:B)</f>
        <v>Beauté &amp; Hygiène</v>
      </c>
      <c r="C2450" s="20" t="str">
        <f t="array" ref="C2450">xlookup($A2450,product!$A:$A,product!C:C)</f>
        <v>Soins du visage</v>
      </c>
      <c r="D2450" s="20" t="str">
        <f t="array" ref="D2450">xlookup($A2450,product!$A:$A,product!D:D)</f>
        <v>Peaux matures, anti-âge</v>
      </c>
      <c r="E2450" s="4" t="str">
        <f t="shared" si="1"/>
        <v>103985-Soins du visage-Peaux matures, anti-âge</v>
      </c>
      <c r="F2450" s="4">
        <v>1.0</v>
      </c>
      <c r="G2450" s="4">
        <v>583.0</v>
      </c>
      <c r="H2450" s="4">
        <v>514.0</v>
      </c>
      <c r="I2450" s="21">
        <f t="array" ref="I2450">XLOOKUP($A2450,product!A:A,product!E:E)</f>
        <v>9.05</v>
      </c>
      <c r="J2450" s="4">
        <f t="shared" si="2"/>
        <v>4651.7</v>
      </c>
      <c r="K2450" s="22">
        <f t="shared" si="3"/>
        <v>1</v>
      </c>
      <c r="L2450" s="4">
        <f t="shared" si="4"/>
        <v>1</v>
      </c>
    </row>
    <row r="2451">
      <c r="A2451" s="23">
        <v>97947.0</v>
      </c>
      <c r="B2451" s="24" t="str">
        <f t="array" ref="B2451">xlookup($A2451,product!$A:$A,product!B:B)</f>
        <v>Beauté &amp; Hygiène</v>
      </c>
      <c r="C2451" s="24" t="str">
        <f t="array" ref="C2451">xlookup($A2451,product!$A:$A,product!C:C)</f>
        <v>Soins du visage</v>
      </c>
      <c r="D2451" s="24" t="str">
        <f t="array" ref="D2451">xlookup($A2451,product!$A:$A,product!D:D)</f>
        <v>Peaux matures, anti-âge</v>
      </c>
      <c r="E2451" s="25" t="str">
        <f t="shared" si="1"/>
        <v>97947-Soins du visage-Peaux matures, anti-âge</v>
      </c>
      <c r="F2451" s="25">
        <v>1.0</v>
      </c>
      <c r="G2451" s="25">
        <v>136.0</v>
      </c>
      <c r="H2451" s="25">
        <v>131.0</v>
      </c>
      <c r="I2451" s="26">
        <f t="array" ref="I2451">XLOOKUP($A2451,product!A:A,product!E:E)</f>
        <v>6.17</v>
      </c>
      <c r="J2451" s="25">
        <f t="shared" si="2"/>
        <v>808.27</v>
      </c>
      <c r="K2451" s="27">
        <f t="shared" si="3"/>
        <v>1</v>
      </c>
      <c r="L2451" s="25">
        <f t="shared" si="4"/>
        <v>1</v>
      </c>
    </row>
    <row r="2452">
      <c r="A2452" s="19">
        <v>101083.0</v>
      </c>
      <c r="B2452" s="20" t="str">
        <f t="array" ref="B2452">xlookup($A2452,product!$A:$A,product!B:B)</f>
        <v>Beauté &amp; Hygiène</v>
      </c>
      <c r="C2452" s="20" t="str">
        <f t="array" ref="C2452">xlookup($A2452,product!$A:$A,product!C:C)</f>
        <v>Soins du visage</v>
      </c>
      <c r="D2452" s="20" t="str">
        <f t="array" ref="D2452">xlookup($A2452,product!$A:$A,product!D:D)</f>
        <v>Peaux matures, anti-âge</v>
      </c>
      <c r="E2452" s="4" t="str">
        <f t="shared" si="1"/>
        <v>101083-Soins du visage-Peaux matures, anti-âge</v>
      </c>
      <c r="F2452" s="4">
        <v>1.0</v>
      </c>
      <c r="G2452" s="4">
        <v>900.0</v>
      </c>
      <c r="H2452" s="4">
        <v>430.0</v>
      </c>
      <c r="I2452" s="21">
        <f t="array" ref="I2452">XLOOKUP($A2452,product!A:A,product!E:E)</f>
        <v>13.02</v>
      </c>
      <c r="J2452" s="4">
        <f t="shared" si="2"/>
        <v>5598.6</v>
      </c>
      <c r="K2452" s="22">
        <f t="shared" si="3"/>
        <v>1</v>
      </c>
      <c r="L2452" s="4">
        <f t="shared" si="4"/>
        <v>1</v>
      </c>
    </row>
    <row r="2453">
      <c r="A2453" s="23">
        <v>111287.0</v>
      </c>
      <c r="B2453" s="24" t="str">
        <f t="array" ref="B2453">xlookup($A2453,product!$A:$A,product!B:B)</f>
        <v>Beauté &amp; Hygiène</v>
      </c>
      <c r="C2453" s="24" t="str">
        <f t="array" ref="C2453">xlookup($A2453,product!$A:$A,product!C:C)</f>
        <v>Soins du visage</v>
      </c>
      <c r="D2453" s="24" t="str">
        <f t="array" ref="D2453">xlookup($A2453,product!$A:$A,product!D:D)</f>
        <v>Peaux sèches et sensibles</v>
      </c>
      <c r="E2453" s="25" t="str">
        <f t="shared" si="1"/>
        <v>111287-Soins du visage-Peaux sèches et sensibles</v>
      </c>
      <c r="F2453" s="25">
        <v>0.0</v>
      </c>
      <c r="G2453" s="25">
        <v>877.0</v>
      </c>
      <c r="H2453" s="25">
        <v>721.0</v>
      </c>
      <c r="I2453" s="26">
        <f t="array" ref="I2453">XLOOKUP($A2453,product!A:A,product!E:E)</f>
        <v>1.74</v>
      </c>
      <c r="J2453" s="25">
        <f t="shared" si="2"/>
        <v>1254.54</v>
      </c>
      <c r="K2453" s="27">
        <f t="shared" si="3"/>
        <v>1</v>
      </c>
      <c r="L2453" s="25">
        <f t="shared" si="4"/>
        <v>1</v>
      </c>
    </row>
    <row r="2454">
      <c r="A2454" s="19">
        <v>11728.0</v>
      </c>
      <c r="B2454" s="20" t="str">
        <f t="array" ref="B2454">xlookup($A2454,product!$A:$A,product!B:B)</f>
        <v>Beauté &amp; Hygiène</v>
      </c>
      <c r="C2454" s="20" t="str">
        <f t="array" ref="C2454">xlookup($A2454,product!$A:$A,product!C:C)</f>
        <v>Soins du visage</v>
      </c>
      <c r="D2454" s="20" t="str">
        <f t="array" ref="D2454">xlookup($A2454,product!$A:$A,product!D:D)</f>
        <v>Peaux sèches et sensibles</v>
      </c>
      <c r="E2454" s="4" t="str">
        <f t="shared" si="1"/>
        <v>11728-Soins du visage-Peaux sèches et sensibles</v>
      </c>
      <c r="F2454" s="4">
        <v>1.0</v>
      </c>
      <c r="G2454" s="4">
        <v>388.0</v>
      </c>
      <c r="H2454" s="4">
        <v>326.0</v>
      </c>
      <c r="I2454" s="21">
        <f t="array" ref="I2454">XLOOKUP($A2454,product!A:A,product!E:E)</f>
        <v>7.5</v>
      </c>
      <c r="J2454" s="4">
        <f t="shared" si="2"/>
        <v>2445</v>
      </c>
      <c r="K2454" s="22">
        <f t="shared" si="3"/>
        <v>1</v>
      </c>
      <c r="L2454" s="4">
        <f t="shared" si="4"/>
        <v>1</v>
      </c>
    </row>
    <row r="2455">
      <c r="A2455" s="23">
        <v>111286.0</v>
      </c>
      <c r="B2455" s="24" t="str">
        <f t="array" ref="B2455">xlookup($A2455,product!$A:$A,product!B:B)</f>
        <v>Beauté &amp; Hygiène</v>
      </c>
      <c r="C2455" s="24" t="str">
        <f t="array" ref="C2455">xlookup($A2455,product!$A:$A,product!C:C)</f>
        <v>Soins du visage</v>
      </c>
      <c r="D2455" s="24" t="str">
        <f t="array" ref="D2455">xlookup($A2455,product!$A:$A,product!D:D)</f>
        <v>Peaux sèches et sensibles</v>
      </c>
      <c r="E2455" s="25" t="str">
        <f t="shared" si="1"/>
        <v>111286-Soins du visage-Peaux sèches et sensibles</v>
      </c>
      <c r="F2455" s="25">
        <v>1.0</v>
      </c>
      <c r="G2455" s="25">
        <v>39.0</v>
      </c>
      <c r="H2455" s="25">
        <v>7.0</v>
      </c>
      <c r="I2455" s="26">
        <f t="array" ref="I2455">XLOOKUP($A2455,product!A:A,product!E:E)</f>
        <v>1.74</v>
      </c>
      <c r="J2455" s="25">
        <f t="shared" si="2"/>
        <v>12.18</v>
      </c>
      <c r="K2455" s="27">
        <f t="shared" si="3"/>
        <v>1</v>
      </c>
      <c r="L2455" s="25">
        <f t="shared" si="4"/>
        <v>1</v>
      </c>
    </row>
    <row r="2456">
      <c r="A2456" s="19">
        <v>29426.0</v>
      </c>
      <c r="B2456" s="20" t="str">
        <f t="array" ref="B2456">xlookup($A2456,product!$A:$A,product!B:B)</f>
        <v>Beauté &amp; Hygiène</v>
      </c>
      <c r="C2456" s="20" t="str">
        <f t="array" ref="C2456">xlookup($A2456,product!$A:$A,product!C:C)</f>
        <v>Soins du visage</v>
      </c>
      <c r="D2456" s="20" t="str">
        <f t="array" ref="D2456">xlookup($A2456,product!$A:$A,product!D:D)</f>
        <v>Peaux sèches et sensibles</v>
      </c>
      <c r="E2456" s="4" t="str">
        <f t="shared" si="1"/>
        <v>29426-Soins du visage-Peaux sèches et sensibles</v>
      </c>
      <c r="F2456" s="4">
        <v>0.0</v>
      </c>
      <c r="G2456" s="4">
        <v>366.0</v>
      </c>
      <c r="H2456" s="4">
        <v>144.0</v>
      </c>
      <c r="I2456" s="21">
        <f t="array" ref="I2456">XLOOKUP($A2456,product!A:A,product!E:E)</f>
        <v>3.73</v>
      </c>
      <c r="J2456" s="4">
        <f t="shared" si="2"/>
        <v>537.12</v>
      </c>
      <c r="K2456" s="22">
        <f t="shared" si="3"/>
        <v>1</v>
      </c>
      <c r="L2456" s="4">
        <f t="shared" si="4"/>
        <v>1</v>
      </c>
    </row>
    <row r="2457">
      <c r="A2457" s="23">
        <v>93419.0</v>
      </c>
      <c r="B2457" s="24" t="str">
        <f t="array" ref="B2457">xlookup($A2457,product!$A:$A,product!B:B)</f>
        <v>Beauté &amp; Hygiène</v>
      </c>
      <c r="C2457" s="24" t="str">
        <f t="array" ref="C2457">xlookup($A2457,product!$A:$A,product!C:C)</f>
        <v>Soins du visage</v>
      </c>
      <c r="D2457" s="24" t="str">
        <f t="array" ref="D2457">xlookup($A2457,product!$A:$A,product!D:D)</f>
        <v>Peaux sèches et sensibles</v>
      </c>
      <c r="E2457" s="25" t="str">
        <f t="shared" si="1"/>
        <v>93419-Soins du visage-Peaux sèches et sensibles</v>
      </c>
      <c r="F2457" s="25">
        <v>1.0</v>
      </c>
      <c r="G2457" s="25">
        <v>256.0</v>
      </c>
      <c r="H2457" s="25">
        <v>141.0</v>
      </c>
      <c r="I2457" s="26">
        <f t="array" ref="I2457">XLOOKUP($A2457,product!A:A,product!E:E)</f>
        <v>12.91</v>
      </c>
      <c r="J2457" s="25">
        <f t="shared" si="2"/>
        <v>1820.31</v>
      </c>
      <c r="K2457" s="27">
        <f t="shared" si="3"/>
        <v>1</v>
      </c>
      <c r="L2457" s="25">
        <f t="shared" si="4"/>
        <v>1</v>
      </c>
    </row>
    <row r="2458">
      <c r="A2458" s="19">
        <v>93418.0</v>
      </c>
      <c r="B2458" s="20" t="str">
        <f t="array" ref="B2458">xlookup($A2458,product!$A:$A,product!B:B)</f>
        <v>Beauté &amp; Hygiène</v>
      </c>
      <c r="C2458" s="20" t="str">
        <f t="array" ref="C2458">xlookup($A2458,product!$A:$A,product!C:C)</f>
        <v>Soins du visage</v>
      </c>
      <c r="D2458" s="20" t="str">
        <f t="array" ref="D2458">xlookup($A2458,product!$A:$A,product!D:D)</f>
        <v>Peaux sèches et sensibles</v>
      </c>
      <c r="E2458" s="4" t="str">
        <f t="shared" si="1"/>
        <v>93418-Soins du visage-Peaux sèches et sensibles</v>
      </c>
      <c r="F2458" s="4">
        <v>1.0</v>
      </c>
      <c r="G2458" s="4">
        <v>694.0</v>
      </c>
      <c r="H2458" s="4">
        <v>267.0</v>
      </c>
      <c r="I2458" s="21">
        <f t="array" ref="I2458">XLOOKUP($A2458,product!A:A,product!E:E)</f>
        <v>22.35</v>
      </c>
      <c r="J2458" s="4">
        <f t="shared" si="2"/>
        <v>5967.45</v>
      </c>
      <c r="K2458" s="22">
        <f t="shared" si="3"/>
        <v>1</v>
      </c>
      <c r="L2458" s="4">
        <f t="shared" si="4"/>
        <v>1</v>
      </c>
    </row>
    <row r="2459">
      <c r="A2459" s="23">
        <v>79198.0</v>
      </c>
      <c r="B2459" s="24" t="str">
        <f t="array" ref="B2459">xlookup($A2459,product!$A:$A,product!B:B)</f>
        <v>Beauté &amp; Hygiène</v>
      </c>
      <c r="C2459" s="24" t="str">
        <f t="array" ref="C2459">xlookup($A2459,product!$A:$A,product!C:C)</f>
        <v>Soins du visage</v>
      </c>
      <c r="D2459" s="24" t="str">
        <f t="array" ref="D2459">xlookup($A2459,product!$A:$A,product!D:D)</f>
        <v>Peaux sèches et sensibles</v>
      </c>
      <c r="E2459" s="25" t="str">
        <f t="shared" si="1"/>
        <v>79198-Soins du visage-Peaux sèches et sensibles</v>
      </c>
      <c r="F2459" s="25">
        <v>0.0</v>
      </c>
      <c r="G2459" s="25">
        <v>115.0</v>
      </c>
      <c r="H2459" s="25">
        <v>93.0</v>
      </c>
      <c r="I2459" s="26">
        <f t="array" ref="I2459">XLOOKUP($A2459,product!A:A,product!E:E)</f>
        <v>4.69</v>
      </c>
      <c r="J2459" s="25">
        <f t="shared" si="2"/>
        <v>436.17</v>
      </c>
      <c r="K2459" s="27">
        <f t="shared" si="3"/>
        <v>1</v>
      </c>
      <c r="L2459" s="25">
        <f t="shared" si="4"/>
        <v>1</v>
      </c>
    </row>
    <row r="2460">
      <c r="A2460" s="19">
        <v>11720.0</v>
      </c>
      <c r="B2460" s="20" t="str">
        <f t="array" ref="B2460">xlookup($A2460,product!$A:$A,product!B:B)</f>
        <v>Beauté &amp; Hygiène</v>
      </c>
      <c r="C2460" s="20" t="str">
        <f t="array" ref="C2460">xlookup($A2460,product!$A:$A,product!C:C)</f>
        <v>Soins du visage</v>
      </c>
      <c r="D2460" s="20" t="str">
        <f t="array" ref="D2460">xlookup($A2460,product!$A:$A,product!D:D)</f>
        <v>Peaux sèches et sensibles</v>
      </c>
      <c r="E2460" s="4" t="str">
        <f t="shared" si="1"/>
        <v>11720-Soins du visage-Peaux sèches et sensibles</v>
      </c>
      <c r="F2460" s="4">
        <v>1.0</v>
      </c>
      <c r="G2460" s="4">
        <v>215.0</v>
      </c>
      <c r="H2460" s="4">
        <v>154.0</v>
      </c>
      <c r="I2460" s="21">
        <f t="array" ref="I2460">XLOOKUP($A2460,product!A:A,product!E:E)</f>
        <v>7.57</v>
      </c>
      <c r="J2460" s="4">
        <f t="shared" si="2"/>
        <v>1165.78</v>
      </c>
      <c r="K2460" s="22">
        <f t="shared" si="3"/>
        <v>1</v>
      </c>
      <c r="L2460" s="4">
        <f t="shared" si="4"/>
        <v>1</v>
      </c>
    </row>
    <row r="2461">
      <c r="A2461" s="23">
        <v>122534.0</v>
      </c>
      <c r="B2461" s="24" t="str">
        <f t="array" ref="B2461">xlookup($A2461,product!$A:$A,product!B:B)</f>
        <v>Beauté &amp; Hygiène</v>
      </c>
      <c r="C2461" s="24" t="str">
        <f t="array" ref="C2461">xlookup($A2461,product!$A:$A,product!C:C)</f>
        <v>Soins du visage</v>
      </c>
      <c r="D2461" s="24" t="str">
        <f t="array" ref="D2461">xlookup($A2461,product!$A:$A,product!D:D)</f>
        <v>Peaux sèches et sensibles</v>
      </c>
      <c r="E2461" s="25" t="str">
        <f t="shared" si="1"/>
        <v>122534-Soins du visage-Peaux sèches et sensibles</v>
      </c>
      <c r="F2461" s="25">
        <v>1.0</v>
      </c>
      <c r="G2461" s="25">
        <v>52.0</v>
      </c>
      <c r="H2461" s="25">
        <v>13.0</v>
      </c>
      <c r="I2461" s="26">
        <f t="array" ref="I2461">XLOOKUP($A2461,product!A:A,product!E:E)</f>
        <v>7.9</v>
      </c>
      <c r="J2461" s="25">
        <f t="shared" si="2"/>
        <v>102.7</v>
      </c>
      <c r="K2461" s="27">
        <f t="shared" si="3"/>
        <v>1</v>
      </c>
      <c r="L2461" s="25">
        <f t="shared" si="4"/>
        <v>1</v>
      </c>
    </row>
    <row r="2462">
      <c r="A2462" s="19">
        <v>92209.0</v>
      </c>
      <c r="B2462" s="20" t="str">
        <f t="array" ref="B2462">xlookup($A2462,product!$A:$A,product!B:B)</f>
        <v>Beauté &amp; Hygiène</v>
      </c>
      <c r="C2462" s="20" t="str">
        <f t="array" ref="C2462">xlookup($A2462,product!$A:$A,product!C:C)</f>
        <v>Soins du visage</v>
      </c>
      <c r="D2462" s="20" t="str">
        <f t="array" ref="D2462">xlookup($A2462,product!$A:$A,product!D:D)</f>
        <v>Peaux sèches et sensibles</v>
      </c>
      <c r="E2462" s="4" t="str">
        <f t="shared" si="1"/>
        <v>92209-Soins du visage-Peaux sèches et sensibles</v>
      </c>
      <c r="F2462" s="4">
        <v>0.0</v>
      </c>
      <c r="G2462" s="4">
        <v>586.0</v>
      </c>
      <c r="H2462" s="4">
        <v>218.0</v>
      </c>
      <c r="I2462" s="21">
        <f t="array" ref="I2462">XLOOKUP($A2462,product!A:A,product!E:E)</f>
        <v>8</v>
      </c>
      <c r="J2462" s="4">
        <f t="shared" si="2"/>
        <v>1744</v>
      </c>
      <c r="K2462" s="22">
        <f t="shared" si="3"/>
        <v>1</v>
      </c>
      <c r="L2462" s="4">
        <f t="shared" si="4"/>
        <v>1</v>
      </c>
    </row>
    <row r="2463">
      <c r="A2463" s="23">
        <v>93417.0</v>
      </c>
      <c r="B2463" s="24" t="str">
        <f t="array" ref="B2463">xlookup($A2463,product!$A:$A,product!B:B)</f>
        <v>Beauté &amp; Hygiène</v>
      </c>
      <c r="C2463" s="24" t="str">
        <f t="array" ref="C2463">xlookup($A2463,product!$A:$A,product!C:C)</f>
        <v>Soins du visage</v>
      </c>
      <c r="D2463" s="24" t="str">
        <f t="array" ref="D2463">xlookup($A2463,product!$A:$A,product!D:D)</f>
        <v>Peaux sèches et sensibles</v>
      </c>
      <c r="E2463" s="25" t="str">
        <f t="shared" si="1"/>
        <v>93417-Soins du visage-Peaux sèches et sensibles</v>
      </c>
      <c r="F2463" s="25">
        <v>0.0</v>
      </c>
      <c r="G2463" s="25">
        <v>201.0</v>
      </c>
      <c r="H2463" s="25">
        <v>122.0</v>
      </c>
      <c r="I2463" s="26">
        <f t="array" ref="I2463">XLOOKUP($A2463,product!A:A,product!E:E)</f>
        <v>20.39</v>
      </c>
      <c r="J2463" s="25">
        <f t="shared" si="2"/>
        <v>2487.58</v>
      </c>
      <c r="K2463" s="27">
        <f t="shared" si="3"/>
        <v>1</v>
      </c>
      <c r="L2463" s="25">
        <f t="shared" si="4"/>
        <v>1</v>
      </c>
    </row>
    <row r="2464">
      <c r="A2464" s="19">
        <v>103197.0</v>
      </c>
      <c r="B2464" s="20" t="str">
        <f t="array" ref="B2464">xlookup($A2464,product!$A:$A,product!B:B)</f>
        <v>Beauté &amp; Hygiène</v>
      </c>
      <c r="C2464" s="20" t="str">
        <f t="array" ref="C2464">xlookup($A2464,product!$A:$A,product!C:C)</f>
        <v>Soins du visage</v>
      </c>
      <c r="D2464" s="20" t="str">
        <f t="array" ref="D2464">xlookup($A2464,product!$A:$A,product!D:D)</f>
        <v>Peaux sèches et sensibles</v>
      </c>
      <c r="E2464" s="4" t="str">
        <f t="shared" si="1"/>
        <v>103197-Soins du visage-Peaux sèches et sensibles</v>
      </c>
      <c r="F2464" s="4">
        <v>1.0</v>
      </c>
      <c r="G2464" s="4">
        <v>213.0</v>
      </c>
      <c r="H2464" s="4">
        <v>112.0</v>
      </c>
      <c r="I2464" s="21">
        <f t="array" ref="I2464">XLOOKUP($A2464,product!A:A,product!E:E)</f>
        <v>23.51</v>
      </c>
      <c r="J2464" s="4">
        <f t="shared" si="2"/>
        <v>2633.12</v>
      </c>
      <c r="K2464" s="22">
        <f t="shared" si="3"/>
        <v>1</v>
      </c>
      <c r="L2464" s="4">
        <f t="shared" si="4"/>
        <v>1</v>
      </c>
    </row>
    <row r="2465">
      <c r="A2465" s="23">
        <v>118930.0</v>
      </c>
      <c r="B2465" s="24" t="str">
        <f t="array" ref="B2465">xlookup($A2465,product!$A:$A,product!B:B)</f>
        <v>Beauté &amp; Hygiène</v>
      </c>
      <c r="C2465" s="24" t="str">
        <f t="array" ref="C2465">xlookup($A2465,product!$A:$A,product!C:C)</f>
        <v>Soins du visage</v>
      </c>
      <c r="D2465" s="24" t="str">
        <f t="array" ref="D2465">xlookup($A2465,product!$A:$A,product!D:D)</f>
        <v>Peaux sèches et sensibles</v>
      </c>
      <c r="E2465" s="25" t="str">
        <f t="shared" si="1"/>
        <v>118930-Soins du visage-Peaux sèches et sensibles</v>
      </c>
      <c r="F2465" s="25">
        <v>0.0</v>
      </c>
      <c r="G2465" s="25">
        <v>823.0</v>
      </c>
      <c r="H2465" s="25">
        <v>377.0</v>
      </c>
      <c r="I2465" s="26">
        <f t="array" ref="I2465">XLOOKUP($A2465,product!A:A,product!E:E)</f>
        <v>4.18</v>
      </c>
      <c r="J2465" s="25">
        <f t="shared" si="2"/>
        <v>1575.86</v>
      </c>
      <c r="K2465" s="27">
        <f t="shared" si="3"/>
        <v>1</v>
      </c>
      <c r="L2465" s="25">
        <f t="shared" si="4"/>
        <v>1</v>
      </c>
    </row>
    <row r="2466">
      <c r="A2466" s="19">
        <v>92199.0</v>
      </c>
      <c r="B2466" s="20" t="str">
        <f t="array" ref="B2466">xlookup($A2466,product!$A:$A,product!B:B)</f>
        <v>Beauté &amp; Hygiène</v>
      </c>
      <c r="C2466" s="20" t="str">
        <f t="array" ref="C2466">xlookup($A2466,product!$A:$A,product!C:C)</f>
        <v>Soins du visage</v>
      </c>
      <c r="D2466" s="20" t="str">
        <f t="array" ref="D2466">xlookup($A2466,product!$A:$A,product!D:D)</f>
        <v>Peaux sèches et sensibles</v>
      </c>
      <c r="E2466" s="4" t="str">
        <f t="shared" si="1"/>
        <v>92199-Soins du visage-Peaux sèches et sensibles</v>
      </c>
      <c r="F2466" s="4">
        <v>1.0</v>
      </c>
      <c r="G2466" s="4">
        <v>690.0</v>
      </c>
      <c r="H2466" s="4">
        <v>257.0</v>
      </c>
      <c r="I2466" s="21">
        <f t="array" ref="I2466">XLOOKUP($A2466,product!A:A,product!E:E)</f>
        <v>11</v>
      </c>
      <c r="J2466" s="4">
        <f t="shared" si="2"/>
        <v>2827</v>
      </c>
      <c r="K2466" s="22">
        <f t="shared" si="3"/>
        <v>1</v>
      </c>
      <c r="L2466" s="4">
        <f t="shared" si="4"/>
        <v>1</v>
      </c>
    </row>
    <row r="2467">
      <c r="A2467" s="23">
        <v>29647.0</v>
      </c>
      <c r="B2467" s="24" t="str">
        <f t="array" ref="B2467">xlookup($A2467,product!$A:$A,product!B:B)</f>
        <v>Beauté &amp; Hygiène</v>
      </c>
      <c r="C2467" s="24" t="str">
        <f t="array" ref="C2467">xlookup($A2467,product!$A:$A,product!C:C)</f>
        <v>Soins du visage</v>
      </c>
      <c r="D2467" s="24" t="str">
        <f t="array" ref="D2467">xlookup($A2467,product!$A:$A,product!D:D)</f>
        <v>Peaux sèches et sensibles</v>
      </c>
      <c r="E2467" s="25" t="str">
        <f t="shared" si="1"/>
        <v>29647-Soins du visage-Peaux sèches et sensibles</v>
      </c>
      <c r="F2467" s="25">
        <v>1.0</v>
      </c>
      <c r="G2467" s="25">
        <v>589.0</v>
      </c>
      <c r="H2467" s="25">
        <v>513.0</v>
      </c>
      <c r="I2467" s="26">
        <f t="array" ref="I2467">XLOOKUP($A2467,product!A:A,product!E:E)</f>
        <v>3.25</v>
      </c>
      <c r="J2467" s="25">
        <f t="shared" si="2"/>
        <v>1667.25</v>
      </c>
      <c r="K2467" s="27">
        <f t="shared" si="3"/>
        <v>1</v>
      </c>
      <c r="L2467" s="25">
        <f t="shared" si="4"/>
        <v>1</v>
      </c>
    </row>
    <row r="2468">
      <c r="A2468" s="19">
        <v>121857.0</v>
      </c>
      <c r="B2468" s="20" t="str">
        <f t="array" ref="B2468">xlookup($A2468,product!$A:$A,product!B:B)</f>
        <v>Beauté &amp; Hygiène</v>
      </c>
      <c r="C2468" s="20" t="str">
        <f t="array" ref="C2468">xlookup($A2468,product!$A:$A,product!C:C)</f>
        <v>Soins du visage</v>
      </c>
      <c r="D2468" s="20" t="str">
        <f t="array" ref="D2468">xlookup($A2468,product!$A:$A,product!D:D)</f>
        <v>Démaquillants et nettoyants</v>
      </c>
      <c r="E2468" s="4" t="str">
        <f t="shared" si="1"/>
        <v>121857-Soins du visage-Démaquillants et nettoyants</v>
      </c>
      <c r="F2468" s="4">
        <v>0.0</v>
      </c>
      <c r="G2468" s="4">
        <v>976.0</v>
      </c>
      <c r="H2468" s="4">
        <v>884.0</v>
      </c>
      <c r="I2468" s="21">
        <f t="array" ref="I2468">XLOOKUP($A2468,product!A:A,product!E:E)</f>
        <v>6.85</v>
      </c>
      <c r="J2468" s="4">
        <f t="shared" si="2"/>
        <v>6055.4</v>
      </c>
      <c r="K2468" s="22">
        <f t="shared" si="3"/>
        <v>1</v>
      </c>
      <c r="L2468" s="4">
        <f t="shared" si="4"/>
        <v>1</v>
      </c>
    </row>
    <row r="2469">
      <c r="A2469" s="23">
        <v>129484.0</v>
      </c>
      <c r="B2469" s="24" t="str">
        <f t="array" ref="B2469">xlookup($A2469,product!$A:$A,product!B:B)</f>
        <v>Beauté &amp; Hygiène</v>
      </c>
      <c r="C2469" s="24" t="str">
        <f t="array" ref="C2469">xlookup($A2469,product!$A:$A,product!C:C)</f>
        <v>Soins du visage</v>
      </c>
      <c r="D2469" s="24" t="str">
        <f t="array" ref="D2469">xlookup($A2469,product!$A:$A,product!D:D)</f>
        <v>Démaquillants et nettoyants</v>
      </c>
      <c r="E2469" s="25" t="str">
        <f t="shared" si="1"/>
        <v>129484-Soins du visage-Démaquillants et nettoyants</v>
      </c>
      <c r="F2469" s="25">
        <v>0.0</v>
      </c>
      <c r="G2469" s="25">
        <v>665.0</v>
      </c>
      <c r="H2469" s="25">
        <v>145.0</v>
      </c>
      <c r="I2469" s="26">
        <f t="array" ref="I2469">XLOOKUP($A2469,product!A:A,product!E:E)</f>
        <v>4.04</v>
      </c>
      <c r="J2469" s="25">
        <f t="shared" si="2"/>
        <v>585.8</v>
      </c>
      <c r="K2469" s="27">
        <f t="shared" si="3"/>
        <v>1</v>
      </c>
      <c r="L2469" s="25">
        <f t="shared" si="4"/>
        <v>1</v>
      </c>
    </row>
    <row r="2470">
      <c r="A2470" s="19">
        <v>122405.0</v>
      </c>
      <c r="B2470" s="20" t="str">
        <f t="array" ref="B2470">xlookup($A2470,product!$A:$A,product!B:B)</f>
        <v>Beauté &amp; Hygiène</v>
      </c>
      <c r="C2470" s="20" t="str">
        <f t="array" ref="C2470">xlookup($A2470,product!$A:$A,product!C:C)</f>
        <v>Soins du visage</v>
      </c>
      <c r="D2470" s="20" t="str">
        <f t="array" ref="D2470">xlookup($A2470,product!$A:$A,product!D:D)</f>
        <v>Démaquillants et nettoyants</v>
      </c>
      <c r="E2470" s="4" t="str">
        <f t="shared" si="1"/>
        <v>122405-Soins du visage-Démaquillants et nettoyants</v>
      </c>
      <c r="F2470" s="4">
        <v>0.0</v>
      </c>
      <c r="G2470" s="4">
        <v>38.0</v>
      </c>
      <c r="H2470" s="4">
        <v>8.0</v>
      </c>
      <c r="I2470" s="21">
        <f t="array" ref="I2470">XLOOKUP($A2470,product!A:A,product!E:E)</f>
        <v>2.74</v>
      </c>
      <c r="J2470" s="4">
        <f t="shared" si="2"/>
        <v>21.92</v>
      </c>
      <c r="K2470" s="22">
        <f t="shared" si="3"/>
        <v>1</v>
      </c>
      <c r="L2470" s="4">
        <f t="shared" si="4"/>
        <v>1</v>
      </c>
    </row>
    <row r="2471">
      <c r="A2471" s="23">
        <v>108690.0</v>
      </c>
      <c r="B2471" s="24" t="str">
        <f t="array" ref="B2471">xlookup($A2471,product!$A:$A,product!B:B)</f>
        <v>Beauté &amp; Hygiène</v>
      </c>
      <c r="C2471" s="24" t="str">
        <f t="array" ref="C2471">xlookup($A2471,product!$A:$A,product!C:C)</f>
        <v>Soins du visage</v>
      </c>
      <c r="D2471" s="24" t="str">
        <f t="array" ref="D2471">xlookup($A2471,product!$A:$A,product!D:D)</f>
        <v>Démaquillants et nettoyants</v>
      </c>
      <c r="E2471" s="25" t="str">
        <f t="shared" si="1"/>
        <v>108690-Soins du visage-Démaquillants et nettoyants</v>
      </c>
      <c r="F2471" s="25">
        <v>1.0</v>
      </c>
      <c r="G2471" s="25">
        <v>502.0</v>
      </c>
      <c r="H2471" s="25">
        <v>126.0</v>
      </c>
      <c r="I2471" s="26">
        <f t="array" ref="I2471">XLOOKUP($A2471,product!A:A,product!E:E)</f>
        <v>6.8</v>
      </c>
      <c r="J2471" s="25">
        <f t="shared" si="2"/>
        <v>856.8</v>
      </c>
      <c r="K2471" s="27">
        <f t="shared" si="3"/>
        <v>1</v>
      </c>
      <c r="L2471" s="25">
        <f t="shared" si="4"/>
        <v>1</v>
      </c>
    </row>
    <row r="2472">
      <c r="A2472" s="19">
        <v>11726.0</v>
      </c>
      <c r="B2472" s="20" t="str">
        <f t="array" ref="B2472">xlookup($A2472,product!$A:$A,product!B:B)</f>
        <v>Beauté &amp; Hygiène</v>
      </c>
      <c r="C2472" s="20" t="str">
        <f t="array" ref="C2472">xlookup($A2472,product!$A:$A,product!C:C)</f>
        <v>Soins du visage</v>
      </c>
      <c r="D2472" s="20" t="str">
        <f t="array" ref="D2472">xlookup($A2472,product!$A:$A,product!D:D)</f>
        <v>Démaquillants et nettoyants</v>
      </c>
      <c r="E2472" s="4" t="str">
        <f t="shared" si="1"/>
        <v>11726-Soins du visage-Démaquillants et nettoyants</v>
      </c>
      <c r="F2472" s="4">
        <v>0.0</v>
      </c>
      <c r="G2472" s="4">
        <v>301.0</v>
      </c>
      <c r="H2472" s="4">
        <v>295.0</v>
      </c>
      <c r="I2472" s="21">
        <f t="array" ref="I2472">XLOOKUP($A2472,product!A:A,product!E:E)</f>
        <v>5.04</v>
      </c>
      <c r="J2472" s="4">
        <f t="shared" si="2"/>
        <v>1486.8</v>
      </c>
      <c r="K2472" s="22">
        <f t="shared" si="3"/>
        <v>1</v>
      </c>
      <c r="L2472" s="4">
        <f t="shared" si="4"/>
        <v>1</v>
      </c>
    </row>
    <row r="2473">
      <c r="A2473" s="23">
        <v>109074.0</v>
      </c>
      <c r="B2473" s="24" t="str">
        <f t="array" ref="B2473">xlookup($A2473,product!$A:$A,product!B:B)</f>
        <v>Beauté &amp; Hygiène</v>
      </c>
      <c r="C2473" s="24" t="str">
        <f t="array" ref="C2473">xlookup($A2473,product!$A:$A,product!C:C)</f>
        <v>Soins du visage</v>
      </c>
      <c r="D2473" s="24" t="str">
        <f t="array" ref="D2473">xlookup($A2473,product!$A:$A,product!D:D)</f>
        <v>Démaquillants et nettoyants</v>
      </c>
      <c r="E2473" s="25" t="str">
        <f t="shared" si="1"/>
        <v>109074-Soins du visage-Démaquillants et nettoyants</v>
      </c>
      <c r="F2473" s="25">
        <v>0.0</v>
      </c>
      <c r="G2473" s="25">
        <v>949.0</v>
      </c>
      <c r="H2473" s="25">
        <v>310.0</v>
      </c>
      <c r="I2473" s="26">
        <f t="array" ref="I2473">XLOOKUP($A2473,product!A:A,product!E:E)</f>
        <v>4.42</v>
      </c>
      <c r="J2473" s="25">
        <f t="shared" si="2"/>
        <v>1370.2</v>
      </c>
      <c r="K2473" s="27">
        <f t="shared" si="3"/>
        <v>1</v>
      </c>
      <c r="L2473" s="25">
        <f t="shared" si="4"/>
        <v>1</v>
      </c>
    </row>
    <row r="2474">
      <c r="A2474" s="19">
        <v>75818.0</v>
      </c>
      <c r="B2474" s="20" t="str">
        <f t="array" ref="B2474">xlookup($A2474,product!$A:$A,product!B:B)</f>
        <v>Beauté &amp; Hygiène</v>
      </c>
      <c r="C2474" s="20" t="str">
        <f t="array" ref="C2474">xlookup($A2474,product!$A:$A,product!C:C)</f>
        <v>Soins du visage</v>
      </c>
      <c r="D2474" s="20" t="str">
        <f t="array" ref="D2474">xlookup($A2474,product!$A:$A,product!D:D)</f>
        <v>Démaquillants et nettoyants</v>
      </c>
      <c r="E2474" s="4" t="str">
        <f t="shared" si="1"/>
        <v>75818-Soins du visage-Démaquillants et nettoyants</v>
      </c>
      <c r="F2474" s="4">
        <v>1.0</v>
      </c>
      <c r="G2474" s="4">
        <v>577.0</v>
      </c>
      <c r="H2474" s="4">
        <v>142.0</v>
      </c>
      <c r="I2474" s="21">
        <f t="array" ref="I2474">XLOOKUP($A2474,product!A:A,product!E:E)</f>
        <v>8.96</v>
      </c>
      <c r="J2474" s="4">
        <f t="shared" si="2"/>
        <v>1272.32</v>
      </c>
      <c r="K2474" s="22">
        <f t="shared" si="3"/>
        <v>1</v>
      </c>
      <c r="L2474" s="4">
        <f t="shared" si="4"/>
        <v>1</v>
      </c>
    </row>
    <row r="2475">
      <c r="A2475" s="23">
        <v>10663.0</v>
      </c>
      <c r="B2475" s="24" t="str">
        <f t="array" ref="B2475">xlookup($A2475,product!$A:$A,product!B:B)</f>
        <v>Beauté &amp; Hygiène</v>
      </c>
      <c r="C2475" s="24" t="str">
        <f t="array" ref="C2475">xlookup($A2475,product!$A:$A,product!C:C)</f>
        <v>Soins du visage</v>
      </c>
      <c r="D2475" s="24" t="str">
        <f t="array" ref="D2475">xlookup($A2475,product!$A:$A,product!D:D)</f>
        <v>Démaquillants et nettoyants</v>
      </c>
      <c r="E2475" s="25" t="str">
        <f t="shared" si="1"/>
        <v>10663-Soins du visage-Démaquillants et nettoyants</v>
      </c>
      <c r="F2475" s="25">
        <v>0.0</v>
      </c>
      <c r="G2475" s="25">
        <v>752.0</v>
      </c>
      <c r="H2475" s="25">
        <v>241.0</v>
      </c>
      <c r="I2475" s="26">
        <f t="array" ref="I2475">XLOOKUP($A2475,product!A:A,product!E:E)</f>
        <v>4.14</v>
      </c>
      <c r="J2475" s="25">
        <f t="shared" si="2"/>
        <v>997.74</v>
      </c>
      <c r="K2475" s="27">
        <f t="shared" si="3"/>
        <v>1</v>
      </c>
      <c r="L2475" s="25">
        <f t="shared" si="4"/>
        <v>1</v>
      </c>
    </row>
    <row r="2476">
      <c r="A2476" s="19">
        <v>9667.0</v>
      </c>
      <c r="B2476" s="20" t="str">
        <f t="array" ref="B2476">xlookup($A2476,product!$A:$A,product!B:B)</f>
        <v>Beauté &amp; Hygiène</v>
      </c>
      <c r="C2476" s="20" t="str">
        <f t="array" ref="C2476">xlookup($A2476,product!$A:$A,product!C:C)</f>
        <v>Soins du visage</v>
      </c>
      <c r="D2476" s="20" t="str">
        <f t="array" ref="D2476">xlookup($A2476,product!$A:$A,product!D:D)</f>
        <v>Démaquillants et nettoyants</v>
      </c>
      <c r="E2476" s="4" t="str">
        <f t="shared" si="1"/>
        <v>9667-Soins du visage-Démaquillants et nettoyants</v>
      </c>
      <c r="F2476" s="4">
        <v>0.0</v>
      </c>
      <c r="G2476" s="4">
        <v>429.0</v>
      </c>
      <c r="H2476" s="4">
        <v>69.0</v>
      </c>
      <c r="I2476" s="21">
        <f t="array" ref="I2476">XLOOKUP($A2476,product!A:A,product!E:E)</f>
        <v>5.21</v>
      </c>
      <c r="J2476" s="4">
        <f t="shared" si="2"/>
        <v>359.49</v>
      </c>
      <c r="K2476" s="22">
        <f t="shared" si="3"/>
        <v>1</v>
      </c>
      <c r="L2476" s="4">
        <f t="shared" si="4"/>
        <v>1</v>
      </c>
    </row>
    <row r="2477">
      <c r="A2477" s="23">
        <v>109073.0</v>
      </c>
      <c r="B2477" s="24" t="str">
        <f t="array" ref="B2477">xlookup($A2477,product!$A:$A,product!B:B)</f>
        <v>Beauté &amp; Hygiène</v>
      </c>
      <c r="C2477" s="24" t="str">
        <f t="array" ref="C2477">xlookup($A2477,product!$A:$A,product!C:C)</f>
        <v>Soins du visage</v>
      </c>
      <c r="D2477" s="24" t="str">
        <f t="array" ref="D2477">xlookup($A2477,product!$A:$A,product!D:D)</f>
        <v>Démaquillants et nettoyants</v>
      </c>
      <c r="E2477" s="25" t="str">
        <f t="shared" si="1"/>
        <v>109073-Soins du visage-Démaquillants et nettoyants</v>
      </c>
      <c r="F2477" s="25">
        <v>0.0</v>
      </c>
      <c r="G2477" s="25">
        <v>163.0</v>
      </c>
      <c r="H2477" s="25">
        <v>91.0</v>
      </c>
      <c r="I2477" s="26">
        <f t="array" ref="I2477">XLOOKUP($A2477,product!A:A,product!E:E)</f>
        <v>4.42</v>
      </c>
      <c r="J2477" s="25">
        <f t="shared" si="2"/>
        <v>402.22</v>
      </c>
      <c r="K2477" s="27">
        <f t="shared" si="3"/>
        <v>1</v>
      </c>
      <c r="L2477" s="25">
        <f t="shared" si="4"/>
        <v>1</v>
      </c>
    </row>
    <row r="2478">
      <c r="A2478" s="19">
        <v>11731.0</v>
      </c>
      <c r="B2478" s="20" t="str">
        <f t="array" ref="B2478">xlookup($A2478,product!$A:$A,product!B:B)</f>
        <v>Beauté &amp; Hygiène</v>
      </c>
      <c r="C2478" s="20" t="str">
        <f t="array" ref="C2478">xlookup($A2478,product!$A:$A,product!C:C)</f>
        <v>Soins du visage</v>
      </c>
      <c r="D2478" s="20" t="str">
        <f t="array" ref="D2478">xlookup($A2478,product!$A:$A,product!D:D)</f>
        <v>Démaquillants et nettoyants</v>
      </c>
      <c r="E2478" s="4" t="str">
        <f t="shared" si="1"/>
        <v>11731-Soins du visage-Démaquillants et nettoyants</v>
      </c>
      <c r="F2478" s="4">
        <v>0.0</v>
      </c>
      <c r="G2478" s="4">
        <v>391.0</v>
      </c>
      <c r="H2478" s="4">
        <v>115.0</v>
      </c>
      <c r="I2478" s="21">
        <f t="array" ref="I2478">XLOOKUP($A2478,product!A:A,product!E:E)</f>
        <v>5.84</v>
      </c>
      <c r="J2478" s="4">
        <f t="shared" si="2"/>
        <v>671.6</v>
      </c>
      <c r="K2478" s="22">
        <f t="shared" si="3"/>
        <v>1</v>
      </c>
      <c r="L2478" s="4">
        <f t="shared" si="4"/>
        <v>1</v>
      </c>
    </row>
    <row r="2479">
      <c r="A2479" s="23">
        <v>155869.0</v>
      </c>
      <c r="B2479" s="24" t="str">
        <f t="array" ref="B2479">xlookup($A2479,product!$A:$A,product!B:B)</f>
        <v>Beauté &amp; Hygiène</v>
      </c>
      <c r="C2479" s="24" t="str">
        <f t="array" ref="C2479">xlookup($A2479,product!$A:$A,product!C:C)</f>
        <v>Soins du visage</v>
      </c>
      <c r="D2479" s="24" t="str">
        <f t="array" ref="D2479">xlookup($A2479,product!$A:$A,product!D:D)</f>
        <v>Démaquillants et nettoyants</v>
      </c>
      <c r="E2479" s="25" t="str">
        <f t="shared" si="1"/>
        <v>155869-Soins du visage-Démaquillants et nettoyants</v>
      </c>
      <c r="F2479" s="25">
        <v>1.0</v>
      </c>
      <c r="G2479" s="25">
        <v>960.0</v>
      </c>
      <c r="H2479" s="25">
        <v>606.0</v>
      </c>
      <c r="I2479" s="26">
        <f t="array" ref="I2479">XLOOKUP($A2479,product!A:A,product!E:E)</f>
        <v>5.6</v>
      </c>
      <c r="J2479" s="25">
        <f t="shared" si="2"/>
        <v>3393.6</v>
      </c>
      <c r="K2479" s="27">
        <f t="shared" si="3"/>
        <v>1</v>
      </c>
      <c r="L2479" s="25">
        <f t="shared" si="4"/>
        <v>1</v>
      </c>
    </row>
    <row r="2480">
      <c r="A2480" s="19">
        <v>118982.0</v>
      </c>
      <c r="B2480" s="20" t="str">
        <f t="array" ref="B2480">xlookup($A2480,product!$A:$A,product!B:B)</f>
        <v>Beauté &amp; Hygiène</v>
      </c>
      <c r="C2480" s="20" t="str">
        <f t="array" ref="C2480">xlookup($A2480,product!$A:$A,product!C:C)</f>
        <v>Soins du visage</v>
      </c>
      <c r="D2480" s="20" t="str">
        <f t="array" ref="D2480">xlookup($A2480,product!$A:$A,product!D:D)</f>
        <v>Démaquillants et nettoyants</v>
      </c>
      <c r="E2480" s="4" t="str">
        <f t="shared" si="1"/>
        <v>118982-Soins du visage-Démaquillants et nettoyants</v>
      </c>
      <c r="F2480" s="4">
        <v>1.0</v>
      </c>
      <c r="G2480" s="4">
        <v>257.0</v>
      </c>
      <c r="H2480" s="4">
        <v>35.0</v>
      </c>
      <c r="I2480" s="21">
        <f t="array" ref="I2480">XLOOKUP($A2480,product!A:A,product!E:E)</f>
        <v>5.08</v>
      </c>
      <c r="J2480" s="4">
        <f t="shared" si="2"/>
        <v>177.8</v>
      </c>
      <c r="K2480" s="22">
        <f t="shared" si="3"/>
        <v>1</v>
      </c>
      <c r="L2480" s="4">
        <f t="shared" si="4"/>
        <v>1</v>
      </c>
    </row>
    <row r="2481">
      <c r="A2481" s="23">
        <v>29642.0</v>
      </c>
      <c r="B2481" s="24" t="str">
        <f t="array" ref="B2481">xlookup($A2481,product!$A:$A,product!B:B)</f>
        <v>Beauté &amp; Hygiène</v>
      </c>
      <c r="C2481" s="24" t="str">
        <f t="array" ref="C2481">xlookup($A2481,product!$A:$A,product!C:C)</f>
        <v>Soins du visage</v>
      </c>
      <c r="D2481" s="24" t="str">
        <f t="array" ref="D2481">xlookup($A2481,product!$A:$A,product!D:D)</f>
        <v>Démaquillants et nettoyants</v>
      </c>
      <c r="E2481" s="25" t="str">
        <f t="shared" si="1"/>
        <v>29642-Soins du visage-Démaquillants et nettoyants</v>
      </c>
      <c r="F2481" s="25">
        <v>0.0</v>
      </c>
      <c r="G2481" s="25">
        <v>179.0</v>
      </c>
      <c r="H2481" s="25">
        <v>121.0</v>
      </c>
      <c r="I2481" s="26">
        <f t="array" ref="I2481">XLOOKUP($A2481,product!A:A,product!E:E)</f>
        <v>3.34</v>
      </c>
      <c r="J2481" s="25">
        <f t="shared" si="2"/>
        <v>404.14</v>
      </c>
      <c r="K2481" s="27">
        <f t="shared" si="3"/>
        <v>1</v>
      </c>
      <c r="L2481" s="25">
        <f t="shared" si="4"/>
        <v>1</v>
      </c>
    </row>
    <row r="2482">
      <c r="A2482" s="19">
        <v>111774.0</v>
      </c>
      <c r="B2482" s="20" t="str">
        <f t="array" ref="B2482">xlookup($A2482,product!$A:$A,product!B:B)</f>
        <v>Beauté &amp; Hygiène</v>
      </c>
      <c r="C2482" s="20" t="str">
        <f t="array" ref="C2482">xlookup($A2482,product!$A:$A,product!C:C)</f>
        <v>Soins du visage</v>
      </c>
      <c r="D2482" s="20" t="str">
        <f t="array" ref="D2482">xlookup($A2482,product!$A:$A,product!D:D)</f>
        <v>Démaquillants et nettoyants</v>
      </c>
      <c r="E2482" s="4" t="str">
        <f t="shared" si="1"/>
        <v>111774-Soins du visage-Démaquillants et nettoyants</v>
      </c>
      <c r="F2482" s="4">
        <v>0.0</v>
      </c>
      <c r="G2482" s="4">
        <v>979.0</v>
      </c>
      <c r="H2482" s="4">
        <v>457.0</v>
      </c>
      <c r="I2482" s="21">
        <f t="array" ref="I2482">XLOOKUP($A2482,product!A:A,product!E:E)</f>
        <v>3.05</v>
      </c>
      <c r="J2482" s="4">
        <f t="shared" si="2"/>
        <v>1393.85</v>
      </c>
      <c r="K2482" s="22">
        <f t="shared" si="3"/>
        <v>1</v>
      </c>
      <c r="L2482" s="4">
        <f t="shared" si="4"/>
        <v>1</v>
      </c>
    </row>
    <row r="2483">
      <c r="A2483" s="23">
        <v>117290.0</v>
      </c>
      <c r="B2483" s="24" t="str">
        <f t="array" ref="B2483">xlookup($A2483,product!$A:$A,product!B:B)</f>
        <v>Beauté &amp; Hygiène</v>
      </c>
      <c r="C2483" s="24" t="str">
        <f t="array" ref="C2483">xlookup($A2483,product!$A:$A,product!C:C)</f>
        <v>Soins du visage</v>
      </c>
      <c r="D2483" s="24" t="str">
        <f t="array" ref="D2483">xlookup($A2483,product!$A:$A,product!D:D)</f>
        <v>Démaquillants et nettoyants</v>
      </c>
      <c r="E2483" s="25" t="str">
        <f t="shared" si="1"/>
        <v>117290-Soins du visage-Démaquillants et nettoyants</v>
      </c>
      <c r="F2483" s="25">
        <v>1.0</v>
      </c>
      <c r="G2483" s="25">
        <v>213.0</v>
      </c>
      <c r="H2483" s="25">
        <v>51.0</v>
      </c>
      <c r="I2483" s="26">
        <f t="array" ref="I2483">XLOOKUP($A2483,product!A:A,product!E:E)</f>
        <v>4.01</v>
      </c>
      <c r="J2483" s="25">
        <f t="shared" si="2"/>
        <v>204.51</v>
      </c>
      <c r="K2483" s="27">
        <f t="shared" si="3"/>
        <v>1</v>
      </c>
      <c r="L2483" s="25">
        <f t="shared" si="4"/>
        <v>1</v>
      </c>
    </row>
    <row r="2484">
      <c r="A2484" s="19">
        <v>105593.0</v>
      </c>
      <c r="B2484" s="20" t="str">
        <f t="array" ref="B2484">xlookup($A2484,product!$A:$A,product!B:B)</f>
        <v>Beauté &amp; Hygiène</v>
      </c>
      <c r="C2484" s="20" t="str">
        <f t="array" ref="C2484">xlookup($A2484,product!$A:$A,product!C:C)</f>
        <v>Soins du visage</v>
      </c>
      <c r="D2484" s="20" t="str">
        <f t="array" ref="D2484">xlookup($A2484,product!$A:$A,product!D:D)</f>
        <v>Démaquillants et nettoyants</v>
      </c>
      <c r="E2484" s="4" t="str">
        <f t="shared" si="1"/>
        <v>105593-Soins du visage-Démaquillants et nettoyants</v>
      </c>
      <c r="F2484" s="4">
        <v>0.0</v>
      </c>
      <c r="G2484" s="4">
        <v>336.0</v>
      </c>
      <c r="H2484" s="4">
        <v>332.0</v>
      </c>
      <c r="I2484" s="21">
        <f t="array" ref="I2484">XLOOKUP($A2484,product!A:A,product!E:E)</f>
        <v>7.42</v>
      </c>
      <c r="J2484" s="4">
        <f t="shared" si="2"/>
        <v>2463.44</v>
      </c>
      <c r="K2484" s="22">
        <f t="shared" si="3"/>
        <v>1</v>
      </c>
      <c r="L2484" s="4">
        <f t="shared" si="4"/>
        <v>1</v>
      </c>
    </row>
    <row r="2485">
      <c r="A2485" s="23">
        <v>70751.0</v>
      </c>
      <c r="B2485" s="24" t="str">
        <f t="array" ref="B2485">xlookup($A2485,product!$A:$A,product!B:B)</f>
        <v>Beauté &amp; Hygiène</v>
      </c>
      <c r="C2485" s="24" t="str">
        <f t="array" ref="C2485">xlookup($A2485,product!$A:$A,product!C:C)</f>
        <v>Soins du visage</v>
      </c>
      <c r="D2485" s="24" t="str">
        <f t="array" ref="D2485">xlookup($A2485,product!$A:$A,product!D:D)</f>
        <v>Démaquillants et nettoyants</v>
      </c>
      <c r="E2485" s="25" t="str">
        <f t="shared" si="1"/>
        <v>70751-Soins du visage-Démaquillants et nettoyants</v>
      </c>
      <c r="F2485" s="25">
        <v>0.0</v>
      </c>
      <c r="G2485" s="25">
        <v>942.0</v>
      </c>
      <c r="H2485" s="25">
        <v>829.0</v>
      </c>
      <c r="I2485" s="26">
        <f t="array" ref="I2485">XLOOKUP($A2485,product!A:A,product!E:E)</f>
        <v>5.53</v>
      </c>
      <c r="J2485" s="25">
        <f t="shared" si="2"/>
        <v>4584.37</v>
      </c>
      <c r="K2485" s="27">
        <f t="shared" si="3"/>
        <v>1</v>
      </c>
      <c r="L2485" s="25">
        <f t="shared" si="4"/>
        <v>1</v>
      </c>
    </row>
    <row r="2486">
      <c r="A2486" s="19">
        <v>118929.0</v>
      </c>
      <c r="B2486" s="20" t="str">
        <f t="array" ref="B2486">xlookup($A2486,product!$A:$A,product!B:B)</f>
        <v>Beauté &amp; Hygiène</v>
      </c>
      <c r="C2486" s="20" t="str">
        <f t="array" ref="C2486">xlookup($A2486,product!$A:$A,product!C:C)</f>
        <v>Soins du visage</v>
      </c>
      <c r="D2486" s="20" t="str">
        <f t="array" ref="D2486">xlookup($A2486,product!$A:$A,product!D:D)</f>
        <v>Démaquillants et nettoyants</v>
      </c>
      <c r="E2486" s="4" t="str">
        <f t="shared" si="1"/>
        <v>118929-Soins du visage-Démaquillants et nettoyants</v>
      </c>
      <c r="F2486" s="4">
        <v>0.0</v>
      </c>
      <c r="G2486" s="4">
        <v>853.0</v>
      </c>
      <c r="H2486" s="4">
        <v>615.0</v>
      </c>
      <c r="I2486" s="21">
        <f t="array" ref="I2486">XLOOKUP($A2486,product!A:A,product!E:E)</f>
        <v>5.12</v>
      </c>
      <c r="J2486" s="4">
        <f t="shared" si="2"/>
        <v>3148.8</v>
      </c>
      <c r="K2486" s="22">
        <f t="shared" si="3"/>
        <v>1</v>
      </c>
      <c r="L2486" s="4">
        <f t="shared" si="4"/>
        <v>1</v>
      </c>
    </row>
    <row r="2487">
      <c r="A2487" s="23">
        <v>70594.0</v>
      </c>
      <c r="B2487" s="24" t="str">
        <f t="array" ref="B2487">xlookup($A2487,product!$A:$A,product!B:B)</f>
        <v>Beauté &amp; Hygiène</v>
      </c>
      <c r="C2487" s="24" t="str">
        <f t="array" ref="C2487">xlookup($A2487,product!$A:$A,product!C:C)</f>
        <v>Soins du visage</v>
      </c>
      <c r="D2487" s="24" t="str">
        <f t="array" ref="D2487">xlookup($A2487,product!$A:$A,product!D:D)</f>
        <v>Démaquillants et nettoyants</v>
      </c>
      <c r="E2487" s="25" t="str">
        <f t="shared" si="1"/>
        <v>70594-Soins du visage-Démaquillants et nettoyants</v>
      </c>
      <c r="F2487" s="25">
        <v>1.0</v>
      </c>
      <c r="G2487" s="25">
        <v>2.0</v>
      </c>
      <c r="H2487" s="25">
        <v>0.0</v>
      </c>
      <c r="I2487" s="26">
        <f t="array" ref="I2487">XLOOKUP($A2487,product!A:A,product!E:E)</f>
        <v>5.53</v>
      </c>
      <c r="J2487" s="25">
        <f t="shared" si="2"/>
        <v>0</v>
      </c>
      <c r="K2487" s="27">
        <f t="shared" si="3"/>
        <v>0</v>
      </c>
      <c r="L2487" s="25">
        <f t="shared" si="4"/>
        <v>1</v>
      </c>
    </row>
    <row r="2488">
      <c r="A2488" s="19">
        <v>118270.0</v>
      </c>
      <c r="B2488" s="20" t="str">
        <f t="array" ref="B2488">xlookup($A2488,product!$A:$A,product!B:B)</f>
        <v>Beauté &amp; Hygiène</v>
      </c>
      <c r="C2488" s="20" t="str">
        <f t="array" ref="C2488">xlookup($A2488,product!$A:$A,product!C:C)</f>
        <v>Soins du visage</v>
      </c>
      <c r="D2488" s="20" t="str">
        <f t="array" ref="D2488">xlookup($A2488,product!$A:$A,product!D:D)</f>
        <v>Démaquillants et nettoyants</v>
      </c>
      <c r="E2488" s="4" t="str">
        <f t="shared" si="1"/>
        <v>118270-Soins du visage-Démaquillants et nettoyants</v>
      </c>
      <c r="F2488" s="4">
        <v>0.0</v>
      </c>
      <c r="G2488" s="4">
        <v>494.0</v>
      </c>
      <c r="H2488" s="4">
        <v>278.0</v>
      </c>
      <c r="I2488" s="21">
        <f t="array" ref="I2488">XLOOKUP($A2488,product!A:A,product!E:E)</f>
        <v>3.29</v>
      </c>
      <c r="J2488" s="4">
        <f t="shared" si="2"/>
        <v>914.62</v>
      </c>
      <c r="K2488" s="22">
        <f t="shared" si="3"/>
        <v>1</v>
      </c>
      <c r="L2488" s="4">
        <f t="shared" si="4"/>
        <v>1</v>
      </c>
    </row>
    <row r="2489">
      <c r="A2489" s="23">
        <v>20584.0</v>
      </c>
      <c r="B2489" s="24" t="str">
        <f t="array" ref="B2489">xlookup($A2489,product!$A:$A,product!B:B)</f>
        <v>Beauté &amp; Hygiène</v>
      </c>
      <c r="C2489" s="24" t="str">
        <f t="array" ref="C2489">xlookup($A2489,product!$A:$A,product!C:C)</f>
        <v>Soins du visage</v>
      </c>
      <c r="D2489" s="24" t="str">
        <f t="array" ref="D2489">xlookup($A2489,product!$A:$A,product!D:D)</f>
        <v>Démaquillants et nettoyants</v>
      </c>
      <c r="E2489" s="25" t="str">
        <f t="shared" si="1"/>
        <v>20584-Soins du visage-Démaquillants et nettoyants</v>
      </c>
      <c r="F2489" s="25">
        <v>0.0</v>
      </c>
      <c r="G2489" s="25">
        <v>878.0</v>
      </c>
      <c r="H2489" s="25">
        <v>639.0</v>
      </c>
      <c r="I2489" s="26">
        <f t="array" ref="I2489">XLOOKUP($A2489,product!A:A,product!E:E)</f>
        <v>8.55</v>
      </c>
      <c r="J2489" s="25">
        <f t="shared" si="2"/>
        <v>5463.45</v>
      </c>
      <c r="K2489" s="27">
        <f t="shared" si="3"/>
        <v>1</v>
      </c>
      <c r="L2489" s="25">
        <f t="shared" si="4"/>
        <v>1</v>
      </c>
    </row>
    <row r="2490">
      <c r="A2490" s="19">
        <v>150541.0</v>
      </c>
      <c r="B2490" s="20" t="str">
        <f t="array" ref="B2490">xlookup($A2490,product!$A:$A,product!B:B)</f>
        <v>Beauté &amp; Hygiène</v>
      </c>
      <c r="C2490" s="20" t="str">
        <f t="array" ref="C2490">xlookup($A2490,product!$A:$A,product!C:C)</f>
        <v>Soins du visage</v>
      </c>
      <c r="D2490" s="20" t="str">
        <f t="array" ref="D2490">xlookup($A2490,product!$A:$A,product!D:D)</f>
        <v>Démaquillants et nettoyants</v>
      </c>
      <c r="E2490" s="4" t="str">
        <f t="shared" si="1"/>
        <v>150541-Soins du visage-Démaquillants et nettoyants</v>
      </c>
      <c r="F2490" s="4">
        <v>0.0</v>
      </c>
      <c r="G2490" s="4">
        <v>173.0</v>
      </c>
      <c r="H2490" s="4">
        <v>100.0</v>
      </c>
      <c r="I2490" s="21">
        <f t="array" ref="I2490">XLOOKUP($A2490,product!A:A,product!E:E)</f>
        <v>3.87</v>
      </c>
      <c r="J2490" s="4">
        <f t="shared" si="2"/>
        <v>387</v>
      </c>
      <c r="K2490" s="22">
        <f t="shared" si="3"/>
        <v>1</v>
      </c>
      <c r="L2490" s="4">
        <f t="shared" si="4"/>
        <v>1</v>
      </c>
    </row>
    <row r="2491">
      <c r="A2491" s="23">
        <v>12633.0</v>
      </c>
      <c r="B2491" s="24" t="str">
        <f t="array" ref="B2491">xlookup($A2491,product!$A:$A,product!B:B)</f>
        <v>Beauté &amp; Hygiène</v>
      </c>
      <c r="C2491" s="24" t="str">
        <f t="array" ref="C2491">xlookup($A2491,product!$A:$A,product!C:C)</f>
        <v>Soins du visage</v>
      </c>
      <c r="D2491" s="24" t="str">
        <f t="array" ref="D2491">xlookup($A2491,product!$A:$A,product!D:D)</f>
        <v>Démaquillants et nettoyants</v>
      </c>
      <c r="E2491" s="25" t="str">
        <f t="shared" si="1"/>
        <v>12633-Soins du visage-Démaquillants et nettoyants</v>
      </c>
      <c r="F2491" s="25">
        <v>0.0</v>
      </c>
      <c r="G2491" s="25">
        <v>177.0</v>
      </c>
      <c r="H2491" s="25">
        <v>144.0</v>
      </c>
      <c r="I2491" s="26">
        <f t="array" ref="I2491">XLOOKUP($A2491,product!A:A,product!E:E)</f>
        <v>5.36</v>
      </c>
      <c r="J2491" s="25">
        <f t="shared" si="2"/>
        <v>771.84</v>
      </c>
      <c r="K2491" s="27">
        <f t="shared" si="3"/>
        <v>1</v>
      </c>
      <c r="L2491" s="25">
        <f t="shared" si="4"/>
        <v>1</v>
      </c>
    </row>
    <row r="2492">
      <c r="A2492" s="19">
        <v>9666.0</v>
      </c>
      <c r="B2492" s="20" t="str">
        <f t="array" ref="B2492">xlookup($A2492,product!$A:$A,product!B:B)</f>
        <v>Beauté &amp; Hygiène</v>
      </c>
      <c r="C2492" s="20" t="str">
        <f t="array" ref="C2492">xlookup($A2492,product!$A:$A,product!C:C)</f>
        <v>Soins du visage</v>
      </c>
      <c r="D2492" s="20" t="str">
        <f t="array" ref="D2492">xlookup($A2492,product!$A:$A,product!D:D)</f>
        <v>Démaquillants et nettoyants</v>
      </c>
      <c r="E2492" s="4" t="str">
        <f t="shared" si="1"/>
        <v>9666-Soins du visage-Démaquillants et nettoyants</v>
      </c>
      <c r="F2492" s="4">
        <v>0.0</v>
      </c>
      <c r="G2492" s="4">
        <v>504.0</v>
      </c>
      <c r="H2492" s="4">
        <v>164.0</v>
      </c>
      <c r="I2492" s="21">
        <f t="array" ref="I2492">XLOOKUP($A2492,product!A:A,product!E:E)</f>
        <v>3.79</v>
      </c>
      <c r="J2492" s="4">
        <f t="shared" si="2"/>
        <v>621.56</v>
      </c>
      <c r="K2492" s="22">
        <f t="shared" si="3"/>
        <v>1</v>
      </c>
      <c r="L2492" s="4">
        <f t="shared" si="4"/>
        <v>1</v>
      </c>
    </row>
    <row r="2493">
      <c r="A2493" s="23">
        <v>79940.0</v>
      </c>
      <c r="B2493" s="24" t="str">
        <f t="array" ref="B2493">xlookup($A2493,product!$A:$A,product!B:B)</f>
        <v>Beauté &amp; Hygiène</v>
      </c>
      <c r="C2493" s="24" t="str">
        <f t="array" ref="C2493">xlookup($A2493,product!$A:$A,product!C:C)</f>
        <v>Soins du visage</v>
      </c>
      <c r="D2493" s="24" t="str">
        <f t="array" ref="D2493">xlookup($A2493,product!$A:$A,product!D:D)</f>
        <v>Démaquillants et nettoyants</v>
      </c>
      <c r="E2493" s="25" t="str">
        <f t="shared" si="1"/>
        <v>79940-Soins du visage-Démaquillants et nettoyants</v>
      </c>
      <c r="F2493" s="25">
        <v>1.0</v>
      </c>
      <c r="G2493" s="25">
        <v>216.0</v>
      </c>
      <c r="H2493" s="25">
        <v>36.0</v>
      </c>
      <c r="I2493" s="26">
        <f t="array" ref="I2493">XLOOKUP($A2493,product!A:A,product!E:E)</f>
        <v>2.66</v>
      </c>
      <c r="J2493" s="25">
        <f t="shared" si="2"/>
        <v>95.76</v>
      </c>
      <c r="K2493" s="27">
        <f t="shared" si="3"/>
        <v>1</v>
      </c>
      <c r="L2493" s="25">
        <f t="shared" si="4"/>
        <v>1</v>
      </c>
    </row>
    <row r="2494">
      <c r="A2494" s="19">
        <v>201198.0</v>
      </c>
      <c r="B2494" s="20" t="str">
        <f t="array" ref="B2494">xlookup($A2494,product!$A:$A,product!B:B)</f>
        <v>Beauté &amp; Hygiène</v>
      </c>
      <c r="C2494" s="20" t="str">
        <f t="array" ref="C2494">xlookup($A2494,product!$A:$A,product!C:C)</f>
        <v>Soins du visage</v>
      </c>
      <c r="D2494" s="20" t="str">
        <f t="array" ref="D2494">xlookup($A2494,product!$A:$A,product!D:D)</f>
        <v>Démaquillants et nettoyants</v>
      </c>
      <c r="E2494" s="4" t="str">
        <f t="shared" si="1"/>
        <v>201198-Soins du visage-Démaquillants et nettoyants</v>
      </c>
      <c r="F2494" s="4">
        <v>0.0</v>
      </c>
      <c r="G2494" s="4">
        <v>81.0</v>
      </c>
      <c r="H2494" s="4">
        <v>2.0</v>
      </c>
      <c r="I2494" s="21">
        <f t="array" ref="I2494">XLOOKUP($A2494,product!A:A,product!E:E)</f>
        <v>6.09</v>
      </c>
      <c r="J2494" s="4">
        <f t="shared" si="2"/>
        <v>12.18</v>
      </c>
      <c r="K2494" s="22">
        <f t="shared" si="3"/>
        <v>1</v>
      </c>
      <c r="L2494" s="4">
        <f t="shared" si="4"/>
        <v>1</v>
      </c>
    </row>
    <row r="2495">
      <c r="A2495" s="23">
        <v>117268.0</v>
      </c>
      <c r="B2495" s="24" t="str">
        <f t="array" ref="B2495">xlookup($A2495,product!$A:$A,product!B:B)</f>
        <v>Beauté &amp; Hygiène</v>
      </c>
      <c r="C2495" s="24" t="str">
        <f t="array" ref="C2495">xlookup($A2495,product!$A:$A,product!C:C)</f>
        <v>Soins du visage</v>
      </c>
      <c r="D2495" s="24" t="str">
        <f t="array" ref="D2495">xlookup($A2495,product!$A:$A,product!D:D)</f>
        <v>Démaquillants et nettoyants</v>
      </c>
      <c r="E2495" s="25" t="str">
        <f t="shared" si="1"/>
        <v>117268-Soins du visage-Démaquillants et nettoyants</v>
      </c>
      <c r="F2495" s="25">
        <v>1.0</v>
      </c>
      <c r="G2495" s="25">
        <v>774.0</v>
      </c>
      <c r="H2495" s="25">
        <v>487.0</v>
      </c>
      <c r="I2495" s="26">
        <f t="array" ref="I2495">XLOOKUP($A2495,product!A:A,product!E:E)</f>
        <v>3.32</v>
      </c>
      <c r="J2495" s="25">
        <f t="shared" si="2"/>
        <v>1616.84</v>
      </c>
      <c r="K2495" s="27">
        <f t="shared" si="3"/>
        <v>1</v>
      </c>
      <c r="L2495" s="25">
        <f t="shared" si="4"/>
        <v>1</v>
      </c>
    </row>
    <row r="2496">
      <c r="A2496" s="19">
        <v>80623.0</v>
      </c>
      <c r="B2496" s="20" t="str">
        <f t="array" ref="B2496">xlookup($A2496,product!$A:$A,product!B:B)</f>
        <v>Beauté &amp; Hygiène</v>
      </c>
      <c r="C2496" s="20" t="str">
        <f t="array" ref="C2496">xlookup($A2496,product!$A:$A,product!C:C)</f>
        <v>Soins du visage</v>
      </c>
      <c r="D2496" s="20" t="str">
        <f t="array" ref="D2496">xlookup($A2496,product!$A:$A,product!D:D)</f>
        <v>Démaquillants et nettoyants</v>
      </c>
      <c r="E2496" s="4" t="str">
        <f t="shared" si="1"/>
        <v>80623-Soins du visage-Démaquillants et nettoyants</v>
      </c>
      <c r="F2496" s="4">
        <v>1.0</v>
      </c>
      <c r="G2496" s="4">
        <v>849.0</v>
      </c>
      <c r="H2496" s="4">
        <v>766.0</v>
      </c>
      <c r="I2496" s="21">
        <f t="array" ref="I2496">XLOOKUP($A2496,product!A:A,product!E:E)</f>
        <v>6.02</v>
      </c>
      <c r="J2496" s="4">
        <f t="shared" si="2"/>
        <v>4611.32</v>
      </c>
      <c r="K2496" s="22">
        <f t="shared" si="3"/>
        <v>1</v>
      </c>
      <c r="L2496" s="4">
        <f t="shared" si="4"/>
        <v>1</v>
      </c>
    </row>
    <row r="2497">
      <c r="A2497" s="23">
        <v>9698.0</v>
      </c>
      <c r="B2497" s="24" t="str">
        <f t="array" ref="B2497">xlookup($A2497,product!$A:$A,product!B:B)</f>
        <v>Beauté &amp; Hygiène</v>
      </c>
      <c r="C2497" s="24" t="str">
        <f t="array" ref="C2497">xlookup($A2497,product!$A:$A,product!C:C)</f>
        <v>Soins du visage</v>
      </c>
      <c r="D2497" s="24" t="str">
        <f t="array" ref="D2497">xlookup($A2497,product!$A:$A,product!D:D)</f>
        <v>Démaquillants et nettoyants</v>
      </c>
      <c r="E2497" s="25" t="str">
        <f t="shared" si="1"/>
        <v>9698-Soins du visage-Démaquillants et nettoyants</v>
      </c>
      <c r="F2497" s="25">
        <v>0.0</v>
      </c>
      <c r="G2497" s="25">
        <v>458.0</v>
      </c>
      <c r="H2497" s="25">
        <v>239.0</v>
      </c>
      <c r="I2497" s="26">
        <f t="array" ref="I2497">XLOOKUP($A2497,product!A:A,product!E:E)</f>
        <v>3.54</v>
      </c>
      <c r="J2497" s="25">
        <f t="shared" si="2"/>
        <v>846.06</v>
      </c>
      <c r="K2497" s="27">
        <f t="shared" si="3"/>
        <v>1</v>
      </c>
      <c r="L2497" s="25">
        <f t="shared" si="4"/>
        <v>1</v>
      </c>
    </row>
    <row r="2498">
      <c r="A2498" s="19">
        <v>83102.0</v>
      </c>
      <c r="B2498" s="20" t="str">
        <f t="array" ref="B2498">xlookup($A2498,product!$A:$A,product!B:B)</f>
        <v>Beauté &amp; Hygiène</v>
      </c>
      <c r="C2498" s="20" t="str">
        <f t="array" ref="C2498">xlookup($A2498,product!$A:$A,product!C:C)</f>
        <v>Soins du visage</v>
      </c>
      <c r="D2498" s="20" t="str">
        <f t="array" ref="D2498">xlookup($A2498,product!$A:$A,product!D:D)</f>
        <v>Démaquillants et nettoyants</v>
      </c>
      <c r="E2498" s="4" t="str">
        <f t="shared" si="1"/>
        <v>83102-Soins du visage-Démaquillants et nettoyants</v>
      </c>
      <c r="F2498" s="4">
        <v>1.0</v>
      </c>
      <c r="G2498" s="4">
        <v>831.0</v>
      </c>
      <c r="H2498" s="4">
        <v>657.0</v>
      </c>
      <c r="I2498" s="21">
        <f t="array" ref="I2498">XLOOKUP($A2498,product!A:A,product!E:E)</f>
        <v>2.47</v>
      </c>
      <c r="J2498" s="4">
        <f t="shared" si="2"/>
        <v>1622.79</v>
      </c>
      <c r="K2498" s="22">
        <f t="shared" si="3"/>
        <v>1</v>
      </c>
      <c r="L2498" s="4">
        <f t="shared" si="4"/>
        <v>1</v>
      </c>
    </row>
    <row r="2499">
      <c r="A2499" s="23">
        <v>118271.0</v>
      </c>
      <c r="B2499" s="24" t="str">
        <f t="array" ref="B2499">xlookup($A2499,product!$A:$A,product!B:B)</f>
        <v>Beauté &amp; Hygiène</v>
      </c>
      <c r="C2499" s="24" t="str">
        <f t="array" ref="C2499">xlookup($A2499,product!$A:$A,product!C:C)</f>
        <v>Soins du visage</v>
      </c>
      <c r="D2499" s="24" t="str">
        <f t="array" ref="D2499">xlookup($A2499,product!$A:$A,product!D:D)</f>
        <v>Démaquillants et nettoyants</v>
      </c>
      <c r="E2499" s="25" t="str">
        <f t="shared" si="1"/>
        <v>118271-Soins du visage-Démaquillants et nettoyants</v>
      </c>
      <c r="F2499" s="25">
        <v>0.0</v>
      </c>
      <c r="G2499" s="25">
        <v>538.0</v>
      </c>
      <c r="H2499" s="25">
        <v>23.0</v>
      </c>
      <c r="I2499" s="26">
        <f t="array" ref="I2499">XLOOKUP($A2499,product!A:A,product!E:E)</f>
        <v>3.37</v>
      </c>
      <c r="J2499" s="25">
        <f t="shared" si="2"/>
        <v>77.51</v>
      </c>
      <c r="K2499" s="27">
        <f t="shared" si="3"/>
        <v>1</v>
      </c>
      <c r="L2499" s="25">
        <f t="shared" si="4"/>
        <v>1</v>
      </c>
    </row>
    <row r="2500">
      <c r="A2500" s="19">
        <v>41659.0</v>
      </c>
      <c r="B2500" s="20" t="str">
        <f t="array" ref="B2500">xlookup($A2500,product!$A:$A,product!B:B)</f>
        <v>Beauté &amp; Hygiène</v>
      </c>
      <c r="C2500" s="20" t="str">
        <f t="array" ref="C2500">xlookup($A2500,product!$A:$A,product!C:C)</f>
        <v>Soins du visage</v>
      </c>
      <c r="D2500" s="20" t="str">
        <f t="array" ref="D2500">xlookup($A2500,product!$A:$A,product!D:D)</f>
        <v>Démaquillants et nettoyants</v>
      </c>
      <c r="E2500" s="4" t="str">
        <f t="shared" si="1"/>
        <v>41659-Soins du visage-Démaquillants et nettoyants</v>
      </c>
      <c r="F2500" s="4">
        <v>0.0</v>
      </c>
      <c r="G2500" s="4">
        <v>153.0</v>
      </c>
      <c r="H2500" s="4">
        <v>9.0</v>
      </c>
      <c r="I2500" s="21">
        <f t="array" ref="I2500">XLOOKUP($A2500,product!A:A,product!E:E)</f>
        <v>5.19</v>
      </c>
      <c r="J2500" s="4">
        <f t="shared" si="2"/>
        <v>46.71</v>
      </c>
      <c r="K2500" s="22">
        <f t="shared" si="3"/>
        <v>1</v>
      </c>
      <c r="L2500" s="4">
        <f t="shared" si="4"/>
        <v>1</v>
      </c>
    </row>
    <row r="2501">
      <c r="A2501" s="23">
        <v>81564.0</v>
      </c>
      <c r="B2501" s="24" t="str">
        <f t="array" ref="B2501">xlookup($A2501,product!$A:$A,product!B:B)</f>
        <v>Beauté &amp; Hygiène</v>
      </c>
      <c r="C2501" s="24" t="str">
        <f t="array" ref="C2501">xlookup($A2501,product!$A:$A,product!C:C)</f>
        <v>Soins du visage</v>
      </c>
      <c r="D2501" s="24" t="str">
        <f t="array" ref="D2501">xlookup($A2501,product!$A:$A,product!D:D)</f>
        <v>Démaquillants et nettoyants</v>
      </c>
      <c r="E2501" s="25" t="str">
        <f t="shared" si="1"/>
        <v>81564-Soins du visage-Démaquillants et nettoyants</v>
      </c>
      <c r="F2501" s="25">
        <v>0.0</v>
      </c>
      <c r="G2501" s="25">
        <v>372.0</v>
      </c>
      <c r="H2501" s="25">
        <v>219.0</v>
      </c>
      <c r="I2501" s="26">
        <f t="array" ref="I2501">XLOOKUP($A2501,product!A:A,product!E:E)</f>
        <v>3.41</v>
      </c>
      <c r="J2501" s="25">
        <f t="shared" si="2"/>
        <v>746.79</v>
      </c>
      <c r="K2501" s="27">
        <f t="shared" si="3"/>
        <v>1</v>
      </c>
      <c r="L2501" s="25">
        <f t="shared" si="4"/>
        <v>1</v>
      </c>
    </row>
    <row r="2502">
      <c r="A2502" s="19">
        <v>110132.0</v>
      </c>
      <c r="B2502" s="20" t="str">
        <f t="array" ref="B2502">xlookup($A2502,product!$A:$A,product!B:B)</f>
        <v>Beauté &amp; Hygiène</v>
      </c>
      <c r="C2502" s="20" t="str">
        <f t="array" ref="C2502">xlookup($A2502,product!$A:$A,product!C:C)</f>
        <v>Soins du visage</v>
      </c>
      <c r="D2502" s="20" t="str">
        <f t="array" ref="D2502">xlookup($A2502,product!$A:$A,product!D:D)</f>
        <v>Démaquillants et nettoyants</v>
      </c>
      <c r="E2502" s="4" t="str">
        <f t="shared" si="1"/>
        <v>110132-Soins du visage-Démaquillants et nettoyants</v>
      </c>
      <c r="F2502" s="4">
        <v>0.0</v>
      </c>
      <c r="G2502" s="4">
        <v>309.0</v>
      </c>
      <c r="H2502" s="4">
        <v>144.0</v>
      </c>
      <c r="I2502" s="21">
        <f t="array" ref="I2502">XLOOKUP($A2502,product!A:A,product!E:E)</f>
        <v>5.2</v>
      </c>
      <c r="J2502" s="4">
        <f t="shared" si="2"/>
        <v>748.8</v>
      </c>
      <c r="K2502" s="22">
        <f t="shared" si="3"/>
        <v>1</v>
      </c>
      <c r="L2502" s="4">
        <f t="shared" si="4"/>
        <v>1</v>
      </c>
    </row>
    <row r="2503">
      <c r="A2503" s="23">
        <v>17639.0</v>
      </c>
      <c r="B2503" s="24" t="str">
        <f t="array" ref="B2503">xlookup($A2503,product!$A:$A,product!B:B)</f>
        <v>Beauté &amp; Hygiène</v>
      </c>
      <c r="C2503" s="24" t="str">
        <f t="array" ref="C2503">xlookup($A2503,product!$A:$A,product!C:C)</f>
        <v>Soins du visage</v>
      </c>
      <c r="D2503" s="24" t="str">
        <f t="array" ref="D2503">xlookup($A2503,product!$A:$A,product!D:D)</f>
        <v>Démaquillants et nettoyants</v>
      </c>
      <c r="E2503" s="25" t="str">
        <f t="shared" si="1"/>
        <v>17639-Soins du visage-Démaquillants et nettoyants</v>
      </c>
      <c r="F2503" s="25">
        <v>1.0</v>
      </c>
      <c r="G2503" s="25">
        <v>32.0</v>
      </c>
      <c r="H2503" s="25">
        <v>5.0</v>
      </c>
      <c r="I2503" s="26">
        <f t="array" ref="I2503">XLOOKUP($A2503,product!A:A,product!E:E)</f>
        <v>2.21</v>
      </c>
      <c r="J2503" s="25">
        <f t="shared" si="2"/>
        <v>11.05</v>
      </c>
      <c r="K2503" s="27">
        <f t="shared" si="3"/>
        <v>1</v>
      </c>
      <c r="L2503" s="25">
        <f t="shared" si="4"/>
        <v>1</v>
      </c>
    </row>
    <row r="2504">
      <c r="A2504" s="19">
        <v>201025.0</v>
      </c>
      <c r="B2504" s="20" t="str">
        <f t="array" ref="B2504">xlookup($A2504,product!$A:$A,product!B:B)</f>
        <v>Beauté &amp; Hygiène</v>
      </c>
      <c r="C2504" s="20" t="str">
        <f t="array" ref="C2504">xlookup($A2504,product!$A:$A,product!C:C)</f>
        <v>Soins du visage</v>
      </c>
      <c r="D2504" s="20" t="str">
        <f t="array" ref="D2504">xlookup($A2504,product!$A:$A,product!D:D)</f>
        <v>Démaquillants et nettoyants</v>
      </c>
      <c r="E2504" s="4" t="str">
        <f t="shared" si="1"/>
        <v>201025-Soins du visage-Démaquillants et nettoyants</v>
      </c>
      <c r="F2504" s="4">
        <v>0.0</v>
      </c>
      <c r="G2504" s="4">
        <v>236.0</v>
      </c>
      <c r="H2504" s="4">
        <v>27.0</v>
      </c>
      <c r="I2504" s="21">
        <f t="array" ref="I2504">XLOOKUP($A2504,product!A:A,product!E:E)</f>
        <v>4.85</v>
      </c>
      <c r="J2504" s="4">
        <f t="shared" si="2"/>
        <v>130.95</v>
      </c>
      <c r="K2504" s="22">
        <f t="shared" si="3"/>
        <v>1</v>
      </c>
      <c r="L2504" s="4">
        <f t="shared" si="4"/>
        <v>1</v>
      </c>
    </row>
    <row r="2505">
      <c r="A2505" s="23">
        <v>70589.0</v>
      </c>
      <c r="B2505" s="24" t="str">
        <f t="array" ref="B2505">xlookup($A2505,product!$A:$A,product!B:B)</f>
        <v>Beauté &amp; Hygiène</v>
      </c>
      <c r="C2505" s="24" t="str">
        <f t="array" ref="C2505">xlookup($A2505,product!$A:$A,product!C:C)</f>
        <v>Soins du visage</v>
      </c>
      <c r="D2505" s="24" t="str">
        <f t="array" ref="D2505">xlookup($A2505,product!$A:$A,product!D:D)</f>
        <v>Démaquillants et nettoyants</v>
      </c>
      <c r="E2505" s="25" t="str">
        <f t="shared" si="1"/>
        <v>70589-Soins du visage-Démaquillants et nettoyants</v>
      </c>
      <c r="F2505" s="25">
        <v>1.0</v>
      </c>
      <c r="G2505" s="25">
        <v>462.0</v>
      </c>
      <c r="H2505" s="25">
        <v>99.0</v>
      </c>
      <c r="I2505" s="26">
        <f t="array" ref="I2505">XLOOKUP($A2505,product!A:A,product!E:E)</f>
        <v>5.53</v>
      </c>
      <c r="J2505" s="25">
        <f t="shared" si="2"/>
        <v>547.47</v>
      </c>
      <c r="K2505" s="27">
        <f t="shared" si="3"/>
        <v>1</v>
      </c>
      <c r="L2505" s="25">
        <f t="shared" si="4"/>
        <v>1</v>
      </c>
    </row>
    <row r="2506">
      <c r="A2506" s="19">
        <v>75825.0</v>
      </c>
      <c r="B2506" s="20" t="str">
        <f t="array" ref="B2506">xlookup($A2506,product!$A:$A,product!B:B)</f>
        <v>Beauté &amp; Hygiène</v>
      </c>
      <c r="C2506" s="20" t="str">
        <f t="array" ref="C2506">xlookup($A2506,product!$A:$A,product!C:C)</f>
        <v>Soins du visage</v>
      </c>
      <c r="D2506" s="20" t="str">
        <f t="array" ref="D2506">xlookup($A2506,product!$A:$A,product!D:D)</f>
        <v>Démaquillants et nettoyants</v>
      </c>
      <c r="E2506" s="4" t="str">
        <f t="shared" si="1"/>
        <v>75825-Soins du visage-Démaquillants et nettoyants</v>
      </c>
      <c r="F2506" s="4">
        <v>1.0</v>
      </c>
      <c r="G2506" s="4">
        <v>546.0</v>
      </c>
      <c r="H2506" s="4">
        <v>202.0</v>
      </c>
      <c r="I2506" s="21">
        <f t="array" ref="I2506">XLOOKUP($A2506,product!A:A,product!E:E)</f>
        <v>6</v>
      </c>
      <c r="J2506" s="4">
        <f t="shared" si="2"/>
        <v>1212</v>
      </c>
      <c r="K2506" s="22">
        <f t="shared" si="3"/>
        <v>1</v>
      </c>
      <c r="L2506" s="4">
        <f t="shared" si="4"/>
        <v>1</v>
      </c>
    </row>
    <row r="2507">
      <c r="A2507" s="23">
        <v>9699.0</v>
      </c>
      <c r="B2507" s="24" t="str">
        <f t="array" ref="B2507">xlookup($A2507,product!$A:$A,product!B:B)</f>
        <v>Beauté &amp; Hygiène</v>
      </c>
      <c r="C2507" s="24" t="str">
        <f t="array" ref="C2507">xlookup($A2507,product!$A:$A,product!C:C)</f>
        <v>Soins du visage</v>
      </c>
      <c r="D2507" s="24" t="str">
        <f t="array" ref="D2507">xlookup($A2507,product!$A:$A,product!D:D)</f>
        <v>Démaquillants et nettoyants</v>
      </c>
      <c r="E2507" s="25" t="str">
        <f t="shared" si="1"/>
        <v>9699-Soins du visage-Démaquillants et nettoyants</v>
      </c>
      <c r="F2507" s="25">
        <v>1.0</v>
      </c>
      <c r="G2507" s="25">
        <v>849.0</v>
      </c>
      <c r="H2507" s="25">
        <v>290.0</v>
      </c>
      <c r="I2507" s="26">
        <f t="array" ref="I2507">XLOOKUP($A2507,product!A:A,product!E:E)</f>
        <v>2.85</v>
      </c>
      <c r="J2507" s="25">
        <f t="shared" si="2"/>
        <v>826.5</v>
      </c>
      <c r="K2507" s="27">
        <f t="shared" si="3"/>
        <v>1</v>
      </c>
      <c r="L2507" s="25">
        <f t="shared" si="4"/>
        <v>1</v>
      </c>
    </row>
    <row r="2508">
      <c r="A2508" s="19">
        <v>122448.0</v>
      </c>
      <c r="B2508" s="20" t="str">
        <f t="array" ref="B2508">xlookup($A2508,product!$A:$A,product!B:B)</f>
        <v>Beauté &amp; Hygiène</v>
      </c>
      <c r="C2508" s="20" t="str">
        <f t="array" ref="C2508">xlookup($A2508,product!$A:$A,product!C:C)</f>
        <v>Soins du visage</v>
      </c>
      <c r="D2508" s="20" t="str">
        <f t="array" ref="D2508">xlookup($A2508,product!$A:$A,product!D:D)</f>
        <v>Démaquillants et nettoyants</v>
      </c>
      <c r="E2508" s="4" t="str">
        <f t="shared" si="1"/>
        <v>122448-Soins du visage-Démaquillants et nettoyants</v>
      </c>
      <c r="F2508" s="4">
        <v>1.0</v>
      </c>
      <c r="G2508" s="4">
        <v>149.0</v>
      </c>
      <c r="H2508" s="4">
        <v>81.0</v>
      </c>
      <c r="I2508" s="21">
        <f t="array" ref="I2508">XLOOKUP($A2508,product!A:A,product!E:E)</f>
        <v>6.25</v>
      </c>
      <c r="J2508" s="4">
        <f t="shared" si="2"/>
        <v>506.25</v>
      </c>
      <c r="K2508" s="22">
        <f t="shared" si="3"/>
        <v>1</v>
      </c>
      <c r="L2508" s="4">
        <f t="shared" si="4"/>
        <v>1</v>
      </c>
    </row>
    <row r="2509">
      <c r="A2509" s="23">
        <v>105506.0</v>
      </c>
      <c r="B2509" s="24" t="str">
        <f t="array" ref="B2509">xlookup($A2509,product!$A:$A,product!B:B)</f>
        <v>Beauté &amp; Hygiène</v>
      </c>
      <c r="C2509" s="24" t="str">
        <f t="array" ref="C2509">xlookup($A2509,product!$A:$A,product!C:C)</f>
        <v>Soins du visage</v>
      </c>
      <c r="D2509" s="24" t="str">
        <f t="array" ref="D2509">xlookup($A2509,product!$A:$A,product!D:D)</f>
        <v>Peaux normales, soins hydratants</v>
      </c>
      <c r="E2509" s="25" t="str">
        <f t="shared" si="1"/>
        <v>105506-Soins du visage-Peaux normales, soins hydratants</v>
      </c>
      <c r="F2509" s="25">
        <v>1.0</v>
      </c>
      <c r="G2509" s="25">
        <v>483.0</v>
      </c>
      <c r="H2509" s="25">
        <v>327.0</v>
      </c>
      <c r="I2509" s="26">
        <f t="array" ref="I2509">XLOOKUP($A2509,product!A:A,product!E:E)</f>
        <v>10.72</v>
      </c>
      <c r="J2509" s="25">
        <f t="shared" si="2"/>
        <v>3505.44</v>
      </c>
      <c r="K2509" s="27">
        <f t="shared" si="3"/>
        <v>1</v>
      </c>
      <c r="L2509" s="25">
        <f t="shared" si="4"/>
        <v>1</v>
      </c>
    </row>
    <row r="2510">
      <c r="A2510" s="19">
        <v>142304.0</v>
      </c>
      <c r="B2510" s="20" t="str">
        <f t="array" ref="B2510">xlookup($A2510,product!$A:$A,product!B:B)</f>
        <v>Beauté &amp; Hygiène</v>
      </c>
      <c r="C2510" s="20" t="str">
        <f t="array" ref="C2510">xlookup($A2510,product!$A:$A,product!C:C)</f>
        <v>Soins du visage</v>
      </c>
      <c r="D2510" s="20" t="str">
        <f t="array" ref="D2510">xlookup($A2510,product!$A:$A,product!D:D)</f>
        <v>Peaux normales, soins hydratants</v>
      </c>
      <c r="E2510" s="4" t="str">
        <f t="shared" si="1"/>
        <v>142304-Soins du visage-Peaux normales, soins hydratants</v>
      </c>
      <c r="F2510" s="4">
        <v>0.0</v>
      </c>
      <c r="G2510" s="4">
        <v>183.0</v>
      </c>
      <c r="H2510" s="4">
        <v>108.0</v>
      </c>
      <c r="I2510" s="21">
        <f t="array" ref="I2510">XLOOKUP($A2510,product!A:A,product!E:E)</f>
        <v>4.18</v>
      </c>
      <c r="J2510" s="4">
        <f t="shared" si="2"/>
        <v>451.44</v>
      </c>
      <c r="K2510" s="22">
        <f t="shared" si="3"/>
        <v>1</v>
      </c>
      <c r="L2510" s="4">
        <f t="shared" si="4"/>
        <v>1</v>
      </c>
    </row>
    <row r="2511">
      <c r="A2511" s="23">
        <v>105505.0</v>
      </c>
      <c r="B2511" s="24" t="str">
        <f t="array" ref="B2511">xlookup($A2511,product!$A:$A,product!B:B)</f>
        <v>Beauté &amp; Hygiène</v>
      </c>
      <c r="C2511" s="24" t="str">
        <f t="array" ref="C2511">xlookup($A2511,product!$A:$A,product!C:C)</f>
        <v>Soins du visage</v>
      </c>
      <c r="D2511" s="24" t="str">
        <f t="array" ref="D2511">xlookup($A2511,product!$A:$A,product!D:D)</f>
        <v>Peaux normales, soins hydratants</v>
      </c>
      <c r="E2511" s="25" t="str">
        <f t="shared" si="1"/>
        <v>105505-Soins du visage-Peaux normales, soins hydratants</v>
      </c>
      <c r="F2511" s="25">
        <v>1.0</v>
      </c>
      <c r="G2511" s="25">
        <v>540.0</v>
      </c>
      <c r="H2511" s="25">
        <v>296.0</v>
      </c>
      <c r="I2511" s="26">
        <f t="array" ref="I2511">XLOOKUP($A2511,product!A:A,product!E:E)</f>
        <v>10.31</v>
      </c>
      <c r="J2511" s="25">
        <f t="shared" si="2"/>
        <v>3051.76</v>
      </c>
      <c r="K2511" s="27">
        <f t="shared" si="3"/>
        <v>1</v>
      </c>
      <c r="L2511" s="25">
        <f t="shared" si="4"/>
        <v>1</v>
      </c>
    </row>
    <row r="2512">
      <c r="A2512" s="19">
        <v>122502.0</v>
      </c>
      <c r="B2512" s="20" t="str">
        <f t="array" ref="B2512">xlookup($A2512,product!$A:$A,product!B:B)</f>
        <v>Beauté &amp; Hygiène</v>
      </c>
      <c r="C2512" s="20" t="str">
        <f t="array" ref="C2512">xlookup($A2512,product!$A:$A,product!C:C)</f>
        <v>Soins du visage</v>
      </c>
      <c r="D2512" s="20" t="str">
        <f t="array" ref="D2512">xlookup($A2512,product!$A:$A,product!D:D)</f>
        <v>Peaux normales, soins hydratants</v>
      </c>
      <c r="E2512" s="4" t="str">
        <f t="shared" si="1"/>
        <v>122502-Soins du visage-Peaux normales, soins hydratants</v>
      </c>
      <c r="F2512" s="4">
        <v>1.0</v>
      </c>
      <c r="G2512" s="4">
        <v>755.0</v>
      </c>
      <c r="H2512" s="4">
        <v>186.0</v>
      </c>
      <c r="I2512" s="21">
        <f t="array" ref="I2512">XLOOKUP($A2512,product!A:A,product!E:E)</f>
        <v>7.8</v>
      </c>
      <c r="J2512" s="4">
        <f t="shared" si="2"/>
        <v>1450.8</v>
      </c>
      <c r="K2512" s="22">
        <f t="shared" si="3"/>
        <v>1</v>
      </c>
      <c r="L2512" s="4">
        <f t="shared" si="4"/>
        <v>1</v>
      </c>
    </row>
    <row r="2513">
      <c r="A2513" s="23">
        <v>118264.0</v>
      </c>
      <c r="B2513" s="24" t="str">
        <f t="array" ref="B2513">xlookup($A2513,product!$A:$A,product!B:B)</f>
        <v>Beauté &amp; Hygiène</v>
      </c>
      <c r="C2513" s="24" t="str">
        <f t="array" ref="C2513">xlookup($A2513,product!$A:$A,product!C:C)</f>
        <v>Soins du visage</v>
      </c>
      <c r="D2513" s="24" t="str">
        <f t="array" ref="D2513">xlookup($A2513,product!$A:$A,product!D:D)</f>
        <v>Peaux normales, soins hydratants</v>
      </c>
      <c r="E2513" s="25" t="str">
        <f t="shared" si="1"/>
        <v>118264-Soins du visage-Peaux normales, soins hydratants</v>
      </c>
      <c r="F2513" s="25">
        <v>0.0</v>
      </c>
      <c r="G2513" s="25">
        <v>661.0</v>
      </c>
      <c r="H2513" s="25">
        <v>173.0</v>
      </c>
      <c r="I2513" s="26">
        <f t="array" ref="I2513">XLOOKUP($A2513,product!A:A,product!E:E)</f>
        <v>6.73</v>
      </c>
      <c r="J2513" s="25">
        <f t="shared" si="2"/>
        <v>1164.29</v>
      </c>
      <c r="K2513" s="27">
        <f t="shared" si="3"/>
        <v>1</v>
      </c>
      <c r="L2513" s="25">
        <f t="shared" si="4"/>
        <v>1</v>
      </c>
    </row>
    <row r="2514">
      <c r="A2514" s="19">
        <v>17632.0</v>
      </c>
      <c r="B2514" s="20" t="str">
        <f t="array" ref="B2514">xlookup($A2514,product!$A:$A,product!B:B)</f>
        <v>Beauté &amp; Hygiène</v>
      </c>
      <c r="C2514" s="20" t="str">
        <f t="array" ref="C2514">xlookup($A2514,product!$A:$A,product!C:C)</f>
        <v>Soins du visage</v>
      </c>
      <c r="D2514" s="20" t="str">
        <f t="array" ref="D2514">xlookup($A2514,product!$A:$A,product!D:D)</f>
        <v>Peaux normales, soins hydratants</v>
      </c>
      <c r="E2514" s="4" t="str">
        <f t="shared" si="1"/>
        <v>17632-Soins du visage-Peaux normales, soins hydratants</v>
      </c>
      <c r="F2514" s="4">
        <v>0.0</v>
      </c>
      <c r="G2514" s="4">
        <v>324.0</v>
      </c>
      <c r="H2514" s="4">
        <v>126.0</v>
      </c>
      <c r="I2514" s="21">
        <f t="array" ref="I2514">XLOOKUP($A2514,product!A:A,product!E:E)</f>
        <v>2.36</v>
      </c>
      <c r="J2514" s="4">
        <f t="shared" si="2"/>
        <v>297.36</v>
      </c>
      <c r="K2514" s="22">
        <f t="shared" si="3"/>
        <v>1</v>
      </c>
      <c r="L2514" s="4">
        <f t="shared" si="4"/>
        <v>1</v>
      </c>
    </row>
    <row r="2515">
      <c r="A2515" s="23">
        <v>108790.0</v>
      </c>
      <c r="B2515" s="24" t="str">
        <f t="array" ref="B2515">xlookup($A2515,product!$A:$A,product!B:B)</f>
        <v>Beauté &amp; Hygiène</v>
      </c>
      <c r="C2515" s="24" t="str">
        <f t="array" ref="C2515">xlookup($A2515,product!$A:$A,product!C:C)</f>
        <v>Soins du visage</v>
      </c>
      <c r="D2515" s="24" t="str">
        <f t="array" ref="D2515">xlookup($A2515,product!$A:$A,product!D:D)</f>
        <v>Peaux normales, soins hydratants</v>
      </c>
      <c r="E2515" s="25" t="str">
        <f t="shared" si="1"/>
        <v>108790-Soins du visage-Peaux normales, soins hydratants</v>
      </c>
      <c r="F2515" s="25">
        <v>1.0</v>
      </c>
      <c r="G2515" s="25">
        <v>611.0</v>
      </c>
      <c r="H2515" s="25">
        <v>293.0</v>
      </c>
      <c r="I2515" s="26">
        <f t="array" ref="I2515">XLOOKUP($A2515,product!A:A,product!E:E)</f>
        <v>4.41</v>
      </c>
      <c r="J2515" s="25">
        <f t="shared" si="2"/>
        <v>1292.13</v>
      </c>
      <c r="K2515" s="27">
        <f t="shared" si="3"/>
        <v>1</v>
      </c>
      <c r="L2515" s="25">
        <f t="shared" si="4"/>
        <v>1</v>
      </c>
    </row>
    <row r="2516">
      <c r="A2516" s="19">
        <v>92200.0</v>
      </c>
      <c r="B2516" s="20" t="str">
        <f t="array" ref="B2516">xlookup($A2516,product!$A:$A,product!B:B)</f>
        <v>Beauté &amp; Hygiène</v>
      </c>
      <c r="C2516" s="20" t="str">
        <f t="array" ref="C2516">xlookup($A2516,product!$A:$A,product!C:C)</f>
        <v>Soins du visage</v>
      </c>
      <c r="D2516" s="20" t="str">
        <f t="array" ref="D2516">xlookup($A2516,product!$A:$A,product!D:D)</f>
        <v>Peaux normales, soins hydratants</v>
      </c>
      <c r="E2516" s="4" t="str">
        <f t="shared" si="1"/>
        <v>92200-Soins du visage-Peaux normales, soins hydratants</v>
      </c>
      <c r="F2516" s="4">
        <v>1.0</v>
      </c>
      <c r="G2516" s="4">
        <v>345.0</v>
      </c>
      <c r="H2516" s="4">
        <v>329.0</v>
      </c>
      <c r="I2516" s="21">
        <f t="array" ref="I2516">XLOOKUP($A2516,product!A:A,product!E:E)</f>
        <v>12.87</v>
      </c>
      <c r="J2516" s="4">
        <f t="shared" si="2"/>
        <v>4234.23</v>
      </c>
      <c r="K2516" s="22">
        <f t="shared" si="3"/>
        <v>1</v>
      </c>
      <c r="L2516" s="4">
        <f t="shared" si="4"/>
        <v>1</v>
      </c>
    </row>
    <row r="2517">
      <c r="A2517" s="23">
        <v>17634.0</v>
      </c>
      <c r="B2517" s="24" t="str">
        <f t="array" ref="B2517">xlookup($A2517,product!$A:$A,product!B:B)</f>
        <v>Beauté &amp; Hygiène</v>
      </c>
      <c r="C2517" s="24" t="str">
        <f t="array" ref="C2517">xlookup($A2517,product!$A:$A,product!C:C)</f>
        <v>Soins du visage</v>
      </c>
      <c r="D2517" s="24" t="str">
        <f t="array" ref="D2517">xlookup($A2517,product!$A:$A,product!D:D)</f>
        <v>Peaux normales, soins hydratants</v>
      </c>
      <c r="E2517" s="25" t="str">
        <f t="shared" si="1"/>
        <v>17634-Soins du visage-Peaux normales, soins hydratants</v>
      </c>
      <c r="F2517" s="25">
        <v>0.0</v>
      </c>
      <c r="G2517" s="25">
        <v>544.0</v>
      </c>
      <c r="H2517" s="25">
        <v>148.0</v>
      </c>
      <c r="I2517" s="26">
        <f t="array" ref="I2517">XLOOKUP($A2517,product!A:A,product!E:E)</f>
        <v>2.36</v>
      </c>
      <c r="J2517" s="25">
        <f t="shared" si="2"/>
        <v>349.28</v>
      </c>
      <c r="K2517" s="27">
        <f t="shared" si="3"/>
        <v>1</v>
      </c>
      <c r="L2517" s="25">
        <f t="shared" si="4"/>
        <v>1</v>
      </c>
    </row>
    <row r="2518">
      <c r="A2518" s="19">
        <v>122522.0</v>
      </c>
      <c r="B2518" s="20" t="str">
        <f t="array" ref="B2518">xlookup($A2518,product!$A:$A,product!B:B)</f>
        <v>Beauté &amp; Hygiène</v>
      </c>
      <c r="C2518" s="20" t="str">
        <f t="array" ref="C2518">xlookup($A2518,product!$A:$A,product!C:C)</f>
        <v>Soins du visage</v>
      </c>
      <c r="D2518" s="20" t="str">
        <f t="array" ref="D2518">xlookup($A2518,product!$A:$A,product!D:D)</f>
        <v>Peaux normales, soins hydratants</v>
      </c>
      <c r="E2518" s="4" t="str">
        <f t="shared" si="1"/>
        <v>122522-Soins du visage-Peaux normales, soins hydratants</v>
      </c>
      <c r="F2518" s="4">
        <v>1.0</v>
      </c>
      <c r="G2518" s="4">
        <v>283.0</v>
      </c>
      <c r="H2518" s="4">
        <v>29.0</v>
      </c>
      <c r="I2518" s="21">
        <f t="array" ref="I2518">XLOOKUP($A2518,product!A:A,product!E:E)</f>
        <v>7.2</v>
      </c>
      <c r="J2518" s="4">
        <f t="shared" si="2"/>
        <v>208.8</v>
      </c>
      <c r="K2518" s="22">
        <f t="shared" si="3"/>
        <v>1</v>
      </c>
      <c r="L2518" s="4">
        <f t="shared" si="4"/>
        <v>1</v>
      </c>
    </row>
    <row r="2519">
      <c r="A2519" s="23">
        <v>122505.0</v>
      </c>
      <c r="B2519" s="24" t="str">
        <f t="array" ref="B2519">xlookup($A2519,product!$A:$A,product!B:B)</f>
        <v>Beauté &amp; Hygiène</v>
      </c>
      <c r="C2519" s="24" t="str">
        <f t="array" ref="C2519">xlookup($A2519,product!$A:$A,product!C:C)</f>
        <v>Soins du visage</v>
      </c>
      <c r="D2519" s="24" t="str">
        <f t="array" ref="D2519">xlookup($A2519,product!$A:$A,product!D:D)</f>
        <v>Peaux normales, soins hydratants</v>
      </c>
      <c r="E2519" s="25" t="str">
        <f t="shared" si="1"/>
        <v>122505-Soins du visage-Peaux normales, soins hydratants</v>
      </c>
      <c r="F2519" s="25">
        <v>0.0</v>
      </c>
      <c r="G2519" s="25">
        <v>878.0</v>
      </c>
      <c r="H2519" s="25">
        <v>134.0</v>
      </c>
      <c r="I2519" s="26">
        <f t="array" ref="I2519">XLOOKUP($A2519,product!A:A,product!E:E)</f>
        <v>7.45</v>
      </c>
      <c r="J2519" s="25">
        <f t="shared" si="2"/>
        <v>998.3</v>
      </c>
      <c r="K2519" s="27">
        <f t="shared" si="3"/>
        <v>1</v>
      </c>
      <c r="L2519" s="25">
        <f t="shared" si="4"/>
        <v>1</v>
      </c>
    </row>
    <row r="2520">
      <c r="A2520" s="19">
        <v>93416.0</v>
      </c>
      <c r="B2520" s="20" t="str">
        <f t="array" ref="B2520">xlookup($A2520,product!$A:$A,product!B:B)</f>
        <v>Beauté &amp; Hygiène</v>
      </c>
      <c r="C2520" s="20" t="str">
        <f t="array" ref="C2520">xlookup($A2520,product!$A:$A,product!C:C)</f>
        <v>Soins du visage</v>
      </c>
      <c r="D2520" s="20" t="str">
        <f t="array" ref="D2520">xlookup($A2520,product!$A:$A,product!D:D)</f>
        <v>Peaux normales, soins hydratants</v>
      </c>
      <c r="E2520" s="4" t="str">
        <f t="shared" si="1"/>
        <v>93416-Soins du visage-Peaux normales, soins hydratants</v>
      </c>
      <c r="F2520" s="4">
        <v>0.0</v>
      </c>
      <c r="G2520" s="4">
        <v>333.0</v>
      </c>
      <c r="H2520" s="4">
        <v>57.0</v>
      </c>
      <c r="I2520" s="21">
        <f t="array" ref="I2520">XLOOKUP($A2520,product!A:A,product!E:E)</f>
        <v>20.39</v>
      </c>
      <c r="J2520" s="4">
        <f t="shared" si="2"/>
        <v>1162.23</v>
      </c>
      <c r="K2520" s="22">
        <f t="shared" si="3"/>
        <v>1</v>
      </c>
      <c r="L2520" s="4">
        <f t="shared" si="4"/>
        <v>1</v>
      </c>
    </row>
    <row r="2521">
      <c r="A2521" s="23">
        <v>93406.0</v>
      </c>
      <c r="B2521" s="24" t="str">
        <f t="array" ref="B2521">xlookup($A2521,product!$A:$A,product!B:B)</f>
        <v>Beauté &amp; Hygiène</v>
      </c>
      <c r="C2521" s="24" t="str">
        <f t="array" ref="C2521">xlookup($A2521,product!$A:$A,product!C:C)</f>
        <v>Soins du visage</v>
      </c>
      <c r="D2521" s="24" t="str">
        <f t="array" ref="D2521">xlookup($A2521,product!$A:$A,product!D:D)</f>
        <v>Peaux normales, soins hydratants</v>
      </c>
      <c r="E2521" s="25" t="str">
        <f t="shared" si="1"/>
        <v>93406-Soins du visage-Peaux normales, soins hydratants</v>
      </c>
      <c r="F2521" s="25">
        <v>0.0</v>
      </c>
      <c r="G2521" s="25">
        <v>539.0</v>
      </c>
      <c r="H2521" s="25">
        <v>261.0</v>
      </c>
      <c r="I2521" s="26">
        <f t="array" ref="I2521">XLOOKUP($A2521,product!A:A,product!E:E)</f>
        <v>26.98</v>
      </c>
      <c r="J2521" s="25">
        <f t="shared" si="2"/>
        <v>7041.78</v>
      </c>
      <c r="K2521" s="27">
        <f t="shared" si="3"/>
        <v>1</v>
      </c>
      <c r="L2521" s="25">
        <f t="shared" si="4"/>
        <v>1</v>
      </c>
    </row>
    <row r="2522">
      <c r="A2522" s="19">
        <v>69329.0</v>
      </c>
      <c r="B2522" s="20" t="str">
        <f t="array" ref="B2522">xlookup($A2522,product!$A:$A,product!B:B)</f>
        <v>Beauté &amp; Hygiène</v>
      </c>
      <c r="C2522" s="20" t="str">
        <f t="array" ref="C2522">xlookup($A2522,product!$A:$A,product!C:C)</f>
        <v>Soins du visage</v>
      </c>
      <c r="D2522" s="20" t="str">
        <f t="array" ref="D2522">xlookup($A2522,product!$A:$A,product!D:D)</f>
        <v>Peaux normales, soins hydratants</v>
      </c>
      <c r="E2522" s="4" t="str">
        <f t="shared" si="1"/>
        <v>69329-Soins du visage-Peaux normales, soins hydratants</v>
      </c>
      <c r="F2522" s="4">
        <v>1.0</v>
      </c>
      <c r="G2522" s="4">
        <v>697.0</v>
      </c>
      <c r="H2522" s="4">
        <v>399.0</v>
      </c>
      <c r="I2522" s="21">
        <f t="array" ref="I2522">XLOOKUP($A2522,product!A:A,product!E:E)</f>
        <v>3.13</v>
      </c>
      <c r="J2522" s="4">
        <f t="shared" si="2"/>
        <v>1248.87</v>
      </c>
      <c r="K2522" s="22">
        <f t="shared" si="3"/>
        <v>1</v>
      </c>
      <c r="L2522" s="4">
        <f t="shared" si="4"/>
        <v>1</v>
      </c>
    </row>
    <row r="2523">
      <c r="A2523" s="23">
        <v>155953.0</v>
      </c>
      <c r="B2523" s="24" t="str">
        <f t="array" ref="B2523">xlookup($A2523,product!$A:$A,product!B:B)</f>
        <v>Beauté &amp; Hygiène</v>
      </c>
      <c r="C2523" s="24" t="str">
        <f t="array" ref="C2523">xlookup($A2523,product!$A:$A,product!C:C)</f>
        <v>Soins du visage</v>
      </c>
      <c r="D2523" s="24" t="str">
        <f t="array" ref="D2523">xlookup($A2523,product!$A:$A,product!D:D)</f>
        <v>Peaux normales, soins hydratants</v>
      </c>
      <c r="E2523" s="25" t="str">
        <f t="shared" si="1"/>
        <v>155953-Soins du visage-Peaux normales, soins hydratants</v>
      </c>
      <c r="F2523" s="25">
        <v>0.0</v>
      </c>
      <c r="G2523" s="25">
        <v>473.0</v>
      </c>
      <c r="H2523" s="25">
        <v>368.0</v>
      </c>
      <c r="I2523" s="26">
        <f t="array" ref="I2523">XLOOKUP($A2523,product!A:A,product!E:E)</f>
        <v>6.39</v>
      </c>
      <c r="J2523" s="25">
        <f t="shared" si="2"/>
        <v>2351.52</v>
      </c>
      <c r="K2523" s="27">
        <f t="shared" si="3"/>
        <v>1</v>
      </c>
      <c r="L2523" s="25">
        <f t="shared" si="4"/>
        <v>1</v>
      </c>
    </row>
    <row r="2524">
      <c r="A2524" s="19">
        <v>11721.0</v>
      </c>
      <c r="B2524" s="20" t="str">
        <f t="array" ref="B2524">xlookup($A2524,product!$A:$A,product!B:B)</f>
        <v>Beauté &amp; Hygiène</v>
      </c>
      <c r="C2524" s="20" t="str">
        <f t="array" ref="C2524">xlookup($A2524,product!$A:$A,product!C:C)</f>
        <v>Soins du visage</v>
      </c>
      <c r="D2524" s="20" t="str">
        <f t="array" ref="D2524">xlookup($A2524,product!$A:$A,product!D:D)</f>
        <v>Peaux normales, soins hydratants</v>
      </c>
      <c r="E2524" s="4" t="str">
        <f t="shared" si="1"/>
        <v>11721-Soins du visage-Peaux normales, soins hydratants</v>
      </c>
      <c r="F2524" s="4">
        <v>1.0</v>
      </c>
      <c r="G2524" s="4">
        <v>286.0</v>
      </c>
      <c r="H2524" s="4">
        <v>175.0</v>
      </c>
      <c r="I2524" s="21">
        <f t="array" ref="I2524">XLOOKUP($A2524,product!A:A,product!E:E)</f>
        <v>7.57</v>
      </c>
      <c r="J2524" s="4">
        <f t="shared" si="2"/>
        <v>1324.75</v>
      </c>
      <c r="K2524" s="22">
        <f t="shared" si="3"/>
        <v>1</v>
      </c>
      <c r="L2524" s="4">
        <f t="shared" si="4"/>
        <v>1</v>
      </c>
    </row>
    <row r="2525">
      <c r="A2525" s="23">
        <v>41654.0</v>
      </c>
      <c r="B2525" s="24" t="str">
        <f t="array" ref="B2525">xlookup($A2525,product!$A:$A,product!B:B)</f>
        <v>Beauté &amp; Hygiène</v>
      </c>
      <c r="C2525" s="24" t="str">
        <f t="array" ref="C2525">xlookup($A2525,product!$A:$A,product!C:C)</f>
        <v>Soins du visage</v>
      </c>
      <c r="D2525" s="24" t="str">
        <f t="array" ref="D2525">xlookup($A2525,product!$A:$A,product!D:D)</f>
        <v>Peaux normales, soins hydratants</v>
      </c>
      <c r="E2525" s="25" t="str">
        <f t="shared" si="1"/>
        <v>41654-Soins du visage-Peaux normales, soins hydratants</v>
      </c>
      <c r="F2525" s="25">
        <v>1.0</v>
      </c>
      <c r="G2525" s="25">
        <v>220.0</v>
      </c>
      <c r="H2525" s="25">
        <v>172.0</v>
      </c>
      <c r="I2525" s="26">
        <f t="array" ref="I2525">XLOOKUP($A2525,product!A:A,product!E:E)</f>
        <v>6.68</v>
      </c>
      <c r="J2525" s="25">
        <f t="shared" si="2"/>
        <v>1148.96</v>
      </c>
      <c r="K2525" s="27">
        <f t="shared" si="3"/>
        <v>1</v>
      </c>
      <c r="L2525" s="25">
        <f t="shared" si="4"/>
        <v>1</v>
      </c>
    </row>
    <row r="2526">
      <c r="A2526" s="19">
        <v>92204.0</v>
      </c>
      <c r="B2526" s="20" t="str">
        <f t="array" ref="B2526">xlookup($A2526,product!$A:$A,product!B:B)</f>
        <v>Beauté &amp; Hygiène</v>
      </c>
      <c r="C2526" s="20" t="str">
        <f t="array" ref="C2526">xlookup($A2526,product!$A:$A,product!C:C)</f>
        <v>Soins du visage</v>
      </c>
      <c r="D2526" s="20" t="str">
        <f t="array" ref="D2526">xlookup($A2526,product!$A:$A,product!D:D)</f>
        <v>Peaux normales, soins hydratants</v>
      </c>
      <c r="E2526" s="4" t="str">
        <f t="shared" si="1"/>
        <v>92204-Soins du visage-Peaux normales, soins hydratants</v>
      </c>
      <c r="F2526" s="4">
        <v>0.0</v>
      </c>
      <c r="G2526" s="4">
        <v>461.0</v>
      </c>
      <c r="H2526" s="4">
        <v>221.0</v>
      </c>
      <c r="I2526" s="21">
        <f t="array" ref="I2526">XLOOKUP($A2526,product!A:A,product!E:E)</f>
        <v>11.76</v>
      </c>
      <c r="J2526" s="4">
        <f t="shared" si="2"/>
        <v>2598.96</v>
      </c>
      <c r="K2526" s="22">
        <f t="shared" si="3"/>
        <v>1</v>
      </c>
      <c r="L2526" s="4">
        <f t="shared" si="4"/>
        <v>1</v>
      </c>
    </row>
    <row r="2527">
      <c r="A2527" s="23">
        <v>105572.0</v>
      </c>
      <c r="B2527" s="24" t="str">
        <f t="array" ref="B2527">xlookup($A2527,product!$A:$A,product!B:B)</f>
        <v>Beauté &amp; Hygiène</v>
      </c>
      <c r="C2527" s="24" t="str">
        <f t="array" ref="C2527">xlookup($A2527,product!$A:$A,product!C:C)</f>
        <v>Soins du visage</v>
      </c>
      <c r="D2527" s="24" t="str">
        <f t="array" ref="D2527">xlookup($A2527,product!$A:$A,product!D:D)</f>
        <v>Peaux normales, soins hydratants</v>
      </c>
      <c r="E2527" s="25" t="str">
        <f t="shared" si="1"/>
        <v>105572-Soins du visage-Peaux normales, soins hydratants</v>
      </c>
      <c r="F2527" s="25">
        <v>1.0</v>
      </c>
      <c r="G2527" s="25">
        <v>150.0</v>
      </c>
      <c r="H2527" s="25">
        <v>36.0</v>
      </c>
      <c r="I2527" s="26">
        <f t="array" ref="I2527">XLOOKUP($A2527,product!A:A,product!E:E)</f>
        <v>9.89</v>
      </c>
      <c r="J2527" s="25">
        <f t="shared" si="2"/>
        <v>356.04</v>
      </c>
      <c r="K2527" s="27">
        <f t="shared" si="3"/>
        <v>1</v>
      </c>
      <c r="L2527" s="25">
        <f t="shared" si="4"/>
        <v>1</v>
      </c>
    </row>
    <row r="2528">
      <c r="A2528" s="19">
        <v>110141.0</v>
      </c>
      <c r="B2528" s="20" t="str">
        <f t="array" ref="B2528">xlookup($A2528,product!$A:$A,product!B:B)</f>
        <v>Beauté &amp; Hygiène</v>
      </c>
      <c r="C2528" s="20" t="str">
        <f t="array" ref="C2528">xlookup($A2528,product!$A:$A,product!C:C)</f>
        <v>Soins du visage</v>
      </c>
      <c r="D2528" s="20" t="str">
        <f t="array" ref="D2528">xlookup($A2528,product!$A:$A,product!D:D)</f>
        <v>Peaux normales, soins hydratants</v>
      </c>
      <c r="E2528" s="4" t="str">
        <f t="shared" si="1"/>
        <v>110141-Soins du visage-Peaux normales, soins hydratants</v>
      </c>
      <c r="F2528" s="4">
        <v>1.0</v>
      </c>
      <c r="G2528" s="4">
        <v>414.0</v>
      </c>
      <c r="H2528" s="4">
        <v>21.0</v>
      </c>
      <c r="I2528" s="21">
        <f t="array" ref="I2528">XLOOKUP($A2528,product!A:A,product!E:E)</f>
        <v>9.29</v>
      </c>
      <c r="J2528" s="4">
        <f t="shared" si="2"/>
        <v>195.09</v>
      </c>
      <c r="K2528" s="22">
        <f t="shared" si="3"/>
        <v>1</v>
      </c>
      <c r="L2528" s="4">
        <f t="shared" si="4"/>
        <v>1</v>
      </c>
    </row>
    <row r="2529">
      <c r="A2529" s="23">
        <v>158471.0</v>
      </c>
      <c r="B2529" s="24" t="str">
        <f t="array" ref="B2529">xlookup($A2529,product!$A:$A,product!B:B)</f>
        <v>Beauté &amp; Hygiène</v>
      </c>
      <c r="C2529" s="24" t="str">
        <f t="array" ref="C2529">xlookup($A2529,product!$A:$A,product!C:C)</f>
        <v>Soins du visage</v>
      </c>
      <c r="D2529" s="24" t="str">
        <f t="array" ref="D2529">xlookup($A2529,product!$A:$A,product!D:D)</f>
        <v>Peaux normales, soins hydratants</v>
      </c>
      <c r="E2529" s="25" t="str">
        <f t="shared" si="1"/>
        <v>158471-Soins du visage-Peaux normales, soins hydratants</v>
      </c>
      <c r="F2529" s="25">
        <v>1.0</v>
      </c>
      <c r="G2529" s="25">
        <v>368.0</v>
      </c>
      <c r="H2529" s="25">
        <v>94.0</v>
      </c>
      <c r="I2529" s="26">
        <f t="array" ref="I2529">XLOOKUP($A2529,product!A:A,product!E:E)</f>
        <v>4.56</v>
      </c>
      <c r="J2529" s="25">
        <f t="shared" si="2"/>
        <v>428.64</v>
      </c>
      <c r="K2529" s="27">
        <f t="shared" si="3"/>
        <v>1</v>
      </c>
      <c r="L2529" s="25">
        <f t="shared" si="4"/>
        <v>1</v>
      </c>
    </row>
    <row r="2530">
      <c r="A2530" s="19">
        <v>120876.0</v>
      </c>
      <c r="B2530" s="20" t="str">
        <f t="array" ref="B2530">xlookup($A2530,product!$A:$A,product!B:B)</f>
        <v>Epicerie salée</v>
      </c>
      <c r="C2530" s="20" t="str">
        <f t="array" ref="C2530">xlookup($A2530,product!$A:$A,product!C:C)</f>
        <v>Sauces et coulis</v>
      </c>
      <c r="D2530" s="20" t="str">
        <f t="array" ref="D2530">xlookup($A2530,product!$A:$A,product!D:D)</f>
        <v>Sauces</v>
      </c>
      <c r="E2530" s="4" t="str">
        <f t="shared" si="1"/>
        <v>120876-Sauces et coulis-Sauces</v>
      </c>
      <c r="F2530" s="4">
        <v>0.0</v>
      </c>
      <c r="G2530" s="4">
        <v>514.0</v>
      </c>
      <c r="H2530" s="4">
        <v>144.0</v>
      </c>
      <c r="I2530" s="21">
        <f t="array" ref="I2530">XLOOKUP($A2530,product!A:A,product!E:E)</f>
        <v>1.9</v>
      </c>
      <c r="J2530" s="4">
        <f t="shared" si="2"/>
        <v>273.6</v>
      </c>
      <c r="K2530" s="22">
        <f t="shared" si="3"/>
        <v>1</v>
      </c>
      <c r="L2530" s="4">
        <f t="shared" si="4"/>
        <v>1</v>
      </c>
    </row>
    <row r="2531">
      <c r="A2531" s="23">
        <v>87437.0</v>
      </c>
      <c r="B2531" s="24" t="str">
        <f t="array" ref="B2531">xlookup($A2531,product!$A:$A,product!B:B)</f>
        <v>Epicerie salée</v>
      </c>
      <c r="C2531" s="24" t="str">
        <f t="array" ref="C2531">xlookup($A2531,product!$A:$A,product!C:C)</f>
        <v>Sauces et coulis</v>
      </c>
      <c r="D2531" s="24" t="str">
        <f t="array" ref="D2531">xlookup($A2531,product!$A:$A,product!D:D)</f>
        <v>Sauces</v>
      </c>
      <c r="E2531" s="25" t="str">
        <f t="shared" si="1"/>
        <v>87437-Sauces et coulis-Sauces</v>
      </c>
      <c r="F2531" s="25">
        <v>1.0</v>
      </c>
      <c r="G2531" s="25">
        <v>285.0</v>
      </c>
      <c r="H2531" s="25">
        <v>151.0</v>
      </c>
      <c r="I2531" s="26">
        <f t="array" ref="I2531">XLOOKUP($A2531,product!A:A,product!E:E)</f>
        <v>1.65</v>
      </c>
      <c r="J2531" s="25">
        <f t="shared" si="2"/>
        <v>249.15</v>
      </c>
      <c r="K2531" s="27">
        <f t="shared" si="3"/>
        <v>1</v>
      </c>
      <c r="L2531" s="25">
        <f t="shared" si="4"/>
        <v>1</v>
      </c>
    </row>
    <row r="2532">
      <c r="A2532" s="19">
        <v>121462.0</v>
      </c>
      <c r="B2532" s="20" t="str">
        <f t="array" ref="B2532">xlookup($A2532,product!$A:$A,product!B:B)</f>
        <v>Epicerie salée</v>
      </c>
      <c r="C2532" s="20" t="str">
        <f t="array" ref="C2532">xlookup($A2532,product!$A:$A,product!C:C)</f>
        <v>Sauces et coulis</v>
      </c>
      <c r="D2532" s="20" t="str">
        <f t="array" ref="D2532">xlookup($A2532,product!$A:$A,product!D:D)</f>
        <v>Sauces</v>
      </c>
      <c r="E2532" s="4" t="str">
        <f t="shared" si="1"/>
        <v>121462-Sauces et coulis-Sauces</v>
      </c>
      <c r="F2532" s="4">
        <v>1.0</v>
      </c>
      <c r="G2532" s="4">
        <v>946.0</v>
      </c>
      <c r="H2532" s="4">
        <v>544.0</v>
      </c>
      <c r="I2532" s="21">
        <f t="array" ref="I2532">XLOOKUP($A2532,product!A:A,product!E:E)</f>
        <v>1.18</v>
      </c>
      <c r="J2532" s="4">
        <f t="shared" si="2"/>
        <v>641.92</v>
      </c>
      <c r="K2532" s="22">
        <f t="shared" si="3"/>
        <v>1</v>
      </c>
      <c r="L2532" s="4">
        <f t="shared" si="4"/>
        <v>1</v>
      </c>
    </row>
    <row r="2533">
      <c r="A2533" s="23">
        <v>69471.0</v>
      </c>
      <c r="B2533" s="24" t="str">
        <f t="array" ref="B2533">xlookup($A2533,product!$A:$A,product!B:B)</f>
        <v>Epicerie salée</v>
      </c>
      <c r="C2533" s="24" t="str">
        <f t="array" ref="C2533">xlookup($A2533,product!$A:$A,product!C:C)</f>
        <v>Sauces et coulis</v>
      </c>
      <c r="D2533" s="24" t="str">
        <f t="array" ref="D2533">xlookup($A2533,product!$A:$A,product!D:D)</f>
        <v>Sauces</v>
      </c>
      <c r="E2533" s="25" t="str">
        <f t="shared" si="1"/>
        <v>69471-Sauces et coulis-Sauces</v>
      </c>
      <c r="F2533" s="25">
        <v>0.0</v>
      </c>
      <c r="G2533" s="25">
        <v>608.0</v>
      </c>
      <c r="H2533" s="25">
        <v>396.0</v>
      </c>
      <c r="I2533" s="26">
        <f t="array" ref="I2533">XLOOKUP($A2533,product!A:A,product!E:E)</f>
        <v>1.18</v>
      </c>
      <c r="J2533" s="25">
        <f t="shared" si="2"/>
        <v>467.28</v>
      </c>
      <c r="K2533" s="27">
        <f t="shared" si="3"/>
        <v>1</v>
      </c>
      <c r="L2533" s="25">
        <f t="shared" si="4"/>
        <v>1</v>
      </c>
    </row>
    <row r="2534">
      <c r="A2534" s="19">
        <v>114904.0</v>
      </c>
      <c r="B2534" s="20" t="str">
        <f t="array" ref="B2534">xlookup($A2534,product!$A:$A,product!B:B)</f>
        <v>Epicerie salée</v>
      </c>
      <c r="C2534" s="20" t="str">
        <f t="array" ref="C2534">xlookup($A2534,product!$A:$A,product!C:C)</f>
        <v>Sauces et coulis</v>
      </c>
      <c r="D2534" s="20" t="str">
        <f t="array" ref="D2534">xlookup($A2534,product!$A:$A,product!D:D)</f>
        <v>Sauces</v>
      </c>
      <c r="E2534" s="4" t="str">
        <f t="shared" si="1"/>
        <v>114904-Sauces et coulis-Sauces</v>
      </c>
      <c r="F2534" s="4">
        <v>0.0</v>
      </c>
      <c r="G2534" s="4">
        <v>713.0</v>
      </c>
      <c r="H2534" s="4">
        <v>624.0</v>
      </c>
      <c r="I2534" s="21">
        <f t="array" ref="I2534">XLOOKUP($A2534,product!A:A,product!E:E)</f>
        <v>3.63</v>
      </c>
      <c r="J2534" s="4">
        <f t="shared" si="2"/>
        <v>2265.12</v>
      </c>
      <c r="K2534" s="22">
        <f t="shared" si="3"/>
        <v>1</v>
      </c>
      <c r="L2534" s="4">
        <f t="shared" si="4"/>
        <v>1</v>
      </c>
    </row>
    <row r="2535">
      <c r="A2535" s="23">
        <v>113910.0</v>
      </c>
      <c r="B2535" s="24" t="str">
        <f t="array" ref="B2535">xlookup($A2535,product!$A:$A,product!B:B)</f>
        <v>Epicerie salée</v>
      </c>
      <c r="C2535" s="24" t="str">
        <f t="array" ref="C2535">xlookup($A2535,product!$A:$A,product!C:C)</f>
        <v>Sauces et coulis</v>
      </c>
      <c r="D2535" s="24" t="str">
        <f t="array" ref="D2535">xlookup($A2535,product!$A:$A,product!D:D)</f>
        <v>Sauces</v>
      </c>
      <c r="E2535" s="25" t="str">
        <f t="shared" si="1"/>
        <v>113910-Sauces et coulis-Sauces</v>
      </c>
      <c r="F2535" s="25">
        <v>0.0</v>
      </c>
      <c r="G2535" s="25">
        <v>438.0</v>
      </c>
      <c r="H2535" s="25">
        <v>249.0</v>
      </c>
      <c r="I2535" s="26">
        <f t="array" ref="I2535">XLOOKUP($A2535,product!A:A,product!E:E)</f>
        <v>1.99</v>
      </c>
      <c r="J2535" s="25">
        <f t="shared" si="2"/>
        <v>495.51</v>
      </c>
      <c r="K2535" s="27">
        <f t="shared" si="3"/>
        <v>1</v>
      </c>
      <c r="L2535" s="25">
        <f t="shared" si="4"/>
        <v>1</v>
      </c>
    </row>
    <row r="2536">
      <c r="A2536" s="19">
        <v>18100.0</v>
      </c>
      <c r="B2536" s="20" t="str">
        <f t="array" ref="B2536">xlookup($A2536,product!$A:$A,product!B:B)</f>
        <v>Epicerie salée</v>
      </c>
      <c r="C2536" s="20" t="str">
        <f t="array" ref="C2536">xlookup($A2536,product!$A:$A,product!C:C)</f>
        <v>Sauces et coulis</v>
      </c>
      <c r="D2536" s="20" t="str">
        <f t="array" ref="D2536">xlookup($A2536,product!$A:$A,product!D:D)</f>
        <v>Sauces</v>
      </c>
      <c r="E2536" s="4" t="str">
        <f t="shared" si="1"/>
        <v>18100-Sauces et coulis-Sauces</v>
      </c>
      <c r="F2536" s="4">
        <v>1.0</v>
      </c>
      <c r="G2536" s="4">
        <v>501.0</v>
      </c>
      <c r="H2536" s="4">
        <v>220.0</v>
      </c>
      <c r="I2536" s="21">
        <f t="array" ref="I2536">XLOOKUP($A2536,product!A:A,product!E:E)</f>
        <v>6.63</v>
      </c>
      <c r="J2536" s="4">
        <f t="shared" si="2"/>
        <v>1458.6</v>
      </c>
      <c r="K2536" s="22">
        <f t="shared" si="3"/>
        <v>1</v>
      </c>
      <c r="L2536" s="4">
        <f t="shared" si="4"/>
        <v>1</v>
      </c>
    </row>
    <row r="2537">
      <c r="A2537" s="23">
        <v>114963.0</v>
      </c>
      <c r="B2537" s="24" t="str">
        <f t="array" ref="B2537">xlookup($A2537,product!$A:$A,product!B:B)</f>
        <v>Epicerie salée</v>
      </c>
      <c r="C2537" s="24" t="str">
        <f t="array" ref="C2537">xlookup($A2537,product!$A:$A,product!C:C)</f>
        <v>Sauces et coulis</v>
      </c>
      <c r="D2537" s="24" t="str">
        <f t="array" ref="D2537">xlookup($A2537,product!$A:$A,product!D:D)</f>
        <v>Sauces</v>
      </c>
      <c r="E2537" s="25" t="str">
        <f t="shared" si="1"/>
        <v>114963-Sauces et coulis-Sauces</v>
      </c>
      <c r="F2537" s="25">
        <v>0.0</v>
      </c>
      <c r="G2537" s="25">
        <v>203.0</v>
      </c>
      <c r="H2537" s="25">
        <v>61.0</v>
      </c>
      <c r="I2537" s="26">
        <f t="array" ref="I2537">XLOOKUP($A2537,product!A:A,product!E:E)</f>
        <v>1.44</v>
      </c>
      <c r="J2537" s="25">
        <f t="shared" si="2"/>
        <v>87.84</v>
      </c>
      <c r="K2537" s="27">
        <f t="shared" si="3"/>
        <v>1</v>
      </c>
      <c r="L2537" s="25">
        <f t="shared" si="4"/>
        <v>1</v>
      </c>
    </row>
    <row r="2538">
      <c r="A2538" s="19">
        <v>121495.0</v>
      </c>
      <c r="B2538" s="20" t="str">
        <f t="array" ref="B2538">xlookup($A2538,product!$A:$A,product!B:B)</f>
        <v>Epicerie salée</v>
      </c>
      <c r="C2538" s="20" t="str">
        <f t="array" ref="C2538">xlookup($A2538,product!$A:$A,product!C:C)</f>
        <v>Sauces et coulis</v>
      </c>
      <c r="D2538" s="20" t="str">
        <f t="array" ref="D2538">xlookup($A2538,product!$A:$A,product!D:D)</f>
        <v>Sauces</v>
      </c>
      <c r="E2538" s="4" t="str">
        <f t="shared" si="1"/>
        <v>121495-Sauces et coulis-Sauces</v>
      </c>
      <c r="F2538" s="4">
        <v>1.0</v>
      </c>
      <c r="G2538" s="4">
        <v>932.0</v>
      </c>
      <c r="H2538" s="4">
        <v>841.0</v>
      </c>
      <c r="I2538" s="21">
        <f t="array" ref="I2538">XLOOKUP($A2538,product!A:A,product!E:E)</f>
        <v>1.52</v>
      </c>
      <c r="J2538" s="4">
        <f t="shared" si="2"/>
        <v>1278.32</v>
      </c>
      <c r="K2538" s="22">
        <f t="shared" si="3"/>
        <v>1</v>
      </c>
      <c r="L2538" s="4">
        <f t="shared" si="4"/>
        <v>1</v>
      </c>
    </row>
    <row r="2539">
      <c r="A2539" s="23">
        <v>83041.0</v>
      </c>
      <c r="B2539" s="24" t="str">
        <f t="array" ref="B2539">xlookup($A2539,product!$A:$A,product!B:B)</f>
        <v>Epicerie salée</v>
      </c>
      <c r="C2539" s="24" t="str">
        <f t="array" ref="C2539">xlookup($A2539,product!$A:$A,product!C:C)</f>
        <v>Sauces et coulis</v>
      </c>
      <c r="D2539" s="24" t="str">
        <f t="array" ref="D2539">xlookup($A2539,product!$A:$A,product!D:D)</f>
        <v>Sauces</v>
      </c>
      <c r="E2539" s="25" t="str">
        <f t="shared" si="1"/>
        <v>83041-Sauces et coulis-Sauces</v>
      </c>
      <c r="F2539" s="25">
        <v>1.0</v>
      </c>
      <c r="G2539" s="25">
        <v>971.0</v>
      </c>
      <c r="H2539" s="25">
        <v>954.0</v>
      </c>
      <c r="I2539" s="26">
        <f t="array" ref="I2539">XLOOKUP($A2539,product!A:A,product!E:E)</f>
        <v>3.68</v>
      </c>
      <c r="J2539" s="25">
        <f t="shared" si="2"/>
        <v>3510.72</v>
      </c>
      <c r="K2539" s="27">
        <f t="shared" si="3"/>
        <v>1</v>
      </c>
      <c r="L2539" s="25">
        <f t="shared" si="4"/>
        <v>1</v>
      </c>
    </row>
    <row r="2540">
      <c r="A2540" s="19">
        <v>121499.0</v>
      </c>
      <c r="B2540" s="20" t="str">
        <f t="array" ref="B2540">xlookup($A2540,product!$A:$A,product!B:B)</f>
        <v>Epicerie salée</v>
      </c>
      <c r="C2540" s="20" t="str">
        <f t="array" ref="C2540">xlookup($A2540,product!$A:$A,product!C:C)</f>
        <v>Sauces et coulis</v>
      </c>
      <c r="D2540" s="20" t="str">
        <f t="array" ref="D2540">xlookup($A2540,product!$A:$A,product!D:D)</f>
        <v>Sauces</v>
      </c>
      <c r="E2540" s="4" t="str">
        <f t="shared" si="1"/>
        <v>121499-Sauces et coulis-Sauces</v>
      </c>
      <c r="F2540" s="4">
        <v>1.0</v>
      </c>
      <c r="G2540" s="4">
        <v>545.0</v>
      </c>
      <c r="H2540" s="4">
        <v>27.0</v>
      </c>
      <c r="I2540" s="21">
        <f t="array" ref="I2540">XLOOKUP($A2540,product!A:A,product!E:E)</f>
        <v>0.72</v>
      </c>
      <c r="J2540" s="4">
        <f t="shared" si="2"/>
        <v>19.44</v>
      </c>
      <c r="K2540" s="22">
        <f t="shared" si="3"/>
        <v>1</v>
      </c>
      <c r="L2540" s="4">
        <f t="shared" si="4"/>
        <v>1</v>
      </c>
    </row>
    <row r="2541">
      <c r="A2541" s="23">
        <v>108528.0</v>
      </c>
      <c r="B2541" s="24" t="str">
        <f t="array" ref="B2541">xlookup($A2541,product!$A:$A,product!B:B)</f>
        <v>Epicerie salée</v>
      </c>
      <c r="C2541" s="24" t="str">
        <f t="array" ref="C2541">xlookup($A2541,product!$A:$A,product!C:C)</f>
        <v>Sauces et coulis</v>
      </c>
      <c r="D2541" s="24" t="str">
        <f t="array" ref="D2541">xlookup($A2541,product!$A:$A,product!D:D)</f>
        <v>Sauces</v>
      </c>
      <c r="E2541" s="25" t="str">
        <f t="shared" si="1"/>
        <v>108528-Sauces et coulis-Sauces</v>
      </c>
      <c r="F2541" s="25">
        <v>0.0</v>
      </c>
      <c r="G2541" s="25">
        <v>105.0</v>
      </c>
      <c r="H2541" s="25">
        <v>20.0</v>
      </c>
      <c r="I2541" s="26">
        <f t="array" ref="I2541">XLOOKUP($A2541,product!A:A,product!E:E)</f>
        <v>5.15</v>
      </c>
      <c r="J2541" s="25">
        <f t="shared" si="2"/>
        <v>103</v>
      </c>
      <c r="K2541" s="27">
        <f t="shared" si="3"/>
        <v>1</v>
      </c>
      <c r="L2541" s="25">
        <f t="shared" si="4"/>
        <v>1</v>
      </c>
    </row>
    <row r="2542">
      <c r="A2542" s="19">
        <v>69547.0</v>
      </c>
      <c r="B2542" s="20" t="str">
        <f t="array" ref="B2542">xlookup($A2542,product!$A:$A,product!B:B)</f>
        <v>Epicerie salée</v>
      </c>
      <c r="C2542" s="20" t="str">
        <f t="array" ref="C2542">xlookup($A2542,product!$A:$A,product!C:C)</f>
        <v>Sauces et coulis</v>
      </c>
      <c r="D2542" s="20" t="str">
        <f t="array" ref="D2542">xlookup($A2542,product!$A:$A,product!D:D)</f>
        <v>Sauces</v>
      </c>
      <c r="E2542" s="4" t="str">
        <f t="shared" si="1"/>
        <v>69547-Sauces et coulis-Sauces</v>
      </c>
      <c r="F2542" s="4">
        <v>1.0</v>
      </c>
      <c r="G2542" s="4">
        <v>888.0</v>
      </c>
      <c r="H2542" s="4">
        <v>312.0</v>
      </c>
      <c r="I2542" s="21">
        <f t="array" ref="I2542">XLOOKUP($A2542,product!A:A,product!E:E)</f>
        <v>1.48</v>
      </c>
      <c r="J2542" s="4">
        <f t="shared" si="2"/>
        <v>461.76</v>
      </c>
      <c r="K2542" s="22">
        <f t="shared" si="3"/>
        <v>1</v>
      </c>
      <c r="L2542" s="4">
        <f t="shared" si="4"/>
        <v>1</v>
      </c>
    </row>
    <row r="2543">
      <c r="A2543" s="23">
        <v>18126.0</v>
      </c>
      <c r="B2543" s="24" t="str">
        <f t="array" ref="B2543">xlookup($A2543,product!$A:$A,product!B:B)</f>
        <v>Epicerie salée</v>
      </c>
      <c r="C2543" s="24" t="str">
        <f t="array" ref="C2543">xlookup($A2543,product!$A:$A,product!C:C)</f>
        <v>Sauces et coulis</v>
      </c>
      <c r="D2543" s="24" t="str">
        <f t="array" ref="D2543">xlookup($A2543,product!$A:$A,product!D:D)</f>
        <v>Sauces</v>
      </c>
      <c r="E2543" s="25" t="str">
        <f t="shared" si="1"/>
        <v>18126-Sauces et coulis-Sauces</v>
      </c>
      <c r="F2543" s="25">
        <v>0.0</v>
      </c>
      <c r="G2543" s="25">
        <v>840.0</v>
      </c>
      <c r="H2543" s="25">
        <v>96.0</v>
      </c>
      <c r="I2543" s="26">
        <f t="array" ref="I2543">XLOOKUP($A2543,product!A:A,product!E:E)</f>
        <v>8.61</v>
      </c>
      <c r="J2543" s="25">
        <f t="shared" si="2"/>
        <v>826.56</v>
      </c>
      <c r="K2543" s="27">
        <f t="shared" si="3"/>
        <v>1</v>
      </c>
      <c r="L2543" s="25">
        <f t="shared" si="4"/>
        <v>1</v>
      </c>
    </row>
    <row r="2544">
      <c r="A2544" s="19">
        <v>121812.0</v>
      </c>
      <c r="B2544" s="20" t="str">
        <f t="array" ref="B2544">xlookup($A2544,product!$A:$A,product!B:B)</f>
        <v>Epicerie salée</v>
      </c>
      <c r="C2544" s="20" t="str">
        <f t="array" ref="C2544">xlookup($A2544,product!$A:$A,product!C:C)</f>
        <v>Sauces et coulis</v>
      </c>
      <c r="D2544" s="20" t="str">
        <f t="array" ref="D2544">xlookup($A2544,product!$A:$A,product!D:D)</f>
        <v>Sauces</v>
      </c>
      <c r="E2544" s="4" t="str">
        <f t="shared" si="1"/>
        <v>121812-Sauces et coulis-Sauces</v>
      </c>
      <c r="F2544" s="4">
        <v>0.0</v>
      </c>
      <c r="G2544" s="4">
        <v>672.0</v>
      </c>
      <c r="H2544" s="4">
        <v>160.0</v>
      </c>
      <c r="I2544" s="21">
        <f t="array" ref="I2544">XLOOKUP($A2544,product!A:A,product!E:E)</f>
        <v>2.17</v>
      </c>
      <c r="J2544" s="4">
        <f t="shared" si="2"/>
        <v>347.2</v>
      </c>
      <c r="K2544" s="22">
        <f t="shared" si="3"/>
        <v>1</v>
      </c>
      <c r="L2544" s="4">
        <f t="shared" si="4"/>
        <v>1</v>
      </c>
    </row>
    <row r="2545">
      <c r="A2545" s="23">
        <v>81497.0</v>
      </c>
      <c r="B2545" s="24" t="str">
        <f t="array" ref="B2545">xlookup($A2545,product!$A:$A,product!B:B)</f>
        <v>Epicerie salée</v>
      </c>
      <c r="C2545" s="24" t="str">
        <f t="array" ref="C2545">xlookup($A2545,product!$A:$A,product!C:C)</f>
        <v>Sauces et coulis</v>
      </c>
      <c r="D2545" s="24" t="str">
        <f t="array" ref="D2545">xlookup($A2545,product!$A:$A,product!D:D)</f>
        <v>Sauces</v>
      </c>
      <c r="E2545" s="25" t="str">
        <f t="shared" si="1"/>
        <v>81497-Sauces et coulis-Sauces</v>
      </c>
      <c r="F2545" s="25">
        <v>0.0</v>
      </c>
      <c r="G2545" s="25">
        <v>284.0</v>
      </c>
      <c r="H2545" s="25">
        <v>245.0</v>
      </c>
      <c r="I2545" s="26">
        <f t="array" ref="I2545">XLOOKUP($A2545,product!A:A,product!E:E)</f>
        <v>1.2</v>
      </c>
      <c r="J2545" s="25">
        <f t="shared" si="2"/>
        <v>294</v>
      </c>
      <c r="K2545" s="27">
        <f t="shared" si="3"/>
        <v>1</v>
      </c>
      <c r="L2545" s="25">
        <f t="shared" si="4"/>
        <v>1</v>
      </c>
    </row>
    <row r="2546">
      <c r="A2546" s="19">
        <v>121500.0</v>
      </c>
      <c r="B2546" s="20" t="str">
        <f t="array" ref="B2546">xlookup($A2546,product!$A:$A,product!B:B)</f>
        <v>Epicerie salée</v>
      </c>
      <c r="C2546" s="20" t="str">
        <f t="array" ref="C2546">xlookup($A2546,product!$A:$A,product!C:C)</f>
        <v>Sauces et coulis</v>
      </c>
      <c r="D2546" s="20" t="str">
        <f t="array" ref="D2546">xlookup($A2546,product!$A:$A,product!D:D)</f>
        <v>Sauces</v>
      </c>
      <c r="E2546" s="4" t="str">
        <f t="shared" si="1"/>
        <v>121500-Sauces et coulis-Sauces</v>
      </c>
      <c r="F2546" s="4">
        <v>0.0</v>
      </c>
      <c r="G2546" s="4">
        <v>706.0</v>
      </c>
      <c r="H2546" s="4">
        <v>98.0</v>
      </c>
      <c r="I2546" s="21">
        <f t="array" ref="I2546">XLOOKUP($A2546,product!A:A,product!E:E)</f>
        <v>0.91</v>
      </c>
      <c r="J2546" s="4">
        <f t="shared" si="2"/>
        <v>89.18</v>
      </c>
      <c r="K2546" s="22">
        <f t="shared" si="3"/>
        <v>1</v>
      </c>
      <c r="L2546" s="4">
        <f t="shared" si="4"/>
        <v>1</v>
      </c>
    </row>
    <row r="2547">
      <c r="A2547" s="23">
        <v>45903.0</v>
      </c>
      <c r="B2547" s="24" t="str">
        <f t="array" ref="B2547">xlookup($A2547,product!$A:$A,product!B:B)</f>
        <v>Epicerie salée</v>
      </c>
      <c r="C2547" s="24" t="str">
        <f t="array" ref="C2547">xlookup($A2547,product!$A:$A,product!C:C)</f>
        <v>Sauces et coulis</v>
      </c>
      <c r="D2547" s="24" t="str">
        <f t="array" ref="D2547">xlookup($A2547,product!$A:$A,product!D:D)</f>
        <v>Sauces</v>
      </c>
      <c r="E2547" s="25" t="str">
        <f t="shared" si="1"/>
        <v>45903-Sauces et coulis-Sauces</v>
      </c>
      <c r="F2547" s="25">
        <v>0.0</v>
      </c>
      <c r="G2547" s="25">
        <v>781.0</v>
      </c>
      <c r="H2547" s="25">
        <v>330.0</v>
      </c>
      <c r="I2547" s="26">
        <f t="array" ref="I2547">XLOOKUP($A2547,product!A:A,product!E:E)</f>
        <v>3.72</v>
      </c>
      <c r="J2547" s="25">
        <f t="shared" si="2"/>
        <v>1227.6</v>
      </c>
      <c r="K2547" s="27">
        <f t="shared" si="3"/>
        <v>1</v>
      </c>
      <c r="L2547" s="25">
        <f t="shared" si="4"/>
        <v>1</v>
      </c>
    </row>
    <row r="2548">
      <c r="A2548" s="19">
        <v>121813.0</v>
      </c>
      <c r="B2548" s="20" t="str">
        <f t="array" ref="B2548">xlookup($A2548,product!$A:$A,product!B:B)</f>
        <v>Epicerie salée</v>
      </c>
      <c r="C2548" s="20" t="str">
        <f t="array" ref="C2548">xlookup($A2548,product!$A:$A,product!C:C)</f>
        <v>Sauces et coulis</v>
      </c>
      <c r="D2548" s="20" t="str">
        <f t="array" ref="D2548">xlookup($A2548,product!$A:$A,product!D:D)</f>
        <v>Sauces</v>
      </c>
      <c r="E2548" s="4" t="str">
        <f t="shared" si="1"/>
        <v>121813-Sauces et coulis-Sauces</v>
      </c>
      <c r="F2548" s="4">
        <v>0.0</v>
      </c>
      <c r="G2548" s="4">
        <v>270.0</v>
      </c>
      <c r="H2548" s="4">
        <v>137.0</v>
      </c>
      <c r="I2548" s="21">
        <f t="array" ref="I2548">XLOOKUP($A2548,product!A:A,product!E:E)</f>
        <v>1.4</v>
      </c>
      <c r="J2548" s="4">
        <f t="shared" si="2"/>
        <v>191.8</v>
      </c>
      <c r="K2548" s="22">
        <f t="shared" si="3"/>
        <v>1</v>
      </c>
      <c r="L2548" s="4">
        <f t="shared" si="4"/>
        <v>1</v>
      </c>
    </row>
    <row r="2549">
      <c r="A2549" s="23">
        <v>108512.0</v>
      </c>
      <c r="B2549" s="24" t="str">
        <f t="array" ref="B2549">xlookup($A2549,product!$A:$A,product!B:B)</f>
        <v>Epicerie salée</v>
      </c>
      <c r="C2549" s="24" t="str">
        <f t="array" ref="C2549">xlookup($A2549,product!$A:$A,product!C:C)</f>
        <v>Sauces et coulis</v>
      </c>
      <c r="D2549" s="24" t="str">
        <f t="array" ref="D2549">xlookup($A2549,product!$A:$A,product!D:D)</f>
        <v>Sauces</v>
      </c>
      <c r="E2549" s="25" t="str">
        <f t="shared" si="1"/>
        <v>108512-Sauces et coulis-Sauces</v>
      </c>
      <c r="F2549" s="25">
        <v>0.0</v>
      </c>
      <c r="G2549" s="25">
        <v>273.0</v>
      </c>
      <c r="H2549" s="25">
        <v>17.0</v>
      </c>
      <c r="I2549" s="26">
        <f t="array" ref="I2549">XLOOKUP($A2549,product!A:A,product!E:E)</f>
        <v>4.48</v>
      </c>
      <c r="J2549" s="25">
        <f t="shared" si="2"/>
        <v>76.16</v>
      </c>
      <c r="K2549" s="27">
        <f t="shared" si="3"/>
        <v>1</v>
      </c>
      <c r="L2549" s="25">
        <f t="shared" si="4"/>
        <v>1</v>
      </c>
    </row>
    <row r="2550">
      <c r="A2550" s="19">
        <v>70189.0</v>
      </c>
      <c r="B2550" s="20" t="str">
        <f t="array" ref="B2550">xlookup($A2550,product!$A:$A,product!B:B)</f>
        <v>Epicerie salée</v>
      </c>
      <c r="C2550" s="20" t="str">
        <f t="array" ref="C2550">xlookup($A2550,product!$A:$A,product!C:C)</f>
        <v>Sauces et coulis</v>
      </c>
      <c r="D2550" s="20" t="str">
        <f t="array" ref="D2550">xlookup($A2550,product!$A:$A,product!D:D)</f>
        <v>Sauces</v>
      </c>
      <c r="E2550" s="4" t="str">
        <f t="shared" si="1"/>
        <v>70189-Sauces et coulis-Sauces</v>
      </c>
      <c r="F2550" s="4">
        <v>1.0</v>
      </c>
      <c r="G2550" s="4">
        <v>664.0</v>
      </c>
      <c r="H2550" s="4">
        <v>307.0</v>
      </c>
      <c r="I2550" s="21">
        <f t="array" ref="I2550">XLOOKUP($A2550,product!A:A,product!E:E)</f>
        <v>1.88</v>
      </c>
      <c r="J2550" s="4">
        <f t="shared" si="2"/>
        <v>577.16</v>
      </c>
      <c r="K2550" s="22">
        <f t="shared" si="3"/>
        <v>1</v>
      </c>
      <c r="L2550" s="4">
        <f t="shared" si="4"/>
        <v>1</v>
      </c>
    </row>
    <row r="2551">
      <c r="A2551" s="23">
        <v>194057.0</v>
      </c>
      <c r="B2551" s="24" t="str">
        <f t="array" ref="B2551">xlookup($A2551,product!$A:$A,product!B:B)</f>
        <v>Epicerie salée</v>
      </c>
      <c r="C2551" s="24" t="str">
        <f t="array" ref="C2551">xlookup($A2551,product!$A:$A,product!C:C)</f>
        <v>Sauces et coulis</v>
      </c>
      <c r="D2551" s="24" t="str">
        <f t="array" ref="D2551">xlookup($A2551,product!$A:$A,product!D:D)</f>
        <v>Sauces</v>
      </c>
      <c r="E2551" s="25" t="str">
        <f t="shared" si="1"/>
        <v>194057-Sauces et coulis-Sauces</v>
      </c>
      <c r="F2551" s="25">
        <v>0.0</v>
      </c>
      <c r="G2551" s="25">
        <v>738.0</v>
      </c>
      <c r="H2551" s="25">
        <v>167.0</v>
      </c>
      <c r="I2551" s="26">
        <f t="array" ref="I2551">XLOOKUP($A2551,product!A:A,product!E:E)</f>
        <v>2.16</v>
      </c>
      <c r="J2551" s="25">
        <f t="shared" si="2"/>
        <v>360.72</v>
      </c>
      <c r="K2551" s="27">
        <f t="shared" si="3"/>
        <v>1</v>
      </c>
      <c r="L2551" s="25">
        <f t="shared" si="4"/>
        <v>1</v>
      </c>
    </row>
    <row r="2552">
      <c r="A2552" s="19">
        <v>121460.0</v>
      </c>
      <c r="B2552" s="20" t="str">
        <f t="array" ref="B2552">xlookup($A2552,product!$A:$A,product!B:B)</f>
        <v>Epicerie salée</v>
      </c>
      <c r="C2552" s="20" t="str">
        <f t="array" ref="C2552">xlookup($A2552,product!$A:$A,product!C:C)</f>
        <v>Sauces et coulis</v>
      </c>
      <c r="D2552" s="20" t="str">
        <f t="array" ref="D2552">xlookup($A2552,product!$A:$A,product!D:D)</f>
        <v>Sauces</v>
      </c>
      <c r="E2552" s="4" t="str">
        <f t="shared" si="1"/>
        <v>121460-Sauces et coulis-Sauces</v>
      </c>
      <c r="F2552" s="4">
        <v>0.0</v>
      </c>
      <c r="G2552" s="4">
        <v>60.0</v>
      </c>
      <c r="H2552" s="4">
        <v>60.0</v>
      </c>
      <c r="I2552" s="21">
        <f t="array" ref="I2552">XLOOKUP($A2552,product!A:A,product!E:E)</f>
        <v>0.65</v>
      </c>
      <c r="J2552" s="4">
        <f t="shared" si="2"/>
        <v>39</v>
      </c>
      <c r="K2552" s="22">
        <f t="shared" si="3"/>
        <v>1</v>
      </c>
      <c r="L2552" s="4">
        <f t="shared" si="4"/>
        <v>1</v>
      </c>
    </row>
    <row r="2553">
      <c r="A2553" s="23">
        <v>121950.0</v>
      </c>
      <c r="B2553" s="24" t="str">
        <f t="array" ref="B2553">xlookup($A2553,product!$A:$A,product!B:B)</f>
        <v>Epicerie salée</v>
      </c>
      <c r="C2553" s="24" t="str">
        <f t="array" ref="C2553">xlookup($A2553,product!$A:$A,product!C:C)</f>
        <v>Sauces et coulis</v>
      </c>
      <c r="D2553" s="24" t="str">
        <f t="array" ref="D2553">xlookup($A2553,product!$A:$A,product!D:D)</f>
        <v>Sauces</v>
      </c>
      <c r="E2553" s="25" t="str">
        <f t="shared" si="1"/>
        <v>121950-Sauces et coulis-Sauces</v>
      </c>
      <c r="F2553" s="25">
        <v>1.0</v>
      </c>
      <c r="G2553" s="25">
        <v>681.0</v>
      </c>
      <c r="H2553" s="25">
        <v>107.0</v>
      </c>
      <c r="I2553" s="26">
        <f t="array" ref="I2553">XLOOKUP($A2553,product!A:A,product!E:E)</f>
        <v>3.46</v>
      </c>
      <c r="J2553" s="25">
        <f t="shared" si="2"/>
        <v>370.22</v>
      </c>
      <c r="K2553" s="27">
        <f t="shared" si="3"/>
        <v>1</v>
      </c>
      <c r="L2553" s="25">
        <f t="shared" si="4"/>
        <v>1</v>
      </c>
    </row>
    <row r="2554">
      <c r="A2554" s="19">
        <v>121811.0</v>
      </c>
      <c r="B2554" s="20" t="str">
        <f t="array" ref="B2554">xlookup($A2554,product!$A:$A,product!B:B)</f>
        <v>Epicerie salée</v>
      </c>
      <c r="C2554" s="20" t="str">
        <f t="array" ref="C2554">xlookup($A2554,product!$A:$A,product!C:C)</f>
        <v>Sauces et coulis</v>
      </c>
      <c r="D2554" s="20" t="str">
        <f t="array" ref="D2554">xlookup($A2554,product!$A:$A,product!D:D)</f>
        <v>Sauces</v>
      </c>
      <c r="E2554" s="4" t="str">
        <f t="shared" si="1"/>
        <v>121811-Sauces et coulis-Sauces</v>
      </c>
      <c r="F2554" s="4">
        <v>0.0</v>
      </c>
      <c r="G2554" s="4">
        <v>529.0</v>
      </c>
      <c r="H2554" s="4">
        <v>8.0</v>
      </c>
      <c r="I2554" s="21">
        <f t="array" ref="I2554">XLOOKUP($A2554,product!A:A,product!E:E)</f>
        <v>1.26</v>
      </c>
      <c r="J2554" s="4">
        <f t="shared" si="2"/>
        <v>10.08</v>
      </c>
      <c r="K2554" s="22">
        <f t="shared" si="3"/>
        <v>1</v>
      </c>
      <c r="L2554" s="4">
        <f t="shared" si="4"/>
        <v>1</v>
      </c>
    </row>
    <row r="2555">
      <c r="A2555" s="23">
        <v>86400.0</v>
      </c>
      <c r="B2555" s="24" t="str">
        <f t="array" ref="B2555">xlookup($A2555,product!$A:$A,product!B:B)</f>
        <v>Epicerie salée</v>
      </c>
      <c r="C2555" s="24" t="str">
        <f t="array" ref="C2555">xlookup($A2555,product!$A:$A,product!C:C)</f>
        <v>Sauces et coulis</v>
      </c>
      <c r="D2555" s="24" t="str">
        <f t="array" ref="D2555">xlookup($A2555,product!$A:$A,product!D:D)</f>
        <v>Sauces</v>
      </c>
      <c r="E2555" s="25" t="str">
        <f t="shared" si="1"/>
        <v>86400-Sauces et coulis-Sauces</v>
      </c>
      <c r="F2555" s="25">
        <v>1.0</v>
      </c>
      <c r="G2555" s="25">
        <v>254.0</v>
      </c>
      <c r="H2555" s="25">
        <v>41.0</v>
      </c>
      <c r="I2555" s="26">
        <f t="array" ref="I2555">XLOOKUP($A2555,product!A:A,product!E:E)</f>
        <v>1.33</v>
      </c>
      <c r="J2555" s="25">
        <f t="shared" si="2"/>
        <v>54.53</v>
      </c>
      <c r="K2555" s="27">
        <f t="shared" si="3"/>
        <v>1</v>
      </c>
      <c r="L2555" s="25">
        <f t="shared" si="4"/>
        <v>1</v>
      </c>
    </row>
    <row r="2556">
      <c r="A2556" s="19">
        <v>108527.0</v>
      </c>
      <c r="B2556" s="20" t="str">
        <f t="array" ref="B2556">xlookup($A2556,product!$A:$A,product!B:B)</f>
        <v>Epicerie salée</v>
      </c>
      <c r="C2556" s="20" t="str">
        <f t="array" ref="C2556">xlookup($A2556,product!$A:$A,product!C:C)</f>
        <v>Sauces et coulis</v>
      </c>
      <c r="D2556" s="20" t="str">
        <f t="array" ref="D2556">xlookup($A2556,product!$A:$A,product!D:D)</f>
        <v>Sauces</v>
      </c>
      <c r="E2556" s="4" t="str">
        <f t="shared" si="1"/>
        <v>108527-Sauces et coulis-Sauces</v>
      </c>
      <c r="F2556" s="4">
        <v>0.0</v>
      </c>
      <c r="G2556" s="4">
        <v>675.0</v>
      </c>
      <c r="H2556" s="4">
        <v>383.0</v>
      </c>
      <c r="I2556" s="21">
        <f t="array" ref="I2556">XLOOKUP($A2556,product!A:A,product!E:E)</f>
        <v>2.34</v>
      </c>
      <c r="J2556" s="4">
        <f t="shared" si="2"/>
        <v>896.22</v>
      </c>
      <c r="K2556" s="22">
        <f t="shared" si="3"/>
        <v>1</v>
      </c>
      <c r="L2556" s="4">
        <f t="shared" si="4"/>
        <v>1</v>
      </c>
    </row>
    <row r="2557">
      <c r="A2557" s="23">
        <v>88622.0</v>
      </c>
      <c r="B2557" s="24" t="str">
        <f t="array" ref="B2557">xlookup($A2557,product!$A:$A,product!B:B)</f>
        <v>Epicerie salée</v>
      </c>
      <c r="C2557" s="24" t="str">
        <f t="array" ref="C2557">xlookup($A2557,product!$A:$A,product!C:C)</f>
        <v>Sauces et coulis</v>
      </c>
      <c r="D2557" s="24" t="str">
        <f t="array" ref="D2557">xlookup($A2557,product!$A:$A,product!D:D)</f>
        <v>Sauces</v>
      </c>
      <c r="E2557" s="25" t="str">
        <f t="shared" si="1"/>
        <v>88622-Sauces et coulis-Sauces</v>
      </c>
      <c r="F2557" s="25">
        <v>1.0</v>
      </c>
      <c r="G2557" s="25">
        <v>510.0</v>
      </c>
      <c r="H2557" s="25">
        <v>24.0</v>
      </c>
      <c r="I2557" s="26">
        <f t="array" ref="I2557">XLOOKUP($A2557,product!A:A,product!E:E)</f>
        <v>1.56</v>
      </c>
      <c r="J2557" s="25">
        <f t="shared" si="2"/>
        <v>37.44</v>
      </c>
      <c r="K2557" s="27">
        <f t="shared" si="3"/>
        <v>1</v>
      </c>
      <c r="L2557" s="25">
        <f t="shared" si="4"/>
        <v>1</v>
      </c>
    </row>
    <row r="2558">
      <c r="A2558" s="19">
        <v>121803.0</v>
      </c>
      <c r="B2558" s="20" t="str">
        <f t="array" ref="B2558">xlookup($A2558,product!$A:$A,product!B:B)</f>
        <v>Epicerie salée</v>
      </c>
      <c r="C2558" s="20" t="str">
        <f t="array" ref="C2558">xlookup($A2558,product!$A:$A,product!C:C)</f>
        <v>Sauces et coulis</v>
      </c>
      <c r="D2558" s="20" t="str">
        <f t="array" ref="D2558">xlookup($A2558,product!$A:$A,product!D:D)</f>
        <v>Sauces</v>
      </c>
      <c r="E2558" s="4" t="str">
        <f t="shared" si="1"/>
        <v>121803-Sauces et coulis-Sauces</v>
      </c>
      <c r="F2558" s="4">
        <v>0.0</v>
      </c>
      <c r="G2558" s="4">
        <v>477.0</v>
      </c>
      <c r="H2558" s="4">
        <v>310.0</v>
      </c>
      <c r="I2558" s="21">
        <f t="array" ref="I2558">XLOOKUP($A2558,product!A:A,product!E:E)</f>
        <v>1.21</v>
      </c>
      <c r="J2558" s="4">
        <f t="shared" si="2"/>
        <v>375.1</v>
      </c>
      <c r="K2558" s="22">
        <f t="shared" si="3"/>
        <v>1</v>
      </c>
      <c r="L2558" s="4">
        <f t="shared" si="4"/>
        <v>1</v>
      </c>
    </row>
    <row r="2559">
      <c r="A2559" s="23">
        <v>87418.0</v>
      </c>
      <c r="B2559" s="24" t="str">
        <f t="array" ref="B2559">xlookup($A2559,product!$A:$A,product!B:B)</f>
        <v>Epicerie salée</v>
      </c>
      <c r="C2559" s="24" t="str">
        <f t="array" ref="C2559">xlookup($A2559,product!$A:$A,product!C:C)</f>
        <v>Sauces et coulis</v>
      </c>
      <c r="D2559" s="24" t="str">
        <f t="array" ref="D2559">xlookup($A2559,product!$A:$A,product!D:D)</f>
        <v>Sauces</v>
      </c>
      <c r="E2559" s="25" t="str">
        <f t="shared" si="1"/>
        <v>87418-Sauces et coulis-Sauces</v>
      </c>
      <c r="F2559" s="25">
        <v>1.0</v>
      </c>
      <c r="G2559" s="25">
        <v>776.0</v>
      </c>
      <c r="H2559" s="25">
        <v>375.0</v>
      </c>
      <c r="I2559" s="26">
        <f t="array" ref="I2559">XLOOKUP($A2559,product!A:A,product!E:E)</f>
        <v>1.66</v>
      </c>
      <c r="J2559" s="25">
        <f t="shared" si="2"/>
        <v>622.5</v>
      </c>
      <c r="K2559" s="27">
        <f t="shared" si="3"/>
        <v>1</v>
      </c>
      <c r="L2559" s="25">
        <f t="shared" si="4"/>
        <v>1</v>
      </c>
    </row>
    <row r="2560">
      <c r="A2560" s="19">
        <v>26275.0</v>
      </c>
      <c r="B2560" s="20" t="str">
        <f t="array" ref="B2560">xlookup($A2560,product!$A:$A,product!B:B)</f>
        <v>Epicerie salée</v>
      </c>
      <c r="C2560" s="20" t="str">
        <f t="array" ref="C2560">xlookup($A2560,product!$A:$A,product!C:C)</f>
        <v>Sauces et coulis</v>
      </c>
      <c r="D2560" s="20" t="str">
        <f t="array" ref="D2560">xlookup($A2560,product!$A:$A,product!D:D)</f>
        <v>Sauces</v>
      </c>
      <c r="E2560" s="4" t="str">
        <f t="shared" si="1"/>
        <v>26275-Sauces et coulis-Sauces</v>
      </c>
      <c r="F2560" s="4">
        <v>0.0</v>
      </c>
      <c r="G2560" s="4">
        <v>160.0</v>
      </c>
      <c r="H2560" s="4">
        <v>25.0</v>
      </c>
      <c r="I2560" s="21">
        <f t="array" ref="I2560">XLOOKUP($A2560,product!A:A,product!E:E)</f>
        <v>1.63</v>
      </c>
      <c r="J2560" s="4">
        <f t="shared" si="2"/>
        <v>40.75</v>
      </c>
      <c r="K2560" s="22">
        <f t="shared" si="3"/>
        <v>1</v>
      </c>
      <c r="L2560" s="4">
        <f t="shared" si="4"/>
        <v>1</v>
      </c>
    </row>
    <row r="2561">
      <c r="A2561" s="23">
        <v>119229.0</v>
      </c>
      <c r="B2561" s="24" t="str">
        <f t="array" ref="B2561">xlookup($A2561,product!$A:$A,product!B:B)</f>
        <v>Epicerie salée</v>
      </c>
      <c r="C2561" s="24" t="str">
        <f t="array" ref="C2561">xlookup($A2561,product!$A:$A,product!C:C)</f>
        <v>Sauces et coulis</v>
      </c>
      <c r="D2561" s="24" t="str">
        <f t="array" ref="D2561">xlookup($A2561,product!$A:$A,product!D:D)</f>
        <v>Sauces</v>
      </c>
      <c r="E2561" s="25" t="str">
        <f t="shared" si="1"/>
        <v>119229-Sauces et coulis-Sauces</v>
      </c>
      <c r="F2561" s="25">
        <v>1.0</v>
      </c>
      <c r="G2561" s="25">
        <v>239.0</v>
      </c>
      <c r="H2561" s="25">
        <v>112.0</v>
      </c>
      <c r="I2561" s="26">
        <f t="array" ref="I2561">XLOOKUP($A2561,product!A:A,product!E:E)</f>
        <v>2.23</v>
      </c>
      <c r="J2561" s="25">
        <f t="shared" si="2"/>
        <v>249.76</v>
      </c>
      <c r="K2561" s="27">
        <f t="shared" si="3"/>
        <v>1</v>
      </c>
      <c r="L2561" s="25">
        <f t="shared" si="4"/>
        <v>1</v>
      </c>
    </row>
    <row r="2562">
      <c r="A2562" s="19">
        <v>74881.0</v>
      </c>
      <c r="B2562" s="20" t="str">
        <f t="array" ref="B2562">xlookup($A2562,product!$A:$A,product!B:B)</f>
        <v>Epicerie salée</v>
      </c>
      <c r="C2562" s="20" t="str">
        <f t="array" ref="C2562">xlookup($A2562,product!$A:$A,product!C:C)</f>
        <v>Sauces et coulis</v>
      </c>
      <c r="D2562" s="20" t="str">
        <f t="array" ref="D2562">xlookup($A2562,product!$A:$A,product!D:D)</f>
        <v>Sauces</v>
      </c>
      <c r="E2562" s="4" t="str">
        <f t="shared" si="1"/>
        <v>74881-Sauces et coulis-Sauces</v>
      </c>
      <c r="F2562" s="4">
        <v>1.0</v>
      </c>
      <c r="G2562" s="4">
        <v>60.0</v>
      </c>
      <c r="H2562" s="4">
        <v>34.0</v>
      </c>
      <c r="I2562" s="21">
        <f t="array" ref="I2562">XLOOKUP($A2562,product!A:A,product!E:E)</f>
        <v>4.69</v>
      </c>
      <c r="J2562" s="4">
        <f t="shared" si="2"/>
        <v>159.46</v>
      </c>
      <c r="K2562" s="22">
        <f t="shared" si="3"/>
        <v>1</v>
      </c>
      <c r="L2562" s="4">
        <f t="shared" si="4"/>
        <v>1</v>
      </c>
    </row>
    <row r="2563">
      <c r="A2563" s="23">
        <v>86469.0</v>
      </c>
      <c r="B2563" s="24" t="str">
        <f t="array" ref="B2563">xlookup($A2563,product!$A:$A,product!B:B)</f>
        <v>Epicerie salée</v>
      </c>
      <c r="C2563" s="24" t="str">
        <f t="array" ref="C2563">xlookup($A2563,product!$A:$A,product!C:C)</f>
        <v>Sauces et coulis</v>
      </c>
      <c r="D2563" s="24" t="str">
        <f t="array" ref="D2563">xlookup($A2563,product!$A:$A,product!D:D)</f>
        <v>Sauces</v>
      </c>
      <c r="E2563" s="25" t="str">
        <f t="shared" si="1"/>
        <v>86469-Sauces et coulis-Sauces</v>
      </c>
      <c r="F2563" s="25">
        <v>1.0</v>
      </c>
      <c r="G2563" s="25">
        <v>52.0</v>
      </c>
      <c r="H2563" s="25">
        <v>25.0</v>
      </c>
      <c r="I2563" s="26">
        <f t="array" ref="I2563">XLOOKUP($A2563,product!A:A,product!E:E)</f>
        <v>1.15</v>
      </c>
      <c r="J2563" s="25">
        <f t="shared" si="2"/>
        <v>28.75</v>
      </c>
      <c r="K2563" s="27">
        <f t="shared" si="3"/>
        <v>1</v>
      </c>
      <c r="L2563" s="25">
        <f t="shared" si="4"/>
        <v>1</v>
      </c>
    </row>
    <row r="2564">
      <c r="A2564" s="19">
        <v>120798.0</v>
      </c>
      <c r="B2564" s="20" t="str">
        <f t="array" ref="B2564">xlookup($A2564,product!$A:$A,product!B:B)</f>
        <v>Epicerie salée</v>
      </c>
      <c r="C2564" s="20" t="str">
        <f t="array" ref="C2564">xlookup($A2564,product!$A:$A,product!C:C)</f>
        <v>Sauces et coulis</v>
      </c>
      <c r="D2564" s="20" t="str">
        <f t="array" ref="D2564">xlookup($A2564,product!$A:$A,product!D:D)</f>
        <v>Sauces</v>
      </c>
      <c r="E2564" s="4" t="str">
        <f t="shared" si="1"/>
        <v>120798-Sauces et coulis-Sauces</v>
      </c>
      <c r="F2564" s="4">
        <v>0.0</v>
      </c>
      <c r="G2564" s="4">
        <v>182.0</v>
      </c>
      <c r="H2564" s="4">
        <v>175.0</v>
      </c>
      <c r="I2564" s="21">
        <f t="array" ref="I2564">XLOOKUP($A2564,product!A:A,product!E:E)</f>
        <v>0.95</v>
      </c>
      <c r="J2564" s="4">
        <f t="shared" si="2"/>
        <v>166.25</v>
      </c>
      <c r="K2564" s="22">
        <f t="shared" si="3"/>
        <v>1</v>
      </c>
      <c r="L2564" s="4">
        <f t="shared" si="4"/>
        <v>1</v>
      </c>
    </row>
    <row r="2565">
      <c r="A2565" s="23">
        <v>86479.0</v>
      </c>
      <c r="B2565" s="24" t="str">
        <f t="array" ref="B2565">xlookup($A2565,product!$A:$A,product!B:B)</f>
        <v>Epicerie salée</v>
      </c>
      <c r="C2565" s="24" t="str">
        <f t="array" ref="C2565">xlookup($A2565,product!$A:$A,product!C:C)</f>
        <v>Sauces et coulis</v>
      </c>
      <c r="D2565" s="24" t="str">
        <f t="array" ref="D2565">xlookup($A2565,product!$A:$A,product!D:D)</f>
        <v>Sauces</v>
      </c>
      <c r="E2565" s="25" t="str">
        <f t="shared" si="1"/>
        <v>86479-Sauces et coulis-Sauces</v>
      </c>
      <c r="F2565" s="25">
        <v>0.0</v>
      </c>
      <c r="G2565" s="25">
        <v>850.0</v>
      </c>
      <c r="H2565" s="25">
        <v>25.0</v>
      </c>
      <c r="I2565" s="26">
        <f t="array" ref="I2565">XLOOKUP($A2565,product!A:A,product!E:E)</f>
        <v>1.02</v>
      </c>
      <c r="J2565" s="25">
        <f t="shared" si="2"/>
        <v>25.5</v>
      </c>
      <c r="K2565" s="27">
        <f t="shared" si="3"/>
        <v>1</v>
      </c>
      <c r="L2565" s="25">
        <f t="shared" si="4"/>
        <v>1</v>
      </c>
    </row>
    <row r="2566">
      <c r="A2566" s="19">
        <v>80411.0</v>
      </c>
      <c r="B2566" s="20" t="str">
        <f t="array" ref="B2566">xlookup($A2566,product!$A:$A,product!B:B)</f>
        <v>Epicerie salée</v>
      </c>
      <c r="C2566" s="20" t="str">
        <f t="array" ref="C2566">xlookup($A2566,product!$A:$A,product!C:C)</f>
        <v>Sauces et coulis</v>
      </c>
      <c r="D2566" s="20" t="str">
        <f t="array" ref="D2566">xlookup($A2566,product!$A:$A,product!D:D)</f>
        <v>Sauces</v>
      </c>
      <c r="E2566" s="4" t="str">
        <f t="shared" si="1"/>
        <v>80411-Sauces et coulis-Sauces</v>
      </c>
      <c r="F2566" s="4">
        <v>0.0</v>
      </c>
      <c r="G2566" s="4">
        <v>430.0</v>
      </c>
      <c r="H2566" s="4">
        <v>29.0</v>
      </c>
      <c r="I2566" s="21">
        <f t="array" ref="I2566">XLOOKUP($A2566,product!A:A,product!E:E)</f>
        <v>1.03</v>
      </c>
      <c r="J2566" s="4">
        <f t="shared" si="2"/>
        <v>29.87</v>
      </c>
      <c r="K2566" s="22">
        <f t="shared" si="3"/>
        <v>1</v>
      </c>
      <c r="L2566" s="4">
        <f t="shared" si="4"/>
        <v>1</v>
      </c>
    </row>
    <row r="2567">
      <c r="A2567" s="23">
        <v>120797.0</v>
      </c>
      <c r="B2567" s="24" t="str">
        <f t="array" ref="B2567">xlookup($A2567,product!$A:$A,product!B:B)</f>
        <v>Epicerie salée</v>
      </c>
      <c r="C2567" s="24" t="str">
        <f t="array" ref="C2567">xlookup($A2567,product!$A:$A,product!C:C)</f>
        <v>Sauces et coulis</v>
      </c>
      <c r="D2567" s="24" t="str">
        <f t="array" ref="D2567">xlookup($A2567,product!$A:$A,product!D:D)</f>
        <v>Sauces</v>
      </c>
      <c r="E2567" s="25" t="str">
        <f t="shared" si="1"/>
        <v>120797-Sauces et coulis-Sauces</v>
      </c>
      <c r="F2567" s="25">
        <v>0.0</v>
      </c>
      <c r="G2567" s="25">
        <v>45.0</v>
      </c>
      <c r="H2567" s="25">
        <v>1.0</v>
      </c>
      <c r="I2567" s="26">
        <f t="array" ref="I2567">XLOOKUP($A2567,product!A:A,product!E:E)</f>
        <v>0.6</v>
      </c>
      <c r="J2567" s="25">
        <f t="shared" si="2"/>
        <v>0.6</v>
      </c>
      <c r="K2567" s="27">
        <f t="shared" si="3"/>
        <v>1</v>
      </c>
      <c r="L2567" s="25">
        <f t="shared" si="4"/>
        <v>1</v>
      </c>
    </row>
    <row r="2568">
      <c r="A2568" s="19">
        <v>86480.0</v>
      </c>
      <c r="B2568" s="20" t="str">
        <f t="array" ref="B2568">xlookup($A2568,product!$A:$A,product!B:B)</f>
        <v>Epicerie salée</v>
      </c>
      <c r="C2568" s="20" t="str">
        <f t="array" ref="C2568">xlookup($A2568,product!$A:$A,product!C:C)</f>
        <v>Sauces et coulis</v>
      </c>
      <c r="D2568" s="20" t="str">
        <f t="array" ref="D2568">xlookup($A2568,product!$A:$A,product!D:D)</f>
        <v>Sauces</v>
      </c>
      <c r="E2568" s="4" t="str">
        <f t="shared" si="1"/>
        <v>86480-Sauces et coulis-Sauces</v>
      </c>
      <c r="F2568" s="4">
        <v>1.0</v>
      </c>
      <c r="G2568" s="4">
        <v>456.0</v>
      </c>
      <c r="H2568" s="4">
        <v>208.0</v>
      </c>
      <c r="I2568" s="21">
        <f t="array" ref="I2568">XLOOKUP($A2568,product!A:A,product!E:E)</f>
        <v>1.06</v>
      </c>
      <c r="J2568" s="4">
        <f t="shared" si="2"/>
        <v>220.48</v>
      </c>
      <c r="K2568" s="22">
        <f t="shared" si="3"/>
        <v>1</v>
      </c>
      <c r="L2568" s="4">
        <f t="shared" si="4"/>
        <v>1</v>
      </c>
    </row>
    <row r="2569">
      <c r="A2569" s="23">
        <v>86478.0</v>
      </c>
      <c r="B2569" s="24" t="str">
        <f t="array" ref="B2569">xlookup($A2569,product!$A:$A,product!B:B)</f>
        <v>Epicerie salée</v>
      </c>
      <c r="C2569" s="24" t="str">
        <f t="array" ref="C2569">xlookup($A2569,product!$A:$A,product!C:C)</f>
        <v>Sauces et coulis</v>
      </c>
      <c r="D2569" s="24" t="str">
        <f t="array" ref="D2569">xlookup($A2569,product!$A:$A,product!D:D)</f>
        <v>Sauces</v>
      </c>
      <c r="E2569" s="25" t="str">
        <f t="shared" si="1"/>
        <v>86478-Sauces et coulis-Sauces</v>
      </c>
      <c r="F2569" s="25">
        <v>1.0</v>
      </c>
      <c r="G2569" s="25">
        <v>21.0</v>
      </c>
      <c r="H2569" s="25">
        <v>5.0</v>
      </c>
      <c r="I2569" s="26">
        <f t="array" ref="I2569">XLOOKUP($A2569,product!A:A,product!E:E)</f>
        <v>1.06</v>
      </c>
      <c r="J2569" s="25">
        <f t="shared" si="2"/>
        <v>5.3</v>
      </c>
      <c r="K2569" s="27">
        <f t="shared" si="3"/>
        <v>1</v>
      </c>
      <c r="L2569" s="25">
        <f t="shared" si="4"/>
        <v>1</v>
      </c>
    </row>
    <row r="2570">
      <c r="A2570" s="19">
        <v>118887.0</v>
      </c>
      <c r="B2570" s="20" t="str">
        <f t="array" ref="B2570">xlookup($A2570,product!$A:$A,product!B:B)</f>
        <v>Epicerie salée</v>
      </c>
      <c r="C2570" s="20" t="str">
        <f t="array" ref="C2570">xlookup($A2570,product!$A:$A,product!C:C)</f>
        <v>Sauces et coulis</v>
      </c>
      <c r="D2570" s="20" t="str">
        <f t="array" ref="D2570">xlookup($A2570,product!$A:$A,product!D:D)</f>
        <v>Sauces</v>
      </c>
      <c r="E2570" s="4" t="str">
        <f t="shared" si="1"/>
        <v>118887-Sauces et coulis-Sauces</v>
      </c>
      <c r="F2570" s="4">
        <v>1.0</v>
      </c>
      <c r="G2570" s="4">
        <v>965.0</v>
      </c>
      <c r="H2570" s="4">
        <v>520.0</v>
      </c>
      <c r="I2570" s="21">
        <f t="array" ref="I2570">XLOOKUP($A2570,product!A:A,product!E:E)</f>
        <v>2.38</v>
      </c>
      <c r="J2570" s="4">
        <f t="shared" si="2"/>
        <v>1237.6</v>
      </c>
      <c r="K2570" s="22">
        <f t="shared" si="3"/>
        <v>1</v>
      </c>
      <c r="L2570" s="4">
        <f t="shared" si="4"/>
        <v>1</v>
      </c>
    </row>
    <row r="2571">
      <c r="A2571" s="23">
        <v>121802.0</v>
      </c>
      <c r="B2571" s="24" t="str">
        <f t="array" ref="B2571">xlookup($A2571,product!$A:$A,product!B:B)</f>
        <v>Epicerie salée</v>
      </c>
      <c r="C2571" s="24" t="str">
        <f t="array" ref="C2571">xlookup($A2571,product!$A:$A,product!C:C)</f>
        <v>Sauces et coulis</v>
      </c>
      <c r="D2571" s="24" t="str">
        <f t="array" ref="D2571">xlookup($A2571,product!$A:$A,product!D:D)</f>
        <v>Sauces</v>
      </c>
      <c r="E2571" s="25" t="str">
        <f t="shared" si="1"/>
        <v>121802-Sauces et coulis-Sauces</v>
      </c>
      <c r="F2571" s="25">
        <v>0.0</v>
      </c>
      <c r="G2571" s="25">
        <v>625.0</v>
      </c>
      <c r="H2571" s="25">
        <v>539.0</v>
      </c>
      <c r="I2571" s="26">
        <f t="array" ref="I2571">XLOOKUP($A2571,product!A:A,product!E:E)</f>
        <v>1.13</v>
      </c>
      <c r="J2571" s="25">
        <f t="shared" si="2"/>
        <v>609.07</v>
      </c>
      <c r="K2571" s="27">
        <f t="shared" si="3"/>
        <v>1</v>
      </c>
      <c r="L2571" s="25">
        <f t="shared" si="4"/>
        <v>1</v>
      </c>
    </row>
    <row r="2572">
      <c r="A2572" s="19">
        <v>87440.0</v>
      </c>
      <c r="B2572" s="20" t="str">
        <f t="array" ref="B2572">xlookup($A2572,product!$A:$A,product!B:B)</f>
        <v>Epicerie salée</v>
      </c>
      <c r="C2572" s="20" t="str">
        <f t="array" ref="C2572">xlookup($A2572,product!$A:$A,product!C:C)</f>
        <v>Sauces et coulis</v>
      </c>
      <c r="D2572" s="20" t="str">
        <f t="array" ref="D2572">xlookup($A2572,product!$A:$A,product!D:D)</f>
        <v>Sauces</v>
      </c>
      <c r="E2572" s="4" t="str">
        <f t="shared" si="1"/>
        <v>87440-Sauces et coulis-Sauces</v>
      </c>
      <c r="F2572" s="4">
        <v>0.0</v>
      </c>
      <c r="G2572" s="4">
        <v>477.0</v>
      </c>
      <c r="H2572" s="4">
        <v>87.0</v>
      </c>
      <c r="I2572" s="21">
        <f t="array" ref="I2572">XLOOKUP($A2572,product!A:A,product!E:E)</f>
        <v>1.03</v>
      </c>
      <c r="J2572" s="4">
        <f t="shared" si="2"/>
        <v>89.61</v>
      </c>
      <c r="K2572" s="22">
        <f t="shared" si="3"/>
        <v>1</v>
      </c>
      <c r="L2572" s="4">
        <f t="shared" si="4"/>
        <v>1</v>
      </c>
    </row>
    <row r="2573">
      <c r="A2573" s="23">
        <v>86477.0</v>
      </c>
      <c r="B2573" s="24" t="str">
        <f t="array" ref="B2573">xlookup($A2573,product!$A:$A,product!B:B)</f>
        <v>Epicerie salée</v>
      </c>
      <c r="C2573" s="24" t="str">
        <f t="array" ref="C2573">xlookup($A2573,product!$A:$A,product!C:C)</f>
        <v>Sauces et coulis</v>
      </c>
      <c r="D2573" s="24" t="str">
        <f t="array" ref="D2573">xlookup($A2573,product!$A:$A,product!D:D)</f>
        <v>Sauces</v>
      </c>
      <c r="E2573" s="25" t="str">
        <f t="shared" si="1"/>
        <v>86477-Sauces et coulis-Sauces</v>
      </c>
      <c r="F2573" s="25">
        <v>0.0</v>
      </c>
      <c r="G2573" s="25">
        <v>53.0</v>
      </c>
      <c r="H2573" s="25">
        <v>11.0</v>
      </c>
      <c r="I2573" s="26">
        <f t="array" ref="I2573">XLOOKUP($A2573,product!A:A,product!E:E)</f>
        <v>1.18</v>
      </c>
      <c r="J2573" s="25">
        <f t="shared" si="2"/>
        <v>12.98</v>
      </c>
      <c r="K2573" s="27">
        <f t="shared" si="3"/>
        <v>1</v>
      </c>
      <c r="L2573" s="25">
        <f t="shared" si="4"/>
        <v>1</v>
      </c>
    </row>
    <row r="2574">
      <c r="A2574" s="19">
        <v>83059.0</v>
      </c>
      <c r="B2574" s="20" t="str">
        <f t="array" ref="B2574">xlookup($A2574,product!$A:$A,product!B:B)</f>
        <v>Epicerie salée</v>
      </c>
      <c r="C2574" s="20" t="str">
        <f t="array" ref="C2574">xlookup($A2574,product!$A:$A,product!C:C)</f>
        <v>Sauces et coulis</v>
      </c>
      <c r="D2574" s="20" t="str">
        <f t="array" ref="D2574">xlookup($A2574,product!$A:$A,product!D:D)</f>
        <v>Sauces</v>
      </c>
      <c r="E2574" s="4" t="str">
        <f t="shared" si="1"/>
        <v>83059-Sauces et coulis-Sauces</v>
      </c>
      <c r="F2574" s="4">
        <v>0.0</v>
      </c>
      <c r="G2574" s="4">
        <v>319.0</v>
      </c>
      <c r="H2574" s="4">
        <v>241.0</v>
      </c>
      <c r="I2574" s="21">
        <f t="array" ref="I2574">XLOOKUP($A2574,product!A:A,product!E:E)</f>
        <v>5.8</v>
      </c>
      <c r="J2574" s="4">
        <f t="shared" si="2"/>
        <v>1397.8</v>
      </c>
      <c r="K2574" s="22">
        <f t="shared" si="3"/>
        <v>1</v>
      </c>
      <c r="L2574" s="4">
        <f t="shared" si="4"/>
        <v>1</v>
      </c>
    </row>
    <row r="2575">
      <c r="A2575" s="23">
        <v>86449.0</v>
      </c>
      <c r="B2575" s="24" t="str">
        <f t="array" ref="B2575">xlookup($A2575,product!$A:$A,product!B:B)</f>
        <v>Epicerie salée</v>
      </c>
      <c r="C2575" s="24" t="str">
        <f t="array" ref="C2575">xlookup($A2575,product!$A:$A,product!C:C)</f>
        <v>Sauces et coulis</v>
      </c>
      <c r="D2575" s="24" t="str">
        <f t="array" ref="D2575">xlookup($A2575,product!$A:$A,product!D:D)</f>
        <v>Sauces</v>
      </c>
      <c r="E2575" s="25" t="str">
        <f t="shared" si="1"/>
        <v>86449-Sauces et coulis-Sauces</v>
      </c>
      <c r="F2575" s="25">
        <v>1.0</v>
      </c>
      <c r="G2575" s="25">
        <v>20.0</v>
      </c>
      <c r="H2575" s="25">
        <v>5.0</v>
      </c>
      <c r="I2575" s="26">
        <f t="array" ref="I2575">XLOOKUP($A2575,product!A:A,product!E:E)</f>
        <v>1.74</v>
      </c>
      <c r="J2575" s="25">
        <f t="shared" si="2"/>
        <v>8.7</v>
      </c>
      <c r="K2575" s="27">
        <f t="shared" si="3"/>
        <v>1</v>
      </c>
      <c r="L2575" s="25">
        <f t="shared" si="4"/>
        <v>1</v>
      </c>
    </row>
    <row r="2576">
      <c r="A2576" s="19">
        <v>86416.0</v>
      </c>
      <c r="B2576" s="20" t="str">
        <f t="array" ref="B2576">xlookup($A2576,product!$A:$A,product!B:B)</f>
        <v>Epicerie salée</v>
      </c>
      <c r="C2576" s="20" t="str">
        <f t="array" ref="C2576">xlookup($A2576,product!$A:$A,product!C:C)</f>
        <v>Sauces et coulis</v>
      </c>
      <c r="D2576" s="20" t="str">
        <f t="array" ref="D2576">xlookup($A2576,product!$A:$A,product!D:D)</f>
        <v>Sauces</v>
      </c>
      <c r="E2576" s="4" t="str">
        <f t="shared" si="1"/>
        <v>86416-Sauces et coulis-Sauces</v>
      </c>
      <c r="F2576" s="4">
        <v>0.0</v>
      </c>
      <c r="G2576" s="4">
        <v>632.0</v>
      </c>
      <c r="H2576" s="4">
        <v>178.0</v>
      </c>
      <c r="I2576" s="21">
        <f t="array" ref="I2576">XLOOKUP($A2576,product!A:A,product!E:E)</f>
        <v>1.33</v>
      </c>
      <c r="J2576" s="4">
        <f t="shared" si="2"/>
        <v>236.74</v>
      </c>
      <c r="K2576" s="22">
        <f t="shared" si="3"/>
        <v>1</v>
      </c>
      <c r="L2576" s="4">
        <f t="shared" si="4"/>
        <v>1</v>
      </c>
    </row>
    <row r="2577">
      <c r="A2577" s="23">
        <v>83064.0</v>
      </c>
      <c r="B2577" s="24" t="str">
        <f t="array" ref="B2577">xlookup($A2577,product!$A:$A,product!B:B)</f>
        <v>Epicerie salée</v>
      </c>
      <c r="C2577" s="24" t="str">
        <f t="array" ref="C2577">xlookup($A2577,product!$A:$A,product!C:C)</f>
        <v>Sauces et coulis</v>
      </c>
      <c r="D2577" s="24" t="str">
        <f t="array" ref="D2577">xlookup($A2577,product!$A:$A,product!D:D)</f>
        <v>Sauces</v>
      </c>
      <c r="E2577" s="25" t="str">
        <f t="shared" si="1"/>
        <v>83064-Sauces et coulis-Sauces</v>
      </c>
      <c r="F2577" s="25">
        <v>0.0</v>
      </c>
      <c r="G2577" s="25">
        <v>16.0</v>
      </c>
      <c r="H2577" s="25">
        <v>1.0</v>
      </c>
      <c r="I2577" s="26">
        <f t="array" ref="I2577">XLOOKUP($A2577,product!A:A,product!E:E)</f>
        <v>10.19</v>
      </c>
      <c r="J2577" s="25">
        <f t="shared" si="2"/>
        <v>10.19</v>
      </c>
      <c r="K2577" s="27">
        <f t="shared" si="3"/>
        <v>1</v>
      </c>
      <c r="L2577" s="25">
        <f t="shared" si="4"/>
        <v>1</v>
      </c>
    </row>
    <row r="2578">
      <c r="A2578" s="19">
        <v>108514.0</v>
      </c>
      <c r="B2578" s="20" t="str">
        <f t="array" ref="B2578">xlookup($A2578,product!$A:$A,product!B:B)</f>
        <v>Epicerie salée</v>
      </c>
      <c r="C2578" s="20" t="str">
        <f t="array" ref="C2578">xlookup($A2578,product!$A:$A,product!C:C)</f>
        <v>Sauces et coulis</v>
      </c>
      <c r="D2578" s="20" t="str">
        <f t="array" ref="D2578">xlookup($A2578,product!$A:$A,product!D:D)</f>
        <v>Sauces</v>
      </c>
      <c r="E2578" s="4" t="str">
        <f t="shared" si="1"/>
        <v>108514-Sauces et coulis-Sauces</v>
      </c>
      <c r="F2578" s="4">
        <v>0.0</v>
      </c>
      <c r="G2578" s="4">
        <v>116.0</v>
      </c>
      <c r="H2578" s="4">
        <v>61.0</v>
      </c>
      <c r="I2578" s="21">
        <f t="array" ref="I2578">XLOOKUP($A2578,product!A:A,product!E:E)</f>
        <v>2.34</v>
      </c>
      <c r="J2578" s="4">
        <f t="shared" si="2"/>
        <v>142.74</v>
      </c>
      <c r="K2578" s="22">
        <f t="shared" si="3"/>
        <v>1</v>
      </c>
      <c r="L2578" s="4">
        <f t="shared" si="4"/>
        <v>1</v>
      </c>
    </row>
    <row r="2579">
      <c r="A2579" s="23">
        <v>86454.0</v>
      </c>
      <c r="B2579" s="24" t="str">
        <f t="array" ref="B2579">xlookup($A2579,product!$A:$A,product!B:B)</f>
        <v>Epicerie salée</v>
      </c>
      <c r="C2579" s="24" t="str">
        <f t="array" ref="C2579">xlookup($A2579,product!$A:$A,product!C:C)</f>
        <v>Sauces et coulis</v>
      </c>
      <c r="D2579" s="24" t="str">
        <f t="array" ref="D2579">xlookup($A2579,product!$A:$A,product!D:D)</f>
        <v>Sauces</v>
      </c>
      <c r="E2579" s="25" t="str">
        <f t="shared" si="1"/>
        <v>86454-Sauces et coulis-Sauces</v>
      </c>
      <c r="F2579" s="25">
        <v>0.0</v>
      </c>
      <c r="G2579" s="25">
        <v>121.0</v>
      </c>
      <c r="H2579" s="25">
        <v>111.0</v>
      </c>
      <c r="I2579" s="26">
        <f t="array" ref="I2579">XLOOKUP($A2579,product!A:A,product!E:E)</f>
        <v>3.35</v>
      </c>
      <c r="J2579" s="25">
        <f t="shared" si="2"/>
        <v>371.85</v>
      </c>
      <c r="K2579" s="27">
        <f t="shared" si="3"/>
        <v>1</v>
      </c>
      <c r="L2579" s="25">
        <f t="shared" si="4"/>
        <v>1</v>
      </c>
    </row>
    <row r="2580">
      <c r="A2580" s="19">
        <v>143238.0</v>
      </c>
      <c r="B2580" s="20" t="str">
        <f t="array" ref="B2580">xlookup($A2580,product!$A:$A,product!B:B)</f>
        <v>Epicerie salée</v>
      </c>
      <c r="C2580" s="20" t="str">
        <f t="array" ref="C2580">xlookup($A2580,product!$A:$A,product!C:C)</f>
        <v>Sauces et coulis</v>
      </c>
      <c r="D2580" s="20" t="str">
        <f t="array" ref="D2580">xlookup($A2580,product!$A:$A,product!D:D)</f>
        <v>Sauces</v>
      </c>
      <c r="E2580" s="4" t="str">
        <f t="shared" si="1"/>
        <v>143238-Sauces et coulis-Sauces</v>
      </c>
      <c r="F2580" s="4">
        <v>0.0</v>
      </c>
      <c r="G2580" s="4">
        <v>320.0</v>
      </c>
      <c r="H2580" s="4">
        <v>215.0</v>
      </c>
      <c r="I2580" s="21">
        <f t="array" ref="I2580">XLOOKUP($A2580,product!A:A,product!E:E)</f>
        <v>1.9</v>
      </c>
      <c r="J2580" s="4">
        <f t="shared" si="2"/>
        <v>408.5</v>
      </c>
      <c r="K2580" s="22">
        <f t="shared" si="3"/>
        <v>1</v>
      </c>
      <c r="L2580" s="4">
        <f t="shared" si="4"/>
        <v>1</v>
      </c>
    </row>
    <row r="2581">
      <c r="A2581" s="23">
        <v>107070.0</v>
      </c>
      <c r="B2581" s="24" t="str">
        <f t="array" ref="B2581">xlookup($A2581,product!$A:$A,product!B:B)</f>
        <v>Epicerie salée</v>
      </c>
      <c r="C2581" s="24" t="str">
        <f t="array" ref="C2581">xlookup($A2581,product!$A:$A,product!C:C)</f>
        <v>Sauces et coulis</v>
      </c>
      <c r="D2581" s="24" t="str">
        <f t="array" ref="D2581">xlookup($A2581,product!$A:$A,product!D:D)</f>
        <v>Sauces</v>
      </c>
      <c r="E2581" s="25" t="str">
        <f t="shared" si="1"/>
        <v>107070-Sauces et coulis-Sauces</v>
      </c>
      <c r="F2581" s="25">
        <v>0.0</v>
      </c>
      <c r="G2581" s="25">
        <v>931.0</v>
      </c>
      <c r="H2581" s="25">
        <v>927.0</v>
      </c>
      <c r="I2581" s="26">
        <f t="array" ref="I2581">XLOOKUP($A2581,product!A:A,product!E:E)</f>
        <v>5.89</v>
      </c>
      <c r="J2581" s="25">
        <f t="shared" si="2"/>
        <v>5460.03</v>
      </c>
      <c r="K2581" s="27">
        <f t="shared" si="3"/>
        <v>1</v>
      </c>
      <c r="L2581" s="25">
        <f t="shared" si="4"/>
        <v>1</v>
      </c>
    </row>
    <row r="2582">
      <c r="A2582" s="19">
        <v>114467.0</v>
      </c>
      <c r="B2582" s="20" t="str">
        <f t="array" ref="B2582">xlookup($A2582,product!$A:$A,product!B:B)</f>
        <v>Epicerie salée</v>
      </c>
      <c r="C2582" s="20" t="str">
        <f t="array" ref="C2582">xlookup($A2582,product!$A:$A,product!C:C)</f>
        <v>Sauces et coulis</v>
      </c>
      <c r="D2582" s="20" t="str">
        <f t="array" ref="D2582">xlookup($A2582,product!$A:$A,product!D:D)</f>
        <v>Sauces</v>
      </c>
      <c r="E2582" s="4" t="str">
        <f t="shared" si="1"/>
        <v>114467-Sauces et coulis-Sauces</v>
      </c>
      <c r="F2582" s="4">
        <v>1.0</v>
      </c>
      <c r="G2582" s="4">
        <v>245.0</v>
      </c>
      <c r="H2582" s="4">
        <v>61.0</v>
      </c>
      <c r="I2582" s="21">
        <f t="array" ref="I2582">XLOOKUP($A2582,product!A:A,product!E:E)</f>
        <v>3.26</v>
      </c>
      <c r="J2582" s="4">
        <f t="shared" si="2"/>
        <v>198.86</v>
      </c>
      <c r="K2582" s="22">
        <f t="shared" si="3"/>
        <v>1</v>
      </c>
      <c r="L2582" s="4">
        <f t="shared" si="4"/>
        <v>1</v>
      </c>
    </row>
    <row r="2583">
      <c r="A2583" s="23">
        <v>143237.0</v>
      </c>
      <c r="B2583" s="24" t="str">
        <f t="array" ref="B2583">xlookup($A2583,product!$A:$A,product!B:B)</f>
        <v>Epicerie salée</v>
      </c>
      <c r="C2583" s="24" t="str">
        <f t="array" ref="C2583">xlookup($A2583,product!$A:$A,product!C:C)</f>
        <v>Sauces et coulis</v>
      </c>
      <c r="D2583" s="24" t="str">
        <f t="array" ref="D2583">xlookup($A2583,product!$A:$A,product!D:D)</f>
        <v>Sauces</v>
      </c>
      <c r="E2583" s="25" t="str">
        <f t="shared" si="1"/>
        <v>143237-Sauces et coulis-Sauces</v>
      </c>
      <c r="F2583" s="25">
        <v>0.0</v>
      </c>
      <c r="G2583" s="25">
        <v>522.0</v>
      </c>
      <c r="H2583" s="25">
        <v>93.0</v>
      </c>
      <c r="I2583" s="26">
        <f t="array" ref="I2583">XLOOKUP($A2583,product!A:A,product!E:E)</f>
        <v>1.96</v>
      </c>
      <c r="J2583" s="25">
        <f t="shared" si="2"/>
        <v>182.28</v>
      </c>
      <c r="K2583" s="27">
        <f t="shared" si="3"/>
        <v>1</v>
      </c>
      <c r="L2583" s="25">
        <f t="shared" si="4"/>
        <v>1</v>
      </c>
    </row>
    <row r="2584">
      <c r="A2584" s="19">
        <v>86417.0</v>
      </c>
      <c r="B2584" s="20" t="str">
        <f t="array" ref="B2584">xlookup($A2584,product!$A:$A,product!B:B)</f>
        <v>Epicerie salée</v>
      </c>
      <c r="C2584" s="20" t="str">
        <f t="array" ref="C2584">xlookup($A2584,product!$A:$A,product!C:C)</f>
        <v>Sauces et coulis</v>
      </c>
      <c r="D2584" s="20" t="str">
        <f t="array" ref="D2584">xlookup($A2584,product!$A:$A,product!D:D)</f>
        <v>Sauces</v>
      </c>
      <c r="E2584" s="4" t="str">
        <f t="shared" si="1"/>
        <v>86417-Sauces et coulis-Sauces</v>
      </c>
      <c r="F2584" s="4">
        <v>1.0</v>
      </c>
      <c r="G2584" s="4">
        <v>293.0</v>
      </c>
      <c r="H2584" s="4">
        <v>251.0</v>
      </c>
      <c r="I2584" s="21">
        <f t="array" ref="I2584">XLOOKUP($A2584,product!A:A,product!E:E)</f>
        <v>1.66</v>
      </c>
      <c r="J2584" s="4">
        <f t="shared" si="2"/>
        <v>416.66</v>
      </c>
      <c r="K2584" s="22">
        <f t="shared" si="3"/>
        <v>1</v>
      </c>
      <c r="L2584" s="4">
        <f t="shared" si="4"/>
        <v>1</v>
      </c>
    </row>
    <row r="2585">
      <c r="A2585" s="23">
        <v>147317.0</v>
      </c>
      <c r="B2585" s="24" t="str">
        <f t="array" ref="B2585">xlookup($A2585,product!$A:$A,product!B:B)</f>
        <v>Epicerie salée</v>
      </c>
      <c r="C2585" s="24" t="str">
        <f t="array" ref="C2585">xlookup($A2585,product!$A:$A,product!C:C)</f>
        <v>Sauces et coulis</v>
      </c>
      <c r="D2585" s="24" t="str">
        <f t="array" ref="D2585">xlookup($A2585,product!$A:$A,product!D:D)</f>
        <v>Sauces</v>
      </c>
      <c r="E2585" s="25" t="str">
        <f t="shared" si="1"/>
        <v>147317-Sauces et coulis-Sauces</v>
      </c>
      <c r="F2585" s="25">
        <v>0.0</v>
      </c>
      <c r="G2585" s="25">
        <v>686.0</v>
      </c>
      <c r="H2585" s="25">
        <v>223.0</v>
      </c>
      <c r="I2585" s="26">
        <f t="array" ref="I2585">XLOOKUP($A2585,product!A:A,product!E:E)</f>
        <v>0.75</v>
      </c>
      <c r="J2585" s="25">
        <f t="shared" si="2"/>
        <v>167.25</v>
      </c>
      <c r="K2585" s="27">
        <f t="shared" si="3"/>
        <v>1</v>
      </c>
      <c r="L2585" s="25">
        <f t="shared" si="4"/>
        <v>1</v>
      </c>
    </row>
    <row r="2586">
      <c r="A2586" s="19">
        <v>122177.0</v>
      </c>
      <c r="B2586" s="20" t="str">
        <f t="array" ref="B2586">xlookup($A2586,product!$A:$A,product!B:B)</f>
        <v>Epicerie salée</v>
      </c>
      <c r="C2586" s="20" t="str">
        <f t="array" ref="C2586">xlookup($A2586,product!$A:$A,product!C:C)</f>
        <v>Sauces et coulis</v>
      </c>
      <c r="D2586" s="20" t="str">
        <f t="array" ref="D2586">xlookup($A2586,product!$A:$A,product!D:D)</f>
        <v>Sauces</v>
      </c>
      <c r="E2586" s="4" t="str">
        <f t="shared" si="1"/>
        <v>122177-Sauces et coulis-Sauces</v>
      </c>
      <c r="F2586" s="4">
        <v>0.0</v>
      </c>
      <c r="G2586" s="4">
        <v>491.0</v>
      </c>
      <c r="H2586" s="4">
        <v>224.0</v>
      </c>
      <c r="I2586" s="21">
        <f t="array" ref="I2586">XLOOKUP($A2586,product!A:A,product!E:E)</f>
        <v>1.73</v>
      </c>
      <c r="J2586" s="4">
        <f t="shared" si="2"/>
        <v>387.52</v>
      </c>
      <c r="K2586" s="22">
        <f t="shared" si="3"/>
        <v>1</v>
      </c>
      <c r="L2586" s="4">
        <f t="shared" si="4"/>
        <v>1</v>
      </c>
    </row>
    <row r="2587">
      <c r="A2587" s="23">
        <v>114909.0</v>
      </c>
      <c r="B2587" s="24" t="str">
        <f t="array" ref="B2587">xlookup($A2587,product!$A:$A,product!B:B)</f>
        <v>Epicerie salée</v>
      </c>
      <c r="C2587" s="24" t="str">
        <f t="array" ref="C2587">xlookup($A2587,product!$A:$A,product!C:C)</f>
        <v>Sauces et coulis</v>
      </c>
      <c r="D2587" s="24" t="str">
        <f t="array" ref="D2587">xlookup($A2587,product!$A:$A,product!D:D)</f>
        <v>Sauces</v>
      </c>
      <c r="E2587" s="25" t="str">
        <f t="shared" si="1"/>
        <v>114909-Sauces et coulis-Sauces</v>
      </c>
      <c r="F2587" s="25">
        <v>0.0</v>
      </c>
      <c r="G2587" s="25">
        <v>956.0</v>
      </c>
      <c r="H2587" s="25">
        <v>76.0</v>
      </c>
      <c r="I2587" s="26">
        <f t="array" ref="I2587">XLOOKUP($A2587,product!A:A,product!E:E)</f>
        <v>5.46</v>
      </c>
      <c r="J2587" s="25">
        <f t="shared" si="2"/>
        <v>414.96</v>
      </c>
      <c r="K2587" s="27">
        <f t="shared" si="3"/>
        <v>1</v>
      </c>
      <c r="L2587" s="25">
        <f t="shared" si="4"/>
        <v>1</v>
      </c>
    </row>
    <row r="2588">
      <c r="A2588" s="19">
        <v>119230.0</v>
      </c>
      <c r="B2588" s="20" t="str">
        <f t="array" ref="B2588">xlookup($A2588,product!$A:$A,product!B:B)</f>
        <v>Epicerie salée</v>
      </c>
      <c r="C2588" s="20" t="str">
        <f t="array" ref="C2588">xlookup($A2588,product!$A:$A,product!C:C)</f>
        <v>Sauces et coulis</v>
      </c>
      <c r="D2588" s="20" t="str">
        <f t="array" ref="D2588">xlookup($A2588,product!$A:$A,product!D:D)</f>
        <v>Sauces</v>
      </c>
      <c r="E2588" s="4" t="str">
        <f t="shared" si="1"/>
        <v>119230-Sauces et coulis-Sauces</v>
      </c>
      <c r="F2588" s="4">
        <v>0.0</v>
      </c>
      <c r="G2588" s="4">
        <v>699.0</v>
      </c>
      <c r="H2588" s="4">
        <v>373.0</v>
      </c>
      <c r="I2588" s="21">
        <f t="array" ref="I2588">XLOOKUP($A2588,product!A:A,product!E:E)</f>
        <v>2.14</v>
      </c>
      <c r="J2588" s="4">
        <f t="shared" si="2"/>
        <v>798.22</v>
      </c>
      <c r="K2588" s="22">
        <f t="shared" si="3"/>
        <v>1</v>
      </c>
      <c r="L2588" s="4">
        <f t="shared" si="4"/>
        <v>1</v>
      </c>
    </row>
    <row r="2589">
      <c r="A2589" s="23">
        <v>107109.0</v>
      </c>
      <c r="B2589" s="24" t="str">
        <f t="array" ref="B2589">xlookup($A2589,product!$A:$A,product!B:B)</f>
        <v>Epicerie salée</v>
      </c>
      <c r="C2589" s="24" t="str">
        <f t="array" ref="C2589">xlookup($A2589,product!$A:$A,product!C:C)</f>
        <v>Sauces et coulis</v>
      </c>
      <c r="D2589" s="24" t="str">
        <f t="array" ref="D2589">xlookup($A2589,product!$A:$A,product!D:D)</f>
        <v>Sauces</v>
      </c>
      <c r="E2589" s="25" t="str">
        <f t="shared" si="1"/>
        <v>107109-Sauces et coulis-Sauces</v>
      </c>
      <c r="F2589" s="25">
        <v>0.0</v>
      </c>
      <c r="G2589" s="25">
        <v>781.0</v>
      </c>
      <c r="H2589" s="25">
        <v>76.0</v>
      </c>
      <c r="I2589" s="26">
        <f t="array" ref="I2589">XLOOKUP($A2589,product!A:A,product!E:E)</f>
        <v>2.48</v>
      </c>
      <c r="J2589" s="25">
        <f t="shared" si="2"/>
        <v>188.48</v>
      </c>
      <c r="K2589" s="27">
        <f t="shared" si="3"/>
        <v>1</v>
      </c>
      <c r="L2589" s="25">
        <f t="shared" si="4"/>
        <v>1</v>
      </c>
    </row>
    <row r="2590">
      <c r="A2590" s="19">
        <v>121461.0</v>
      </c>
      <c r="B2590" s="20" t="str">
        <f t="array" ref="B2590">xlookup($A2590,product!$A:$A,product!B:B)</f>
        <v>Epicerie salée</v>
      </c>
      <c r="C2590" s="20" t="str">
        <f t="array" ref="C2590">xlookup($A2590,product!$A:$A,product!C:C)</f>
        <v>Sauces et coulis</v>
      </c>
      <c r="D2590" s="20" t="str">
        <f t="array" ref="D2590">xlookup($A2590,product!$A:$A,product!D:D)</f>
        <v>Sauces</v>
      </c>
      <c r="E2590" s="4" t="str">
        <f t="shared" si="1"/>
        <v>121461-Sauces et coulis-Sauces</v>
      </c>
      <c r="F2590" s="4">
        <v>0.0</v>
      </c>
      <c r="G2590" s="4">
        <v>548.0</v>
      </c>
      <c r="H2590" s="4">
        <v>62.0</v>
      </c>
      <c r="I2590" s="21">
        <f t="array" ref="I2590">XLOOKUP($A2590,product!A:A,product!E:E)</f>
        <v>1.02</v>
      </c>
      <c r="J2590" s="4">
        <f t="shared" si="2"/>
        <v>63.24</v>
      </c>
      <c r="K2590" s="22">
        <f t="shared" si="3"/>
        <v>1</v>
      </c>
      <c r="L2590" s="4">
        <f t="shared" si="4"/>
        <v>1</v>
      </c>
    </row>
    <row r="2591">
      <c r="A2591" s="23">
        <v>86413.0</v>
      </c>
      <c r="B2591" s="24" t="str">
        <f t="array" ref="B2591">xlookup($A2591,product!$A:$A,product!B:B)</f>
        <v>Epicerie salée</v>
      </c>
      <c r="C2591" s="24" t="str">
        <f t="array" ref="C2591">xlookup($A2591,product!$A:$A,product!C:C)</f>
        <v>Sauces et coulis</v>
      </c>
      <c r="D2591" s="24" t="str">
        <f t="array" ref="D2591">xlookup($A2591,product!$A:$A,product!D:D)</f>
        <v>Sauces</v>
      </c>
      <c r="E2591" s="25" t="str">
        <f t="shared" si="1"/>
        <v>86413-Sauces et coulis-Sauces</v>
      </c>
      <c r="F2591" s="25">
        <v>1.0</v>
      </c>
      <c r="G2591" s="25">
        <v>684.0</v>
      </c>
      <c r="H2591" s="25">
        <v>308.0</v>
      </c>
      <c r="I2591" s="26">
        <f t="array" ref="I2591">XLOOKUP($A2591,product!A:A,product!E:E)</f>
        <v>1.66</v>
      </c>
      <c r="J2591" s="25">
        <f t="shared" si="2"/>
        <v>511.28</v>
      </c>
      <c r="K2591" s="27">
        <f t="shared" si="3"/>
        <v>1</v>
      </c>
      <c r="L2591" s="25">
        <f t="shared" si="4"/>
        <v>1</v>
      </c>
    </row>
    <row r="2592">
      <c r="A2592" s="19">
        <v>108511.0</v>
      </c>
      <c r="B2592" s="20" t="str">
        <f t="array" ref="B2592">xlookup($A2592,product!$A:$A,product!B:B)</f>
        <v>Epicerie salée</v>
      </c>
      <c r="C2592" s="20" t="str">
        <f t="array" ref="C2592">xlookup($A2592,product!$A:$A,product!C:C)</f>
        <v>Sauces et coulis</v>
      </c>
      <c r="D2592" s="20" t="str">
        <f t="array" ref="D2592">xlookup($A2592,product!$A:$A,product!D:D)</f>
        <v>Sauces</v>
      </c>
      <c r="E2592" s="4" t="str">
        <f t="shared" si="1"/>
        <v>108511-Sauces et coulis-Sauces</v>
      </c>
      <c r="F2592" s="4">
        <v>1.0</v>
      </c>
      <c r="G2592" s="4">
        <v>151.0</v>
      </c>
      <c r="H2592" s="4">
        <v>104.0</v>
      </c>
      <c r="I2592" s="21">
        <f t="array" ref="I2592">XLOOKUP($A2592,product!A:A,product!E:E)</f>
        <v>2.22</v>
      </c>
      <c r="J2592" s="4">
        <f t="shared" si="2"/>
        <v>230.88</v>
      </c>
      <c r="K2592" s="22">
        <f t="shared" si="3"/>
        <v>1</v>
      </c>
      <c r="L2592" s="4">
        <f t="shared" si="4"/>
        <v>1</v>
      </c>
    </row>
    <row r="2593">
      <c r="A2593" s="23">
        <v>120877.0</v>
      </c>
      <c r="B2593" s="24" t="str">
        <f t="array" ref="B2593">xlookup($A2593,product!$A:$A,product!B:B)</f>
        <v>Epicerie salée</v>
      </c>
      <c r="C2593" s="24" t="str">
        <f t="array" ref="C2593">xlookup($A2593,product!$A:$A,product!C:C)</f>
        <v>Sauces et coulis</v>
      </c>
      <c r="D2593" s="24" t="str">
        <f t="array" ref="D2593">xlookup($A2593,product!$A:$A,product!D:D)</f>
        <v>Sauces</v>
      </c>
      <c r="E2593" s="25" t="str">
        <f t="shared" si="1"/>
        <v>120877-Sauces et coulis-Sauces</v>
      </c>
      <c r="F2593" s="25">
        <v>1.0</v>
      </c>
      <c r="G2593" s="25">
        <v>579.0</v>
      </c>
      <c r="H2593" s="25">
        <v>564.0</v>
      </c>
      <c r="I2593" s="26">
        <f t="array" ref="I2593">XLOOKUP($A2593,product!A:A,product!E:E)</f>
        <v>1.9</v>
      </c>
      <c r="J2593" s="25">
        <f t="shared" si="2"/>
        <v>1071.6</v>
      </c>
      <c r="K2593" s="27">
        <f t="shared" si="3"/>
        <v>1</v>
      </c>
      <c r="L2593" s="25">
        <f t="shared" si="4"/>
        <v>1</v>
      </c>
    </row>
    <row r="2594">
      <c r="A2594" s="19">
        <v>194052.0</v>
      </c>
      <c r="B2594" s="20" t="str">
        <f t="array" ref="B2594">xlookup($A2594,product!$A:$A,product!B:B)</f>
        <v>Epicerie salée</v>
      </c>
      <c r="C2594" s="20" t="str">
        <f t="array" ref="C2594">xlookup($A2594,product!$A:$A,product!C:C)</f>
        <v>Sauces et coulis</v>
      </c>
      <c r="D2594" s="20" t="str">
        <f t="array" ref="D2594">xlookup($A2594,product!$A:$A,product!D:D)</f>
        <v>Sauces</v>
      </c>
      <c r="E2594" s="4" t="str">
        <f t="shared" si="1"/>
        <v>194052-Sauces et coulis-Sauces</v>
      </c>
      <c r="F2594" s="4">
        <v>0.0</v>
      </c>
      <c r="G2594" s="4">
        <v>860.0</v>
      </c>
      <c r="H2594" s="4">
        <v>263.0</v>
      </c>
      <c r="I2594" s="21">
        <f t="array" ref="I2594">XLOOKUP($A2594,product!A:A,product!E:E)</f>
        <v>2.16</v>
      </c>
      <c r="J2594" s="4">
        <f t="shared" si="2"/>
        <v>568.08</v>
      </c>
      <c r="K2594" s="22">
        <f t="shared" si="3"/>
        <v>1</v>
      </c>
      <c r="L2594" s="4">
        <f t="shared" si="4"/>
        <v>1</v>
      </c>
    </row>
    <row r="2595">
      <c r="A2595" s="23">
        <v>121493.0</v>
      </c>
      <c r="B2595" s="24" t="str">
        <f t="array" ref="B2595">xlookup($A2595,product!$A:$A,product!B:B)</f>
        <v>Epicerie salée</v>
      </c>
      <c r="C2595" s="24" t="str">
        <f t="array" ref="C2595">xlookup($A2595,product!$A:$A,product!C:C)</f>
        <v>Sauces et coulis</v>
      </c>
      <c r="D2595" s="24" t="str">
        <f t="array" ref="D2595">xlookup($A2595,product!$A:$A,product!D:D)</f>
        <v>Sauces</v>
      </c>
      <c r="E2595" s="25" t="str">
        <f t="shared" si="1"/>
        <v>121493-Sauces et coulis-Sauces</v>
      </c>
      <c r="F2595" s="25">
        <v>1.0</v>
      </c>
      <c r="G2595" s="25">
        <v>400.0</v>
      </c>
      <c r="H2595" s="25">
        <v>346.0</v>
      </c>
      <c r="I2595" s="26">
        <f t="array" ref="I2595">XLOOKUP($A2595,product!A:A,product!E:E)</f>
        <v>2.21</v>
      </c>
      <c r="J2595" s="25">
        <f t="shared" si="2"/>
        <v>764.66</v>
      </c>
      <c r="K2595" s="27">
        <f t="shared" si="3"/>
        <v>1</v>
      </c>
      <c r="L2595" s="25">
        <f t="shared" si="4"/>
        <v>1</v>
      </c>
    </row>
    <row r="2596">
      <c r="A2596" s="19">
        <v>121479.0</v>
      </c>
      <c r="B2596" s="20" t="str">
        <f t="array" ref="B2596">xlookup($A2596,product!$A:$A,product!B:B)</f>
        <v>Epicerie salée</v>
      </c>
      <c r="C2596" s="20" t="str">
        <f t="array" ref="C2596">xlookup($A2596,product!$A:$A,product!C:C)</f>
        <v>Sauces et coulis</v>
      </c>
      <c r="D2596" s="20" t="str">
        <f t="array" ref="D2596">xlookup($A2596,product!$A:$A,product!D:D)</f>
        <v>Sauces</v>
      </c>
      <c r="E2596" s="4" t="str">
        <f t="shared" si="1"/>
        <v>121479-Sauces et coulis-Sauces</v>
      </c>
      <c r="F2596" s="4">
        <v>1.0</v>
      </c>
      <c r="G2596" s="4">
        <v>397.0</v>
      </c>
      <c r="H2596" s="4">
        <v>99.0</v>
      </c>
      <c r="I2596" s="21">
        <f t="array" ref="I2596">XLOOKUP($A2596,product!A:A,product!E:E)</f>
        <v>1.13</v>
      </c>
      <c r="J2596" s="4">
        <f t="shared" si="2"/>
        <v>111.87</v>
      </c>
      <c r="K2596" s="22">
        <f t="shared" si="3"/>
        <v>1</v>
      </c>
      <c r="L2596" s="4">
        <f t="shared" si="4"/>
        <v>1</v>
      </c>
    </row>
    <row r="2597">
      <c r="A2597" s="23">
        <v>79011.0</v>
      </c>
      <c r="B2597" s="24" t="str">
        <f t="array" ref="B2597">xlookup($A2597,product!$A:$A,product!B:B)</f>
        <v>Epicerie salée</v>
      </c>
      <c r="C2597" s="24" t="str">
        <f t="array" ref="C2597">xlookup($A2597,product!$A:$A,product!C:C)</f>
        <v>Sauces et coulis</v>
      </c>
      <c r="D2597" s="24" t="str">
        <f t="array" ref="D2597">xlookup($A2597,product!$A:$A,product!D:D)</f>
        <v>Sauces</v>
      </c>
      <c r="E2597" s="25" t="str">
        <f t="shared" si="1"/>
        <v>79011-Sauces et coulis-Sauces</v>
      </c>
      <c r="F2597" s="25">
        <v>1.0</v>
      </c>
      <c r="G2597" s="25">
        <v>908.0</v>
      </c>
      <c r="H2597" s="25">
        <v>725.0</v>
      </c>
      <c r="I2597" s="26">
        <f t="array" ref="I2597">XLOOKUP($A2597,product!A:A,product!E:E)</f>
        <v>1.28</v>
      </c>
      <c r="J2597" s="25">
        <f t="shared" si="2"/>
        <v>928</v>
      </c>
      <c r="K2597" s="27">
        <f t="shared" si="3"/>
        <v>1</v>
      </c>
      <c r="L2597" s="25">
        <f t="shared" si="4"/>
        <v>1</v>
      </c>
    </row>
    <row r="2598">
      <c r="A2598" s="19">
        <v>86470.0</v>
      </c>
      <c r="B2598" s="20" t="str">
        <f t="array" ref="B2598">xlookup($A2598,product!$A:$A,product!B:B)</f>
        <v>Epicerie salée</v>
      </c>
      <c r="C2598" s="20" t="str">
        <f t="array" ref="C2598">xlookup($A2598,product!$A:$A,product!C:C)</f>
        <v>Sauces et coulis</v>
      </c>
      <c r="D2598" s="20" t="str">
        <f t="array" ref="D2598">xlookup($A2598,product!$A:$A,product!D:D)</f>
        <v>Sauces</v>
      </c>
      <c r="E2598" s="4" t="str">
        <f t="shared" si="1"/>
        <v>86470-Sauces et coulis-Sauces</v>
      </c>
      <c r="F2598" s="4">
        <v>1.0</v>
      </c>
      <c r="G2598" s="4">
        <v>31.0</v>
      </c>
      <c r="H2598" s="4">
        <v>30.0</v>
      </c>
      <c r="I2598" s="21">
        <f t="array" ref="I2598">XLOOKUP($A2598,product!A:A,product!E:E)</f>
        <v>1.08</v>
      </c>
      <c r="J2598" s="4">
        <f t="shared" si="2"/>
        <v>32.4</v>
      </c>
      <c r="K2598" s="22">
        <f t="shared" si="3"/>
        <v>1</v>
      </c>
      <c r="L2598" s="4">
        <f t="shared" si="4"/>
        <v>1</v>
      </c>
    </row>
    <row r="2599">
      <c r="A2599" s="23">
        <v>194997.0</v>
      </c>
      <c r="B2599" s="24" t="str">
        <f t="array" ref="B2599">xlookup($A2599,product!$A:$A,product!B:B)</f>
        <v>Epicerie salée</v>
      </c>
      <c r="C2599" s="24" t="str">
        <f t="array" ref="C2599">xlookup($A2599,product!$A:$A,product!C:C)</f>
        <v>Sauces et coulis</v>
      </c>
      <c r="D2599" s="24" t="str">
        <f t="array" ref="D2599">xlookup($A2599,product!$A:$A,product!D:D)</f>
        <v>Sauces</v>
      </c>
      <c r="E2599" s="25" t="str">
        <f t="shared" si="1"/>
        <v>194997-Sauces et coulis-Sauces</v>
      </c>
      <c r="F2599" s="25">
        <v>0.0</v>
      </c>
      <c r="G2599" s="25">
        <v>509.0</v>
      </c>
      <c r="H2599" s="25">
        <v>235.0</v>
      </c>
      <c r="I2599" s="26">
        <f t="array" ref="I2599">XLOOKUP($A2599,product!A:A,product!E:E)</f>
        <v>3.26</v>
      </c>
      <c r="J2599" s="25">
        <f t="shared" si="2"/>
        <v>766.1</v>
      </c>
      <c r="K2599" s="27">
        <f t="shared" si="3"/>
        <v>1</v>
      </c>
      <c r="L2599" s="25">
        <f t="shared" si="4"/>
        <v>1</v>
      </c>
    </row>
    <row r="2600">
      <c r="A2600" s="19">
        <v>108515.0</v>
      </c>
      <c r="B2600" s="20" t="str">
        <f t="array" ref="B2600">xlookup($A2600,product!$A:$A,product!B:B)</f>
        <v>Epicerie salée</v>
      </c>
      <c r="C2600" s="20" t="str">
        <f t="array" ref="C2600">xlookup($A2600,product!$A:$A,product!C:C)</f>
        <v>Sauces et coulis</v>
      </c>
      <c r="D2600" s="20" t="str">
        <f t="array" ref="D2600">xlookup($A2600,product!$A:$A,product!D:D)</f>
        <v>Sauces</v>
      </c>
      <c r="E2600" s="4" t="str">
        <f t="shared" si="1"/>
        <v>108515-Sauces et coulis-Sauces</v>
      </c>
      <c r="F2600" s="4">
        <v>0.0</v>
      </c>
      <c r="G2600" s="4">
        <v>36.0</v>
      </c>
      <c r="H2600" s="4">
        <v>13.0</v>
      </c>
      <c r="I2600" s="21">
        <f t="array" ref="I2600">XLOOKUP($A2600,product!A:A,product!E:E)</f>
        <v>4.63</v>
      </c>
      <c r="J2600" s="4">
        <f t="shared" si="2"/>
        <v>60.19</v>
      </c>
      <c r="K2600" s="22">
        <f t="shared" si="3"/>
        <v>1</v>
      </c>
      <c r="L2600" s="4">
        <f t="shared" si="4"/>
        <v>1</v>
      </c>
    </row>
    <row r="2601">
      <c r="A2601" s="23">
        <v>69346.0</v>
      </c>
      <c r="B2601" s="24" t="str">
        <f t="array" ref="B2601">xlookup($A2601,product!$A:$A,product!B:B)</f>
        <v>Epicerie salée</v>
      </c>
      <c r="C2601" s="24" t="str">
        <f t="array" ref="C2601">xlookup($A2601,product!$A:$A,product!C:C)</f>
        <v>Sauces et coulis</v>
      </c>
      <c r="D2601" s="24" t="str">
        <f t="array" ref="D2601">xlookup($A2601,product!$A:$A,product!D:D)</f>
        <v>Sauces</v>
      </c>
      <c r="E2601" s="25" t="str">
        <f t="shared" si="1"/>
        <v>69346-Sauces et coulis-Sauces</v>
      </c>
      <c r="F2601" s="25">
        <v>1.0</v>
      </c>
      <c r="G2601" s="25">
        <v>112.0</v>
      </c>
      <c r="H2601" s="25">
        <v>92.0</v>
      </c>
      <c r="I2601" s="26">
        <f t="array" ref="I2601">XLOOKUP($A2601,product!A:A,product!E:E)</f>
        <v>1.75</v>
      </c>
      <c r="J2601" s="25">
        <f t="shared" si="2"/>
        <v>161</v>
      </c>
      <c r="K2601" s="27">
        <f t="shared" si="3"/>
        <v>1</v>
      </c>
      <c r="L2601" s="25">
        <f t="shared" si="4"/>
        <v>1</v>
      </c>
    </row>
    <row r="2602">
      <c r="A2602" s="19">
        <v>119971.0</v>
      </c>
      <c r="B2602" s="20" t="str">
        <f t="array" ref="B2602">xlookup($A2602,product!$A:$A,product!B:B)</f>
        <v>Epicerie salée</v>
      </c>
      <c r="C2602" s="20" t="str">
        <f t="array" ref="C2602">xlookup($A2602,product!$A:$A,product!C:C)</f>
        <v>Sauces et coulis</v>
      </c>
      <c r="D2602" s="20" t="str">
        <f t="array" ref="D2602">xlookup($A2602,product!$A:$A,product!D:D)</f>
        <v>Sauces</v>
      </c>
      <c r="E2602" s="4" t="str">
        <f t="shared" si="1"/>
        <v>119971-Sauces et coulis-Sauces</v>
      </c>
      <c r="F2602" s="4">
        <v>0.0</v>
      </c>
      <c r="G2602" s="4">
        <v>156.0</v>
      </c>
      <c r="H2602" s="4">
        <v>59.0</v>
      </c>
      <c r="I2602" s="21">
        <f t="array" ref="I2602">XLOOKUP($A2602,product!A:A,product!E:E)</f>
        <v>3.34</v>
      </c>
      <c r="J2602" s="4">
        <f t="shared" si="2"/>
        <v>197.06</v>
      </c>
      <c r="K2602" s="22">
        <f t="shared" si="3"/>
        <v>1</v>
      </c>
      <c r="L2602" s="4">
        <f t="shared" si="4"/>
        <v>1</v>
      </c>
    </row>
    <row r="2603">
      <c r="A2603" s="23">
        <v>107274.0</v>
      </c>
      <c r="B2603" s="24" t="str">
        <f t="array" ref="B2603">xlookup($A2603,product!$A:$A,product!B:B)</f>
        <v>Epicerie salée</v>
      </c>
      <c r="C2603" s="24" t="str">
        <f t="array" ref="C2603">xlookup($A2603,product!$A:$A,product!C:C)</f>
        <v>Sauces et coulis</v>
      </c>
      <c r="D2603" s="24" t="str">
        <f t="array" ref="D2603">xlookup($A2603,product!$A:$A,product!D:D)</f>
        <v>Sauces</v>
      </c>
      <c r="E2603" s="25" t="str">
        <f t="shared" si="1"/>
        <v>107274-Sauces et coulis-Sauces</v>
      </c>
      <c r="F2603" s="25">
        <v>0.0</v>
      </c>
      <c r="G2603" s="25">
        <v>584.0</v>
      </c>
      <c r="H2603" s="25">
        <v>41.0</v>
      </c>
      <c r="I2603" s="26">
        <f t="array" ref="I2603">XLOOKUP($A2603,product!A:A,product!E:E)</f>
        <v>1.45</v>
      </c>
      <c r="J2603" s="25">
        <f t="shared" si="2"/>
        <v>59.45</v>
      </c>
      <c r="K2603" s="27">
        <f t="shared" si="3"/>
        <v>1</v>
      </c>
      <c r="L2603" s="25">
        <f t="shared" si="4"/>
        <v>1</v>
      </c>
    </row>
    <row r="2604">
      <c r="A2604" s="19">
        <v>69451.0</v>
      </c>
      <c r="B2604" s="20" t="str">
        <f t="array" ref="B2604">xlookup($A2604,product!$A:$A,product!B:B)</f>
        <v>Epicerie salée</v>
      </c>
      <c r="C2604" s="20" t="str">
        <f t="array" ref="C2604">xlookup($A2604,product!$A:$A,product!C:C)</f>
        <v>Sauces et coulis</v>
      </c>
      <c r="D2604" s="20" t="str">
        <f t="array" ref="D2604">xlookup($A2604,product!$A:$A,product!D:D)</f>
        <v>Sauces</v>
      </c>
      <c r="E2604" s="4" t="str">
        <f t="shared" si="1"/>
        <v>69451-Sauces et coulis-Sauces</v>
      </c>
      <c r="F2604" s="4">
        <v>0.0</v>
      </c>
      <c r="G2604" s="4">
        <v>490.0</v>
      </c>
      <c r="H2604" s="4">
        <v>416.0</v>
      </c>
      <c r="I2604" s="21">
        <f t="array" ref="I2604">XLOOKUP($A2604,product!A:A,product!E:E)</f>
        <v>1.75</v>
      </c>
      <c r="J2604" s="4">
        <f t="shared" si="2"/>
        <v>728</v>
      </c>
      <c r="K2604" s="22">
        <f t="shared" si="3"/>
        <v>1</v>
      </c>
      <c r="L2604" s="4">
        <f t="shared" si="4"/>
        <v>1</v>
      </c>
    </row>
    <row r="2605">
      <c r="A2605" s="23">
        <v>87416.0</v>
      </c>
      <c r="B2605" s="24" t="str">
        <f t="array" ref="B2605">xlookup($A2605,product!$A:$A,product!B:B)</f>
        <v>Epicerie salée</v>
      </c>
      <c r="C2605" s="24" t="str">
        <f t="array" ref="C2605">xlookup($A2605,product!$A:$A,product!C:C)</f>
        <v>Sauces et coulis</v>
      </c>
      <c r="D2605" s="24" t="str">
        <f t="array" ref="D2605">xlookup($A2605,product!$A:$A,product!D:D)</f>
        <v>Sauces</v>
      </c>
      <c r="E2605" s="25" t="str">
        <f t="shared" si="1"/>
        <v>87416-Sauces et coulis-Sauces</v>
      </c>
      <c r="F2605" s="25">
        <v>1.0</v>
      </c>
      <c r="G2605" s="25">
        <v>871.0</v>
      </c>
      <c r="H2605" s="25">
        <v>357.0</v>
      </c>
      <c r="I2605" s="26">
        <f t="array" ref="I2605">XLOOKUP($A2605,product!A:A,product!E:E)</f>
        <v>1.5</v>
      </c>
      <c r="J2605" s="25">
        <f t="shared" si="2"/>
        <v>535.5</v>
      </c>
      <c r="K2605" s="27">
        <f t="shared" si="3"/>
        <v>1</v>
      </c>
      <c r="L2605" s="25">
        <f t="shared" si="4"/>
        <v>1</v>
      </c>
    </row>
    <row r="2606">
      <c r="A2606" s="19">
        <v>23667.0</v>
      </c>
      <c r="B2606" s="20" t="str">
        <f t="array" ref="B2606">xlookup($A2606,product!$A:$A,product!B:B)</f>
        <v>Epicerie salée</v>
      </c>
      <c r="C2606" s="20" t="str">
        <f t="array" ref="C2606">xlookup($A2606,product!$A:$A,product!C:C)</f>
        <v>Sauces et coulis</v>
      </c>
      <c r="D2606" s="20" t="str">
        <f t="array" ref="D2606">xlookup($A2606,product!$A:$A,product!D:D)</f>
        <v>Préparation liquide, cuisine</v>
      </c>
      <c r="E2606" s="4" t="str">
        <f t="shared" si="1"/>
        <v>23667-Sauces et coulis-Préparation liquide, cuisine</v>
      </c>
      <c r="F2606" s="4">
        <v>0.0</v>
      </c>
      <c r="G2606" s="4">
        <v>537.0</v>
      </c>
      <c r="H2606" s="4">
        <v>455.0</v>
      </c>
      <c r="I2606" s="21">
        <f t="array" ref="I2606">XLOOKUP($A2606,product!A:A,product!E:E)</f>
        <v>0.65</v>
      </c>
      <c r="J2606" s="4">
        <f t="shared" si="2"/>
        <v>295.75</v>
      </c>
      <c r="K2606" s="22">
        <f t="shared" si="3"/>
        <v>1</v>
      </c>
      <c r="L2606" s="4">
        <f t="shared" si="4"/>
        <v>1</v>
      </c>
    </row>
    <row r="2607">
      <c r="A2607" s="23">
        <v>112770.0</v>
      </c>
      <c r="B2607" s="24" t="str">
        <f t="array" ref="B2607">xlookup($A2607,product!$A:$A,product!B:B)</f>
        <v>Epicerie salée</v>
      </c>
      <c r="C2607" s="24" t="str">
        <f t="array" ref="C2607">xlookup($A2607,product!$A:$A,product!C:C)</f>
        <v>Sauces et coulis</v>
      </c>
      <c r="D2607" s="24" t="str">
        <f t="array" ref="D2607">xlookup($A2607,product!$A:$A,product!D:D)</f>
        <v>Préparation liquide, cuisine</v>
      </c>
      <c r="E2607" s="25" t="str">
        <f t="shared" si="1"/>
        <v>112770-Sauces et coulis-Préparation liquide, cuisine</v>
      </c>
      <c r="F2607" s="25">
        <v>1.0</v>
      </c>
      <c r="G2607" s="25">
        <v>782.0</v>
      </c>
      <c r="H2607" s="25">
        <v>552.0</v>
      </c>
      <c r="I2607" s="26">
        <f t="array" ref="I2607">XLOOKUP($A2607,product!A:A,product!E:E)</f>
        <v>0.82</v>
      </c>
      <c r="J2607" s="25">
        <f t="shared" si="2"/>
        <v>452.64</v>
      </c>
      <c r="K2607" s="27">
        <f t="shared" si="3"/>
        <v>1</v>
      </c>
      <c r="L2607" s="25">
        <f t="shared" si="4"/>
        <v>1</v>
      </c>
    </row>
    <row r="2608">
      <c r="A2608" s="19">
        <v>116186.0</v>
      </c>
      <c r="B2608" s="20" t="str">
        <f t="array" ref="B2608">xlookup($A2608,product!$A:$A,product!B:B)</f>
        <v>Epicerie salée</v>
      </c>
      <c r="C2608" s="20" t="str">
        <f t="array" ref="C2608">xlookup($A2608,product!$A:$A,product!C:C)</f>
        <v>Sauces et coulis</v>
      </c>
      <c r="D2608" s="20" t="str">
        <f t="array" ref="D2608">xlookup($A2608,product!$A:$A,product!D:D)</f>
        <v>Préparation liquide, cuisine</v>
      </c>
      <c r="E2608" s="4" t="str">
        <f t="shared" si="1"/>
        <v>116186-Sauces et coulis-Préparation liquide, cuisine</v>
      </c>
      <c r="F2608" s="4">
        <v>1.0</v>
      </c>
      <c r="G2608" s="4">
        <v>116.0</v>
      </c>
      <c r="H2608" s="4">
        <v>98.0</v>
      </c>
      <c r="I2608" s="21">
        <f t="array" ref="I2608">XLOOKUP($A2608,product!A:A,product!E:E)</f>
        <v>1.46</v>
      </c>
      <c r="J2608" s="4">
        <f t="shared" si="2"/>
        <v>143.08</v>
      </c>
      <c r="K2608" s="22">
        <f t="shared" si="3"/>
        <v>1</v>
      </c>
      <c r="L2608" s="4">
        <f t="shared" si="4"/>
        <v>1</v>
      </c>
    </row>
    <row r="2609">
      <c r="A2609" s="23">
        <v>95413.0</v>
      </c>
      <c r="B2609" s="24" t="str">
        <f t="array" ref="B2609">xlookup($A2609,product!$A:$A,product!B:B)</f>
        <v>Epicerie salée</v>
      </c>
      <c r="C2609" s="24" t="str">
        <f t="array" ref="C2609">xlookup($A2609,product!$A:$A,product!C:C)</f>
        <v>Sauces et coulis</v>
      </c>
      <c r="D2609" s="24" t="str">
        <f t="array" ref="D2609">xlookup($A2609,product!$A:$A,product!D:D)</f>
        <v>Préparation liquide, cuisine</v>
      </c>
      <c r="E2609" s="25" t="str">
        <f t="shared" si="1"/>
        <v>95413-Sauces et coulis-Préparation liquide, cuisine</v>
      </c>
      <c r="F2609" s="25">
        <v>0.0</v>
      </c>
      <c r="G2609" s="25">
        <v>282.0</v>
      </c>
      <c r="H2609" s="25">
        <v>2.0</v>
      </c>
      <c r="I2609" s="26">
        <f t="array" ref="I2609">XLOOKUP($A2609,product!A:A,product!E:E)</f>
        <v>0.69</v>
      </c>
      <c r="J2609" s="25">
        <f t="shared" si="2"/>
        <v>1.38</v>
      </c>
      <c r="K2609" s="27">
        <f t="shared" si="3"/>
        <v>1</v>
      </c>
      <c r="L2609" s="25">
        <f t="shared" si="4"/>
        <v>1</v>
      </c>
    </row>
    <row r="2610">
      <c r="A2610" s="19">
        <v>116184.0</v>
      </c>
      <c r="B2610" s="20" t="str">
        <f t="array" ref="B2610">xlookup($A2610,product!$A:$A,product!B:B)</f>
        <v>Epicerie salée</v>
      </c>
      <c r="C2610" s="20" t="str">
        <f t="array" ref="C2610">xlookup($A2610,product!$A:$A,product!C:C)</f>
        <v>Sauces et coulis</v>
      </c>
      <c r="D2610" s="20" t="str">
        <f t="array" ref="D2610">xlookup($A2610,product!$A:$A,product!D:D)</f>
        <v>Préparation liquide, cuisine</v>
      </c>
      <c r="E2610" s="4" t="str">
        <f t="shared" si="1"/>
        <v>116184-Sauces et coulis-Préparation liquide, cuisine</v>
      </c>
      <c r="F2610" s="4">
        <v>0.0</v>
      </c>
      <c r="G2610" s="4">
        <v>645.0</v>
      </c>
      <c r="H2610" s="4">
        <v>447.0</v>
      </c>
      <c r="I2610" s="21">
        <f t="array" ref="I2610">XLOOKUP($A2610,product!A:A,product!E:E)</f>
        <v>1.46</v>
      </c>
      <c r="J2610" s="4">
        <f t="shared" si="2"/>
        <v>652.62</v>
      </c>
      <c r="K2610" s="22">
        <f t="shared" si="3"/>
        <v>1</v>
      </c>
      <c r="L2610" s="4">
        <f t="shared" si="4"/>
        <v>1</v>
      </c>
    </row>
    <row r="2611">
      <c r="A2611" s="23">
        <v>95412.0</v>
      </c>
      <c r="B2611" s="24" t="str">
        <f t="array" ref="B2611">xlookup($A2611,product!$A:$A,product!B:B)</f>
        <v>Epicerie salée</v>
      </c>
      <c r="C2611" s="24" t="str">
        <f t="array" ref="C2611">xlookup($A2611,product!$A:$A,product!C:C)</f>
        <v>Sauces et coulis</v>
      </c>
      <c r="D2611" s="24" t="str">
        <f t="array" ref="D2611">xlookup($A2611,product!$A:$A,product!D:D)</f>
        <v>Préparation liquide, cuisine</v>
      </c>
      <c r="E2611" s="25" t="str">
        <f t="shared" si="1"/>
        <v>95412-Sauces et coulis-Préparation liquide, cuisine</v>
      </c>
      <c r="F2611" s="25">
        <v>0.0</v>
      </c>
      <c r="G2611" s="25">
        <v>41.0</v>
      </c>
      <c r="H2611" s="25">
        <v>23.0</v>
      </c>
      <c r="I2611" s="26">
        <f t="array" ref="I2611">XLOOKUP($A2611,product!A:A,product!E:E)</f>
        <v>0.87</v>
      </c>
      <c r="J2611" s="25">
        <f t="shared" si="2"/>
        <v>20.01</v>
      </c>
      <c r="K2611" s="27">
        <f t="shared" si="3"/>
        <v>1</v>
      </c>
      <c r="L2611" s="25">
        <f t="shared" si="4"/>
        <v>1</v>
      </c>
    </row>
    <row r="2612">
      <c r="A2612" s="19">
        <v>95414.0</v>
      </c>
      <c r="B2612" s="20" t="str">
        <f t="array" ref="B2612">xlookup($A2612,product!$A:$A,product!B:B)</f>
        <v>Epicerie salée</v>
      </c>
      <c r="C2612" s="20" t="str">
        <f t="array" ref="C2612">xlookup($A2612,product!$A:$A,product!C:C)</f>
        <v>Sauces et coulis</v>
      </c>
      <c r="D2612" s="20" t="str">
        <f t="array" ref="D2612">xlookup($A2612,product!$A:$A,product!D:D)</f>
        <v>Préparation liquide, cuisine</v>
      </c>
      <c r="E2612" s="4" t="str">
        <f t="shared" si="1"/>
        <v>95414-Sauces et coulis-Préparation liquide, cuisine</v>
      </c>
      <c r="F2612" s="4">
        <v>1.0</v>
      </c>
      <c r="G2612" s="4">
        <v>281.0</v>
      </c>
      <c r="H2612" s="4">
        <v>120.0</v>
      </c>
      <c r="I2612" s="21">
        <f t="array" ref="I2612">XLOOKUP($A2612,product!A:A,product!E:E)</f>
        <v>1.07</v>
      </c>
      <c r="J2612" s="4">
        <f t="shared" si="2"/>
        <v>128.4</v>
      </c>
      <c r="K2612" s="22">
        <f t="shared" si="3"/>
        <v>1</v>
      </c>
      <c r="L2612" s="4">
        <f t="shared" si="4"/>
        <v>1</v>
      </c>
    </row>
    <row r="2613">
      <c r="A2613" s="23">
        <v>24088.0</v>
      </c>
      <c r="B2613" s="24" t="str">
        <f t="array" ref="B2613">xlookup($A2613,product!$A:$A,product!B:B)</f>
        <v>Epicerie salée</v>
      </c>
      <c r="C2613" s="24" t="str">
        <f t="array" ref="C2613">xlookup($A2613,product!$A:$A,product!C:C)</f>
        <v>Sauces et coulis</v>
      </c>
      <c r="D2613" s="24" t="str">
        <f t="array" ref="D2613">xlookup($A2613,product!$A:$A,product!D:D)</f>
        <v>Préparation liquide, cuisine</v>
      </c>
      <c r="E2613" s="25" t="str">
        <f t="shared" si="1"/>
        <v>24088-Sauces et coulis-Préparation liquide, cuisine</v>
      </c>
      <c r="F2613" s="25">
        <v>1.0</v>
      </c>
      <c r="G2613" s="25">
        <v>155.0</v>
      </c>
      <c r="H2613" s="25">
        <v>52.0</v>
      </c>
      <c r="I2613" s="26">
        <f t="array" ref="I2613">XLOOKUP($A2613,product!A:A,product!E:E)</f>
        <v>2.14</v>
      </c>
      <c r="J2613" s="25">
        <f t="shared" si="2"/>
        <v>111.28</v>
      </c>
      <c r="K2613" s="27">
        <f t="shared" si="3"/>
        <v>1</v>
      </c>
      <c r="L2613" s="25">
        <f t="shared" si="4"/>
        <v>1</v>
      </c>
    </row>
    <row r="2614">
      <c r="A2614" s="19">
        <v>75156.0</v>
      </c>
      <c r="B2614" s="20" t="str">
        <f t="array" ref="B2614">xlookup($A2614,product!$A:$A,product!B:B)</f>
        <v>Epicerie salée</v>
      </c>
      <c r="C2614" s="20" t="str">
        <f t="array" ref="C2614">xlookup($A2614,product!$A:$A,product!C:C)</f>
        <v>Sauces et coulis</v>
      </c>
      <c r="D2614" s="20" t="str">
        <f t="array" ref="D2614">xlookup($A2614,product!$A:$A,product!D:D)</f>
        <v>Préparation liquide, cuisine</v>
      </c>
      <c r="E2614" s="4" t="str">
        <f t="shared" si="1"/>
        <v>75156-Sauces et coulis-Préparation liquide, cuisine</v>
      </c>
      <c r="F2614" s="4">
        <v>1.0</v>
      </c>
      <c r="G2614" s="4">
        <v>661.0</v>
      </c>
      <c r="H2614" s="4">
        <v>221.0</v>
      </c>
      <c r="I2614" s="21">
        <f t="array" ref="I2614">XLOOKUP($A2614,product!A:A,product!E:E)</f>
        <v>1.61</v>
      </c>
      <c r="J2614" s="4">
        <f t="shared" si="2"/>
        <v>355.81</v>
      </c>
      <c r="K2614" s="22">
        <f t="shared" si="3"/>
        <v>1</v>
      </c>
      <c r="L2614" s="4">
        <f t="shared" si="4"/>
        <v>1</v>
      </c>
    </row>
    <row r="2615">
      <c r="A2615" s="23">
        <v>6216.0</v>
      </c>
      <c r="B2615" s="24" t="str">
        <f t="array" ref="B2615">xlookup($A2615,product!$A:$A,product!B:B)</f>
        <v>Epicerie salée</v>
      </c>
      <c r="C2615" s="24" t="str">
        <f t="array" ref="C2615">xlookup($A2615,product!$A:$A,product!C:C)</f>
        <v>Sauces et coulis</v>
      </c>
      <c r="D2615" s="24" t="str">
        <f t="array" ref="D2615">xlookup($A2615,product!$A:$A,product!D:D)</f>
        <v>Préparation liquide, cuisine</v>
      </c>
      <c r="E2615" s="25" t="str">
        <f t="shared" si="1"/>
        <v>6216-Sauces et coulis-Préparation liquide, cuisine</v>
      </c>
      <c r="F2615" s="25">
        <v>1.0</v>
      </c>
      <c r="G2615" s="25">
        <v>369.0</v>
      </c>
      <c r="H2615" s="25">
        <v>3.0</v>
      </c>
      <c r="I2615" s="26">
        <f t="array" ref="I2615">XLOOKUP($A2615,product!A:A,product!E:E)</f>
        <v>1.17</v>
      </c>
      <c r="J2615" s="25">
        <f t="shared" si="2"/>
        <v>3.51</v>
      </c>
      <c r="K2615" s="27">
        <f t="shared" si="3"/>
        <v>1</v>
      </c>
      <c r="L2615" s="25">
        <f t="shared" si="4"/>
        <v>1</v>
      </c>
    </row>
    <row r="2616">
      <c r="A2616" s="19">
        <v>149867.0</v>
      </c>
      <c r="B2616" s="20" t="str">
        <f t="array" ref="B2616">xlookup($A2616,product!$A:$A,product!B:B)</f>
        <v>Epicerie salée</v>
      </c>
      <c r="C2616" s="20" t="str">
        <f t="array" ref="C2616">xlookup($A2616,product!$A:$A,product!C:C)</f>
        <v>Sauces et coulis</v>
      </c>
      <c r="D2616" s="20" t="str">
        <f t="array" ref="D2616">xlookup($A2616,product!$A:$A,product!D:D)</f>
        <v>Préparation liquide, cuisine</v>
      </c>
      <c r="E2616" s="4" t="str">
        <f t="shared" si="1"/>
        <v>149867-Sauces et coulis-Préparation liquide, cuisine</v>
      </c>
      <c r="F2616" s="4">
        <v>1.0</v>
      </c>
      <c r="G2616" s="4">
        <v>210.0</v>
      </c>
      <c r="H2616" s="4">
        <v>152.0</v>
      </c>
      <c r="I2616" s="21">
        <f t="array" ref="I2616">XLOOKUP($A2616,product!A:A,product!E:E)</f>
        <v>3.18</v>
      </c>
      <c r="J2616" s="4">
        <f t="shared" si="2"/>
        <v>483.36</v>
      </c>
      <c r="K2616" s="22">
        <f t="shared" si="3"/>
        <v>1</v>
      </c>
      <c r="L2616" s="4">
        <f t="shared" si="4"/>
        <v>1</v>
      </c>
    </row>
    <row r="2617">
      <c r="A2617" s="23">
        <v>44037.0</v>
      </c>
      <c r="B2617" s="24" t="str">
        <f t="array" ref="B2617">xlookup($A2617,product!$A:$A,product!B:B)</f>
        <v>Epicerie salée</v>
      </c>
      <c r="C2617" s="24" t="str">
        <f t="array" ref="C2617">xlookup($A2617,product!$A:$A,product!C:C)</f>
        <v>Sauces et coulis</v>
      </c>
      <c r="D2617" s="24" t="str">
        <f t="array" ref="D2617">xlookup($A2617,product!$A:$A,product!D:D)</f>
        <v>Préparation liquide, cuisine</v>
      </c>
      <c r="E2617" s="25" t="str">
        <f t="shared" si="1"/>
        <v>44037-Sauces et coulis-Préparation liquide, cuisine</v>
      </c>
      <c r="F2617" s="25">
        <v>1.0</v>
      </c>
      <c r="G2617" s="25">
        <v>54.0</v>
      </c>
      <c r="H2617" s="25">
        <v>45.0</v>
      </c>
      <c r="I2617" s="26">
        <f t="array" ref="I2617">XLOOKUP($A2617,product!A:A,product!E:E)</f>
        <v>0.87</v>
      </c>
      <c r="J2617" s="25">
        <f t="shared" si="2"/>
        <v>39.15</v>
      </c>
      <c r="K2617" s="27">
        <f t="shared" si="3"/>
        <v>1</v>
      </c>
      <c r="L2617" s="25">
        <f t="shared" si="4"/>
        <v>1</v>
      </c>
    </row>
    <row r="2618">
      <c r="A2618" s="19">
        <v>83029.0</v>
      </c>
      <c r="B2618" s="20" t="str">
        <f t="array" ref="B2618">xlookup($A2618,product!$A:$A,product!B:B)</f>
        <v>Epicerie salée</v>
      </c>
      <c r="C2618" s="20" t="str">
        <f t="array" ref="C2618">xlookup($A2618,product!$A:$A,product!C:C)</f>
        <v>Sauces et coulis</v>
      </c>
      <c r="D2618" s="20" t="str">
        <f t="array" ref="D2618">xlookup($A2618,product!$A:$A,product!D:D)</f>
        <v>Préparation liquide, cuisine</v>
      </c>
      <c r="E2618" s="4" t="str">
        <f t="shared" si="1"/>
        <v>83029-Sauces et coulis-Préparation liquide, cuisine</v>
      </c>
      <c r="F2618" s="4">
        <v>0.0</v>
      </c>
      <c r="G2618" s="4">
        <v>200.0</v>
      </c>
      <c r="H2618" s="4">
        <v>32.0</v>
      </c>
      <c r="I2618" s="21">
        <f t="array" ref="I2618">XLOOKUP($A2618,product!A:A,product!E:E)</f>
        <v>0.65</v>
      </c>
      <c r="J2618" s="4">
        <f t="shared" si="2"/>
        <v>20.8</v>
      </c>
      <c r="K2618" s="22">
        <f t="shared" si="3"/>
        <v>1</v>
      </c>
      <c r="L2618" s="4">
        <f t="shared" si="4"/>
        <v>1</v>
      </c>
    </row>
    <row r="2619">
      <c r="A2619" s="23">
        <v>100395.0</v>
      </c>
      <c r="B2619" s="24" t="str">
        <f t="array" ref="B2619">xlookup($A2619,product!$A:$A,product!B:B)</f>
        <v>Epicerie salée</v>
      </c>
      <c r="C2619" s="24" t="str">
        <f t="array" ref="C2619">xlookup($A2619,product!$A:$A,product!C:C)</f>
        <v>Sauces et coulis</v>
      </c>
      <c r="D2619" s="24" t="str">
        <f t="array" ref="D2619">xlookup($A2619,product!$A:$A,product!D:D)</f>
        <v>Préparation liquide, cuisine</v>
      </c>
      <c r="E2619" s="25" t="str">
        <f t="shared" si="1"/>
        <v>100395-Sauces et coulis-Préparation liquide, cuisine</v>
      </c>
      <c r="F2619" s="25">
        <v>1.0</v>
      </c>
      <c r="G2619" s="25">
        <v>730.0</v>
      </c>
      <c r="H2619" s="25">
        <v>183.0</v>
      </c>
      <c r="I2619" s="26">
        <f t="array" ref="I2619">XLOOKUP($A2619,product!A:A,product!E:E)</f>
        <v>1.4</v>
      </c>
      <c r="J2619" s="25">
        <f t="shared" si="2"/>
        <v>256.2</v>
      </c>
      <c r="K2619" s="27">
        <f t="shared" si="3"/>
        <v>1</v>
      </c>
      <c r="L2619" s="25">
        <f t="shared" si="4"/>
        <v>1</v>
      </c>
    </row>
    <row r="2620">
      <c r="A2620" s="19">
        <v>110437.0</v>
      </c>
      <c r="B2620" s="20" t="str">
        <f t="array" ref="B2620">xlookup($A2620,product!$A:$A,product!B:B)</f>
        <v>Epicerie salée</v>
      </c>
      <c r="C2620" s="20" t="str">
        <f t="array" ref="C2620">xlookup($A2620,product!$A:$A,product!C:C)</f>
        <v>Sauces et coulis</v>
      </c>
      <c r="D2620" s="20" t="str">
        <f t="array" ref="D2620">xlookup($A2620,product!$A:$A,product!D:D)</f>
        <v>Préparation liquide, cuisine</v>
      </c>
      <c r="E2620" s="4" t="str">
        <f t="shared" si="1"/>
        <v>110437-Sauces et coulis-Préparation liquide, cuisine</v>
      </c>
      <c r="F2620" s="4">
        <v>1.0</v>
      </c>
      <c r="G2620" s="4">
        <v>728.0</v>
      </c>
      <c r="H2620" s="4">
        <v>79.0</v>
      </c>
      <c r="I2620" s="21">
        <f t="array" ref="I2620">XLOOKUP($A2620,product!A:A,product!E:E)</f>
        <v>0.5</v>
      </c>
      <c r="J2620" s="4">
        <f t="shared" si="2"/>
        <v>39.5</v>
      </c>
      <c r="K2620" s="22">
        <f t="shared" si="3"/>
        <v>1</v>
      </c>
      <c r="L2620" s="4">
        <f t="shared" si="4"/>
        <v>1</v>
      </c>
    </row>
    <row r="2621">
      <c r="A2621" s="23">
        <v>29430.0</v>
      </c>
      <c r="B2621" s="24" t="str">
        <f t="array" ref="B2621">xlookup($A2621,product!$A:$A,product!B:B)</f>
        <v>Epicerie salée</v>
      </c>
      <c r="C2621" s="24" t="str">
        <f t="array" ref="C2621">xlookup($A2621,product!$A:$A,product!C:C)</f>
        <v>Sauces et coulis</v>
      </c>
      <c r="D2621" s="24" t="str">
        <f t="array" ref="D2621">xlookup($A2621,product!$A:$A,product!D:D)</f>
        <v>Préparation liquide, cuisine</v>
      </c>
      <c r="E2621" s="25" t="str">
        <f t="shared" si="1"/>
        <v>29430-Sauces et coulis-Préparation liquide, cuisine</v>
      </c>
      <c r="F2621" s="25">
        <v>0.0</v>
      </c>
      <c r="G2621" s="25">
        <v>835.0</v>
      </c>
      <c r="H2621" s="25">
        <v>301.0</v>
      </c>
      <c r="I2621" s="26">
        <f t="array" ref="I2621">XLOOKUP($A2621,product!A:A,product!E:E)</f>
        <v>1.25</v>
      </c>
      <c r="J2621" s="25">
        <f t="shared" si="2"/>
        <v>376.25</v>
      </c>
      <c r="K2621" s="27">
        <f t="shared" si="3"/>
        <v>1</v>
      </c>
      <c r="L2621" s="25">
        <f t="shared" si="4"/>
        <v>1</v>
      </c>
    </row>
    <row r="2622">
      <c r="A2622" s="19">
        <v>95416.0</v>
      </c>
      <c r="B2622" s="20" t="str">
        <f t="array" ref="B2622">xlookup($A2622,product!$A:$A,product!B:B)</f>
        <v>Epicerie salée</v>
      </c>
      <c r="C2622" s="20" t="str">
        <f t="array" ref="C2622">xlookup($A2622,product!$A:$A,product!C:C)</f>
        <v>Sauces et coulis</v>
      </c>
      <c r="D2622" s="20" t="str">
        <f t="array" ref="D2622">xlookup($A2622,product!$A:$A,product!D:D)</f>
        <v>Préparation liquide, cuisine</v>
      </c>
      <c r="E2622" s="4" t="str">
        <f t="shared" si="1"/>
        <v>95416-Sauces et coulis-Préparation liquide, cuisine</v>
      </c>
      <c r="F2622" s="4">
        <v>1.0</v>
      </c>
      <c r="G2622" s="4">
        <v>868.0</v>
      </c>
      <c r="H2622" s="4">
        <v>308.0</v>
      </c>
      <c r="I2622" s="21">
        <f t="array" ref="I2622">XLOOKUP($A2622,product!A:A,product!E:E)</f>
        <v>0.87</v>
      </c>
      <c r="J2622" s="4">
        <f t="shared" si="2"/>
        <v>267.96</v>
      </c>
      <c r="K2622" s="22">
        <f t="shared" si="3"/>
        <v>1</v>
      </c>
      <c r="L2622" s="4">
        <f t="shared" si="4"/>
        <v>1</v>
      </c>
    </row>
    <row r="2623">
      <c r="A2623" s="23">
        <v>108493.0</v>
      </c>
      <c r="B2623" s="24" t="str">
        <f t="array" ref="B2623">xlookup($A2623,product!$A:$A,product!B:B)</f>
        <v>Epicerie salée</v>
      </c>
      <c r="C2623" s="24" t="str">
        <f t="array" ref="C2623">xlookup($A2623,product!$A:$A,product!C:C)</f>
        <v>Sauces et coulis</v>
      </c>
      <c r="D2623" s="24" t="str">
        <f t="array" ref="D2623">xlookup($A2623,product!$A:$A,product!D:D)</f>
        <v>Préparation liquide, cuisine</v>
      </c>
      <c r="E2623" s="25" t="str">
        <f t="shared" si="1"/>
        <v>108493-Sauces et coulis-Préparation liquide, cuisine</v>
      </c>
      <c r="F2623" s="25">
        <v>0.0</v>
      </c>
      <c r="G2623" s="25">
        <v>918.0</v>
      </c>
      <c r="H2623" s="25">
        <v>873.0</v>
      </c>
      <c r="I2623" s="26">
        <f t="array" ref="I2623">XLOOKUP($A2623,product!A:A,product!E:E)</f>
        <v>2.86</v>
      </c>
      <c r="J2623" s="25">
        <f t="shared" si="2"/>
        <v>2496.78</v>
      </c>
      <c r="K2623" s="27">
        <f t="shared" si="3"/>
        <v>1</v>
      </c>
      <c r="L2623" s="25">
        <f t="shared" si="4"/>
        <v>1</v>
      </c>
    </row>
    <row r="2624">
      <c r="A2624" s="19">
        <v>109293.0</v>
      </c>
      <c r="B2624" s="20" t="str">
        <f t="array" ref="B2624">xlookup($A2624,product!$A:$A,product!B:B)</f>
        <v>Epicerie salée</v>
      </c>
      <c r="C2624" s="20" t="str">
        <f t="array" ref="C2624">xlookup($A2624,product!$A:$A,product!C:C)</f>
        <v>Sauces et coulis</v>
      </c>
      <c r="D2624" s="20" t="str">
        <f t="array" ref="D2624">xlookup($A2624,product!$A:$A,product!D:D)</f>
        <v>Préparation liquide, cuisine</v>
      </c>
      <c r="E2624" s="4" t="str">
        <f t="shared" si="1"/>
        <v>109293-Sauces et coulis-Préparation liquide, cuisine</v>
      </c>
      <c r="F2624" s="4">
        <v>0.0</v>
      </c>
      <c r="G2624" s="4">
        <v>144.0</v>
      </c>
      <c r="H2624" s="4">
        <v>29.0</v>
      </c>
      <c r="I2624" s="21">
        <f t="array" ref="I2624">XLOOKUP($A2624,product!A:A,product!E:E)</f>
        <v>1.82</v>
      </c>
      <c r="J2624" s="4">
        <f t="shared" si="2"/>
        <v>52.78</v>
      </c>
      <c r="K2624" s="22">
        <f t="shared" si="3"/>
        <v>1</v>
      </c>
      <c r="L2624" s="4">
        <f t="shared" si="4"/>
        <v>1</v>
      </c>
    </row>
    <row r="2625">
      <c r="A2625" s="23">
        <v>73581.0</v>
      </c>
      <c r="B2625" s="24" t="str">
        <f t="array" ref="B2625">xlookup($A2625,product!$A:$A,product!B:B)</f>
        <v>Epicerie salée</v>
      </c>
      <c r="C2625" s="24" t="str">
        <f t="array" ref="C2625">xlookup($A2625,product!$A:$A,product!C:C)</f>
        <v>Sauces et coulis</v>
      </c>
      <c r="D2625" s="24" t="str">
        <f t="array" ref="D2625">xlookup($A2625,product!$A:$A,product!D:D)</f>
        <v>Préparation liquide, cuisine</v>
      </c>
      <c r="E2625" s="25" t="str">
        <f t="shared" si="1"/>
        <v>73581-Sauces et coulis-Préparation liquide, cuisine</v>
      </c>
      <c r="F2625" s="25">
        <v>0.0</v>
      </c>
      <c r="G2625" s="25">
        <v>298.0</v>
      </c>
      <c r="H2625" s="25">
        <v>274.0</v>
      </c>
      <c r="I2625" s="26">
        <f t="array" ref="I2625">XLOOKUP($A2625,product!A:A,product!E:E)</f>
        <v>2.95</v>
      </c>
      <c r="J2625" s="25">
        <f t="shared" si="2"/>
        <v>808.3</v>
      </c>
      <c r="K2625" s="27">
        <f t="shared" si="3"/>
        <v>1</v>
      </c>
      <c r="L2625" s="25">
        <f t="shared" si="4"/>
        <v>1</v>
      </c>
    </row>
    <row r="2626">
      <c r="A2626" s="19">
        <v>100396.0</v>
      </c>
      <c r="B2626" s="20" t="str">
        <f t="array" ref="B2626">xlookup($A2626,product!$A:$A,product!B:B)</f>
        <v>Epicerie salée</v>
      </c>
      <c r="C2626" s="20" t="str">
        <f t="array" ref="C2626">xlookup($A2626,product!$A:$A,product!C:C)</f>
        <v>Sauces et coulis</v>
      </c>
      <c r="D2626" s="20" t="str">
        <f t="array" ref="D2626">xlookup($A2626,product!$A:$A,product!D:D)</f>
        <v>Préparation liquide, cuisine</v>
      </c>
      <c r="E2626" s="4" t="str">
        <f t="shared" si="1"/>
        <v>100396-Sauces et coulis-Préparation liquide, cuisine</v>
      </c>
      <c r="F2626" s="4">
        <v>1.0</v>
      </c>
      <c r="G2626" s="4">
        <v>454.0</v>
      </c>
      <c r="H2626" s="4">
        <v>315.0</v>
      </c>
      <c r="I2626" s="21">
        <f t="array" ref="I2626">XLOOKUP($A2626,product!A:A,product!E:E)</f>
        <v>0.99</v>
      </c>
      <c r="J2626" s="4">
        <f t="shared" si="2"/>
        <v>311.85</v>
      </c>
      <c r="K2626" s="22">
        <f t="shared" si="3"/>
        <v>1</v>
      </c>
      <c r="L2626" s="4">
        <f t="shared" si="4"/>
        <v>1</v>
      </c>
    </row>
    <row r="2627">
      <c r="A2627" s="23">
        <v>45917.0</v>
      </c>
      <c r="B2627" s="24" t="str">
        <f t="array" ref="B2627">xlookup($A2627,product!$A:$A,product!B:B)</f>
        <v>Epicerie salée</v>
      </c>
      <c r="C2627" s="24" t="str">
        <f t="array" ref="C2627">xlookup($A2627,product!$A:$A,product!C:C)</f>
        <v>Sauces et coulis</v>
      </c>
      <c r="D2627" s="24" t="str">
        <f t="array" ref="D2627">xlookup($A2627,product!$A:$A,product!D:D)</f>
        <v>Préparation liquide, cuisine</v>
      </c>
      <c r="E2627" s="25" t="str">
        <f t="shared" si="1"/>
        <v>45917-Sauces et coulis-Préparation liquide, cuisine</v>
      </c>
      <c r="F2627" s="25">
        <v>0.0</v>
      </c>
      <c r="G2627" s="25">
        <v>0.0</v>
      </c>
      <c r="H2627" s="25">
        <v>0.0</v>
      </c>
      <c r="I2627" s="26">
        <f t="array" ref="I2627">XLOOKUP($A2627,product!A:A,product!E:E)</f>
        <v>1.93</v>
      </c>
      <c r="J2627" s="25">
        <f t="shared" si="2"/>
        <v>0</v>
      </c>
      <c r="K2627" s="27">
        <f t="shared" si="3"/>
        <v>0</v>
      </c>
      <c r="L2627" s="25">
        <f t="shared" si="4"/>
        <v>1</v>
      </c>
    </row>
    <row r="2628">
      <c r="A2628" s="19">
        <v>83420.0</v>
      </c>
      <c r="B2628" s="20" t="str">
        <f t="array" ref="B2628">xlookup($A2628,product!$A:$A,product!B:B)</f>
        <v>Epicerie salée</v>
      </c>
      <c r="C2628" s="20" t="str">
        <f t="array" ref="C2628">xlookup($A2628,product!$A:$A,product!C:C)</f>
        <v>Sauces et coulis</v>
      </c>
      <c r="D2628" s="20" t="str">
        <f t="array" ref="D2628">xlookup($A2628,product!$A:$A,product!D:D)</f>
        <v>Préparation liquide, cuisine</v>
      </c>
      <c r="E2628" s="4" t="str">
        <f t="shared" si="1"/>
        <v>83420-Sauces et coulis-Préparation liquide, cuisine</v>
      </c>
      <c r="F2628" s="4">
        <v>0.0</v>
      </c>
      <c r="G2628" s="4">
        <v>321.0</v>
      </c>
      <c r="H2628" s="4">
        <v>205.0</v>
      </c>
      <c r="I2628" s="21">
        <f t="array" ref="I2628">XLOOKUP($A2628,product!A:A,product!E:E)</f>
        <v>1.27</v>
      </c>
      <c r="J2628" s="4">
        <f t="shared" si="2"/>
        <v>260.35</v>
      </c>
      <c r="K2628" s="22">
        <f t="shared" si="3"/>
        <v>1</v>
      </c>
      <c r="L2628" s="4">
        <f t="shared" si="4"/>
        <v>1</v>
      </c>
    </row>
    <row r="2629">
      <c r="A2629" s="23">
        <v>101591.0</v>
      </c>
      <c r="B2629" s="24" t="str">
        <f t="array" ref="B2629">xlookup($A2629,product!$A:$A,product!B:B)</f>
        <v>Epicerie salée</v>
      </c>
      <c r="C2629" s="24" t="str">
        <f t="array" ref="C2629">xlookup($A2629,product!$A:$A,product!C:C)</f>
        <v>Sauces et coulis</v>
      </c>
      <c r="D2629" s="24" t="str">
        <f t="array" ref="D2629">xlookup($A2629,product!$A:$A,product!D:D)</f>
        <v>Préparation liquide, cuisine</v>
      </c>
      <c r="E2629" s="25" t="str">
        <f t="shared" si="1"/>
        <v>101591-Sauces et coulis-Préparation liquide, cuisine</v>
      </c>
      <c r="F2629" s="25">
        <v>0.0</v>
      </c>
      <c r="G2629" s="25">
        <v>121.0</v>
      </c>
      <c r="H2629" s="25">
        <v>89.0</v>
      </c>
      <c r="I2629" s="26">
        <f t="array" ref="I2629">XLOOKUP($A2629,product!A:A,product!E:E)</f>
        <v>2.85</v>
      </c>
      <c r="J2629" s="25">
        <f t="shared" si="2"/>
        <v>253.65</v>
      </c>
      <c r="K2629" s="27">
        <f t="shared" si="3"/>
        <v>1</v>
      </c>
      <c r="L2629" s="25">
        <f t="shared" si="4"/>
        <v>1</v>
      </c>
    </row>
    <row r="2630">
      <c r="A2630" s="19">
        <v>116181.0</v>
      </c>
      <c r="B2630" s="20" t="str">
        <f t="array" ref="B2630">xlookup($A2630,product!$A:$A,product!B:B)</f>
        <v>Epicerie salée</v>
      </c>
      <c r="C2630" s="20" t="str">
        <f t="array" ref="C2630">xlookup($A2630,product!$A:$A,product!C:C)</f>
        <v>Sauces et coulis</v>
      </c>
      <c r="D2630" s="20" t="str">
        <f t="array" ref="D2630">xlookup($A2630,product!$A:$A,product!D:D)</f>
        <v>Préparation liquide, cuisine</v>
      </c>
      <c r="E2630" s="4" t="str">
        <f t="shared" si="1"/>
        <v>116181-Sauces et coulis-Préparation liquide, cuisine</v>
      </c>
      <c r="F2630" s="4">
        <v>1.0</v>
      </c>
      <c r="G2630" s="4">
        <v>374.0</v>
      </c>
      <c r="H2630" s="4">
        <v>358.0</v>
      </c>
      <c r="I2630" s="21">
        <f t="array" ref="I2630">XLOOKUP($A2630,product!A:A,product!E:E)</f>
        <v>1.21</v>
      </c>
      <c r="J2630" s="4">
        <f t="shared" si="2"/>
        <v>433.18</v>
      </c>
      <c r="K2630" s="22">
        <f t="shared" si="3"/>
        <v>1</v>
      </c>
      <c r="L2630" s="4">
        <f t="shared" si="4"/>
        <v>1</v>
      </c>
    </row>
    <row r="2631">
      <c r="A2631" s="23">
        <v>109300.0</v>
      </c>
      <c r="B2631" s="24" t="str">
        <f t="array" ref="B2631">xlookup($A2631,product!$A:$A,product!B:B)</f>
        <v>Epicerie salée</v>
      </c>
      <c r="C2631" s="24" t="str">
        <f t="array" ref="C2631">xlookup($A2631,product!$A:$A,product!C:C)</f>
        <v>Sauces et coulis</v>
      </c>
      <c r="D2631" s="24" t="str">
        <f t="array" ref="D2631">xlookup($A2631,product!$A:$A,product!D:D)</f>
        <v>Préparation liquide, cuisine</v>
      </c>
      <c r="E2631" s="25" t="str">
        <f t="shared" si="1"/>
        <v>109300-Sauces et coulis-Préparation liquide, cuisine</v>
      </c>
      <c r="F2631" s="25">
        <v>0.0</v>
      </c>
      <c r="G2631" s="25">
        <v>822.0</v>
      </c>
      <c r="H2631" s="25">
        <v>638.0</v>
      </c>
      <c r="I2631" s="26">
        <f t="array" ref="I2631">XLOOKUP($A2631,product!A:A,product!E:E)</f>
        <v>1.05</v>
      </c>
      <c r="J2631" s="25">
        <f t="shared" si="2"/>
        <v>669.9</v>
      </c>
      <c r="K2631" s="27">
        <f t="shared" si="3"/>
        <v>1</v>
      </c>
      <c r="L2631" s="25">
        <f t="shared" si="4"/>
        <v>1</v>
      </c>
    </row>
    <row r="2632">
      <c r="A2632" s="19">
        <v>46160.0</v>
      </c>
      <c r="B2632" s="20" t="str">
        <f t="array" ref="B2632">xlookup($A2632,product!$A:$A,product!B:B)</f>
        <v>Epicerie salée</v>
      </c>
      <c r="C2632" s="20" t="str">
        <f t="array" ref="C2632">xlookup($A2632,product!$A:$A,product!C:C)</f>
        <v>Sauces et coulis</v>
      </c>
      <c r="D2632" s="20" t="str">
        <f t="array" ref="D2632">xlookup($A2632,product!$A:$A,product!D:D)</f>
        <v>Préparation liquide, cuisine</v>
      </c>
      <c r="E2632" s="4" t="str">
        <f t="shared" si="1"/>
        <v>46160-Sauces et coulis-Préparation liquide, cuisine</v>
      </c>
      <c r="F2632" s="4">
        <v>1.0</v>
      </c>
      <c r="G2632" s="4">
        <v>442.0</v>
      </c>
      <c r="H2632" s="4">
        <v>43.0</v>
      </c>
      <c r="I2632" s="21">
        <f t="array" ref="I2632">XLOOKUP($A2632,product!A:A,product!E:E)</f>
        <v>0.52</v>
      </c>
      <c r="J2632" s="4">
        <f t="shared" si="2"/>
        <v>22.36</v>
      </c>
      <c r="K2632" s="22">
        <f t="shared" si="3"/>
        <v>1</v>
      </c>
      <c r="L2632" s="4">
        <f t="shared" si="4"/>
        <v>1</v>
      </c>
    </row>
    <row r="2633">
      <c r="A2633" s="23">
        <v>116202.0</v>
      </c>
      <c r="B2633" s="24" t="str">
        <f t="array" ref="B2633">xlookup($A2633,product!$A:$A,product!B:B)</f>
        <v>Epicerie salée</v>
      </c>
      <c r="C2633" s="24" t="str">
        <f t="array" ref="C2633">xlookup($A2633,product!$A:$A,product!C:C)</f>
        <v>Sauces et coulis</v>
      </c>
      <c r="D2633" s="24" t="str">
        <f t="array" ref="D2633">xlookup($A2633,product!$A:$A,product!D:D)</f>
        <v>Préparation liquide, cuisine</v>
      </c>
      <c r="E2633" s="25" t="str">
        <f t="shared" si="1"/>
        <v>116202-Sauces et coulis-Préparation liquide, cuisine</v>
      </c>
      <c r="F2633" s="25">
        <v>0.0</v>
      </c>
      <c r="G2633" s="25">
        <v>864.0</v>
      </c>
      <c r="H2633" s="25">
        <v>574.0</v>
      </c>
      <c r="I2633" s="26">
        <f t="array" ref="I2633">XLOOKUP($A2633,product!A:A,product!E:E)</f>
        <v>0.88</v>
      </c>
      <c r="J2633" s="25">
        <f t="shared" si="2"/>
        <v>505.12</v>
      </c>
      <c r="K2633" s="27">
        <f t="shared" si="3"/>
        <v>1</v>
      </c>
      <c r="L2633" s="25">
        <f t="shared" si="4"/>
        <v>1</v>
      </c>
    </row>
    <row r="2634">
      <c r="A2634" s="19">
        <v>106884.0</v>
      </c>
      <c r="B2634" s="20" t="str">
        <f t="array" ref="B2634">xlookup($A2634,product!$A:$A,product!B:B)</f>
        <v>Epicerie salée</v>
      </c>
      <c r="C2634" s="20" t="str">
        <f t="array" ref="C2634">xlookup($A2634,product!$A:$A,product!C:C)</f>
        <v>Sauces et coulis</v>
      </c>
      <c r="D2634" s="20" t="str">
        <f t="array" ref="D2634">xlookup($A2634,product!$A:$A,product!D:D)</f>
        <v>Préparation liquide, cuisine</v>
      </c>
      <c r="E2634" s="4" t="str">
        <f t="shared" si="1"/>
        <v>106884-Sauces et coulis-Préparation liquide, cuisine</v>
      </c>
      <c r="F2634" s="4">
        <v>0.0</v>
      </c>
      <c r="G2634" s="4">
        <v>46.0</v>
      </c>
      <c r="H2634" s="4">
        <v>22.0</v>
      </c>
      <c r="I2634" s="21">
        <f t="array" ref="I2634">XLOOKUP($A2634,product!A:A,product!E:E)</f>
        <v>0.75</v>
      </c>
      <c r="J2634" s="4">
        <f t="shared" si="2"/>
        <v>16.5</v>
      </c>
      <c r="K2634" s="22">
        <f t="shared" si="3"/>
        <v>1</v>
      </c>
      <c r="L2634" s="4">
        <f t="shared" si="4"/>
        <v>1</v>
      </c>
    </row>
    <row r="2635">
      <c r="A2635" s="23">
        <v>98598.0</v>
      </c>
      <c r="B2635" s="24" t="str">
        <f t="array" ref="B2635">xlookup($A2635,product!$A:$A,product!B:B)</f>
        <v>Epicerie salée</v>
      </c>
      <c r="C2635" s="24" t="str">
        <f t="array" ref="C2635">xlookup($A2635,product!$A:$A,product!C:C)</f>
        <v>Sauces et coulis</v>
      </c>
      <c r="D2635" s="24" t="str">
        <f t="array" ref="D2635">xlookup($A2635,product!$A:$A,product!D:D)</f>
        <v>Préparation liquide, cuisine</v>
      </c>
      <c r="E2635" s="25" t="str">
        <f t="shared" si="1"/>
        <v>98598-Sauces et coulis-Préparation liquide, cuisine</v>
      </c>
      <c r="F2635" s="25">
        <v>0.0</v>
      </c>
      <c r="G2635" s="25">
        <v>957.0</v>
      </c>
      <c r="H2635" s="25">
        <v>368.0</v>
      </c>
      <c r="I2635" s="26">
        <f t="array" ref="I2635">XLOOKUP($A2635,product!A:A,product!E:E)</f>
        <v>3.52</v>
      </c>
      <c r="J2635" s="25">
        <f t="shared" si="2"/>
        <v>1295.36</v>
      </c>
      <c r="K2635" s="27">
        <f t="shared" si="3"/>
        <v>1</v>
      </c>
      <c r="L2635" s="25">
        <f t="shared" si="4"/>
        <v>1</v>
      </c>
    </row>
    <row r="2636">
      <c r="A2636" s="19">
        <v>78515.0</v>
      </c>
      <c r="B2636" s="20" t="str">
        <f t="array" ref="B2636">xlookup($A2636,product!$A:$A,product!B:B)</f>
        <v>Epicerie salée</v>
      </c>
      <c r="C2636" s="20" t="str">
        <f t="array" ref="C2636">xlookup($A2636,product!$A:$A,product!C:C)</f>
        <v>Sauces et coulis</v>
      </c>
      <c r="D2636" s="20" t="str">
        <f t="array" ref="D2636">xlookup($A2636,product!$A:$A,product!D:D)</f>
        <v>Préparation liquide, cuisine</v>
      </c>
      <c r="E2636" s="4" t="str">
        <f t="shared" si="1"/>
        <v>78515-Sauces et coulis-Préparation liquide, cuisine</v>
      </c>
      <c r="F2636" s="4">
        <v>0.0</v>
      </c>
      <c r="G2636" s="4">
        <v>959.0</v>
      </c>
      <c r="H2636" s="4">
        <v>740.0</v>
      </c>
      <c r="I2636" s="21">
        <f t="array" ref="I2636">XLOOKUP($A2636,product!A:A,product!E:E)</f>
        <v>1.17</v>
      </c>
      <c r="J2636" s="4">
        <f t="shared" si="2"/>
        <v>865.8</v>
      </c>
      <c r="K2636" s="22">
        <f t="shared" si="3"/>
        <v>1</v>
      </c>
      <c r="L2636" s="4">
        <f t="shared" si="4"/>
        <v>1</v>
      </c>
    </row>
    <row r="2637">
      <c r="A2637" s="23">
        <v>46154.0</v>
      </c>
      <c r="B2637" s="24" t="str">
        <f t="array" ref="B2637">xlookup($A2637,product!$A:$A,product!B:B)</f>
        <v>Epicerie salée</v>
      </c>
      <c r="C2637" s="24" t="str">
        <f t="array" ref="C2637">xlookup($A2637,product!$A:$A,product!C:C)</f>
        <v>Sauces et coulis</v>
      </c>
      <c r="D2637" s="24" t="str">
        <f t="array" ref="D2637">xlookup($A2637,product!$A:$A,product!D:D)</f>
        <v>Préparation liquide, cuisine</v>
      </c>
      <c r="E2637" s="25" t="str">
        <f t="shared" si="1"/>
        <v>46154-Sauces et coulis-Préparation liquide, cuisine</v>
      </c>
      <c r="F2637" s="25">
        <v>0.0</v>
      </c>
      <c r="G2637" s="25">
        <v>178.0</v>
      </c>
      <c r="H2637" s="25">
        <v>157.0</v>
      </c>
      <c r="I2637" s="26">
        <f t="array" ref="I2637">XLOOKUP($A2637,product!A:A,product!E:E)</f>
        <v>0.56</v>
      </c>
      <c r="J2637" s="25">
        <f t="shared" si="2"/>
        <v>87.92</v>
      </c>
      <c r="K2637" s="27">
        <f t="shared" si="3"/>
        <v>1</v>
      </c>
      <c r="L2637" s="25">
        <f t="shared" si="4"/>
        <v>1</v>
      </c>
    </row>
    <row r="2638">
      <c r="A2638" s="19">
        <v>23668.0</v>
      </c>
      <c r="B2638" s="20" t="str">
        <f t="array" ref="B2638">xlookup($A2638,product!$A:$A,product!B:B)</f>
        <v>Epicerie salée</v>
      </c>
      <c r="C2638" s="20" t="str">
        <f t="array" ref="C2638">xlookup($A2638,product!$A:$A,product!C:C)</f>
        <v>Sauces et coulis</v>
      </c>
      <c r="D2638" s="20" t="str">
        <f t="array" ref="D2638">xlookup($A2638,product!$A:$A,product!D:D)</f>
        <v>Préparation liquide, cuisine</v>
      </c>
      <c r="E2638" s="4" t="str">
        <f t="shared" si="1"/>
        <v>23668-Sauces et coulis-Préparation liquide, cuisine</v>
      </c>
      <c r="F2638" s="4">
        <v>1.0</v>
      </c>
      <c r="G2638" s="4">
        <v>683.0</v>
      </c>
      <c r="H2638" s="4">
        <v>571.0</v>
      </c>
      <c r="I2638" s="21">
        <f t="array" ref="I2638">XLOOKUP($A2638,product!A:A,product!E:E)</f>
        <v>0.65</v>
      </c>
      <c r="J2638" s="4">
        <f t="shared" si="2"/>
        <v>371.15</v>
      </c>
      <c r="K2638" s="22">
        <f t="shared" si="3"/>
        <v>1</v>
      </c>
      <c r="L2638" s="4">
        <f t="shared" si="4"/>
        <v>1</v>
      </c>
    </row>
    <row r="2639">
      <c r="A2639" s="23">
        <v>107900.0</v>
      </c>
      <c r="B2639" s="24" t="str">
        <f t="array" ref="B2639">xlookup($A2639,product!$A:$A,product!B:B)</f>
        <v>Boisson</v>
      </c>
      <c r="C2639" s="24" t="str">
        <f t="array" ref="C2639">xlookup($A2639,product!$A:$A,product!C:C)</f>
        <v>Tisane, Infusion</v>
      </c>
      <c r="D2639" s="24" t="str">
        <f t="array" ref="D2639">xlookup($A2639,product!$A:$A,product!D:D)</f>
        <v>Coffrets de tisanes</v>
      </c>
      <c r="E2639" s="25" t="str">
        <f t="shared" si="1"/>
        <v>107900-Tisane, Infusion-Coffrets de tisanes</v>
      </c>
      <c r="F2639" s="25">
        <v>1.0</v>
      </c>
      <c r="G2639" s="25">
        <v>752.0</v>
      </c>
      <c r="H2639" s="25">
        <v>309.0</v>
      </c>
      <c r="I2639" s="26">
        <f t="array" ref="I2639">XLOOKUP($A2639,product!A:A,product!E:E)</f>
        <v>2.17</v>
      </c>
      <c r="J2639" s="25">
        <f t="shared" si="2"/>
        <v>670.53</v>
      </c>
      <c r="K2639" s="27">
        <f t="shared" si="3"/>
        <v>1</v>
      </c>
      <c r="L2639" s="25">
        <f t="shared" si="4"/>
        <v>1</v>
      </c>
    </row>
    <row r="2640">
      <c r="A2640" s="19">
        <v>85037.0</v>
      </c>
      <c r="B2640" s="20" t="str">
        <f t="array" ref="B2640">xlookup($A2640,product!$A:$A,product!B:B)</f>
        <v>Boisson</v>
      </c>
      <c r="C2640" s="20" t="str">
        <f t="array" ref="C2640">xlookup($A2640,product!$A:$A,product!C:C)</f>
        <v>Tisane, Infusion</v>
      </c>
      <c r="D2640" s="20" t="str">
        <f t="array" ref="D2640">xlookup($A2640,product!$A:$A,product!D:D)</f>
        <v>Coffrets de tisanes</v>
      </c>
      <c r="E2640" s="4" t="str">
        <f t="shared" si="1"/>
        <v>85037-Tisane, Infusion-Coffrets de tisanes</v>
      </c>
      <c r="F2640" s="4">
        <v>0.0</v>
      </c>
      <c r="G2640" s="4">
        <v>910.0</v>
      </c>
      <c r="H2640" s="4">
        <v>50.0</v>
      </c>
      <c r="I2640" s="21">
        <f t="array" ref="I2640">XLOOKUP($A2640,product!A:A,product!E:E)</f>
        <v>5.08</v>
      </c>
      <c r="J2640" s="4">
        <f t="shared" si="2"/>
        <v>254</v>
      </c>
      <c r="K2640" s="22">
        <f t="shared" si="3"/>
        <v>1</v>
      </c>
      <c r="L2640" s="4">
        <f t="shared" si="4"/>
        <v>1</v>
      </c>
    </row>
    <row r="2641">
      <c r="A2641" s="23">
        <v>49182.0</v>
      </c>
      <c r="B2641" s="24" t="str">
        <f t="array" ref="B2641">xlookup($A2641,product!$A:$A,product!B:B)</f>
        <v>Boisson</v>
      </c>
      <c r="C2641" s="24" t="str">
        <f t="array" ref="C2641">xlookup($A2641,product!$A:$A,product!C:C)</f>
        <v>Tisane, Infusion</v>
      </c>
      <c r="D2641" s="24" t="str">
        <f t="array" ref="D2641">xlookup($A2641,product!$A:$A,product!D:D)</f>
        <v>Coffrets de tisanes</v>
      </c>
      <c r="E2641" s="25" t="str">
        <f t="shared" si="1"/>
        <v>49182-Tisane, Infusion-Coffrets de tisanes</v>
      </c>
      <c r="F2641" s="25">
        <v>1.0</v>
      </c>
      <c r="G2641" s="25">
        <v>135.0</v>
      </c>
      <c r="H2641" s="25">
        <v>14.0</v>
      </c>
      <c r="I2641" s="26">
        <f t="array" ref="I2641">XLOOKUP($A2641,product!A:A,product!E:E)</f>
        <v>5.08</v>
      </c>
      <c r="J2641" s="25">
        <f t="shared" si="2"/>
        <v>71.12</v>
      </c>
      <c r="K2641" s="27">
        <f t="shared" si="3"/>
        <v>1</v>
      </c>
      <c r="L2641" s="25">
        <f t="shared" si="4"/>
        <v>1</v>
      </c>
    </row>
    <row r="2642">
      <c r="A2642" s="19">
        <v>69111.0</v>
      </c>
      <c r="B2642" s="20" t="str">
        <f t="array" ref="B2642">xlookup($A2642,product!$A:$A,product!B:B)</f>
        <v>Boisson</v>
      </c>
      <c r="C2642" s="20" t="str">
        <f t="array" ref="C2642">xlookup($A2642,product!$A:$A,product!C:C)</f>
        <v>Tisane, Infusion</v>
      </c>
      <c r="D2642" s="20" t="str">
        <f t="array" ref="D2642">xlookup($A2642,product!$A:$A,product!D:D)</f>
        <v>Tisane ayurvédique</v>
      </c>
      <c r="E2642" s="4" t="str">
        <f t="shared" si="1"/>
        <v>69111-Tisane, Infusion-Tisane ayurvédique</v>
      </c>
      <c r="F2642" s="4">
        <v>1.0</v>
      </c>
      <c r="G2642" s="4">
        <v>239.0</v>
      </c>
      <c r="H2642" s="4">
        <v>58.0</v>
      </c>
      <c r="I2642" s="21">
        <f t="array" ref="I2642">XLOOKUP($A2642,product!A:A,product!E:E)</f>
        <v>2.03</v>
      </c>
      <c r="J2642" s="4">
        <f t="shared" si="2"/>
        <v>117.74</v>
      </c>
      <c r="K2642" s="22">
        <f t="shared" si="3"/>
        <v>1</v>
      </c>
      <c r="L2642" s="4">
        <f t="shared" si="4"/>
        <v>1</v>
      </c>
    </row>
    <row r="2643">
      <c r="A2643" s="23">
        <v>80054.0</v>
      </c>
      <c r="B2643" s="24" t="str">
        <f t="array" ref="B2643">xlookup($A2643,product!$A:$A,product!B:B)</f>
        <v>Boisson</v>
      </c>
      <c r="C2643" s="24" t="str">
        <f t="array" ref="C2643">xlookup($A2643,product!$A:$A,product!C:C)</f>
        <v>Tisane, Infusion</v>
      </c>
      <c r="D2643" s="24" t="str">
        <f t="array" ref="D2643">xlookup($A2643,product!$A:$A,product!D:D)</f>
        <v>Tisane ayurvédique</v>
      </c>
      <c r="E2643" s="25" t="str">
        <f t="shared" si="1"/>
        <v>80054-Tisane, Infusion-Tisane ayurvédique</v>
      </c>
      <c r="F2643" s="25">
        <v>1.0</v>
      </c>
      <c r="G2643" s="25">
        <v>394.0</v>
      </c>
      <c r="H2643" s="25">
        <v>154.0</v>
      </c>
      <c r="I2643" s="26">
        <f t="array" ref="I2643">XLOOKUP($A2643,product!A:A,product!E:E)</f>
        <v>2.38</v>
      </c>
      <c r="J2643" s="25">
        <f t="shared" si="2"/>
        <v>366.52</v>
      </c>
      <c r="K2643" s="27">
        <f t="shared" si="3"/>
        <v>1</v>
      </c>
      <c r="L2643" s="25">
        <f t="shared" si="4"/>
        <v>1</v>
      </c>
    </row>
    <row r="2644">
      <c r="A2644" s="19">
        <v>79782.0</v>
      </c>
      <c r="B2644" s="20" t="str">
        <f t="array" ref="B2644">xlookup($A2644,product!$A:$A,product!B:B)</f>
        <v>Boisson</v>
      </c>
      <c r="C2644" s="20" t="str">
        <f t="array" ref="C2644">xlookup($A2644,product!$A:$A,product!C:C)</f>
        <v>Tisane, Infusion</v>
      </c>
      <c r="D2644" s="20" t="str">
        <f t="array" ref="D2644">xlookup($A2644,product!$A:$A,product!D:D)</f>
        <v>Tisane ayurvédique</v>
      </c>
      <c r="E2644" s="4" t="str">
        <f t="shared" si="1"/>
        <v>79782-Tisane, Infusion-Tisane ayurvédique</v>
      </c>
      <c r="F2644" s="4">
        <v>1.0</v>
      </c>
      <c r="G2644" s="4">
        <v>418.0</v>
      </c>
      <c r="H2644" s="4">
        <v>247.0</v>
      </c>
      <c r="I2644" s="21">
        <f t="array" ref="I2644">XLOOKUP($A2644,product!A:A,product!E:E)</f>
        <v>2.38</v>
      </c>
      <c r="J2644" s="4">
        <f t="shared" si="2"/>
        <v>587.86</v>
      </c>
      <c r="K2644" s="22">
        <f t="shared" si="3"/>
        <v>1</v>
      </c>
      <c r="L2644" s="4">
        <f t="shared" si="4"/>
        <v>1</v>
      </c>
    </row>
    <row r="2645">
      <c r="A2645" s="23">
        <v>80045.0</v>
      </c>
      <c r="B2645" s="24" t="str">
        <f t="array" ref="B2645">xlookup($A2645,product!$A:$A,product!B:B)</f>
        <v>Boisson</v>
      </c>
      <c r="C2645" s="24" t="str">
        <f t="array" ref="C2645">xlookup($A2645,product!$A:$A,product!C:C)</f>
        <v>Tisane, Infusion</v>
      </c>
      <c r="D2645" s="24" t="str">
        <f t="array" ref="D2645">xlookup($A2645,product!$A:$A,product!D:D)</f>
        <v>Tisane ayurvédique</v>
      </c>
      <c r="E2645" s="25" t="str">
        <f t="shared" si="1"/>
        <v>80045-Tisane, Infusion-Tisane ayurvédique</v>
      </c>
      <c r="F2645" s="25">
        <v>1.0</v>
      </c>
      <c r="G2645" s="25">
        <v>76.0</v>
      </c>
      <c r="H2645" s="25">
        <v>7.0</v>
      </c>
      <c r="I2645" s="26">
        <f t="array" ref="I2645">XLOOKUP($A2645,product!A:A,product!E:E)</f>
        <v>2.05</v>
      </c>
      <c r="J2645" s="25">
        <f t="shared" si="2"/>
        <v>14.35</v>
      </c>
      <c r="K2645" s="27">
        <f t="shared" si="3"/>
        <v>1</v>
      </c>
      <c r="L2645" s="25">
        <f t="shared" si="4"/>
        <v>1</v>
      </c>
    </row>
    <row r="2646">
      <c r="A2646" s="19">
        <v>69108.0</v>
      </c>
      <c r="B2646" s="20" t="str">
        <f t="array" ref="B2646">xlookup($A2646,product!$A:$A,product!B:B)</f>
        <v>Boisson</v>
      </c>
      <c r="C2646" s="20" t="str">
        <f t="array" ref="C2646">xlookup($A2646,product!$A:$A,product!C:C)</f>
        <v>Tisane, Infusion</v>
      </c>
      <c r="D2646" s="20" t="str">
        <f t="array" ref="D2646">xlookup($A2646,product!$A:$A,product!D:D)</f>
        <v>Tisane ayurvédique</v>
      </c>
      <c r="E2646" s="4" t="str">
        <f t="shared" si="1"/>
        <v>69108-Tisane, Infusion-Tisane ayurvédique</v>
      </c>
      <c r="F2646" s="4">
        <v>0.0</v>
      </c>
      <c r="G2646" s="4">
        <v>555.0</v>
      </c>
      <c r="H2646" s="4">
        <v>4.0</v>
      </c>
      <c r="I2646" s="21">
        <f t="array" ref="I2646">XLOOKUP($A2646,product!A:A,product!E:E)</f>
        <v>2.03</v>
      </c>
      <c r="J2646" s="4">
        <f t="shared" si="2"/>
        <v>8.12</v>
      </c>
      <c r="K2646" s="22">
        <f t="shared" si="3"/>
        <v>1</v>
      </c>
      <c r="L2646" s="4">
        <f t="shared" si="4"/>
        <v>1</v>
      </c>
    </row>
    <row r="2647">
      <c r="A2647" s="23">
        <v>69112.0</v>
      </c>
      <c r="B2647" s="24" t="str">
        <f t="array" ref="B2647">xlookup($A2647,product!$A:$A,product!B:B)</f>
        <v>Boisson</v>
      </c>
      <c r="C2647" s="24" t="str">
        <f t="array" ref="C2647">xlookup($A2647,product!$A:$A,product!C:C)</f>
        <v>Tisane, Infusion</v>
      </c>
      <c r="D2647" s="24" t="str">
        <f t="array" ref="D2647">xlookup($A2647,product!$A:$A,product!D:D)</f>
        <v>Tisane ayurvédique</v>
      </c>
      <c r="E2647" s="25" t="str">
        <f t="shared" si="1"/>
        <v>69112-Tisane, Infusion-Tisane ayurvédique</v>
      </c>
      <c r="F2647" s="25">
        <v>1.0</v>
      </c>
      <c r="G2647" s="25">
        <v>123.0</v>
      </c>
      <c r="H2647" s="25">
        <v>83.0</v>
      </c>
      <c r="I2647" s="26">
        <f t="array" ref="I2647">XLOOKUP($A2647,product!A:A,product!E:E)</f>
        <v>2.03</v>
      </c>
      <c r="J2647" s="25">
        <f t="shared" si="2"/>
        <v>168.49</v>
      </c>
      <c r="K2647" s="27">
        <f t="shared" si="3"/>
        <v>1</v>
      </c>
      <c r="L2647" s="25">
        <f t="shared" si="4"/>
        <v>1</v>
      </c>
    </row>
    <row r="2648">
      <c r="A2648" s="19">
        <v>121992.0</v>
      </c>
      <c r="B2648" s="20" t="str">
        <f t="array" ref="B2648">xlookup($A2648,product!$A:$A,product!B:B)</f>
        <v>Boisson</v>
      </c>
      <c r="C2648" s="20" t="str">
        <f t="array" ref="C2648">xlookup($A2648,product!$A:$A,product!C:C)</f>
        <v>Tisane, Infusion</v>
      </c>
      <c r="D2648" s="20" t="str">
        <f t="array" ref="D2648">xlookup($A2648,product!$A:$A,product!D:D)</f>
        <v>Tisane ayurvédique</v>
      </c>
      <c r="E2648" s="4" t="str">
        <f t="shared" si="1"/>
        <v>121992-Tisane, Infusion-Tisane ayurvédique</v>
      </c>
      <c r="F2648" s="4">
        <v>0.0</v>
      </c>
      <c r="G2648" s="4">
        <v>822.0</v>
      </c>
      <c r="H2648" s="4">
        <v>378.0</v>
      </c>
      <c r="I2648" s="21">
        <f t="array" ref="I2648">XLOOKUP($A2648,product!A:A,product!E:E)</f>
        <v>2.03</v>
      </c>
      <c r="J2648" s="4">
        <f t="shared" si="2"/>
        <v>767.34</v>
      </c>
      <c r="K2648" s="22">
        <f t="shared" si="3"/>
        <v>1</v>
      </c>
      <c r="L2648" s="4">
        <f t="shared" si="4"/>
        <v>1</v>
      </c>
    </row>
    <row r="2649">
      <c r="A2649" s="23">
        <v>80048.0</v>
      </c>
      <c r="B2649" s="24" t="str">
        <f t="array" ref="B2649">xlookup($A2649,product!$A:$A,product!B:B)</f>
        <v>Boisson</v>
      </c>
      <c r="C2649" s="24" t="str">
        <f t="array" ref="C2649">xlookup($A2649,product!$A:$A,product!C:C)</f>
        <v>Tisane, Infusion</v>
      </c>
      <c r="D2649" s="24" t="str">
        <f t="array" ref="D2649">xlookup($A2649,product!$A:$A,product!D:D)</f>
        <v>Tisane ayurvédique</v>
      </c>
      <c r="E2649" s="25" t="str">
        <f t="shared" si="1"/>
        <v>80048-Tisane, Infusion-Tisane ayurvédique</v>
      </c>
      <c r="F2649" s="25">
        <v>0.0</v>
      </c>
      <c r="G2649" s="25">
        <v>818.0</v>
      </c>
      <c r="H2649" s="25">
        <v>720.0</v>
      </c>
      <c r="I2649" s="26">
        <f t="array" ref="I2649">XLOOKUP($A2649,product!A:A,product!E:E)</f>
        <v>2.38</v>
      </c>
      <c r="J2649" s="25">
        <f t="shared" si="2"/>
        <v>1713.6</v>
      </c>
      <c r="K2649" s="27">
        <f t="shared" si="3"/>
        <v>1</v>
      </c>
      <c r="L2649" s="25">
        <f t="shared" si="4"/>
        <v>1</v>
      </c>
    </row>
    <row r="2650">
      <c r="A2650" s="19">
        <v>121982.0</v>
      </c>
      <c r="B2650" s="20" t="str">
        <f t="array" ref="B2650">xlookup($A2650,product!$A:$A,product!B:B)</f>
        <v>Boisson</v>
      </c>
      <c r="C2650" s="20" t="str">
        <f t="array" ref="C2650">xlookup($A2650,product!$A:$A,product!C:C)</f>
        <v>Tisane, Infusion</v>
      </c>
      <c r="D2650" s="20" t="str">
        <f t="array" ref="D2650">xlookup($A2650,product!$A:$A,product!D:D)</f>
        <v>Tisane ayurvédique</v>
      </c>
      <c r="E2650" s="4" t="str">
        <f t="shared" si="1"/>
        <v>121982-Tisane, Infusion-Tisane ayurvédique</v>
      </c>
      <c r="F2650" s="4">
        <v>0.0</v>
      </c>
      <c r="G2650" s="4">
        <v>433.0</v>
      </c>
      <c r="H2650" s="4">
        <v>13.0</v>
      </c>
      <c r="I2650" s="21">
        <f t="array" ref="I2650">XLOOKUP($A2650,product!A:A,product!E:E)</f>
        <v>2.03</v>
      </c>
      <c r="J2650" s="4">
        <f t="shared" si="2"/>
        <v>26.39</v>
      </c>
      <c r="K2650" s="22">
        <f t="shared" si="3"/>
        <v>1</v>
      </c>
      <c r="L2650" s="4">
        <f t="shared" si="4"/>
        <v>1</v>
      </c>
    </row>
    <row r="2651">
      <c r="A2651" s="23">
        <v>121974.0</v>
      </c>
      <c r="B2651" s="24" t="str">
        <f t="array" ref="B2651">xlookup($A2651,product!$A:$A,product!B:B)</f>
        <v>Boisson</v>
      </c>
      <c r="C2651" s="24" t="str">
        <f t="array" ref="C2651">xlookup($A2651,product!$A:$A,product!C:C)</f>
        <v>Tisane, Infusion</v>
      </c>
      <c r="D2651" s="24" t="str">
        <f t="array" ref="D2651">xlookup($A2651,product!$A:$A,product!D:D)</f>
        <v>Tisane ayurvédique</v>
      </c>
      <c r="E2651" s="25" t="str">
        <f t="shared" si="1"/>
        <v>121974-Tisane, Infusion-Tisane ayurvédique</v>
      </c>
      <c r="F2651" s="25">
        <v>1.0</v>
      </c>
      <c r="G2651" s="25">
        <v>4.0</v>
      </c>
      <c r="H2651" s="25">
        <v>1.0</v>
      </c>
      <c r="I2651" s="26">
        <f t="array" ref="I2651">XLOOKUP($A2651,product!A:A,product!E:E)</f>
        <v>2.03</v>
      </c>
      <c r="J2651" s="25">
        <f t="shared" si="2"/>
        <v>2.03</v>
      </c>
      <c r="K2651" s="27">
        <f t="shared" si="3"/>
        <v>1</v>
      </c>
      <c r="L2651" s="25">
        <f t="shared" si="4"/>
        <v>1</v>
      </c>
    </row>
    <row r="2652">
      <c r="A2652" s="19">
        <v>69110.0</v>
      </c>
      <c r="B2652" s="20" t="str">
        <f t="array" ref="B2652">xlookup($A2652,product!$A:$A,product!B:B)</f>
        <v>Boisson</v>
      </c>
      <c r="C2652" s="20" t="str">
        <f t="array" ref="C2652">xlookup($A2652,product!$A:$A,product!C:C)</f>
        <v>Tisane, Infusion</v>
      </c>
      <c r="D2652" s="20" t="str">
        <f t="array" ref="D2652">xlookup($A2652,product!$A:$A,product!D:D)</f>
        <v>Tisane ayurvédique</v>
      </c>
      <c r="E2652" s="4" t="str">
        <f t="shared" si="1"/>
        <v>69110-Tisane, Infusion-Tisane ayurvédique</v>
      </c>
      <c r="F2652" s="4">
        <v>0.0</v>
      </c>
      <c r="G2652" s="4">
        <v>252.0</v>
      </c>
      <c r="H2652" s="4">
        <v>58.0</v>
      </c>
      <c r="I2652" s="21">
        <f t="array" ref="I2652">XLOOKUP($A2652,product!A:A,product!E:E)</f>
        <v>2.03</v>
      </c>
      <c r="J2652" s="4">
        <f t="shared" si="2"/>
        <v>117.74</v>
      </c>
      <c r="K2652" s="22">
        <f t="shared" si="3"/>
        <v>1</v>
      </c>
      <c r="L2652" s="4">
        <f t="shared" si="4"/>
        <v>1</v>
      </c>
    </row>
    <row r="2653">
      <c r="A2653" s="23">
        <v>23540.0</v>
      </c>
      <c r="B2653" s="24" t="str">
        <f t="array" ref="B2653">xlookup($A2653,product!$A:$A,product!B:B)</f>
        <v>Boisson</v>
      </c>
      <c r="C2653" s="24" t="str">
        <f t="array" ref="C2653">xlookup($A2653,product!$A:$A,product!C:C)</f>
        <v>Tisane, Infusion</v>
      </c>
      <c r="D2653" s="24" t="str">
        <f t="array" ref="D2653">xlookup($A2653,product!$A:$A,product!D:D)</f>
        <v>Tisane ayurvédique</v>
      </c>
      <c r="E2653" s="25" t="str">
        <f t="shared" si="1"/>
        <v>23540-Tisane, Infusion-Tisane ayurvédique</v>
      </c>
      <c r="F2653" s="25">
        <v>0.0</v>
      </c>
      <c r="G2653" s="25">
        <v>702.0</v>
      </c>
      <c r="H2653" s="25">
        <v>220.0</v>
      </c>
      <c r="I2653" s="26">
        <f t="array" ref="I2653">XLOOKUP($A2653,product!A:A,product!E:E)</f>
        <v>2.43</v>
      </c>
      <c r="J2653" s="25">
        <f t="shared" si="2"/>
        <v>534.6</v>
      </c>
      <c r="K2653" s="27">
        <f t="shared" si="3"/>
        <v>1</v>
      </c>
      <c r="L2653" s="25">
        <f t="shared" si="4"/>
        <v>1</v>
      </c>
    </row>
    <row r="2654">
      <c r="A2654" s="19">
        <v>69123.0</v>
      </c>
      <c r="B2654" s="20" t="str">
        <f t="array" ref="B2654">xlookup($A2654,product!$A:$A,product!B:B)</f>
        <v>Boisson</v>
      </c>
      <c r="C2654" s="20" t="str">
        <f t="array" ref="C2654">xlookup($A2654,product!$A:$A,product!C:C)</f>
        <v>Tisane, Infusion</v>
      </c>
      <c r="D2654" s="20" t="str">
        <f t="array" ref="D2654">xlookup($A2654,product!$A:$A,product!D:D)</f>
        <v>Tisane ayurvédique</v>
      </c>
      <c r="E2654" s="4" t="str">
        <f t="shared" si="1"/>
        <v>69123-Tisane, Infusion-Tisane ayurvédique</v>
      </c>
      <c r="F2654" s="4">
        <v>1.0</v>
      </c>
      <c r="G2654" s="4">
        <v>736.0</v>
      </c>
      <c r="H2654" s="4">
        <v>9.0</v>
      </c>
      <c r="I2654" s="21">
        <f t="array" ref="I2654">XLOOKUP($A2654,product!A:A,product!E:E)</f>
        <v>2.03</v>
      </c>
      <c r="J2654" s="4">
        <f t="shared" si="2"/>
        <v>18.27</v>
      </c>
      <c r="K2654" s="22">
        <f t="shared" si="3"/>
        <v>1</v>
      </c>
      <c r="L2654" s="4">
        <f t="shared" si="4"/>
        <v>1</v>
      </c>
    </row>
    <row r="2655">
      <c r="A2655" s="23">
        <v>121984.0</v>
      </c>
      <c r="B2655" s="24" t="str">
        <f t="array" ref="B2655">xlookup($A2655,product!$A:$A,product!B:B)</f>
        <v>Boisson</v>
      </c>
      <c r="C2655" s="24" t="str">
        <f t="array" ref="C2655">xlookup($A2655,product!$A:$A,product!C:C)</f>
        <v>Tisane, Infusion</v>
      </c>
      <c r="D2655" s="24" t="str">
        <f t="array" ref="D2655">xlookup($A2655,product!$A:$A,product!D:D)</f>
        <v>Tisane ayurvédique</v>
      </c>
      <c r="E2655" s="25" t="str">
        <f t="shared" si="1"/>
        <v>121984-Tisane, Infusion-Tisane ayurvédique</v>
      </c>
      <c r="F2655" s="25">
        <v>1.0</v>
      </c>
      <c r="G2655" s="25">
        <v>456.0</v>
      </c>
      <c r="H2655" s="25">
        <v>109.0</v>
      </c>
      <c r="I2655" s="26">
        <f t="array" ref="I2655">XLOOKUP($A2655,product!A:A,product!E:E)</f>
        <v>2.01</v>
      </c>
      <c r="J2655" s="25">
        <f t="shared" si="2"/>
        <v>219.09</v>
      </c>
      <c r="K2655" s="27">
        <f t="shared" si="3"/>
        <v>1</v>
      </c>
      <c r="L2655" s="25">
        <f t="shared" si="4"/>
        <v>1</v>
      </c>
    </row>
    <row r="2656">
      <c r="A2656" s="19">
        <v>121979.0</v>
      </c>
      <c r="B2656" s="20" t="str">
        <f t="array" ref="B2656">xlookup($A2656,product!$A:$A,product!B:B)</f>
        <v>Boisson</v>
      </c>
      <c r="C2656" s="20" t="str">
        <f t="array" ref="C2656">xlookup($A2656,product!$A:$A,product!C:C)</f>
        <v>Tisane, Infusion</v>
      </c>
      <c r="D2656" s="20" t="str">
        <f t="array" ref="D2656">xlookup($A2656,product!$A:$A,product!D:D)</f>
        <v>Tisane ayurvédique</v>
      </c>
      <c r="E2656" s="4" t="str">
        <f t="shared" si="1"/>
        <v>121979-Tisane, Infusion-Tisane ayurvédique</v>
      </c>
      <c r="F2656" s="4">
        <v>0.0</v>
      </c>
      <c r="G2656" s="4">
        <v>715.0</v>
      </c>
      <c r="H2656" s="4">
        <v>255.0</v>
      </c>
      <c r="I2656" s="21">
        <f t="array" ref="I2656">XLOOKUP($A2656,product!A:A,product!E:E)</f>
        <v>2.03</v>
      </c>
      <c r="J2656" s="4">
        <f t="shared" si="2"/>
        <v>517.65</v>
      </c>
      <c r="K2656" s="22">
        <f t="shared" si="3"/>
        <v>1</v>
      </c>
      <c r="L2656" s="4">
        <f t="shared" si="4"/>
        <v>1</v>
      </c>
    </row>
    <row r="2657">
      <c r="A2657" s="23">
        <v>80043.0</v>
      </c>
      <c r="B2657" s="24" t="str">
        <f t="array" ref="B2657">xlookup($A2657,product!$A:$A,product!B:B)</f>
        <v>Boisson</v>
      </c>
      <c r="C2657" s="24" t="str">
        <f t="array" ref="C2657">xlookup($A2657,product!$A:$A,product!C:C)</f>
        <v>Tisane, Infusion</v>
      </c>
      <c r="D2657" s="24" t="str">
        <f t="array" ref="D2657">xlookup($A2657,product!$A:$A,product!D:D)</f>
        <v>Tisane ayurvédique</v>
      </c>
      <c r="E2657" s="25" t="str">
        <f t="shared" si="1"/>
        <v>80043-Tisane, Infusion-Tisane ayurvédique</v>
      </c>
      <c r="F2657" s="25">
        <v>1.0</v>
      </c>
      <c r="G2657" s="25">
        <v>408.0</v>
      </c>
      <c r="H2657" s="25">
        <v>181.0</v>
      </c>
      <c r="I2657" s="26">
        <f t="array" ref="I2657">XLOOKUP($A2657,product!A:A,product!E:E)</f>
        <v>2.38</v>
      </c>
      <c r="J2657" s="25">
        <f t="shared" si="2"/>
        <v>430.78</v>
      </c>
      <c r="K2657" s="27">
        <f t="shared" si="3"/>
        <v>1</v>
      </c>
      <c r="L2657" s="25">
        <f t="shared" si="4"/>
        <v>1</v>
      </c>
    </row>
    <row r="2658">
      <c r="A2658" s="19">
        <v>100326.0</v>
      </c>
      <c r="B2658" s="20" t="str">
        <f t="array" ref="B2658">xlookup($A2658,product!$A:$A,product!B:B)</f>
        <v>Boisson</v>
      </c>
      <c r="C2658" s="20" t="str">
        <f t="array" ref="C2658">xlookup($A2658,product!$A:$A,product!C:C)</f>
        <v>Tisane, Infusion</v>
      </c>
      <c r="D2658" s="20" t="str">
        <f t="array" ref="D2658">xlookup($A2658,product!$A:$A,product!D:D)</f>
        <v>Tisane ayurvédique</v>
      </c>
      <c r="E2658" s="4" t="str">
        <f t="shared" si="1"/>
        <v>100326-Tisane, Infusion-Tisane ayurvédique</v>
      </c>
      <c r="F2658" s="4">
        <v>1.0</v>
      </c>
      <c r="G2658" s="4">
        <v>589.0</v>
      </c>
      <c r="H2658" s="4">
        <v>207.0</v>
      </c>
      <c r="I2658" s="21">
        <f t="array" ref="I2658">XLOOKUP($A2658,product!A:A,product!E:E)</f>
        <v>2.38</v>
      </c>
      <c r="J2658" s="4">
        <f t="shared" si="2"/>
        <v>492.66</v>
      </c>
      <c r="K2658" s="22">
        <f t="shared" si="3"/>
        <v>1</v>
      </c>
      <c r="L2658" s="4">
        <f t="shared" si="4"/>
        <v>1</v>
      </c>
    </row>
    <row r="2659">
      <c r="A2659" s="23">
        <v>69117.0</v>
      </c>
      <c r="B2659" s="24" t="str">
        <f t="array" ref="B2659">xlookup($A2659,product!$A:$A,product!B:B)</f>
        <v>Boisson</v>
      </c>
      <c r="C2659" s="24" t="str">
        <f t="array" ref="C2659">xlookup($A2659,product!$A:$A,product!C:C)</f>
        <v>Tisane, Infusion</v>
      </c>
      <c r="D2659" s="24" t="str">
        <f t="array" ref="D2659">xlookup($A2659,product!$A:$A,product!D:D)</f>
        <v>Tisane ayurvédique</v>
      </c>
      <c r="E2659" s="25" t="str">
        <f t="shared" si="1"/>
        <v>69117-Tisane, Infusion-Tisane ayurvédique</v>
      </c>
      <c r="F2659" s="25">
        <v>0.0</v>
      </c>
      <c r="G2659" s="25">
        <v>523.0</v>
      </c>
      <c r="H2659" s="25">
        <v>213.0</v>
      </c>
      <c r="I2659" s="26">
        <f t="array" ref="I2659">XLOOKUP($A2659,product!A:A,product!E:E)</f>
        <v>2.03</v>
      </c>
      <c r="J2659" s="25">
        <f t="shared" si="2"/>
        <v>432.39</v>
      </c>
      <c r="K2659" s="27">
        <f t="shared" si="3"/>
        <v>1</v>
      </c>
      <c r="L2659" s="25">
        <f t="shared" si="4"/>
        <v>1</v>
      </c>
    </row>
    <row r="2660">
      <c r="A2660" s="19">
        <v>100334.0</v>
      </c>
      <c r="B2660" s="20" t="str">
        <f t="array" ref="B2660">xlookup($A2660,product!$A:$A,product!B:B)</f>
        <v>Boisson</v>
      </c>
      <c r="C2660" s="20" t="str">
        <f t="array" ref="C2660">xlookup($A2660,product!$A:$A,product!C:C)</f>
        <v>Tisane, Infusion</v>
      </c>
      <c r="D2660" s="20" t="str">
        <f t="array" ref="D2660">xlookup($A2660,product!$A:$A,product!D:D)</f>
        <v>Tisane ayurvédique</v>
      </c>
      <c r="E2660" s="4" t="str">
        <f t="shared" si="1"/>
        <v>100334-Tisane, Infusion-Tisane ayurvédique</v>
      </c>
      <c r="F2660" s="4">
        <v>1.0</v>
      </c>
      <c r="G2660" s="4">
        <v>327.0</v>
      </c>
      <c r="H2660" s="4">
        <v>124.0</v>
      </c>
      <c r="I2660" s="21">
        <f t="array" ref="I2660">XLOOKUP($A2660,product!A:A,product!E:E)</f>
        <v>2.38</v>
      </c>
      <c r="J2660" s="4">
        <f t="shared" si="2"/>
        <v>295.12</v>
      </c>
      <c r="K2660" s="22">
        <f t="shared" si="3"/>
        <v>1</v>
      </c>
      <c r="L2660" s="4">
        <f t="shared" si="4"/>
        <v>1</v>
      </c>
    </row>
    <row r="2661">
      <c r="A2661" s="23">
        <v>69120.0</v>
      </c>
      <c r="B2661" s="24" t="str">
        <f t="array" ref="B2661">xlookup($A2661,product!$A:$A,product!B:B)</f>
        <v>Boisson</v>
      </c>
      <c r="C2661" s="24" t="str">
        <f t="array" ref="C2661">xlookup($A2661,product!$A:$A,product!C:C)</f>
        <v>Tisane, Infusion</v>
      </c>
      <c r="D2661" s="24" t="str">
        <f t="array" ref="D2661">xlookup($A2661,product!$A:$A,product!D:D)</f>
        <v>Tisane ayurvédique</v>
      </c>
      <c r="E2661" s="25" t="str">
        <f t="shared" si="1"/>
        <v>69120-Tisane, Infusion-Tisane ayurvédique</v>
      </c>
      <c r="F2661" s="25">
        <v>0.0</v>
      </c>
      <c r="G2661" s="25">
        <v>730.0</v>
      </c>
      <c r="H2661" s="25">
        <v>656.0</v>
      </c>
      <c r="I2661" s="26">
        <f t="array" ref="I2661">XLOOKUP($A2661,product!A:A,product!E:E)</f>
        <v>2.03</v>
      </c>
      <c r="J2661" s="25">
        <f t="shared" si="2"/>
        <v>1331.68</v>
      </c>
      <c r="K2661" s="27">
        <f t="shared" si="3"/>
        <v>1</v>
      </c>
      <c r="L2661" s="25">
        <f t="shared" si="4"/>
        <v>1</v>
      </c>
    </row>
    <row r="2662">
      <c r="A2662" s="19">
        <v>69119.0</v>
      </c>
      <c r="B2662" s="20" t="str">
        <f t="array" ref="B2662">xlookup($A2662,product!$A:$A,product!B:B)</f>
        <v>Boisson</v>
      </c>
      <c r="C2662" s="20" t="str">
        <f t="array" ref="C2662">xlookup($A2662,product!$A:$A,product!C:C)</f>
        <v>Tisane, Infusion</v>
      </c>
      <c r="D2662" s="20" t="str">
        <f t="array" ref="D2662">xlookup($A2662,product!$A:$A,product!D:D)</f>
        <v>Tisane ayurvédique</v>
      </c>
      <c r="E2662" s="4" t="str">
        <f t="shared" si="1"/>
        <v>69119-Tisane, Infusion-Tisane ayurvédique</v>
      </c>
      <c r="F2662" s="4">
        <v>0.0</v>
      </c>
      <c r="G2662" s="4">
        <v>772.0</v>
      </c>
      <c r="H2662" s="4">
        <v>129.0</v>
      </c>
      <c r="I2662" s="21">
        <f t="array" ref="I2662">XLOOKUP($A2662,product!A:A,product!E:E)</f>
        <v>2.03</v>
      </c>
      <c r="J2662" s="4">
        <f t="shared" si="2"/>
        <v>261.87</v>
      </c>
      <c r="K2662" s="22">
        <f t="shared" si="3"/>
        <v>1</v>
      </c>
      <c r="L2662" s="4">
        <f t="shared" si="4"/>
        <v>1</v>
      </c>
    </row>
    <row r="2663">
      <c r="A2663" s="23">
        <v>69118.0</v>
      </c>
      <c r="B2663" s="24" t="str">
        <f t="array" ref="B2663">xlookup($A2663,product!$A:$A,product!B:B)</f>
        <v>Boisson</v>
      </c>
      <c r="C2663" s="24" t="str">
        <f t="array" ref="C2663">xlookup($A2663,product!$A:$A,product!C:C)</f>
        <v>Tisane, Infusion</v>
      </c>
      <c r="D2663" s="24" t="str">
        <f t="array" ref="D2663">xlookup($A2663,product!$A:$A,product!D:D)</f>
        <v>Tisane ayurvédique</v>
      </c>
      <c r="E2663" s="25" t="str">
        <f t="shared" si="1"/>
        <v>69118-Tisane, Infusion-Tisane ayurvédique</v>
      </c>
      <c r="F2663" s="25">
        <v>1.0</v>
      </c>
      <c r="G2663" s="25">
        <v>396.0</v>
      </c>
      <c r="H2663" s="25">
        <v>169.0</v>
      </c>
      <c r="I2663" s="26">
        <f t="array" ref="I2663">XLOOKUP($A2663,product!A:A,product!E:E)</f>
        <v>2.03</v>
      </c>
      <c r="J2663" s="25">
        <f t="shared" si="2"/>
        <v>343.07</v>
      </c>
      <c r="K2663" s="27">
        <f t="shared" si="3"/>
        <v>1</v>
      </c>
      <c r="L2663" s="25">
        <f t="shared" si="4"/>
        <v>1</v>
      </c>
    </row>
    <row r="2664">
      <c r="A2664" s="19">
        <v>80044.0</v>
      </c>
      <c r="B2664" s="20" t="str">
        <f t="array" ref="B2664">xlookup($A2664,product!$A:$A,product!B:B)</f>
        <v>Boisson</v>
      </c>
      <c r="C2664" s="20" t="str">
        <f t="array" ref="C2664">xlookup($A2664,product!$A:$A,product!C:C)</f>
        <v>Tisane, Infusion</v>
      </c>
      <c r="D2664" s="20" t="str">
        <f t="array" ref="D2664">xlookup($A2664,product!$A:$A,product!D:D)</f>
        <v>Tisane ayurvédique</v>
      </c>
      <c r="E2664" s="4" t="str">
        <f t="shared" si="1"/>
        <v>80044-Tisane, Infusion-Tisane ayurvédique</v>
      </c>
      <c r="F2664" s="4">
        <v>0.0</v>
      </c>
      <c r="G2664" s="4">
        <v>184.0</v>
      </c>
      <c r="H2664" s="4">
        <v>117.0</v>
      </c>
      <c r="I2664" s="21">
        <f t="array" ref="I2664">XLOOKUP($A2664,product!A:A,product!E:E)</f>
        <v>2.38</v>
      </c>
      <c r="J2664" s="4">
        <f t="shared" si="2"/>
        <v>278.46</v>
      </c>
      <c r="K2664" s="22">
        <f t="shared" si="3"/>
        <v>1</v>
      </c>
      <c r="L2664" s="4">
        <f t="shared" si="4"/>
        <v>1</v>
      </c>
    </row>
    <row r="2665">
      <c r="A2665" s="23">
        <v>23556.0</v>
      </c>
      <c r="B2665" s="24" t="str">
        <f t="array" ref="B2665">xlookup($A2665,product!$A:$A,product!B:B)</f>
        <v>Boisson</v>
      </c>
      <c r="C2665" s="24" t="str">
        <f t="array" ref="C2665">xlookup($A2665,product!$A:$A,product!C:C)</f>
        <v>Tisane, Infusion</v>
      </c>
      <c r="D2665" s="24" t="str">
        <f t="array" ref="D2665">xlookup($A2665,product!$A:$A,product!D:D)</f>
        <v>Tisane ayurvédique</v>
      </c>
      <c r="E2665" s="25" t="str">
        <f t="shared" si="1"/>
        <v>23556-Tisane, Infusion-Tisane ayurvédique</v>
      </c>
      <c r="F2665" s="25">
        <v>0.0</v>
      </c>
      <c r="G2665" s="25">
        <v>1.0</v>
      </c>
      <c r="H2665" s="25">
        <v>0.0</v>
      </c>
      <c r="I2665" s="26">
        <f t="array" ref="I2665">XLOOKUP($A2665,product!A:A,product!E:E)</f>
        <v>2.43</v>
      </c>
      <c r="J2665" s="25">
        <f t="shared" si="2"/>
        <v>0</v>
      </c>
      <c r="K2665" s="27">
        <f t="shared" si="3"/>
        <v>0</v>
      </c>
      <c r="L2665" s="25">
        <f t="shared" si="4"/>
        <v>1</v>
      </c>
    </row>
    <row r="2666">
      <c r="A2666" s="19">
        <v>69114.0</v>
      </c>
      <c r="B2666" s="20" t="str">
        <f t="array" ref="B2666">xlookup($A2666,product!$A:$A,product!B:B)</f>
        <v>Boisson</v>
      </c>
      <c r="C2666" s="20" t="str">
        <f t="array" ref="C2666">xlookup($A2666,product!$A:$A,product!C:C)</f>
        <v>Tisane, Infusion</v>
      </c>
      <c r="D2666" s="20" t="str">
        <f t="array" ref="D2666">xlookup($A2666,product!$A:$A,product!D:D)</f>
        <v>Tisane ayurvédique</v>
      </c>
      <c r="E2666" s="4" t="str">
        <f t="shared" si="1"/>
        <v>69114-Tisane, Infusion-Tisane ayurvédique</v>
      </c>
      <c r="F2666" s="4">
        <v>0.0</v>
      </c>
      <c r="G2666" s="4">
        <v>320.0</v>
      </c>
      <c r="H2666" s="4">
        <v>117.0</v>
      </c>
      <c r="I2666" s="21">
        <f t="array" ref="I2666">XLOOKUP($A2666,product!A:A,product!E:E)</f>
        <v>2.01</v>
      </c>
      <c r="J2666" s="4">
        <f t="shared" si="2"/>
        <v>235.17</v>
      </c>
      <c r="K2666" s="22">
        <f t="shared" si="3"/>
        <v>1</v>
      </c>
      <c r="L2666" s="4">
        <f t="shared" si="4"/>
        <v>1</v>
      </c>
    </row>
    <row r="2667">
      <c r="A2667" s="23">
        <v>79778.0</v>
      </c>
      <c r="B2667" s="24" t="str">
        <f t="array" ref="B2667">xlookup($A2667,product!$A:$A,product!B:B)</f>
        <v>Boisson</v>
      </c>
      <c r="C2667" s="24" t="str">
        <f t="array" ref="C2667">xlookup($A2667,product!$A:$A,product!C:C)</f>
        <v>Tisane, Infusion</v>
      </c>
      <c r="D2667" s="24" t="str">
        <f t="array" ref="D2667">xlookup($A2667,product!$A:$A,product!D:D)</f>
        <v>Tisane ayurvédique</v>
      </c>
      <c r="E2667" s="25" t="str">
        <f t="shared" si="1"/>
        <v>79778-Tisane, Infusion-Tisane ayurvédique</v>
      </c>
      <c r="F2667" s="25">
        <v>0.0</v>
      </c>
      <c r="G2667" s="25">
        <v>504.0</v>
      </c>
      <c r="H2667" s="25">
        <v>38.0</v>
      </c>
      <c r="I2667" s="26">
        <f t="array" ref="I2667">XLOOKUP($A2667,product!A:A,product!E:E)</f>
        <v>2.38</v>
      </c>
      <c r="J2667" s="25">
        <f t="shared" si="2"/>
        <v>90.44</v>
      </c>
      <c r="K2667" s="27">
        <f t="shared" si="3"/>
        <v>1</v>
      </c>
      <c r="L2667" s="25">
        <f t="shared" si="4"/>
        <v>1</v>
      </c>
    </row>
    <row r="2668">
      <c r="A2668" s="19">
        <v>100323.0</v>
      </c>
      <c r="B2668" s="20" t="str">
        <f t="array" ref="B2668">xlookup($A2668,product!$A:$A,product!B:B)</f>
        <v>Boisson</v>
      </c>
      <c r="C2668" s="20" t="str">
        <f t="array" ref="C2668">xlookup($A2668,product!$A:$A,product!C:C)</f>
        <v>Tisane, Infusion</v>
      </c>
      <c r="D2668" s="20" t="str">
        <f t="array" ref="D2668">xlookup($A2668,product!$A:$A,product!D:D)</f>
        <v>Tisane ayurvédique</v>
      </c>
      <c r="E2668" s="4" t="str">
        <f t="shared" si="1"/>
        <v>100323-Tisane, Infusion-Tisane ayurvédique</v>
      </c>
      <c r="F2668" s="4">
        <v>1.0</v>
      </c>
      <c r="G2668" s="4">
        <v>488.0</v>
      </c>
      <c r="H2668" s="4">
        <v>12.0</v>
      </c>
      <c r="I2668" s="21">
        <f t="array" ref="I2668">XLOOKUP($A2668,product!A:A,product!E:E)</f>
        <v>2.38</v>
      </c>
      <c r="J2668" s="4">
        <f t="shared" si="2"/>
        <v>28.56</v>
      </c>
      <c r="K2668" s="22">
        <f t="shared" si="3"/>
        <v>1</v>
      </c>
      <c r="L2668" s="4">
        <f t="shared" si="4"/>
        <v>1</v>
      </c>
    </row>
    <row r="2669">
      <c r="A2669" s="23">
        <v>69116.0</v>
      </c>
      <c r="B2669" s="24" t="str">
        <f t="array" ref="B2669">xlookup($A2669,product!$A:$A,product!B:B)</f>
        <v>Boisson</v>
      </c>
      <c r="C2669" s="24" t="str">
        <f t="array" ref="C2669">xlookup($A2669,product!$A:$A,product!C:C)</f>
        <v>Tisane, Infusion</v>
      </c>
      <c r="D2669" s="24" t="str">
        <f t="array" ref="D2669">xlookup($A2669,product!$A:$A,product!D:D)</f>
        <v>Tisane ayurvédique</v>
      </c>
      <c r="E2669" s="25" t="str">
        <f t="shared" si="1"/>
        <v>69116-Tisane, Infusion-Tisane ayurvédique</v>
      </c>
      <c r="F2669" s="25">
        <v>0.0</v>
      </c>
      <c r="G2669" s="25">
        <v>259.0</v>
      </c>
      <c r="H2669" s="25">
        <v>216.0</v>
      </c>
      <c r="I2669" s="26">
        <f t="array" ref="I2669">XLOOKUP($A2669,product!A:A,product!E:E)</f>
        <v>2.01</v>
      </c>
      <c r="J2669" s="25">
        <f t="shared" si="2"/>
        <v>434.16</v>
      </c>
      <c r="K2669" s="27">
        <f t="shared" si="3"/>
        <v>1</v>
      </c>
      <c r="L2669" s="25">
        <f t="shared" si="4"/>
        <v>1</v>
      </c>
    </row>
    <row r="2670">
      <c r="A2670" s="19">
        <v>68938.0</v>
      </c>
      <c r="B2670" s="20" t="str">
        <f t="array" ref="B2670">xlookup($A2670,product!$A:$A,product!B:B)</f>
        <v>Boisson</v>
      </c>
      <c r="C2670" s="20" t="str">
        <f t="array" ref="C2670">xlookup($A2670,product!$A:$A,product!C:C)</f>
        <v>Tisane, Infusion</v>
      </c>
      <c r="D2670" s="20" t="str">
        <f t="array" ref="D2670">xlookup($A2670,product!$A:$A,product!D:D)</f>
        <v>Tisane ayurvédique</v>
      </c>
      <c r="E2670" s="4" t="str">
        <f t="shared" si="1"/>
        <v>68938-Tisane, Infusion-Tisane ayurvédique</v>
      </c>
      <c r="F2670" s="4">
        <v>1.0</v>
      </c>
      <c r="G2670" s="4">
        <v>844.0</v>
      </c>
      <c r="H2670" s="4">
        <v>805.0</v>
      </c>
      <c r="I2670" s="21">
        <f t="array" ref="I2670">XLOOKUP($A2670,product!A:A,product!E:E)</f>
        <v>2.03</v>
      </c>
      <c r="J2670" s="4">
        <f t="shared" si="2"/>
        <v>1634.15</v>
      </c>
      <c r="K2670" s="22">
        <f t="shared" si="3"/>
        <v>1</v>
      </c>
      <c r="L2670" s="4">
        <f t="shared" si="4"/>
        <v>1</v>
      </c>
    </row>
    <row r="2671">
      <c r="A2671" s="23">
        <v>121987.0</v>
      </c>
      <c r="B2671" s="24" t="str">
        <f t="array" ref="B2671">xlookup($A2671,product!$A:$A,product!B:B)</f>
        <v>Boisson</v>
      </c>
      <c r="C2671" s="24" t="str">
        <f t="array" ref="C2671">xlookup($A2671,product!$A:$A,product!C:C)</f>
        <v>Tisane, Infusion</v>
      </c>
      <c r="D2671" s="24" t="str">
        <f t="array" ref="D2671">xlookup($A2671,product!$A:$A,product!D:D)</f>
        <v>Tisane ayurvédique</v>
      </c>
      <c r="E2671" s="25" t="str">
        <f t="shared" si="1"/>
        <v>121987-Tisane, Infusion-Tisane ayurvédique</v>
      </c>
      <c r="F2671" s="25">
        <v>0.0</v>
      </c>
      <c r="G2671" s="25">
        <v>772.0</v>
      </c>
      <c r="H2671" s="25">
        <v>64.0</v>
      </c>
      <c r="I2671" s="26">
        <f t="array" ref="I2671">XLOOKUP($A2671,product!A:A,product!E:E)</f>
        <v>2.03</v>
      </c>
      <c r="J2671" s="25">
        <f t="shared" si="2"/>
        <v>129.92</v>
      </c>
      <c r="K2671" s="27">
        <f t="shared" si="3"/>
        <v>1</v>
      </c>
      <c r="L2671" s="25">
        <f t="shared" si="4"/>
        <v>1</v>
      </c>
    </row>
    <row r="2672">
      <c r="A2672" s="19">
        <v>69113.0</v>
      </c>
      <c r="B2672" s="20" t="str">
        <f t="array" ref="B2672">xlookup($A2672,product!$A:$A,product!B:B)</f>
        <v>Boisson</v>
      </c>
      <c r="C2672" s="20" t="str">
        <f t="array" ref="C2672">xlookup($A2672,product!$A:$A,product!C:C)</f>
        <v>Tisane, Infusion</v>
      </c>
      <c r="D2672" s="20" t="str">
        <f t="array" ref="D2672">xlookup($A2672,product!$A:$A,product!D:D)</f>
        <v>Tisane ayurvédique</v>
      </c>
      <c r="E2672" s="4" t="str">
        <f t="shared" si="1"/>
        <v>69113-Tisane, Infusion-Tisane ayurvédique</v>
      </c>
      <c r="F2672" s="4">
        <v>1.0</v>
      </c>
      <c r="G2672" s="4">
        <v>20.0</v>
      </c>
      <c r="H2672" s="4">
        <v>9.0</v>
      </c>
      <c r="I2672" s="21">
        <f t="array" ref="I2672">XLOOKUP($A2672,product!A:A,product!E:E)</f>
        <v>2.01</v>
      </c>
      <c r="J2672" s="4">
        <f t="shared" si="2"/>
        <v>18.09</v>
      </c>
      <c r="K2672" s="22">
        <f t="shared" si="3"/>
        <v>1</v>
      </c>
      <c r="L2672" s="4">
        <f t="shared" si="4"/>
        <v>1</v>
      </c>
    </row>
    <row r="2673">
      <c r="A2673" s="23">
        <v>80053.0</v>
      </c>
      <c r="B2673" s="24" t="str">
        <f t="array" ref="B2673">xlookup($A2673,product!$A:$A,product!B:B)</f>
        <v>Boisson</v>
      </c>
      <c r="C2673" s="24" t="str">
        <f t="array" ref="C2673">xlookup($A2673,product!$A:$A,product!C:C)</f>
        <v>Tisane, Infusion</v>
      </c>
      <c r="D2673" s="24" t="str">
        <f t="array" ref="D2673">xlookup($A2673,product!$A:$A,product!D:D)</f>
        <v>Tisane ayurvédique</v>
      </c>
      <c r="E2673" s="25" t="str">
        <f t="shared" si="1"/>
        <v>80053-Tisane, Infusion-Tisane ayurvédique</v>
      </c>
      <c r="F2673" s="25">
        <v>1.0</v>
      </c>
      <c r="G2673" s="25">
        <v>594.0</v>
      </c>
      <c r="H2673" s="25">
        <v>404.0</v>
      </c>
      <c r="I2673" s="26">
        <f t="array" ref="I2673">XLOOKUP($A2673,product!A:A,product!E:E)</f>
        <v>2.38</v>
      </c>
      <c r="J2673" s="25">
        <f t="shared" si="2"/>
        <v>961.52</v>
      </c>
      <c r="K2673" s="27">
        <f t="shared" si="3"/>
        <v>1</v>
      </c>
      <c r="L2673" s="25">
        <f t="shared" si="4"/>
        <v>1</v>
      </c>
    </row>
    <row r="2674">
      <c r="A2674" s="19">
        <v>121986.0</v>
      </c>
      <c r="B2674" s="20" t="str">
        <f t="array" ref="B2674">xlookup($A2674,product!$A:$A,product!B:B)</f>
        <v>Boisson</v>
      </c>
      <c r="C2674" s="20" t="str">
        <f t="array" ref="C2674">xlookup($A2674,product!$A:$A,product!C:C)</f>
        <v>Tisane, Infusion</v>
      </c>
      <c r="D2674" s="20" t="str">
        <f t="array" ref="D2674">xlookup($A2674,product!$A:$A,product!D:D)</f>
        <v>Tisane ayurvédique</v>
      </c>
      <c r="E2674" s="4" t="str">
        <f t="shared" si="1"/>
        <v>121986-Tisane, Infusion-Tisane ayurvédique</v>
      </c>
      <c r="F2674" s="4">
        <v>0.0</v>
      </c>
      <c r="G2674" s="4">
        <v>396.0</v>
      </c>
      <c r="H2674" s="4">
        <v>5.0</v>
      </c>
      <c r="I2674" s="21">
        <f t="array" ref="I2674">XLOOKUP($A2674,product!A:A,product!E:E)</f>
        <v>2.03</v>
      </c>
      <c r="J2674" s="4">
        <f t="shared" si="2"/>
        <v>10.15</v>
      </c>
      <c r="K2674" s="22">
        <f t="shared" si="3"/>
        <v>1</v>
      </c>
      <c r="L2674" s="4">
        <f t="shared" si="4"/>
        <v>1</v>
      </c>
    </row>
    <row r="2675">
      <c r="A2675" s="23">
        <v>121988.0</v>
      </c>
      <c r="B2675" s="24" t="str">
        <f t="array" ref="B2675">xlookup($A2675,product!$A:$A,product!B:B)</f>
        <v>Boisson</v>
      </c>
      <c r="C2675" s="24" t="str">
        <f t="array" ref="C2675">xlookup($A2675,product!$A:$A,product!C:C)</f>
        <v>Tisane, Infusion</v>
      </c>
      <c r="D2675" s="24" t="str">
        <f t="array" ref="D2675">xlookup($A2675,product!$A:$A,product!D:D)</f>
        <v>Tisane ayurvédique</v>
      </c>
      <c r="E2675" s="25" t="str">
        <f t="shared" si="1"/>
        <v>121988-Tisane, Infusion-Tisane ayurvédique</v>
      </c>
      <c r="F2675" s="25">
        <v>0.0</v>
      </c>
      <c r="G2675" s="25">
        <v>66.0</v>
      </c>
      <c r="H2675" s="25">
        <v>33.0</v>
      </c>
      <c r="I2675" s="26">
        <f t="array" ref="I2675">XLOOKUP($A2675,product!A:A,product!E:E)</f>
        <v>2.03</v>
      </c>
      <c r="J2675" s="25">
        <f t="shared" si="2"/>
        <v>66.99</v>
      </c>
      <c r="K2675" s="27">
        <f t="shared" si="3"/>
        <v>1</v>
      </c>
      <c r="L2675" s="25">
        <f t="shared" si="4"/>
        <v>1</v>
      </c>
    </row>
    <row r="2676">
      <c r="A2676" s="19">
        <v>121990.0</v>
      </c>
      <c r="B2676" s="20" t="str">
        <f t="array" ref="B2676">xlookup($A2676,product!$A:$A,product!B:B)</f>
        <v>Boisson</v>
      </c>
      <c r="C2676" s="20" t="str">
        <f t="array" ref="C2676">xlookup($A2676,product!$A:$A,product!C:C)</f>
        <v>Tisane, Infusion</v>
      </c>
      <c r="D2676" s="20" t="str">
        <f t="array" ref="D2676">xlookup($A2676,product!$A:$A,product!D:D)</f>
        <v>Tisane ayurvédique</v>
      </c>
      <c r="E2676" s="4" t="str">
        <f t="shared" si="1"/>
        <v>121990-Tisane, Infusion-Tisane ayurvédique</v>
      </c>
      <c r="F2676" s="4">
        <v>0.0</v>
      </c>
      <c r="G2676" s="4">
        <v>670.0</v>
      </c>
      <c r="H2676" s="4">
        <v>69.0</v>
      </c>
      <c r="I2676" s="21">
        <f t="array" ref="I2676">XLOOKUP($A2676,product!A:A,product!E:E)</f>
        <v>2.01</v>
      </c>
      <c r="J2676" s="4">
        <f t="shared" si="2"/>
        <v>138.69</v>
      </c>
      <c r="K2676" s="22">
        <f t="shared" si="3"/>
        <v>1</v>
      </c>
      <c r="L2676" s="4">
        <f t="shared" si="4"/>
        <v>1</v>
      </c>
    </row>
    <row r="2677">
      <c r="A2677" s="23">
        <v>68941.0</v>
      </c>
      <c r="B2677" s="24" t="str">
        <f t="array" ref="B2677">xlookup($A2677,product!$A:$A,product!B:B)</f>
        <v>Boisson</v>
      </c>
      <c r="C2677" s="24" t="str">
        <f t="array" ref="C2677">xlookup($A2677,product!$A:$A,product!C:C)</f>
        <v>Tisane, Infusion</v>
      </c>
      <c r="D2677" s="24" t="str">
        <f t="array" ref="D2677">xlookup($A2677,product!$A:$A,product!D:D)</f>
        <v>Tisane ayurvédique</v>
      </c>
      <c r="E2677" s="25" t="str">
        <f t="shared" si="1"/>
        <v>68941-Tisane, Infusion-Tisane ayurvédique</v>
      </c>
      <c r="F2677" s="25">
        <v>0.0</v>
      </c>
      <c r="G2677" s="25">
        <v>512.0</v>
      </c>
      <c r="H2677" s="25">
        <v>467.0</v>
      </c>
      <c r="I2677" s="26">
        <f t="array" ref="I2677">XLOOKUP($A2677,product!A:A,product!E:E)</f>
        <v>2.03</v>
      </c>
      <c r="J2677" s="25">
        <f t="shared" si="2"/>
        <v>948.01</v>
      </c>
      <c r="K2677" s="27">
        <f t="shared" si="3"/>
        <v>1</v>
      </c>
      <c r="L2677" s="25">
        <f t="shared" si="4"/>
        <v>1</v>
      </c>
    </row>
    <row r="2678">
      <c r="A2678" s="19">
        <v>69122.0</v>
      </c>
      <c r="B2678" s="20" t="str">
        <f t="array" ref="B2678">xlookup($A2678,product!$A:$A,product!B:B)</f>
        <v>Boisson</v>
      </c>
      <c r="C2678" s="20" t="str">
        <f t="array" ref="C2678">xlookup($A2678,product!$A:$A,product!C:C)</f>
        <v>Tisane, Infusion</v>
      </c>
      <c r="D2678" s="20" t="str">
        <f t="array" ref="D2678">xlookup($A2678,product!$A:$A,product!D:D)</f>
        <v>Tisane ayurvédique</v>
      </c>
      <c r="E2678" s="4" t="str">
        <f t="shared" si="1"/>
        <v>69122-Tisane, Infusion-Tisane ayurvédique</v>
      </c>
      <c r="F2678" s="4">
        <v>0.0</v>
      </c>
      <c r="G2678" s="4">
        <v>247.0</v>
      </c>
      <c r="H2678" s="4">
        <v>225.0</v>
      </c>
      <c r="I2678" s="21">
        <f t="array" ref="I2678">XLOOKUP($A2678,product!A:A,product!E:E)</f>
        <v>2.03</v>
      </c>
      <c r="J2678" s="4">
        <f t="shared" si="2"/>
        <v>456.75</v>
      </c>
      <c r="K2678" s="22">
        <f t="shared" si="3"/>
        <v>1</v>
      </c>
      <c r="L2678" s="4">
        <f t="shared" si="4"/>
        <v>1</v>
      </c>
    </row>
    <row r="2679">
      <c r="A2679" s="23">
        <v>80049.0</v>
      </c>
      <c r="B2679" s="24" t="str">
        <f t="array" ref="B2679">xlookup($A2679,product!$A:$A,product!B:B)</f>
        <v>Boisson</v>
      </c>
      <c r="C2679" s="24" t="str">
        <f t="array" ref="C2679">xlookup($A2679,product!$A:$A,product!C:C)</f>
        <v>Tisane, Infusion</v>
      </c>
      <c r="D2679" s="24" t="str">
        <f t="array" ref="D2679">xlookup($A2679,product!$A:$A,product!D:D)</f>
        <v>Tisane ayurvédique</v>
      </c>
      <c r="E2679" s="25" t="str">
        <f t="shared" si="1"/>
        <v>80049-Tisane, Infusion-Tisane ayurvédique</v>
      </c>
      <c r="F2679" s="25">
        <v>0.0</v>
      </c>
      <c r="G2679" s="25">
        <v>78.0</v>
      </c>
      <c r="H2679" s="25">
        <v>17.0</v>
      </c>
      <c r="I2679" s="26">
        <f t="array" ref="I2679">XLOOKUP($A2679,product!A:A,product!E:E)</f>
        <v>2.38</v>
      </c>
      <c r="J2679" s="25">
        <f t="shared" si="2"/>
        <v>40.46</v>
      </c>
      <c r="K2679" s="27">
        <f t="shared" si="3"/>
        <v>1</v>
      </c>
      <c r="L2679" s="25">
        <f t="shared" si="4"/>
        <v>1</v>
      </c>
    </row>
    <row r="2680">
      <c r="A2680" s="19">
        <v>121971.0</v>
      </c>
      <c r="B2680" s="20" t="str">
        <f t="array" ref="B2680">xlookup($A2680,product!$A:$A,product!B:B)</f>
        <v>Boisson</v>
      </c>
      <c r="C2680" s="20" t="str">
        <f t="array" ref="C2680">xlookup($A2680,product!$A:$A,product!C:C)</f>
        <v>Tisane, Infusion</v>
      </c>
      <c r="D2680" s="20" t="str">
        <f t="array" ref="D2680">xlookup($A2680,product!$A:$A,product!D:D)</f>
        <v>Tisane ayurvédique</v>
      </c>
      <c r="E2680" s="4" t="str">
        <f t="shared" si="1"/>
        <v>121971-Tisane, Infusion-Tisane ayurvédique</v>
      </c>
      <c r="F2680" s="4">
        <v>1.0</v>
      </c>
      <c r="G2680" s="4">
        <v>636.0</v>
      </c>
      <c r="H2680" s="4">
        <v>514.0</v>
      </c>
      <c r="I2680" s="21">
        <f t="array" ref="I2680">XLOOKUP($A2680,product!A:A,product!E:E)</f>
        <v>3.06</v>
      </c>
      <c r="J2680" s="4">
        <f t="shared" si="2"/>
        <v>1572.84</v>
      </c>
      <c r="K2680" s="22">
        <f t="shared" si="3"/>
        <v>1</v>
      </c>
      <c r="L2680" s="4">
        <f t="shared" si="4"/>
        <v>1</v>
      </c>
    </row>
    <row r="2681">
      <c r="A2681" s="23">
        <v>68945.0</v>
      </c>
      <c r="B2681" s="24" t="str">
        <f t="array" ref="B2681">xlookup($A2681,product!$A:$A,product!B:B)</f>
        <v>Boisson</v>
      </c>
      <c r="C2681" s="24" t="str">
        <f t="array" ref="C2681">xlookup($A2681,product!$A:$A,product!C:C)</f>
        <v>Tisane, Infusion</v>
      </c>
      <c r="D2681" s="24" t="str">
        <f t="array" ref="D2681">xlookup($A2681,product!$A:$A,product!D:D)</f>
        <v>Tisane ayurvédique</v>
      </c>
      <c r="E2681" s="25" t="str">
        <f t="shared" si="1"/>
        <v>68945-Tisane, Infusion-Tisane ayurvédique</v>
      </c>
      <c r="F2681" s="25">
        <v>1.0</v>
      </c>
      <c r="G2681" s="25">
        <v>404.0</v>
      </c>
      <c r="H2681" s="25">
        <v>188.0</v>
      </c>
      <c r="I2681" s="26">
        <f t="array" ref="I2681">XLOOKUP($A2681,product!A:A,product!E:E)</f>
        <v>2.03</v>
      </c>
      <c r="J2681" s="25">
        <f t="shared" si="2"/>
        <v>381.64</v>
      </c>
      <c r="K2681" s="27">
        <f t="shared" si="3"/>
        <v>1</v>
      </c>
      <c r="L2681" s="25">
        <f t="shared" si="4"/>
        <v>1</v>
      </c>
    </row>
    <row r="2682">
      <c r="A2682" s="19">
        <v>79780.0</v>
      </c>
      <c r="B2682" s="20" t="str">
        <f t="array" ref="B2682">xlookup($A2682,product!$A:$A,product!B:B)</f>
        <v>Boisson</v>
      </c>
      <c r="C2682" s="20" t="str">
        <f t="array" ref="C2682">xlookup($A2682,product!$A:$A,product!C:C)</f>
        <v>Tisane, Infusion</v>
      </c>
      <c r="D2682" s="20" t="str">
        <f t="array" ref="D2682">xlookup($A2682,product!$A:$A,product!D:D)</f>
        <v>Tisane ayurvédique</v>
      </c>
      <c r="E2682" s="4" t="str">
        <f t="shared" si="1"/>
        <v>79780-Tisane, Infusion-Tisane ayurvédique</v>
      </c>
      <c r="F2682" s="4">
        <v>1.0</v>
      </c>
      <c r="G2682" s="4">
        <v>834.0</v>
      </c>
      <c r="H2682" s="4">
        <v>269.0</v>
      </c>
      <c r="I2682" s="21">
        <f t="array" ref="I2682">XLOOKUP($A2682,product!A:A,product!E:E)</f>
        <v>2.38</v>
      </c>
      <c r="J2682" s="4">
        <f t="shared" si="2"/>
        <v>640.22</v>
      </c>
      <c r="K2682" s="22">
        <f t="shared" si="3"/>
        <v>1</v>
      </c>
      <c r="L2682" s="4">
        <f t="shared" si="4"/>
        <v>1</v>
      </c>
    </row>
    <row r="2683">
      <c r="A2683" s="23">
        <v>80056.0</v>
      </c>
      <c r="B2683" s="24" t="str">
        <f t="array" ref="B2683">xlookup($A2683,product!$A:$A,product!B:B)</f>
        <v>Boisson</v>
      </c>
      <c r="C2683" s="24" t="str">
        <f t="array" ref="C2683">xlookup($A2683,product!$A:$A,product!C:C)</f>
        <v>Tisane, Infusion</v>
      </c>
      <c r="D2683" s="24" t="str">
        <f t="array" ref="D2683">xlookup($A2683,product!$A:$A,product!D:D)</f>
        <v>Tisane ayurvédique</v>
      </c>
      <c r="E2683" s="25" t="str">
        <f t="shared" si="1"/>
        <v>80056-Tisane, Infusion-Tisane ayurvédique</v>
      </c>
      <c r="F2683" s="25">
        <v>0.0</v>
      </c>
      <c r="G2683" s="25">
        <v>417.0</v>
      </c>
      <c r="H2683" s="25">
        <v>336.0</v>
      </c>
      <c r="I2683" s="26">
        <f t="array" ref="I2683">XLOOKUP($A2683,product!A:A,product!E:E)</f>
        <v>2.38</v>
      </c>
      <c r="J2683" s="25">
        <f t="shared" si="2"/>
        <v>799.68</v>
      </c>
      <c r="K2683" s="27">
        <f t="shared" si="3"/>
        <v>1</v>
      </c>
      <c r="L2683" s="25">
        <f t="shared" si="4"/>
        <v>1</v>
      </c>
    </row>
    <row r="2684">
      <c r="A2684" s="19">
        <v>80040.0</v>
      </c>
      <c r="B2684" s="20" t="str">
        <f t="array" ref="B2684">xlookup($A2684,product!$A:$A,product!B:B)</f>
        <v>Boisson</v>
      </c>
      <c r="C2684" s="20" t="str">
        <f t="array" ref="C2684">xlookup($A2684,product!$A:$A,product!C:C)</f>
        <v>Tisane, Infusion</v>
      </c>
      <c r="D2684" s="20" t="str">
        <f t="array" ref="D2684">xlookup($A2684,product!$A:$A,product!D:D)</f>
        <v>Tisane ayurvédique</v>
      </c>
      <c r="E2684" s="4" t="str">
        <f t="shared" si="1"/>
        <v>80040-Tisane, Infusion-Tisane ayurvédique</v>
      </c>
      <c r="F2684" s="4">
        <v>1.0</v>
      </c>
      <c r="G2684" s="4">
        <v>817.0</v>
      </c>
      <c r="H2684" s="4">
        <v>706.0</v>
      </c>
      <c r="I2684" s="21">
        <f t="array" ref="I2684">XLOOKUP($A2684,product!A:A,product!E:E)</f>
        <v>2.38</v>
      </c>
      <c r="J2684" s="4">
        <f t="shared" si="2"/>
        <v>1680.28</v>
      </c>
      <c r="K2684" s="22">
        <f t="shared" si="3"/>
        <v>1</v>
      </c>
      <c r="L2684" s="4">
        <f t="shared" si="4"/>
        <v>1</v>
      </c>
    </row>
    <row r="2685">
      <c r="A2685" s="23">
        <v>114480.0</v>
      </c>
      <c r="B2685" s="24" t="str">
        <f t="array" ref="B2685">xlookup($A2685,product!$A:$A,product!B:B)</f>
        <v>Boisson</v>
      </c>
      <c r="C2685" s="24" t="str">
        <f t="array" ref="C2685">xlookup($A2685,product!$A:$A,product!C:C)</f>
        <v>Tisane, Infusion</v>
      </c>
      <c r="D2685" s="24" t="str">
        <f t="array" ref="D2685">xlookup($A2685,product!$A:$A,product!D:D)</f>
        <v>Tisane ayurvédique</v>
      </c>
      <c r="E2685" s="25" t="str">
        <f t="shared" si="1"/>
        <v>114480-Tisane, Infusion-Tisane ayurvédique</v>
      </c>
      <c r="F2685" s="25">
        <v>0.0</v>
      </c>
      <c r="G2685" s="25">
        <v>18.0</v>
      </c>
      <c r="H2685" s="25">
        <v>18.0</v>
      </c>
      <c r="I2685" s="26">
        <f t="array" ref="I2685">XLOOKUP($A2685,product!A:A,product!E:E)</f>
        <v>3.11</v>
      </c>
      <c r="J2685" s="25">
        <f t="shared" si="2"/>
        <v>55.98</v>
      </c>
      <c r="K2685" s="27">
        <f t="shared" si="3"/>
        <v>1</v>
      </c>
      <c r="L2685" s="25">
        <f t="shared" si="4"/>
        <v>1</v>
      </c>
    </row>
    <row r="2686">
      <c r="A2686" s="19">
        <v>111922.0</v>
      </c>
      <c r="B2686" s="20" t="str">
        <f t="array" ref="B2686">xlookup($A2686,product!$A:$A,product!B:B)</f>
        <v>Boisson</v>
      </c>
      <c r="C2686" s="20" t="str">
        <f t="array" ref="C2686">xlookup($A2686,product!$A:$A,product!C:C)</f>
        <v>Tisane, Infusion</v>
      </c>
      <c r="D2686" s="20" t="str">
        <f t="array" ref="D2686">xlookup($A2686,product!$A:$A,product!D:D)</f>
        <v>Tisane ayurvédique</v>
      </c>
      <c r="E2686" s="4" t="str">
        <f t="shared" si="1"/>
        <v>111922-Tisane, Infusion-Tisane ayurvédique</v>
      </c>
      <c r="F2686" s="4">
        <v>1.0</v>
      </c>
      <c r="G2686" s="4">
        <v>93.0</v>
      </c>
      <c r="H2686" s="4">
        <v>59.0</v>
      </c>
      <c r="I2686" s="21">
        <f t="array" ref="I2686">XLOOKUP($A2686,product!A:A,product!E:E)</f>
        <v>2.53</v>
      </c>
      <c r="J2686" s="4">
        <f t="shared" si="2"/>
        <v>149.27</v>
      </c>
      <c r="K2686" s="22">
        <f t="shared" si="3"/>
        <v>1</v>
      </c>
      <c r="L2686" s="4">
        <f t="shared" si="4"/>
        <v>1</v>
      </c>
    </row>
    <row r="2687">
      <c r="A2687" s="23">
        <v>111924.0</v>
      </c>
      <c r="B2687" s="24" t="str">
        <f t="array" ref="B2687">xlookup($A2687,product!$A:$A,product!B:B)</f>
        <v>Boisson</v>
      </c>
      <c r="C2687" s="24" t="str">
        <f t="array" ref="C2687">xlookup($A2687,product!$A:$A,product!C:C)</f>
        <v>Tisane, Infusion</v>
      </c>
      <c r="D2687" s="24" t="str">
        <f t="array" ref="D2687">xlookup($A2687,product!$A:$A,product!D:D)</f>
        <v>Tisane ayurvédique</v>
      </c>
      <c r="E2687" s="25" t="str">
        <f t="shared" si="1"/>
        <v>111924-Tisane, Infusion-Tisane ayurvédique</v>
      </c>
      <c r="F2687" s="25">
        <v>0.0</v>
      </c>
      <c r="G2687" s="25">
        <v>214.0</v>
      </c>
      <c r="H2687" s="25">
        <v>164.0</v>
      </c>
      <c r="I2687" s="26">
        <f t="array" ref="I2687">XLOOKUP($A2687,product!A:A,product!E:E)</f>
        <v>2.53</v>
      </c>
      <c r="J2687" s="25">
        <f t="shared" si="2"/>
        <v>414.92</v>
      </c>
      <c r="K2687" s="27">
        <f t="shared" si="3"/>
        <v>1</v>
      </c>
      <c r="L2687" s="25">
        <f t="shared" si="4"/>
        <v>1</v>
      </c>
    </row>
    <row r="2688">
      <c r="A2688" s="19">
        <v>80047.0</v>
      </c>
      <c r="B2688" s="20" t="str">
        <f t="array" ref="B2688">xlookup($A2688,product!$A:$A,product!B:B)</f>
        <v>Boisson</v>
      </c>
      <c r="C2688" s="20" t="str">
        <f t="array" ref="C2688">xlookup($A2688,product!$A:$A,product!C:C)</f>
        <v>Tisane, Infusion</v>
      </c>
      <c r="D2688" s="20" t="str">
        <f t="array" ref="D2688">xlookup($A2688,product!$A:$A,product!D:D)</f>
        <v>Tisane ayurvédique</v>
      </c>
      <c r="E2688" s="4" t="str">
        <f t="shared" si="1"/>
        <v>80047-Tisane, Infusion-Tisane ayurvédique</v>
      </c>
      <c r="F2688" s="4">
        <v>0.0</v>
      </c>
      <c r="G2688" s="4">
        <v>698.0</v>
      </c>
      <c r="H2688" s="4">
        <v>512.0</v>
      </c>
      <c r="I2688" s="21">
        <f t="array" ref="I2688">XLOOKUP($A2688,product!A:A,product!E:E)</f>
        <v>2.38</v>
      </c>
      <c r="J2688" s="4">
        <f t="shared" si="2"/>
        <v>1218.56</v>
      </c>
      <c r="K2688" s="22">
        <f t="shared" si="3"/>
        <v>1</v>
      </c>
      <c r="L2688" s="4">
        <f t="shared" si="4"/>
        <v>1</v>
      </c>
    </row>
    <row r="2689">
      <c r="A2689" s="23">
        <v>69121.0</v>
      </c>
      <c r="B2689" s="24" t="str">
        <f t="array" ref="B2689">xlookup($A2689,product!$A:$A,product!B:B)</f>
        <v>Boisson</v>
      </c>
      <c r="C2689" s="24" t="str">
        <f t="array" ref="C2689">xlookup($A2689,product!$A:$A,product!C:C)</f>
        <v>Tisane, Infusion</v>
      </c>
      <c r="D2689" s="24" t="str">
        <f t="array" ref="D2689">xlookup($A2689,product!$A:$A,product!D:D)</f>
        <v>Tisane ayurvédique</v>
      </c>
      <c r="E2689" s="25" t="str">
        <f t="shared" si="1"/>
        <v>69121-Tisane, Infusion-Tisane ayurvédique</v>
      </c>
      <c r="F2689" s="25">
        <v>0.0</v>
      </c>
      <c r="G2689" s="25">
        <v>131.0</v>
      </c>
      <c r="H2689" s="25">
        <v>82.0</v>
      </c>
      <c r="I2689" s="26">
        <f t="array" ref="I2689">XLOOKUP($A2689,product!A:A,product!E:E)</f>
        <v>2.01</v>
      </c>
      <c r="J2689" s="25">
        <f t="shared" si="2"/>
        <v>164.82</v>
      </c>
      <c r="K2689" s="27">
        <f t="shared" si="3"/>
        <v>1</v>
      </c>
      <c r="L2689" s="25">
        <f t="shared" si="4"/>
        <v>1</v>
      </c>
    </row>
    <row r="2690">
      <c r="A2690" s="19">
        <v>68939.0</v>
      </c>
      <c r="B2690" s="20" t="str">
        <f t="array" ref="B2690">xlookup($A2690,product!$A:$A,product!B:B)</f>
        <v>Boisson</v>
      </c>
      <c r="C2690" s="20" t="str">
        <f t="array" ref="C2690">xlookup($A2690,product!$A:$A,product!C:C)</f>
        <v>Tisane, Infusion</v>
      </c>
      <c r="D2690" s="20" t="str">
        <f t="array" ref="D2690">xlookup($A2690,product!$A:$A,product!D:D)</f>
        <v>Tisane ayurvédique</v>
      </c>
      <c r="E2690" s="4" t="str">
        <f t="shared" si="1"/>
        <v>68939-Tisane, Infusion-Tisane ayurvédique</v>
      </c>
      <c r="F2690" s="4">
        <v>1.0</v>
      </c>
      <c r="G2690" s="4">
        <v>824.0</v>
      </c>
      <c r="H2690" s="4">
        <v>55.0</v>
      </c>
      <c r="I2690" s="21">
        <f t="array" ref="I2690">XLOOKUP($A2690,product!A:A,product!E:E)</f>
        <v>2.03</v>
      </c>
      <c r="J2690" s="4">
        <f t="shared" si="2"/>
        <v>111.65</v>
      </c>
      <c r="K2690" s="22">
        <f t="shared" si="3"/>
        <v>1</v>
      </c>
      <c r="L2690" s="4">
        <f t="shared" si="4"/>
        <v>1</v>
      </c>
    </row>
    <row r="2691">
      <c r="A2691" s="23">
        <v>69124.0</v>
      </c>
      <c r="B2691" s="24" t="str">
        <f t="array" ref="B2691">xlookup($A2691,product!$A:$A,product!B:B)</f>
        <v>Boisson</v>
      </c>
      <c r="C2691" s="24" t="str">
        <f t="array" ref="C2691">xlookup($A2691,product!$A:$A,product!C:C)</f>
        <v>Tisane, Infusion</v>
      </c>
      <c r="D2691" s="24" t="str">
        <f t="array" ref="D2691">xlookup($A2691,product!$A:$A,product!D:D)</f>
        <v>Tisane ayurvédique</v>
      </c>
      <c r="E2691" s="25" t="str">
        <f t="shared" si="1"/>
        <v>69124-Tisane, Infusion-Tisane ayurvédique</v>
      </c>
      <c r="F2691" s="25">
        <v>0.0</v>
      </c>
      <c r="G2691" s="25">
        <v>979.0</v>
      </c>
      <c r="H2691" s="25">
        <v>705.0</v>
      </c>
      <c r="I2691" s="26">
        <f t="array" ref="I2691">XLOOKUP($A2691,product!A:A,product!E:E)</f>
        <v>2.03</v>
      </c>
      <c r="J2691" s="25">
        <f t="shared" si="2"/>
        <v>1431.15</v>
      </c>
      <c r="K2691" s="27">
        <f t="shared" si="3"/>
        <v>1</v>
      </c>
      <c r="L2691" s="25">
        <f t="shared" si="4"/>
        <v>1</v>
      </c>
    </row>
    <row r="2692">
      <c r="A2692" s="19">
        <v>23552.0</v>
      </c>
      <c r="B2692" s="20" t="str">
        <f t="array" ref="B2692">xlookup($A2692,product!$A:$A,product!B:B)</f>
        <v>Boisson</v>
      </c>
      <c r="C2692" s="20" t="str">
        <f t="array" ref="C2692">xlookup($A2692,product!$A:$A,product!C:C)</f>
        <v>Tisane, Infusion</v>
      </c>
      <c r="D2692" s="20" t="str">
        <f t="array" ref="D2692">xlookup($A2692,product!$A:$A,product!D:D)</f>
        <v>Tisane ayurvédique</v>
      </c>
      <c r="E2692" s="4" t="str">
        <f t="shared" si="1"/>
        <v>23552-Tisane, Infusion-Tisane ayurvédique</v>
      </c>
      <c r="F2692" s="4">
        <v>1.0</v>
      </c>
      <c r="G2692" s="4">
        <v>270.0</v>
      </c>
      <c r="H2692" s="4">
        <v>1.0</v>
      </c>
      <c r="I2692" s="21">
        <f t="array" ref="I2692">XLOOKUP($A2692,product!A:A,product!E:E)</f>
        <v>2.43</v>
      </c>
      <c r="J2692" s="4">
        <f t="shared" si="2"/>
        <v>2.43</v>
      </c>
      <c r="K2692" s="22">
        <f t="shared" si="3"/>
        <v>1</v>
      </c>
      <c r="L2692" s="4">
        <f t="shared" si="4"/>
        <v>1</v>
      </c>
    </row>
    <row r="2693">
      <c r="A2693" s="23">
        <v>68943.0</v>
      </c>
      <c r="B2693" s="24" t="str">
        <f t="array" ref="B2693">xlookup($A2693,product!$A:$A,product!B:B)</f>
        <v>Boisson</v>
      </c>
      <c r="C2693" s="24" t="str">
        <f t="array" ref="C2693">xlookup($A2693,product!$A:$A,product!C:C)</f>
        <v>Tisane, Infusion</v>
      </c>
      <c r="D2693" s="24" t="str">
        <f t="array" ref="D2693">xlookup($A2693,product!$A:$A,product!D:D)</f>
        <v>Tisane ayurvédique</v>
      </c>
      <c r="E2693" s="25" t="str">
        <f t="shared" si="1"/>
        <v>68943-Tisane, Infusion-Tisane ayurvédique</v>
      </c>
      <c r="F2693" s="25">
        <v>1.0</v>
      </c>
      <c r="G2693" s="25">
        <v>697.0</v>
      </c>
      <c r="H2693" s="25">
        <v>483.0</v>
      </c>
      <c r="I2693" s="26">
        <f t="array" ref="I2693">XLOOKUP($A2693,product!A:A,product!E:E)</f>
        <v>2.03</v>
      </c>
      <c r="J2693" s="25">
        <f t="shared" si="2"/>
        <v>980.49</v>
      </c>
      <c r="K2693" s="27">
        <f t="shared" si="3"/>
        <v>1</v>
      </c>
      <c r="L2693" s="25">
        <f t="shared" si="4"/>
        <v>1</v>
      </c>
    </row>
    <row r="2694">
      <c r="A2694" s="19">
        <v>69115.0</v>
      </c>
      <c r="B2694" s="20" t="str">
        <f t="array" ref="B2694">xlookup($A2694,product!$A:$A,product!B:B)</f>
        <v>Boisson</v>
      </c>
      <c r="C2694" s="20" t="str">
        <f t="array" ref="C2694">xlookup($A2694,product!$A:$A,product!C:C)</f>
        <v>Tisane, Infusion</v>
      </c>
      <c r="D2694" s="20" t="str">
        <f t="array" ref="D2694">xlookup($A2694,product!$A:$A,product!D:D)</f>
        <v>Tisane ayurvédique</v>
      </c>
      <c r="E2694" s="4" t="str">
        <f t="shared" si="1"/>
        <v>69115-Tisane, Infusion-Tisane ayurvédique</v>
      </c>
      <c r="F2694" s="4">
        <v>0.0</v>
      </c>
      <c r="G2694" s="4">
        <v>348.0</v>
      </c>
      <c r="H2694" s="4">
        <v>256.0</v>
      </c>
      <c r="I2694" s="21">
        <f t="array" ref="I2694">XLOOKUP($A2694,product!A:A,product!E:E)</f>
        <v>2.01</v>
      </c>
      <c r="J2694" s="4">
        <f t="shared" si="2"/>
        <v>514.56</v>
      </c>
      <c r="K2694" s="22">
        <f t="shared" si="3"/>
        <v>1</v>
      </c>
      <c r="L2694" s="4">
        <f t="shared" si="4"/>
        <v>1</v>
      </c>
    </row>
    <row r="2695">
      <c r="A2695" s="23">
        <v>81122.0</v>
      </c>
      <c r="B2695" s="24" t="str">
        <f t="array" ref="B2695">xlookup($A2695,product!$A:$A,product!B:B)</f>
        <v>Boisson</v>
      </c>
      <c r="C2695" s="24" t="str">
        <f t="array" ref="C2695">xlookup($A2695,product!$A:$A,product!C:C)</f>
        <v>Tisane, Infusion</v>
      </c>
      <c r="D2695" s="24" t="str">
        <f t="array" ref="D2695">xlookup($A2695,product!$A:$A,product!D:D)</f>
        <v>Tisane plante simple</v>
      </c>
      <c r="E2695" s="25" t="str">
        <f t="shared" si="1"/>
        <v>81122-Tisane, Infusion-Tisane plante simple</v>
      </c>
      <c r="F2695" s="25">
        <v>1.0</v>
      </c>
      <c r="G2695" s="25">
        <v>415.0</v>
      </c>
      <c r="H2695" s="25">
        <v>414.0</v>
      </c>
      <c r="I2695" s="26">
        <f t="array" ref="I2695">XLOOKUP($A2695,product!A:A,product!E:E)</f>
        <v>2.07</v>
      </c>
      <c r="J2695" s="25">
        <f t="shared" si="2"/>
        <v>856.98</v>
      </c>
      <c r="K2695" s="27">
        <f t="shared" si="3"/>
        <v>1</v>
      </c>
      <c r="L2695" s="25">
        <f t="shared" si="4"/>
        <v>1</v>
      </c>
    </row>
    <row r="2696">
      <c r="A2696" s="19">
        <v>84672.0</v>
      </c>
      <c r="B2696" s="20" t="str">
        <f t="array" ref="B2696">xlookup($A2696,product!$A:$A,product!B:B)</f>
        <v>Boisson</v>
      </c>
      <c r="C2696" s="20" t="str">
        <f t="array" ref="C2696">xlookup($A2696,product!$A:$A,product!C:C)</f>
        <v>Tisane, Infusion</v>
      </c>
      <c r="D2696" s="20" t="str">
        <f t="array" ref="D2696">xlookup($A2696,product!$A:$A,product!D:D)</f>
        <v>Tisane plante simple</v>
      </c>
      <c r="E2696" s="4" t="str">
        <f t="shared" si="1"/>
        <v>84672-Tisane, Infusion-Tisane plante simple</v>
      </c>
      <c r="F2696" s="4">
        <v>1.0</v>
      </c>
      <c r="G2696" s="4">
        <v>179.0</v>
      </c>
      <c r="H2696" s="4">
        <v>125.0</v>
      </c>
      <c r="I2696" s="21">
        <f t="array" ref="I2696">XLOOKUP($A2696,product!A:A,product!E:E)</f>
        <v>1.7</v>
      </c>
      <c r="J2696" s="4">
        <f t="shared" si="2"/>
        <v>212.5</v>
      </c>
      <c r="K2696" s="22">
        <f t="shared" si="3"/>
        <v>1</v>
      </c>
      <c r="L2696" s="4">
        <f t="shared" si="4"/>
        <v>1</v>
      </c>
    </row>
    <row r="2697">
      <c r="A2697" s="23">
        <v>81127.0</v>
      </c>
      <c r="B2697" s="24" t="str">
        <f t="array" ref="B2697">xlookup($A2697,product!$A:$A,product!B:B)</f>
        <v>Boisson</v>
      </c>
      <c r="C2697" s="24" t="str">
        <f t="array" ref="C2697">xlookup($A2697,product!$A:$A,product!C:C)</f>
        <v>Tisane, Infusion</v>
      </c>
      <c r="D2697" s="24" t="str">
        <f t="array" ref="D2697">xlookup($A2697,product!$A:$A,product!D:D)</f>
        <v>Tisane plante simple</v>
      </c>
      <c r="E2697" s="25" t="str">
        <f t="shared" si="1"/>
        <v>81127-Tisane, Infusion-Tisane plante simple</v>
      </c>
      <c r="F2697" s="25">
        <v>0.0</v>
      </c>
      <c r="G2697" s="25">
        <v>770.0</v>
      </c>
      <c r="H2697" s="25">
        <v>438.0</v>
      </c>
      <c r="I2697" s="26">
        <f t="array" ref="I2697">XLOOKUP($A2697,product!A:A,product!E:E)</f>
        <v>3.6</v>
      </c>
      <c r="J2697" s="25">
        <f t="shared" si="2"/>
        <v>1576.8</v>
      </c>
      <c r="K2697" s="27">
        <f t="shared" si="3"/>
        <v>1</v>
      </c>
      <c r="L2697" s="25">
        <f t="shared" si="4"/>
        <v>1</v>
      </c>
    </row>
    <row r="2698">
      <c r="A2698" s="19">
        <v>87858.0</v>
      </c>
      <c r="B2698" s="20" t="str">
        <f t="array" ref="B2698">xlookup($A2698,product!$A:$A,product!B:B)</f>
        <v>Boisson</v>
      </c>
      <c r="C2698" s="20" t="str">
        <f t="array" ref="C2698">xlookup($A2698,product!$A:$A,product!C:C)</f>
        <v>Tisane, Infusion</v>
      </c>
      <c r="D2698" s="20" t="str">
        <f t="array" ref="D2698">xlookup($A2698,product!$A:$A,product!D:D)</f>
        <v>Tisane plante simple</v>
      </c>
      <c r="E2698" s="4" t="str">
        <f t="shared" si="1"/>
        <v>87858-Tisane, Infusion-Tisane plante simple</v>
      </c>
      <c r="F2698" s="4">
        <v>0.0</v>
      </c>
      <c r="G2698" s="4">
        <v>67.0</v>
      </c>
      <c r="H2698" s="4">
        <v>22.0</v>
      </c>
      <c r="I2698" s="21">
        <f t="array" ref="I2698">XLOOKUP($A2698,product!A:A,product!E:E)</f>
        <v>2.16</v>
      </c>
      <c r="J2698" s="4">
        <f t="shared" si="2"/>
        <v>47.52</v>
      </c>
      <c r="K2698" s="22">
        <f t="shared" si="3"/>
        <v>1</v>
      </c>
      <c r="L2698" s="4">
        <f t="shared" si="4"/>
        <v>1</v>
      </c>
    </row>
    <row r="2699">
      <c r="A2699" s="23">
        <v>84673.0</v>
      </c>
      <c r="B2699" s="24" t="str">
        <f t="array" ref="B2699">xlookup($A2699,product!$A:$A,product!B:B)</f>
        <v>Boisson</v>
      </c>
      <c r="C2699" s="24" t="str">
        <f t="array" ref="C2699">xlookup($A2699,product!$A:$A,product!C:C)</f>
        <v>Tisane, Infusion</v>
      </c>
      <c r="D2699" s="24" t="str">
        <f t="array" ref="D2699">xlookup($A2699,product!$A:$A,product!D:D)</f>
        <v>Tisane plante simple</v>
      </c>
      <c r="E2699" s="25" t="str">
        <f t="shared" si="1"/>
        <v>84673-Tisane, Infusion-Tisane plante simple</v>
      </c>
      <c r="F2699" s="25">
        <v>0.0</v>
      </c>
      <c r="G2699" s="25">
        <v>110.0</v>
      </c>
      <c r="H2699" s="25">
        <v>56.0</v>
      </c>
      <c r="I2699" s="26">
        <f t="array" ref="I2699">XLOOKUP($A2699,product!A:A,product!E:E)</f>
        <v>1.7</v>
      </c>
      <c r="J2699" s="25">
        <f t="shared" si="2"/>
        <v>95.2</v>
      </c>
      <c r="K2699" s="27">
        <f t="shared" si="3"/>
        <v>1</v>
      </c>
      <c r="L2699" s="25">
        <f t="shared" si="4"/>
        <v>1</v>
      </c>
    </row>
    <row r="2700">
      <c r="A2700" s="19">
        <v>81064.0</v>
      </c>
      <c r="B2700" s="20" t="str">
        <f t="array" ref="B2700">xlookup($A2700,product!$A:$A,product!B:B)</f>
        <v>Boisson</v>
      </c>
      <c r="C2700" s="20" t="str">
        <f t="array" ref="C2700">xlookup($A2700,product!$A:$A,product!C:C)</f>
        <v>Tisane, Infusion</v>
      </c>
      <c r="D2700" s="20" t="str">
        <f t="array" ref="D2700">xlookup($A2700,product!$A:$A,product!D:D)</f>
        <v>Tisane plante simple</v>
      </c>
      <c r="E2700" s="4" t="str">
        <f t="shared" si="1"/>
        <v>81064-Tisane, Infusion-Tisane plante simple</v>
      </c>
      <c r="F2700" s="4">
        <v>1.0</v>
      </c>
      <c r="G2700" s="4">
        <v>435.0</v>
      </c>
      <c r="H2700" s="4">
        <v>390.0</v>
      </c>
      <c r="I2700" s="21">
        <f t="array" ref="I2700">XLOOKUP($A2700,product!A:A,product!E:E)</f>
        <v>3.42</v>
      </c>
      <c r="J2700" s="4">
        <f t="shared" si="2"/>
        <v>1333.8</v>
      </c>
      <c r="K2700" s="22">
        <f t="shared" si="3"/>
        <v>1</v>
      </c>
      <c r="L2700" s="4">
        <f t="shared" si="4"/>
        <v>1</v>
      </c>
    </row>
    <row r="2701">
      <c r="A2701" s="23">
        <v>81139.0</v>
      </c>
      <c r="B2701" s="24" t="str">
        <f t="array" ref="B2701">xlookup($A2701,product!$A:$A,product!B:B)</f>
        <v>Boisson</v>
      </c>
      <c r="C2701" s="24" t="str">
        <f t="array" ref="C2701">xlookup($A2701,product!$A:$A,product!C:C)</f>
        <v>Tisane, Infusion</v>
      </c>
      <c r="D2701" s="24" t="str">
        <f t="array" ref="D2701">xlookup($A2701,product!$A:$A,product!D:D)</f>
        <v>Tisane plante simple</v>
      </c>
      <c r="E2701" s="25" t="str">
        <f t="shared" si="1"/>
        <v>81139-Tisane, Infusion-Tisane plante simple</v>
      </c>
      <c r="F2701" s="25">
        <v>1.0</v>
      </c>
      <c r="G2701" s="25">
        <v>219.0</v>
      </c>
      <c r="H2701" s="25">
        <v>4.0</v>
      </c>
      <c r="I2701" s="26">
        <f t="array" ref="I2701">XLOOKUP($A2701,product!A:A,product!E:E)</f>
        <v>2.73</v>
      </c>
      <c r="J2701" s="25">
        <f t="shared" si="2"/>
        <v>10.92</v>
      </c>
      <c r="K2701" s="27">
        <f t="shared" si="3"/>
        <v>1</v>
      </c>
      <c r="L2701" s="25">
        <f t="shared" si="4"/>
        <v>1</v>
      </c>
    </row>
    <row r="2702">
      <c r="A2702" s="19">
        <v>81141.0</v>
      </c>
      <c r="B2702" s="20" t="str">
        <f t="array" ref="B2702">xlookup($A2702,product!$A:$A,product!B:B)</f>
        <v>Boisson</v>
      </c>
      <c r="C2702" s="20" t="str">
        <f t="array" ref="C2702">xlookup($A2702,product!$A:$A,product!C:C)</f>
        <v>Tisane, Infusion</v>
      </c>
      <c r="D2702" s="20" t="str">
        <f t="array" ref="D2702">xlookup($A2702,product!$A:$A,product!D:D)</f>
        <v>Tisane plante simple</v>
      </c>
      <c r="E2702" s="4" t="str">
        <f t="shared" si="1"/>
        <v>81141-Tisane, Infusion-Tisane plante simple</v>
      </c>
      <c r="F2702" s="4">
        <v>1.0</v>
      </c>
      <c r="G2702" s="4">
        <v>278.0</v>
      </c>
      <c r="H2702" s="4">
        <v>260.0</v>
      </c>
      <c r="I2702" s="21">
        <f t="array" ref="I2702">XLOOKUP($A2702,product!A:A,product!E:E)</f>
        <v>2.41</v>
      </c>
      <c r="J2702" s="4">
        <f t="shared" si="2"/>
        <v>626.6</v>
      </c>
      <c r="K2702" s="22">
        <f t="shared" si="3"/>
        <v>1</v>
      </c>
      <c r="L2702" s="4">
        <f t="shared" si="4"/>
        <v>1</v>
      </c>
    </row>
    <row r="2703">
      <c r="A2703" s="23">
        <v>81054.0</v>
      </c>
      <c r="B2703" s="24" t="str">
        <f t="array" ref="B2703">xlookup($A2703,product!$A:$A,product!B:B)</f>
        <v>Boisson</v>
      </c>
      <c r="C2703" s="24" t="str">
        <f t="array" ref="C2703">xlookup($A2703,product!$A:$A,product!C:C)</f>
        <v>Tisane, Infusion</v>
      </c>
      <c r="D2703" s="24" t="str">
        <f t="array" ref="D2703">xlookup($A2703,product!$A:$A,product!D:D)</f>
        <v>Tisane plante simple</v>
      </c>
      <c r="E2703" s="25" t="str">
        <f t="shared" si="1"/>
        <v>81054-Tisane, Infusion-Tisane plante simple</v>
      </c>
      <c r="F2703" s="25">
        <v>1.0</v>
      </c>
      <c r="G2703" s="25">
        <v>684.0</v>
      </c>
      <c r="H2703" s="25">
        <v>493.0</v>
      </c>
      <c r="I2703" s="26">
        <f t="array" ref="I2703">XLOOKUP($A2703,product!A:A,product!E:E)</f>
        <v>1.91</v>
      </c>
      <c r="J2703" s="25">
        <f t="shared" si="2"/>
        <v>941.63</v>
      </c>
      <c r="K2703" s="27">
        <f t="shared" si="3"/>
        <v>1</v>
      </c>
      <c r="L2703" s="25">
        <f t="shared" si="4"/>
        <v>1</v>
      </c>
    </row>
    <row r="2704">
      <c r="A2704" s="19">
        <v>118352.0</v>
      </c>
      <c r="B2704" s="20" t="str">
        <f t="array" ref="B2704">xlookup($A2704,product!$A:$A,product!B:B)</f>
        <v>Boisson</v>
      </c>
      <c r="C2704" s="20" t="str">
        <f t="array" ref="C2704">xlookup($A2704,product!$A:$A,product!C:C)</f>
        <v>Tisane, Infusion</v>
      </c>
      <c r="D2704" s="20" t="str">
        <f t="array" ref="D2704">xlookup($A2704,product!$A:$A,product!D:D)</f>
        <v>Tisane plante simple</v>
      </c>
      <c r="E2704" s="4" t="str">
        <f t="shared" si="1"/>
        <v>118352-Tisane, Infusion-Tisane plante simple</v>
      </c>
      <c r="F2704" s="4">
        <v>0.0</v>
      </c>
      <c r="G2704" s="4">
        <v>478.0</v>
      </c>
      <c r="H2704" s="4">
        <v>112.0</v>
      </c>
      <c r="I2704" s="21">
        <f t="array" ref="I2704">XLOOKUP($A2704,product!A:A,product!E:E)</f>
        <v>3.88</v>
      </c>
      <c r="J2704" s="4">
        <f t="shared" si="2"/>
        <v>434.56</v>
      </c>
      <c r="K2704" s="22">
        <f t="shared" si="3"/>
        <v>1</v>
      </c>
      <c r="L2704" s="4">
        <f t="shared" si="4"/>
        <v>1</v>
      </c>
    </row>
    <row r="2705">
      <c r="A2705" s="23">
        <v>81091.0</v>
      </c>
      <c r="B2705" s="24" t="str">
        <f t="array" ref="B2705">xlookup($A2705,product!$A:$A,product!B:B)</f>
        <v>Boisson</v>
      </c>
      <c r="C2705" s="24" t="str">
        <f t="array" ref="C2705">xlookup($A2705,product!$A:$A,product!C:C)</f>
        <v>Tisane, Infusion</v>
      </c>
      <c r="D2705" s="24" t="str">
        <f t="array" ref="D2705">xlookup($A2705,product!$A:$A,product!D:D)</f>
        <v>Tisane plante simple</v>
      </c>
      <c r="E2705" s="25" t="str">
        <f t="shared" si="1"/>
        <v>81091-Tisane, Infusion-Tisane plante simple</v>
      </c>
      <c r="F2705" s="25">
        <v>0.0</v>
      </c>
      <c r="G2705" s="25">
        <v>380.0</v>
      </c>
      <c r="H2705" s="25">
        <v>206.0</v>
      </c>
      <c r="I2705" s="26">
        <f t="array" ref="I2705">XLOOKUP($A2705,product!A:A,product!E:E)</f>
        <v>4.29</v>
      </c>
      <c r="J2705" s="25">
        <f t="shared" si="2"/>
        <v>883.74</v>
      </c>
      <c r="K2705" s="27">
        <f t="shared" si="3"/>
        <v>1</v>
      </c>
      <c r="L2705" s="25">
        <f t="shared" si="4"/>
        <v>1</v>
      </c>
    </row>
    <row r="2706">
      <c r="A2706" s="19">
        <v>81025.0</v>
      </c>
      <c r="B2706" s="20" t="str">
        <f t="array" ref="B2706">xlookup($A2706,product!$A:$A,product!B:B)</f>
        <v>Boisson</v>
      </c>
      <c r="C2706" s="20" t="str">
        <f t="array" ref="C2706">xlookup($A2706,product!$A:$A,product!C:C)</f>
        <v>Tisane, Infusion</v>
      </c>
      <c r="D2706" s="20" t="str">
        <f t="array" ref="D2706">xlookup($A2706,product!$A:$A,product!D:D)</f>
        <v>Tisane plante simple</v>
      </c>
      <c r="E2706" s="4" t="str">
        <f t="shared" si="1"/>
        <v>81025-Tisane, Infusion-Tisane plante simple</v>
      </c>
      <c r="F2706" s="4">
        <v>0.0</v>
      </c>
      <c r="G2706" s="4">
        <v>383.0</v>
      </c>
      <c r="H2706" s="4">
        <v>259.0</v>
      </c>
      <c r="I2706" s="21">
        <f t="array" ref="I2706">XLOOKUP($A2706,product!A:A,product!E:E)</f>
        <v>1.63</v>
      </c>
      <c r="J2706" s="4">
        <f t="shared" si="2"/>
        <v>422.17</v>
      </c>
      <c r="K2706" s="22">
        <f t="shared" si="3"/>
        <v>1</v>
      </c>
      <c r="L2706" s="4">
        <f t="shared" si="4"/>
        <v>1</v>
      </c>
    </row>
    <row r="2707">
      <c r="A2707" s="23">
        <v>81129.0</v>
      </c>
      <c r="B2707" s="24" t="str">
        <f t="array" ref="B2707">xlookup($A2707,product!$A:$A,product!B:B)</f>
        <v>Boisson</v>
      </c>
      <c r="C2707" s="24" t="str">
        <f t="array" ref="C2707">xlookup($A2707,product!$A:$A,product!C:C)</f>
        <v>Tisane, Infusion</v>
      </c>
      <c r="D2707" s="24" t="str">
        <f t="array" ref="D2707">xlookup($A2707,product!$A:$A,product!D:D)</f>
        <v>Tisane plante simple</v>
      </c>
      <c r="E2707" s="25" t="str">
        <f t="shared" si="1"/>
        <v>81129-Tisane, Infusion-Tisane plante simple</v>
      </c>
      <c r="F2707" s="25">
        <v>0.0</v>
      </c>
      <c r="G2707" s="25">
        <v>761.0</v>
      </c>
      <c r="H2707" s="25">
        <v>593.0</v>
      </c>
      <c r="I2707" s="26">
        <f t="array" ref="I2707">XLOOKUP($A2707,product!A:A,product!E:E)</f>
        <v>2.32</v>
      </c>
      <c r="J2707" s="25">
        <f t="shared" si="2"/>
        <v>1375.76</v>
      </c>
      <c r="K2707" s="27">
        <f t="shared" si="3"/>
        <v>1</v>
      </c>
      <c r="L2707" s="25">
        <f t="shared" si="4"/>
        <v>1</v>
      </c>
    </row>
    <row r="2708">
      <c r="A2708" s="19">
        <v>81043.0</v>
      </c>
      <c r="B2708" s="20" t="str">
        <f t="array" ref="B2708">xlookup($A2708,product!$A:$A,product!B:B)</f>
        <v>Boisson</v>
      </c>
      <c r="C2708" s="20" t="str">
        <f t="array" ref="C2708">xlookup($A2708,product!$A:$A,product!C:C)</f>
        <v>Tisane, Infusion</v>
      </c>
      <c r="D2708" s="20" t="str">
        <f t="array" ref="D2708">xlookup($A2708,product!$A:$A,product!D:D)</f>
        <v>Tisane plante simple</v>
      </c>
      <c r="E2708" s="4" t="str">
        <f t="shared" si="1"/>
        <v>81043-Tisane, Infusion-Tisane plante simple</v>
      </c>
      <c r="F2708" s="4">
        <v>0.0</v>
      </c>
      <c r="G2708" s="4">
        <v>87.0</v>
      </c>
      <c r="H2708" s="4">
        <v>32.0</v>
      </c>
      <c r="I2708" s="21">
        <f t="array" ref="I2708">XLOOKUP($A2708,product!A:A,product!E:E)</f>
        <v>1.44</v>
      </c>
      <c r="J2708" s="4">
        <f t="shared" si="2"/>
        <v>46.08</v>
      </c>
      <c r="K2708" s="22">
        <f t="shared" si="3"/>
        <v>1</v>
      </c>
      <c r="L2708" s="4">
        <f t="shared" si="4"/>
        <v>1</v>
      </c>
    </row>
    <row r="2709">
      <c r="A2709" s="23">
        <v>81120.0</v>
      </c>
      <c r="B2709" s="24" t="str">
        <f t="array" ref="B2709">xlookup($A2709,product!$A:$A,product!B:B)</f>
        <v>Boisson</v>
      </c>
      <c r="C2709" s="24" t="str">
        <f t="array" ref="C2709">xlookup($A2709,product!$A:$A,product!C:C)</f>
        <v>Tisane, Infusion</v>
      </c>
      <c r="D2709" s="24" t="str">
        <f t="array" ref="D2709">xlookup($A2709,product!$A:$A,product!D:D)</f>
        <v>Tisane plante simple</v>
      </c>
      <c r="E2709" s="25" t="str">
        <f t="shared" si="1"/>
        <v>81120-Tisane, Infusion-Tisane plante simple</v>
      </c>
      <c r="F2709" s="25">
        <v>1.0</v>
      </c>
      <c r="G2709" s="25">
        <v>253.0</v>
      </c>
      <c r="H2709" s="25">
        <v>225.0</v>
      </c>
      <c r="I2709" s="26">
        <f t="array" ref="I2709">XLOOKUP($A2709,product!A:A,product!E:E)</f>
        <v>2.36</v>
      </c>
      <c r="J2709" s="25">
        <f t="shared" si="2"/>
        <v>531</v>
      </c>
      <c r="K2709" s="27">
        <f t="shared" si="3"/>
        <v>1</v>
      </c>
      <c r="L2709" s="25">
        <f t="shared" si="4"/>
        <v>1</v>
      </c>
    </row>
    <row r="2710">
      <c r="A2710" s="19">
        <v>81109.0</v>
      </c>
      <c r="B2710" s="20" t="str">
        <f t="array" ref="B2710">xlookup($A2710,product!$A:$A,product!B:B)</f>
        <v>Boisson</v>
      </c>
      <c r="C2710" s="20" t="str">
        <f t="array" ref="C2710">xlookup($A2710,product!$A:$A,product!C:C)</f>
        <v>Tisane, Infusion</v>
      </c>
      <c r="D2710" s="20" t="str">
        <f t="array" ref="D2710">xlookup($A2710,product!$A:$A,product!D:D)</f>
        <v>Tisane plante simple</v>
      </c>
      <c r="E2710" s="4" t="str">
        <f t="shared" si="1"/>
        <v>81109-Tisane, Infusion-Tisane plante simple</v>
      </c>
      <c r="F2710" s="4">
        <v>1.0</v>
      </c>
      <c r="G2710" s="4">
        <v>759.0</v>
      </c>
      <c r="H2710" s="4">
        <v>422.0</v>
      </c>
      <c r="I2710" s="21">
        <f t="array" ref="I2710">XLOOKUP($A2710,product!A:A,product!E:E)</f>
        <v>1.99</v>
      </c>
      <c r="J2710" s="4">
        <f t="shared" si="2"/>
        <v>839.78</v>
      </c>
      <c r="K2710" s="22">
        <f t="shared" si="3"/>
        <v>1</v>
      </c>
      <c r="L2710" s="4">
        <f t="shared" si="4"/>
        <v>1</v>
      </c>
    </row>
    <row r="2711">
      <c r="A2711" s="23">
        <v>81082.0</v>
      </c>
      <c r="B2711" s="24" t="str">
        <f t="array" ref="B2711">xlookup($A2711,product!$A:$A,product!B:B)</f>
        <v>Boisson</v>
      </c>
      <c r="C2711" s="24" t="str">
        <f t="array" ref="C2711">xlookup($A2711,product!$A:$A,product!C:C)</f>
        <v>Tisane, Infusion</v>
      </c>
      <c r="D2711" s="24" t="str">
        <f t="array" ref="D2711">xlookup($A2711,product!$A:$A,product!D:D)</f>
        <v>Tisane plante simple</v>
      </c>
      <c r="E2711" s="25" t="str">
        <f t="shared" si="1"/>
        <v>81082-Tisane, Infusion-Tisane plante simple</v>
      </c>
      <c r="F2711" s="25">
        <v>1.0</v>
      </c>
      <c r="G2711" s="25">
        <v>16.0</v>
      </c>
      <c r="H2711" s="25">
        <v>2.0</v>
      </c>
      <c r="I2711" s="26">
        <f t="array" ref="I2711">XLOOKUP($A2711,product!A:A,product!E:E)</f>
        <v>1.63</v>
      </c>
      <c r="J2711" s="25">
        <f t="shared" si="2"/>
        <v>3.26</v>
      </c>
      <c r="K2711" s="27">
        <f t="shared" si="3"/>
        <v>1</v>
      </c>
      <c r="L2711" s="25">
        <f t="shared" si="4"/>
        <v>1</v>
      </c>
    </row>
    <row r="2712">
      <c r="A2712" s="19">
        <v>81036.0</v>
      </c>
      <c r="B2712" s="20" t="str">
        <f t="array" ref="B2712">xlookup($A2712,product!$A:$A,product!B:B)</f>
        <v>Boisson</v>
      </c>
      <c r="C2712" s="20" t="str">
        <f t="array" ref="C2712">xlookup($A2712,product!$A:$A,product!C:C)</f>
        <v>Tisane, Infusion</v>
      </c>
      <c r="D2712" s="20" t="str">
        <f t="array" ref="D2712">xlookup($A2712,product!$A:$A,product!D:D)</f>
        <v>Tisane plante simple</v>
      </c>
      <c r="E2712" s="4" t="str">
        <f t="shared" si="1"/>
        <v>81036-Tisane, Infusion-Tisane plante simple</v>
      </c>
      <c r="F2712" s="4">
        <v>1.0</v>
      </c>
      <c r="G2712" s="4">
        <v>399.0</v>
      </c>
      <c r="H2712" s="4">
        <v>374.0</v>
      </c>
      <c r="I2712" s="21">
        <f t="array" ref="I2712">XLOOKUP($A2712,product!A:A,product!E:E)</f>
        <v>2.31</v>
      </c>
      <c r="J2712" s="4">
        <f t="shared" si="2"/>
        <v>863.94</v>
      </c>
      <c r="K2712" s="22">
        <f t="shared" si="3"/>
        <v>1</v>
      </c>
      <c r="L2712" s="4">
        <f t="shared" si="4"/>
        <v>1</v>
      </c>
    </row>
    <row r="2713">
      <c r="A2713" s="23">
        <v>81690.0</v>
      </c>
      <c r="B2713" s="24" t="str">
        <f t="array" ref="B2713">xlookup($A2713,product!$A:$A,product!B:B)</f>
        <v>Boisson</v>
      </c>
      <c r="C2713" s="24" t="str">
        <f t="array" ref="C2713">xlookup($A2713,product!$A:$A,product!C:C)</f>
        <v>Tisane, Infusion</v>
      </c>
      <c r="D2713" s="24" t="str">
        <f t="array" ref="D2713">xlookup($A2713,product!$A:$A,product!D:D)</f>
        <v>Tisane plante simple</v>
      </c>
      <c r="E2713" s="25" t="str">
        <f t="shared" si="1"/>
        <v>81690-Tisane, Infusion-Tisane plante simple</v>
      </c>
      <c r="F2713" s="25">
        <v>1.0</v>
      </c>
      <c r="G2713" s="25">
        <v>419.0</v>
      </c>
      <c r="H2713" s="25">
        <v>96.0</v>
      </c>
      <c r="I2713" s="26">
        <f t="array" ref="I2713">XLOOKUP($A2713,product!A:A,product!E:E)</f>
        <v>1.7</v>
      </c>
      <c r="J2713" s="25">
        <f t="shared" si="2"/>
        <v>163.2</v>
      </c>
      <c r="K2713" s="27">
        <f t="shared" si="3"/>
        <v>1</v>
      </c>
      <c r="L2713" s="25">
        <f t="shared" si="4"/>
        <v>1</v>
      </c>
    </row>
    <row r="2714">
      <c r="A2714" s="19">
        <v>87849.0</v>
      </c>
      <c r="B2714" s="20" t="str">
        <f t="array" ref="B2714">xlookup($A2714,product!$A:$A,product!B:B)</f>
        <v>Boisson</v>
      </c>
      <c r="C2714" s="20" t="str">
        <f t="array" ref="C2714">xlookup($A2714,product!$A:$A,product!C:C)</f>
        <v>Tisane, Infusion</v>
      </c>
      <c r="D2714" s="20" t="str">
        <f t="array" ref="D2714">xlookup($A2714,product!$A:$A,product!D:D)</f>
        <v>Tisane plante simple</v>
      </c>
      <c r="E2714" s="4" t="str">
        <f t="shared" si="1"/>
        <v>87849-Tisane, Infusion-Tisane plante simple</v>
      </c>
      <c r="F2714" s="4">
        <v>1.0</v>
      </c>
      <c r="G2714" s="4">
        <v>804.0</v>
      </c>
      <c r="H2714" s="4">
        <v>722.0</v>
      </c>
      <c r="I2714" s="21">
        <f t="array" ref="I2714">XLOOKUP($A2714,product!A:A,product!E:E)</f>
        <v>2.16</v>
      </c>
      <c r="J2714" s="4">
        <f t="shared" si="2"/>
        <v>1559.52</v>
      </c>
      <c r="K2714" s="22">
        <f t="shared" si="3"/>
        <v>1</v>
      </c>
      <c r="L2714" s="4">
        <f t="shared" si="4"/>
        <v>1</v>
      </c>
    </row>
    <row r="2715">
      <c r="A2715" s="23">
        <v>81094.0</v>
      </c>
      <c r="B2715" s="24" t="str">
        <f t="array" ref="B2715">xlookup($A2715,product!$A:$A,product!B:B)</f>
        <v>Boisson</v>
      </c>
      <c r="C2715" s="24" t="str">
        <f t="array" ref="C2715">xlookup($A2715,product!$A:$A,product!C:C)</f>
        <v>Tisane, Infusion</v>
      </c>
      <c r="D2715" s="24" t="str">
        <f t="array" ref="D2715">xlookup($A2715,product!$A:$A,product!D:D)</f>
        <v>Tisane plante simple</v>
      </c>
      <c r="E2715" s="25" t="str">
        <f t="shared" si="1"/>
        <v>81094-Tisane, Infusion-Tisane plante simple</v>
      </c>
      <c r="F2715" s="25">
        <v>0.0</v>
      </c>
      <c r="G2715" s="25">
        <v>85.0</v>
      </c>
      <c r="H2715" s="25">
        <v>76.0</v>
      </c>
      <c r="I2715" s="26">
        <f t="array" ref="I2715">XLOOKUP($A2715,product!A:A,product!E:E)</f>
        <v>2.49</v>
      </c>
      <c r="J2715" s="25">
        <f t="shared" si="2"/>
        <v>189.24</v>
      </c>
      <c r="K2715" s="27">
        <f t="shared" si="3"/>
        <v>1</v>
      </c>
      <c r="L2715" s="25">
        <f t="shared" si="4"/>
        <v>1</v>
      </c>
    </row>
    <row r="2716">
      <c r="A2716" s="19">
        <v>202726.0</v>
      </c>
      <c r="B2716" s="20" t="str">
        <f t="array" ref="B2716">xlookup($A2716,product!$A:$A,product!B:B)</f>
        <v>Boisson</v>
      </c>
      <c r="C2716" s="20" t="str">
        <f t="array" ref="C2716">xlookup($A2716,product!$A:$A,product!C:C)</f>
        <v>Tisane, Infusion</v>
      </c>
      <c r="D2716" s="20" t="str">
        <f t="array" ref="D2716">xlookup($A2716,product!$A:$A,product!D:D)</f>
        <v>Tisane de plantes composées</v>
      </c>
      <c r="E2716" s="4" t="str">
        <f t="shared" si="1"/>
        <v>202726-Tisane, Infusion-Tisane de plantes composées</v>
      </c>
      <c r="F2716" s="4">
        <v>0.0</v>
      </c>
      <c r="G2716" s="4">
        <v>372.0</v>
      </c>
      <c r="H2716" s="4">
        <v>4.0</v>
      </c>
      <c r="I2716" s="21">
        <f t="array" ref="I2716">XLOOKUP($A2716,product!A:A,product!E:E)</f>
        <v>7.11</v>
      </c>
      <c r="J2716" s="4">
        <f t="shared" si="2"/>
        <v>28.44</v>
      </c>
      <c r="K2716" s="22">
        <f t="shared" si="3"/>
        <v>1</v>
      </c>
      <c r="L2716" s="4">
        <f t="shared" si="4"/>
        <v>1</v>
      </c>
    </row>
    <row r="2717">
      <c r="A2717" s="23">
        <v>101516.0</v>
      </c>
      <c r="B2717" s="24" t="str">
        <f t="array" ref="B2717">xlookup($A2717,product!$A:$A,product!B:B)</f>
        <v>Boisson</v>
      </c>
      <c r="C2717" s="24" t="str">
        <f t="array" ref="C2717">xlookup($A2717,product!$A:$A,product!C:C)</f>
        <v>Tisane, Infusion</v>
      </c>
      <c r="D2717" s="24" t="str">
        <f t="array" ref="D2717">xlookup($A2717,product!$A:$A,product!D:D)</f>
        <v>Tisane de plantes composées</v>
      </c>
      <c r="E2717" s="25" t="str">
        <f t="shared" si="1"/>
        <v>101516-Tisane, Infusion-Tisane de plantes composées</v>
      </c>
      <c r="F2717" s="25">
        <v>1.0</v>
      </c>
      <c r="G2717" s="25">
        <v>606.0</v>
      </c>
      <c r="H2717" s="25">
        <v>302.0</v>
      </c>
      <c r="I2717" s="26">
        <f t="array" ref="I2717">XLOOKUP($A2717,product!A:A,product!E:E)</f>
        <v>1.94</v>
      </c>
      <c r="J2717" s="25">
        <f t="shared" si="2"/>
        <v>585.88</v>
      </c>
      <c r="K2717" s="27">
        <f t="shared" si="3"/>
        <v>1</v>
      </c>
      <c r="L2717" s="25">
        <f t="shared" si="4"/>
        <v>1</v>
      </c>
    </row>
    <row r="2718">
      <c r="A2718" s="19">
        <v>84332.0</v>
      </c>
      <c r="B2718" s="20" t="str">
        <f t="array" ref="B2718">xlookup($A2718,product!$A:$A,product!B:B)</f>
        <v>Boisson</v>
      </c>
      <c r="C2718" s="20" t="str">
        <f t="array" ref="C2718">xlookup($A2718,product!$A:$A,product!C:C)</f>
        <v>Tisane, Infusion</v>
      </c>
      <c r="D2718" s="20" t="str">
        <f t="array" ref="D2718">xlookup($A2718,product!$A:$A,product!D:D)</f>
        <v>Tisane de plantes composées</v>
      </c>
      <c r="E2718" s="4" t="str">
        <f t="shared" si="1"/>
        <v>84332-Tisane, Infusion-Tisane de plantes composées</v>
      </c>
      <c r="F2718" s="4">
        <v>0.0</v>
      </c>
      <c r="G2718" s="4">
        <v>323.0</v>
      </c>
      <c r="H2718" s="4">
        <v>37.0</v>
      </c>
      <c r="I2718" s="21">
        <f t="array" ref="I2718">XLOOKUP($A2718,product!A:A,product!E:E)</f>
        <v>2.22</v>
      </c>
      <c r="J2718" s="4">
        <f t="shared" si="2"/>
        <v>82.14</v>
      </c>
      <c r="K2718" s="22">
        <f t="shared" si="3"/>
        <v>1</v>
      </c>
      <c r="L2718" s="4">
        <f t="shared" si="4"/>
        <v>1</v>
      </c>
    </row>
    <row r="2719">
      <c r="A2719" s="23">
        <v>16959.0</v>
      </c>
      <c r="B2719" s="24" t="str">
        <f t="array" ref="B2719">xlookup($A2719,product!$A:$A,product!B:B)</f>
        <v>Boisson</v>
      </c>
      <c r="C2719" s="24" t="str">
        <f t="array" ref="C2719">xlookup($A2719,product!$A:$A,product!C:C)</f>
        <v>Tisane, Infusion</v>
      </c>
      <c r="D2719" s="24" t="str">
        <f t="array" ref="D2719">xlookup($A2719,product!$A:$A,product!D:D)</f>
        <v>Tisane de plantes composées</v>
      </c>
      <c r="E2719" s="25" t="str">
        <f t="shared" si="1"/>
        <v>16959-Tisane, Infusion-Tisane de plantes composées</v>
      </c>
      <c r="F2719" s="25">
        <v>1.0</v>
      </c>
      <c r="G2719" s="25">
        <v>418.0</v>
      </c>
      <c r="H2719" s="25">
        <v>18.0</v>
      </c>
      <c r="I2719" s="26">
        <f t="array" ref="I2719">XLOOKUP($A2719,product!A:A,product!E:E)</f>
        <v>4.35</v>
      </c>
      <c r="J2719" s="25">
        <f t="shared" si="2"/>
        <v>78.3</v>
      </c>
      <c r="K2719" s="27">
        <f t="shared" si="3"/>
        <v>1</v>
      </c>
      <c r="L2719" s="25">
        <f t="shared" si="4"/>
        <v>1</v>
      </c>
    </row>
    <row r="2720">
      <c r="A2720" s="19">
        <v>87762.0</v>
      </c>
      <c r="B2720" s="20" t="str">
        <f t="array" ref="B2720">xlookup($A2720,product!$A:$A,product!B:B)</f>
        <v>Boisson</v>
      </c>
      <c r="C2720" s="20" t="str">
        <f t="array" ref="C2720">xlookup($A2720,product!$A:$A,product!C:C)</f>
        <v>Tisane, Infusion</v>
      </c>
      <c r="D2720" s="20" t="str">
        <f t="array" ref="D2720">xlookup($A2720,product!$A:$A,product!D:D)</f>
        <v>Tisane de plantes composées</v>
      </c>
      <c r="E2720" s="4" t="str">
        <f t="shared" si="1"/>
        <v>87762-Tisane, Infusion-Tisane de plantes composées</v>
      </c>
      <c r="F2720" s="4">
        <v>1.0</v>
      </c>
      <c r="G2720" s="4">
        <v>766.0</v>
      </c>
      <c r="H2720" s="4">
        <v>157.0</v>
      </c>
      <c r="I2720" s="21">
        <f t="array" ref="I2720">XLOOKUP($A2720,product!A:A,product!E:E)</f>
        <v>2.14</v>
      </c>
      <c r="J2720" s="4">
        <f t="shared" si="2"/>
        <v>335.98</v>
      </c>
      <c r="K2720" s="22">
        <f t="shared" si="3"/>
        <v>1</v>
      </c>
      <c r="L2720" s="4">
        <f t="shared" si="4"/>
        <v>1</v>
      </c>
    </row>
    <row r="2721">
      <c r="A2721" s="23">
        <v>16952.0</v>
      </c>
      <c r="B2721" s="24" t="str">
        <f t="array" ref="B2721">xlookup($A2721,product!$A:$A,product!B:B)</f>
        <v>Boisson</v>
      </c>
      <c r="C2721" s="24" t="str">
        <f t="array" ref="C2721">xlookup($A2721,product!$A:$A,product!C:C)</f>
        <v>Tisane, Infusion</v>
      </c>
      <c r="D2721" s="24" t="str">
        <f t="array" ref="D2721">xlookup($A2721,product!$A:$A,product!D:D)</f>
        <v>Tisane de plantes composées</v>
      </c>
      <c r="E2721" s="25" t="str">
        <f t="shared" si="1"/>
        <v>16952-Tisane, Infusion-Tisane de plantes composées</v>
      </c>
      <c r="F2721" s="25">
        <v>1.0</v>
      </c>
      <c r="G2721" s="25">
        <v>116.0</v>
      </c>
      <c r="H2721" s="25">
        <v>3.0</v>
      </c>
      <c r="I2721" s="26">
        <f t="array" ref="I2721">XLOOKUP($A2721,product!A:A,product!E:E)</f>
        <v>3.63</v>
      </c>
      <c r="J2721" s="25">
        <f t="shared" si="2"/>
        <v>10.89</v>
      </c>
      <c r="K2721" s="27">
        <f t="shared" si="3"/>
        <v>1</v>
      </c>
      <c r="L2721" s="25">
        <f t="shared" si="4"/>
        <v>1</v>
      </c>
    </row>
    <row r="2722">
      <c r="A2722" s="19">
        <v>16958.0</v>
      </c>
      <c r="B2722" s="20" t="str">
        <f t="array" ref="B2722">xlookup($A2722,product!$A:$A,product!B:B)</f>
        <v>Boisson</v>
      </c>
      <c r="C2722" s="20" t="str">
        <f t="array" ref="C2722">xlookup($A2722,product!$A:$A,product!C:C)</f>
        <v>Tisane, Infusion</v>
      </c>
      <c r="D2722" s="20" t="str">
        <f t="array" ref="D2722">xlookup($A2722,product!$A:$A,product!D:D)</f>
        <v>Tisane de plantes composées</v>
      </c>
      <c r="E2722" s="4" t="str">
        <f t="shared" si="1"/>
        <v>16958-Tisane, Infusion-Tisane de plantes composées</v>
      </c>
      <c r="F2722" s="4">
        <v>1.0</v>
      </c>
      <c r="G2722" s="4">
        <v>219.0</v>
      </c>
      <c r="H2722" s="4">
        <v>144.0</v>
      </c>
      <c r="I2722" s="21">
        <f t="array" ref="I2722">XLOOKUP($A2722,product!A:A,product!E:E)</f>
        <v>3.63</v>
      </c>
      <c r="J2722" s="4">
        <f t="shared" si="2"/>
        <v>522.72</v>
      </c>
      <c r="K2722" s="22">
        <f t="shared" si="3"/>
        <v>1</v>
      </c>
      <c r="L2722" s="4">
        <f t="shared" si="4"/>
        <v>1</v>
      </c>
    </row>
    <row r="2723">
      <c r="A2723" s="23">
        <v>16950.0</v>
      </c>
      <c r="B2723" s="24" t="str">
        <f t="array" ref="B2723">xlookup($A2723,product!$A:$A,product!B:B)</f>
        <v>Boisson</v>
      </c>
      <c r="C2723" s="24" t="str">
        <f t="array" ref="C2723">xlookup($A2723,product!$A:$A,product!C:C)</f>
        <v>Tisane, Infusion</v>
      </c>
      <c r="D2723" s="24" t="str">
        <f t="array" ref="D2723">xlookup($A2723,product!$A:$A,product!D:D)</f>
        <v>Tisane de plantes composées</v>
      </c>
      <c r="E2723" s="25" t="str">
        <f t="shared" si="1"/>
        <v>16950-Tisane, Infusion-Tisane de plantes composées</v>
      </c>
      <c r="F2723" s="25">
        <v>0.0</v>
      </c>
      <c r="G2723" s="25">
        <v>151.0</v>
      </c>
      <c r="H2723" s="25">
        <v>138.0</v>
      </c>
      <c r="I2723" s="26">
        <f t="array" ref="I2723">XLOOKUP($A2723,product!A:A,product!E:E)</f>
        <v>3.63</v>
      </c>
      <c r="J2723" s="25">
        <f t="shared" si="2"/>
        <v>500.94</v>
      </c>
      <c r="K2723" s="27">
        <f t="shared" si="3"/>
        <v>1</v>
      </c>
      <c r="L2723" s="25">
        <f t="shared" si="4"/>
        <v>1</v>
      </c>
    </row>
    <row r="2724">
      <c r="A2724" s="19">
        <v>102266.0</v>
      </c>
      <c r="B2724" s="20" t="str">
        <f t="array" ref="B2724">xlookup($A2724,product!$A:$A,product!B:B)</f>
        <v>Boisson</v>
      </c>
      <c r="C2724" s="20" t="str">
        <f t="array" ref="C2724">xlookup($A2724,product!$A:$A,product!C:C)</f>
        <v>Tisane, Infusion</v>
      </c>
      <c r="D2724" s="20" t="str">
        <f t="array" ref="D2724">xlookup($A2724,product!$A:$A,product!D:D)</f>
        <v>Tisane de plantes composées</v>
      </c>
      <c r="E2724" s="4" t="str">
        <f t="shared" si="1"/>
        <v>102266-Tisane, Infusion-Tisane de plantes composées</v>
      </c>
      <c r="F2724" s="4">
        <v>1.0</v>
      </c>
      <c r="G2724" s="4">
        <v>523.0</v>
      </c>
      <c r="H2724" s="4">
        <v>434.0</v>
      </c>
      <c r="I2724" s="21">
        <f t="array" ref="I2724">XLOOKUP($A2724,product!A:A,product!E:E)</f>
        <v>2.24</v>
      </c>
      <c r="J2724" s="4">
        <f t="shared" si="2"/>
        <v>972.16</v>
      </c>
      <c r="K2724" s="22">
        <f t="shared" si="3"/>
        <v>1</v>
      </c>
      <c r="L2724" s="4">
        <f t="shared" si="4"/>
        <v>1</v>
      </c>
    </row>
    <row r="2725">
      <c r="A2725" s="23">
        <v>202746.0</v>
      </c>
      <c r="B2725" s="24" t="str">
        <f t="array" ref="B2725">xlookup($A2725,product!$A:$A,product!B:B)</f>
        <v>Boisson</v>
      </c>
      <c r="C2725" s="24" t="str">
        <f t="array" ref="C2725">xlookup($A2725,product!$A:$A,product!C:C)</f>
        <v>Tisane, Infusion</v>
      </c>
      <c r="D2725" s="24" t="str">
        <f t="array" ref="D2725">xlookup($A2725,product!$A:$A,product!D:D)</f>
        <v>Tisane de plantes composées</v>
      </c>
      <c r="E2725" s="25" t="str">
        <f t="shared" si="1"/>
        <v>202746-Tisane, Infusion-Tisane de plantes composées</v>
      </c>
      <c r="F2725" s="25">
        <v>0.0</v>
      </c>
      <c r="G2725" s="25">
        <v>514.0</v>
      </c>
      <c r="H2725" s="25">
        <v>499.0</v>
      </c>
      <c r="I2725" s="26">
        <f t="array" ref="I2725">XLOOKUP($A2725,product!A:A,product!E:E)</f>
        <v>7.11</v>
      </c>
      <c r="J2725" s="25">
        <f t="shared" si="2"/>
        <v>3547.89</v>
      </c>
      <c r="K2725" s="27">
        <f t="shared" si="3"/>
        <v>1</v>
      </c>
      <c r="L2725" s="25">
        <f t="shared" si="4"/>
        <v>1</v>
      </c>
    </row>
    <row r="2726">
      <c r="A2726" s="19">
        <v>101519.0</v>
      </c>
      <c r="B2726" s="20" t="str">
        <f t="array" ref="B2726">xlookup($A2726,product!$A:$A,product!B:B)</f>
        <v>Boisson</v>
      </c>
      <c r="C2726" s="20" t="str">
        <f t="array" ref="C2726">xlookup($A2726,product!$A:$A,product!C:C)</f>
        <v>Tisane, Infusion</v>
      </c>
      <c r="D2726" s="20" t="str">
        <f t="array" ref="D2726">xlookup($A2726,product!$A:$A,product!D:D)</f>
        <v>Tisane de plantes composées</v>
      </c>
      <c r="E2726" s="4" t="str">
        <f t="shared" si="1"/>
        <v>101519-Tisane, Infusion-Tisane de plantes composées</v>
      </c>
      <c r="F2726" s="4">
        <v>1.0</v>
      </c>
      <c r="G2726" s="4">
        <v>610.0</v>
      </c>
      <c r="H2726" s="4">
        <v>512.0</v>
      </c>
      <c r="I2726" s="21">
        <f t="array" ref="I2726">XLOOKUP($A2726,product!A:A,product!E:E)</f>
        <v>1.94</v>
      </c>
      <c r="J2726" s="4">
        <f t="shared" si="2"/>
        <v>993.28</v>
      </c>
      <c r="K2726" s="22">
        <f t="shared" si="3"/>
        <v>1</v>
      </c>
      <c r="L2726" s="4">
        <f t="shared" si="4"/>
        <v>1</v>
      </c>
    </row>
    <row r="2727">
      <c r="A2727" s="23">
        <v>81688.0</v>
      </c>
      <c r="B2727" s="24" t="str">
        <f t="array" ref="B2727">xlookup($A2727,product!$A:$A,product!B:B)</f>
        <v>Boisson</v>
      </c>
      <c r="C2727" s="24" t="str">
        <f t="array" ref="C2727">xlookup($A2727,product!$A:$A,product!C:C)</f>
        <v>Tisane, Infusion</v>
      </c>
      <c r="D2727" s="24" t="str">
        <f t="array" ref="D2727">xlookup($A2727,product!$A:$A,product!D:D)</f>
        <v>Tisane de plantes composées</v>
      </c>
      <c r="E2727" s="25" t="str">
        <f t="shared" si="1"/>
        <v>81688-Tisane, Infusion-Tisane de plantes composées</v>
      </c>
      <c r="F2727" s="25">
        <v>1.0</v>
      </c>
      <c r="G2727" s="25">
        <v>543.0</v>
      </c>
      <c r="H2727" s="25">
        <v>309.0</v>
      </c>
      <c r="I2727" s="26">
        <f t="array" ref="I2727">XLOOKUP($A2727,product!A:A,product!E:E)</f>
        <v>1.73</v>
      </c>
      <c r="J2727" s="25">
        <f t="shared" si="2"/>
        <v>534.57</v>
      </c>
      <c r="K2727" s="27">
        <f t="shared" si="3"/>
        <v>1</v>
      </c>
      <c r="L2727" s="25">
        <f t="shared" si="4"/>
        <v>1</v>
      </c>
    </row>
    <row r="2728">
      <c r="A2728" s="19">
        <v>120365.0</v>
      </c>
      <c r="B2728" s="20" t="str">
        <f t="array" ref="B2728">xlookup($A2728,product!$A:$A,product!B:B)</f>
        <v>Boisson</v>
      </c>
      <c r="C2728" s="20" t="str">
        <f t="array" ref="C2728">xlookup($A2728,product!$A:$A,product!C:C)</f>
        <v>Tisane, Infusion</v>
      </c>
      <c r="D2728" s="20" t="str">
        <f t="array" ref="D2728">xlookup($A2728,product!$A:$A,product!D:D)</f>
        <v>Tisane de plantes composées</v>
      </c>
      <c r="E2728" s="4" t="str">
        <f t="shared" si="1"/>
        <v>120365-Tisane, Infusion-Tisane de plantes composées</v>
      </c>
      <c r="F2728" s="4">
        <v>1.0</v>
      </c>
      <c r="G2728" s="4">
        <v>287.0</v>
      </c>
      <c r="H2728" s="4">
        <v>145.0</v>
      </c>
      <c r="I2728" s="21">
        <f t="array" ref="I2728">XLOOKUP($A2728,product!A:A,product!E:E)</f>
        <v>2.35</v>
      </c>
      <c r="J2728" s="4">
        <f t="shared" si="2"/>
        <v>340.75</v>
      </c>
      <c r="K2728" s="22">
        <f t="shared" si="3"/>
        <v>1</v>
      </c>
      <c r="L2728" s="4">
        <f t="shared" si="4"/>
        <v>1</v>
      </c>
    </row>
    <row r="2729">
      <c r="A2729" s="23">
        <v>3438.0</v>
      </c>
      <c r="B2729" s="24" t="str">
        <f t="array" ref="B2729">xlookup($A2729,product!$A:$A,product!B:B)</f>
        <v>Boisson</v>
      </c>
      <c r="C2729" s="24" t="str">
        <f t="array" ref="C2729">xlookup($A2729,product!$A:$A,product!C:C)</f>
        <v>Tisane, Infusion</v>
      </c>
      <c r="D2729" s="24" t="str">
        <f t="array" ref="D2729">xlookup($A2729,product!$A:$A,product!D:D)</f>
        <v>Tisane de plantes composées</v>
      </c>
      <c r="E2729" s="25" t="str">
        <f t="shared" si="1"/>
        <v>3438-Tisane, Infusion-Tisane de plantes composées</v>
      </c>
      <c r="F2729" s="25">
        <v>1.0</v>
      </c>
      <c r="G2729" s="25">
        <v>743.0</v>
      </c>
      <c r="H2729" s="25">
        <v>686.0</v>
      </c>
      <c r="I2729" s="26">
        <f t="array" ref="I2729">XLOOKUP($A2729,product!A:A,product!E:E)</f>
        <v>3.63</v>
      </c>
      <c r="J2729" s="25">
        <f t="shared" si="2"/>
        <v>2490.18</v>
      </c>
      <c r="K2729" s="27">
        <f t="shared" si="3"/>
        <v>1</v>
      </c>
      <c r="L2729" s="25">
        <f t="shared" si="4"/>
        <v>1</v>
      </c>
    </row>
    <row r="2730">
      <c r="A2730" s="19">
        <v>102262.0</v>
      </c>
      <c r="B2730" s="20" t="str">
        <f t="array" ref="B2730">xlookup($A2730,product!$A:$A,product!B:B)</f>
        <v>Boisson</v>
      </c>
      <c r="C2730" s="20" t="str">
        <f t="array" ref="C2730">xlookup($A2730,product!$A:$A,product!C:C)</f>
        <v>Tisane, Infusion</v>
      </c>
      <c r="D2730" s="20" t="str">
        <f t="array" ref="D2730">xlookup($A2730,product!$A:$A,product!D:D)</f>
        <v>Tisane de plantes composées</v>
      </c>
      <c r="E2730" s="4" t="str">
        <f t="shared" si="1"/>
        <v>102262-Tisane, Infusion-Tisane de plantes composées</v>
      </c>
      <c r="F2730" s="4">
        <v>1.0</v>
      </c>
      <c r="G2730" s="4">
        <v>269.0</v>
      </c>
      <c r="H2730" s="4">
        <v>108.0</v>
      </c>
      <c r="I2730" s="21">
        <f t="array" ref="I2730">XLOOKUP($A2730,product!A:A,product!E:E)</f>
        <v>2.16</v>
      </c>
      <c r="J2730" s="4">
        <f t="shared" si="2"/>
        <v>233.28</v>
      </c>
      <c r="K2730" s="22">
        <f t="shared" si="3"/>
        <v>1</v>
      </c>
      <c r="L2730" s="4">
        <f t="shared" si="4"/>
        <v>1</v>
      </c>
    </row>
    <row r="2731">
      <c r="A2731" s="23">
        <v>87764.0</v>
      </c>
      <c r="B2731" s="24" t="str">
        <f t="array" ref="B2731">xlookup($A2731,product!$A:$A,product!B:B)</f>
        <v>Boisson</v>
      </c>
      <c r="C2731" s="24" t="str">
        <f t="array" ref="C2731">xlookup($A2731,product!$A:$A,product!C:C)</f>
        <v>Tisane, Infusion</v>
      </c>
      <c r="D2731" s="24" t="str">
        <f t="array" ref="D2731">xlookup($A2731,product!$A:$A,product!D:D)</f>
        <v>Tisane de plantes composées</v>
      </c>
      <c r="E2731" s="25" t="str">
        <f t="shared" si="1"/>
        <v>87764-Tisane, Infusion-Tisane de plantes composées</v>
      </c>
      <c r="F2731" s="25">
        <v>0.0</v>
      </c>
      <c r="G2731" s="25">
        <v>620.0</v>
      </c>
      <c r="H2731" s="25">
        <v>281.0</v>
      </c>
      <c r="I2731" s="26">
        <f t="array" ref="I2731">XLOOKUP($A2731,product!A:A,product!E:E)</f>
        <v>2.14</v>
      </c>
      <c r="J2731" s="25">
        <f t="shared" si="2"/>
        <v>601.34</v>
      </c>
      <c r="K2731" s="27">
        <f t="shared" si="3"/>
        <v>1</v>
      </c>
      <c r="L2731" s="25">
        <f t="shared" si="4"/>
        <v>1</v>
      </c>
    </row>
    <row r="2732">
      <c r="A2732" s="19">
        <v>3437.0</v>
      </c>
      <c r="B2732" s="20" t="str">
        <f t="array" ref="B2732">xlookup($A2732,product!$A:$A,product!B:B)</f>
        <v>Boisson</v>
      </c>
      <c r="C2732" s="20" t="str">
        <f t="array" ref="C2732">xlookup($A2732,product!$A:$A,product!C:C)</f>
        <v>Tisane, Infusion</v>
      </c>
      <c r="D2732" s="20" t="str">
        <f t="array" ref="D2732">xlookup($A2732,product!$A:$A,product!D:D)</f>
        <v>Tisane de plantes composées</v>
      </c>
      <c r="E2732" s="4" t="str">
        <f t="shared" si="1"/>
        <v>3437-Tisane, Infusion-Tisane de plantes composées</v>
      </c>
      <c r="F2732" s="4">
        <v>0.0</v>
      </c>
      <c r="G2732" s="4">
        <v>855.0</v>
      </c>
      <c r="H2732" s="4">
        <v>665.0</v>
      </c>
      <c r="I2732" s="21">
        <f t="array" ref="I2732">XLOOKUP($A2732,product!A:A,product!E:E)</f>
        <v>3.63</v>
      </c>
      <c r="J2732" s="4">
        <f t="shared" si="2"/>
        <v>2413.95</v>
      </c>
      <c r="K2732" s="22">
        <f t="shared" si="3"/>
        <v>1</v>
      </c>
      <c r="L2732" s="4">
        <f t="shared" si="4"/>
        <v>1</v>
      </c>
    </row>
    <row r="2733">
      <c r="A2733" s="23">
        <v>111017.0</v>
      </c>
      <c r="B2733" s="24" t="str">
        <f t="array" ref="B2733">xlookup($A2733,product!$A:$A,product!B:B)</f>
        <v>Boisson</v>
      </c>
      <c r="C2733" s="24" t="str">
        <f t="array" ref="C2733">xlookup($A2733,product!$A:$A,product!C:C)</f>
        <v>Tisane, Infusion</v>
      </c>
      <c r="D2733" s="24" t="str">
        <f t="array" ref="D2733">xlookup($A2733,product!$A:$A,product!D:D)</f>
        <v>Tisane de plantes composées</v>
      </c>
      <c r="E2733" s="25" t="str">
        <f t="shared" si="1"/>
        <v>111017-Tisane, Infusion-Tisane de plantes composées</v>
      </c>
      <c r="F2733" s="25">
        <v>1.0</v>
      </c>
      <c r="G2733" s="25">
        <v>149.0</v>
      </c>
      <c r="H2733" s="25">
        <v>118.0</v>
      </c>
      <c r="I2733" s="26">
        <f t="array" ref="I2733">XLOOKUP($A2733,product!A:A,product!E:E)</f>
        <v>3.64</v>
      </c>
      <c r="J2733" s="25">
        <f t="shared" si="2"/>
        <v>429.52</v>
      </c>
      <c r="K2733" s="27">
        <f t="shared" si="3"/>
        <v>1</v>
      </c>
      <c r="L2733" s="25">
        <f t="shared" si="4"/>
        <v>1</v>
      </c>
    </row>
    <row r="2734">
      <c r="A2734" s="19">
        <v>102264.0</v>
      </c>
      <c r="B2734" s="20" t="str">
        <f t="array" ref="B2734">xlookup($A2734,product!$A:$A,product!B:B)</f>
        <v>Boisson</v>
      </c>
      <c r="C2734" s="20" t="str">
        <f t="array" ref="C2734">xlookup($A2734,product!$A:$A,product!C:C)</f>
        <v>Tisane, Infusion</v>
      </c>
      <c r="D2734" s="20" t="str">
        <f t="array" ref="D2734">xlookup($A2734,product!$A:$A,product!D:D)</f>
        <v>Tisane de plantes composées</v>
      </c>
      <c r="E2734" s="4" t="str">
        <f t="shared" si="1"/>
        <v>102264-Tisane, Infusion-Tisane de plantes composées</v>
      </c>
      <c r="F2734" s="4">
        <v>1.0</v>
      </c>
      <c r="G2734" s="4">
        <v>798.0</v>
      </c>
      <c r="H2734" s="4">
        <v>162.0</v>
      </c>
      <c r="I2734" s="21">
        <f t="array" ref="I2734">XLOOKUP($A2734,product!A:A,product!E:E)</f>
        <v>2.24</v>
      </c>
      <c r="J2734" s="4">
        <f t="shared" si="2"/>
        <v>362.88</v>
      </c>
      <c r="K2734" s="22">
        <f t="shared" si="3"/>
        <v>1</v>
      </c>
      <c r="L2734" s="4">
        <f t="shared" si="4"/>
        <v>1</v>
      </c>
    </row>
    <row r="2735">
      <c r="A2735" s="23">
        <v>18088.0</v>
      </c>
      <c r="B2735" s="24" t="str">
        <f t="array" ref="B2735">xlookup($A2735,product!$A:$A,product!B:B)</f>
        <v>Boisson</v>
      </c>
      <c r="C2735" s="24" t="str">
        <f t="array" ref="C2735">xlookup($A2735,product!$A:$A,product!C:C)</f>
        <v>Tisane, Infusion</v>
      </c>
      <c r="D2735" s="24" t="str">
        <f t="array" ref="D2735">xlookup($A2735,product!$A:$A,product!D:D)</f>
        <v>Tisane de plantes composées</v>
      </c>
      <c r="E2735" s="25" t="str">
        <f t="shared" si="1"/>
        <v>18088-Tisane, Infusion-Tisane de plantes composées</v>
      </c>
      <c r="F2735" s="25">
        <v>1.0</v>
      </c>
      <c r="G2735" s="25">
        <v>257.0</v>
      </c>
      <c r="H2735" s="25">
        <v>1.0</v>
      </c>
      <c r="I2735" s="26">
        <f t="array" ref="I2735">XLOOKUP($A2735,product!A:A,product!E:E)</f>
        <v>2.8</v>
      </c>
      <c r="J2735" s="25">
        <f t="shared" si="2"/>
        <v>2.8</v>
      </c>
      <c r="K2735" s="27">
        <f t="shared" si="3"/>
        <v>1</v>
      </c>
      <c r="L2735" s="25">
        <f t="shared" si="4"/>
        <v>1</v>
      </c>
    </row>
    <row r="2736">
      <c r="A2736" s="19">
        <v>87836.0</v>
      </c>
      <c r="B2736" s="20" t="str">
        <f t="array" ref="B2736">xlookup($A2736,product!$A:$A,product!B:B)</f>
        <v>Boisson</v>
      </c>
      <c r="C2736" s="20" t="str">
        <f t="array" ref="C2736">xlookup($A2736,product!$A:$A,product!C:C)</f>
        <v>Tisane, Infusion</v>
      </c>
      <c r="D2736" s="20" t="str">
        <f t="array" ref="D2736">xlookup($A2736,product!$A:$A,product!D:D)</f>
        <v>Tisane de plantes composées</v>
      </c>
      <c r="E2736" s="4" t="str">
        <f t="shared" si="1"/>
        <v>87836-Tisane, Infusion-Tisane de plantes composées</v>
      </c>
      <c r="F2736" s="4">
        <v>1.0</v>
      </c>
      <c r="G2736" s="4">
        <v>818.0</v>
      </c>
      <c r="H2736" s="4">
        <v>799.0</v>
      </c>
      <c r="I2736" s="21">
        <f t="array" ref="I2736">XLOOKUP($A2736,product!A:A,product!E:E)</f>
        <v>2.16</v>
      </c>
      <c r="J2736" s="4">
        <f t="shared" si="2"/>
        <v>1725.84</v>
      </c>
      <c r="K2736" s="22">
        <f t="shared" si="3"/>
        <v>1</v>
      </c>
      <c r="L2736" s="4">
        <f t="shared" si="4"/>
        <v>1</v>
      </c>
    </row>
    <row r="2737">
      <c r="A2737" s="23">
        <v>87804.0</v>
      </c>
      <c r="B2737" s="24" t="str">
        <f t="array" ref="B2737">xlookup($A2737,product!$A:$A,product!B:B)</f>
        <v>Boisson</v>
      </c>
      <c r="C2737" s="24" t="str">
        <f t="array" ref="C2737">xlookup($A2737,product!$A:$A,product!C:C)</f>
        <v>Tisane, Infusion</v>
      </c>
      <c r="D2737" s="24" t="str">
        <f t="array" ref="D2737">xlookup($A2737,product!$A:$A,product!D:D)</f>
        <v>Tisane de plantes composées</v>
      </c>
      <c r="E2737" s="25" t="str">
        <f t="shared" si="1"/>
        <v>87804-Tisane, Infusion-Tisane de plantes composées</v>
      </c>
      <c r="F2737" s="25">
        <v>0.0</v>
      </c>
      <c r="G2737" s="25">
        <v>724.0</v>
      </c>
      <c r="H2737" s="25">
        <v>158.0</v>
      </c>
      <c r="I2737" s="26">
        <f t="array" ref="I2737">XLOOKUP($A2737,product!A:A,product!E:E)</f>
        <v>2.16</v>
      </c>
      <c r="J2737" s="25">
        <f t="shared" si="2"/>
        <v>341.28</v>
      </c>
      <c r="K2737" s="27">
        <f t="shared" si="3"/>
        <v>1</v>
      </c>
      <c r="L2737" s="25">
        <f t="shared" si="4"/>
        <v>1</v>
      </c>
    </row>
    <row r="2738">
      <c r="A2738" s="19">
        <v>108207.0</v>
      </c>
      <c r="B2738" s="20" t="str">
        <f t="array" ref="B2738">xlookup($A2738,product!$A:$A,product!B:B)</f>
        <v>Enfant</v>
      </c>
      <c r="C2738" s="20" t="str">
        <f t="array" ref="C2738">xlookup($A2738,product!$A:$A,product!C:C)</f>
        <v>Transport enfant</v>
      </c>
      <c r="D2738" s="20" t="str">
        <f t="array" ref="D2738">xlookup($A2738,product!$A:$A,product!D:D)</f>
        <v>Echarpe &amp; Porte-Bébé</v>
      </c>
      <c r="E2738" s="4" t="str">
        <f t="shared" si="1"/>
        <v>108207-Transport enfant-Echarpe &amp; Porte-Bébé</v>
      </c>
      <c r="F2738" s="4">
        <v>1.0</v>
      </c>
      <c r="G2738" s="4">
        <v>515.0</v>
      </c>
      <c r="H2738" s="4">
        <v>202.0</v>
      </c>
      <c r="I2738" s="21">
        <f t="array" ref="I2738">XLOOKUP($A2738,product!A:A,product!E:E)</f>
        <v>21.89</v>
      </c>
      <c r="J2738" s="4">
        <f t="shared" si="2"/>
        <v>4421.78</v>
      </c>
      <c r="K2738" s="22">
        <f t="shared" si="3"/>
        <v>1</v>
      </c>
      <c r="L2738" s="4">
        <f t="shared" si="4"/>
        <v>1</v>
      </c>
    </row>
    <row r="2739">
      <c r="A2739" s="23">
        <v>111043.0</v>
      </c>
      <c r="B2739" s="24" t="str">
        <f t="array" ref="B2739">xlookup($A2739,product!$A:$A,product!B:B)</f>
        <v>Enfant</v>
      </c>
      <c r="C2739" s="24" t="str">
        <f t="array" ref="C2739">xlookup($A2739,product!$A:$A,product!C:C)</f>
        <v>Transport enfant</v>
      </c>
      <c r="D2739" s="24" t="str">
        <f t="array" ref="D2739">xlookup($A2739,product!$A:$A,product!D:D)</f>
        <v>Echarpe &amp; Porte-Bébé</v>
      </c>
      <c r="E2739" s="25" t="str">
        <f t="shared" si="1"/>
        <v>111043-Transport enfant-Echarpe &amp; Porte-Bébé</v>
      </c>
      <c r="F2739" s="25">
        <v>0.0</v>
      </c>
      <c r="G2739" s="25">
        <v>238.0</v>
      </c>
      <c r="H2739" s="25">
        <v>223.0</v>
      </c>
      <c r="I2739" s="26">
        <f t="array" ref="I2739">XLOOKUP($A2739,product!A:A,product!E:E)</f>
        <v>62.73</v>
      </c>
      <c r="J2739" s="25">
        <f t="shared" si="2"/>
        <v>13988.79</v>
      </c>
      <c r="K2739" s="27">
        <f t="shared" si="3"/>
        <v>1</v>
      </c>
      <c r="L2739" s="25">
        <f t="shared" si="4"/>
        <v>1</v>
      </c>
    </row>
    <row r="2740">
      <c r="A2740" s="19">
        <v>100223.0</v>
      </c>
      <c r="B2740" s="20" t="str">
        <f t="array" ref="B2740">xlookup($A2740,product!$A:$A,product!B:B)</f>
        <v>Enfant</v>
      </c>
      <c r="C2740" s="20" t="str">
        <f t="array" ref="C2740">xlookup($A2740,product!$A:$A,product!C:C)</f>
        <v>Transport enfant</v>
      </c>
      <c r="D2740" s="20" t="str">
        <f t="array" ref="D2740">xlookup($A2740,product!$A:$A,product!D:D)</f>
        <v>Echarpe &amp; Porte-Bébé</v>
      </c>
      <c r="E2740" s="4" t="str">
        <f t="shared" si="1"/>
        <v>100223-Transport enfant-Echarpe &amp; Porte-Bébé</v>
      </c>
      <c r="F2740" s="4">
        <v>0.0</v>
      </c>
      <c r="G2740" s="4">
        <v>438.0</v>
      </c>
      <c r="H2740" s="4">
        <v>240.0</v>
      </c>
      <c r="I2740" s="21">
        <f t="array" ref="I2740">XLOOKUP($A2740,product!A:A,product!E:E)</f>
        <v>28.66</v>
      </c>
      <c r="J2740" s="4">
        <f t="shared" si="2"/>
        <v>6878.4</v>
      </c>
      <c r="K2740" s="22">
        <f t="shared" si="3"/>
        <v>1</v>
      </c>
      <c r="L2740" s="4">
        <f t="shared" si="4"/>
        <v>1</v>
      </c>
    </row>
    <row r="2741">
      <c r="A2741" s="23">
        <v>92161.0</v>
      </c>
      <c r="B2741" s="24" t="str">
        <f t="array" ref="B2741">xlookup($A2741,product!$A:$A,product!B:B)</f>
        <v>Enfant</v>
      </c>
      <c r="C2741" s="24" t="str">
        <f t="array" ref="C2741">xlookup($A2741,product!$A:$A,product!C:C)</f>
        <v>Loisirs Créatifs</v>
      </c>
      <c r="D2741" s="24" t="str">
        <f t="array" ref="D2741">xlookup($A2741,product!$A:$A,product!D:D)</f>
        <v>Moulage</v>
      </c>
      <c r="E2741" s="25" t="str">
        <f t="shared" si="1"/>
        <v>92161-Loisirs Créatifs-Moulage</v>
      </c>
      <c r="F2741" s="25">
        <v>0.0</v>
      </c>
      <c r="G2741" s="25">
        <v>555.0</v>
      </c>
      <c r="H2741" s="25">
        <v>501.0</v>
      </c>
      <c r="I2741" s="26">
        <f t="array" ref="I2741">XLOOKUP($A2741,product!A:A,product!E:E)</f>
        <v>6.12</v>
      </c>
      <c r="J2741" s="25">
        <f t="shared" si="2"/>
        <v>3066.12</v>
      </c>
      <c r="K2741" s="27">
        <f t="shared" si="3"/>
        <v>1</v>
      </c>
      <c r="L2741" s="25">
        <f t="shared" si="4"/>
        <v>1</v>
      </c>
    </row>
    <row r="2742">
      <c r="A2742" s="19">
        <v>113405.0</v>
      </c>
      <c r="B2742" s="20" t="str">
        <f t="array" ref="B2742">xlookup($A2742,product!$A:$A,product!B:B)</f>
        <v>Enfant</v>
      </c>
      <c r="C2742" s="20" t="str">
        <f t="array" ref="C2742">xlookup($A2742,product!$A:$A,product!C:C)</f>
        <v>Loisirs Créatifs</v>
      </c>
      <c r="D2742" s="20" t="str">
        <f t="array" ref="D2742">xlookup($A2742,product!$A:$A,product!D:D)</f>
        <v>Pâte à Modeler</v>
      </c>
      <c r="E2742" s="4" t="str">
        <f t="shared" si="1"/>
        <v>113405-Loisirs Créatifs-Pâte à Modeler</v>
      </c>
      <c r="F2742" s="4">
        <v>0.0</v>
      </c>
      <c r="G2742" s="4">
        <v>135.0</v>
      </c>
      <c r="H2742" s="4">
        <v>124.0</v>
      </c>
      <c r="I2742" s="21">
        <f t="array" ref="I2742">XLOOKUP($A2742,product!A:A,product!E:E)</f>
        <v>6.84</v>
      </c>
      <c r="J2742" s="4">
        <f t="shared" si="2"/>
        <v>848.16</v>
      </c>
      <c r="K2742" s="22">
        <f t="shared" si="3"/>
        <v>1</v>
      </c>
      <c r="L2742" s="4">
        <f t="shared" si="4"/>
        <v>1</v>
      </c>
    </row>
    <row r="2743">
      <c r="A2743" s="23">
        <v>120817.0</v>
      </c>
      <c r="B2743" s="24" t="str">
        <f t="array" ref="B2743">xlookup($A2743,product!$A:$A,product!B:B)</f>
        <v>Enfant</v>
      </c>
      <c r="C2743" s="24" t="str">
        <f t="array" ref="C2743">xlookup($A2743,product!$A:$A,product!C:C)</f>
        <v>Loisirs Créatifs</v>
      </c>
      <c r="D2743" s="24" t="str">
        <f t="array" ref="D2743">xlookup($A2743,product!$A:$A,product!D:D)</f>
        <v>Peinture &amp; Coloriage</v>
      </c>
      <c r="E2743" s="25" t="str">
        <f t="shared" si="1"/>
        <v>120817-Loisirs Créatifs-Peinture &amp; Coloriage</v>
      </c>
      <c r="F2743" s="25">
        <v>0.0</v>
      </c>
      <c r="G2743" s="25">
        <v>438.0</v>
      </c>
      <c r="H2743" s="25">
        <v>106.0</v>
      </c>
      <c r="I2743" s="26">
        <f t="array" ref="I2743">XLOOKUP($A2743,product!A:A,product!E:E)</f>
        <v>7.41</v>
      </c>
      <c r="J2743" s="25">
        <f t="shared" si="2"/>
        <v>785.46</v>
      </c>
      <c r="K2743" s="27">
        <f t="shared" si="3"/>
        <v>1</v>
      </c>
      <c r="L2743" s="25">
        <f t="shared" si="4"/>
        <v>1</v>
      </c>
    </row>
    <row r="2744">
      <c r="A2744" s="19">
        <v>14520.0</v>
      </c>
      <c r="B2744" s="20" t="str">
        <f t="array" ref="B2744">xlookup($A2744,product!$A:$A,product!B:B)</f>
        <v>Enfant</v>
      </c>
      <c r="C2744" s="20" t="str">
        <f t="array" ref="C2744">xlookup($A2744,product!$A:$A,product!C:C)</f>
        <v>Loisirs Créatifs</v>
      </c>
      <c r="D2744" s="20" t="str">
        <f t="array" ref="D2744">xlookup($A2744,product!$A:$A,product!D:D)</f>
        <v>Peinture &amp; Coloriage</v>
      </c>
      <c r="E2744" s="4" t="str">
        <f t="shared" si="1"/>
        <v>14520-Loisirs Créatifs-Peinture &amp; Coloriage</v>
      </c>
      <c r="F2744" s="4">
        <v>0.0</v>
      </c>
      <c r="G2744" s="4">
        <v>234.0</v>
      </c>
      <c r="H2744" s="4">
        <v>151.0</v>
      </c>
      <c r="I2744" s="21">
        <f t="array" ref="I2744">XLOOKUP($A2744,product!A:A,product!E:E)</f>
        <v>1.03</v>
      </c>
      <c r="J2744" s="4">
        <f t="shared" si="2"/>
        <v>155.53</v>
      </c>
      <c r="K2744" s="22">
        <f t="shared" si="3"/>
        <v>1</v>
      </c>
      <c r="L2744" s="4">
        <f t="shared" si="4"/>
        <v>1</v>
      </c>
    </row>
    <row r="2745">
      <c r="A2745" s="23">
        <v>104928.0</v>
      </c>
      <c r="B2745" s="24" t="str">
        <f t="array" ref="B2745">xlookup($A2745,product!$A:$A,product!B:B)</f>
        <v>Enfant</v>
      </c>
      <c r="C2745" s="24" t="str">
        <f t="array" ref="C2745">xlookup($A2745,product!$A:$A,product!C:C)</f>
        <v>Loisirs Créatifs</v>
      </c>
      <c r="D2745" s="24" t="str">
        <f t="array" ref="D2745">xlookup($A2745,product!$A:$A,product!D:D)</f>
        <v>Peinture &amp; Coloriage</v>
      </c>
      <c r="E2745" s="25" t="str">
        <f t="shared" si="1"/>
        <v>104928-Loisirs Créatifs-Peinture &amp; Coloriage</v>
      </c>
      <c r="F2745" s="25">
        <v>1.0</v>
      </c>
      <c r="G2745" s="25">
        <v>1.0</v>
      </c>
      <c r="H2745" s="25">
        <v>1.0</v>
      </c>
      <c r="I2745" s="26">
        <f t="array" ref="I2745">XLOOKUP($A2745,product!A:A,product!E:E)</f>
        <v>5.84</v>
      </c>
      <c r="J2745" s="25">
        <f t="shared" si="2"/>
        <v>5.84</v>
      </c>
      <c r="K2745" s="27">
        <f t="shared" si="3"/>
        <v>1</v>
      </c>
      <c r="L2745" s="25">
        <f t="shared" si="4"/>
        <v>1</v>
      </c>
    </row>
    <row r="2746">
      <c r="A2746" s="19">
        <v>14517.0</v>
      </c>
      <c r="B2746" s="20" t="str">
        <f t="array" ref="B2746">xlookup($A2746,product!$A:$A,product!B:B)</f>
        <v>Enfant</v>
      </c>
      <c r="C2746" s="20" t="str">
        <f t="array" ref="C2746">xlookup($A2746,product!$A:$A,product!C:C)</f>
        <v>Loisirs Créatifs</v>
      </c>
      <c r="D2746" s="20" t="str">
        <f t="array" ref="D2746">xlookup($A2746,product!$A:$A,product!D:D)</f>
        <v>Peinture &amp; Coloriage</v>
      </c>
      <c r="E2746" s="4" t="str">
        <f t="shared" si="1"/>
        <v>14517-Loisirs Créatifs-Peinture &amp; Coloriage</v>
      </c>
      <c r="F2746" s="4">
        <v>0.0</v>
      </c>
      <c r="G2746" s="4">
        <v>645.0</v>
      </c>
      <c r="H2746" s="4">
        <v>488.0</v>
      </c>
      <c r="I2746" s="21">
        <f t="array" ref="I2746">XLOOKUP($A2746,product!A:A,product!E:E)</f>
        <v>1.43</v>
      </c>
      <c r="J2746" s="4">
        <f t="shared" si="2"/>
        <v>697.84</v>
      </c>
      <c r="K2746" s="22">
        <f t="shared" si="3"/>
        <v>1</v>
      </c>
      <c r="L2746" s="4">
        <f t="shared" si="4"/>
        <v>1</v>
      </c>
    </row>
    <row r="2747">
      <c r="A2747" s="23">
        <v>122563.0</v>
      </c>
      <c r="B2747" s="24" t="str">
        <f t="array" ref="B2747">xlookup($A2747,product!$A:$A,product!B:B)</f>
        <v>Enfant</v>
      </c>
      <c r="C2747" s="24" t="str">
        <f t="array" ref="C2747">xlookup($A2747,product!$A:$A,product!C:C)</f>
        <v>Loisirs Créatifs</v>
      </c>
      <c r="D2747" s="24" t="str">
        <f t="array" ref="D2747">xlookup($A2747,product!$A:$A,product!D:D)</f>
        <v>Peinture &amp; Coloriage</v>
      </c>
      <c r="E2747" s="25" t="str">
        <f t="shared" si="1"/>
        <v>122563-Loisirs Créatifs-Peinture &amp; Coloriage</v>
      </c>
      <c r="F2747" s="25">
        <v>0.0</v>
      </c>
      <c r="G2747" s="25">
        <v>878.0</v>
      </c>
      <c r="H2747" s="25">
        <v>848.0</v>
      </c>
      <c r="I2747" s="26">
        <f t="array" ref="I2747">XLOOKUP($A2747,product!A:A,product!E:E)</f>
        <v>7.66</v>
      </c>
      <c r="J2747" s="25">
        <f t="shared" si="2"/>
        <v>6495.68</v>
      </c>
      <c r="K2747" s="27">
        <f t="shared" si="3"/>
        <v>1</v>
      </c>
      <c r="L2747" s="25">
        <f t="shared" si="4"/>
        <v>1</v>
      </c>
    </row>
    <row r="2748">
      <c r="A2748" s="19">
        <v>96404.0</v>
      </c>
      <c r="B2748" s="20" t="str">
        <f t="array" ref="B2748">xlookup($A2748,product!$A:$A,product!B:B)</f>
        <v>Enfant</v>
      </c>
      <c r="C2748" s="20" t="str">
        <f t="array" ref="C2748">xlookup($A2748,product!$A:$A,product!C:C)</f>
        <v>Loisirs Créatifs</v>
      </c>
      <c r="D2748" s="20" t="str">
        <f t="array" ref="D2748">xlookup($A2748,product!$A:$A,product!D:D)</f>
        <v>Peinture &amp; Coloriage</v>
      </c>
      <c r="E2748" s="4" t="str">
        <f t="shared" si="1"/>
        <v>96404-Loisirs Créatifs-Peinture &amp; Coloriage</v>
      </c>
      <c r="F2748" s="4">
        <v>1.0</v>
      </c>
      <c r="G2748" s="4">
        <v>617.0</v>
      </c>
      <c r="H2748" s="4">
        <v>315.0</v>
      </c>
      <c r="I2748" s="21">
        <f t="array" ref="I2748">XLOOKUP($A2748,product!A:A,product!E:E)</f>
        <v>6.85</v>
      </c>
      <c r="J2748" s="4">
        <f t="shared" si="2"/>
        <v>2157.75</v>
      </c>
      <c r="K2748" s="22">
        <f t="shared" si="3"/>
        <v>1</v>
      </c>
      <c r="L2748" s="4">
        <f t="shared" si="4"/>
        <v>1</v>
      </c>
    </row>
    <row r="2749">
      <c r="A2749" s="23">
        <v>121469.0</v>
      </c>
      <c r="B2749" s="24" t="str">
        <f t="array" ref="B2749">xlookup($A2749,product!$A:$A,product!B:B)</f>
        <v>Enfant</v>
      </c>
      <c r="C2749" s="24" t="str">
        <f t="array" ref="C2749">xlookup($A2749,product!$A:$A,product!C:C)</f>
        <v>Loisirs Créatifs</v>
      </c>
      <c r="D2749" s="24" t="str">
        <f t="array" ref="D2749">xlookup($A2749,product!$A:$A,product!D:D)</f>
        <v>Découpage &amp; Assemblage</v>
      </c>
      <c r="E2749" s="25" t="str">
        <f t="shared" si="1"/>
        <v>121469-Loisirs Créatifs-Découpage &amp; Assemblage</v>
      </c>
      <c r="F2749" s="25">
        <v>1.0</v>
      </c>
      <c r="G2749" s="25">
        <v>457.0</v>
      </c>
      <c r="H2749" s="25">
        <v>258.0</v>
      </c>
      <c r="I2749" s="26">
        <f t="array" ref="I2749">XLOOKUP($A2749,product!A:A,product!E:E)</f>
        <v>5.62</v>
      </c>
      <c r="J2749" s="25">
        <f t="shared" si="2"/>
        <v>1449.96</v>
      </c>
      <c r="K2749" s="27">
        <f t="shared" si="3"/>
        <v>1</v>
      </c>
      <c r="L2749" s="25">
        <f t="shared" si="4"/>
        <v>1</v>
      </c>
    </row>
    <row r="2750">
      <c r="A2750" s="19">
        <v>122579.0</v>
      </c>
      <c r="B2750" s="20" t="str">
        <f t="array" ref="B2750">xlookup($A2750,product!$A:$A,product!B:B)</f>
        <v>Enfant</v>
      </c>
      <c r="C2750" s="20" t="str">
        <f t="array" ref="C2750">xlookup($A2750,product!$A:$A,product!C:C)</f>
        <v>Loisirs Créatifs</v>
      </c>
      <c r="D2750" s="20" t="str">
        <f t="array" ref="D2750">xlookup($A2750,product!$A:$A,product!D:D)</f>
        <v>Découpage &amp; Assemblage</v>
      </c>
      <c r="E2750" s="4" t="str">
        <f t="shared" si="1"/>
        <v>122579-Loisirs Créatifs-Découpage &amp; Assemblage</v>
      </c>
      <c r="F2750" s="4">
        <v>1.0</v>
      </c>
      <c r="G2750" s="4">
        <v>400.0</v>
      </c>
      <c r="H2750" s="4">
        <v>346.0</v>
      </c>
      <c r="I2750" s="21">
        <f t="array" ref="I2750">XLOOKUP($A2750,product!A:A,product!E:E)</f>
        <v>3.5</v>
      </c>
      <c r="J2750" s="4">
        <f t="shared" si="2"/>
        <v>1211</v>
      </c>
      <c r="K2750" s="22">
        <f t="shared" si="3"/>
        <v>1</v>
      </c>
      <c r="L2750" s="4">
        <f t="shared" si="4"/>
        <v>1</v>
      </c>
    </row>
    <row r="2751">
      <c r="A2751" s="23">
        <v>113407.0</v>
      </c>
      <c r="B2751" s="24" t="str">
        <f t="array" ref="B2751">xlookup($A2751,product!$A:$A,product!B:B)</f>
        <v>Enfant</v>
      </c>
      <c r="C2751" s="24" t="str">
        <f t="array" ref="C2751">xlookup($A2751,product!$A:$A,product!C:C)</f>
        <v>Loisirs Créatifs</v>
      </c>
      <c r="D2751" s="24" t="str">
        <f t="array" ref="D2751">xlookup($A2751,product!$A:$A,product!D:D)</f>
        <v>Découpage &amp; Assemblage</v>
      </c>
      <c r="E2751" s="25" t="str">
        <f t="shared" si="1"/>
        <v>113407-Loisirs Créatifs-Découpage &amp; Assemblage</v>
      </c>
      <c r="F2751" s="25">
        <v>0.0</v>
      </c>
      <c r="G2751" s="25">
        <v>186.0</v>
      </c>
      <c r="H2751" s="25">
        <v>103.0</v>
      </c>
      <c r="I2751" s="26">
        <f t="array" ref="I2751">XLOOKUP($A2751,product!A:A,product!E:E)</f>
        <v>5.37</v>
      </c>
      <c r="J2751" s="25">
        <f t="shared" si="2"/>
        <v>553.11</v>
      </c>
      <c r="K2751" s="27">
        <f t="shared" si="3"/>
        <v>1</v>
      </c>
      <c r="L2751" s="25">
        <f t="shared" si="4"/>
        <v>1</v>
      </c>
    </row>
    <row r="2752">
      <c r="A2752" s="19">
        <v>91995.0</v>
      </c>
      <c r="B2752" s="20" t="str">
        <f t="array" ref="B2752">xlookup($A2752,product!$A:$A,product!B:B)</f>
        <v>Enfant</v>
      </c>
      <c r="C2752" s="20" t="str">
        <f t="array" ref="C2752">xlookup($A2752,product!$A:$A,product!C:C)</f>
        <v>Loisirs Créatifs</v>
      </c>
      <c r="D2752" s="20" t="str">
        <f t="array" ref="D2752">xlookup($A2752,product!$A:$A,product!D:D)</f>
        <v>Découpage &amp; Assemblage</v>
      </c>
      <c r="E2752" s="4" t="str">
        <f t="shared" si="1"/>
        <v>91995-Loisirs Créatifs-Découpage &amp; Assemblage</v>
      </c>
      <c r="F2752" s="4">
        <v>0.0</v>
      </c>
      <c r="G2752" s="4">
        <v>386.0</v>
      </c>
      <c r="H2752" s="4">
        <v>228.0</v>
      </c>
      <c r="I2752" s="21">
        <f t="array" ref="I2752">XLOOKUP($A2752,product!A:A,product!E:E)</f>
        <v>2.6</v>
      </c>
      <c r="J2752" s="4">
        <f t="shared" si="2"/>
        <v>592.8</v>
      </c>
      <c r="K2752" s="22">
        <f t="shared" si="3"/>
        <v>1</v>
      </c>
      <c r="L2752" s="4">
        <f t="shared" si="4"/>
        <v>1</v>
      </c>
    </row>
    <row r="2753">
      <c r="A2753" s="23">
        <v>81178.0</v>
      </c>
      <c r="B2753" s="24" t="str">
        <f t="array" ref="B2753">xlookup($A2753,product!$A:$A,product!B:B)</f>
        <v>Epicerie sucrée</v>
      </c>
      <c r="C2753" s="24" t="str">
        <f t="array" ref="C2753">xlookup($A2753,product!$A:$A,product!C:C)</f>
        <v>Miel et confiture</v>
      </c>
      <c r="D2753" s="24" t="str">
        <f t="array" ref="D2753">xlookup($A2753,product!$A:$A,product!D:D)</f>
        <v>Confiture</v>
      </c>
      <c r="E2753" s="25" t="str">
        <f t="shared" si="1"/>
        <v>81178-Miel et confiture-Confiture</v>
      </c>
      <c r="F2753" s="25">
        <v>1.0</v>
      </c>
      <c r="G2753" s="25">
        <v>9.0</v>
      </c>
      <c r="H2753" s="25">
        <v>7.0</v>
      </c>
      <c r="I2753" s="26">
        <f t="array" ref="I2753">XLOOKUP($A2753,product!A:A,product!E:E)</f>
        <v>1.81</v>
      </c>
      <c r="J2753" s="25">
        <f t="shared" si="2"/>
        <v>12.67</v>
      </c>
      <c r="K2753" s="27">
        <f t="shared" si="3"/>
        <v>1</v>
      </c>
      <c r="L2753" s="25">
        <f t="shared" si="4"/>
        <v>1</v>
      </c>
    </row>
    <row r="2754">
      <c r="A2754" s="19">
        <v>12918.0</v>
      </c>
      <c r="B2754" s="20" t="str">
        <f t="array" ref="B2754">xlookup($A2754,product!$A:$A,product!B:B)</f>
        <v>Epicerie sucrée</v>
      </c>
      <c r="C2754" s="20" t="str">
        <f t="array" ref="C2754">xlookup($A2754,product!$A:$A,product!C:C)</f>
        <v>Miel et confiture</v>
      </c>
      <c r="D2754" s="20" t="str">
        <f t="array" ref="D2754">xlookup($A2754,product!$A:$A,product!D:D)</f>
        <v>Confiture</v>
      </c>
      <c r="E2754" s="4" t="str">
        <f t="shared" si="1"/>
        <v>12918-Miel et confiture-Confiture</v>
      </c>
      <c r="F2754" s="4">
        <v>0.0</v>
      </c>
      <c r="G2754" s="4">
        <v>247.0</v>
      </c>
      <c r="H2754" s="4">
        <v>208.0</v>
      </c>
      <c r="I2754" s="21">
        <f t="array" ref="I2754">XLOOKUP($A2754,product!A:A,product!E:E)</f>
        <v>2.32</v>
      </c>
      <c r="J2754" s="4">
        <f t="shared" si="2"/>
        <v>482.56</v>
      </c>
      <c r="K2754" s="22">
        <f t="shared" si="3"/>
        <v>1</v>
      </c>
      <c r="L2754" s="4">
        <f t="shared" si="4"/>
        <v>1</v>
      </c>
    </row>
    <row r="2755">
      <c r="A2755" s="23">
        <v>122411.0</v>
      </c>
      <c r="B2755" s="24" t="str">
        <f t="array" ref="B2755">xlookup($A2755,product!$A:$A,product!B:B)</f>
        <v>Epicerie sucrée</v>
      </c>
      <c r="C2755" s="24" t="str">
        <f t="array" ref="C2755">xlookup($A2755,product!$A:$A,product!C:C)</f>
        <v>Miel et confiture</v>
      </c>
      <c r="D2755" s="24" t="str">
        <f t="array" ref="D2755">xlookup($A2755,product!$A:$A,product!D:D)</f>
        <v>Confiture</v>
      </c>
      <c r="E2755" s="25" t="str">
        <f t="shared" si="1"/>
        <v>122411-Miel et confiture-Confiture</v>
      </c>
      <c r="F2755" s="25">
        <v>1.0</v>
      </c>
      <c r="G2755" s="25">
        <v>258.0</v>
      </c>
      <c r="H2755" s="25">
        <v>233.0</v>
      </c>
      <c r="I2755" s="26">
        <f t="array" ref="I2755">XLOOKUP($A2755,product!A:A,product!E:E)</f>
        <v>2.74</v>
      </c>
      <c r="J2755" s="25">
        <f t="shared" si="2"/>
        <v>638.42</v>
      </c>
      <c r="K2755" s="27">
        <f t="shared" si="3"/>
        <v>1</v>
      </c>
      <c r="L2755" s="25">
        <f t="shared" si="4"/>
        <v>1</v>
      </c>
    </row>
    <row r="2756">
      <c r="A2756" s="19">
        <v>81194.0</v>
      </c>
      <c r="B2756" s="20" t="str">
        <f t="array" ref="B2756">xlookup($A2756,product!$A:$A,product!B:B)</f>
        <v>Epicerie sucrée</v>
      </c>
      <c r="C2756" s="20" t="str">
        <f t="array" ref="C2756">xlookup($A2756,product!$A:$A,product!C:C)</f>
        <v>Miel et confiture</v>
      </c>
      <c r="D2756" s="20" t="str">
        <f t="array" ref="D2756">xlookup($A2756,product!$A:$A,product!D:D)</f>
        <v>Confiture</v>
      </c>
      <c r="E2756" s="4" t="str">
        <f t="shared" si="1"/>
        <v>81194-Miel et confiture-Confiture</v>
      </c>
      <c r="F2756" s="4">
        <v>0.0</v>
      </c>
      <c r="G2756" s="4">
        <v>310.0</v>
      </c>
      <c r="H2756" s="4">
        <v>255.0</v>
      </c>
      <c r="I2756" s="21">
        <f t="array" ref="I2756">XLOOKUP($A2756,product!A:A,product!E:E)</f>
        <v>1.81</v>
      </c>
      <c r="J2756" s="4">
        <f t="shared" si="2"/>
        <v>461.55</v>
      </c>
      <c r="K2756" s="22">
        <f t="shared" si="3"/>
        <v>1</v>
      </c>
      <c r="L2756" s="4">
        <f t="shared" si="4"/>
        <v>1</v>
      </c>
    </row>
    <row r="2757">
      <c r="A2757" s="23">
        <v>71876.0</v>
      </c>
      <c r="B2757" s="24" t="str">
        <f t="array" ref="B2757">xlookup($A2757,product!$A:$A,product!B:B)</f>
        <v>Epicerie sucrée</v>
      </c>
      <c r="C2757" s="24" t="str">
        <f t="array" ref="C2757">xlookup($A2757,product!$A:$A,product!C:C)</f>
        <v>Miel et confiture</v>
      </c>
      <c r="D2757" s="24" t="str">
        <f t="array" ref="D2757">xlookup($A2757,product!$A:$A,product!D:D)</f>
        <v>Confiture</v>
      </c>
      <c r="E2757" s="25" t="str">
        <f t="shared" si="1"/>
        <v>71876-Miel et confiture-Confiture</v>
      </c>
      <c r="F2757" s="25">
        <v>0.0</v>
      </c>
      <c r="G2757" s="25">
        <v>434.0</v>
      </c>
      <c r="H2757" s="25">
        <v>96.0</v>
      </c>
      <c r="I2757" s="26">
        <f t="array" ref="I2757">XLOOKUP($A2757,product!A:A,product!E:E)</f>
        <v>4.67</v>
      </c>
      <c r="J2757" s="25">
        <f t="shared" si="2"/>
        <v>448.32</v>
      </c>
      <c r="K2757" s="27">
        <f t="shared" si="3"/>
        <v>1</v>
      </c>
      <c r="L2757" s="25">
        <f t="shared" si="4"/>
        <v>1</v>
      </c>
    </row>
    <row r="2758">
      <c r="A2758" s="19">
        <v>129493.0</v>
      </c>
      <c r="B2758" s="20" t="str">
        <f t="array" ref="B2758">xlookup($A2758,product!$A:$A,product!B:B)</f>
        <v>Epicerie sucrée</v>
      </c>
      <c r="C2758" s="20" t="str">
        <f t="array" ref="C2758">xlookup($A2758,product!$A:$A,product!C:C)</f>
        <v>Miel et confiture</v>
      </c>
      <c r="D2758" s="20" t="str">
        <f t="array" ref="D2758">xlookup($A2758,product!$A:$A,product!D:D)</f>
        <v>Confiture</v>
      </c>
      <c r="E2758" s="4" t="str">
        <f t="shared" si="1"/>
        <v>129493-Miel et confiture-Confiture</v>
      </c>
      <c r="F2758" s="4">
        <v>1.0</v>
      </c>
      <c r="G2758" s="4">
        <v>432.0</v>
      </c>
      <c r="H2758" s="4">
        <v>5.0</v>
      </c>
      <c r="I2758" s="21">
        <f t="array" ref="I2758">XLOOKUP($A2758,product!A:A,product!E:E)</f>
        <v>3.45</v>
      </c>
      <c r="J2758" s="4">
        <f t="shared" si="2"/>
        <v>17.25</v>
      </c>
      <c r="K2758" s="22">
        <f t="shared" si="3"/>
        <v>1</v>
      </c>
      <c r="L2758" s="4">
        <f t="shared" si="4"/>
        <v>1</v>
      </c>
    </row>
    <row r="2759">
      <c r="A2759" s="23">
        <v>81190.0</v>
      </c>
      <c r="B2759" s="24" t="str">
        <f t="array" ref="B2759">xlookup($A2759,product!$A:$A,product!B:B)</f>
        <v>Epicerie sucrée</v>
      </c>
      <c r="C2759" s="24" t="str">
        <f t="array" ref="C2759">xlookup($A2759,product!$A:$A,product!C:C)</f>
        <v>Miel et confiture</v>
      </c>
      <c r="D2759" s="24" t="str">
        <f t="array" ref="D2759">xlookup($A2759,product!$A:$A,product!D:D)</f>
        <v>Confiture</v>
      </c>
      <c r="E2759" s="25" t="str">
        <f t="shared" si="1"/>
        <v>81190-Miel et confiture-Confiture</v>
      </c>
      <c r="F2759" s="25">
        <v>0.0</v>
      </c>
      <c r="G2759" s="25">
        <v>774.0</v>
      </c>
      <c r="H2759" s="25">
        <v>218.0</v>
      </c>
      <c r="I2759" s="26">
        <f t="array" ref="I2759">XLOOKUP($A2759,product!A:A,product!E:E)</f>
        <v>1.81</v>
      </c>
      <c r="J2759" s="25">
        <f t="shared" si="2"/>
        <v>394.58</v>
      </c>
      <c r="K2759" s="27">
        <f t="shared" si="3"/>
        <v>1</v>
      </c>
      <c r="L2759" s="25">
        <f t="shared" si="4"/>
        <v>1</v>
      </c>
    </row>
    <row r="2760">
      <c r="A2760" s="19">
        <v>71875.0</v>
      </c>
      <c r="B2760" s="20" t="str">
        <f t="array" ref="B2760">xlookup($A2760,product!$A:$A,product!B:B)</f>
        <v>Epicerie sucrée</v>
      </c>
      <c r="C2760" s="20" t="str">
        <f t="array" ref="C2760">xlookup($A2760,product!$A:$A,product!C:C)</f>
        <v>Miel et confiture</v>
      </c>
      <c r="D2760" s="20" t="str">
        <f t="array" ref="D2760">xlookup($A2760,product!$A:$A,product!D:D)</f>
        <v>Confiture</v>
      </c>
      <c r="E2760" s="4" t="str">
        <f t="shared" si="1"/>
        <v>71875-Miel et confiture-Confiture</v>
      </c>
      <c r="F2760" s="4">
        <v>0.0</v>
      </c>
      <c r="G2760" s="4">
        <v>979.0</v>
      </c>
      <c r="H2760" s="4">
        <v>802.0</v>
      </c>
      <c r="I2760" s="21">
        <f t="array" ref="I2760">XLOOKUP($A2760,product!A:A,product!E:E)</f>
        <v>4.33</v>
      </c>
      <c r="J2760" s="4">
        <f t="shared" si="2"/>
        <v>3472.66</v>
      </c>
      <c r="K2760" s="22">
        <f t="shared" si="3"/>
        <v>1</v>
      </c>
      <c r="L2760" s="4">
        <f t="shared" si="4"/>
        <v>1</v>
      </c>
    </row>
    <row r="2761">
      <c r="A2761" s="23">
        <v>81198.0</v>
      </c>
      <c r="B2761" s="24" t="str">
        <f t="array" ref="B2761">xlookup($A2761,product!$A:$A,product!B:B)</f>
        <v>Epicerie sucrée</v>
      </c>
      <c r="C2761" s="24" t="str">
        <f t="array" ref="C2761">xlookup($A2761,product!$A:$A,product!C:C)</f>
        <v>Miel et confiture</v>
      </c>
      <c r="D2761" s="24" t="str">
        <f t="array" ref="D2761">xlookup($A2761,product!$A:$A,product!D:D)</f>
        <v>Confiture</v>
      </c>
      <c r="E2761" s="25" t="str">
        <f t="shared" si="1"/>
        <v>81198-Miel et confiture-Confiture</v>
      </c>
      <c r="F2761" s="25">
        <v>0.0</v>
      </c>
      <c r="G2761" s="25">
        <v>493.0</v>
      </c>
      <c r="H2761" s="25">
        <v>86.0</v>
      </c>
      <c r="I2761" s="26">
        <f t="array" ref="I2761">XLOOKUP($A2761,product!A:A,product!E:E)</f>
        <v>1.81</v>
      </c>
      <c r="J2761" s="25">
        <f t="shared" si="2"/>
        <v>155.66</v>
      </c>
      <c r="K2761" s="27">
        <f t="shared" si="3"/>
        <v>1</v>
      </c>
      <c r="L2761" s="25">
        <f t="shared" si="4"/>
        <v>1</v>
      </c>
    </row>
    <row r="2762">
      <c r="A2762" s="19">
        <v>188723.0</v>
      </c>
      <c r="B2762" s="20" t="str">
        <f t="array" ref="B2762">xlookup($A2762,product!$A:$A,product!B:B)</f>
        <v>Epicerie sucrée</v>
      </c>
      <c r="C2762" s="20" t="str">
        <f t="array" ref="C2762">xlookup($A2762,product!$A:$A,product!C:C)</f>
        <v>Miel et confiture</v>
      </c>
      <c r="D2762" s="20" t="str">
        <f t="array" ref="D2762">xlookup($A2762,product!$A:$A,product!D:D)</f>
        <v>Confiture</v>
      </c>
      <c r="E2762" s="4" t="str">
        <f t="shared" si="1"/>
        <v>188723-Miel et confiture-Confiture</v>
      </c>
      <c r="F2762" s="4">
        <v>0.0</v>
      </c>
      <c r="G2762" s="4">
        <v>645.0</v>
      </c>
      <c r="H2762" s="4">
        <v>241.0</v>
      </c>
      <c r="I2762" s="21">
        <f t="array" ref="I2762">XLOOKUP($A2762,product!A:A,product!E:E)</f>
        <v>1.57</v>
      </c>
      <c r="J2762" s="4">
        <f t="shared" si="2"/>
        <v>378.37</v>
      </c>
      <c r="K2762" s="22">
        <f t="shared" si="3"/>
        <v>1</v>
      </c>
      <c r="L2762" s="4">
        <f t="shared" si="4"/>
        <v>1</v>
      </c>
    </row>
    <row r="2763">
      <c r="A2763" s="23">
        <v>115053.0</v>
      </c>
      <c r="B2763" s="24" t="str">
        <f t="array" ref="B2763">xlookup($A2763,product!$A:$A,product!B:B)</f>
        <v>Epicerie sucrée</v>
      </c>
      <c r="C2763" s="24" t="str">
        <f t="array" ref="C2763">xlookup($A2763,product!$A:$A,product!C:C)</f>
        <v>Miel et confiture</v>
      </c>
      <c r="D2763" s="24" t="str">
        <f t="array" ref="D2763">xlookup($A2763,product!$A:$A,product!D:D)</f>
        <v>Confiture</v>
      </c>
      <c r="E2763" s="25" t="str">
        <f t="shared" si="1"/>
        <v>115053-Miel et confiture-Confiture</v>
      </c>
      <c r="F2763" s="25">
        <v>1.0</v>
      </c>
      <c r="G2763" s="25">
        <v>921.0</v>
      </c>
      <c r="H2763" s="25">
        <v>824.0</v>
      </c>
      <c r="I2763" s="26">
        <f t="array" ref="I2763">XLOOKUP($A2763,product!A:A,product!E:E)</f>
        <v>3.04</v>
      </c>
      <c r="J2763" s="25">
        <f t="shared" si="2"/>
        <v>2504.96</v>
      </c>
      <c r="K2763" s="27">
        <f t="shared" si="3"/>
        <v>1</v>
      </c>
      <c r="L2763" s="25">
        <f t="shared" si="4"/>
        <v>1</v>
      </c>
    </row>
    <row r="2764">
      <c r="A2764" s="19">
        <v>104609.0</v>
      </c>
      <c r="B2764" s="20" t="str">
        <f t="array" ref="B2764">xlookup($A2764,product!$A:$A,product!B:B)</f>
        <v>Epicerie sucrée</v>
      </c>
      <c r="C2764" s="20" t="str">
        <f t="array" ref="C2764">xlookup($A2764,product!$A:$A,product!C:C)</f>
        <v>Miel et confiture</v>
      </c>
      <c r="D2764" s="20" t="str">
        <f t="array" ref="D2764">xlookup($A2764,product!$A:$A,product!D:D)</f>
        <v>Confiture</v>
      </c>
      <c r="E2764" s="4" t="str">
        <f t="shared" si="1"/>
        <v>104609-Miel et confiture-Confiture</v>
      </c>
      <c r="F2764" s="4">
        <v>0.0</v>
      </c>
      <c r="G2764" s="4">
        <v>614.0</v>
      </c>
      <c r="H2764" s="4">
        <v>1.0</v>
      </c>
      <c r="I2764" s="21">
        <f t="array" ref="I2764">XLOOKUP($A2764,product!A:A,product!E:E)</f>
        <v>2.56</v>
      </c>
      <c r="J2764" s="4">
        <f t="shared" si="2"/>
        <v>2.56</v>
      </c>
      <c r="K2764" s="22">
        <f t="shared" si="3"/>
        <v>1</v>
      </c>
      <c r="L2764" s="4">
        <f t="shared" si="4"/>
        <v>1</v>
      </c>
    </row>
    <row r="2765">
      <c r="A2765" s="23">
        <v>12916.0</v>
      </c>
      <c r="B2765" s="24" t="str">
        <f t="array" ref="B2765">xlookup($A2765,product!$A:$A,product!B:B)</f>
        <v>Epicerie sucrée</v>
      </c>
      <c r="C2765" s="24" t="str">
        <f t="array" ref="C2765">xlookup($A2765,product!$A:$A,product!C:C)</f>
        <v>Miel et confiture</v>
      </c>
      <c r="D2765" s="24" t="str">
        <f t="array" ref="D2765">xlookup($A2765,product!$A:$A,product!D:D)</f>
        <v>Confiture</v>
      </c>
      <c r="E2765" s="25" t="str">
        <f t="shared" si="1"/>
        <v>12916-Miel et confiture-Confiture</v>
      </c>
      <c r="F2765" s="25">
        <v>0.0</v>
      </c>
      <c r="G2765" s="25">
        <v>631.0</v>
      </c>
      <c r="H2765" s="25">
        <v>42.0</v>
      </c>
      <c r="I2765" s="26">
        <f t="array" ref="I2765">XLOOKUP($A2765,product!A:A,product!E:E)</f>
        <v>2.2</v>
      </c>
      <c r="J2765" s="25">
        <f t="shared" si="2"/>
        <v>92.4</v>
      </c>
      <c r="K2765" s="27">
        <f t="shared" si="3"/>
        <v>1</v>
      </c>
      <c r="L2765" s="25">
        <f t="shared" si="4"/>
        <v>1</v>
      </c>
    </row>
    <row r="2766">
      <c r="A2766" s="19">
        <v>129488.0</v>
      </c>
      <c r="B2766" s="20" t="str">
        <f t="array" ref="B2766">xlookup($A2766,product!$A:$A,product!B:B)</f>
        <v>Epicerie sucrée</v>
      </c>
      <c r="C2766" s="20" t="str">
        <f t="array" ref="C2766">xlookup($A2766,product!$A:$A,product!C:C)</f>
        <v>Miel et confiture</v>
      </c>
      <c r="D2766" s="20" t="str">
        <f t="array" ref="D2766">xlookup($A2766,product!$A:$A,product!D:D)</f>
        <v>Confiture</v>
      </c>
      <c r="E2766" s="4" t="str">
        <f t="shared" si="1"/>
        <v>129488-Miel et confiture-Confiture</v>
      </c>
      <c r="F2766" s="4">
        <v>0.0</v>
      </c>
      <c r="G2766" s="4">
        <v>575.0</v>
      </c>
      <c r="H2766" s="4">
        <v>131.0</v>
      </c>
      <c r="I2766" s="21">
        <f t="array" ref="I2766">XLOOKUP($A2766,product!A:A,product!E:E)</f>
        <v>2.68</v>
      </c>
      <c r="J2766" s="4">
        <f t="shared" si="2"/>
        <v>351.08</v>
      </c>
      <c r="K2766" s="22">
        <f t="shared" si="3"/>
        <v>1</v>
      </c>
      <c r="L2766" s="4">
        <f t="shared" si="4"/>
        <v>1</v>
      </c>
    </row>
    <row r="2767">
      <c r="A2767" s="23">
        <v>78566.0</v>
      </c>
      <c r="B2767" s="24" t="str">
        <f t="array" ref="B2767">xlookup($A2767,product!$A:$A,product!B:B)</f>
        <v>Epicerie sucrée</v>
      </c>
      <c r="C2767" s="24" t="str">
        <f t="array" ref="C2767">xlookup($A2767,product!$A:$A,product!C:C)</f>
        <v>Miel et confiture</v>
      </c>
      <c r="D2767" s="24" t="str">
        <f t="array" ref="D2767">xlookup($A2767,product!$A:$A,product!D:D)</f>
        <v>Confiture</v>
      </c>
      <c r="E2767" s="25" t="str">
        <f t="shared" si="1"/>
        <v>78566-Miel et confiture-Confiture</v>
      </c>
      <c r="F2767" s="25">
        <v>1.0</v>
      </c>
      <c r="G2767" s="25">
        <v>369.0</v>
      </c>
      <c r="H2767" s="25">
        <v>119.0</v>
      </c>
      <c r="I2767" s="26">
        <f t="array" ref="I2767">XLOOKUP($A2767,product!A:A,product!E:E)</f>
        <v>1.95</v>
      </c>
      <c r="J2767" s="25">
        <f t="shared" si="2"/>
        <v>232.05</v>
      </c>
      <c r="K2767" s="27">
        <f t="shared" si="3"/>
        <v>1</v>
      </c>
      <c r="L2767" s="25">
        <f t="shared" si="4"/>
        <v>1</v>
      </c>
    </row>
    <row r="2768">
      <c r="A2768" s="19">
        <v>15090.0</v>
      </c>
      <c r="B2768" s="20" t="str">
        <f t="array" ref="B2768">xlookup($A2768,product!$A:$A,product!B:B)</f>
        <v>Epicerie sucrée</v>
      </c>
      <c r="C2768" s="20" t="str">
        <f t="array" ref="C2768">xlookup($A2768,product!$A:$A,product!C:C)</f>
        <v>Miel et confiture</v>
      </c>
      <c r="D2768" s="20" t="str">
        <f t="array" ref="D2768">xlookup($A2768,product!$A:$A,product!D:D)</f>
        <v>Confiture</v>
      </c>
      <c r="E2768" s="4" t="str">
        <f t="shared" si="1"/>
        <v>15090-Miel et confiture-Confiture</v>
      </c>
      <c r="F2768" s="4">
        <v>1.0</v>
      </c>
      <c r="G2768" s="4">
        <v>492.0</v>
      </c>
      <c r="H2768" s="4">
        <v>346.0</v>
      </c>
      <c r="I2768" s="21">
        <f t="array" ref="I2768">XLOOKUP($A2768,product!A:A,product!E:E)</f>
        <v>2.54</v>
      </c>
      <c r="J2768" s="4">
        <f t="shared" si="2"/>
        <v>878.84</v>
      </c>
      <c r="K2768" s="22">
        <f t="shared" si="3"/>
        <v>1</v>
      </c>
      <c r="L2768" s="4">
        <f t="shared" si="4"/>
        <v>1</v>
      </c>
    </row>
    <row r="2769">
      <c r="A2769" s="23">
        <v>81209.0</v>
      </c>
      <c r="B2769" s="24" t="str">
        <f t="array" ref="B2769">xlookup($A2769,product!$A:$A,product!B:B)</f>
        <v>Epicerie sucrée</v>
      </c>
      <c r="C2769" s="24" t="str">
        <f t="array" ref="C2769">xlookup($A2769,product!$A:$A,product!C:C)</f>
        <v>Miel et confiture</v>
      </c>
      <c r="D2769" s="24" t="str">
        <f t="array" ref="D2769">xlookup($A2769,product!$A:$A,product!D:D)</f>
        <v>Confiture</v>
      </c>
      <c r="E2769" s="25" t="str">
        <f t="shared" si="1"/>
        <v>81209-Miel et confiture-Confiture</v>
      </c>
      <c r="F2769" s="25">
        <v>0.0</v>
      </c>
      <c r="G2769" s="25">
        <v>616.0</v>
      </c>
      <c r="H2769" s="25">
        <v>146.0</v>
      </c>
      <c r="I2769" s="26">
        <f t="array" ref="I2769">XLOOKUP($A2769,product!A:A,product!E:E)</f>
        <v>1.81</v>
      </c>
      <c r="J2769" s="25">
        <f t="shared" si="2"/>
        <v>264.26</v>
      </c>
      <c r="K2769" s="27">
        <f t="shared" si="3"/>
        <v>1</v>
      </c>
      <c r="L2769" s="25">
        <f t="shared" si="4"/>
        <v>1</v>
      </c>
    </row>
    <row r="2770">
      <c r="A2770" s="19">
        <v>108141.0</v>
      </c>
      <c r="B2770" s="20" t="str">
        <f t="array" ref="B2770">xlookup($A2770,product!$A:$A,product!B:B)</f>
        <v>Epicerie sucrée</v>
      </c>
      <c r="C2770" s="20" t="str">
        <f t="array" ref="C2770">xlookup($A2770,product!$A:$A,product!C:C)</f>
        <v>Miel et confiture</v>
      </c>
      <c r="D2770" s="20" t="str">
        <f t="array" ref="D2770">xlookup($A2770,product!$A:$A,product!D:D)</f>
        <v>Confiture</v>
      </c>
      <c r="E2770" s="4" t="str">
        <f t="shared" si="1"/>
        <v>108141-Miel et confiture-Confiture</v>
      </c>
      <c r="F2770" s="4">
        <v>1.0</v>
      </c>
      <c r="G2770" s="4">
        <v>785.0</v>
      </c>
      <c r="H2770" s="4">
        <v>78.0</v>
      </c>
      <c r="I2770" s="21">
        <f t="array" ref="I2770">XLOOKUP($A2770,product!A:A,product!E:E)</f>
        <v>2.38</v>
      </c>
      <c r="J2770" s="4">
        <f t="shared" si="2"/>
        <v>185.64</v>
      </c>
      <c r="K2770" s="22">
        <f t="shared" si="3"/>
        <v>1</v>
      </c>
      <c r="L2770" s="4">
        <f t="shared" si="4"/>
        <v>1</v>
      </c>
    </row>
    <row r="2771">
      <c r="A2771" s="23">
        <v>12914.0</v>
      </c>
      <c r="B2771" s="24" t="str">
        <f t="array" ref="B2771">xlookup($A2771,product!$A:$A,product!B:B)</f>
        <v>Epicerie sucrée</v>
      </c>
      <c r="C2771" s="24" t="str">
        <f t="array" ref="C2771">xlookup($A2771,product!$A:$A,product!C:C)</f>
        <v>Miel et confiture</v>
      </c>
      <c r="D2771" s="24" t="str">
        <f t="array" ref="D2771">xlookup($A2771,product!$A:$A,product!D:D)</f>
        <v>Confiture</v>
      </c>
      <c r="E2771" s="25" t="str">
        <f t="shared" si="1"/>
        <v>12914-Miel et confiture-Confiture</v>
      </c>
      <c r="F2771" s="25">
        <v>0.0</v>
      </c>
      <c r="G2771" s="25">
        <v>509.0</v>
      </c>
      <c r="H2771" s="25">
        <v>431.0</v>
      </c>
      <c r="I2771" s="26">
        <f t="array" ref="I2771">XLOOKUP($A2771,product!A:A,product!E:E)</f>
        <v>2.18</v>
      </c>
      <c r="J2771" s="25">
        <f t="shared" si="2"/>
        <v>939.58</v>
      </c>
      <c r="K2771" s="27">
        <f t="shared" si="3"/>
        <v>1</v>
      </c>
      <c r="L2771" s="25">
        <f t="shared" si="4"/>
        <v>1</v>
      </c>
    </row>
    <row r="2772">
      <c r="A2772" s="19">
        <v>129492.0</v>
      </c>
      <c r="B2772" s="20" t="str">
        <f t="array" ref="B2772">xlookup($A2772,product!$A:$A,product!B:B)</f>
        <v>Epicerie sucrée</v>
      </c>
      <c r="C2772" s="20" t="str">
        <f t="array" ref="C2772">xlookup($A2772,product!$A:$A,product!C:C)</f>
        <v>Miel et confiture</v>
      </c>
      <c r="D2772" s="20" t="str">
        <f t="array" ref="D2772">xlookup($A2772,product!$A:$A,product!D:D)</f>
        <v>Confiture</v>
      </c>
      <c r="E2772" s="4" t="str">
        <f t="shared" si="1"/>
        <v>129492-Miel et confiture-Confiture</v>
      </c>
      <c r="F2772" s="4">
        <v>1.0</v>
      </c>
      <c r="G2772" s="4">
        <v>251.0</v>
      </c>
      <c r="H2772" s="4">
        <v>139.0</v>
      </c>
      <c r="I2772" s="21">
        <f t="array" ref="I2772">XLOOKUP($A2772,product!A:A,product!E:E)</f>
        <v>3.21</v>
      </c>
      <c r="J2772" s="4">
        <f t="shared" si="2"/>
        <v>446.19</v>
      </c>
      <c r="K2772" s="22">
        <f t="shared" si="3"/>
        <v>1</v>
      </c>
      <c r="L2772" s="4">
        <f t="shared" si="4"/>
        <v>1</v>
      </c>
    </row>
    <row r="2773">
      <c r="A2773" s="23">
        <v>120473.0</v>
      </c>
      <c r="B2773" s="24" t="str">
        <f t="array" ref="B2773">xlookup($A2773,product!$A:$A,product!B:B)</f>
        <v>Epicerie sucrée</v>
      </c>
      <c r="C2773" s="24" t="str">
        <f t="array" ref="C2773">xlookup($A2773,product!$A:$A,product!C:C)</f>
        <v>Miel et confiture</v>
      </c>
      <c r="D2773" s="24" t="str">
        <f t="array" ref="D2773">xlookup($A2773,product!$A:$A,product!D:D)</f>
        <v>Confiture</v>
      </c>
      <c r="E2773" s="25" t="str">
        <f t="shared" si="1"/>
        <v>120473-Miel et confiture-Confiture</v>
      </c>
      <c r="F2773" s="25">
        <v>0.0</v>
      </c>
      <c r="G2773" s="25">
        <v>41.0</v>
      </c>
      <c r="H2773" s="25">
        <v>2.0</v>
      </c>
      <c r="I2773" s="26">
        <f t="array" ref="I2773">XLOOKUP($A2773,product!A:A,product!E:E)</f>
        <v>2.74</v>
      </c>
      <c r="J2773" s="25">
        <f t="shared" si="2"/>
        <v>5.48</v>
      </c>
      <c r="K2773" s="27">
        <f t="shared" si="3"/>
        <v>1</v>
      </c>
      <c r="L2773" s="25">
        <f t="shared" si="4"/>
        <v>1</v>
      </c>
    </row>
    <row r="2774">
      <c r="A2774" s="19">
        <v>12924.0</v>
      </c>
      <c r="B2774" s="20" t="str">
        <f t="array" ref="B2774">xlookup($A2774,product!$A:$A,product!B:B)</f>
        <v>Epicerie sucrée</v>
      </c>
      <c r="C2774" s="20" t="str">
        <f t="array" ref="C2774">xlookup($A2774,product!$A:$A,product!C:C)</f>
        <v>Miel et confiture</v>
      </c>
      <c r="D2774" s="20" t="str">
        <f t="array" ref="D2774">xlookup($A2774,product!$A:$A,product!D:D)</f>
        <v>Confiture</v>
      </c>
      <c r="E2774" s="4" t="str">
        <f t="shared" si="1"/>
        <v>12924-Miel et confiture-Confiture</v>
      </c>
      <c r="F2774" s="4">
        <v>0.0</v>
      </c>
      <c r="G2774" s="4">
        <v>809.0</v>
      </c>
      <c r="H2774" s="4">
        <v>414.0</v>
      </c>
      <c r="I2774" s="21">
        <f t="array" ref="I2774">XLOOKUP($A2774,product!A:A,product!E:E)</f>
        <v>2.13</v>
      </c>
      <c r="J2774" s="4">
        <f t="shared" si="2"/>
        <v>881.82</v>
      </c>
      <c r="K2774" s="22">
        <f t="shared" si="3"/>
        <v>1</v>
      </c>
      <c r="L2774" s="4">
        <f t="shared" si="4"/>
        <v>1</v>
      </c>
    </row>
    <row r="2775">
      <c r="A2775" s="23">
        <v>12920.0</v>
      </c>
      <c r="B2775" s="24" t="str">
        <f t="array" ref="B2775">xlookup($A2775,product!$A:$A,product!B:B)</f>
        <v>Epicerie sucrée</v>
      </c>
      <c r="C2775" s="24" t="str">
        <f t="array" ref="C2775">xlookup($A2775,product!$A:$A,product!C:C)</f>
        <v>Miel et confiture</v>
      </c>
      <c r="D2775" s="24" t="str">
        <f t="array" ref="D2775">xlookup($A2775,product!$A:$A,product!D:D)</f>
        <v>Confiture</v>
      </c>
      <c r="E2775" s="25" t="str">
        <f t="shared" si="1"/>
        <v>12920-Miel et confiture-Confiture</v>
      </c>
      <c r="F2775" s="25">
        <v>0.0</v>
      </c>
      <c r="G2775" s="25">
        <v>128.0</v>
      </c>
      <c r="H2775" s="25">
        <v>71.0</v>
      </c>
      <c r="I2775" s="26">
        <f t="array" ref="I2775">XLOOKUP($A2775,product!A:A,product!E:E)</f>
        <v>2.32</v>
      </c>
      <c r="J2775" s="25">
        <f t="shared" si="2"/>
        <v>164.72</v>
      </c>
      <c r="K2775" s="27">
        <f t="shared" si="3"/>
        <v>1</v>
      </c>
      <c r="L2775" s="25">
        <f t="shared" si="4"/>
        <v>1</v>
      </c>
    </row>
    <row r="2776">
      <c r="A2776" s="19">
        <v>81200.0</v>
      </c>
      <c r="B2776" s="20" t="str">
        <f t="array" ref="B2776">xlookup($A2776,product!$A:$A,product!B:B)</f>
        <v>Epicerie sucrée</v>
      </c>
      <c r="C2776" s="20" t="str">
        <f t="array" ref="C2776">xlookup($A2776,product!$A:$A,product!C:C)</f>
        <v>Miel et confiture</v>
      </c>
      <c r="D2776" s="20" t="str">
        <f t="array" ref="D2776">xlookup($A2776,product!$A:$A,product!D:D)</f>
        <v>Confiture</v>
      </c>
      <c r="E2776" s="4" t="str">
        <f t="shared" si="1"/>
        <v>81200-Miel et confiture-Confiture</v>
      </c>
      <c r="F2776" s="4">
        <v>1.0</v>
      </c>
      <c r="G2776" s="4">
        <v>952.0</v>
      </c>
      <c r="H2776" s="4">
        <v>186.0</v>
      </c>
      <c r="I2776" s="21">
        <f t="array" ref="I2776">XLOOKUP($A2776,product!A:A,product!E:E)</f>
        <v>1.81</v>
      </c>
      <c r="J2776" s="4">
        <f t="shared" si="2"/>
        <v>336.66</v>
      </c>
      <c r="K2776" s="22">
        <f t="shared" si="3"/>
        <v>1</v>
      </c>
      <c r="L2776" s="4">
        <f t="shared" si="4"/>
        <v>1</v>
      </c>
    </row>
    <row r="2777">
      <c r="A2777" s="23">
        <v>122410.0</v>
      </c>
      <c r="B2777" s="24" t="str">
        <f t="array" ref="B2777">xlookup($A2777,product!$A:$A,product!B:B)</f>
        <v>Epicerie sucrée</v>
      </c>
      <c r="C2777" s="24" t="str">
        <f t="array" ref="C2777">xlookup($A2777,product!$A:$A,product!C:C)</f>
        <v>Miel et confiture</v>
      </c>
      <c r="D2777" s="24" t="str">
        <f t="array" ref="D2777">xlookup($A2777,product!$A:$A,product!D:D)</f>
        <v>Confiture</v>
      </c>
      <c r="E2777" s="25" t="str">
        <f t="shared" si="1"/>
        <v>122410-Miel et confiture-Confiture</v>
      </c>
      <c r="F2777" s="25">
        <v>1.0</v>
      </c>
      <c r="G2777" s="25">
        <v>200.0</v>
      </c>
      <c r="H2777" s="25">
        <v>119.0</v>
      </c>
      <c r="I2777" s="26">
        <f t="array" ref="I2777">XLOOKUP($A2777,product!A:A,product!E:E)</f>
        <v>2.16</v>
      </c>
      <c r="J2777" s="25">
        <f t="shared" si="2"/>
        <v>257.04</v>
      </c>
      <c r="K2777" s="27">
        <f t="shared" si="3"/>
        <v>1</v>
      </c>
      <c r="L2777" s="25">
        <f t="shared" si="4"/>
        <v>1</v>
      </c>
    </row>
    <row r="2778">
      <c r="A2778" s="19">
        <v>81720.0</v>
      </c>
      <c r="B2778" s="20" t="str">
        <f t="array" ref="B2778">xlookup($A2778,product!$A:$A,product!B:B)</f>
        <v>Epicerie sucrée</v>
      </c>
      <c r="C2778" s="20" t="str">
        <f t="array" ref="C2778">xlookup($A2778,product!$A:$A,product!C:C)</f>
        <v>Miel et confiture</v>
      </c>
      <c r="D2778" s="20" t="str">
        <f t="array" ref="D2778">xlookup($A2778,product!$A:$A,product!D:D)</f>
        <v>Confiture</v>
      </c>
      <c r="E2778" s="4" t="str">
        <f t="shared" si="1"/>
        <v>81720-Miel et confiture-Confiture</v>
      </c>
      <c r="F2778" s="4">
        <v>0.0</v>
      </c>
      <c r="G2778" s="4">
        <v>978.0</v>
      </c>
      <c r="H2778" s="4">
        <v>952.0</v>
      </c>
      <c r="I2778" s="21">
        <f t="array" ref="I2778">XLOOKUP($A2778,product!A:A,product!E:E)</f>
        <v>3.29</v>
      </c>
      <c r="J2778" s="4">
        <f t="shared" si="2"/>
        <v>3132.08</v>
      </c>
      <c r="K2778" s="22">
        <f t="shared" si="3"/>
        <v>1</v>
      </c>
      <c r="L2778" s="4">
        <f t="shared" si="4"/>
        <v>1</v>
      </c>
    </row>
    <row r="2779">
      <c r="A2779" s="23">
        <v>12923.0</v>
      </c>
      <c r="B2779" s="24" t="str">
        <f t="array" ref="B2779">xlookup($A2779,product!$A:$A,product!B:B)</f>
        <v>Epicerie sucrée</v>
      </c>
      <c r="C2779" s="24" t="str">
        <f t="array" ref="C2779">xlookup($A2779,product!$A:$A,product!C:C)</f>
        <v>Miel et confiture</v>
      </c>
      <c r="D2779" s="24" t="str">
        <f t="array" ref="D2779">xlookup($A2779,product!$A:$A,product!D:D)</f>
        <v>Confiture</v>
      </c>
      <c r="E2779" s="25" t="str">
        <f t="shared" si="1"/>
        <v>12923-Miel et confiture-Confiture</v>
      </c>
      <c r="F2779" s="25">
        <v>0.0</v>
      </c>
      <c r="G2779" s="25">
        <v>244.0</v>
      </c>
      <c r="H2779" s="25">
        <v>37.0</v>
      </c>
      <c r="I2779" s="26">
        <f t="array" ref="I2779">XLOOKUP($A2779,product!A:A,product!E:E)</f>
        <v>2.21</v>
      </c>
      <c r="J2779" s="25">
        <f t="shared" si="2"/>
        <v>81.77</v>
      </c>
      <c r="K2779" s="27">
        <f t="shared" si="3"/>
        <v>1</v>
      </c>
      <c r="L2779" s="25">
        <f t="shared" si="4"/>
        <v>1</v>
      </c>
    </row>
    <row r="2780">
      <c r="A2780" s="19">
        <v>81173.0</v>
      </c>
      <c r="B2780" s="20" t="str">
        <f t="array" ref="B2780">xlookup($A2780,product!$A:$A,product!B:B)</f>
        <v>Epicerie sucrée</v>
      </c>
      <c r="C2780" s="20" t="str">
        <f t="array" ref="C2780">xlookup($A2780,product!$A:$A,product!C:C)</f>
        <v>Miel et confiture</v>
      </c>
      <c r="D2780" s="20" t="str">
        <f t="array" ref="D2780">xlookup($A2780,product!$A:$A,product!D:D)</f>
        <v>Confiture</v>
      </c>
      <c r="E2780" s="4" t="str">
        <f t="shared" si="1"/>
        <v>81173-Miel et confiture-Confiture</v>
      </c>
      <c r="F2780" s="4">
        <v>1.0</v>
      </c>
      <c r="G2780" s="4">
        <v>860.0</v>
      </c>
      <c r="H2780" s="4">
        <v>335.0</v>
      </c>
      <c r="I2780" s="21">
        <f t="array" ref="I2780">XLOOKUP($A2780,product!A:A,product!E:E)</f>
        <v>1.81</v>
      </c>
      <c r="J2780" s="4">
        <f t="shared" si="2"/>
        <v>606.35</v>
      </c>
      <c r="K2780" s="22">
        <f t="shared" si="3"/>
        <v>1</v>
      </c>
      <c r="L2780" s="4">
        <f t="shared" si="4"/>
        <v>1</v>
      </c>
    </row>
    <row r="2781">
      <c r="A2781" s="23">
        <v>12910.0</v>
      </c>
      <c r="B2781" s="24" t="str">
        <f t="array" ref="B2781">xlookup($A2781,product!$A:$A,product!B:B)</f>
        <v>Epicerie sucrée</v>
      </c>
      <c r="C2781" s="24" t="str">
        <f t="array" ref="C2781">xlookup($A2781,product!$A:$A,product!C:C)</f>
        <v>Miel et confiture</v>
      </c>
      <c r="D2781" s="24" t="str">
        <f t="array" ref="D2781">xlookup($A2781,product!$A:$A,product!D:D)</f>
        <v>Confiture</v>
      </c>
      <c r="E2781" s="25" t="str">
        <f t="shared" si="1"/>
        <v>12910-Miel et confiture-Confiture</v>
      </c>
      <c r="F2781" s="25">
        <v>1.0</v>
      </c>
      <c r="G2781" s="25">
        <v>719.0</v>
      </c>
      <c r="H2781" s="25">
        <v>364.0</v>
      </c>
      <c r="I2781" s="26">
        <f t="array" ref="I2781">XLOOKUP($A2781,product!A:A,product!E:E)</f>
        <v>2.03</v>
      </c>
      <c r="J2781" s="25">
        <f t="shared" si="2"/>
        <v>738.92</v>
      </c>
      <c r="K2781" s="27">
        <f t="shared" si="3"/>
        <v>1</v>
      </c>
      <c r="L2781" s="25">
        <f t="shared" si="4"/>
        <v>1</v>
      </c>
    </row>
    <row r="2782">
      <c r="A2782" s="19">
        <v>81193.0</v>
      </c>
      <c r="B2782" s="20" t="str">
        <f t="array" ref="B2782">xlookup($A2782,product!$A:$A,product!B:B)</f>
        <v>Epicerie sucrée</v>
      </c>
      <c r="C2782" s="20" t="str">
        <f t="array" ref="C2782">xlookup($A2782,product!$A:$A,product!C:C)</f>
        <v>Miel et confiture</v>
      </c>
      <c r="D2782" s="20" t="str">
        <f t="array" ref="D2782">xlookup($A2782,product!$A:$A,product!D:D)</f>
        <v>Confiture</v>
      </c>
      <c r="E2782" s="4" t="str">
        <f t="shared" si="1"/>
        <v>81193-Miel et confiture-Confiture</v>
      </c>
      <c r="F2782" s="4">
        <v>1.0</v>
      </c>
      <c r="G2782" s="4">
        <v>135.0</v>
      </c>
      <c r="H2782" s="4">
        <v>24.0</v>
      </c>
      <c r="I2782" s="21">
        <f t="array" ref="I2782">XLOOKUP($A2782,product!A:A,product!E:E)</f>
        <v>1.81</v>
      </c>
      <c r="J2782" s="4">
        <f t="shared" si="2"/>
        <v>43.44</v>
      </c>
      <c r="K2782" s="22">
        <f t="shared" si="3"/>
        <v>1</v>
      </c>
      <c r="L2782" s="4">
        <f t="shared" si="4"/>
        <v>1</v>
      </c>
    </row>
    <row r="2783">
      <c r="A2783" s="23">
        <v>12917.0</v>
      </c>
      <c r="B2783" s="24" t="str">
        <f t="array" ref="B2783">xlookup($A2783,product!$A:$A,product!B:B)</f>
        <v>Epicerie sucrée</v>
      </c>
      <c r="C2783" s="24" t="str">
        <f t="array" ref="C2783">xlookup($A2783,product!$A:$A,product!C:C)</f>
        <v>Miel et confiture</v>
      </c>
      <c r="D2783" s="24" t="str">
        <f t="array" ref="D2783">xlookup($A2783,product!$A:$A,product!D:D)</f>
        <v>Confiture</v>
      </c>
      <c r="E2783" s="25" t="str">
        <f t="shared" si="1"/>
        <v>12917-Miel et confiture-Confiture</v>
      </c>
      <c r="F2783" s="25">
        <v>0.0</v>
      </c>
      <c r="G2783" s="25">
        <v>303.0</v>
      </c>
      <c r="H2783" s="25">
        <v>185.0</v>
      </c>
      <c r="I2783" s="26">
        <f t="array" ref="I2783">XLOOKUP($A2783,product!A:A,product!E:E)</f>
        <v>2.4</v>
      </c>
      <c r="J2783" s="25">
        <f t="shared" si="2"/>
        <v>444</v>
      </c>
      <c r="K2783" s="27">
        <f t="shared" si="3"/>
        <v>1</v>
      </c>
      <c r="L2783" s="25">
        <f t="shared" si="4"/>
        <v>1</v>
      </c>
    </row>
    <row r="2784">
      <c r="A2784" s="19">
        <v>129491.0</v>
      </c>
      <c r="B2784" s="20" t="str">
        <f t="array" ref="B2784">xlookup($A2784,product!$A:$A,product!B:B)</f>
        <v>Epicerie sucrée</v>
      </c>
      <c r="C2784" s="20" t="str">
        <f t="array" ref="C2784">xlookup($A2784,product!$A:$A,product!C:C)</f>
        <v>Miel et confiture</v>
      </c>
      <c r="D2784" s="20" t="str">
        <f t="array" ref="D2784">xlookup($A2784,product!$A:$A,product!D:D)</f>
        <v>Confiture</v>
      </c>
      <c r="E2784" s="4" t="str">
        <f t="shared" si="1"/>
        <v>129491-Miel et confiture-Confiture</v>
      </c>
      <c r="F2784" s="4">
        <v>0.0</v>
      </c>
      <c r="G2784" s="4">
        <v>900.0</v>
      </c>
      <c r="H2784" s="4">
        <v>229.0</v>
      </c>
      <c r="I2784" s="21">
        <f t="array" ref="I2784">XLOOKUP($A2784,product!A:A,product!E:E)</f>
        <v>2.68</v>
      </c>
      <c r="J2784" s="4">
        <f t="shared" si="2"/>
        <v>613.72</v>
      </c>
      <c r="K2784" s="22">
        <f t="shared" si="3"/>
        <v>1</v>
      </c>
      <c r="L2784" s="4">
        <f t="shared" si="4"/>
        <v>1</v>
      </c>
    </row>
    <row r="2785">
      <c r="A2785" s="23">
        <v>15104.0</v>
      </c>
      <c r="B2785" s="24" t="str">
        <f t="array" ref="B2785">xlookup($A2785,product!$A:$A,product!B:B)</f>
        <v>Epicerie sucrée</v>
      </c>
      <c r="C2785" s="24" t="str">
        <f t="array" ref="C2785">xlookup($A2785,product!$A:$A,product!C:C)</f>
        <v>Miel et confiture</v>
      </c>
      <c r="D2785" s="24" t="str">
        <f t="array" ref="D2785">xlookup($A2785,product!$A:$A,product!D:D)</f>
        <v>Confiture</v>
      </c>
      <c r="E2785" s="25" t="str">
        <f t="shared" si="1"/>
        <v>15104-Miel et confiture-Confiture</v>
      </c>
      <c r="F2785" s="25">
        <v>1.0</v>
      </c>
      <c r="G2785" s="25">
        <v>203.0</v>
      </c>
      <c r="H2785" s="25">
        <v>202.0</v>
      </c>
      <c r="I2785" s="26">
        <f t="array" ref="I2785">XLOOKUP($A2785,product!A:A,product!E:E)</f>
        <v>2.24</v>
      </c>
      <c r="J2785" s="25">
        <f t="shared" si="2"/>
        <v>452.48</v>
      </c>
      <c r="K2785" s="27">
        <f t="shared" si="3"/>
        <v>1</v>
      </c>
      <c r="L2785" s="25">
        <f t="shared" si="4"/>
        <v>1</v>
      </c>
    </row>
    <row r="2786">
      <c r="A2786" s="19">
        <v>122407.0</v>
      </c>
      <c r="B2786" s="20" t="str">
        <f t="array" ref="B2786">xlookup($A2786,product!$A:$A,product!B:B)</f>
        <v>Epicerie sucrée</v>
      </c>
      <c r="C2786" s="20" t="str">
        <f t="array" ref="C2786">xlookup($A2786,product!$A:$A,product!C:C)</f>
        <v>Miel et confiture</v>
      </c>
      <c r="D2786" s="20" t="str">
        <f t="array" ref="D2786">xlookup($A2786,product!$A:$A,product!D:D)</f>
        <v>Confiture</v>
      </c>
      <c r="E2786" s="4" t="str">
        <f t="shared" si="1"/>
        <v>122407-Miel et confiture-Confiture</v>
      </c>
      <c r="F2786" s="4">
        <v>1.0</v>
      </c>
      <c r="G2786" s="4">
        <v>116.0</v>
      </c>
      <c r="H2786" s="4">
        <v>7.0</v>
      </c>
      <c r="I2786" s="21">
        <f t="array" ref="I2786">XLOOKUP($A2786,product!A:A,product!E:E)</f>
        <v>2.72</v>
      </c>
      <c r="J2786" s="4">
        <f t="shared" si="2"/>
        <v>19.04</v>
      </c>
      <c r="K2786" s="22">
        <f t="shared" si="3"/>
        <v>1</v>
      </c>
      <c r="L2786" s="4">
        <f t="shared" si="4"/>
        <v>1</v>
      </c>
    </row>
    <row r="2787">
      <c r="A2787" s="23">
        <v>81191.0</v>
      </c>
      <c r="B2787" s="24" t="str">
        <f t="array" ref="B2787">xlookup($A2787,product!$A:$A,product!B:B)</f>
        <v>Epicerie sucrée</v>
      </c>
      <c r="C2787" s="24" t="str">
        <f t="array" ref="C2787">xlookup($A2787,product!$A:$A,product!C:C)</f>
        <v>Miel et confiture</v>
      </c>
      <c r="D2787" s="24" t="str">
        <f t="array" ref="D2787">xlookup($A2787,product!$A:$A,product!D:D)</f>
        <v>Confiture</v>
      </c>
      <c r="E2787" s="25" t="str">
        <f t="shared" si="1"/>
        <v>81191-Miel et confiture-Confiture</v>
      </c>
      <c r="F2787" s="25">
        <v>0.0</v>
      </c>
      <c r="G2787" s="25">
        <v>67.0</v>
      </c>
      <c r="H2787" s="25">
        <v>11.0</v>
      </c>
      <c r="I2787" s="26">
        <f t="array" ref="I2787">XLOOKUP($A2787,product!A:A,product!E:E)</f>
        <v>1.81</v>
      </c>
      <c r="J2787" s="25">
        <f t="shared" si="2"/>
        <v>19.91</v>
      </c>
      <c r="K2787" s="27">
        <f t="shared" si="3"/>
        <v>1</v>
      </c>
      <c r="L2787" s="25">
        <f t="shared" si="4"/>
        <v>1</v>
      </c>
    </row>
    <row r="2788">
      <c r="A2788" s="19">
        <v>188725.0</v>
      </c>
      <c r="B2788" s="20" t="str">
        <f t="array" ref="B2788">xlookup($A2788,product!$A:$A,product!B:B)</f>
        <v>Epicerie sucrée</v>
      </c>
      <c r="C2788" s="20" t="str">
        <f t="array" ref="C2788">xlookup($A2788,product!$A:$A,product!C:C)</f>
        <v>Miel et confiture</v>
      </c>
      <c r="D2788" s="20" t="str">
        <f t="array" ref="D2788">xlookup($A2788,product!$A:$A,product!D:D)</f>
        <v>Confiture</v>
      </c>
      <c r="E2788" s="4" t="str">
        <f t="shared" si="1"/>
        <v>188725-Miel et confiture-Confiture</v>
      </c>
      <c r="F2788" s="4">
        <v>1.0</v>
      </c>
      <c r="G2788" s="4">
        <v>206.0</v>
      </c>
      <c r="H2788" s="4">
        <v>29.0</v>
      </c>
      <c r="I2788" s="21">
        <f t="array" ref="I2788">XLOOKUP($A2788,product!A:A,product!E:E)</f>
        <v>1.34</v>
      </c>
      <c r="J2788" s="4">
        <f t="shared" si="2"/>
        <v>38.86</v>
      </c>
      <c r="K2788" s="22">
        <f t="shared" si="3"/>
        <v>1</v>
      </c>
      <c r="L2788" s="4">
        <f t="shared" si="4"/>
        <v>1</v>
      </c>
    </row>
    <row r="2789">
      <c r="A2789" s="23">
        <v>188724.0</v>
      </c>
      <c r="B2789" s="24" t="str">
        <f t="array" ref="B2789">xlookup($A2789,product!$A:$A,product!B:B)</f>
        <v>Epicerie sucrée</v>
      </c>
      <c r="C2789" s="24" t="str">
        <f t="array" ref="C2789">xlookup($A2789,product!$A:$A,product!C:C)</f>
        <v>Miel et confiture</v>
      </c>
      <c r="D2789" s="24" t="str">
        <f t="array" ref="D2789">xlookup($A2789,product!$A:$A,product!D:D)</f>
        <v>Confiture</v>
      </c>
      <c r="E2789" s="25" t="str">
        <f t="shared" si="1"/>
        <v>188724-Miel et confiture-Confiture</v>
      </c>
      <c r="F2789" s="25">
        <v>0.0</v>
      </c>
      <c r="G2789" s="25">
        <v>903.0</v>
      </c>
      <c r="H2789" s="25">
        <v>505.0</v>
      </c>
      <c r="I2789" s="26">
        <f t="array" ref="I2789">XLOOKUP($A2789,product!A:A,product!E:E)</f>
        <v>1.4</v>
      </c>
      <c r="J2789" s="25">
        <f t="shared" si="2"/>
        <v>707</v>
      </c>
      <c r="K2789" s="27">
        <f t="shared" si="3"/>
        <v>1</v>
      </c>
      <c r="L2789" s="25">
        <f t="shared" si="4"/>
        <v>1</v>
      </c>
    </row>
    <row r="2790">
      <c r="A2790" s="19">
        <v>12911.0</v>
      </c>
      <c r="B2790" s="20" t="str">
        <f t="array" ref="B2790">xlookup($A2790,product!$A:$A,product!B:B)</f>
        <v>Epicerie sucrée</v>
      </c>
      <c r="C2790" s="20" t="str">
        <f t="array" ref="C2790">xlookup($A2790,product!$A:$A,product!C:C)</f>
        <v>Miel et confiture</v>
      </c>
      <c r="D2790" s="20" t="str">
        <f t="array" ref="D2790">xlookup($A2790,product!$A:$A,product!D:D)</f>
        <v>Confiture</v>
      </c>
      <c r="E2790" s="4" t="str">
        <f t="shared" si="1"/>
        <v>12911-Miel et confiture-Confiture</v>
      </c>
      <c r="F2790" s="4">
        <v>1.0</v>
      </c>
      <c r="G2790" s="4">
        <v>108.0</v>
      </c>
      <c r="H2790" s="4">
        <v>95.0</v>
      </c>
      <c r="I2790" s="21">
        <f t="array" ref="I2790">XLOOKUP($A2790,product!A:A,product!E:E)</f>
        <v>2.16</v>
      </c>
      <c r="J2790" s="4">
        <f t="shared" si="2"/>
        <v>205.2</v>
      </c>
      <c r="K2790" s="22">
        <f t="shared" si="3"/>
        <v>1</v>
      </c>
      <c r="L2790" s="4">
        <f t="shared" si="4"/>
        <v>1</v>
      </c>
    </row>
    <row r="2791">
      <c r="A2791" s="23">
        <v>21612.0</v>
      </c>
      <c r="B2791" s="24" t="str">
        <f t="array" ref="B2791">xlookup($A2791,product!$A:$A,product!B:B)</f>
        <v>Epicerie sucrée</v>
      </c>
      <c r="C2791" s="24" t="str">
        <f t="array" ref="C2791">xlookup($A2791,product!$A:$A,product!C:C)</f>
        <v>Miel et confiture</v>
      </c>
      <c r="D2791" s="24" t="str">
        <f t="array" ref="D2791">xlookup($A2791,product!$A:$A,product!D:D)</f>
        <v>Confiture</v>
      </c>
      <c r="E2791" s="25" t="str">
        <f t="shared" si="1"/>
        <v>21612-Miel et confiture-Confiture</v>
      </c>
      <c r="F2791" s="25">
        <v>1.0</v>
      </c>
      <c r="G2791" s="25">
        <v>587.0</v>
      </c>
      <c r="H2791" s="25">
        <v>365.0</v>
      </c>
      <c r="I2791" s="26">
        <f t="array" ref="I2791">XLOOKUP($A2791,product!A:A,product!E:E)</f>
        <v>3.41</v>
      </c>
      <c r="J2791" s="25">
        <f t="shared" si="2"/>
        <v>1244.65</v>
      </c>
      <c r="K2791" s="27">
        <f t="shared" si="3"/>
        <v>1</v>
      </c>
      <c r="L2791" s="25">
        <f t="shared" si="4"/>
        <v>1</v>
      </c>
    </row>
    <row r="2792">
      <c r="A2792" s="19">
        <v>21603.0</v>
      </c>
      <c r="B2792" s="20" t="str">
        <f t="array" ref="B2792">xlookup($A2792,product!$A:$A,product!B:B)</f>
        <v>Epicerie sucrée</v>
      </c>
      <c r="C2792" s="20" t="str">
        <f t="array" ref="C2792">xlookup($A2792,product!$A:$A,product!C:C)</f>
        <v>Miel et confiture</v>
      </c>
      <c r="D2792" s="20" t="str">
        <f t="array" ref="D2792">xlookup($A2792,product!$A:$A,product!D:D)</f>
        <v>Confiture</v>
      </c>
      <c r="E2792" s="4" t="str">
        <f t="shared" si="1"/>
        <v>21603-Miel et confiture-Confiture</v>
      </c>
      <c r="F2792" s="4">
        <v>1.0</v>
      </c>
      <c r="G2792" s="4">
        <v>356.0</v>
      </c>
      <c r="H2792" s="4">
        <v>43.0</v>
      </c>
      <c r="I2792" s="21">
        <f t="array" ref="I2792">XLOOKUP($A2792,product!A:A,product!E:E)</f>
        <v>3.31</v>
      </c>
      <c r="J2792" s="4">
        <f t="shared" si="2"/>
        <v>142.33</v>
      </c>
      <c r="K2792" s="22">
        <f t="shared" si="3"/>
        <v>1</v>
      </c>
      <c r="L2792" s="4">
        <f t="shared" si="4"/>
        <v>1</v>
      </c>
    </row>
    <row r="2793">
      <c r="A2793" s="23">
        <v>81218.0</v>
      </c>
      <c r="B2793" s="24" t="str">
        <f t="array" ref="B2793">xlookup($A2793,product!$A:$A,product!B:B)</f>
        <v>Epicerie sucrée</v>
      </c>
      <c r="C2793" s="24" t="str">
        <f t="array" ref="C2793">xlookup($A2793,product!$A:$A,product!C:C)</f>
        <v>Miel et confiture</v>
      </c>
      <c r="D2793" s="24" t="str">
        <f t="array" ref="D2793">xlookup($A2793,product!$A:$A,product!D:D)</f>
        <v>Miels bio</v>
      </c>
      <c r="E2793" s="25" t="str">
        <f t="shared" si="1"/>
        <v>81218-Miel et confiture-Miels bio</v>
      </c>
      <c r="F2793" s="25">
        <v>0.0</v>
      </c>
      <c r="G2793" s="25">
        <v>739.0</v>
      </c>
      <c r="H2793" s="25">
        <v>442.0</v>
      </c>
      <c r="I2793" s="26">
        <f t="array" ref="I2793">XLOOKUP($A2793,product!A:A,product!E:E)</f>
        <v>3.07</v>
      </c>
      <c r="J2793" s="25">
        <f t="shared" si="2"/>
        <v>1356.94</v>
      </c>
      <c r="K2793" s="27">
        <f t="shared" si="3"/>
        <v>1</v>
      </c>
      <c r="L2793" s="25">
        <f t="shared" si="4"/>
        <v>1</v>
      </c>
    </row>
    <row r="2794">
      <c r="A2794" s="19">
        <v>70543.0</v>
      </c>
      <c r="B2794" s="20" t="str">
        <f t="array" ref="B2794">xlookup($A2794,product!$A:$A,product!B:B)</f>
        <v>Epicerie sucrée</v>
      </c>
      <c r="C2794" s="20" t="str">
        <f t="array" ref="C2794">xlookup($A2794,product!$A:$A,product!C:C)</f>
        <v>Miel et confiture</v>
      </c>
      <c r="D2794" s="20" t="str">
        <f t="array" ref="D2794">xlookup($A2794,product!$A:$A,product!D:D)</f>
        <v>Miels bio</v>
      </c>
      <c r="E2794" s="4" t="str">
        <f t="shared" si="1"/>
        <v>70543-Miel et confiture-Miels bio</v>
      </c>
      <c r="F2794" s="4">
        <v>0.0</v>
      </c>
      <c r="G2794" s="4">
        <v>674.0</v>
      </c>
      <c r="H2794" s="4">
        <v>487.0</v>
      </c>
      <c r="I2794" s="21">
        <f t="array" ref="I2794">XLOOKUP($A2794,product!A:A,product!E:E)</f>
        <v>6.15</v>
      </c>
      <c r="J2794" s="4">
        <f t="shared" si="2"/>
        <v>2995.05</v>
      </c>
      <c r="K2794" s="22">
        <f t="shared" si="3"/>
        <v>1</v>
      </c>
      <c r="L2794" s="4">
        <f t="shared" si="4"/>
        <v>1</v>
      </c>
    </row>
    <row r="2795">
      <c r="A2795" s="23">
        <v>80549.0</v>
      </c>
      <c r="B2795" s="24" t="str">
        <f t="array" ref="B2795">xlookup($A2795,product!$A:$A,product!B:B)</f>
        <v>Epicerie sucrée</v>
      </c>
      <c r="C2795" s="24" t="str">
        <f t="array" ref="C2795">xlookup($A2795,product!$A:$A,product!C:C)</f>
        <v>Miel et confiture</v>
      </c>
      <c r="D2795" s="24" t="str">
        <f t="array" ref="D2795">xlookup($A2795,product!$A:$A,product!D:D)</f>
        <v>Miels bio</v>
      </c>
      <c r="E2795" s="25" t="str">
        <f t="shared" si="1"/>
        <v>80549-Miel et confiture-Miels bio</v>
      </c>
      <c r="F2795" s="25">
        <v>0.0</v>
      </c>
      <c r="G2795" s="25">
        <v>192.0</v>
      </c>
      <c r="H2795" s="25">
        <v>135.0</v>
      </c>
      <c r="I2795" s="26">
        <f t="array" ref="I2795">XLOOKUP($A2795,product!A:A,product!E:E)</f>
        <v>5.11</v>
      </c>
      <c r="J2795" s="25">
        <f t="shared" si="2"/>
        <v>689.85</v>
      </c>
      <c r="K2795" s="27">
        <f t="shared" si="3"/>
        <v>1</v>
      </c>
      <c r="L2795" s="25">
        <f t="shared" si="4"/>
        <v>1</v>
      </c>
    </row>
    <row r="2796">
      <c r="A2796" s="19">
        <v>79404.0</v>
      </c>
      <c r="B2796" s="20" t="str">
        <f t="array" ref="B2796">xlookup($A2796,product!$A:$A,product!B:B)</f>
        <v>Epicerie sucrée</v>
      </c>
      <c r="C2796" s="20" t="str">
        <f t="array" ref="C2796">xlookup($A2796,product!$A:$A,product!C:C)</f>
        <v>Miel et confiture</v>
      </c>
      <c r="D2796" s="20" t="str">
        <f t="array" ref="D2796">xlookup($A2796,product!$A:$A,product!D:D)</f>
        <v>Miels bio</v>
      </c>
      <c r="E2796" s="4" t="str">
        <f t="shared" si="1"/>
        <v>79404-Miel et confiture-Miels bio</v>
      </c>
      <c r="F2796" s="4">
        <v>0.0</v>
      </c>
      <c r="G2796" s="4">
        <v>685.0</v>
      </c>
      <c r="H2796" s="4">
        <v>456.0</v>
      </c>
      <c r="I2796" s="21">
        <f t="array" ref="I2796">XLOOKUP($A2796,product!A:A,product!E:E)</f>
        <v>11.15</v>
      </c>
      <c r="J2796" s="4">
        <f t="shared" si="2"/>
        <v>5084.4</v>
      </c>
      <c r="K2796" s="22">
        <f t="shared" si="3"/>
        <v>1</v>
      </c>
      <c r="L2796" s="4">
        <f t="shared" si="4"/>
        <v>1</v>
      </c>
    </row>
    <row r="2797">
      <c r="A2797" s="23">
        <v>110596.0</v>
      </c>
      <c r="B2797" s="24" t="str">
        <f t="array" ref="B2797">xlookup($A2797,product!$A:$A,product!B:B)</f>
        <v>Epicerie sucrée</v>
      </c>
      <c r="C2797" s="24" t="str">
        <f t="array" ref="C2797">xlookup($A2797,product!$A:$A,product!C:C)</f>
        <v>Miel et confiture</v>
      </c>
      <c r="D2797" s="24" t="str">
        <f t="array" ref="D2797">xlookup($A2797,product!$A:$A,product!D:D)</f>
        <v>Miels bio</v>
      </c>
      <c r="E2797" s="25" t="str">
        <f t="shared" si="1"/>
        <v>110596-Miel et confiture-Miels bio</v>
      </c>
      <c r="F2797" s="25">
        <v>0.0</v>
      </c>
      <c r="G2797" s="25">
        <v>529.0</v>
      </c>
      <c r="H2797" s="25">
        <v>80.0</v>
      </c>
      <c r="I2797" s="26">
        <f t="array" ref="I2797">XLOOKUP($A2797,product!A:A,product!E:E)</f>
        <v>6.04</v>
      </c>
      <c r="J2797" s="25">
        <f t="shared" si="2"/>
        <v>483.2</v>
      </c>
      <c r="K2797" s="27">
        <f t="shared" si="3"/>
        <v>1</v>
      </c>
      <c r="L2797" s="25">
        <f t="shared" si="4"/>
        <v>1</v>
      </c>
    </row>
    <row r="2798">
      <c r="A2798" s="19">
        <v>70547.0</v>
      </c>
      <c r="B2798" s="20" t="str">
        <f t="array" ref="B2798">xlookup($A2798,product!$A:$A,product!B:B)</f>
        <v>Epicerie sucrée</v>
      </c>
      <c r="C2798" s="20" t="str">
        <f t="array" ref="C2798">xlookup($A2798,product!$A:$A,product!C:C)</f>
        <v>Miel et confiture</v>
      </c>
      <c r="D2798" s="20" t="str">
        <f t="array" ref="D2798">xlookup($A2798,product!$A:$A,product!D:D)</f>
        <v>Miels bio</v>
      </c>
      <c r="E2798" s="4" t="str">
        <f t="shared" si="1"/>
        <v>70547-Miel et confiture-Miels bio</v>
      </c>
      <c r="F2798" s="4">
        <v>1.0</v>
      </c>
      <c r="G2798" s="4">
        <v>956.0</v>
      </c>
      <c r="H2798" s="4">
        <v>545.0</v>
      </c>
      <c r="I2798" s="21">
        <f t="array" ref="I2798">XLOOKUP($A2798,product!A:A,product!E:E)</f>
        <v>6.24</v>
      </c>
      <c r="J2798" s="4">
        <f t="shared" si="2"/>
        <v>3400.8</v>
      </c>
      <c r="K2798" s="22">
        <f t="shared" si="3"/>
        <v>1</v>
      </c>
      <c r="L2798" s="4">
        <f t="shared" si="4"/>
        <v>1</v>
      </c>
    </row>
    <row r="2799">
      <c r="A2799" s="23">
        <v>11410.0</v>
      </c>
      <c r="B2799" s="24" t="str">
        <f t="array" ref="B2799">xlookup($A2799,product!$A:$A,product!B:B)</f>
        <v>Epicerie sucrée</v>
      </c>
      <c r="C2799" s="24" t="str">
        <f t="array" ref="C2799">xlookup($A2799,product!$A:$A,product!C:C)</f>
        <v>Miel et confiture</v>
      </c>
      <c r="D2799" s="24" t="str">
        <f t="array" ref="D2799">xlookup($A2799,product!$A:$A,product!D:D)</f>
        <v>Miels bio</v>
      </c>
      <c r="E2799" s="25" t="str">
        <f t="shared" si="1"/>
        <v>11410-Miel et confiture-Miels bio</v>
      </c>
      <c r="F2799" s="25">
        <v>1.0</v>
      </c>
      <c r="G2799" s="25">
        <v>504.0</v>
      </c>
      <c r="H2799" s="25">
        <v>434.0</v>
      </c>
      <c r="I2799" s="26">
        <f t="array" ref="I2799">XLOOKUP($A2799,product!A:A,product!E:E)</f>
        <v>5.26</v>
      </c>
      <c r="J2799" s="25">
        <f t="shared" si="2"/>
        <v>2282.84</v>
      </c>
      <c r="K2799" s="27">
        <f t="shared" si="3"/>
        <v>1</v>
      </c>
      <c r="L2799" s="25">
        <f t="shared" si="4"/>
        <v>1</v>
      </c>
    </row>
    <row r="2800">
      <c r="A2800" s="19">
        <v>116632.0</v>
      </c>
      <c r="B2800" s="20" t="str">
        <f t="array" ref="B2800">xlookup($A2800,product!$A:$A,product!B:B)</f>
        <v>Epicerie sucrée</v>
      </c>
      <c r="C2800" s="20" t="str">
        <f t="array" ref="C2800">xlookup($A2800,product!$A:$A,product!C:C)</f>
        <v>Miel et confiture</v>
      </c>
      <c r="D2800" s="20" t="str">
        <f t="array" ref="D2800">xlookup($A2800,product!$A:$A,product!D:D)</f>
        <v>Miels bio</v>
      </c>
      <c r="E2800" s="4" t="str">
        <f t="shared" si="1"/>
        <v>116632-Miel et confiture-Miels bio</v>
      </c>
      <c r="F2800" s="4">
        <v>0.0</v>
      </c>
      <c r="G2800" s="4">
        <v>625.0</v>
      </c>
      <c r="H2800" s="4">
        <v>254.0</v>
      </c>
      <c r="I2800" s="21">
        <f t="array" ref="I2800">XLOOKUP($A2800,product!A:A,product!E:E)</f>
        <v>7.63</v>
      </c>
      <c r="J2800" s="4">
        <f t="shared" si="2"/>
        <v>1938.02</v>
      </c>
      <c r="K2800" s="22">
        <f t="shared" si="3"/>
        <v>1</v>
      </c>
      <c r="L2800" s="4">
        <f t="shared" si="4"/>
        <v>1</v>
      </c>
    </row>
    <row r="2801">
      <c r="A2801" s="23">
        <v>80546.0</v>
      </c>
      <c r="B2801" s="24" t="str">
        <f t="array" ref="B2801">xlookup($A2801,product!$A:$A,product!B:B)</f>
        <v>Epicerie sucrée</v>
      </c>
      <c r="C2801" s="24" t="str">
        <f t="array" ref="C2801">xlookup($A2801,product!$A:$A,product!C:C)</f>
        <v>Miel et confiture</v>
      </c>
      <c r="D2801" s="24" t="str">
        <f t="array" ref="D2801">xlookup($A2801,product!$A:$A,product!D:D)</f>
        <v>Miels bio</v>
      </c>
      <c r="E2801" s="25" t="str">
        <f t="shared" si="1"/>
        <v>80546-Miel et confiture-Miels bio</v>
      </c>
      <c r="F2801" s="25">
        <v>1.0</v>
      </c>
      <c r="G2801" s="25">
        <v>143.0</v>
      </c>
      <c r="H2801" s="25">
        <v>117.0</v>
      </c>
      <c r="I2801" s="26">
        <f t="array" ref="I2801">XLOOKUP($A2801,product!A:A,product!E:E)</f>
        <v>5.11</v>
      </c>
      <c r="J2801" s="25">
        <f t="shared" si="2"/>
        <v>597.87</v>
      </c>
      <c r="K2801" s="27">
        <f t="shared" si="3"/>
        <v>1</v>
      </c>
      <c r="L2801" s="25">
        <f t="shared" si="4"/>
        <v>1</v>
      </c>
    </row>
    <row r="2802">
      <c r="A2802" s="19">
        <v>80572.0</v>
      </c>
      <c r="B2802" s="20" t="str">
        <f t="array" ref="B2802">xlookup($A2802,product!$A:$A,product!B:B)</f>
        <v>Epicerie sucrée</v>
      </c>
      <c r="C2802" s="20" t="str">
        <f t="array" ref="C2802">xlookup($A2802,product!$A:$A,product!C:C)</f>
        <v>Miel et confiture</v>
      </c>
      <c r="D2802" s="20" t="str">
        <f t="array" ref="D2802">xlookup($A2802,product!$A:$A,product!D:D)</f>
        <v>Miels bio</v>
      </c>
      <c r="E2802" s="4" t="str">
        <f t="shared" si="1"/>
        <v>80572-Miel et confiture-Miels bio</v>
      </c>
      <c r="F2802" s="4">
        <v>1.0</v>
      </c>
      <c r="G2802" s="4">
        <v>712.0</v>
      </c>
      <c r="H2802" s="4">
        <v>491.0</v>
      </c>
      <c r="I2802" s="21">
        <f t="array" ref="I2802">XLOOKUP($A2802,product!A:A,product!E:E)</f>
        <v>5.64</v>
      </c>
      <c r="J2802" s="4">
        <f t="shared" si="2"/>
        <v>2769.24</v>
      </c>
      <c r="K2802" s="22">
        <f t="shared" si="3"/>
        <v>1</v>
      </c>
      <c r="L2802" s="4">
        <f t="shared" si="4"/>
        <v>1</v>
      </c>
    </row>
    <row r="2803">
      <c r="A2803" s="23">
        <v>70558.0</v>
      </c>
      <c r="B2803" s="24" t="str">
        <f t="array" ref="B2803">xlookup($A2803,product!$A:$A,product!B:B)</f>
        <v>Epicerie sucrée</v>
      </c>
      <c r="C2803" s="24" t="str">
        <f t="array" ref="C2803">xlookup($A2803,product!$A:$A,product!C:C)</f>
        <v>Miel et confiture</v>
      </c>
      <c r="D2803" s="24" t="str">
        <f t="array" ref="D2803">xlookup($A2803,product!$A:$A,product!D:D)</f>
        <v>Miels bio</v>
      </c>
      <c r="E2803" s="25" t="str">
        <f t="shared" si="1"/>
        <v>70558-Miel et confiture-Miels bio</v>
      </c>
      <c r="F2803" s="25">
        <v>1.0</v>
      </c>
      <c r="G2803" s="25">
        <v>588.0</v>
      </c>
      <c r="H2803" s="25">
        <v>58.0</v>
      </c>
      <c r="I2803" s="26">
        <f t="array" ref="I2803">XLOOKUP($A2803,product!A:A,product!E:E)</f>
        <v>10.49</v>
      </c>
      <c r="J2803" s="25">
        <f t="shared" si="2"/>
        <v>608.42</v>
      </c>
      <c r="K2803" s="27">
        <f t="shared" si="3"/>
        <v>1</v>
      </c>
      <c r="L2803" s="25">
        <f t="shared" si="4"/>
        <v>1</v>
      </c>
    </row>
    <row r="2804">
      <c r="A2804" s="19">
        <v>79405.0</v>
      </c>
      <c r="B2804" s="20" t="str">
        <f t="array" ref="B2804">xlookup($A2804,product!$A:$A,product!B:B)</f>
        <v>Epicerie sucrée</v>
      </c>
      <c r="C2804" s="20" t="str">
        <f t="array" ref="C2804">xlookup($A2804,product!$A:$A,product!C:C)</f>
        <v>Miel et confiture</v>
      </c>
      <c r="D2804" s="20" t="str">
        <f t="array" ref="D2804">xlookup($A2804,product!$A:$A,product!D:D)</f>
        <v>Miels bio</v>
      </c>
      <c r="E2804" s="4" t="str">
        <f t="shared" si="1"/>
        <v>79405-Miel et confiture-Miels bio</v>
      </c>
      <c r="F2804" s="4">
        <v>1.0</v>
      </c>
      <c r="G2804" s="4">
        <v>877.0</v>
      </c>
      <c r="H2804" s="4">
        <v>211.0</v>
      </c>
      <c r="I2804" s="21">
        <f t="array" ref="I2804">XLOOKUP($A2804,product!A:A,product!E:E)</f>
        <v>11.75</v>
      </c>
      <c r="J2804" s="4">
        <f t="shared" si="2"/>
        <v>2479.25</v>
      </c>
      <c r="K2804" s="22">
        <f t="shared" si="3"/>
        <v>1</v>
      </c>
      <c r="L2804" s="4">
        <f t="shared" si="4"/>
        <v>1</v>
      </c>
    </row>
    <row r="2805">
      <c r="A2805" s="23">
        <v>80543.0</v>
      </c>
      <c r="B2805" s="24" t="str">
        <f t="array" ref="B2805">xlookup($A2805,product!$A:$A,product!B:B)</f>
        <v>Epicerie sucrée</v>
      </c>
      <c r="C2805" s="24" t="str">
        <f t="array" ref="C2805">xlookup($A2805,product!$A:$A,product!C:C)</f>
        <v>Miel et confiture</v>
      </c>
      <c r="D2805" s="24" t="str">
        <f t="array" ref="D2805">xlookup($A2805,product!$A:$A,product!D:D)</f>
        <v>Miels bio</v>
      </c>
      <c r="E2805" s="25" t="str">
        <f t="shared" si="1"/>
        <v>80543-Miel et confiture-Miels bio</v>
      </c>
      <c r="F2805" s="25">
        <v>1.0</v>
      </c>
      <c r="G2805" s="25">
        <v>656.0</v>
      </c>
      <c r="H2805" s="25">
        <v>178.0</v>
      </c>
      <c r="I2805" s="26">
        <f t="array" ref="I2805">XLOOKUP($A2805,product!A:A,product!E:E)</f>
        <v>9.86</v>
      </c>
      <c r="J2805" s="25">
        <f t="shared" si="2"/>
        <v>1755.08</v>
      </c>
      <c r="K2805" s="27">
        <f t="shared" si="3"/>
        <v>1</v>
      </c>
      <c r="L2805" s="25">
        <f t="shared" si="4"/>
        <v>1</v>
      </c>
    </row>
    <row r="2806">
      <c r="A2806" s="19">
        <v>14041.0</v>
      </c>
      <c r="B2806" s="20" t="str">
        <f t="array" ref="B2806">xlookup($A2806,product!$A:$A,product!B:B)</f>
        <v>Epicerie sucrée</v>
      </c>
      <c r="C2806" s="20" t="str">
        <f t="array" ref="C2806">xlookup($A2806,product!$A:$A,product!C:C)</f>
        <v>Miel et confiture</v>
      </c>
      <c r="D2806" s="20" t="str">
        <f t="array" ref="D2806">xlookup($A2806,product!$A:$A,product!D:D)</f>
        <v>Miels bio</v>
      </c>
      <c r="E2806" s="4" t="str">
        <f t="shared" si="1"/>
        <v>14041-Miel et confiture-Miels bio</v>
      </c>
      <c r="F2806" s="4">
        <v>0.0</v>
      </c>
      <c r="G2806" s="4">
        <v>533.0</v>
      </c>
      <c r="H2806" s="4">
        <v>432.0</v>
      </c>
      <c r="I2806" s="21">
        <f t="array" ref="I2806">XLOOKUP($A2806,product!A:A,product!E:E)</f>
        <v>12.57</v>
      </c>
      <c r="J2806" s="4">
        <f t="shared" si="2"/>
        <v>5430.24</v>
      </c>
      <c r="K2806" s="22">
        <f t="shared" si="3"/>
        <v>1</v>
      </c>
      <c r="L2806" s="4">
        <f t="shared" si="4"/>
        <v>1</v>
      </c>
    </row>
    <row r="2807">
      <c r="A2807" s="23">
        <v>70559.0</v>
      </c>
      <c r="B2807" s="24" t="str">
        <f t="array" ref="B2807">xlookup($A2807,product!$A:$A,product!B:B)</f>
        <v>Epicerie sucrée</v>
      </c>
      <c r="C2807" s="24" t="str">
        <f t="array" ref="C2807">xlookup($A2807,product!$A:$A,product!C:C)</f>
        <v>Miel et confiture</v>
      </c>
      <c r="D2807" s="24" t="str">
        <f t="array" ref="D2807">xlookup($A2807,product!$A:$A,product!D:D)</f>
        <v>Miels bio</v>
      </c>
      <c r="E2807" s="25" t="str">
        <f t="shared" si="1"/>
        <v>70559-Miel et confiture-Miels bio</v>
      </c>
      <c r="F2807" s="25">
        <v>1.0</v>
      </c>
      <c r="G2807" s="25">
        <v>825.0</v>
      </c>
      <c r="H2807" s="25">
        <v>317.0</v>
      </c>
      <c r="I2807" s="26">
        <f t="array" ref="I2807">XLOOKUP($A2807,product!A:A,product!E:E)</f>
        <v>7.99</v>
      </c>
      <c r="J2807" s="25">
        <f t="shared" si="2"/>
        <v>2532.83</v>
      </c>
      <c r="K2807" s="27">
        <f t="shared" si="3"/>
        <v>1</v>
      </c>
      <c r="L2807" s="25">
        <f t="shared" si="4"/>
        <v>1</v>
      </c>
    </row>
    <row r="2808">
      <c r="A2808" s="19">
        <v>80582.0</v>
      </c>
      <c r="B2808" s="20" t="str">
        <f t="array" ref="B2808">xlookup($A2808,product!$A:$A,product!B:B)</f>
        <v>Epicerie sucrée</v>
      </c>
      <c r="C2808" s="20" t="str">
        <f t="array" ref="C2808">xlookup($A2808,product!$A:$A,product!C:C)</f>
        <v>Miel et confiture</v>
      </c>
      <c r="D2808" s="20" t="str">
        <f t="array" ref="D2808">xlookup($A2808,product!$A:$A,product!D:D)</f>
        <v>Miels bio</v>
      </c>
      <c r="E2808" s="4" t="str">
        <f t="shared" si="1"/>
        <v>80582-Miel et confiture-Miels bio</v>
      </c>
      <c r="F2808" s="4">
        <v>0.0</v>
      </c>
      <c r="G2808" s="4">
        <v>693.0</v>
      </c>
      <c r="H2808" s="4">
        <v>100.0</v>
      </c>
      <c r="I2808" s="21">
        <f t="array" ref="I2808">XLOOKUP($A2808,product!A:A,product!E:E)</f>
        <v>9.3</v>
      </c>
      <c r="J2808" s="4">
        <f t="shared" si="2"/>
        <v>930</v>
      </c>
      <c r="K2808" s="22">
        <f t="shared" si="3"/>
        <v>1</v>
      </c>
      <c r="L2808" s="4">
        <f t="shared" si="4"/>
        <v>1</v>
      </c>
    </row>
    <row r="2809">
      <c r="A2809" s="23">
        <v>90004.0</v>
      </c>
      <c r="B2809" s="24" t="str">
        <f t="array" ref="B2809">xlookup($A2809,product!$A:$A,product!B:B)</f>
        <v>Epicerie sucrée</v>
      </c>
      <c r="C2809" s="24" t="str">
        <f t="array" ref="C2809">xlookup($A2809,product!$A:$A,product!C:C)</f>
        <v>Miel et confiture</v>
      </c>
      <c r="D2809" s="24" t="str">
        <f t="array" ref="D2809">xlookup($A2809,product!$A:$A,product!D:D)</f>
        <v>Miels bio</v>
      </c>
      <c r="E2809" s="25" t="str">
        <f t="shared" si="1"/>
        <v>90004-Miel et confiture-Miels bio</v>
      </c>
      <c r="F2809" s="25">
        <v>1.0</v>
      </c>
      <c r="G2809" s="25">
        <v>754.0</v>
      </c>
      <c r="H2809" s="25">
        <v>18.0</v>
      </c>
      <c r="I2809" s="26">
        <f t="array" ref="I2809">XLOOKUP($A2809,product!A:A,product!E:E)</f>
        <v>7.07</v>
      </c>
      <c r="J2809" s="25">
        <f t="shared" si="2"/>
        <v>127.26</v>
      </c>
      <c r="K2809" s="27">
        <f t="shared" si="3"/>
        <v>1</v>
      </c>
      <c r="L2809" s="25">
        <f t="shared" si="4"/>
        <v>1</v>
      </c>
    </row>
    <row r="2810">
      <c r="A2810" s="19">
        <v>117907.0</v>
      </c>
      <c r="B2810" s="20" t="str">
        <f t="array" ref="B2810">xlookup($A2810,product!$A:$A,product!B:B)</f>
        <v>Epicerie sucrée</v>
      </c>
      <c r="C2810" s="20" t="str">
        <f t="array" ref="C2810">xlookup($A2810,product!$A:$A,product!C:C)</f>
        <v>Miel et confiture</v>
      </c>
      <c r="D2810" s="20" t="str">
        <f t="array" ref="D2810">xlookup($A2810,product!$A:$A,product!D:D)</f>
        <v>Miels bio</v>
      </c>
      <c r="E2810" s="4" t="str">
        <f t="shared" si="1"/>
        <v>117907-Miel et confiture-Miels bio</v>
      </c>
      <c r="F2810" s="4">
        <v>1.0</v>
      </c>
      <c r="G2810" s="4">
        <v>450.0</v>
      </c>
      <c r="H2810" s="4">
        <v>93.0</v>
      </c>
      <c r="I2810" s="21">
        <f t="array" ref="I2810">XLOOKUP($A2810,product!A:A,product!E:E)</f>
        <v>3.35</v>
      </c>
      <c r="J2810" s="4">
        <f t="shared" si="2"/>
        <v>311.55</v>
      </c>
      <c r="K2810" s="22">
        <f t="shared" si="3"/>
        <v>1</v>
      </c>
      <c r="L2810" s="4">
        <f t="shared" si="4"/>
        <v>1</v>
      </c>
    </row>
    <row r="2811">
      <c r="A2811" s="23">
        <v>70542.0</v>
      </c>
      <c r="B2811" s="24" t="str">
        <f t="array" ref="B2811">xlookup($A2811,product!$A:$A,product!B:B)</f>
        <v>Epicerie sucrée</v>
      </c>
      <c r="C2811" s="24" t="str">
        <f t="array" ref="C2811">xlookup($A2811,product!$A:$A,product!C:C)</f>
        <v>Miel et confiture</v>
      </c>
      <c r="D2811" s="24" t="str">
        <f t="array" ref="D2811">xlookup($A2811,product!$A:$A,product!D:D)</f>
        <v>Miels bio</v>
      </c>
      <c r="E2811" s="25" t="str">
        <f t="shared" si="1"/>
        <v>70542-Miel et confiture-Miels bio</v>
      </c>
      <c r="F2811" s="25">
        <v>1.0</v>
      </c>
      <c r="G2811" s="25">
        <v>943.0</v>
      </c>
      <c r="H2811" s="25">
        <v>525.0</v>
      </c>
      <c r="I2811" s="26">
        <f t="array" ref="I2811">XLOOKUP($A2811,product!A:A,product!E:E)</f>
        <v>6.63</v>
      </c>
      <c r="J2811" s="25">
        <f t="shared" si="2"/>
        <v>3480.75</v>
      </c>
      <c r="K2811" s="27">
        <f t="shared" si="3"/>
        <v>1</v>
      </c>
      <c r="L2811" s="25">
        <f t="shared" si="4"/>
        <v>1</v>
      </c>
    </row>
    <row r="2812">
      <c r="A2812" s="19">
        <v>81210.0</v>
      </c>
      <c r="B2812" s="20" t="str">
        <f t="array" ref="B2812">xlookup($A2812,product!$A:$A,product!B:B)</f>
        <v>Epicerie sucrée</v>
      </c>
      <c r="C2812" s="20" t="str">
        <f t="array" ref="C2812">xlookup($A2812,product!$A:$A,product!C:C)</f>
        <v>Miel et confiture</v>
      </c>
      <c r="D2812" s="20" t="str">
        <f t="array" ref="D2812">xlookup($A2812,product!$A:$A,product!D:D)</f>
        <v>Miels bio</v>
      </c>
      <c r="E2812" s="4" t="str">
        <f t="shared" si="1"/>
        <v>81210-Miel et confiture-Miels bio</v>
      </c>
      <c r="F2812" s="4">
        <v>0.0</v>
      </c>
      <c r="G2812" s="4">
        <v>948.0</v>
      </c>
      <c r="H2812" s="4">
        <v>319.0</v>
      </c>
      <c r="I2812" s="21">
        <f t="array" ref="I2812">XLOOKUP($A2812,product!A:A,product!E:E)</f>
        <v>2.79</v>
      </c>
      <c r="J2812" s="4">
        <f t="shared" si="2"/>
        <v>890.01</v>
      </c>
      <c r="K2812" s="22">
        <f t="shared" si="3"/>
        <v>1</v>
      </c>
      <c r="L2812" s="4">
        <f t="shared" si="4"/>
        <v>1</v>
      </c>
    </row>
    <row r="2813">
      <c r="A2813" s="23">
        <v>81211.0</v>
      </c>
      <c r="B2813" s="24" t="str">
        <f t="array" ref="B2813">xlookup($A2813,product!$A:$A,product!B:B)</f>
        <v>Epicerie sucrée</v>
      </c>
      <c r="C2813" s="24" t="str">
        <f t="array" ref="C2813">xlookup($A2813,product!$A:$A,product!C:C)</f>
        <v>Miel et confiture</v>
      </c>
      <c r="D2813" s="24" t="str">
        <f t="array" ref="D2813">xlookup($A2813,product!$A:$A,product!D:D)</f>
        <v>Miels bio</v>
      </c>
      <c r="E2813" s="25" t="str">
        <f t="shared" si="1"/>
        <v>81211-Miel et confiture-Miels bio</v>
      </c>
      <c r="F2813" s="25">
        <v>0.0</v>
      </c>
      <c r="G2813" s="25">
        <v>179.0</v>
      </c>
      <c r="H2813" s="25">
        <v>109.0</v>
      </c>
      <c r="I2813" s="26">
        <f t="array" ref="I2813">XLOOKUP($A2813,product!A:A,product!E:E)</f>
        <v>3.07</v>
      </c>
      <c r="J2813" s="25">
        <f t="shared" si="2"/>
        <v>334.63</v>
      </c>
      <c r="K2813" s="27">
        <f t="shared" si="3"/>
        <v>1</v>
      </c>
      <c r="L2813" s="25">
        <f t="shared" si="4"/>
        <v>1</v>
      </c>
    </row>
    <row r="2814">
      <c r="A2814" s="19">
        <v>80573.0</v>
      </c>
      <c r="B2814" s="20" t="str">
        <f t="array" ref="B2814">xlookup($A2814,product!$A:$A,product!B:B)</f>
        <v>Epicerie sucrée</v>
      </c>
      <c r="C2814" s="20" t="str">
        <f t="array" ref="C2814">xlookup($A2814,product!$A:$A,product!C:C)</f>
        <v>Miel et confiture</v>
      </c>
      <c r="D2814" s="20" t="str">
        <f t="array" ref="D2814">xlookup($A2814,product!$A:$A,product!D:D)</f>
        <v>Miels bio</v>
      </c>
      <c r="E2814" s="4" t="str">
        <f t="shared" si="1"/>
        <v>80573-Miel et confiture-Miels bio</v>
      </c>
      <c r="F2814" s="4">
        <v>1.0</v>
      </c>
      <c r="G2814" s="4">
        <v>737.0</v>
      </c>
      <c r="H2814" s="4">
        <v>697.0</v>
      </c>
      <c r="I2814" s="21">
        <f t="array" ref="I2814">XLOOKUP($A2814,product!A:A,product!E:E)</f>
        <v>6.71</v>
      </c>
      <c r="J2814" s="4">
        <f t="shared" si="2"/>
        <v>4676.87</v>
      </c>
      <c r="K2814" s="22">
        <f t="shared" si="3"/>
        <v>1</v>
      </c>
      <c r="L2814" s="4">
        <f t="shared" si="4"/>
        <v>1</v>
      </c>
    </row>
    <row r="2815">
      <c r="A2815" s="23">
        <v>117909.0</v>
      </c>
      <c r="B2815" s="24" t="str">
        <f t="array" ref="B2815">xlookup($A2815,product!$A:$A,product!B:B)</f>
        <v>Epicerie sucrée</v>
      </c>
      <c r="C2815" s="24" t="str">
        <f t="array" ref="C2815">xlookup($A2815,product!$A:$A,product!C:C)</f>
        <v>Miel et confiture</v>
      </c>
      <c r="D2815" s="24" t="str">
        <f t="array" ref="D2815">xlookup($A2815,product!$A:$A,product!D:D)</f>
        <v>Miels bio</v>
      </c>
      <c r="E2815" s="25" t="str">
        <f t="shared" si="1"/>
        <v>117909-Miel et confiture-Miels bio</v>
      </c>
      <c r="F2815" s="25">
        <v>1.0</v>
      </c>
      <c r="G2815" s="25">
        <v>349.0</v>
      </c>
      <c r="H2815" s="25">
        <v>41.0</v>
      </c>
      <c r="I2815" s="26">
        <f t="array" ref="I2815">XLOOKUP($A2815,product!A:A,product!E:E)</f>
        <v>3.35</v>
      </c>
      <c r="J2815" s="25">
        <f t="shared" si="2"/>
        <v>137.35</v>
      </c>
      <c r="K2815" s="27">
        <f t="shared" si="3"/>
        <v>1</v>
      </c>
      <c r="L2815" s="25">
        <f t="shared" si="4"/>
        <v>1</v>
      </c>
    </row>
    <row r="2816">
      <c r="A2816" s="19">
        <v>80584.0</v>
      </c>
      <c r="B2816" s="20" t="str">
        <f t="array" ref="B2816">xlookup($A2816,product!$A:$A,product!B:B)</f>
        <v>Epicerie sucrée</v>
      </c>
      <c r="C2816" s="20" t="str">
        <f t="array" ref="C2816">xlookup($A2816,product!$A:$A,product!C:C)</f>
        <v>Miel et confiture</v>
      </c>
      <c r="D2816" s="20" t="str">
        <f t="array" ref="D2816">xlookup($A2816,product!$A:$A,product!D:D)</f>
        <v>Miels bio</v>
      </c>
      <c r="E2816" s="4" t="str">
        <f t="shared" si="1"/>
        <v>80584-Miel et confiture-Miels bio</v>
      </c>
      <c r="F2816" s="4">
        <v>0.0</v>
      </c>
      <c r="G2816" s="4">
        <v>33.0</v>
      </c>
      <c r="H2816" s="4">
        <v>8.0</v>
      </c>
      <c r="I2816" s="21">
        <f t="array" ref="I2816">XLOOKUP($A2816,product!A:A,product!E:E)</f>
        <v>12.3</v>
      </c>
      <c r="J2816" s="4">
        <f t="shared" si="2"/>
        <v>98.4</v>
      </c>
      <c r="K2816" s="22">
        <f t="shared" si="3"/>
        <v>1</v>
      </c>
      <c r="L2816" s="4">
        <f t="shared" si="4"/>
        <v>1</v>
      </c>
    </row>
    <row r="2817">
      <c r="A2817" s="23">
        <v>80550.0</v>
      </c>
      <c r="B2817" s="24" t="str">
        <f t="array" ref="B2817">xlookup($A2817,product!$A:$A,product!B:B)</f>
        <v>Epicerie sucrée</v>
      </c>
      <c r="C2817" s="24" t="str">
        <f t="array" ref="C2817">xlookup($A2817,product!$A:$A,product!C:C)</f>
        <v>Miel et confiture</v>
      </c>
      <c r="D2817" s="24" t="str">
        <f t="array" ref="D2817">xlookup($A2817,product!$A:$A,product!D:D)</f>
        <v>Miels bio</v>
      </c>
      <c r="E2817" s="25" t="str">
        <f t="shared" si="1"/>
        <v>80550-Miel et confiture-Miels bio</v>
      </c>
      <c r="F2817" s="25">
        <v>1.0</v>
      </c>
      <c r="G2817" s="25">
        <v>884.0</v>
      </c>
      <c r="H2817" s="25">
        <v>868.0</v>
      </c>
      <c r="I2817" s="26">
        <f t="array" ref="I2817">XLOOKUP($A2817,product!A:A,product!E:E)</f>
        <v>7.51</v>
      </c>
      <c r="J2817" s="25">
        <f t="shared" si="2"/>
        <v>6518.68</v>
      </c>
      <c r="K2817" s="27">
        <f t="shared" si="3"/>
        <v>1</v>
      </c>
      <c r="L2817" s="25">
        <f t="shared" si="4"/>
        <v>1</v>
      </c>
    </row>
    <row r="2818">
      <c r="A2818" s="19">
        <v>81227.0</v>
      </c>
      <c r="B2818" s="20" t="str">
        <f t="array" ref="B2818">xlookup($A2818,product!$A:$A,product!B:B)</f>
        <v>Epicerie sucrée</v>
      </c>
      <c r="C2818" s="20" t="str">
        <f t="array" ref="C2818">xlookup($A2818,product!$A:$A,product!C:C)</f>
        <v>Miel et confiture</v>
      </c>
      <c r="D2818" s="20" t="str">
        <f t="array" ref="D2818">xlookup($A2818,product!$A:$A,product!D:D)</f>
        <v>Miels bio</v>
      </c>
      <c r="E2818" s="4" t="str">
        <f t="shared" si="1"/>
        <v>81227-Miel et confiture-Miels bio</v>
      </c>
      <c r="F2818" s="4">
        <v>0.0</v>
      </c>
      <c r="G2818" s="4">
        <v>172.0</v>
      </c>
      <c r="H2818" s="4">
        <v>50.0</v>
      </c>
      <c r="I2818" s="21">
        <f t="array" ref="I2818">XLOOKUP($A2818,product!A:A,product!E:E)</f>
        <v>3.87</v>
      </c>
      <c r="J2818" s="4">
        <f t="shared" si="2"/>
        <v>193.5</v>
      </c>
      <c r="K2818" s="22">
        <f t="shared" si="3"/>
        <v>1</v>
      </c>
      <c r="L2818" s="4">
        <f t="shared" si="4"/>
        <v>1</v>
      </c>
    </row>
    <row r="2819">
      <c r="A2819" s="23">
        <v>80578.0</v>
      </c>
      <c r="B2819" s="24" t="str">
        <f t="array" ref="B2819">xlookup($A2819,product!$A:$A,product!B:B)</f>
        <v>Epicerie sucrée</v>
      </c>
      <c r="C2819" s="24" t="str">
        <f t="array" ref="C2819">xlookup($A2819,product!$A:$A,product!C:C)</f>
        <v>Miel et confiture</v>
      </c>
      <c r="D2819" s="24" t="str">
        <f t="array" ref="D2819">xlookup($A2819,product!$A:$A,product!D:D)</f>
        <v>Miels bio</v>
      </c>
      <c r="E2819" s="25" t="str">
        <f t="shared" si="1"/>
        <v>80578-Miel et confiture-Miels bio</v>
      </c>
      <c r="F2819" s="25">
        <v>0.0</v>
      </c>
      <c r="G2819" s="25">
        <v>25.0</v>
      </c>
      <c r="H2819" s="25">
        <v>22.0</v>
      </c>
      <c r="I2819" s="26">
        <f t="array" ref="I2819">XLOOKUP($A2819,product!A:A,product!E:E)</f>
        <v>10.06</v>
      </c>
      <c r="J2819" s="25">
        <f t="shared" si="2"/>
        <v>221.32</v>
      </c>
      <c r="K2819" s="27">
        <f t="shared" si="3"/>
        <v>1</v>
      </c>
      <c r="L2819" s="25">
        <f t="shared" si="4"/>
        <v>1</v>
      </c>
    </row>
    <row r="2820">
      <c r="A2820" s="19">
        <v>110595.0</v>
      </c>
      <c r="B2820" s="20" t="str">
        <f t="array" ref="B2820">xlookup($A2820,product!$A:$A,product!B:B)</f>
        <v>Epicerie sucrée</v>
      </c>
      <c r="C2820" s="20" t="str">
        <f t="array" ref="C2820">xlookup($A2820,product!$A:$A,product!C:C)</f>
        <v>Miel et confiture</v>
      </c>
      <c r="D2820" s="20" t="str">
        <f t="array" ref="D2820">xlookup($A2820,product!$A:$A,product!D:D)</f>
        <v>Miels bio</v>
      </c>
      <c r="E2820" s="4" t="str">
        <f t="shared" si="1"/>
        <v>110595-Miel et confiture-Miels bio</v>
      </c>
      <c r="F2820" s="4">
        <v>0.0</v>
      </c>
      <c r="G2820" s="4">
        <v>966.0</v>
      </c>
      <c r="H2820" s="4">
        <v>899.0</v>
      </c>
      <c r="I2820" s="21">
        <f t="array" ref="I2820">XLOOKUP($A2820,product!A:A,product!E:E)</f>
        <v>5.39</v>
      </c>
      <c r="J2820" s="4">
        <f t="shared" si="2"/>
        <v>4845.61</v>
      </c>
      <c r="K2820" s="22">
        <f t="shared" si="3"/>
        <v>1</v>
      </c>
      <c r="L2820" s="4">
        <f t="shared" si="4"/>
        <v>1</v>
      </c>
    </row>
    <row r="2821">
      <c r="A2821" s="23">
        <v>70557.0</v>
      </c>
      <c r="B2821" s="24" t="str">
        <f t="array" ref="B2821">xlookup($A2821,product!$A:$A,product!B:B)</f>
        <v>Epicerie sucrée</v>
      </c>
      <c r="C2821" s="24" t="str">
        <f t="array" ref="C2821">xlookup($A2821,product!$A:$A,product!C:C)</f>
        <v>Miel et confiture</v>
      </c>
      <c r="D2821" s="24" t="str">
        <f t="array" ref="D2821">xlookup($A2821,product!$A:$A,product!D:D)</f>
        <v>Miels bio</v>
      </c>
      <c r="E2821" s="25" t="str">
        <f t="shared" si="1"/>
        <v>70557-Miel et confiture-Miels bio</v>
      </c>
      <c r="F2821" s="25">
        <v>0.0</v>
      </c>
      <c r="G2821" s="25">
        <v>287.0</v>
      </c>
      <c r="H2821" s="25">
        <v>265.0</v>
      </c>
      <c r="I2821" s="26">
        <f t="array" ref="I2821">XLOOKUP($A2821,product!A:A,product!E:E)</f>
        <v>10.77</v>
      </c>
      <c r="J2821" s="25">
        <f t="shared" si="2"/>
        <v>2854.05</v>
      </c>
      <c r="K2821" s="27">
        <f t="shared" si="3"/>
        <v>1</v>
      </c>
      <c r="L2821" s="25">
        <f t="shared" si="4"/>
        <v>1</v>
      </c>
    </row>
    <row r="2822">
      <c r="A2822" s="19">
        <v>147284.0</v>
      </c>
      <c r="B2822" s="20" t="str">
        <f t="array" ref="B2822">xlookup($A2822,product!$A:$A,product!B:B)</f>
        <v>Epicerie sucrée</v>
      </c>
      <c r="C2822" s="20" t="str">
        <f t="array" ref="C2822">xlookup($A2822,product!$A:$A,product!C:C)</f>
        <v>Miel et confiture</v>
      </c>
      <c r="D2822" s="20" t="str">
        <f t="array" ref="D2822">xlookup($A2822,product!$A:$A,product!D:D)</f>
        <v>Miels bio</v>
      </c>
      <c r="E2822" s="4" t="str">
        <f t="shared" si="1"/>
        <v>147284-Miel et confiture-Miels bio</v>
      </c>
      <c r="F2822" s="4">
        <v>1.0</v>
      </c>
      <c r="G2822" s="4">
        <v>736.0</v>
      </c>
      <c r="H2822" s="4">
        <v>88.0</v>
      </c>
      <c r="I2822" s="21">
        <f t="array" ref="I2822">XLOOKUP($A2822,product!A:A,product!E:E)</f>
        <v>6.02</v>
      </c>
      <c r="J2822" s="4">
        <f t="shared" si="2"/>
        <v>529.76</v>
      </c>
      <c r="K2822" s="22">
        <f t="shared" si="3"/>
        <v>1</v>
      </c>
      <c r="L2822" s="4">
        <f t="shared" si="4"/>
        <v>1</v>
      </c>
    </row>
    <row r="2823">
      <c r="A2823" s="23">
        <v>70553.0</v>
      </c>
      <c r="B2823" s="24" t="str">
        <f t="array" ref="B2823">xlookup($A2823,product!$A:$A,product!B:B)</f>
        <v>Epicerie sucrée</v>
      </c>
      <c r="C2823" s="24" t="str">
        <f t="array" ref="C2823">xlookup($A2823,product!$A:$A,product!C:C)</f>
        <v>Miel et confiture</v>
      </c>
      <c r="D2823" s="24" t="str">
        <f t="array" ref="D2823">xlookup($A2823,product!$A:$A,product!D:D)</f>
        <v>Miels bio</v>
      </c>
      <c r="E2823" s="25" t="str">
        <f t="shared" si="1"/>
        <v>70553-Miel et confiture-Miels bio</v>
      </c>
      <c r="F2823" s="25">
        <v>0.0</v>
      </c>
      <c r="G2823" s="25">
        <v>304.0</v>
      </c>
      <c r="H2823" s="25">
        <v>299.0</v>
      </c>
      <c r="I2823" s="26">
        <f t="array" ref="I2823">XLOOKUP($A2823,product!A:A,product!E:E)</f>
        <v>7.25</v>
      </c>
      <c r="J2823" s="25">
        <f t="shared" si="2"/>
        <v>2167.75</v>
      </c>
      <c r="K2823" s="27">
        <f t="shared" si="3"/>
        <v>1</v>
      </c>
      <c r="L2823" s="25">
        <f t="shared" si="4"/>
        <v>1</v>
      </c>
    </row>
    <row r="2824">
      <c r="A2824" s="19">
        <v>81212.0</v>
      </c>
      <c r="B2824" s="20" t="str">
        <f t="array" ref="B2824">xlookup($A2824,product!$A:$A,product!B:B)</f>
        <v>Epicerie sucrée</v>
      </c>
      <c r="C2824" s="20" t="str">
        <f t="array" ref="C2824">xlookup($A2824,product!$A:$A,product!C:C)</f>
        <v>Miel et confiture</v>
      </c>
      <c r="D2824" s="20" t="str">
        <f t="array" ref="D2824">xlookup($A2824,product!$A:$A,product!D:D)</f>
        <v>Miels bio</v>
      </c>
      <c r="E2824" s="4" t="str">
        <f t="shared" si="1"/>
        <v>81212-Miel et confiture-Miels bio</v>
      </c>
      <c r="F2824" s="4">
        <v>0.0</v>
      </c>
      <c r="G2824" s="4">
        <v>238.0</v>
      </c>
      <c r="H2824" s="4">
        <v>10.0</v>
      </c>
      <c r="I2824" s="21">
        <f t="array" ref="I2824">XLOOKUP($A2824,product!A:A,product!E:E)</f>
        <v>3.35</v>
      </c>
      <c r="J2824" s="4">
        <f t="shared" si="2"/>
        <v>33.5</v>
      </c>
      <c r="K2824" s="22">
        <f t="shared" si="3"/>
        <v>1</v>
      </c>
      <c r="L2824" s="4">
        <f t="shared" si="4"/>
        <v>1</v>
      </c>
    </row>
    <row r="2825">
      <c r="A2825" s="23">
        <v>120427.0</v>
      </c>
      <c r="B2825" s="24" t="str">
        <f t="array" ref="B2825">xlookup($A2825,product!$A:$A,product!B:B)</f>
        <v>Epicerie sucrée</v>
      </c>
      <c r="C2825" s="24" t="str">
        <f t="array" ref="C2825">xlookup($A2825,product!$A:$A,product!C:C)</f>
        <v>Miel et confiture</v>
      </c>
      <c r="D2825" s="24" t="str">
        <f t="array" ref="D2825">xlookup($A2825,product!$A:$A,product!D:D)</f>
        <v>Miels bio</v>
      </c>
      <c r="E2825" s="25" t="str">
        <f t="shared" si="1"/>
        <v>120427-Miel et confiture-Miels bio</v>
      </c>
      <c r="F2825" s="25">
        <v>1.0</v>
      </c>
      <c r="G2825" s="25">
        <v>720.0</v>
      </c>
      <c r="H2825" s="25">
        <v>580.0</v>
      </c>
      <c r="I2825" s="26">
        <f t="array" ref="I2825">XLOOKUP($A2825,product!A:A,product!E:E)</f>
        <v>2.67</v>
      </c>
      <c r="J2825" s="25">
        <f t="shared" si="2"/>
        <v>1548.6</v>
      </c>
      <c r="K2825" s="27">
        <f t="shared" si="3"/>
        <v>1</v>
      </c>
      <c r="L2825" s="25">
        <f t="shared" si="4"/>
        <v>1</v>
      </c>
    </row>
    <row r="2826">
      <c r="A2826" s="19">
        <v>46049.0</v>
      </c>
      <c r="B2826" s="20" t="str">
        <f t="array" ref="B2826">xlookup($A2826,product!$A:$A,product!B:B)</f>
        <v>Epicerie salée</v>
      </c>
      <c r="C2826" s="20" t="str">
        <f t="array" ref="C2826">xlookup($A2826,product!$A:$A,product!C:C)</f>
        <v>Pain et biscottes</v>
      </c>
      <c r="D2826" s="20" t="str">
        <f t="array" ref="D2826">xlookup($A2826,product!$A:$A,product!D:D)</f>
        <v>Pain, pain précuit</v>
      </c>
      <c r="E2826" s="4" t="str">
        <f t="shared" si="1"/>
        <v>46049-Pain et biscottes-Pain, pain précuit</v>
      </c>
      <c r="F2826" s="4">
        <v>1.0</v>
      </c>
      <c r="G2826" s="4">
        <v>849.0</v>
      </c>
      <c r="H2826" s="4">
        <v>622.0</v>
      </c>
      <c r="I2826" s="21">
        <f t="array" ref="I2826">XLOOKUP($A2826,product!A:A,product!E:E)</f>
        <v>1.62</v>
      </c>
      <c r="J2826" s="4">
        <f t="shared" si="2"/>
        <v>1007.64</v>
      </c>
      <c r="K2826" s="22">
        <f t="shared" si="3"/>
        <v>1</v>
      </c>
      <c r="L2826" s="4">
        <f t="shared" si="4"/>
        <v>1</v>
      </c>
    </row>
    <row r="2827">
      <c r="A2827" s="23">
        <v>46039.0</v>
      </c>
      <c r="B2827" s="24" t="str">
        <f t="array" ref="B2827">xlookup($A2827,product!$A:$A,product!B:B)</f>
        <v>Epicerie salée</v>
      </c>
      <c r="C2827" s="24" t="str">
        <f t="array" ref="C2827">xlookup($A2827,product!$A:$A,product!C:C)</f>
        <v>Pain et biscottes</v>
      </c>
      <c r="D2827" s="24" t="str">
        <f t="array" ref="D2827">xlookup($A2827,product!$A:$A,product!D:D)</f>
        <v>Pain, pain précuit</v>
      </c>
      <c r="E2827" s="25" t="str">
        <f t="shared" si="1"/>
        <v>46039-Pain et biscottes-Pain, pain précuit</v>
      </c>
      <c r="F2827" s="25">
        <v>1.0</v>
      </c>
      <c r="G2827" s="25">
        <v>402.0</v>
      </c>
      <c r="H2827" s="25">
        <v>244.0</v>
      </c>
      <c r="I2827" s="26">
        <f t="array" ref="I2827">XLOOKUP($A2827,product!A:A,product!E:E)</f>
        <v>2.39</v>
      </c>
      <c r="J2827" s="25">
        <f t="shared" si="2"/>
        <v>583.16</v>
      </c>
      <c r="K2827" s="27">
        <f t="shared" si="3"/>
        <v>1</v>
      </c>
      <c r="L2827" s="25">
        <f t="shared" si="4"/>
        <v>1</v>
      </c>
    </row>
    <row r="2828">
      <c r="A2828" s="19">
        <v>46037.0</v>
      </c>
      <c r="B2828" s="20" t="str">
        <f t="array" ref="B2828">xlookup($A2828,product!$A:$A,product!B:B)</f>
        <v>Epicerie salée</v>
      </c>
      <c r="C2828" s="20" t="str">
        <f t="array" ref="C2828">xlookup($A2828,product!$A:$A,product!C:C)</f>
        <v>Pain et biscottes</v>
      </c>
      <c r="D2828" s="20" t="str">
        <f t="array" ref="D2828">xlookup($A2828,product!$A:$A,product!D:D)</f>
        <v>Pain, pain précuit</v>
      </c>
      <c r="E2828" s="4" t="str">
        <f t="shared" si="1"/>
        <v>46037-Pain et biscottes-Pain, pain précuit</v>
      </c>
      <c r="F2828" s="4">
        <v>0.0</v>
      </c>
      <c r="G2828" s="4">
        <v>832.0</v>
      </c>
      <c r="H2828" s="4">
        <v>602.0</v>
      </c>
      <c r="I2828" s="21">
        <f t="array" ref="I2828">XLOOKUP($A2828,product!A:A,product!E:E)</f>
        <v>2.26</v>
      </c>
      <c r="J2828" s="4">
        <f t="shared" si="2"/>
        <v>1360.52</v>
      </c>
      <c r="K2828" s="22">
        <f t="shared" si="3"/>
        <v>1</v>
      </c>
      <c r="L2828" s="4">
        <f t="shared" si="4"/>
        <v>1</v>
      </c>
    </row>
    <row r="2829">
      <c r="A2829" s="23">
        <v>88965.0</v>
      </c>
      <c r="B2829" s="24" t="str">
        <f t="array" ref="B2829">xlookup($A2829,product!$A:$A,product!B:B)</f>
        <v>Epicerie salée</v>
      </c>
      <c r="C2829" s="24" t="str">
        <f t="array" ref="C2829">xlookup($A2829,product!$A:$A,product!C:C)</f>
        <v>Pain et biscottes</v>
      </c>
      <c r="D2829" s="24" t="str">
        <f t="array" ref="D2829">xlookup($A2829,product!$A:$A,product!D:D)</f>
        <v>Pain, pain précuit</v>
      </c>
      <c r="E2829" s="25" t="str">
        <f t="shared" si="1"/>
        <v>88965-Pain et biscottes-Pain, pain précuit</v>
      </c>
      <c r="F2829" s="25">
        <v>1.0</v>
      </c>
      <c r="G2829" s="25">
        <v>910.0</v>
      </c>
      <c r="H2829" s="25">
        <v>668.0</v>
      </c>
      <c r="I2829" s="26">
        <f t="array" ref="I2829">XLOOKUP($A2829,product!A:A,product!E:E)</f>
        <v>3.05</v>
      </c>
      <c r="J2829" s="25">
        <f t="shared" si="2"/>
        <v>2037.4</v>
      </c>
      <c r="K2829" s="27">
        <f t="shared" si="3"/>
        <v>1</v>
      </c>
      <c r="L2829" s="25">
        <f t="shared" si="4"/>
        <v>1</v>
      </c>
    </row>
    <row r="2830">
      <c r="A2830" s="19">
        <v>102614.0</v>
      </c>
      <c r="B2830" s="20" t="str">
        <f t="array" ref="B2830">xlookup($A2830,product!$A:$A,product!B:B)</f>
        <v>Epicerie salée</v>
      </c>
      <c r="C2830" s="20" t="str">
        <f t="array" ref="C2830">xlookup($A2830,product!$A:$A,product!C:C)</f>
        <v>Pain et biscottes</v>
      </c>
      <c r="D2830" s="20" t="str">
        <f t="array" ref="D2830">xlookup($A2830,product!$A:$A,product!D:D)</f>
        <v>Pain, pain précuit</v>
      </c>
      <c r="E2830" s="4" t="str">
        <f t="shared" si="1"/>
        <v>102614-Pain et biscottes-Pain, pain précuit</v>
      </c>
      <c r="F2830" s="4">
        <v>0.0</v>
      </c>
      <c r="G2830" s="4">
        <v>761.0</v>
      </c>
      <c r="H2830" s="4">
        <v>130.0</v>
      </c>
      <c r="I2830" s="21">
        <f t="array" ref="I2830">XLOOKUP($A2830,product!A:A,product!E:E)</f>
        <v>3.52</v>
      </c>
      <c r="J2830" s="4">
        <f t="shared" si="2"/>
        <v>457.6</v>
      </c>
      <c r="K2830" s="22">
        <f t="shared" si="3"/>
        <v>1</v>
      </c>
      <c r="L2830" s="4">
        <f t="shared" si="4"/>
        <v>1</v>
      </c>
    </row>
    <row r="2831">
      <c r="A2831" s="23">
        <v>122704.0</v>
      </c>
      <c r="B2831" s="24" t="str">
        <f t="array" ref="B2831">xlookup($A2831,product!$A:$A,product!B:B)</f>
        <v>Epicerie salée</v>
      </c>
      <c r="C2831" s="24" t="str">
        <f t="array" ref="C2831">xlookup($A2831,product!$A:$A,product!C:C)</f>
        <v>Pain et biscottes</v>
      </c>
      <c r="D2831" s="24" t="str">
        <f t="array" ref="D2831">xlookup($A2831,product!$A:$A,product!D:D)</f>
        <v>Pain, pain précuit</v>
      </c>
      <c r="E2831" s="25" t="str">
        <f t="shared" si="1"/>
        <v>122704-Pain et biscottes-Pain, pain précuit</v>
      </c>
      <c r="F2831" s="25">
        <v>0.0</v>
      </c>
      <c r="G2831" s="25">
        <v>417.0</v>
      </c>
      <c r="H2831" s="25">
        <v>411.0</v>
      </c>
      <c r="I2831" s="26">
        <f t="array" ref="I2831">XLOOKUP($A2831,product!A:A,product!E:E)</f>
        <v>1.95</v>
      </c>
      <c r="J2831" s="25">
        <f t="shared" si="2"/>
        <v>801.45</v>
      </c>
      <c r="K2831" s="27">
        <f t="shared" si="3"/>
        <v>1</v>
      </c>
      <c r="L2831" s="25">
        <f t="shared" si="4"/>
        <v>1</v>
      </c>
    </row>
    <row r="2832">
      <c r="A2832" s="19">
        <v>164902.0</v>
      </c>
      <c r="B2832" s="20" t="str">
        <f t="array" ref="B2832">xlookup($A2832,product!$A:$A,product!B:B)</f>
        <v>Epicerie salée</v>
      </c>
      <c r="C2832" s="20" t="str">
        <f t="array" ref="C2832">xlookup($A2832,product!$A:$A,product!C:C)</f>
        <v>Pain et biscottes</v>
      </c>
      <c r="D2832" s="20" t="str">
        <f t="array" ref="D2832">xlookup($A2832,product!$A:$A,product!D:D)</f>
        <v>Pain, pain précuit</v>
      </c>
      <c r="E2832" s="4" t="str">
        <f t="shared" si="1"/>
        <v>164902-Pain et biscottes-Pain, pain précuit</v>
      </c>
      <c r="F2832" s="4">
        <v>0.0</v>
      </c>
      <c r="G2832" s="4">
        <v>111.0</v>
      </c>
      <c r="H2832" s="4">
        <v>88.0</v>
      </c>
      <c r="I2832" s="21">
        <f t="array" ref="I2832">XLOOKUP($A2832,product!A:A,product!E:E)</f>
        <v>1.92</v>
      </c>
      <c r="J2832" s="4">
        <f t="shared" si="2"/>
        <v>168.96</v>
      </c>
      <c r="K2832" s="22">
        <f t="shared" si="3"/>
        <v>1</v>
      </c>
      <c r="L2832" s="4">
        <f t="shared" si="4"/>
        <v>1</v>
      </c>
    </row>
    <row r="2833">
      <c r="A2833" s="23">
        <v>117783.0</v>
      </c>
      <c r="B2833" s="24" t="str">
        <f t="array" ref="B2833">xlookup($A2833,product!$A:$A,product!B:B)</f>
        <v>Epicerie salée</v>
      </c>
      <c r="C2833" s="24" t="str">
        <f t="array" ref="C2833">xlookup($A2833,product!$A:$A,product!C:C)</f>
        <v>Pain et biscottes</v>
      </c>
      <c r="D2833" s="24" t="str">
        <f t="array" ref="D2833">xlookup($A2833,product!$A:$A,product!D:D)</f>
        <v>Pain, pain précuit</v>
      </c>
      <c r="E2833" s="25" t="str">
        <f t="shared" si="1"/>
        <v>117783-Pain et biscottes-Pain, pain précuit</v>
      </c>
      <c r="F2833" s="25">
        <v>0.0</v>
      </c>
      <c r="G2833" s="25">
        <v>146.0</v>
      </c>
      <c r="H2833" s="25">
        <v>117.0</v>
      </c>
      <c r="I2833" s="26">
        <f t="array" ref="I2833">XLOOKUP($A2833,product!A:A,product!E:E)</f>
        <v>1.55</v>
      </c>
      <c r="J2833" s="25">
        <f t="shared" si="2"/>
        <v>181.35</v>
      </c>
      <c r="K2833" s="27">
        <f t="shared" si="3"/>
        <v>1</v>
      </c>
      <c r="L2833" s="25">
        <f t="shared" si="4"/>
        <v>1</v>
      </c>
    </row>
    <row r="2834">
      <c r="A2834" s="19">
        <v>114278.0</v>
      </c>
      <c r="B2834" s="20" t="str">
        <f t="array" ref="B2834">xlookup($A2834,product!$A:$A,product!B:B)</f>
        <v>Epicerie salée</v>
      </c>
      <c r="C2834" s="20" t="str">
        <f t="array" ref="C2834">xlookup($A2834,product!$A:$A,product!C:C)</f>
        <v>Pain et biscottes</v>
      </c>
      <c r="D2834" s="20" t="str">
        <f t="array" ref="D2834">xlookup($A2834,product!$A:$A,product!D:D)</f>
        <v>Pain, pain précuit</v>
      </c>
      <c r="E2834" s="4" t="str">
        <f t="shared" si="1"/>
        <v>114278-Pain et biscottes-Pain, pain précuit</v>
      </c>
      <c r="F2834" s="4">
        <v>0.0</v>
      </c>
      <c r="G2834" s="4">
        <v>420.0</v>
      </c>
      <c r="H2834" s="4">
        <v>200.0</v>
      </c>
      <c r="I2834" s="21">
        <f t="array" ref="I2834">XLOOKUP($A2834,product!A:A,product!E:E)</f>
        <v>1.85</v>
      </c>
      <c r="J2834" s="4">
        <f t="shared" si="2"/>
        <v>370</v>
      </c>
      <c r="K2834" s="22">
        <f t="shared" si="3"/>
        <v>1</v>
      </c>
      <c r="L2834" s="4">
        <f t="shared" si="4"/>
        <v>1</v>
      </c>
    </row>
    <row r="2835">
      <c r="A2835" s="23">
        <v>46056.0</v>
      </c>
      <c r="B2835" s="24" t="str">
        <f t="array" ref="B2835">xlookup($A2835,product!$A:$A,product!B:B)</f>
        <v>Epicerie salée</v>
      </c>
      <c r="C2835" s="24" t="str">
        <f t="array" ref="C2835">xlookup($A2835,product!$A:$A,product!C:C)</f>
        <v>Pain et biscottes</v>
      </c>
      <c r="D2835" s="24" t="str">
        <f t="array" ref="D2835">xlookup($A2835,product!$A:$A,product!D:D)</f>
        <v>Pain, pain précuit</v>
      </c>
      <c r="E2835" s="25" t="str">
        <f t="shared" si="1"/>
        <v>46056-Pain et biscottes-Pain, pain précuit</v>
      </c>
      <c r="F2835" s="25">
        <v>0.0</v>
      </c>
      <c r="G2835" s="25">
        <v>268.0</v>
      </c>
      <c r="H2835" s="25">
        <v>204.0</v>
      </c>
      <c r="I2835" s="26">
        <f t="array" ref="I2835">XLOOKUP($A2835,product!A:A,product!E:E)</f>
        <v>2.71</v>
      </c>
      <c r="J2835" s="25">
        <f t="shared" si="2"/>
        <v>552.84</v>
      </c>
      <c r="K2835" s="27">
        <f t="shared" si="3"/>
        <v>1</v>
      </c>
      <c r="L2835" s="25">
        <f t="shared" si="4"/>
        <v>1</v>
      </c>
    </row>
    <row r="2836">
      <c r="A2836" s="19">
        <v>5703.0</v>
      </c>
      <c r="B2836" s="20" t="str">
        <f t="array" ref="B2836">xlookup($A2836,product!$A:$A,product!B:B)</f>
        <v>Epicerie salée</v>
      </c>
      <c r="C2836" s="20" t="str">
        <f t="array" ref="C2836">xlookup($A2836,product!$A:$A,product!C:C)</f>
        <v>Pain et biscottes</v>
      </c>
      <c r="D2836" s="20" t="str">
        <f t="array" ref="D2836">xlookup($A2836,product!$A:$A,product!D:D)</f>
        <v>Pain, pain précuit</v>
      </c>
      <c r="E2836" s="4" t="str">
        <f t="shared" si="1"/>
        <v>5703-Pain et biscottes-Pain, pain précuit</v>
      </c>
      <c r="F2836" s="4">
        <v>1.0</v>
      </c>
      <c r="G2836" s="4">
        <v>35.0</v>
      </c>
      <c r="H2836" s="4">
        <v>28.0</v>
      </c>
      <c r="I2836" s="21">
        <f t="array" ref="I2836">XLOOKUP($A2836,product!A:A,product!E:E)</f>
        <v>2.48</v>
      </c>
      <c r="J2836" s="4">
        <f t="shared" si="2"/>
        <v>69.44</v>
      </c>
      <c r="K2836" s="22">
        <f t="shared" si="3"/>
        <v>1</v>
      </c>
      <c r="L2836" s="4">
        <f t="shared" si="4"/>
        <v>1</v>
      </c>
    </row>
    <row r="2837">
      <c r="A2837" s="23">
        <v>102607.0</v>
      </c>
      <c r="B2837" s="24" t="str">
        <f t="array" ref="B2837">xlookup($A2837,product!$A:$A,product!B:B)</f>
        <v>Epicerie salée</v>
      </c>
      <c r="C2837" s="24" t="str">
        <f t="array" ref="C2837">xlookup($A2837,product!$A:$A,product!C:C)</f>
        <v>Pain et biscottes</v>
      </c>
      <c r="D2837" s="24" t="str">
        <f t="array" ref="D2837">xlookup($A2837,product!$A:$A,product!D:D)</f>
        <v>Pain, pain précuit</v>
      </c>
      <c r="E2837" s="25" t="str">
        <f t="shared" si="1"/>
        <v>102607-Pain et biscottes-Pain, pain précuit</v>
      </c>
      <c r="F2837" s="25">
        <v>0.0</v>
      </c>
      <c r="G2837" s="25">
        <v>113.0</v>
      </c>
      <c r="H2837" s="25">
        <v>14.0</v>
      </c>
      <c r="I2837" s="26">
        <f t="array" ref="I2837">XLOOKUP($A2837,product!A:A,product!E:E)</f>
        <v>4.17</v>
      </c>
      <c r="J2837" s="25">
        <f t="shared" si="2"/>
        <v>58.38</v>
      </c>
      <c r="K2837" s="27">
        <f t="shared" si="3"/>
        <v>1</v>
      </c>
      <c r="L2837" s="25">
        <f t="shared" si="4"/>
        <v>1</v>
      </c>
    </row>
    <row r="2838">
      <c r="A2838" s="19">
        <v>87913.0</v>
      </c>
      <c r="B2838" s="20" t="str">
        <f t="array" ref="B2838">xlookup($A2838,product!$A:$A,product!B:B)</f>
        <v>Epicerie salée</v>
      </c>
      <c r="C2838" s="20" t="str">
        <f t="array" ref="C2838">xlookup($A2838,product!$A:$A,product!C:C)</f>
        <v>Pain et biscottes</v>
      </c>
      <c r="D2838" s="20" t="str">
        <f t="array" ref="D2838">xlookup($A2838,product!$A:$A,product!D:D)</f>
        <v>Pain, pain précuit</v>
      </c>
      <c r="E2838" s="4" t="str">
        <f t="shared" si="1"/>
        <v>87913-Pain et biscottes-Pain, pain précuit</v>
      </c>
      <c r="F2838" s="4">
        <v>1.0</v>
      </c>
      <c r="G2838" s="4">
        <v>230.0</v>
      </c>
      <c r="H2838" s="4">
        <v>181.0</v>
      </c>
      <c r="I2838" s="21">
        <f t="array" ref="I2838">XLOOKUP($A2838,product!A:A,product!E:E)</f>
        <v>1.64</v>
      </c>
      <c r="J2838" s="4">
        <f t="shared" si="2"/>
        <v>296.84</v>
      </c>
      <c r="K2838" s="22">
        <f t="shared" si="3"/>
        <v>1</v>
      </c>
      <c r="L2838" s="4">
        <f t="shared" si="4"/>
        <v>1</v>
      </c>
    </row>
    <row r="2839">
      <c r="A2839" s="23">
        <v>149513.0</v>
      </c>
      <c r="B2839" s="24" t="str">
        <f t="array" ref="B2839">xlookup($A2839,product!$A:$A,product!B:B)</f>
        <v>Epicerie salée</v>
      </c>
      <c r="C2839" s="24" t="str">
        <f t="array" ref="C2839">xlookup($A2839,product!$A:$A,product!C:C)</f>
        <v>Pain et biscottes</v>
      </c>
      <c r="D2839" s="24" t="str">
        <f t="array" ref="D2839">xlookup($A2839,product!$A:$A,product!D:D)</f>
        <v>Pain, pain précuit</v>
      </c>
      <c r="E2839" s="25" t="str">
        <f t="shared" si="1"/>
        <v>149513-Pain et biscottes-Pain, pain précuit</v>
      </c>
      <c r="F2839" s="25">
        <v>1.0</v>
      </c>
      <c r="G2839" s="25">
        <v>367.0</v>
      </c>
      <c r="H2839" s="25">
        <v>154.0</v>
      </c>
      <c r="I2839" s="26">
        <f t="array" ref="I2839">XLOOKUP($A2839,product!A:A,product!E:E)</f>
        <v>0.89</v>
      </c>
      <c r="J2839" s="25">
        <f t="shared" si="2"/>
        <v>137.06</v>
      </c>
      <c r="K2839" s="27">
        <f t="shared" si="3"/>
        <v>1</v>
      </c>
      <c r="L2839" s="25">
        <f t="shared" si="4"/>
        <v>1</v>
      </c>
    </row>
    <row r="2840">
      <c r="A2840" s="19">
        <v>87909.0</v>
      </c>
      <c r="B2840" s="20" t="str">
        <f t="array" ref="B2840">xlookup($A2840,product!$A:$A,product!B:B)</f>
        <v>Epicerie salée</v>
      </c>
      <c r="C2840" s="20" t="str">
        <f t="array" ref="C2840">xlookup($A2840,product!$A:$A,product!C:C)</f>
        <v>Pain et biscottes</v>
      </c>
      <c r="D2840" s="20" t="str">
        <f t="array" ref="D2840">xlookup($A2840,product!$A:$A,product!D:D)</f>
        <v>Pain, pain précuit</v>
      </c>
      <c r="E2840" s="4" t="str">
        <f t="shared" si="1"/>
        <v>87909-Pain et biscottes-Pain, pain précuit</v>
      </c>
      <c r="F2840" s="4">
        <v>1.0</v>
      </c>
      <c r="G2840" s="4">
        <v>655.0</v>
      </c>
      <c r="H2840" s="4">
        <v>251.0</v>
      </c>
      <c r="I2840" s="21">
        <f t="array" ref="I2840">XLOOKUP($A2840,product!A:A,product!E:E)</f>
        <v>1.24</v>
      </c>
      <c r="J2840" s="4">
        <f t="shared" si="2"/>
        <v>311.24</v>
      </c>
      <c r="K2840" s="22">
        <f t="shared" si="3"/>
        <v>1</v>
      </c>
      <c r="L2840" s="4">
        <f t="shared" si="4"/>
        <v>1</v>
      </c>
    </row>
    <row r="2841">
      <c r="A2841" s="23">
        <v>101897.0</v>
      </c>
      <c r="B2841" s="24" t="str">
        <f t="array" ref="B2841">xlookup($A2841,product!$A:$A,product!B:B)</f>
        <v>Epicerie salée</v>
      </c>
      <c r="C2841" s="24" t="str">
        <f t="array" ref="C2841">xlookup($A2841,product!$A:$A,product!C:C)</f>
        <v>Pain et biscottes</v>
      </c>
      <c r="D2841" s="24" t="str">
        <f t="array" ref="D2841">xlookup($A2841,product!$A:$A,product!D:D)</f>
        <v>Pain, pain précuit</v>
      </c>
      <c r="E2841" s="25" t="str">
        <f t="shared" si="1"/>
        <v>101897-Pain et biscottes-Pain, pain précuit</v>
      </c>
      <c r="F2841" s="25">
        <v>0.0</v>
      </c>
      <c r="G2841" s="25">
        <v>54.0</v>
      </c>
      <c r="H2841" s="25">
        <v>29.0</v>
      </c>
      <c r="I2841" s="26">
        <f t="array" ref="I2841">XLOOKUP($A2841,product!A:A,product!E:E)</f>
        <v>2.45</v>
      </c>
      <c r="J2841" s="25">
        <f t="shared" si="2"/>
        <v>71.05</v>
      </c>
      <c r="K2841" s="27">
        <f t="shared" si="3"/>
        <v>1</v>
      </c>
      <c r="L2841" s="25">
        <f t="shared" si="4"/>
        <v>1</v>
      </c>
    </row>
    <row r="2842">
      <c r="A2842" s="19">
        <v>121675.0</v>
      </c>
      <c r="B2842" s="20" t="str">
        <f t="array" ref="B2842">xlookup($A2842,product!$A:$A,product!B:B)</f>
        <v>Epicerie salée</v>
      </c>
      <c r="C2842" s="20" t="str">
        <f t="array" ref="C2842">xlookup($A2842,product!$A:$A,product!C:C)</f>
        <v>Pain et biscottes</v>
      </c>
      <c r="D2842" s="20" t="str">
        <f t="array" ref="D2842">xlookup($A2842,product!$A:$A,product!D:D)</f>
        <v>Pain, pain précuit</v>
      </c>
      <c r="E2842" s="4" t="str">
        <f t="shared" si="1"/>
        <v>121675-Pain et biscottes-Pain, pain précuit</v>
      </c>
      <c r="F2842" s="4">
        <v>0.0</v>
      </c>
      <c r="G2842" s="4">
        <v>554.0</v>
      </c>
      <c r="H2842" s="4">
        <v>257.0</v>
      </c>
      <c r="I2842" s="21">
        <f t="array" ref="I2842">XLOOKUP($A2842,product!A:A,product!E:E)</f>
        <v>1.75</v>
      </c>
      <c r="J2842" s="4">
        <f t="shared" si="2"/>
        <v>449.75</v>
      </c>
      <c r="K2842" s="22">
        <f t="shared" si="3"/>
        <v>1</v>
      </c>
      <c r="L2842" s="4">
        <f t="shared" si="4"/>
        <v>1</v>
      </c>
    </row>
    <row r="2843">
      <c r="A2843" s="23">
        <v>99349.0</v>
      </c>
      <c r="B2843" s="24" t="str">
        <f t="array" ref="B2843">xlookup($A2843,product!$A:$A,product!B:B)</f>
        <v>Epicerie salée</v>
      </c>
      <c r="C2843" s="24" t="str">
        <f t="array" ref="C2843">xlookup($A2843,product!$A:$A,product!C:C)</f>
        <v>Pain et biscottes</v>
      </c>
      <c r="D2843" s="24" t="str">
        <f t="array" ref="D2843">xlookup($A2843,product!$A:$A,product!D:D)</f>
        <v>Pain, pain précuit</v>
      </c>
      <c r="E2843" s="25" t="str">
        <f t="shared" si="1"/>
        <v>99349-Pain et biscottes-Pain, pain précuit</v>
      </c>
      <c r="F2843" s="25">
        <v>1.0</v>
      </c>
      <c r="G2843" s="25">
        <v>422.0</v>
      </c>
      <c r="H2843" s="25">
        <v>354.0</v>
      </c>
      <c r="I2843" s="26">
        <f t="array" ref="I2843">XLOOKUP($A2843,product!A:A,product!E:E)</f>
        <v>1.11</v>
      </c>
      <c r="J2843" s="25">
        <f t="shared" si="2"/>
        <v>392.94</v>
      </c>
      <c r="K2843" s="27">
        <f t="shared" si="3"/>
        <v>1</v>
      </c>
      <c r="L2843" s="25">
        <f t="shared" si="4"/>
        <v>1</v>
      </c>
    </row>
    <row r="2844">
      <c r="A2844" s="19">
        <v>117785.0</v>
      </c>
      <c r="B2844" s="20" t="str">
        <f t="array" ref="B2844">xlookup($A2844,product!$A:$A,product!B:B)</f>
        <v>Epicerie salée</v>
      </c>
      <c r="C2844" s="20" t="str">
        <f t="array" ref="C2844">xlookup($A2844,product!$A:$A,product!C:C)</f>
        <v>Pain et biscottes</v>
      </c>
      <c r="D2844" s="20" t="str">
        <f t="array" ref="D2844">xlookup($A2844,product!$A:$A,product!D:D)</f>
        <v>Pain, pain précuit</v>
      </c>
      <c r="E2844" s="4" t="str">
        <f t="shared" si="1"/>
        <v>117785-Pain et biscottes-Pain, pain précuit</v>
      </c>
      <c r="F2844" s="4">
        <v>1.0</v>
      </c>
      <c r="G2844" s="4">
        <v>526.0</v>
      </c>
      <c r="H2844" s="4">
        <v>217.0</v>
      </c>
      <c r="I2844" s="21">
        <f t="array" ref="I2844">XLOOKUP($A2844,product!A:A,product!E:E)</f>
        <v>1.64</v>
      </c>
      <c r="J2844" s="4">
        <f t="shared" si="2"/>
        <v>355.88</v>
      </c>
      <c r="K2844" s="22">
        <f t="shared" si="3"/>
        <v>1</v>
      </c>
      <c r="L2844" s="4">
        <f t="shared" si="4"/>
        <v>1</v>
      </c>
    </row>
    <row r="2845">
      <c r="A2845" s="23">
        <v>120558.0</v>
      </c>
      <c r="B2845" s="24" t="str">
        <f t="array" ref="B2845">xlookup($A2845,product!$A:$A,product!B:B)</f>
        <v>Epicerie salée</v>
      </c>
      <c r="C2845" s="24" t="str">
        <f t="array" ref="C2845">xlookup($A2845,product!$A:$A,product!C:C)</f>
        <v>Pain et biscottes</v>
      </c>
      <c r="D2845" s="24" t="str">
        <f t="array" ref="D2845">xlookup($A2845,product!$A:$A,product!D:D)</f>
        <v>Pain, pain précuit</v>
      </c>
      <c r="E2845" s="25" t="str">
        <f t="shared" si="1"/>
        <v>120558-Pain et biscottes-Pain, pain précuit</v>
      </c>
      <c r="F2845" s="25">
        <v>0.0</v>
      </c>
      <c r="G2845" s="25">
        <v>773.0</v>
      </c>
      <c r="H2845" s="25">
        <v>608.0</v>
      </c>
      <c r="I2845" s="26">
        <f t="array" ref="I2845">XLOOKUP($A2845,product!A:A,product!E:E)</f>
        <v>1.39</v>
      </c>
      <c r="J2845" s="25">
        <f t="shared" si="2"/>
        <v>845.12</v>
      </c>
      <c r="K2845" s="27">
        <f t="shared" si="3"/>
        <v>1</v>
      </c>
      <c r="L2845" s="25">
        <f t="shared" si="4"/>
        <v>1</v>
      </c>
    </row>
    <row r="2846">
      <c r="A2846" s="19">
        <v>99351.0</v>
      </c>
      <c r="B2846" s="20" t="str">
        <f t="array" ref="B2846">xlookup($A2846,product!$A:$A,product!B:B)</f>
        <v>Epicerie salée</v>
      </c>
      <c r="C2846" s="20" t="str">
        <f t="array" ref="C2846">xlookup($A2846,product!$A:$A,product!C:C)</f>
        <v>Pain et biscottes</v>
      </c>
      <c r="D2846" s="20" t="str">
        <f t="array" ref="D2846">xlookup($A2846,product!$A:$A,product!D:D)</f>
        <v>Pain, pain précuit</v>
      </c>
      <c r="E2846" s="4" t="str">
        <f t="shared" si="1"/>
        <v>99351-Pain et biscottes-Pain, pain précuit</v>
      </c>
      <c r="F2846" s="4">
        <v>0.0</v>
      </c>
      <c r="G2846" s="4">
        <v>710.0</v>
      </c>
      <c r="H2846" s="4">
        <v>394.0</v>
      </c>
      <c r="I2846" s="21">
        <f t="array" ref="I2846">XLOOKUP($A2846,product!A:A,product!E:E)</f>
        <v>1.02</v>
      </c>
      <c r="J2846" s="4">
        <f t="shared" si="2"/>
        <v>401.88</v>
      </c>
      <c r="K2846" s="22">
        <f t="shared" si="3"/>
        <v>1</v>
      </c>
      <c r="L2846" s="4">
        <f t="shared" si="4"/>
        <v>1</v>
      </c>
    </row>
    <row r="2847">
      <c r="A2847" s="23">
        <v>113058.0</v>
      </c>
      <c r="B2847" s="24" t="str">
        <f t="array" ref="B2847">xlookup($A2847,product!$A:$A,product!B:B)</f>
        <v>Epicerie salée</v>
      </c>
      <c r="C2847" s="24" t="str">
        <f t="array" ref="C2847">xlookup($A2847,product!$A:$A,product!C:C)</f>
        <v>Pain et biscottes</v>
      </c>
      <c r="D2847" s="24" t="str">
        <f t="array" ref="D2847">xlookup($A2847,product!$A:$A,product!D:D)</f>
        <v>Pain, pain précuit</v>
      </c>
      <c r="E2847" s="25" t="str">
        <f t="shared" si="1"/>
        <v>113058-Pain et biscottes-Pain, pain précuit</v>
      </c>
      <c r="F2847" s="25">
        <v>1.0</v>
      </c>
      <c r="G2847" s="25">
        <v>0.0</v>
      </c>
      <c r="H2847" s="25">
        <v>0.0</v>
      </c>
      <c r="I2847" s="26">
        <f t="array" ref="I2847">XLOOKUP($A2847,product!A:A,product!E:E)</f>
        <v>2.59</v>
      </c>
      <c r="J2847" s="25">
        <f t="shared" si="2"/>
        <v>0</v>
      </c>
      <c r="K2847" s="27">
        <f t="shared" si="3"/>
        <v>0</v>
      </c>
      <c r="L2847" s="25">
        <f t="shared" si="4"/>
        <v>1</v>
      </c>
    </row>
    <row r="2848">
      <c r="A2848" s="19">
        <v>118917.0</v>
      </c>
      <c r="B2848" s="20" t="str">
        <f t="array" ref="B2848">xlookup($A2848,product!$A:$A,product!B:B)</f>
        <v>Epicerie salée</v>
      </c>
      <c r="C2848" s="20" t="str">
        <f t="array" ref="C2848">xlookup($A2848,product!$A:$A,product!C:C)</f>
        <v>Pain et biscottes</v>
      </c>
      <c r="D2848" s="20" t="str">
        <f t="array" ref="D2848">xlookup($A2848,product!$A:$A,product!D:D)</f>
        <v>Pain, pain précuit</v>
      </c>
      <c r="E2848" s="4" t="str">
        <f t="shared" si="1"/>
        <v>118917-Pain et biscottes-Pain, pain précuit</v>
      </c>
      <c r="F2848" s="4">
        <v>1.0</v>
      </c>
      <c r="G2848" s="4">
        <v>369.0</v>
      </c>
      <c r="H2848" s="4">
        <v>205.0</v>
      </c>
      <c r="I2848" s="21">
        <f t="array" ref="I2848">XLOOKUP($A2848,product!A:A,product!E:E)</f>
        <v>0.89</v>
      </c>
      <c r="J2848" s="4">
        <f t="shared" si="2"/>
        <v>182.45</v>
      </c>
      <c r="K2848" s="22">
        <f t="shared" si="3"/>
        <v>1</v>
      </c>
      <c r="L2848" s="4">
        <f t="shared" si="4"/>
        <v>1</v>
      </c>
    </row>
    <row r="2849">
      <c r="A2849" s="23">
        <v>164891.0</v>
      </c>
      <c r="B2849" s="24" t="str">
        <f t="array" ref="B2849">xlookup($A2849,product!$A:$A,product!B:B)</f>
        <v>Epicerie salée</v>
      </c>
      <c r="C2849" s="24" t="str">
        <f t="array" ref="C2849">xlookup($A2849,product!$A:$A,product!C:C)</f>
        <v>Pain et biscottes</v>
      </c>
      <c r="D2849" s="24" t="str">
        <f t="array" ref="D2849">xlookup($A2849,product!$A:$A,product!D:D)</f>
        <v>Pain, pain précuit</v>
      </c>
      <c r="E2849" s="25" t="str">
        <f t="shared" si="1"/>
        <v>164891-Pain et biscottes-Pain, pain précuit</v>
      </c>
      <c r="F2849" s="25">
        <v>0.0</v>
      </c>
      <c r="G2849" s="25">
        <v>337.0</v>
      </c>
      <c r="H2849" s="25">
        <v>229.0</v>
      </c>
      <c r="I2849" s="26">
        <f t="array" ref="I2849">XLOOKUP($A2849,product!A:A,product!E:E)</f>
        <v>1.92</v>
      </c>
      <c r="J2849" s="25">
        <f t="shared" si="2"/>
        <v>439.68</v>
      </c>
      <c r="K2849" s="27">
        <f t="shared" si="3"/>
        <v>1</v>
      </c>
      <c r="L2849" s="25">
        <f t="shared" si="4"/>
        <v>1</v>
      </c>
    </row>
    <row r="2850">
      <c r="A2850" s="19">
        <v>101901.0</v>
      </c>
      <c r="B2850" s="20" t="str">
        <f t="array" ref="B2850">xlookup($A2850,product!$A:$A,product!B:B)</f>
        <v>Epicerie salée</v>
      </c>
      <c r="C2850" s="20" t="str">
        <f t="array" ref="C2850">xlookup($A2850,product!$A:$A,product!C:C)</f>
        <v>Pain et biscottes</v>
      </c>
      <c r="D2850" s="20" t="str">
        <f t="array" ref="D2850">xlookup($A2850,product!$A:$A,product!D:D)</f>
        <v>Pain, pain précuit</v>
      </c>
      <c r="E2850" s="4" t="str">
        <f t="shared" si="1"/>
        <v>101901-Pain et biscottes-Pain, pain précuit</v>
      </c>
      <c r="F2850" s="4">
        <v>1.0</v>
      </c>
      <c r="G2850" s="4">
        <v>649.0</v>
      </c>
      <c r="H2850" s="4">
        <v>592.0</v>
      </c>
      <c r="I2850" s="21">
        <f t="array" ref="I2850">XLOOKUP($A2850,product!A:A,product!E:E)</f>
        <v>2.84</v>
      </c>
      <c r="J2850" s="4">
        <f t="shared" si="2"/>
        <v>1681.28</v>
      </c>
      <c r="K2850" s="22">
        <f t="shared" si="3"/>
        <v>1</v>
      </c>
      <c r="L2850" s="4">
        <f t="shared" si="4"/>
        <v>1</v>
      </c>
    </row>
    <row r="2851">
      <c r="A2851" s="23">
        <v>197164.0</v>
      </c>
      <c r="B2851" s="24" t="str">
        <f t="array" ref="B2851">xlookup($A2851,product!$A:$A,product!B:B)</f>
        <v>Epicerie salée</v>
      </c>
      <c r="C2851" s="24" t="str">
        <f t="array" ref="C2851">xlookup($A2851,product!$A:$A,product!C:C)</f>
        <v>Pain et biscottes</v>
      </c>
      <c r="D2851" s="24" t="str">
        <f t="array" ref="D2851">xlookup($A2851,product!$A:$A,product!D:D)</f>
        <v>Pain, pain précuit</v>
      </c>
      <c r="E2851" s="25" t="str">
        <f t="shared" si="1"/>
        <v>197164-Pain et biscottes-Pain, pain précuit</v>
      </c>
      <c r="F2851" s="25">
        <v>1.0</v>
      </c>
      <c r="G2851" s="25">
        <v>773.0</v>
      </c>
      <c r="H2851" s="25">
        <v>80.0</v>
      </c>
      <c r="I2851" s="26">
        <f t="array" ref="I2851">XLOOKUP($A2851,product!A:A,product!E:E)</f>
        <v>2.22</v>
      </c>
      <c r="J2851" s="25">
        <f t="shared" si="2"/>
        <v>177.6</v>
      </c>
      <c r="K2851" s="27">
        <f t="shared" si="3"/>
        <v>1</v>
      </c>
      <c r="L2851" s="25">
        <f t="shared" si="4"/>
        <v>1</v>
      </c>
    </row>
    <row r="2852">
      <c r="A2852" s="19">
        <v>114277.0</v>
      </c>
      <c r="B2852" s="20" t="str">
        <f t="array" ref="B2852">xlookup($A2852,product!$A:$A,product!B:B)</f>
        <v>Epicerie salée</v>
      </c>
      <c r="C2852" s="20" t="str">
        <f t="array" ref="C2852">xlookup($A2852,product!$A:$A,product!C:C)</f>
        <v>Pain et biscottes</v>
      </c>
      <c r="D2852" s="20" t="str">
        <f t="array" ref="D2852">xlookup($A2852,product!$A:$A,product!D:D)</f>
        <v>Pain, pain précuit</v>
      </c>
      <c r="E2852" s="4" t="str">
        <f t="shared" si="1"/>
        <v>114277-Pain et biscottes-Pain, pain précuit</v>
      </c>
      <c r="F2852" s="4">
        <v>1.0</v>
      </c>
      <c r="G2852" s="4">
        <v>630.0</v>
      </c>
      <c r="H2852" s="4">
        <v>118.0</v>
      </c>
      <c r="I2852" s="21">
        <f t="array" ref="I2852">XLOOKUP($A2852,product!A:A,product!E:E)</f>
        <v>2.54</v>
      </c>
      <c r="J2852" s="4">
        <f t="shared" si="2"/>
        <v>299.72</v>
      </c>
      <c r="K2852" s="22">
        <f t="shared" si="3"/>
        <v>1</v>
      </c>
      <c r="L2852" s="4">
        <f t="shared" si="4"/>
        <v>1</v>
      </c>
    </row>
    <row r="2853">
      <c r="A2853" s="23">
        <v>86913.0</v>
      </c>
      <c r="B2853" s="24" t="str">
        <f t="array" ref="B2853">xlookup($A2853,product!$A:$A,product!B:B)</f>
        <v>Epicerie salée</v>
      </c>
      <c r="C2853" s="24" t="str">
        <f t="array" ref="C2853">xlookup($A2853,product!$A:$A,product!C:C)</f>
        <v>Pain et biscottes</v>
      </c>
      <c r="D2853" s="24" t="str">
        <f t="array" ref="D2853">xlookup($A2853,product!$A:$A,product!D:D)</f>
        <v>Pain, pain précuit</v>
      </c>
      <c r="E2853" s="25" t="str">
        <f t="shared" si="1"/>
        <v>86913-Pain et biscottes-Pain, pain précuit</v>
      </c>
      <c r="F2853" s="25">
        <v>0.0</v>
      </c>
      <c r="G2853" s="25">
        <v>690.0</v>
      </c>
      <c r="H2853" s="25">
        <v>217.0</v>
      </c>
      <c r="I2853" s="26">
        <f t="array" ref="I2853">XLOOKUP($A2853,product!A:A,product!E:E)</f>
        <v>1.4</v>
      </c>
      <c r="J2853" s="25">
        <f t="shared" si="2"/>
        <v>303.8</v>
      </c>
      <c r="K2853" s="27">
        <f t="shared" si="3"/>
        <v>1</v>
      </c>
      <c r="L2853" s="25">
        <f t="shared" si="4"/>
        <v>1</v>
      </c>
    </row>
    <row r="2854">
      <c r="A2854" s="19">
        <v>88971.0</v>
      </c>
      <c r="B2854" s="20" t="str">
        <f t="array" ref="B2854">xlookup($A2854,product!$A:$A,product!B:B)</f>
        <v>Epicerie salée</v>
      </c>
      <c r="C2854" s="20" t="str">
        <f t="array" ref="C2854">xlookup($A2854,product!$A:$A,product!C:C)</f>
        <v>Pain et biscottes</v>
      </c>
      <c r="D2854" s="20" t="str">
        <f t="array" ref="D2854">xlookup($A2854,product!$A:$A,product!D:D)</f>
        <v>Pain, pain précuit</v>
      </c>
      <c r="E2854" s="4" t="str">
        <f t="shared" si="1"/>
        <v>88971-Pain et biscottes-Pain, pain précuit</v>
      </c>
      <c r="F2854" s="4">
        <v>0.0</v>
      </c>
      <c r="G2854" s="4">
        <v>917.0</v>
      </c>
      <c r="H2854" s="4">
        <v>513.0</v>
      </c>
      <c r="I2854" s="21">
        <f t="array" ref="I2854">XLOOKUP($A2854,product!A:A,product!E:E)</f>
        <v>2.48</v>
      </c>
      <c r="J2854" s="4">
        <f t="shared" si="2"/>
        <v>1272.24</v>
      </c>
      <c r="K2854" s="22">
        <f t="shared" si="3"/>
        <v>1</v>
      </c>
      <c r="L2854" s="4">
        <f t="shared" si="4"/>
        <v>1</v>
      </c>
    </row>
    <row r="2855">
      <c r="A2855" s="23">
        <v>188840.0</v>
      </c>
      <c r="B2855" s="24" t="str">
        <f t="array" ref="B2855">xlookup($A2855,product!$A:$A,product!B:B)</f>
        <v>Epicerie salée</v>
      </c>
      <c r="C2855" s="24" t="str">
        <f t="array" ref="C2855">xlookup($A2855,product!$A:$A,product!C:C)</f>
        <v>Pain et biscottes</v>
      </c>
      <c r="D2855" s="24" t="str">
        <f t="array" ref="D2855">xlookup($A2855,product!$A:$A,product!D:D)</f>
        <v>Pain, pain précuit</v>
      </c>
      <c r="E2855" s="25" t="str">
        <f t="shared" si="1"/>
        <v>188840-Pain et biscottes-Pain, pain précuit</v>
      </c>
      <c r="F2855" s="25">
        <v>1.0</v>
      </c>
      <c r="G2855" s="25">
        <v>741.0</v>
      </c>
      <c r="H2855" s="25">
        <v>544.0</v>
      </c>
      <c r="I2855" s="26">
        <f t="array" ref="I2855">XLOOKUP($A2855,product!A:A,product!E:E)</f>
        <v>3.02</v>
      </c>
      <c r="J2855" s="25">
        <f t="shared" si="2"/>
        <v>1642.88</v>
      </c>
      <c r="K2855" s="27">
        <f t="shared" si="3"/>
        <v>1</v>
      </c>
      <c r="L2855" s="25">
        <f t="shared" si="4"/>
        <v>1</v>
      </c>
    </row>
    <row r="2856">
      <c r="A2856" s="19">
        <v>95652.0</v>
      </c>
      <c r="B2856" s="20" t="str">
        <f t="array" ref="B2856">xlookup($A2856,product!$A:$A,product!B:B)</f>
        <v>Epicerie salée</v>
      </c>
      <c r="C2856" s="20" t="str">
        <f t="array" ref="C2856">xlookup($A2856,product!$A:$A,product!C:C)</f>
        <v>Pain et biscottes</v>
      </c>
      <c r="D2856" s="20" t="str">
        <f t="array" ref="D2856">xlookup($A2856,product!$A:$A,product!D:D)</f>
        <v>Pain, pain précuit</v>
      </c>
      <c r="E2856" s="4" t="str">
        <f t="shared" si="1"/>
        <v>95652-Pain et biscottes-Pain, pain précuit</v>
      </c>
      <c r="F2856" s="4">
        <v>1.0</v>
      </c>
      <c r="G2856" s="4">
        <v>729.0</v>
      </c>
      <c r="H2856" s="4">
        <v>330.0</v>
      </c>
      <c r="I2856" s="21">
        <f t="array" ref="I2856">XLOOKUP($A2856,product!A:A,product!E:E)</f>
        <v>2.5</v>
      </c>
      <c r="J2856" s="4">
        <f t="shared" si="2"/>
        <v>825</v>
      </c>
      <c r="K2856" s="22">
        <f t="shared" si="3"/>
        <v>1</v>
      </c>
      <c r="L2856" s="4">
        <f t="shared" si="4"/>
        <v>1</v>
      </c>
    </row>
    <row r="2857">
      <c r="A2857" s="23">
        <v>68627.0</v>
      </c>
      <c r="B2857" s="24" t="str">
        <f t="array" ref="B2857">xlookup($A2857,product!$A:$A,product!B:B)</f>
        <v>Epicerie salée</v>
      </c>
      <c r="C2857" s="24" t="str">
        <f t="array" ref="C2857">xlookup($A2857,product!$A:$A,product!C:C)</f>
        <v>Pain et biscottes</v>
      </c>
      <c r="D2857" s="24" t="str">
        <f t="array" ref="D2857">xlookup($A2857,product!$A:$A,product!D:D)</f>
        <v>Pain, pain précuit</v>
      </c>
      <c r="E2857" s="25" t="str">
        <f t="shared" si="1"/>
        <v>68627-Pain et biscottes-Pain, pain précuit</v>
      </c>
      <c r="F2857" s="25">
        <v>0.0</v>
      </c>
      <c r="G2857" s="25">
        <v>733.0</v>
      </c>
      <c r="H2857" s="25">
        <v>49.0</v>
      </c>
      <c r="I2857" s="26">
        <f t="array" ref="I2857">XLOOKUP($A2857,product!A:A,product!E:E)</f>
        <v>3.01</v>
      </c>
      <c r="J2857" s="25">
        <f t="shared" si="2"/>
        <v>147.49</v>
      </c>
      <c r="K2857" s="27">
        <f t="shared" si="3"/>
        <v>1</v>
      </c>
      <c r="L2857" s="25">
        <f t="shared" si="4"/>
        <v>1</v>
      </c>
    </row>
    <row r="2858">
      <c r="A2858" s="19">
        <v>46043.0</v>
      </c>
      <c r="B2858" s="20" t="str">
        <f t="array" ref="B2858">xlookup($A2858,product!$A:$A,product!B:B)</f>
        <v>Epicerie salée</v>
      </c>
      <c r="C2858" s="20" t="str">
        <f t="array" ref="C2858">xlookup($A2858,product!$A:$A,product!C:C)</f>
        <v>Pain et biscottes</v>
      </c>
      <c r="D2858" s="20" t="str">
        <f t="array" ref="D2858">xlookup($A2858,product!$A:$A,product!D:D)</f>
        <v>Pain, pain précuit</v>
      </c>
      <c r="E2858" s="4" t="str">
        <f t="shared" si="1"/>
        <v>46043-Pain et biscottes-Pain, pain précuit</v>
      </c>
      <c r="F2858" s="4">
        <v>1.0</v>
      </c>
      <c r="G2858" s="4">
        <v>267.0</v>
      </c>
      <c r="H2858" s="4">
        <v>35.0</v>
      </c>
      <c r="I2858" s="21">
        <f t="array" ref="I2858">XLOOKUP($A2858,product!A:A,product!E:E)</f>
        <v>2.64</v>
      </c>
      <c r="J2858" s="4">
        <f t="shared" si="2"/>
        <v>92.4</v>
      </c>
      <c r="K2858" s="22">
        <f t="shared" si="3"/>
        <v>1</v>
      </c>
      <c r="L2858" s="4">
        <f t="shared" si="4"/>
        <v>1</v>
      </c>
    </row>
    <row r="2859">
      <c r="A2859" s="23">
        <v>60592.0</v>
      </c>
      <c r="B2859" s="24" t="str">
        <f t="array" ref="B2859">xlookup($A2859,product!$A:$A,product!B:B)</f>
        <v>Epicerie salée</v>
      </c>
      <c r="C2859" s="24" t="str">
        <f t="array" ref="C2859">xlookup($A2859,product!$A:$A,product!C:C)</f>
        <v>Pain et biscottes</v>
      </c>
      <c r="D2859" s="24" t="str">
        <f t="array" ref="D2859">xlookup($A2859,product!$A:$A,product!D:D)</f>
        <v>Pain, pain précuit</v>
      </c>
      <c r="E2859" s="25" t="str">
        <f t="shared" si="1"/>
        <v>60592-Pain et biscottes-Pain, pain précuit</v>
      </c>
      <c r="F2859" s="25">
        <v>0.0</v>
      </c>
      <c r="G2859" s="25">
        <v>218.0</v>
      </c>
      <c r="H2859" s="25">
        <v>194.0</v>
      </c>
      <c r="I2859" s="26">
        <f t="array" ref="I2859">XLOOKUP($A2859,product!A:A,product!E:E)</f>
        <v>1.75</v>
      </c>
      <c r="J2859" s="25">
        <f t="shared" si="2"/>
        <v>339.5</v>
      </c>
      <c r="K2859" s="27">
        <f t="shared" si="3"/>
        <v>1</v>
      </c>
      <c r="L2859" s="25">
        <f t="shared" si="4"/>
        <v>1</v>
      </c>
    </row>
    <row r="2860">
      <c r="A2860" s="19">
        <v>99350.0</v>
      </c>
      <c r="B2860" s="20" t="str">
        <f t="array" ref="B2860">xlookup($A2860,product!$A:$A,product!B:B)</f>
        <v>Epicerie salée</v>
      </c>
      <c r="C2860" s="20" t="str">
        <f t="array" ref="C2860">xlookup($A2860,product!$A:$A,product!C:C)</f>
        <v>Pain et biscottes</v>
      </c>
      <c r="D2860" s="20" t="str">
        <f t="array" ref="D2860">xlookup($A2860,product!$A:$A,product!D:D)</f>
        <v>Pain, pain précuit</v>
      </c>
      <c r="E2860" s="4" t="str">
        <f t="shared" si="1"/>
        <v>99350-Pain et biscottes-Pain, pain précuit</v>
      </c>
      <c r="F2860" s="4">
        <v>0.0</v>
      </c>
      <c r="G2860" s="4">
        <v>454.0</v>
      </c>
      <c r="H2860" s="4">
        <v>181.0</v>
      </c>
      <c r="I2860" s="21">
        <f t="array" ref="I2860">XLOOKUP($A2860,product!A:A,product!E:E)</f>
        <v>1.11</v>
      </c>
      <c r="J2860" s="4">
        <f t="shared" si="2"/>
        <v>200.91</v>
      </c>
      <c r="K2860" s="22">
        <f t="shared" si="3"/>
        <v>1</v>
      </c>
      <c r="L2860" s="4">
        <f t="shared" si="4"/>
        <v>1</v>
      </c>
    </row>
    <row r="2861">
      <c r="A2861" s="23">
        <v>78983.0</v>
      </c>
      <c r="B2861" s="24" t="str">
        <f t="array" ref="B2861">xlookup($A2861,product!$A:$A,product!B:B)</f>
        <v>Epicerie salée</v>
      </c>
      <c r="C2861" s="24" t="str">
        <f t="array" ref="C2861">xlookup($A2861,product!$A:$A,product!C:C)</f>
        <v>Pain et biscottes</v>
      </c>
      <c r="D2861" s="24" t="str">
        <f t="array" ref="D2861">xlookup($A2861,product!$A:$A,product!D:D)</f>
        <v>Pain, pain précuit</v>
      </c>
      <c r="E2861" s="25" t="str">
        <f t="shared" si="1"/>
        <v>78983-Pain et biscottes-Pain, pain précuit</v>
      </c>
      <c r="F2861" s="25">
        <v>0.0</v>
      </c>
      <c r="G2861" s="25">
        <v>382.0</v>
      </c>
      <c r="H2861" s="25">
        <v>128.0</v>
      </c>
      <c r="I2861" s="26">
        <f t="array" ref="I2861">XLOOKUP($A2861,product!A:A,product!E:E)</f>
        <v>2.12</v>
      </c>
      <c r="J2861" s="25">
        <f t="shared" si="2"/>
        <v>271.36</v>
      </c>
      <c r="K2861" s="27">
        <f t="shared" si="3"/>
        <v>1</v>
      </c>
      <c r="L2861" s="25">
        <f t="shared" si="4"/>
        <v>1</v>
      </c>
    </row>
    <row r="2862">
      <c r="A2862" s="19">
        <v>188845.0</v>
      </c>
      <c r="B2862" s="20" t="str">
        <f t="array" ref="B2862">xlookup($A2862,product!$A:$A,product!B:B)</f>
        <v>Epicerie salée</v>
      </c>
      <c r="C2862" s="20" t="str">
        <f t="array" ref="C2862">xlookup($A2862,product!$A:$A,product!C:C)</f>
        <v>Pain et biscottes</v>
      </c>
      <c r="D2862" s="20" t="str">
        <f t="array" ref="D2862">xlookup($A2862,product!$A:$A,product!D:D)</f>
        <v>Pain, pain précuit</v>
      </c>
      <c r="E2862" s="4" t="str">
        <f t="shared" si="1"/>
        <v>188845-Pain et biscottes-Pain, pain précuit</v>
      </c>
      <c r="F2862" s="4">
        <v>0.0</v>
      </c>
      <c r="G2862" s="4">
        <v>645.0</v>
      </c>
      <c r="H2862" s="4">
        <v>123.0</v>
      </c>
      <c r="I2862" s="21">
        <f t="array" ref="I2862">XLOOKUP($A2862,product!A:A,product!E:E)</f>
        <v>2.1</v>
      </c>
      <c r="J2862" s="4">
        <f t="shared" si="2"/>
        <v>258.3</v>
      </c>
      <c r="K2862" s="22">
        <f t="shared" si="3"/>
        <v>1</v>
      </c>
      <c r="L2862" s="4">
        <f t="shared" si="4"/>
        <v>1</v>
      </c>
    </row>
    <row r="2863">
      <c r="A2863" s="23">
        <v>117787.0</v>
      </c>
      <c r="B2863" s="24" t="str">
        <f t="array" ref="B2863">xlookup($A2863,product!$A:$A,product!B:B)</f>
        <v>Epicerie salée</v>
      </c>
      <c r="C2863" s="24" t="str">
        <f t="array" ref="C2863">xlookup($A2863,product!$A:$A,product!C:C)</f>
        <v>Pain et biscottes</v>
      </c>
      <c r="D2863" s="24" t="str">
        <f t="array" ref="D2863">xlookup($A2863,product!$A:$A,product!D:D)</f>
        <v>Pain, pain précuit</v>
      </c>
      <c r="E2863" s="25" t="str">
        <f t="shared" si="1"/>
        <v>117787-Pain et biscottes-Pain, pain précuit</v>
      </c>
      <c r="F2863" s="25">
        <v>0.0</v>
      </c>
      <c r="G2863" s="25">
        <v>92.0</v>
      </c>
      <c r="H2863" s="25">
        <v>84.0</v>
      </c>
      <c r="I2863" s="26">
        <f t="array" ref="I2863">XLOOKUP($A2863,product!A:A,product!E:E)</f>
        <v>1.38</v>
      </c>
      <c r="J2863" s="25">
        <f t="shared" si="2"/>
        <v>115.92</v>
      </c>
      <c r="K2863" s="27">
        <f t="shared" si="3"/>
        <v>1</v>
      </c>
      <c r="L2863" s="25">
        <f t="shared" si="4"/>
        <v>1</v>
      </c>
    </row>
    <row r="2864">
      <c r="A2864" s="19">
        <v>119986.0</v>
      </c>
      <c r="B2864" s="20" t="str">
        <f t="array" ref="B2864">xlookup($A2864,product!$A:$A,product!B:B)</f>
        <v>Epicerie salée</v>
      </c>
      <c r="C2864" s="20" t="str">
        <f t="array" ref="C2864">xlookup($A2864,product!$A:$A,product!C:C)</f>
        <v>Pain et biscottes</v>
      </c>
      <c r="D2864" s="20" t="str">
        <f t="array" ref="D2864">xlookup($A2864,product!$A:$A,product!D:D)</f>
        <v>Pain, pain précuit</v>
      </c>
      <c r="E2864" s="4" t="str">
        <f t="shared" si="1"/>
        <v>119986-Pain et biscottes-Pain, pain précuit</v>
      </c>
      <c r="F2864" s="4">
        <v>1.0</v>
      </c>
      <c r="G2864" s="4">
        <v>785.0</v>
      </c>
      <c r="H2864" s="4">
        <v>665.0</v>
      </c>
      <c r="I2864" s="21">
        <f t="array" ref="I2864">XLOOKUP($A2864,product!A:A,product!E:E)</f>
        <v>2.36</v>
      </c>
      <c r="J2864" s="4">
        <f t="shared" si="2"/>
        <v>1569.4</v>
      </c>
      <c r="K2864" s="22">
        <f t="shared" si="3"/>
        <v>1</v>
      </c>
      <c r="L2864" s="4">
        <f t="shared" si="4"/>
        <v>1</v>
      </c>
    </row>
    <row r="2865">
      <c r="A2865" s="23">
        <v>188841.0</v>
      </c>
      <c r="B2865" s="24" t="str">
        <f t="array" ref="B2865">xlookup($A2865,product!$A:$A,product!B:B)</f>
        <v>Epicerie salée</v>
      </c>
      <c r="C2865" s="24" t="str">
        <f t="array" ref="C2865">xlookup($A2865,product!$A:$A,product!C:C)</f>
        <v>Pain et biscottes</v>
      </c>
      <c r="D2865" s="24" t="str">
        <f t="array" ref="D2865">xlookup($A2865,product!$A:$A,product!D:D)</f>
        <v>Pain, pain précuit</v>
      </c>
      <c r="E2865" s="25" t="str">
        <f t="shared" si="1"/>
        <v>188841-Pain et biscottes-Pain, pain précuit</v>
      </c>
      <c r="F2865" s="25">
        <v>1.0</v>
      </c>
      <c r="G2865" s="25">
        <v>166.0</v>
      </c>
      <c r="H2865" s="25">
        <v>43.0</v>
      </c>
      <c r="I2865" s="26">
        <f t="array" ref="I2865">XLOOKUP($A2865,product!A:A,product!E:E)</f>
        <v>2.22</v>
      </c>
      <c r="J2865" s="25">
        <f t="shared" si="2"/>
        <v>95.46</v>
      </c>
      <c r="K2865" s="27">
        <f t="shared" si="3"/>
        <v>1</v>
      </c>
      <c r="L2865" s="25">
        <f t="shared" si="4"/>
        <v>1</v>
      </c>
    </row>
    <row r="2866">
      <c r="A2866" s="19">
        <v>99348.0</v>
      </c>
      <c r="B2866" s="20" t="str">
        <f t="array" ref="B2866">xlookup($A2866,product!$A:$A,product!B:B)</f>
        <v>Epicerie salée</v>
      </c>
      <c r="C2866" s="20" t="str">
        <f t="array" ref="C2866">xlookup($A2866,product!$A:$A,product!C:C)</f>
        <v>Pain et biscottes</v>
      </c>
      <c r="D2866" s="20" t="str">
        <f t="array" ref="D2866">xlookup($A2866,product!$A:$A,product!D:D)</f>
        <v>Pain, pain précuit</v>
      </c>
      <c r="E2866" s="4" t="str">
        <f t="shared" si="1"/>
        <v>99348-Pain et biscottes-Pain, pain précuit</v>
      </c>
      <c r="F2866" s="4">
        <v>1.0</v>
      </c>
      <c r="G2866" s="4">
        <v>0.0</v>
      </c>
      <c r="H2866" s="4">
        <v>0.0</v>
      </c>
      <c r="I2866" s="21">
        <f t="array" ref="I2866">XLOOKUP($A2866,product!A:A,product!E:E)</f>
        <v>1.11</v>
      </c>
      <c r="J2866" s="4">
        <f t="shared" si="2"/>
        <v>0</v>
      </c>
      <c r="K2866" s="22">
        <f t="shared" si="3"/>
        <v>0</v>
      </c>
      <c r="L2866" s="4">
        <f t="shared" si="4"/>
        <v>1</v>
      </c>
    </row>
    <row r="2867">
      <c r="A2867" s="23">
        <v>78978.0</v>
      </c>
      <c r="B2867" s="24" t="str">
        <f t="array" ref="B2867">xlookup($A2867,product!$A:$A,product!B:B)</f>
        <v>Epicerie salée</v>
      </c>
      <c r="C2867" s="24" t="str">
        <f t="array" ref="C2867">xlookup($A2867,product!$A:$A,product!C:C)</f>
        <v>Pain et biscottes</v>
      </c>
      <c r="D2867" s="24" t="str">
        <f t="array" ref="D2867">xlookup($A2867,product!$A:$A,product!D:D)</f>
        <v>Pain, pain précuit</v>
      </c>
      <c r="E2867" s="25" t="str">
        <f t="shared" si="1"/>
        <v>78978-Pain et biscottes-Pain, pain précuit</v>
      </c>
      <c r="F2867" s="25">
        <v>0.0</v>
      </c>
      <c r="G2867" s="25">
        <v>234.0</v>
      </c>
      <c r="H2867" s="25">
        <v>205.0</v>
      </c>
      <c r="I2867" s="26">
        <f t="array" ref="I2867">XLOOKUP($A2867,product!A:A,product!E:E)</f>
        <v>2.54</v>
      </c>
      <c r="J2867" s="25">
        <f t="shared" si="2"/>
        <v>520.7</v>
      </c>
      <c r="K2867" s="27">
        <f t="shared" si="3"/>
        <v>1</v>
      </c>
      <c r="L2867" s="25">
        <f t="shared" si="4"/>
        <v>1</v>
      </c>
    </row>
    <row r="2868">
      <c r="A2868" s="19">
        <v>120556.0</v>
      </c>
      <c r="B2868" s="20" t="str">
        <f t="array" ref="B2868">xlookup($A2868,product!$A:$A,product!B:B)</f>
        <v>Epicerie salée</v>
      </c>
      <c r="C2868" s="20" t="str">
        <f t="array" ref="C2868">xlookup($A2868,product!$A:$A,product!C:C)</f>
        <v>Pain et biscottes</v>
      </c>
      <c r="D2868" s="20" t="str">
        <f t="array" ref="D2868">xlookup($A2868,product!$A:$A,product!D:D)</f>
        <v>Pain, pain précuit</v>
      </c>
      <c r="E2868" s="4" t="str">
        <f t="shared" si="1"/>
        <v>120556-Pain et biscottes-Pain, pain précuit</v>
      </c>
      <c r="F2868" s="4">
        <v>1.0</v>
      </c>
      <c r="G2868" s="4">
        <v>329.0</v>
      </c>
      <c r="H2868" s="4">
        <v>291.0</v>
      </c>
      <c r="I2868" s="21">
        <f t="array" ref="I2868">XLOOKUP($A2868,product!A:A,product!E:E)</f>
        <v>1.37</v>
      </c>
      <c r="J2868" s="4">
        <f t="shared" si="2"/>
        <v>398.67</v>
      </c>
      <c r="K2868" s="22">
        <f t="shared" si="3"/>
        <v>1</v>
      </c>
      <c r="L2868" s="4">
        <f t="shared" si="4"/>
        <v>1</v>
      </c>
    </row>
    <row r="2869">
      <c r="A2869" s="23">
        <v>80254.0</v>
      </c>
      <c r="B2869" s="24" t="str">
        <f t="array" ref="B2869">xlookup($A2869,product!$A:$A,product!B:B)</f>
        <v>Epicerie salée</v>
      </c>
      <c r="C2869" s="24" t="str">
        <f t="array" ref="C2869">xlookup($A2869,product!$A:$A,product!C:C)</f>
        <v>Pain et biscottes</v>
      </c>
      <c r="D2869" s="24" t="str">
        <f t="array" ref="D2869">xlookup($A2869,product!$A:$A,product!D:D)</f>
        <v>Pain, pain précuit</v>
      </c>
      <c r="E2869" s="25" t="str">
        <f t="shared" si="1"/>
        <v>80254-Pain et biscottes-Pain, pain précuit</v>
      </c>
      <c r="F2869" s="25">
        <v>0.0</v>
      </c>
      <c r="G2869" s="25">
        <v>296.0</v>
      </c>
      <c r="H2869" s="25">
        <v>119.0</v>
      </c>
      <c r="I2869" s="26">
        <f t="array" ref="I2869">XLOOKUP($A2869,product!A:A,product!E:E)</f>
        <v>1.58</v>
      </c>
      <c r="J2869" s="25">
        <f t="shared" si="2"/>
        <v>188.02</v>
      </c>
      <c r="K2869" s="27">
        <f t="shared" si="3"/>
        <v>1</v>
      </c>
      <c r="L2869" s="25">
        <f t="shared" si="4"/>
        <v>1</v>
      </c>
    </row>
    <row r="2870">
      <c r="A2870" s="19">
        <v>121911.0</v>
      </c>
      <c r="B2870" s="20" t="str">
        <f t="array" ref="B2870">xlookup($A2870,product!$A:$A,product!B:B)</f>
        <v>Epicerie sucrée</v>
      </c>
      <c r="C2870" s="20" t="str">
        <f t="array" ref="C2870">xlookup($A2870,product!$A:$A,product!C:C)</f>
        <v>Pâte à tartiner</v>
      </c>
      <c r="D2870" s="20" t="str">
        <f t="array" ref="D2870">xlookup($A2870,product!$A:$A,product!D:D)</f>
        <v>Crème de fruits à coque</v>
      </c>
      <c r="E2870" s="4" t="str">
        <f t="shared" si="1"/>
        <v>121911-Pâte à tartiner-Crème de fruits à coque</v>
      </c>
      <c r="F2870" s="4">
        <v>1.0</v>
      </c>
      <c r="G2870" s="4">
        <v>320.0</v>
      </c>
      <c r="H2870" s="4">
        <v>108.0</v>
      </c>
      <c r="I2870" s="21">
        <f t="array" ref="I2870">XLOOKUP($A2870,product!A:A,product!E:E)</f>
        <v>4.2</v>
      </c>
      <c r="J2870" s="4">
        <f t="shared" si="2"/>
        <v>453.6</v>
      </c>
      <c r="K2870" s="22">
        <f t="shared" si="3"/>
        <v>1</v>
      </c>
      <c r="L2870" s="4">
        <f t="shared" si="4"/>
        <v>1</v>
      </c>
    </row>
    <row r="2871">
      <c r="A2871" s="23">
        <v>120328.0</v>
      </c>
      <c r="B2871" s="24" t="str">
        <f t="array" ref="B2871">xlookup($A2871,product!$A:$A,product!B:B)</f>
        <v>Epicerie sucrée</v>
      </c>
      <c r="C2871" s="24" t="str">
        <f t="array" ref="C2871">xlookup($A2871,product!$A:$A,product!C:C)</f>
        <v>Pâte à tartiner</v>
      </c>
      <c r="D2871" s="24" t="str">
        <f t="array" ref="D2871">xlookup($A2871,product!$A:$A,product!D:D)</f>
        <v>Crème de fruits à coque</v>
      </c>
      <c r="E2871" s="25" t="str">
        <f t="shared" si="1"/>
        <v>120328-Pâte à tartiner-Crème de fruits à coque</v>
      </c>
      <c r="F2871" s="25">
        <v>1.0</v>
      </c>
      <c r="G2871" s="25">
        <v>798.0</v>
      </c>
      <c r="H2871" s="25">
        <v>783.0</v>
      </c>
      <c r="I2871" s="26">
        <f t="array" ref="I2871">XLOOKUP($A2871,product!A:A,product!E:E)</f>
        <v>3.02</v>
      </c>
      <c r="J2871" s="25">
        <f t="shared" si="2"/>
        <v>2364.66</v>
      </c>
      <c r="K2871" s="27">
        <f t="shared" si="3"/>
        <v>1</v>
      </c>
      <c r="L2871" s="25">
        <f t="shared" si="4"/>
        <v>1</v>
      </c>
    </row>
    <row r="2872">
      <c r="A2872" s="19">
        <v>122702.0</v>
      </c>
      <c r="B2872" s="20" t="str">
        <f t="array" ref="B2872">xlookup($A2872,product!$A:$A,product!B:B)</f>
        <v>Epicerie sucrée</v>
      </c>
      <c r="C2872" s="20" t="str">
        <f t="array" ref="C2872">xlookup($A2872,product!$A:$A,product!C:C)</f>
        <v>Pâte à tartiner</v>
      </c>
      <c r="D2872" s="20" t="str">
        <f t="array" ref="D2872">xlookup($A2872,product!$A:$A,product!D:D)</f>
        <v>Crème de fruits à coque</v>
      </c>
      <c r="E2872" s="4" t="str">
        <f t="shared" si="1"/>
        <v>122702-Pâte à tartiner-Crème de fruits à coque</v>
      </c>
      <c r="F2872" s="4">
        <v>0.0</v>
      </c>
      <c r="G2872" s="4">
        <v>266.0</v>
      </c>
      <c r="H2872" s="4">
        <v>216.0</v>
      </c>
      <c r="I2872" s="21">
        <f t="array" ref="I2872">XLOOKUP($A2872,product!A:A,product!E:E)</f>
        <v>2.91</v>
      </c>
      <c r="J2872" s="4">
        <f t="shared" si="2"/>
        <v>628.56</v>
      </c>
      <c r="K2872" s="22">
        <f t="shared" si="3"/>
        <v>1</v>
      </c>
      <c r="L2872" s="4">
        <f t="shared" si="4"/>
        <v>1</v>
      </c>
    </row>
    <row r="2873">
      <c r="A2873" s="23">
        <v>92542.0</v>
      </c>
      <c r="B2873" s="24" t="str">
        <f t="array" ref="B2873">xlookup($A2873,product!$A:$A,product!B:B)</f>
        <v>Epicerie sucrée</v>
      </c>
      <c r="C2873" s="24" t="str">
        <f t="array" ref="C2873">xlookup($A2873,product!$A:$A,product!C:C)</f>
        <v>Pâte à tartiner</v>
      </c>
      <c r="D2873" s="24" t="str">
        <f t="array" ref="D2873">xlookup($A2873,product!$A:$A,product!D:D)</f>
        <v>Crème de fruits à coque</v>
      </c>
      <c r="E2873" s="25" t="str">
        <f t="shared" si="1"/>
        <v>92542-Pâte à tartiner-Crème de fruits à coque</v>
      </c>
      <c r="F2873" s="25">
        <v>0.0</v>
      </c>
      <c r="G2873" s="25">
        <v>267.0</v>
      </c>
      <c r="H2873" s="25">
        <v>47.0</v>
      </c>
      <c r="I2873" s="26">
        <f t="array" ref="I2873">XLOOKUP($A2873,product!A:A,product!E:E)</f>
        <v>3.24</v>
      </c>
      <c r="J2873" s="25">
        <f t="shared" si="2"/>
        <v>152.28</v>
      </c>
      <c r="K2873" s="27">
        <f t="shared" si="3"/>
        <v>1</v>
      </c>
      <c r="L2873" s="25">
        <f t="shared" si="4"/>
        <v>1</v>
      </c>
    </row>
    <row r="2874">
      <c r="A2874" s="19">
        <v>15423.0</v>
      </c>
      <c r="B2874" s="20" t="str">
        <f t="array" ref="B2874">xlookup($A2874,product!$A:$A,product!B:B)</f>
        <v>Epicerie sucrée</v>
      </c>
      <c r="C2874" s="20" t="str">
        <f t="array" ref="C2874">xlookup($A2874,product!$A:$A,product!C:C)</f>
        <v>Pâte à tartiner</v>
      </c>
      <c r="D2874" s="20" t="str">
        <f t="array" ref="D2874">xlookup($A2874,product!$A:$A,product!D:D)</f>
        <v>Crème de fruits à coque</v>
      </c>
      <c r="E2874" s="4" t="str">
        <f t="shared" si="1"/>
        <v>15423-Pâte à tartiner-Crème de fruits à coque</v>
      </c>
      <c r="F2874" s="4">
        <v>1.0</v>
      </c>
      <c r="G2874" s="4">
        <v>879.0</v>
      </c>
      <c r="H2874" s="4">
        <v>398.0</v>
      </c>
      <c r="I2874" s="21">
        <f t="array" ref="I2874">XLOOKUP($A2874,product!A:A,product!E:E)</f>
        <v>3.87</v>
      </c>
      <c r="J2874" s="4">
        <f t="shared" si="2"/>
        <v>1540.26</v>
      </c>
      <c r="K2874" s="22">
        <f t="shared" si="3"/>
        <v>1</v>
      </c>
      <c r="L2874" s="4">
        <f t="shared" si="4"/>
        <v>1</v>
      </c>
    </row>
    <row r="2875">
      <c r="A2875" s="23">
        <v>111797.0</v>
      </c>
      <c r="B2875" s="24" t="str">
        <f t="array" ref="B2875">xlookup($A2875,product!$A:$A,product!B:B)</f>
        <v>Epicerie sucrée</v>
      </c>
      <c r="C2875" s="24" t="str">
        <f t="array" ref="C2875">xlookup($A2875,product!$A:$A,product!C:C)</f>
        <v>Pâte à tartiner</v>
      </c>
      <c r="D2875" s="24" t="str">
        <f t="array" ref="D2875">xlookup($A2875,product!$A:$A,product!D:D)</f>
        <v>Crème de fruits à coque</v>
      </c>
      <c r="E2875" s="25" t="str">
        <f t="shared" si="1"/>
        <v>111797-Pâte à tartiner-Crème de fruits à coque</v>
      </c>
      <c r="F2875" s="25">
        <v>1.0</v>
      </c>
      <c r="G2875" s="25">
        <v>51.0</v>
      </c>
      <c r="H2875" s="25">
        <v>51.0</v>
      </c>
      <c r="I2875" s="26">
        <f t="array" ref="I2875">XLOOKUP($A2875,product!A:A,product!E:E)</f>
        <v>4.79</v>
      </c>
      <c r="J2875" s="25">
        <f t="shared" si="2"/>
        <v>244.29</v>
      </c>
      <c r="K2875" s="27">
        <f t="shared" si="3"/>
        <v>1</v>
      </c>
      <c r="L2875" s="25">
        <f t="shared" si="4"/>
        <v>1</v>
      </c>
    </row>
    <row r="2876">
      <c r="A2876" s="19">
        <v>112626.0</v>
      </c>
      <c r="B2876" s="20" t="str">
        <f t="array" ref="B2876">xlookup($A2876,product!$A:$A,product!B:B)</f>
        <v>Epicerie sucrée</v>
      </c>
      <c r="C2876" s="20" t="str">
        <f t="array" ref="C2876">xlookup($A2876,product!$A:$A,product!C:C)</f>
        <v>Pâte à tartiner</v>
      </c>
      <c r="D2876" s="20" t="str">
        <f t="array" ref="D2876">xlookup($A2876,product!$A:$A,product!D:D)</f>
        <v>Crème de fruits à coque</v>
      </c>
      <c r="E2876" s="4" t="str">
        <f t="shared" si="1"/>
        <v>112626-Pâte à tartiner-Crème de fruits à coque</v>
      </c>
      <c r="F2876" s="4">
        <v>1.0</v>
      </c>
      <c r="G2876" s="4">
        <v>494.0</v>
      </c>
      <c r="H2876" s="4">
        <v>54.0</v>
      </c>
      <c r="I2876" s="21">
        <f t="array" ref="I2876">XLOOKUP($A2876,product!A:A,product!E:E)</f>
        <v>3.17</v>
      </c>
      <c r="J2876" s="4">
        <f t="shared" si="2"/>
        <v>171.18</v>
      </c>
      <c r="K2876" s="22">
        <f t="shared" si="3"/>
        <v>1</v>
      </c>
      <c r="L2876" s="4">
        <f t="shared" si="4"/>
        <v>1</v>
      </c>
    </row>
    <row r="2877">
      <c r="A2877" s="23">
        <v>12925.0</v>
      </c>
      <c r="B2877" s="24" t="str">
        <f t="array" ref="B2877">xlookup($A2877,product!$A:$A,product!B:B)</f>
        <v>Epicerie sucrée</v>
      </c>
      <c r="C2877" s="24" t="str">
        <f t="array" ref="C2877">xlookup($A2877,product!$A:$A,product!C:C)</f>
        <v>Pâte à tartiner</v>
      </c>
      <c r="D2877" s="24" t="str">
        <f t="array" ref="D2877">xlookup($A2877,product!$A:$A,product!D:D)</f>
        <v>Crème de fruits à coque</v>
      </c>
      <c r="E2877" s="25" t="str">
        <f t="shared" si="1"/>
        <v>12925-Pâte à tartiner-Crème de fruits à coque</v>
      </c>
      <c r="F2877" s="25">
        <v>1.0</v>
      </c>
      <c r="G2877" s="25">
        <v>599.0</v>
      </c>
      <c r="H2877" s="25">
        <v>24.0</v>
      </c>
      <c r="I2877" s="26">
        <f t="array" ref="I2877">XLOOKUP($A2877,product!A:A,product!E:E)</f>
        <v>2.51</v>
      </c>
      <c r="J2877" s="25">
        <f t="shared" si="2"/>
        <v>60.24</v>
      </c>
      <c r="K2877" s="27">
        <f t="shared" si="3"/>
        <v>1</v>
      </c>
      <c r="L2877" s="25">
        <f t="shared" si="4"/>
        <v>1</v>
      </c>
    </row>
    <row r="2878">
      <c r="A2878" s="19">
        <v>107034.0</v>
      </c>
      <c r="B2878" s="20" t="str">
        <f t="array" ref="B2878">xlookup($A2878,product!$A:$A,product!B:B)</f>
        <v>Epicerie sucrée</v>
      </c>
      <c r="C2878" s="20" t="str">
        <f t="array" ref="C2878">xlookup($A2878,product!$A:$A,product!C:C)</f>
        <v>Pâte à tartiner</v>
      </c>
      <c r="D2878" s="20" t="str">
        <f t="array" ref="D2878">xlookup($A2878,product!$A:$A,product!D:D)</f>
        <v>Crème de fruits à coque</v>
      </c>
      <c r="E2878" s="4" t="str">
        <f t="shared" si="1"/>
        <v>107034-Pâte à tartiner-Crème de fruits à coque</v>
      </c>
      <c r="F2878" s="4">
        <v>0.0</v>
      </c>
      <c r="G2878" s="4">
        <v>822.0</v>
      </c>
      <c r="H2878" s="4">
        <v>15.0</v>
      </c>
      <c r="I2878" s="21">
        <f t="array" ref="I2878">XLOOKUP($A2878,product!A:A,product!E:E)</f>
        <v>3.16</v>
      </c>
      <c r="J2878" s="4">
        <f t="shared" si="2"/>
        <v>47.4</v>
      </c>
      <c r="K2878" s="22">
        <f t="shared" si="3"/>
        <v>1</v>
      </c>
      <c r="L2878" s="4">
        <f t="shared" si="4"/>
        <v>1</v>
      </c>
    </row>
    <row r="2879">
      <c r="A2879" s="23">
        <v>88319.0</v>
      </c>
      <c r="B2879" s="24" t="str">
        <f t="array" ref="B2879">xlookup($A2879,product!$A:$A,product!B:B)</f>
        <v>Epicerie sucrée</v>
      </c>
      <c r="C2879" s="24" t="str">
        <f t="array" ref="C2879">xlookup($A2879,product!$A:$A,product!C:C)</f>
        <v>Pâte à tartiner</v>
      </c>
      <c r="D2879" s="24" t="str">
        <f t="array" ref="D2879">xlookup($A2879,product!$A:$A,product!D:D)</f>
        <v>Crème de fruits à coque</v>
      </c>
      <c r="E2879" s="25" t="str">
        <f t="shared" si="1"/>
        <v>88319-Pâte à tartiner-Crème de fruits à coque</v>
      </c>
      <c r="F2879" s="25">
        <v>1.0</v>
      </c>
      <c r="G2879" s="25">
        <v>574.0</v>
      </c>
      <c r="H2879" s="25">
        <v>296.0</v>
      </c>
      <c r="I2879" s="26">
        <f t="array" ref="I2879">XLOOKUP($A2879,product!A:A,product!E:E)</f>
        <v>2.96</v>
      </c>
      <c r="J2879" s="25">
        <f t="shared" si="2"/>
        <v>876.16</v>
      </c>
      <c r="K2879" s="27">
        <f t="shared" si="3"/>
        <v>1</v>
      </c>
      <c r="L2879" s="25">
        <f t="shared" si="4"/>
        <v>1</v>
      </c>
    </row>
    <row r="2880">
      <c r="A2880" s="19">
        <v>3453.0</v>
      </c>
      <c r="B2880" s="20" t="str">
        <f t="array" ref="B2880">xlookup($A2880,product!$A:$A,product!B:B)</f>
        <v>Epicerie sucrée</v>
      </c>
      <c r="C2880" s="20" t="str">
        <f t="array" ref="C2880">xlookup($A2880,product!$A:$A,product!C:C)</f>
        <v>Pâte à tartiner</v>
      </c>
      <c r="D2880" s="20" t="str">
        <f t="array" ref="D2880">xlookup($A2880,product!$A:$A,product!D:D)</f>
        <v>Crème de fruits à coque</v>
      </c>
      <c r="E2880" s="4" t="str">
        <f t="shared" si="1"/>
        <v>3453-Pâte à tartiner-Crème de fruits à coque</v>
      </c>
      <c r="F2880" s="4">
        <v>1.0</v>
      </c>
      <c r="G2880" s="4">
        <v>422.0</v>
      </c>
      <c r="H2880" s="4">
        <v>24.0</v>
      </c>
      <c r="I2880" s="21">
        <f t="array" ref="I2880">XLOOKUP($A2880,product!A:A,product!E:E)</f>
        <v>1.99</v>
      </c>
      <c r="J2880" s="4">
        <f t="shared" si="2"/>
        <v>47.76</v>
      </c>
      <c r="K2880" s="22">
        <f t="shared" si="3"/>
        <v>1</v>
      </c>
      <c r="L2880" s="4">
        <f t="shared" si="4"/>
        <v>1</v>
      </c>
    </row>
    <row r="2881">
      <c r="A2881" s="23">
        <v>121425.0</v>
      </c>
      <c r="B2881" s="24" t="str">
        <f t="array" ref="B2881">xlookup($A2881,product!$A:$A,product!B:B)</f>
        <v>Epicerie sucrée</v>
      </c>
      <c r="C2881" s="24" t="str">
        <f t="array" ref="C2881">xlookup($A2881,product!$A:$A,product!C:C)</f>
        <v>Pâte à tartiner</v>
      </c>
      <c r="D2881" s="24" t="str">
        <f t="array" ref="D2881">xlookup($A2881,product!$A:$A,product!D:D)</f>
        <v>Pâte à tartiner sans lait</v>
      </c>
      <c r="E2881" s="25" t="str">
        <f t="shared" si="1"/>
        <v>121425-Pâte à tartiner-Pâte à tartiner sans lait</v>
      </c>
      <c r="F2881" s="25">
        <v>0.0</v>
      </c>
      <c r="G2881" s="25">
        <v>377.0</v>
      </c>
      <c r="H2881" s="25">
        <v>80.0</v>
      </c>
      <c r="I2881" s="26">
        <f t="array" ref="I2881">XLOOKUP($A2881,product!A:A,product!E:E)</f>
        <v>5.12</v>
      </c>
      <c r="J2881" s="25">
        <f t="shared" si="2"/>
        <v>409.6</v>
      </c>
      <c r="K2881" s="27">
        <f t="shared" si="3"/>
        <v>1</v>
      </c>
      <c r="L2881" s="25">
        <f t="shared" si="4"/>
        <v>1</v>
      </c>
    </row>
    <row r="2882">
      <c r="A2882" s="19">
        <v>10561.0</v>
      </c>
      <c r="B2882" s="20" t="str">
        <f t="array" ref="B2882">xlookup($A2882,product!$A:$A,product!B:B)</f>
        <v>Epicerie sucrée</v>
      </c>
      <c r="C2882" s="20" t="str">
        <f t="array" ref="C2882">xlookup($A2882,product!$A:$A,product!C:C)</f>
        <v>Pâte à tartiner</v>
      </c>
      <c r="D2882" s="20" t="str">
        <f t="array" ref="D2882">xlookup($A2882,product!$A:$A,product!D:D)</f>
        <v>Pâte à tartiner sans lait</v>
      </c>
      <c r="E2882" s="4" t="str">
        <f t="shared" si="1"/>
        <v>10561-Pâte à tartiner-Pâte à tartiner sans lait</v>
      </c>
      <c r="F2882" s="4">
        <v>0.0</v>
      </c>
      <c r="G2882" s="4">
        <v>660.0</v>
      </c>
      <c r="H2882" s="4">
        <v>210.0</v>
      </c>
      <c r="I2882" s="21">
        <f t="array" ref="I2882">XLOOKUP($A2882,product!A:A,product!E:E)</f>
        <v>5.44</v>
      </c>
      <c r="J2882" s="4">
        <f t="shared" si="2"/>
        <v>1142.4</v>
      </c>
      <c r="K2882" s="22">
        <f t="shared" si="3"/>
        <v>1</v>
      </c>
      <c r="L2882" s="4">
        <f t="shared" si="4"/>
        <v>1</v>
      </c>
    </row>
    <row r="2883">
      <c r="A2883" s="23">
        <v>90294.0</v>
      </c>
      <c r="B2883" s="24" t="str">
        <f t="array" ref="B2883">xlookup($A2883,product!$A:$A,product!B:B)</f>
        <v>Epicerie sucrée</v>
      </c>
      <c r="C2883" s="24" t="str">
        <f t="array" ref="C2883">xlookup($A2883,product!$A:$A,product!C:C)</f>
        <v>Pâte à tartiner</v>
      </c>
      <c r="D2883" s="24" t="str">
        <f t="array" ref="D2883">xlookup($A2883,product!$A:$A,product!D:D)</f>
        <v>Pâte à tartiner sans lait</v>
      </c>
      <c r="E2883" s="25" t="str">
        <f t="shared" si="1"/>
        <v>90294-Pâte à tartiner-Pâte à tartiner sans lait</v>
      </c>
      <c r="F2883" s="25">
        <v>0.0</v>
      </c>
      <c r="G2883" s="25">
        <v>917.0</v>
      </c>
      <c r="H2883" s="25">
        <v>535.0</v>
      </c>
      <c r="I2883" s="26">
        <f t="array" ref="I2883">XLOOKUP($A2883,product!A:A,product!E:E)</f>
        <v>4.65</v>
      </c>
      <c r="J2883" s="25">
        <f t="shared" si="2"/>
        <v>2487.75</v>
      </c>
      <c r="K2883" s="27">
        <f t="shared" si="3"/>
        <v>1</v>
      </c>
      <c r="L2883" s="25">
        <f t="shared" si="4"/>
        <v>1</v>
      </c>
    </row>
    <row r="2884">
      <c r="A2884" s="19">
        <v>70804.0</v>
      </c>
      <c r="B2884" s="20" t="str">
        <f t="array" ref="B2884">xlookup($A2884,product!$A:$A,product!B:B)</f>
        <v>Epicerie sucrée</v>
      </c>
      <c r="C2884" s="20" t="str">
        <f t="array" ref="C2884">xlookup($A2884,product!$A:$A,product!C:C)</f>
        <v>Pâte à tartiner</v>
      </c>
      <c r="D2884" s="20" t="str">
        <f t="array" ref="D2884">xlookup($A2884,product!$A:$A,product!D:D)</f>
        <v>Pâte à tartiner sans lait</v>
      </c>
      <c r="E2884" s="4" t="str">
        <f t="shared" si="1"/>
        <v>70804-Pâte à tartiner-Pâte à tartiner sans lait</v>
      </c>
      <c r="F2884" s="4">
        <v>0.0</v>
      </c>
      <c r="G2884" s="4">
        <v>707.0</v>
      </c>
      <c r="H2884" s="4">
        <v>5.0</v>
      </c>
      <c r="I2884" s="21">
        <f t="array" ref="I2884">XLOOKUP($A2884,product!A:A,product!E:E)</f>
        <v>8.79</v>
      </c>
      <c r="J2884" s="4">
        <f t="shared" si="2"/>
        <v>43.95</v>
      </c>
      <c r="K2884" s="22">
        <f t="shared" si="3"/>
        <v>1</v>
      </c>
      <c r="L2884" s="4">
        <f t="shared" si="4"/>
        <v>1</v>
      </c>
    </row>
    <row r="2885">
      <c r="A2885" s="23">
        <v>81237.0</v>
      </c>
      <c r="B2885" s="24" t="str">
        <f t="array" ref="B2885">xlookup($A2885,product!$A:$A,product!B:B)</f>
        <v>Epicerie sucrée</v>
      </c>
      <c r="C2885" s="24" t="str">
        <f t="array" ref="C2885">xlookup($A2885,product!$A:$A,product!C:C)</f>
        <v>Pâte à tartiner</v>
      </c>
      <c r="D2885" s="24" t="str">
        <f t="array" ref="D2885">xlookup($A2885,product!$A:$A,product!D:D)</f>
        <v>Pâte à tartiner sans lait</v>
      </c>
      <c r="E2885" s="25" t="str">
        <f t="shared" si="1"/>
        <v>81237-Pâte à tartiner-Pâte à tartiner sans lait</v>
      </c>
      <c r="F2885" s="25">
        <v>1.0</v>
      </c>
      <c r="G2885" s="25">
        <v>293.0</v>
      </c>
      <c r="H2885" s="25">
        <v>45.0</v>
      </c>
      <c r="I2885" s="26">
        <f t="array" ref="I2885">XLOOKUP($A2885,product!A:A,product!E:E)</f>
        <v>2.47</v>
      </c>
      <c r="J2885" s="25">
        <f t="shared" si="2"/>
        <v>111.15</v>
      </c>
      <c r="K2885" s="27">
        <f t="shared" si="3"/>
        <v>1</v>
      </c>
      <c r="L2885" s="25">
        <f t="shared" si="4"/>
        <v>1</v>
      </c>
    </row>
    <row r="2886">
      <c r="A2886" s="19">
        <v>47564.0</v>
      </c>
      <c r="B2886" s="20" t="str">
        <f t="array" ref="B2886">xlookup($A2886,product!$A:$A,product!B:B)</f>
        <v>Epicerie sucrée</v>
      </c>
      <c r="C2886" s="20" t="str">
        <f t="array" ref="C2886">xlookup($A2886,product!$A:$A,product!C:C)</f>
        <v>Pâte à tartiner</v>
      </c>
      <c r="D2886" s="20" t="str">
        <f t="array" ref="D2886">xlookup($A2886,product!$A:$A,product!D:D)</f>
        <v>Pâte à tartiner sans lait</v>
      </c>
      <c r="E2886" s="4" t="str">
        <f t="shared" si="1"/>
        <v>47564-Pâte à tartiner-Pâte à tartiner sans lait</v>
      </c>
      <c r="F2886" s="4">
        <v>1.0</v>
      </c>
      <c r="G2886" s="4">
        <v>563.0</v>
      </c>
      <c r="H2886" s="4">
        <v>398.0</v>
      </c>
      <c r="I2886" s="21">
        <f t="array" ref="I2886">XLOOKUP($A2886,product!A:A,product!E:E)</f>
        <v>7.77</v>
      </c>
      <c r="J2886" s="4">
        <f t="shared" si="2"/>
        <v>3092.46</v>
      </c>
      <c r="K2886" s="22">
        <f t="shared" si="3"/>
        <v>1</v>
      </c>
      <c r="L2886" s="4">
        <f t="shared" si="4"/>
        <v>1</v>
      </c>
    </row>
    <row r="2887">
      <c r="A2887" s="23">
        <v>24055.0</v>
      </c>
      <c r="B2887" s="24" t="str">
        <f t="array" ref="B2887">xlookup($A2887,product!$A:$A,product!B:B)</f>
        <v>Epicerie sucrée</v>
      </c>
      <c r="C2887" s="24" t="str">
        <f t="array" ref="C2887">xlookup($A2887,product!$A:$A,product!C:C)</f>
        <v>Pâte à tartiner</v>
      </c>
      <c r="D2887" s="24" t="str">
        <f t="array" ref="D2887">xlookup($A2887,product!$A:$A,product!D:D)</f>
        <v>Pâte à tartiner sans lait</v>
      </c>
      <c r="E2887" s="25" t="str">
        <f t="shared" si="1"/>
        <v>24055-Pâte à tartiner-Pâte à tartiner sans lait</v>
      </c>
      <c r="F2887" s="25">
        <v>1.0</v>
      </c>
      <c r="G2887" s="25">
        <v>147.0</v>
      </c>
      <c r="H2887" s="25">
        <v>112.0</v>
      </c>
      <c r="I2887" s="26">
        <f t="array" ref="I2887">XLOOKUP($A2887,product!A:A,product!E:E)</f>
        <v>11.26</v>
      </c>
      <c r="J2887" s="25">
        <f t="shared" si="2"/>
        <v>1261.12</v>
      </c>
      <c r="K2887" s="27">
        <f t="shared" si="3"/>
        <v>1</v>
      </c>
      <c r="L2887" s="25">
        <f t="shared" si="4"/>
        <v>1</v>
      </c>
    </row>
    <row r="2888">
      <c r="A2888" s="19">
        <v>48637.0</v>
      </c>
      <c r="B2888" s="20" t="str">
        <f t="array" ref="B2888">xlookup($A2888,product!$A:$A,product!B:B)</f>
        <v>Epicerie sucrée</v>
      </c>
      <c r="C2888" s="20" t="str">
        <f t="array" ref="C2888">xlookup($A2888,product!$A:$A,product!C:C)</f>
        <v>Pâte à tartiner</v>
      </c>
      <c r="D2888" s="20" t="str">
        <f t="array" ref="D2888">xlookup($A2888,product!$A:$A,product!D:D)</f>
        <v>Pâte à tartiner chocolat lait</v>
      </c>
      <c r="E2888" s="4" t="str">
        <f t="shared" si="1"/>
        <v>48637-Pâte à tartiner-Pâte à tartiner chocolat lait</v>
      </c>
      <c r="F2888" s="4">
        <v>1.0</v>
      </c>
      <c r="G2888" s="4">
        <v>910.0</v>
      </c>
      <c r="H2888" s="4">
        <v>443.0</v>
      </c>
      <c r="I2888" s="21">
        <f t="array" ref="I2888">XLOOKUP($A2888,product!A:A,product!E:E)</f>
        <v>8.96</v>
      </c>
      <c r="J2888" s="4">
        <f t="shared" si="2"/>
        <v>3969.28</v>
      </c>
      <c r="K2888" s="22">
        <f t="shared" si="3"/>
        <v>1</v>
      </c>
      <c r="L2888" s="4">
        <f t="shared" si="4"/>
        <v>1</v>
      </c>
    </row>
    <row r="2889">
      <c r="A2889" s="23">
        <v>3447.0</v>
      </c>
      <c r="B2889" s="24" t="str">
        <f t="array" ref="B2889">xlookup($A2889,product!$A:$A,product!B:B)</f>
        <v>Epicerie sucrée</v>
      </c>
      <c r="C2889" s="24" t="str">
        <f t="array" ref="C2889">xlookup($A2889,product!$A:$A,product!C:C)</f>
        <v>Pâte à tartiner</v>
      </c>
      <c r="D2889" s="24" t="str">
        <f t="array" ref="D2889">xlookup($A2889,product!$A:$A,product!D:D)</f>
        <v>Pâte à tartiner chocolat lait</v>
      </c>
      <c r="E2889" s="25" t="str">
        <f t="shared" si="1"/>
        <v>3447-Pâte à tartiner-Pâte à tartiner chocolat lait</v>
      </c>
      <c r="F2889" s="25">
        <v>1.0</v>
      </c>
      <c r="G2889" s="25">
        <v>20.0</v>
      </c>
      <c r="H2889" s="25">
        <v>18.0</v>
      </c>
      <c r="I2889" s="26">
        <f t="array" ref="I2889">XLOOKUP($A2889,product!A:A,product!E:E)</f>
        <v>6.49</v>
      </c>
      <c r="J2889" s="25">
        <f t="shared" si="2"/>
        <v>116.82</v>
      </c>
      <c r="K2889" s="27">
        <f t="shared" si="3"/>
        <v>1</v>
      </c>
      <c r="L2889" s="25">
        <f t="shared" si="4"/>
        <v>1</v>
      </c>
    </row>
    <row r="2890">
      <c r="A2890" s="19">
        <v>117921.0</v>
      </c>
      <c r="B2890" s="20" t="str">
        <f t="array" ref="B2890">xlookup($A2890,product!$A:$A,product!B:B)</f>
        <v>Epicerie sucrée</v>
      </c>
      <c r="C2890" s="20" t="str">
        <f t="array" ref="C2890">xlookup($A2890,product!$A:$A,product!C:C)</f>
        <v>Pâte à tartiner</v>
      </c>
      <c r="D2890" s="20" t="str">
        <f t="array" ref="D2890">xlookup($A2890,product!$A:$A,product!D:D)</f>
        <v>Pâte à tartiner chocolat lait</v>
      </c>
      <c r="E2890" s="4" t="str">
        <f t="shared" si="1"/>
        <v>117921-Pâte à tartiner-Pâte à tartiner chocolat lait</v>
      </c>
      <c r="F2890" s="4">
        <v>0.0</v>
      </c>
      <c r="G2890" s="4">
        <v>337.0</v>
      </c>
      <c r="H2890" s="4">
        <v>148.0</v>
      </c>
      <c r="I2890" s="21">
        <f t="array" ref="I2890">XLOOKUP($A2890,product!A:A,product!E:E)</f>
        <v>6.7</v>
      </c>
      <c r="J2890" s="4">
        <f t="shared" si="2"/>
        <v>991.6</v>
      </c>
      <c r="K2890" s="22">
        <f t="shared" si="3"/>
        <v>1</v>
      </c>
      <c r="L2890" s="4">
        <f t="shared" si="4"/>
        <v>1</v>
      </c>
    </row>
    <row r="2891">
      <c r="A2891" s="23">
        <v>128322.0</v>
      </c>
      <c r="B2891" s="24" t="str">
        <f t="array" ref="B2891">xlookup($A2891,product!$A:$A,product!B:B)</f>
        <v>Epicerie sucrée</v>
      </c>
      <c r="C2891" s="24" t="str">
        <f t="array" ref="C2891">xlookup($A2891,product!$A:$A,product!C:C)</f>
        <v>Pâte à tartiner</v>
      </c>
      <c r="D2891" s="24" t="str">
        <f t="array" ref="D2891">xlookup($A2891,product!$A:$A,product!D:D)</f>
        <v>Pâte à tartiner chocolat lait</v>
      </c>
      <c r="E2891" s="25" t="str">
        <f t="shared" si="1"/>
        <v>128322-Pâte à tartiner-Pâte à tartiner chocolat lait</v>
      </c>
      <c r="F2891" s="25">
        <v>0.0</v>
      </c>
      <c r="G2891" s="25">
        <v>935.0</v>
      </c>
      <c r="H2891" s="25">
        <v>249.0</v>
      </c>
      <c r="I2891" s="26">
        <f t="array" ref="I2891">XLOOKUP($A2891,product!A:A,product!E:E)</f>
        <v>2.14</v>
      </c>
      <c r="J2891" s="25">
        <f t="shared" si="2"/>
        <v>532.86</v>
      </c>
      <c r="K2891" s="27">
        <f t="shared" si="3"/>
        <v>1</v>
      </c>
      <c r="L2891" s="25">
        <f t="shared" si="4"/>
        <v>1</v>
      </c>
    </row>
    <row r="2892">
      <c r="A2892" s="19">
        <v>42207.0</v>
      </c>
      <c r="B2892" s="20" t="str">
        <f t="array" ref="B2892">xlookup($A2892,product!$A:$A,product!B:B)</f>
        <v>Epicerie sucrée</v>
      </c>
      <c r="C2892" s="20" t="str">
        <f t="array" ref="C2892">xlookup($A2892,product!$A:$A,product!C:C)</f>
        <v>Pâte à tartiner</v>
      </c>
      <c r="D2892" s="20" t="str">
        <f t="array" ref="D2892">xlookup($A2892,product!$A:$A,product!D:D)</f>
        <v>Pâte à tartiner chocolat lait</v>
      </c>
      <c r="E2892" s="4" t="str">
        <f t="shared" si="1"/>
        <v>42207-Pâte à tartiner-Pâte à tartiner chocolat lait</v>
      </c>
      <c r="F2892" s="4">
        <v>1.0</v>
      </c>
      <c r="G2892" s="4">
        <v>659.0</v>
      </c>
      <c r="H2892" s="4">
        <v>329.0</v>
      </c>
      <c r="I2892" s="21">
        <f t="array" ref="I2892">XLOOKUP($A2892,product!A:A,product!E:E)</f>
        <v>4.74</v>
      </c>
      <c r="J2892" s="4">
        <f t="shared" si="2"/>
        <v>1559.46</v>
      </c>
      <c r="K2892" s="22">
        <f t="shared" si="3"/>
        <v>1</v>
      </c>
      <c r="L2892" s="4">
        <f t="shared" si="4"/>
        <v>1</v>
      </c>
    </row>
    <row r="2893">
      <c r="A2893" s="23">
        <v>108394.0</v>
      </c>
      <c r="B2893" s="24" t="str">
        <f t="array" ref="B2893">xlookup($A2893,product!$A:$A,product!B:B)</f>
        <v>Epicerie sucrée</v>
      </c>
      <c r="C2893" s="24" t="str">
        <f t="array" ref="C2893">xlookup($A2893,product!$A:$A,product!C:C)</f>
        <v>Pâte à tartiner</v>
      </c>
      <c r="D2893" s="24" t="str">
        <f t="array" ref="D2893">xlookup($A2893,product!$A:$A,product!D:D)</f>
        <v>Pâte à tartiner chocolat lait</v>
      </c>
      <c r="E2893" s="25" t="str">
        <f t="shared" si="1"/>
        <v>108394-Pâte à tartiner-Pâte à tartiner chocolat lait</v>
      </c>
      <c r="F2893" s="25">
        <v>1.0</v>
      </c>
      <c r="G2893" s="25">
        <v>484.0</v>
      </c>
      <c r="H2893" s="25">
        <v>194.0</v>
      </c>
      <c r="I2893" s="26">
        <f t="array" ref="I2893">XLOOKUP($A2893,product!A:A,product!E:E)</f>
        <v>3.77</v>
      </c>
      <c r="J2893" s="25">
        <f t="shared" si="2"/>
        <v>731.38</v>
      </c>
      <c r="K2893" s="27">
        <f t="shared" si="3"/>
        <v>1</v>
      </c>
      <c r="L2893" s="25">
        <f t="shared" si="4"/>
        <v>1</v>
      </c>
    </row>
    <row r="2894">
      <c r="A2894" s="19">
        <v>119967.0</v>
      </c>
      <c r="B2894" s="20" t="str">
        <f t="array" ref="B2894">xlookup($A2894,product!$A:$A,product!B:B)</f>
        <v>Epicerie sucrée</v>
      </c>
      <c r="C2894" s="20" t="str">
        <f t="array" ref="C2894">xlookup($A2894,product!$A:$A,product!C:C)</f>
        <v>Pâte à tartiner</v>
      </c>
      <c r="D2894" s="20" t="str">
        <f t="array" ref="D2894">xlookup($A2894,product!$A:$A,product!D:D)</f>
        <v>Pâte à tartiner chocolat lait</v>
      </c>
      <c r="E2894" s="4" t="str">
        <f t="shared" si="1"/>
        <v>119967-Pâte à tartiner-Pâte à tartiner chocolat lait</v>
      </c>
      <c r="F2894" s="4">
        <v>1.0</v>
      </c>
      <c r="G2894" s="4">
        <v>832.0</v>
      </c>
      <c r="H2894" s="4">
        <v>375.0</v>
      </c>
      <c r="I2894" s="21">
        <f t="array" ref="I2894">XLOOKUP($A2894,product!A:A,product!E:E)</f>
        <v>4.46</v>
      </c>
      <c r="J2894" s="4">
        <f t="shared" si="2"/>
        <v>1672.5</v>
      </c>
      <c r="K2894" s="22">
        <f t="shared" si="3"/>
        <v>1</v>
      </c>
      <c r="L2894" s="4">
        <f t="shared" si="4"/>
        <v>1</v>
      </c>
    </row>
    <row r="2895">
      <c r="A2895" s="23">
        <v>81235.0</v>
      </c>
      <c r="B2895" s="24" t="str">
        <f t="array" ref="B2895">xlookup($A2895,product!$A:$A,product!B:B)</f>
        <v>Epicerie sucrée</v>
      </c>
      <c r="C2895" s="24" t="str">
        <f t="array" ref="C2895">xlookup($A2895,product!$A:$A,product!C:C)</f>
        <v>Pâte à tartiner</v>
      </c>
      <c r="D2895" s="24" t="str">
        <f t="array" ref="D2895">xlookup($A2895,product!$A:$A,product!D:D)</f>
        <v>Pâte à tartiner chocolat lait</v>
      </c>
      <c r="E2895" s="25" t="str">
        <f t="shared" si="1"/>
        <v>81235-Pâte à tartiner-Pâte à tartiner chocolat lait</v>
      </c>
      <c r="F2895" s="25">
        <v>0.0</v>
      </c>
      <c r="G2895" s="25">
        <v>913.0</v>
      </c>
      <c r="H2895" s="25">
        <v>111.0</v>
      </c>
      <c r="I2895" s="26">
        <f t="array" ref="I2895">XLOOKUP($A2895,product!A:A,product!E:E)</f>
        <v>4.55</v>
      </c>
      <c r="J2895" s="25">
        <f t="shared" si="2"/>
        <v>505.05</v>
      </c>
      <c r="K2895" s="27">
        <f t="shared" si="3"/>
        <v>1</v>
      </c>
      <c r="L2895" s="25">
        <f t="shared" si="4"/>
        <v>1</v>
      </c>
    </row>
    <row r="2896">
      <c r="A2896" s="19">
        <v>24053.0</v>
      </c>
      <c r="B2896" s="20" t="str">
        <f t="array" ref="B2896">xlookup($A2896,product!$A:$A,product!B:B)</f>
        <v>Epicerie sucrée</v>
      </c>
      <c r="C2896" s="20" t="str">
        <f t="array" ref="C2896">xlookup($A2896,product!$A:$A,product!C:C)</f>
        <v>Pâte à tartiner</v>
      </c>
      <c r="D2896" s="20" t="str">
        <f t="array" ref="D2896">xlookup($A2896,product!$A:$A,product!D:D)</f>
        <v>Pâte à tartiner chocolat lait</v>
      </c>
      <c r="E2896" s="4" t="str">
        <f t="shared" si="1"/>
        <v>24053-Pâte à tartiner-Pâte à tartiner chocolat lait</v>
      </c>
      <c r="F2896" s="4">
        <v>1.0</v>
      </c>
      <c r="G2896" s="4">
        <v>85.0</v>
      </c>
      <c r="H2896" s="4">
        <v>31.0</v>
      </c>
      <c r="I2896" s="21">
        <f t="array" ref="I2896">XLOOKUP($A2896,product!A:A,product!E:E)</f>
        <v>9.27</v>
      </c>
      <c r="J2896" s="4">
        <f t="shared" si="2"/>
        <v>287.37</v>
      </c>
      <c r="K2896" s="22">
        <f t="shared" si="3"/>
        <v>1</v>
      </c>
      <c r="L2896" s="4">
        <f t="shared" si="4"/>
        <v>1</v>
      </c>
    </row>
    <row r="2897">
      <c r="A2897" s="23">
        <v>116936.0</v>
      </c>
      <c r="B2897" s="24" t="str">
        <f t="array" ref="B2897">xlookup($A2897,product!$A:$A,product!B:B)</f>
        <v>Epicerie sucrée</v>
      </c>
      <c r="C2897" s="24" t="str">
        <f t="array" ref="C2897">xlookup($A2897,product!$A:$A,product!C:C)</f>
        <v>Pâte à tartiner</v>
      </c>
      <c r="D2897" s="24" t="str">
        <f t="array" ref="D2897">xlookup($A2897,product!$A:$A,product!D:D)</f>
        <v>Pâte à tartiner chocolat lait</v>
      </c>
      <c r="E2897" s="25" t="str">
        <f t="shared" si="1"/>
        <v>116936-Pâte à tartiner-Pâte à tartiner chocolat lait</v>
      </c>
      <c r="F2897" s="25">
        <v>0.0</v>
      </c>
      <c r="G2897" s="25">
        <v>556.0</v>
      </c>
      <c r="H2897" s="25">
        <v>141.0</v>
      </c>
      <c r="I2897" s="26">
        <f t="array" ref="I2897">XLOOKUP($A2897,product!A:A,product!E:E)</f>
        <v>3.44</v>
      </c>
      <c r="J2897" s="25">
        <f t="shared" si="2"/>
        <v>485.04</v>
      </c>
      <c r="K2897" s="27">
        <f t="shared" si="3"/>
        <v>1</v>
      </c>
      <c r="L2897" s="25">
        <f t="shared" si="4"/>
        <v>1</v>
      </c>
    </row>
    <row r="2898">
      <c r="A2898" s="19">
        <v>44268.0</v>
      </c>
      <c r="B2898" s="20" t="str">
        <f t="array" ref="B2898">xlookup($A2898,product!$A:$A,product!B:B)</f>
        <v>Epicerie sucrée</v>
      </c>
      <c r="C2898" s="20" t="str">
        <f t="array" ref="C2898">xlookup($A2898,product!$A:$A,product!C:C)</f>
        <v>Pâte à tartiner</v>
      </c>
      <c r="D2898" s="20" t="str">
        <f t="array" ref="D2898">xlookup($A2898,product!$A:$A,product!D:D)</f>
        <v>Pâte à tartiner chocolat lait</v>
      </c>
      <c r="E2898" s="4" t="str">
        <f t="shared" si="1"/>
        <v>44268-Pâte à tartiner-Pâte à tartiner chocolat lait</v>
      </c>
      <c r="F2898" s="4">
        <v>1.0</v>
      </c>
      <c r="G2898" s="4">
        <v>96.0</v>
      </c>
      <c r="H2898" s="4">
        <v>17.0</v>
      </c>
      <c r="I2898" s="21">
        <f t="array" ref="I2898">XLOOKUP($A2898,product!A:A,product!E:E)</f>
        <v>5.08</v>
      </c>
      <c r="J2898" s="4">
        <f t="shared" si="2"/>
        <v>86.36</v>
      </c>
      <c r="K2898" s="22">
        <f t="shared" si="3"/>
        <v>1</v>
      </c>
      <c r="L2898" s="4">
        <f t="shared" si="4"/>
        <v>1</v>
      </c>
    </row>
    <row r="2899">
      <c r="A2899" s="23">
        <v>111946.0</v>
      </c>
      <c r="B2899" s="24" t="str">
        <f t="array" ref="B2899">xlookup($A2899,product!$A:$A,product!B:B)</f>
        <v>Epicerie sucrée</v>
      </c>
      <c r="C2899" s="24" t="str">
        <f t="array" ref="C2899">xlookup($A2899,product!$A:$A,product!C:C)</f>
        <v>Pâte à tartiner</v>
      </c>
      <c r="D2899" s="24" t="str">
        <f t="array" ref="D2899">xlookup($A2899,product!$A:$A,product!D:D)</f>
        <v>Pâte à tartiner chocolat lait</v>
      </c>
      <c r="E2899" s="25" t="str">
        <f t="shared" si="1"/>
        <v>111946-Pâte à tartiner-Pâte à tartiner chocolat lait</v>
      </c>
      <c r="F2899" s="25">
        <v>1.0</v>
      </c>
      <c r="G2899" s="25">
        <v>442.0</v>
      </c>
      <c r="H2899" s="25">
        <v>430.0</v>
      </c>
      <c r="I2899" s="26">
        <f t="array" ref="I2899">XLOOKUP($A2899,product!A:A,product!E:E)</f>
        <v>2.83</v>
      </c>
      <c r="J2899" s="25">
        <f t="shared" si="2"/>
        <v>1216.9</v>
      </c>
      <c r="K2899" s="27">
        <f t="shared" si="3"/>
        <v>1</v>
      </c>
      <c r="L2899" s="25">
        <f t="shared" si="4"/>
        <v>1</v>
      </c>
    </row>
    <row r="2900">
      <c r="A2900" s="19">
        <v>81234.0</v>
      </c>
      <c r="B2900" s="20" t="str">
        <f t="array" ref="B2900">xlookup($A2900,product!$A:$A,product!B:B)</f>
        <v>Epicerie sucrée</v>
      </c>
      <c r="C2900" s="20" t="str">
        <f t="array" ref="C2900">xlookup($A2900,product!$A:$A,product!C:C)</f>
        <v>Pâte à tartiner</v>
      </c>
      <c r="D2900" s="20" t="str">
        <f t="array" ref="D2900">xlookup($A2900,product!$A:$A,product!D:D)</f>
        <v>Pâte à tartiner chocolat lait</v>
      </c>
      <c r="E2900" s="4" t="str">
        <f t="shared" si="1"/>
        <v>81234-Pâte à tartiner-Pâte à tartiner chocolat lait</v>
      </c>
      <c r="F2900" s="4">
        <v>1.0</v>
      </c>
      <c r="G2900" s="4">
        <v>345.0</v>
      </c>
      <c r="H2900" s="4">
        <v>138.0</v>
      </c>
      <c r="I2900" s="21">
        <f t="array" ref="I2900">XLOOKUP($A2900,product!A:A,product!E:E)</f>
        <v>2.42</v>
      </c>
      <c r="J2900" s="4">
        <f t="shared" si="2"/>
        <v>333.96</v>
      </c>
      <c r="K2900" s="22">
        <f t="shared" si="3"/>
        <v>1</v>
      </c>
      <c r="L2900" s="4">
        <f t="shared" si="4"/>
        <v>1</v>
      </c>
    </row>
    <row r="2901">
      <c r="A2901" s="23">
        <v>24038.0</v>
      </c>
      <c r="B2901" s="24" t="str">
        <f t="array" ref="B2901">xlookup($A2901,product!$A:$A,product!B:B)</f>
        <v>Epicerie sucrée</v>
      </c>
      <c r="C2901" s="24" t="str">
        <f t="array" ref="C2901">xlookup($A2901,product!$A:$A,product!C:C)</f>
        <v>Pâte à tartiner</v>
      </c>
      <c r="D2901" s="24" t="str">
        <f t="array" ref="D2901">xlookup($A2901,product!$A:$A,product!D:D)</f>
        <v>Pâte à tartiner chocolat lait</v>
      </c>
      <c r="E2901" s="25" t="str">
        <f t="shared" si="1"/>
        <v>24038-Pâte à tartiner-Pâte à tartiner chocolat lait</v>
      </c>
      <c r="F2901" s="25">
        <v>0.0</v>
      </c>
      <c r="G2901" s="25">
        <v>202.0</v>
      </c>
      <c r="H2901" s="25">
        <v>72.0</v>
      </c>
      <c r="I2901" s="26">
        <f t="array" ref="I2901">XLOOKUP($A2901,product!A:A,product!E:E)</f>
        <v>9.76</v>
      </c>
      <c r="J2901" s="25">
        <f t="shared" si="2"/>
        <v>702.72</v>
      </c>
      <c r="K2901" s="27">
        <f t="shared" si="3"/>
        <v>1</v>
      </c>
      <c r="L2901" s="25">
        <f t="shared" si="4"/>
        <v>1</v>
      </c>
    </row>
    <row r="2902">
      <c r="A2902" s="19">
        <v>44882.0</v>
      </c>
      <c r="B2902" s="20" t="str">
        <f t="array" ref="B2902">xlookup($A2902,product!$A:$A,product!B:B)</f>
        <v>Epicerie sucrée</v>
      </c>
      <c r="C2902" s="20" t="str">
        <f t="array" ref="C2902">xlookup($A2902,product!$A:$A,product!C:C)</f>
        <v>Pâte à tartiner</v>
      </c>
      <c r="D2902" s="20" t="str">
        <f t="array" ref="D2902">xlookup($A2902,product!$A:$A,product!D:D)</f>
        <v>Pâte à tartiner chocolat noir</v>
      </c>
      <c r="E2902" s="4" t="str">
        <f t="shared" si="1"/>
        <v>44882-Pâte à tartiner-Pâte à tartiner chocolat noir</v>
      </c>
      <c r="F2902" s="4">
        <v>0.0</v>
      </c>
      <c r="G2902" s="4">
        <v>236.0</v>
      </c>
      <c r="H2902" s="4">
        <v>225.0</v>
      </c>
      <c r="I2902" s="21">
        <f t="array" ref="I2902">XLOOKUP($A2902,product!A:A,product!E:E)</f>
        <v>5.25</v>
      </c>
      <c r="J2902" s="4">
        <f t="shared" si="2"/>
        <v>1181.25</v>
      </c>
      <c r="K2902" s="22">
        <f t="shared" si="3"/>
        <v>1</v>
      </c>
      <c r="L2902" s="4">
        <f t="shared" si="4"/>
        <v>1</v>
      </c>
    </row>
    <row r="2903">
      <c r="A2903" s="23">
        <v>44266.0</v>
      </c>
      <c r="B2903" s="24" t="str">
        <f t="array" ref="B2903">xlookup($A2903,product!$A:$A,product!B:B)</f>
        <v>Epicerie sucrée</v>
      </c>
      <c r="C2903" s="24" t="str">
        <f t="array" ref="C2903">xlookup($A2903,product!$A:$A,product!C:C)</f>
        <v>Pâte à tartiner</v>
      </c>
      <c r="D2903" s="24" t="str">
        <f t="array" ref="D2903">xlookup($A2903,product!$A:$A,product!D:D)</f>
        <v>Pâte à tartiner chocolat noir</v>
      </c>
      <c r="E2903" s="25" t="str">
        <f t="shared" si="1"/>
        <v>44266-Pâte à tartiner-Pâte à tartiner chocolat noir</v>
      </c>
      <c r="F2903" s="25">
        <v>0.0</v>
      </c>
      <c r="G2903" s="25">
        <v>44.0</v>
      </c>
      <c r="H2903" s="25">
        <v>13.0</v>
      </c>
      <c r="I2903" s="26">
        <f t="array" ref="I2903">XLOOKUP($A2903,product!A:A,product!E:E)</f>
        <v>5.08</v>
      </c>
      <c r="J2903" s="25">
        <f t="shared" si="2"/>
        <v>66.04</v>
      </c>
      <c r="K2903" s="27">
        <f t="shared" si="3"/>
        <v>1</v>
      </c>
      <c r="L2903" s="25">
        <f t="shared" si="4"/>
        <v>1</v>
      </c>
    </row>
    <row r="2904">
      <c r="A2904" s="19">
        <v>3452.0</v>
      </c>
      <c r="B2904" s="20" t="str">
        <f t="array" ref="B2904">xlookup($A2904,product!$A:$A,product!B:B)</f>
        <v>Epicerie sucrée</v>
      </c>
      <c r="C2904" s="20" t="str">
        <f t="array" ref="C2904">xlookup($A2904,product!$A:$A,product!C:C)</f>
        <v>Pâte à tartiner</v>
      </c>
      <c r="D2904" s="20" t="str">
        <f t="array" ref="D2904">xlookup($A2904,product!$A:$A,product!D:D)</f>
        <v>Pâte à tartiner chocolat noir</v>
      </c>
      <c r="E2904" s="4" t="str">
        <f t="shared" si="1"/>
        <v>3452-Pâte à tartiner-Pâte à tartiner chocolat noir</v>
      </c>
      <c r="F2904" s="4">
        <v>1.0</v>
      </c>
      <c r="G2904" s="4">
        <v>456.0</v>
      </c>
      <c r="H2904" s="4">
        <v>337.0</v>
      </c>
      <c r="I2904" s="21">
        <f t="array" ref="I2904">XLOOKUP($A2904,product!A:A,product!E:E)</f>
        <v>2.09</v>
      </c>
      <c r="J2904" s="4">
        <f t="shared" si="2"/>
        <v>704.33</v>
      </c>
      <c r="K2904" s="22">
        <f t="shared" si="3"/>
        <v>1</v>
      </c>
      <c r="L2904" s="4">
        <f t="shared" si="4"/>
        <v>1</v>
      </c>
    </row>
    <row r="2905">
      <c r="A2905" s="23">
        <v>118569.0</v>
      </c>
      <c r="B2905" s="24" t="str">
        <f t="array" ref="B2905">xlookup($A2905,product!$A:$A,product!B:B)</f>
        <v>Epicerie sucrée</v>
      </c>
      <c r="C2905" s="24" t="str">
        <f t="array" ref="C2905">xlookup($A2905,product!$A:$A,product!C:C)</f>
        <v>Pâte à tartiner</v>
      </c>
      <c r="D2905" s="24" t="str">
        <f t="array" ref="D2905">xlookup($A2905,product!$A:$A,product!D:D)</f>
        <v>Pâte à tartiner chocolat noir</v>
      </c>
      <c r="E2905" s="25" t="str">
        <f t="shared" si="1"/>
        <v>118569-Pâte à tartiner-Pâte à tartiner chocolat noir</v>
      </c>
      <c r="F2905" s="25">
        <v>0.0</v>
      </c>
      <c r="G2905" s="25">
        <v>919.0</v>
      </c>
      <c r="H2905" s="25">
        <v>618.0</v>
      </c>
      <c r="I2905" s="26">
        <f t="array" ref="I2905">XLOOKUP($A2905,product!A:A,product!E:E)</f>
        <v>4.16</v>
      </c>
      <c r="J2905" s="25">
        <f t="shared" si="2"/>
        <v>2570.88</v>
      </c>
      <c r="K2905" s="27">
        <f t="shared" si="3"/>
        <v>1</v>
      </c>
      <c r="L2905" s="25">
        <f t="shared" si="4"/>
        <v>1</v>
      </c>
    </row>
    <row r="2906">
      <c r="A2906" s="19">
        <v>84378.0</v>
      </c>
      <c r="B2906" s="20" t="str">
        <f t="array" ref="B2906">xlookup($A2906,product!$A:$A,product!B:B)</f>
        <v>Epicerie sucrée</v>
      </c>
      <c r="C2906" s="20" t="str">
        <f t="array" ref="C2906">xlookup($A2906,product!$A:$A,product!C:C)</f>
        <v>Pâte à tartiner</v>
      </c>
      <c r="D2906" s="20" t="str">
        <f t="array" ref="D2906">xlookup($A2906,product!$A:$A,product!D:D)</f>
        <v>Pâte à tartiner sans chocolat</v>
      </c>
      <c r="E2906" s="4" t="str">
        <f t="shared" si="1"/>
        <v>84378-Pâte à tartiner-Pâte à tartiner sans chocolat</v>
      </c>
      <c r="F2906" s="4">
        <v>0.0</v>
      </c>
      <c r="G2906" s="4">
        <v>496.0</v>
      </c>
      <c r="H2906" s="4">
        <v>54.0</v>
      </c>
      <c r="I2906" s="21">
        <f t="array" ref="I2906">XLOOKUP($A2906,product!A:A,product!E:E)</f>
        <v>2.28</v>
      </c>
      <c r="J2906" s="4">
        <f t="shared" si="2"/>
        <v>123.12</v>
      </c>
      <c r="K2906" s="22">
        <f t="shared" si="3"/>
        <v>1</v>
      </c>
      <c r="L2906" s="4">
        <f t="shared" si="4"/>
        <v>1</v>
      </c>
    </row>
    <row r="2907">
      <c r="A2907" s="23">
        <v>112731.0</v>
      </c>
      <c r="B2907" s="24" t="str">
        <f t="array" ref="B2907">xlookup($A2907,product!$A:$A,product!B:B)</f>
        <v>Epicerie sucrée</v>
      </c>
      <c r="C2907" s="24" t="str">
        <f t="array" ref="C2907">xlookup($A2907,product!$A:$A,product!C:C)</f>
        <v>Pâte à tartiner</v>
      </c>
      <c r="D2907" s="24" t="str">
        <f t="array" ref="D2907">xlookup($A2907,product!$A:$A,product!D:D)</f>
        <v>Pâte à tartiner sans chocolat</v>
      </c>
      <c r="E2907" s="25" t="str">
        <f t="shared" si="1"/>
        <v>112731-Pâte à tartiner-Pâte à tartiner sans chocolat</v>
      </c>
      <c r="F2907" s="25">
        <v>0.0</v>
      </c>
      <c r="G2907" s="25">
        <v>878.0</v>
      </c>
      <c r="H2907" s="25">
        <v>553.0</v>
      </c>
      <c r="I2907" s="26">
        <f t="array" ref="I2907">XLOOKUP($A2907,product!A:A,product!E:E)</f>
        <v>4.09</v>
      </c>
      <c r="J2907" s="25">
        <f t="shared" si="2"/>
        <v>2261.77</v>
      </c>
      <c r="K2907" s="27">
        <f t="shared" si="3"/>
        <v>1</v>
      </c>
      <c r="L2907" s="25">
        <f t="shared" si="4"/>
        <v>1</v>
      </c>
    </row>
    <row r="2908">
      <c r="A2908" s="19">
        <v>166201.0</v>
      </c>
      <c r="B2908" s="20" t="str">
        <f t="array" ref="B2908">xlookup($A2908,product!$A:$A,product!B:B)</f>
        <v>Beauté &amp; Hygiène</v>
      </c>
      <c r="C2908" s="20" t="str">
        <f t="array" ref="C2908">xlookup($A2908,product!$A:$A,product!C:C)</f>
        <v>Soins des cheveux</v>
      </c>
      <c r="D2908" s="20" t="str">
        <f t="array" ref="D2908">xlookup($A2908,product!$A:$A,product!D:D)</f>
        <v>Brosse et peigne</v>
      </c>
      <c r="E2908" s="4" t="str">
        <f t="shared" si="1"/>
        <v>166201-Soins des cheveux-Brosse et peigne</v>
      </c>
      <c r="F2908" s="4">
        <v>1.0</v>
      </c>
      <c r="G2908" s="4">
        <v>787.0</v>
      </c>
      <c r="H2908" s="4">
        <v>107.0</v>
      </c>
      <c r="I2908" s="21">
        <f t="array" ref="I2908">XLOOKUP($A2908,product!A:A,product!E:E)</f>
        <v>3.31</v>
      </c>
      <c r="J2908" s="4">
        <f t="shared" si="2"/>
        <v>354.17</v>
      </c>
      <c r="K2908" s="22">
        <f t="shared" si="3"/>
        <v>1</v>
      </c>
      <c r="L2908" s="4">
        <f t="shared" si="4"/>
        <v>1</v>
      </c>
    </row>
    <row r="2909">
      <c r="A2909" s="23">
        <v>48495.0</v>
      </c>
      <c r="B2909" s="24" t="str">
        <f t="array" ref="B2909">xlookup($A2909,product!$A:$A,product!B:B)</f>
        <v>Beauté &amp; Hygiène</v>
      </c>
      <c r="C2909" s="24" t="str">
        <f t="array" ref="C2909">xlookup($A2909,product!$A:$A,product!C:C)</f>
        <v>Soins des cheveux</v>
      </c>
      <c r="D2909" s="24" t="str">
        <f t="array" ref="D2909">xlookup($A2909,product!$A:$A,product!D:D)</f>
        <v>Brosse et peigne</v>
      </c>
      <c r="E2909" s="25" t="str">
        <f t="shared" si="1"/>
        <v>48495-Soins des cheveux-Brosse et peigne</v>
      </c>
      <c r="F2909" s="25">
        <v>0.0</v>
      </c>
      <c r="G2909" s="25">
        <v>899.0</v>
      </c>
      <c r="H2909" s="25">
        <v>613.0</v>
      </c>
      <c r="I2909" s="26">
        <f t="array" ref="I2909">XLOOKUP($A2909,product!A:A,product!E:E)</f>
        <v>7.24</v>
      </c>
      <c r="J2909" s="25">
        <f t="shared" si="2"/>
        <v>4438.12</v>
      </c>
      <c r="K2909" s="27">
        <f t="shared" si="3"/>
        <v>1</v>
      </c>
      <c r="L2909" s="25">
        <f t="shared" si="4"/>
        <v>1</v>
      </c>
    </row>
    <row r="2910">
      <c r="A2910" s="19">
        <v>10383.0</v>
      </c>
      <c r="B2910" s="20" t="str">
        <f t="array" ref="B2910">xlookup($A2910,product!$A:$A,product!B:B)</f>
        <v>Beauté &amp; Hygiène</v>
      </c>
      <c r="C2910" s="20" t="str">
        <f t="array" ref="C2910">xlookup($A2910,product!$A:$A,product!C:C)</f>
        <v>Soins des cheveux</v>
      </c>
      <c r="D2910" s="20" t="str">
        <f t="array" ref="D2910">xlookup($A2910,product!$A:$A,product!D:D)</f>
        <v>Brosse et peigne</v>
      </c>
      <c r="E2910" s="4" t="str">
        <f t="shared" si="1"/>
        <v>10383-Soins des cheveux-Brosse et peigne</v>
      </c>
      <c r="F2910" s="4">
        <v>1.0</v>
      </c>
      <c r="G2910" s="4">
        <v>496.0</v>
      </c>
      <c r="H2910" s="4">
        <v>56.0</v>
      </c>
      <c r="I2910" s="21">
        <f t="array" ref="I2910">XLOOKUP($A2910,product!A:A,product!E:E)</f>
        <v>7.25</v>
      </c>
      <c r="J2910" s="4">
        <f t="shared" si="2"/>
        <v>406</v>
      </c>
      <c r="K2910" s="22">
        <f t="shared" si="3"/>
        <v>1</v>
      </c>
      <c r="L2910" s="4">
        <f t="shared" si="4"/>
        <v>1</v>
      </c>
    </row>
    <row r="2911">
      <c r="A2911" s="23">
        <v>116284.0</v>
      </c>
      <c r="B2911" s="24" t="str">
        <f t="array" ref="B2911">xlookup($A2911,product!$A:$A,product!B:B)</f>
        <v>Beauté &amp; Hygiène</v>
      </c>
      <c r="C2911" s="24" t="str">
        <f t="array" ref="C2911">xlookup($A2911,product!$A:$A,product!C:C)</f>
        <v>Soins des cheveux</v>
      </c>
      <c r="D2911" s="24" t="str">
        <f t="array" ref="D2911">xlookup($A2911,product!$A:$A,product!D:D)</f>
        <v>Brosse et peigne</v>
      </c>
      <c r="E2911" s="25" t="str">
        <f t="shared" si="1"/>
        <v>116284-Soins des cheveux-Brosse et peigne</v>
      </c>
      <c r="F2911" s="25">
        <v>1.0</v>
      </c>
      <c r="G2911" s="25">
        <v>935.0</v>
      </c>
      <c r="H2911" s="25">
        <v>911.0</v>
      </c>
      <c r="I2911" s="26">
        <f t="array" ref="I2911">XLOOKUP($A2911,product!A:A,product!E:E)</f>
        <v>3.56</v>
      </c>
      <c r="J2911" s="25">
        <f t="shared" si="2"/>
        <v>3243.16</v>
      </c>
      <c r="K2911" s="27">
        <f t="shared" si="3"/>
        <v>1</v>
      </c>
      <c r="L2911" s="25">
        <f t="shared" si="4"/>
        <v>1</v>
      </c>
    </row>
    <row r="2912">
      <c r="A2912" s="19">
        <v>86543.0</v>
      </c>
      <c r="B2912" s="20" t="str">
        <f t="array" ref="B2912">xlookup($A2912,product!$A:$A,product!B:B)</f>
        <v>Beauté &amp; Hygiène</v>
      </c>
      <c r="C2912" s="20" t="str">
        <f t="array" ref="C2912">xlookup($A2912,product!$A:$A,product!C:C)</f>
        <v>Soins des cheveux</v>
      </c>
      <c r="D2912" s="20" t="str">
        <f t="array" ref="D2912">xlookup($A2912,product!$A:$A,product!D:D)</f>
        <v>Brosse et peigne</v>
      </c>
      <c r="E2912" s="4" t="str">
        <f t="shared" si="1"/>
        <v>86543-Soins des cheveux-Brosse et peigne</v>
      </c>
      <c r="F2912" s="4">
        <v>1.0</v>
      </c>
      <c r="G2912" s="4">
        <v>666.0</v>
      </c>
      <c r="H2912" s="4">
        <v>401.0</v>
      </c>
      <c r="I2912" s="21">
        <f t="array" ref="I2912">XLOOKUP($A2912,product!A:A,product!E:E)</f>
        <v>3.91</v>
      </c>
      <c r="J2912" s="4">
        <f t="shared" si="2"/>
        <v>1567.91</v>
      </c>
      <c r="K2912" s="22">
        <f t="shared" si="3"/>
        <v>1</v>
      </c>
      <c r="L2912" s="4">
        <f t="shared" si="4"/>
        <v>1</v>
      </c>
    </row>
    <row r="2913">
      <c r="A2913" s="23">
        <v>21165.0</v>
      </c>
      <c r="B2913" s="24" t="str">
        <f t="array" ref="B2913">xlookup($A2913,product!$A:$A,product!B:B)</f>
        <v>Beauté &amp; Hygiène</v>
      </c>
      <c r="C2913" s="24" t="str">
        <f t="array" ref="C2913">xlookup($A2913,product!$A:$A,product!C:C)</f>
        <v>Soins des cheveux</v>
      </c>
      <c r="D2913" s="24" t="str">
        <f t="array" ref="D2913">xlookup($A2913,product!$A:$A,product!D:D)</f>
        <v>Brosse et peigne</v>
      </c>
      <c r="E2913" s="25" t="str">
        <f t="shared" si="1"/>
        <v>21165-Soins des cheveux-Brosse et peigne</v>
      </c>
      <c r="F2913" s="25">
        <v>1.0</v>
      </c>
      <c r="G2913" s="25">
        <v>240.0</v>
      </c>
      <c r="H2913" s="25">
        <v>167.0</v>
      </c>
      <c r="I2913" s="26">
        <f t="array" ref="I2913">XLOOKUP($A2913,product!A:A,product!E:E)</f>
        <v>6.45</v>
      </c>
      <c r="J2913" s="25">
        <f t="shared" si="2"/>
        <v>1077.15</v>
      </c>
      <c r="K2913" s="27">
        <f t="shared" si="3"/>
        <v>1</v>
      </c>
      <c r="L2913" s="25">
        <f t="shared" si="4"/>
        <v>1</v>
      </c>
    </row>
    <row r="2914">
      <c r="A2914" s="19">
        <v>10309.0</v>
      </c>
      <c r="B2914" s="20" t="str">
        <f t="array" ref="B2914">xlookup($A2914,product!$A:$A,product!B:B)</f>
        <v>Beauté &amp; Hygiène</v>
      </c>
      <c r="C2914" s="20" t="str">
        <f t="array" ref="C2914">xlookup($A2914,product!$A:$A,product!C:C)</f>
        <v>Soins des cheveux</v>
      </c>
      <c r="D2914" s="20" t="str">
        <f t="array" ref="D2914">xlookup($A2914,product!$A:$A,product!D:D)</f>
        <v>Brosse et peigne</v>
      </c>
      <c r="E2914" s="4" t="str">
        <f t="shared" si="1"/>
        <v>10309-Soins des cheveux-Brosse et peigne</v>
      </c>
      <c r="F2914" s="4">
        <v>0.0</v>
      </c>
      <c r="G2914" s="4">
        <v>380.0</v>
      </c>
      <c r="H2914" s="4">
        <v>186.0</v>
      </c>
      <c r="I2914" s="21">
        <f t="array" ref="I2914">XLOOKUP($A2914,product!A:A,product!E:E)</f>
        <v>2.33</v>
      </c>
      <c r="J2914" s="4">
        <f t="shared" si="2"/>
        <v>433.38</v>
      </c>
      <c r="K2914" s="22">
        <f t="shared" si="3"/>
        <v>1</v>
      </c>
      <c r="L2914" s="4">
        <f t="shared" si="4"/>
        <v>1</v>
      </c>
    </row>
    <row r="2915">
      <c r="A2915" s="23">
        <v>10367.0</v>
      </c>
      <c r="B2915" s="24" t="str">
        <f t="array" ref="B2915">xlookup($A2915,product!$A:$A,product!B:B)</f>
        <v>Beauté &amp; Hygiène</v>
      </c>
      <c r="C2915" s="24" t="str">
        <f t="array" ref="C2915">xlookup($A2915,product!$A:$A,product!C:C)</f>
        <v>Soins des cheveux</v>
      </c>
      <c r="D2915" s="24" t="str">
        <f t="array" ref="D2915">xlookup($A2915,product!$A:$A,product!D:D)</f>
        <v>Brosse et peigne</v>
      </c>
      <c r="E2915" s="25" t="str">
        <f t="shared" si="1"/>
        <v>10367-Soins des cheveux-Brosse et peigne</v>
      </c>
      <c r="F2915" s="25">
        <v>1.0</v>
      </c>
      <c r="G2915" s="25">
        <v>934.0</v>
      </c>
      <c r="H2915" s="25">
        <v>473.0</v>
      </c>
      <c r="I2915" s="26">
        <f t="array" ref="I2915">XLOOKUP($A2915,product!A:A,product!E:E)</f>
        <v>4.09</v>
      </c>
      <c r="J2915" s="25">
        <f t="shared" si="2"/>
        <v>1934.57</v>
      </c>
      <c r="K2915" s="27">
        <f t="shared" si="3"/>
        <v>1</v>
      </c>
      <c r="L2915" s="25">
        <f t="shared" si="4"/>
        <v>1</v>
      </c>
    </row>
    <row r="2916">
      <c r="A2916" s="19">
        <v>86545.0</v>
      </c>
      <c r="B2916" s="20" t="str">
        <f t="array" ref="B2916">xlookup($A2916,product!$A:$A,product!B:B)</f>
        <v>Beauté &amp; Hygiène</v>
      </c>
      <c r="C2916" s="20" t="str">
        <f t="array" ref="C2916">xlookup($A2916,product!$A:$A,product!C:C)</f>
        <v>Soins des cheveux</v>
      </c>
      <c r="D2916" s="20" t="str">
        <f t="array" ref="D2916">xlookup($A2916,product!$A:$A,product!D:D)</f>
        <v>Brosse et peigne</v>
      </c>
      <c r="E2916" s="4" t="str">
        <f t="shared" si="1"/>
        <v>86545-Soins des cheveux-Brosse et peigne</v>
      </c>
      <c r="F2916" s="4">
        <v>1.0</v>
      </c>
      <c r="G2916" s="4">
        <v>828.0</v>
      </c>
      <c r="H2916" s="4">
        <v>21.0</v>
      </c>
      <c r="I2916" s="21">
        <f t="array" ref="I2916">XLOOKUP($A2916,product!A:A,product!E:E)</f>
        <v>5.42</v>
      </c>
      <c r="J2916" s="4">
        <f t="shared" si="2"/>
        <v>113.82</v>
      </c>
      <c r="K2916" s="22">
        <f t="shared" si="3"/>
        <v>1</v>
      </c>
      <c r="L2916" s="4">
        <f t="shared" si="4"/>
        <v>1</v>
      </c>
    </row>
    <row r="2917">
      <c r="A2917" s="23">
        <v>86544.0</v>
      </c>
      <c r="B2917" s="24" t="str">
        <f t="array" ref="B2917">xlookup($A2917,product!$A:$A,product!B:B)</f>
        <v>Beauté &amp; Hygiène</v>
      </c>
      <c r="C2917" s="24" t="str">
        <f t="array" ref="C2917">xlookup($A2917,product!$A:$A,product!C:C)</f>
        <v>Soins des cheveux</v>
      </c>
      <c r="D2917" s="24" t="str">
        <f t="array" ref="D2917">xlookup($A2917,product!$A:$A,product!D:D)</f>
        <v>Brosse et peigne</v>
      </c>
      <c r="E2917" s="25" t="str">
        <f t="shared" si="1"/>
        <v>86544-Soins des cheveux-Brosse et peigne</v>
      </c>
      <c r="F2917" s="25">
        <v>1.0</v>
      </c>
      <c r="G2917" s="25">
        <v>645.0</v>
      </c>
      <c r="H2917" s="25">
        <v>219.0</v>
      </c>
      <c r="I2917" s="26">
        <f t="array" ref="I2917">XLOOKUP($A2917,product!A:A,product!E:E)</f>
        <v>5.97</v>
      </c>
      <c r="J2917" s="25">
        <f t="shared" si="2"/>
        <v>1307.43</v>
      </c>
      <c r="K2917" s="27">
        <f t="shared" si="3"/>
        <v>1</v>
      </c>
      <c r="L2917" s="25">
        <f t="shared" si="4"/>
        <v>1</v>
      </c>
    </row>
    <row r="2918">
      <c r="A2918" s="19">
        <v>10384.0</v>
      </c>
      <c r="B2918" s="20" t="str">
        <f t="array" ref="B2918">xlookup($A2918,product!$A:$A,product!B:B)</f>
        <v>Beauté &amp; Hygiène</v>
      </c>
      <c r="C2918" s="20" t="str">
        <f t="array" ref="C2918">xlookup($A2918,product!$A:$A,product!C:C)</f>
        <v>Soins des cheveux</v>
      </c>
      <c r="D2918" s="20" t="str">
        <f t="array" ref="D2918">xlookup($A2918,product!$A:$A,product!D:D)</f>
        <v>Brosse et peigne</v>
      </c>
      <c r="E2918" s="4" t="str">
        <f t="shared" si="1"/>
        <v>10384-Soins des cheveux-Brosse et peigne</v>
      </c>
      <c r="F2918" s="4">
        <v>0.0</v>
      </c>
      <c r="G2918" s="4">
        <v>38.0</v>
      </c>
      <c r="H2918" s="4">
        <v>12.0</v>
      </c>
      <c r="I2918" s="21">
        <f t="array" ref="I2918">XLOOKUP($A2918,product!A:A,product!E:E)</f>
        <v>6.98</v>
      </c>
      <c r="J2918" s="4">
        <f t="shared" si="2"/>
        <v>83.76</v>
      </c>
      <c r="K2918" s="22">
        <f t="shared" si="3"/>
        <v>1</v>
      </c>
      <c r="L2918" s="4">
        <f t="shared" si="4"/>
        <v>1</v>
      </c>
    </row>
    <row r="2919">
      <c r="A2919" s="23">
        <v>79314.0</v>
      </c>
      <c r="B2919" s="24" t="str">
        <f t="array" ref="B2919">xlookup($A2919,product!$A:$A,product!B:B)</f>
        <v>Beauté &amp; Hygiène</v>
      </c>
      <c r="C2919" s="24" t="str">
        <f t="array" ref="C2919">xlookup($A2919,product!$A:$A,product!C:C)</f>
        <v>Soins des cheveux</v>
      </c>
      <c r="D2919" s="24" t="str">
        <f t="array" ref="D2919">xlookup($A2919,product!$A:$A,product!D:D)</f>
        <v>Soins capillaires</v>
      </c>
      <c r="E2919" s="25" t="str">
        <f t="shared" si="1"/>
        <v>79314-Soins des cheveux-Soins capillaires</v>
      </c>
      <c r="F2919" s="25">
        <v>1.0</v>
      </c>
      <c r="G2919" s="25">
        <v>230.0</v>
      </c>
      <c r="H2919" s="25">
        <v>189.0</v>
      </c>
      <c r="I2919" s="26">
        <f t="array" ref="I2919">XLOOKUP($A2919,product!A:A,product!E:E)</f>
        <v>4.76</v>
      </c>
      <c r="J2919" s="25">
        <f t="shared" si="2"/>
        <v>899.64</v>
      </c>
      <c r="K2919" s="27">
        <f t="shared" si="3"/>
        <v>1</v>
      </c>
      <c r="L2919" s="25">
        <f t="shared" si="4"/>
        <v>1</v>
      </c>
    </row>
    <row r="2920">
      <c r="A2920" s="19">
        <v>79311.0</v>
      </c>
      <c r="B2920" s="20" t="str">
        <f t="array" ref="B2920">xlookup($A2920,product!$A:$A,product!B:B)</f>
        <v>Beauté &amp; Hygiène</v>
      </c>
      <c r="C2920" s="20" t="str">
        <f t="array" ref="C2920">xlookup($A2920,product!$A:$A,product!C:C)</f>
        <v>Soins des cheveux</v>
      </c>
      <c r="D2920" s="20" t="str">
        <f t="array" ref="D2920">xlookup($A2920,product!$A:$A,product!D:D)</f>
        <v>Soins capillaires</v>
      </c>
      <c r="E2920" s="4" t="str">
        <f t="shared" si="1"/>
        <v>79311-Soins des cheveux-Soins capillaires</v>
      </c>
      <c r="F2920" s="4">
        <v>0.0</v>
      </c>
      <c r="G2920" s="4">
        <v>759.0</v>
      </c>
      <c r="H2920" s="4">
        <v>502.0</v>
      </c>
      <c r="I2920" s="21">
        <f t="array" ref="I2920">XLOOKUP($A2920,product!A:A,product!E:E)</f>
        <v>4.76</v>
      </c>
      <c r="J2920" s="4">
        <f t="shared" si="2"/>
        <v>2389.52</v>
      </c>
      <c r="K2920" s="22">
        <f t="shared" si="3"/>
        <v>1</v>
      </c>
      <c r="L2920" s="4">
        <f t="shared" si="4"/>
        <v>1</v>
      </c>
    </row>
    <row r="2921">
      <c r="A2921" s="23">
        <v>118249.0</v>
      </c>
      <c r="B2921" s="24" t="str">
        <f t="array" ref="B2921">xlookup($A2921,product!$A:$A,product!B:B)</f>
        <v>Beauté &amp; Hygiène</v>
      </c>
      <c r="C2921" s="24" t="str">
        <f t="array" ref="C2921">xlookup($A2921,product!$A:$A,product!C:C)</f>
        <v>Soins des cheveux</v>
      </c>
      <c r="D2921" s="24" t="str">
        <f t="array" ref="D2921">xlookup($A2921,product!$A:$A,product!D:D)</f>
        <v>Soins capillaires</v>
      </c>
      <c r="E2921" s="25" t="str">
        <f t="shared" si="1"/>
        <v>118249-Soins des cheveux-Soins capillaires</v>
      </c>
      <c r="F2921" s="25">
        <v>1.0</v>
      </c>
      <c r="G2921" s="25">
        <v>776.0</v>
      </c>
      <c r="H2921" s="25">
        <v>160.0</v>
      </c>
      <c r="I2921" s="26">
        <f t="array" ref="I2921">XLOOKUP($A2921,product!A:A,product!E:E)</f>
        <v>2.89</v>
      </c>
      <c r="J2921" s="25">
        <f t="shared" si="2"/>
        <v>462.4</v>
      </c>
      <c r="K2921" s="27">
        <f t="shared" si="3"/>
        <v>1</v>
      </c>
      <c r="L2921" s="25">
        <f t="shared" si="4"/>
        <v>1</v>
      </c>
    </row>
    <row r="2922">
      <c r="A2922" s="19">
        <v>128420.0</v>
      </c>
      <c r="B2922" s="20" t="str">
        <f t="array" ref="B2922">xlookup($A2922,product!$A:$A,product!B:B)</f>
        <v>Beauté &amp; Hygiène</v>
      </c>
      <c r="C2922" s="20" t="str">
        <f t="array" ref="C2922">xlookup($A2922,product!$A:$A,product!C:C)</f>
        <v>Soins des cheveux</v>
      </c>
      <c r="D2922" s="20" t="str">
        <f t="array" ref="D2922">xlookup($A2922,product!$A:$A,product!D:D)</f>
        <v>Soins capillaires</v>
      </c>
      <c r="E2922" s="4" t="str">
        <f t="shared" si="1"/>
        <v>128420-Soins des cheveux-Soins capillaires</v>
      </c>
      <c r="F2922" s="4">
        <v>0.0</v>
      </c>
      <c r="G2922" s="4">
        <v>897.0</v>
      </c>
      <c r="H2922" s="4">
        <v>332.0</v>
      </c>
      <c r="I2922" s="21">
        <f t="array" ref="I2922">XLOOKUP($A2922,product!A:A,product!E:E)</f>
        <v>4.63</v>
      </c>
      <c r="J2922" s="4">
        <f t="shared" si="2"/>
        <v>1537.16</v>
      </c>
      <c r="K2922" s="22">
        <f t="shared" si="3"/>
        <v>1</v>
      </c>
      <c r="L2922" s="4">
        <f t="shared" si="4"/>
        <v>1</v>
      </c>
    </row>
    <row r="2923">
      <c r="A2923" s="23">
        <v>120692.0</v>
      </c>
      <c r="B2923" s="24" t="str">
        <f t="array" ref="B2923">xlookup($A2923,product!$A:$A,product!B:B)</f>
        <v>Beauté &amp; Hygiène</v>
      </c>
      <c r="C2923" s="24" t="str">
        <f t="array" ref="C2923">xlookup($A2923,product!$A:$A,product!C:C)</f>
        <v>Soins des cheveux</v>
      </c>
      <c r="D2923" s="24" t="str">
        <f t="array" ref="D2923">xlookup($A2923,product!$A:$A,product!D:D)</f>
        <v>Soins capillaires</v>
      </c>
      <c r="E2923" s="25" t="str">
        <f t="shared" si="1"/>
        <v>120692-Soins des cheveux-Soins capillaires</v>
      </c>
      <c r="F2923" s="25">
        <v>0.0</v>
      </c>
      <c r="G2923" s="25">
        <v>882.0</v>
      </c>
      <c r="H2923" s="25">
        <v>113.0</v>
      </c>
      <c r="I2923" s="26">
        <f t="array" ref="I2923">XLOOKUP($A2923,product!A:A,product!E:E)</f>
        <v>4.75</v>
      </c>
      <c r="J2923" s="25">
        <f t="shared" si="2"/>
        <v>536.75</v>
      </c>
      <c r="K2923" s="27">
        <f t="shared" si="3"/>
        <v>1</v>
      </c>
      <c r="L2923" s="25">
        <f t="shared" si="4"/>
        <v>1</v>
      </c>
    </row>
    <row r="2924">
      <c r="A2924" s="19">
        <v>122464.0</v>
      </c>
      <c r="B2924" s="20" t="str">
        <f t="array" ref="B2924">xlookup($A2924,product!$A:$A,product!B:B)</f>
        <v>Beauté &amp; Hygiène</v>
      </c>
      <c r="C2924" s="20" t="str">
        <f t="array" ref="C2924">xlookup($A2924,product!$A:$A,product!C:C)</f>
        <v>Soins des cheveux</v>
      </c>
      <c r="D2924" s="20" t="str">
        <f t="array" ref="D2924">xlookup($A2924,product!$A:$A,product!D:D)</f>
        <v>Soins capillaires</v>
      </c>
      <c r="E2924" s="4" t="str">
        <f t="shared" si="1"/>
        <v>122464-Soins des cheveux-Soins capillaires</v>
      </c>
      <c r="F2924" s="4">
        <v>1.0</v>
      </c>
      <c r="G2924" s="4">
        <v>701.0</v>
      </c>
      <c r="H2924" s="4">
        <v>431.0</v>
      </c>
      <c r="I2924" s="21">
        <f t="array" ref="I2924">XLOOKUP($A2924,product!A:A,product!E:E)</f>
        <v>9.92</v>
      </c>
      <c r="J2924" s="4">
        <f t="shared" si="2"/>
        <v>4275.52</v>
      </c>
      <c r="K2924" s="22">
        <f t="shared" si="3"/>
        <v>1</v>
      </c>
      <c r="L2924" s="4">
        <f t="shared" si="4"/>
        <v>1</v>
      </c>
    </row>
    <row r="2925">
      <c r="A2925" s="23">
        <v>79762.0</v>
      </c>
      <c r="B2925" s="24" t="str">
        <f t="array" ref="B2925">xlookup($A2925,product!$A:$A,product!B:B)</f>
        <v>Beauté &amp; Hygiène</v>
      </c>
      <c r="C2925" s="24" t="str">
        <f t="array" ref="C2925">xlookup($A2925,product!$A:$A,product!C:C)</f>
        <v>Soins des cheveux</v>
      </c>
      <c r="D2925" s="24" t="str">
        <f t="array" ref="D2925">xlookup($A2925,product!$A:$A,product!D:D)</f>
        <v>Soins capillaires</v>
      </c>
      <c r="E2925" s="25" t="str">
        <f t="shared" si="1"/>
        <v>79762-Soins des cheveux-Soins capillaires</v>
      </c>
      <c r="F2925" s="25">
        <v>1.0</v>
      </c>
      <c r="G2925" s="25">
        <v>536.0</v>
      </c>
      <c r="H2925" s="25">
        <v>86.0</v>
      </c>
      <c r="I2925" s="26">
        <f t="array" ref="I2925">XLOOKUP($A2925,product!A:A,product!E:E)</f>
        <v>7.58</v>
      </c>
      <c r="J2925" s="25">
        <f t="shared" si="2"/>
        <v>651.88</v>
      </c>
      <c r="K2925" s="27">
        <f t="shared" si="3"/>
        <v>1</v>
      </c>
      <c r="L2925" s="25">
        <f t="shared" si="4"/>
        <v>1</v>
      </c>
    </row>
    <row r="2926">
      <c r="A2926" s="19">
        <v>79315.0</v>
      </c>
      <c r="B2926" s="20" t="str">
        <f t="array" ref="B2926">xlookup($A2926,product!$A:$A,product!B:B)</f>
        <v>Beauté &amp; Hygiène</v>
      </c>
      <c r="C2926" s="20" t="str">
        <f t="array" ref="C2926">xlookup($A2926,product!$A:$A,product!C:C)</f>
        <v>Soins des cheveux</v>
      </c>
      <c r="D2926" s="20" t="str">
        <f t="array" ref="D2926">xlookup($A2926,product!$A:$A,product!D:D)</f>
        <v>Soins capillaires</v>
      </c>
      <c r="E2926" s="4" t="str">
        <f t="shared" si="1"/>
        <v>79315-Soins des cheveux-Soins capillaires</v>
      </c>
      <c r="F2926" s="4">
        <v>1.0</v>
      </c>
      <c r="G2926" s="4">
        <v>81.0</v>
      </c>
      <c r="H2926" s="4">
        <v>53.0</v>
      </c>
      <c r="I2926" s="21">
        <f t="array" ref="I2926">XLOOKUP($A2926,product!A:A,product!E:E)</f>
        <v>5.11</v>
      </c>
      <c r="J2926" s="4">
        <f t="shared" si="2"/>
        <v>270.83</v>
      </c>
      <c r="K2926" s="22">
        <f t="shared" si="3"/>
        <v>1</v>
      </c>
      <c r="L2926" s="4">
        <f t="shared" si="4"/>
        <v>1</v>
      </c>
    </row>
    <row r="2927">
      <c r="A2927" s="23">
        <v>98941.0</v>
      </c>
      <c r="B2927" s="24" t="str">
        <f t="array" ref="B2927">xlookup($A2927,product!$A:$A,product!B:B)</f>
        <v>Beauté &amp; Hygiène</v>
      </c>
      <c r="C2927" s="24" t="str">
        <f t="array" ref="C2927">xlookup($A2927,product!$A:$A,product!C:C)</f>
        <v>Soins des cheveux</v>
      </c>
      <c r="D2927" s="24" t="str">
        <f t="array" ref="D2927">xlookup($A2927,product!$A:$A,product!D:D)</f>
        <v>Soins capillaires</v>
      </c>
      <c r="E2927" s="25" t="str">
        <f t="shared" si="1"/>
        <v>98941-Soins des cheveux-Soins capillaires</v>
      </c>
      <c r="F2927" s="25">
        <v>1.0</v>
      </c>
      <c r="G2927" s="25">
        <v>221.0</v>
      </c>
      <c r="H2927" s="25">
        <v>30.0</v>
      </c>
      <c r="I2927" s="26">
        <f t="array" ref="I2927">XLOOKUP($A2927,product!A:A,product!E:E)</f>
        <v>6.91</v>
      </c>
      <c r="J2927" s="25">
        <f t="shared" si="2"/>
        <v>207.3</v>
      </c>
      <c r="K2927" s="27">
        <f t="shared" si="3"/>
        <v>1</v>
      </c>
      <c r="L2927" s="25">
        <f t="shared" si="4"/>
        <v>1</v>
      </c>
    </row>
    <row r="2928">
      <c r="A2928" s="19">
        <v>118245.0</v>
      </c>
      <c r="B2928" s="20" t="str">
        <f t="array" ref="B2928">xlookup($A2928,product!$A:$A,product!B:B)</f>
        <v>Beauté &amp; Hygiène</v>
      </c>
      <c r="C2928" s="20" t="str">
        <f t="array" ref="C2928">xlookup($A2928,product!$A:$A,product!C:C)</f>
        <v>Soins des cheveux</v>
      </c>
      <c r="D2928" s="20" t="str">
        <f t="array" ref="D2928">xlookup($A2928,product!$A:$A,product!D:D)</f>
        <v>Soins capillaires</v>
      </c>
      <c r="E2928" s="4" t="str">
        <f t="shared" si="1"/>
        <v>118245-Soins des cheveux-Soins capillaires</v>
      </c>
      <c r="F2928" s="4">
        <v>0.0</v>
      </c>
      <c r="G2928" s="4">
        <v>634.0</v>
      </c>
      <c r="H2928" s="4">
        <v>573.0</v>
      </c>
      <c r="I2928" s="21">
        <f t="array" ref="I2928">XLOOKUP($A2928,product!A:A,product!E:E)</f>
        <v>2.89</v>
      </c>
      <c r="J2928" s="4">
        <f t="shared" si="2"/>
        <v>1655.97</v>
      </c>
      <c r="K2928" s="22">
        <f t="shared" si="3"/>
        <v>1</v>
      </c>
      <c r="L2928" s="4">
        <f t="shared" si="4"/>
        <v>1</v>
      </c>
    </row>
    <row r="2929">
      <c r="A2929" s="23">
        <v>122333.0</v>
      </c>
      <c r="B2929" s="24" t="str">
        <f t="array" ref="B2929">xlookup($A2929,product!$A:$A,product!B:B)</f>
        <v>Beauté &amp; Hygiène</v>
      </c>
      <c r="C2929" s="24" t="str">
        <f t="array" ref="C2929">xlookup($A2929,product!$A:$A,product!C:C)</f>
        <v>Soins des cheveux</v>
      </c>
      <c r="D2929" s="24" t="str">
        <f t="array" ref="D2929">xlookup($A2929,product!$A:$A,product!D:D)</f>
        <v>Soins capillaires</v>
      </c>
      <c r="E2929" s="25" t="str">
        <f t="shared" si="1"/>
        <v>122333-Soins des cheveux-Soins capillaires</v>
      </c>
      <c r="F2929" s="25">
        <v>0.0</v>
      </c>
      <c r="G2929" s="25">
        <v>913.0</v>
      </c>
      <c r="H2929" s="25">
        <v>711.0</v>
      </c>
      <c r="I2929" s="26">
        <f t="array" ref="I2929">XLOOKUP($A2929,product!A:A,product!E:E)</f>
        <v>9.14</v>
      </c>
      <c r="J2929" s="25">
        <f t="shared" si="2"/>
        <v>6498.54</v>
      </c>
      <c r="K2929" s="27">
        <f t="shared" si="3"/>
        <v>1</v>
      </c>
      <c r="L2929" s="25">
        <f t="shared" si="4"/>
        <v>1</v>
      </c>
    </row>
    <row r="2930">
      <c r="A2930" s="19">
        <v>121901.0</v>
      </c>
      <c r="B2930" s="20" t="str">
        <f t="array" ref="B2930">xlookup($A2930,product!$A:$A,product!B:B)</f>
        <v>Beauté &amp; Hygiène</v>
      </c>
      <c r="C2930" s="20" t="str">
        <f t="array" ref="C2930">xlookup($A2930,product!$A:$A,product!C:C)</f>
        <v>Soins des cheveux</v>
      </c>
      <c r="D2930" s="20" t="str">
        <f t="array" ref="D2930">xlookup($A2930,product!$A:$A,product!D:D)</f>
        <v>Soins capillaires</v>
      </c>
      <c r="E2930" s="4" t="str">
        <f t="shared" si="1"/>
        <v>121901-Soins des cheveux-Soins capillaires</v>
      </c>
      <c r="F2930" s="4">
        <v>0.0</v>
      </c>
      <c r="G2930" s="4">
        <v>774.0</v>
      </c>
      <c r="H2930" s="4">
        <v>275.0</v>
      </c>
      <c r="I2930" s="21">
        <f t="array" ref="I2930">XLOOKUP($A2930,product!A:A,product!E:E)</f>
        <v>7.11</v>
      </c>
      <c r="J2930" s="4">
        <f t="shared" si="2"/>
        <v>1955.25</v>
      </c>
      <c r="K2930" s="22">
        <f t="shared" si="3"/>
        <v>1</v>
      </c>
      <c r="L2930" s="4">
        <f t="shared" si="4"/>
        <v>1</v>
      </c>
    </row>
    <row r="2931">
      <c r="A2931" s="23">
        <v>79316.0</v>
      </c>
      <c r="B2931" s="24" t="str">
        <f t="array" ref="B2931">xlookup($A2931,product!$A:$A,product!B:B)</f>
        <v>Beauté &amp; Hygiène</v>
      </c>
      <c r="C2931" s="24" t="str">
        <f t="array" ref="C2931">xlookup($A2931,product!$A:$A,product!C:C)</f>
        <v>Soins des cheveux</v>
      </c>
      <c r="D2931" s="24" t="str">
        <f t="array" ref="D2931">xlookup($A2931,product!$A:$A,product!D:D)</f>
        <v>Soins capillaires</v>
      </c>
      <c r="E2931" s="25" t="str">
        <f t="shared" si="1"/>
        <v>79316-Soins des cheveux-Soins capillaires</v>
      </c>
      <c r="F2931" s="25">
        <v>1.0</v>
      </c>
      <c r="G2931" s="25">
        <v>721.0</v>
      </c>
      <c r="H2931" s="25">
        <v>0.0</v>
      </c>
      <c r="I2931" s="26">
        <f t="array" ref="I2931">XLOOKUP($A2931,product!A:A,product!E:E)</f>
        <v>5.87</v>
      </c>
      <c r="J2931" s="25">
        <f t="shared" si="2"/>
        <v>0</v>
      </c>
      <c r="K2931" s="27">
        <f t="shared" si="3"/>
        <v>0</v>
      </c>
      <c r="L2931" s="25">
        <f t="shared" si="4"/>
        <v>1</v>
      </c>
    </row>
    <row r="2932">
      <c r="A2932" s="19">
        <v>109899.0</v>
      </c>
      <c r="B2932" s="20" t="str">
        <f t="array" ref="B2932">xlookup($A2932,product!$A:$A,product!B:B)</f>
        <v>Beauté &amp; Hygiène</v>
      </c>
      <c r="C2932" s="20" t="str">
        <f t="array" ref="C2932">xlookup($A2932,product!$A:$A,product!C:C)</f>
        <v>Soins des cheveux</v>
      </c>
      <c r="D2932" s="20" t="str">
        <f t="array" ref="D2932">xlookup($A2932,product!$A:$A,product!D:D)</f>
        <v>Soins capillaires</v>
      </c>
      <c r="E2932" s="4" t="str">
        <f t="shared" si="1"/>
        <v>109899-Soins des cheveux-Soins capillaires</v>
      </c>
      <c r="F2932" s="4">
        <v>1.0</v>
      </c>
      <c r="G2932" s="4">
        <v>712.0</v>
      </c>
      <c r="H2932" s="4">
        <v>562.0</v>
      </c>
      <c r="I2932" s="21">
        <f t="array" ref="I2932">XLOOKUP($A2932,product!A:A,product!E:E)</f>
        <v>3.58</v>
      </c>
      <c r="J2932" s="4">
        <f t="shared" si="2"/>
        <v>2011.96</v>
      </c>
      <c r="K2932" s="22">
        <f t="shared" si="3"/>
        <v>1</v>
      </c>
      <c r="L2932" s="4">
        <f t="shared" si="4"/>
        <v>1</v>
      </c>
    </row>
    <row r="2933">
      <c r="A2933" s="23">
        <v>70570.0</v>
      </c>
      <c r="B2933" s="24" t="str">
        <f t="array" ref="B2933">xlookup($A2933,product!$A:$A,product!B:B)</f>
        <v>Beauté &amp; Hygiène</v>
      </c>
      <c r="C2933" s="24" t="str">
        <f t="array" ref="C2933">xlookup($A2933,product!$A:$A,product!C:C)</f>
        <v>Soins des cheveux</v>
      </c>
      <c r="D2933" s="24" t="str">
        <f t="array" ref="D2933">xlookup($A2933,product!$A:$A,product!D:D)</f>
        <v>Soins capillaires</v>
      </c>
      <c r="E2933" s="25" t="str">
        <f t="shared" si="1"/>
        <v>70570-Soins des cheveux-Soins capillaires</v>
      </c>
      <c r="F2933" s="25">
        <v>1.0</v>
      </c>
      <c r="G2933" s="25">
        <v>910.0</v>
      </c>
      <c r="H2933" s="25">
        <v>235.0</v>
      </c>
      <c r="I2933" s="26">
        <f t="array" ref="I2933">XLOOKUP($A2933,product!A:A,product!E:E)</f>
        <v>5.86</v>
      </c>
      <c r="J2933" s="25">
        <f t="shared" si="2"/>
        <v>1377.1</v>
      </c>
      <c r="K2933" s="27">
        <f t="shared" si="3"/>
        <v>1</v>
      </c>
      <c r="L2933" s="25">
        <f t="shared" si="4"/>
        <v>1</v>
      </c>
    </row>
    <row r="2934">
      <c r="A2934" s="19">
        <v>79364.0</v>
      </c>
      <c r="B2934" s="20" t="str">
        <f t="array" ref="B2934">xlookup($A2934,product!$A:$A,product!B:B)</f>
        <v>Beauté &amp; Hygiène</v>
      </c>
      <c r="C2934" s="20" t="str">
        <f t="array" ref="C2934">xlookup($A2934,product!$A:$A,product!C:C)</f>
        <v>Soins des cheveux</v>
      </c>
      <c r="D2934" s="20" t="str">
        <f t="array" ref="D2934">xlookup($A2934,product!$A:$A,product!D:D)</f>
        <v>Soins capillaires</v>
      </c>
      <c r="E2934" s="4" t="str">
        <f t="shared" si="1"/>
        <v>79364-Soins des cheveux-Soins capillaires</v>
      </c>
      <c r="F2934" s="4">
        <v>0.0</v>
      </c>
      <c r="G2934" s="4">
        <v>142.0</v>
      </c>
      <c r="H2934" s="4">
        <v>100.0</v>
      </c>
      <c r="I2934" s="21">
        <f t="array" ref="I2934">XLOOKUP($A2934,product!A:A,product!E:E)</f>
        <v>5.92</v>
      </c>
      <c r="J2934" s="4">
        <f t="shared" si="2"/>
        <v>592</v>
      </c>
      <c r="K2934" s="22">
        <f t="shared" si="3"/>
        <v>1</v>
      </c>
      <c r="L2934" s="4">
        <f t="shared" si="4"/>
        <v>1</v>
      </c>
    </row>
    <row r="2935">
      <c r="A2935" s="23">
        <v>113103.0</v>
      </c>
      <c r="B2935" s="24" t="str">
        <f t="array" ref="B2935">xlookup($A2935,product!$A:$A,product!B:B)</f>
        <v>Beauté &amp; Hygiène</v>
      </c>
      <c r="C2935" s="24" t="str">
        <f t="array" ref="C2935">xlookup($A2935,product!$A:$A,product!C:C)</f>
        <v>Soins des cheveux</v>
      </c>
      <c r="D2935" s="24" t="str">
        <f t="array" ref="D2935">xlookup($A2935,product!$A:$A,product!D:D)</f>
        <v>Soins capillaires</v>
      </c>
      <c r="E2935" s="25" t="str">
        <f t="shared" si="1"/>
        <v>113103-Soins des cheveux-Soins capillaires</v>
      </c>
      <c r="F2935" s="25">
        <v>1.0</v>
      </c>
      <c r="G2935" s="25">
        <v>503.0</v>
      </c>
      <c r="H2935" s="25">
        <v>118.0</v>
      </c>
      <c r="I2935" s="26">
        <f t="array" ref="I2935">XLOOKUP($A2935,product!A:A,product!E:E)</f>
        <v>7.6</v>
      </c>
      <c r="J2935" s="25">
        <f t="shared" si="2"/>
        <v>896.8</v>
      </c>
      <c r="K2935" s="27">
        <f t="shared" si="3"/>
        <v>1</v>
      </c>
      <c r="L2935" s="25">
        <f t="shared" si="4"/>
        <v>1</v>
      </c>
    </row>
    <row r="2936">
      <c r="A2936" s="19">
        <v>200581.0</v>
      </c>
      <c r="B2936" s="20" t="str">
        <f t="array" ref="B2936">xlookup($A2936,product!$A:$A,product!B:B)</f>
        <v>Beauté &amp; Hygiène</v>
      </c>
      <c r="C2936" s="20" t="str">
        <f t="array" ref="C2936">xlookup($A2936,product!$A:$A,product!C:C)</f>
        <v>Soins des cheveux</v>
      </c>
      <c r="D2936" s="20" t="str">
        <f t="array" ref="D2936">xlookup($A2936,product!$A:$A,product!D:D)</f>
        <v>Soins capillaires</v>
      </c>
      <c r="E2936" s="4" t="str">
        <f t="shared" si="1"/>
        <v>200581-Soins des cheveux-Soins capillaires</v>
      </c>
      <c r="F2936" s="4">
        <v>0.0</v>
      </c>
      <c r="G2936" s="4">
        <v>304.0</v>
      </c>
      <c r="H2936" s="4">
        <v>83.0</v>
      </c>
      <c r="I2936" s="21">
        <f t="array" ref="I2936">XLOOKUP($A2936,product!A:A,product!E:E)</f>
        <v>4.34</v>
      </c>
      <c r="J2936" s="4">
        <f t="shared" si="2"/>
        <v>360.22</v>
      </c>
      <c r="K2936" s="22">
        <f t="shared" si="3"/>
        <v>1</v>
      </c>
      <c r="L2936" s="4">
        <f t="shared" si="4"/>
        <v>1</v>
      </c>
    </row>
    <row r="2937">
      <c r="A2937" s="23">
        <v>91490.0</v>
      </c>
      <c r="B2937" s="24" t="str">
        <f t="array" ref="B2937">xlookup($A2937,product!$A:$A,product!B:B)</f>
        <v>Beauté &amp; Hygiène</v>
      </c>
      <c r="C2937" s="24" t="str">
        <f t="array" ref="C2937">xlookup($A2937,product!$A:$A,product!C:C)</f>
        <v>Soins des cheveux</v>
      </c>
      <c r="D2937" s="24" t="str">
        <f t="array" ref="D2937">xlookup($A2937,product!$A:$A,product!D:D)</f>
        <v>Soins capillaires</v>
      </c>
      <c r="E2937" s="25" t="str">
        <f t="shared" si="1"/>
        <v>91490-Soins des cheveux-Soins capillaires</v>
      </c>
      <c r="F2937" s="25">
        <v>0.0</v>
      </c>
      <c r="G2937" s="25">
        <v>582.0</v>
      </c>
      <c r="H2937" s="25">
        <v>202.0</v>
      </c>
      <c r="I2937" s="26">
        <f t="array" ref="I2937">XLOOKUP($A2937,product!A:A,product!E:E)</f>
        <v>4.05</v>
      </c>
      <c r="J2937" s="25">
        <f t="shared" si="2"/>
        <v>818.1</v>
      </c>
      <c r="K2937" s="27">
        <f t="shared" si="3"/>
        <v>1</v>
      </c>
      <c r="L2937" s="25">
        <f t="shared" si="4"/>
        <v>1</v>
      </c>
    </row>
    <row r="2938">
      <c r="A2938" s="19">
        <v>79320.0</v>
      </c>
      <c r="B2938" s="20" t="str">
        <f t="array" ref="B2938">xlookup($A2938,product!$A:$A,product!B:B)</f>
        <v>Beauté &amp; Hygiène</v>
      </c>
      <c r="C2938" s="20" t="str">
        <f t="array" ref="C2938">xlookup($A2938,product!$A:$A,product!C:C)</f>
        <v>Soins des cheveux</v>
      </c>
      <c r="D2938" s="20" t="str">
        <f t="array" ref="D2938">xlookup($A2938,product!$A:$A,product!D:D)</f>
        <v>Soins capillaires</v>
      </c>
      <c r="E2938" s="4" t="str">
        <f t="shared" si="1"/>
        <v>79320-Soins des cheveux-Soins capillaires</v>
      </c>
      <c r="F2938" s="4">
        <v>1.0</v>
      </c>
      <c r="G2938" s="4">
        <v>569.0</v>
      </c>
      <c r="H2938" s="4">
        <v>71.0</v>
      </c>
      <c r="I2938" s="21">
        <f t="array" ref="I2938">XLOOKUP($A2938,product!A:A,product!E:E)</f>
        <v>5.92</v>
      </c>
      <c r="J2938" s="4">
        <f t="shared" si="2"/>
        <v>420.32</v>
      </c>
      <c r="K2938" s="22">
        <f t="shared" si="3"/>
        <v>1</v>
      </c>
      <c r="L2938" s="4">
        <f t="shared" si="4"/>
        <v>1</v>
      </c>
    </row>
    <row r="2939">
      <c r="A2939" s="23">
        <v>122331.0</v>
      </c>
      <c r="B2939" s="24" t="str">
        <f t="array" ref="B2939">xlookup($A2939,product!$A:$A,product!B:B)</f>
        <v>Beauté &amp; Hygiène</v>
      </c>
      <c r="C2939" s="24" t="str">
        <f t="array" ref="C2939">xlookup($A2939,product!$A:$A,product!C:C)</f>
        <v>Soins des cheveux</v>
      </c>
      <c r="D2939" s="24" t="str">
        <f t="array" ref="D2939">xlookup($A2939,product!$A:$A,product!D:D)</f>
        <v>Soins capillaires</v>
      </c>
      <c r="E2939" s="25" t="str">
        <f t="shared" si="1"/>
        <v>122331-Soins des cheveux-Soins capillaires</v>
      </c>
      <c r="F2939" s="25">
        <v>0.0</v>
      </c>
      <c r="G2939" s="25">
        <v>606.0</v>
      </c>
      <c r="H2939" s="25">
        <v>351.0</v>
      </c>
      <c r="I2939" s="26">
        <f t="array" ref="I2939">XLOOKUP($A2939,product!A:A,product!E:E)</f>
        <v>9.14</v>
      </c>
      <c r="J2939" s="25">
        <f t="shared" si="2"/>
        <v>3208.14</v>
      </c>
      <c r="K2939" s="27">
        <f t="shared" si="3"/>
        <v>1</v>
      </c>
      <c r="L2939" s="25">
        <f t="shared" si="4"/>
        <v>1</v>
      </c>
    </row>
    <row r="2940">
      <c r="A2940" s="19">
        <v>79921.0</v>
      </c>
      <c r="B2940" s="20" t="str">
        <f t="array" ref="B2940">xlookup($A2940,product!$A:$A,product!B:B)</f>
        <v>Beauté &amp; Hygiène</v>
      </c>
      <c r="C2940" s="20" t="str">
        <f t="array" ref="C2940">xlookup($A2940,product!$A:$A,product!C:C)</f>
        <v>Soins des cheveux</v>
      </c>
      <c r="D2940" s="20" t="str">
        <f t="array" ref="D2940">xlookup($A2940,product!$A:$A,product!D:D)</f>
        <v>Soins capillaires</v>
      </c>
      <c r="E2940" s="4" t="str">
        <f t="shared" si="1"/>
        <v>79921-Soins des cheveux-Soins capillaires</v>
      </c>
      <c r="F2940" s="4">
        <v>0.0</v>
      </c>
      <c r="G2940" s="4">
        <v>370.0</v>
      </c>
      <c r="H2940" s="4">
        <v>247.0</v>
      </c>
      <c r="I2940" s="21">
        <f t="array" ref="I2940">XLOOKUP($A2940,product!A:A,product!E:E)</f>
        <v>6.99</v>
      </c>
      <c r="J2940" s="4">
        <f t="shared" si="2"/>
        <v>1726.53</v>
      </c>
      <c r="K2940" s="22">
        <f t="shared" si="3"/>
        <v>1</v>
      </c>
      <c r="L2940" s="4">
        <f t="shared" si="4"/>
        <v>1</v>
      </c>
    </row>
    <row r="2941">
      <c r="A2941" s="23">
        <v>128421.0</v>
      </c>
      <c r="B2941" s="24" t="str">
        <f t="array" ref="B2941">xlookup($A2941,product!$A:$A,product!B:B)</f>
        <v>Beauté &amp; Hygiène</v>
      </c>
      <c r="C2941" s="24" t="str">
        <f t="array" ref="C2941">xlookup($A2941,product!$A:$A,product!C:C)</f>
        <v>Soins des cheveux</v>
      </c>
      <c r="D2941" s="24" t="str">
        <f t="array" ref="D2941">xlookup($A2941,product!$A:$A,product!D:D)</f>
        <v>Soins capillaires</v>
      </c>
      <c r="E2941" s="25" t="str">
        <f t="shared" si="1"/>
        <v>128421-Soins des cheveux-Soins capillaires</v>
      </c>
      <c r="F2941" s="25">
        <v>1.0</v>
      </c>
      <c r="G2941" s="25">
        <v>542.0</v>
      </c>
      <c r="H2941" s="25">
        <v>44.0</v>
      </c>
      <c r="I2941" s="26">
        <f t="array" ref="I2941">XLOOKUP($A2941,product!A:A,product!E:E)</f>
        <v>9.54</v>
      </c>
      <c r="J2941" s="25">
        <f t="shared" si="2"/>
        <v>419.76</v>
      </c>
      <c r="K2941" s="27">
        <f t="shared" si="3"/>
        <v>1</v>
      </c>
      <c r="L2941" s="25">
        <f t="shared" si="4"/>
        <v>1</v>
      </c>
    </row>
    <row r="2942">
      <c r="A2942" s="19">
        <v>80421.0</v>
      </c>
      <c r="B2942" s="20" t="str">
        <f t="array" ref="B2942">xlookup($A2942,product!$A:$A,product!B:B)</f>
        <v>Beauté &amp; Hygiène</v>
      </c>
      <c r="C2942" s="20" t="str">
        <f t="array" ref="C2942">xlookup($A2942,product!$A:$A,product!C:C)</f>
        <v>Soins des cheveux</v>
      </c>
      <c r="D2942" s="20" t="str">
        <f t="array" ref="D2942">xlookup($A2942,product!$A:$A,product!D:D)</f>
        <v>Soins capillaires</v>
      </c>
      <c r="E2942" s="4" t="str">
        <f t="shared" si="1"/>
        <v>80421-Soins des cheveux-Soins capillaires</v>
      </c>
      <c r="F2942" s="4">
        <v>1.0</v>
      </c>
      <c r="G2942" s="4">
        <v>323.0</v>
      </c>
      <c r="H2942" s="4">
        <v>219.0</v>
      </c>
      <c r="I2942" s="21">
        <f t="array" ref="I2942">XLOOKUP($A2942,product!A:A,product!E:E)</f>
        <v>5.76</v>
      </c>
      <c r="J2942" s="4">
        <f t="shared" si="2"/>
        <v>1261.44</v>
      </c>
      <c r="K2942" s="22">
        <f t="shared" si="3"/>
        <v>1</v>
      </c>
      <c r="L2942" s="4">
        <f t="shared" si="4"/>
        <v>1</v>
      </c>
    </row>
    <row r="2943">
      <c r="A2943" s="23">
        <v>121867.0</v>
      </c>
      <c r="B2943" s="24" t="str">
        <f t="array" ref="B2943">xlookup($A2943,product!$A:$A,product!B:B)</f>
        <v>Beauté &amp; Hygiène</v>
      </c>
      <c r="C2943" s="24" t="str">
        <f t="array" ref="C2943">xlookup($A2943,product!$A:$A,product!C:C)</f>
        <v>Soins des cheveux</v>
      </c>
      <c r="D2943" s="24" t="str">
        <f t="array" ref="D2943">xlookup($A2943,product!$A:$A,product!D:D)</f>
        <v>Soins capillaires</v>
      </c>
      <c r="E2943" s="25" t="str">
        <f t="shared" si="1"/>
        <v>121867-Soins des cheveux-Soins capillaires</v>
      </c>
      <c r="F2943" s="25">
        <v>0.0</v>
      </c>
      <c r="G2943" s="25">
        <v>509.0</v>
      </c>
      <c r="H2943" s="25">
        <v>232.0</v>
      </c>
      <c r="I2943" s="26">
        <f t="array" ref="I2943">XLOOKUP($A2943,product!A:A,product!E:E)</f>
        <v>3.81</v>
      </c>
      <c r="J2943" s="25">
        <f t="shared" si="2"/>
        <v>883.92</v>
      </c>
      <c r="K2943" s="27">
        <f t="shared" si="3"/>
        <v>1</v>
      </c>
      <c r="L2943" s="25">
        <f t="shared" si="4"/>
        <v>1</v>
      </c>
    </row>
    <row r="2944">
      <c r="A2944" s="19">
        <v>122501.0</v>
      </c>
      <c r="B2944" s="20" t="str">
        <f t="array" ref="B2944">xlookup($A2944,product!$A:$A,product!B:B)</f>
        <v>Beauté &amp; Hygiène</v>
      </c>
      <c r="C2944" s="20" t="str">
        <f t="array" ref="C2944">xlookup($A2944,product!$A:$A,product!C:C)</f>
        <v>Soins des cheveux</v>
      </c>
      <c r="D2944" s="20" t="str">
        <f t="array" ref="D2944">xlookup($A2944,product!$A:$A,product!D:D)</f>
        <v>Soins capillaires</v>
      </c>
      <c r="E2944" s="4" t="str">
        <f t="shared" si="1"/>
        <v>122501-Soins des cheveux-Soins capillaires</v>
      </c>
      <c r="F2944" s="4">
        <v>0.0</v>
      </c>
      <c r="G2944" s="4">
        <v>977.0</v>
      </c>
      <c r="H2944" s="4">
        <v>79.0</v>
      </c>
      <c r="I2944" s="21">
        <f t="array" ref="I2944">XLOOKUP($A2944,product!A:A,product!E:E)</f>
        <v>3.63</v>
      </c>
      <c r="J2944" s="4">
        <f t="shared" si="2"/>
        <v>286.77</v>
      </c>
      <c r="K2944" s="22">
        <f t="shared" si="3"/>
        <v>1</v>
      </c>
      <c r="L2944" s="4">
        <f t="shared" si="4"/>
        <v>1</v>
      </c>
    </row>
    <row r="2945">
      <c r="A2945" s="23">
        <v>44531.0</v>
      </c>
      <c r="B2945" s="24" t="str">
        <f t="array" ref="B2945">xlookup($A2945,product!$A:$A,product!B:B)</f>
        <v>Beauté &amp; Hygiène</v>
      </c>
      <c r="C2945" s="24" t="str">
        <f t="array" ref="C2945">xlookup($A2945,product!$A:$A,product!C:C)</f>
        <v>Soins des cheveux</v>
      </c>
      <c r="D2945" s="24" t="str">
        <f t="array" ref="D2945">xlookup($A2945,product!$A:$A,product!D:D)</f>
        <v>Soins capillaires</v>
      </c>
      <c r="E2945" s="25" t="str">
        <f t="shared" si="1"/>
        <v>44531-Soins des cheveux-Soins capillaires</v>
      </c>
      <c r="F2945" s="25">
        <v>1.0</v>
      </c>
      <c r="G2945" s="25">
        <v>534.0</v>
      </c>
      <c r="H2945" s="25">
        <v>338.0</v>
      </c>
      <c r="I2945" s="26">
        <f t="array" ref="I2945">XLOOKUP($A2945,product!A:A,product!E:E)</f>
        <v>6.99</v>
      </c>
      <c r="J2945" s="25">
        <f t="shared" si="2"/>
        <v>2362.62</v>
      </c>
      <c r="K2945" s="27">
        <f t="shared" si="3"/>
        <v>1</v>
      </c>
      <c r="L2945" s="25">
        <f t="shared" si="4"/>
        <v>1</v>
      </c>
    </row>
    <row r="2946">
      <c r="A2946" s="19">
        <v>118153.0</v>
      </c>
      <c r="B2946" s="20" t="str">
        <f t="array" ref="B2946">xlookup($A2946,product!$A:$A,product!B:B)</f>
        <v>Beauté &amp; Hygiène</v>
      </c>
      <c r="C2946" s="20" t="str">
        <f t="array" ref="C2946">xlookup($A2946,product!$A:$A,product!C:C)</f>
        <v>Soins des cheveux</v>
      </c>
      <c r="D2946" s="20" t="str">
        <f t="array" ref="D2946">xlookup($A2946,product!$A:$A,product!D:D)</f>
        <v>Soins capillaires</v>
      </c>
      <c r="E2946" s="4" t="str">
        <f t="shared" si="1"/>
        <v>118153-Soins des cheveux-Soins capillaires</v>
      </c>
      <c r="F2946" s="4">
        <v>1.0</v>
      </c>
      <c r="G2946" s="4">
        <v>529.0</v>
      </c>
      <c r="H2946" s="4">
        <v>95.0</v>
      </c>
      <c r="I2946" s="21">
        <f t="array" ref="I2946">XLOOKUP($A2946,product!A:A,product!E:E)</f>
        <v>4.71</v>
      </c>
      <c r="J2946" s="4">
        <f t="shared" si="2"/>
        <v>447.45</v>
      </c>
      <c r="K2946" s="22">
        <f t="shared" si="3"/>
        <v>1</v>
      </c>
      <c r="L2946" s="4">
        <f t="shared" si="4"/>
        <v>1</v>
      </c>
    </row>
    <row r="2947">
      <c r="A2947" s="23">
        <v>118244.0</v>
      </c>
      <c r="B2947" s="24" t="str">
        <f t="array" ref="B2947">xlookup($A2947,product!$A:$A,product!B:B)</f>
        <v>Beauté &amp; Hygiène</v>
      </c>
      <c r="C2947" s="24" t="str">
        <f t="array" ref="C2947">xlookup($A2947,product!$A:$A,product!C:C)</f>
        <v>Soins des cheveux</v>
      </c>
      <c r="D2947" s="24" t="str">
        <f t="array" ref="D2947">xlookup($A2947,product!$A:$A,product!D:D)</f>
        <v>Soins capillaires</v>
      </c>
      <c r="E2947" s="25" t="str">
        <f t="shared" si="1"/>
        <v>118244-Soins des cheveux-Soins capillaires</v>
      </c>
      <c r="F2947" s="25">
        <v>1.0</v>
      </c>
      <c r="G2947" s="25">
        <v>459.0</v>
      </c>
      <c r="H2947" s="25">
        <v>98.0</v>
      </c>
      <c r="I2947" s="26">
        <f t="array" ref="I2947">XLOOKUP($A2947,product!A:A,product!E:E)</f>
        <v>2.89</v>
      </c>
      <c r="J2947" s="25">
        <f t="shared" si="2"/>
        <v>283.22</v>
      </c>
      <c r="K2947" s="27">
        <f t="shared" si="3"/>
        <v>1</v>
      </c>
      <c r="L2947" s="25">
        <f t="shared" si="4"/>
        <v>1</v>
      </c>
    </row>
    <row r="2948">
      <c r="A2948" s="19">
        <v>46974.0</v>
      </c>
      <c r="B2948" s="20" t="str">
        <f t="array" ref="B2948">xlookup($A2948,product!$A:$A,product!B:B)</f>
        <v>Beauté &amp; Hygiène</v>
      </c>
      <c r="C2948" s="20" t="str">
        <f t="array" ref="C2948">xlookup($A2948,product!$A:$A,product!C:C)</f>
        <v>Soins des cheveux</v>
      </c>
      <c r="D2948" s="20" t="str">
        <f t="array" ref="D2948">xlookup($A2948,product!$A:$A,product!D:D)</f>
        <v>Soins capillaires</v>
      </c>
      <c r="E2948" s="4" t="str">
        <f t="shared" si="1"/>
        <v>46974-Soins des cheveux-Soins capillaires</v>
      </c>
      <c r="F2948" s="4">
        <v>0.0</v>
      </c>
      <c r="G2948" s="4">
        <v>517.0</v>
      </c>
      <c r="H2948" s="4">
        <v>266.0</v>
      </c>
      <c r="I2948" s="21">
        <f t="array" ref="I2948">XLOOKUP($A2948,product!A:A,product!E:E)</f>
        <v>5.17</v>
      </c>
      <c r="J2948" s="4">
        <f t="shared" si="2"/>
        <v>1375.22</v>
      </c>
      <c r="K2948" s="22">
        <f t="shared" si="3"/>
        <v>1</v>
      </c>
      <c r="L2948" s="4">
        <f t="shared" si="4"/>
        <v>1</v>
      </c>
    </row>
    <row r="2949">
      <c r="A2949" s="23">
        <v>69232.0</v>
      </c>
      <c r="B2949" s="24" t="str">
        <f t="array" ref="B2949">xlookup($A2949,product!$A:$A,product!B:B)</f>
        <v>Beauté &amp; Hygiène</v>
      </c>
      <c r="C2949" s="24" t="str">
        <f t="array" ref="C2949">xlookup($A2949,product!$A:$A,product!C:C)</f>
        <v>Soins des cheveux</v>
      </c>
      <c r="D2949" s="24" t="str">
        <f t="array" ref="D2949">xlookup($A2949,product!$A:$A,product!D:D)</f>
        <v>Soins capillaires</v>
      </c>
      <c r="E2949" s="25" t="str">
        <f t="shared" si="1"/>
        <v>69232-Soins des cheveux-Soins capillaires</v>
      </c>
      <c r="F2949" s="25">
        <v>1.0</v>
      </c>
      <c r="G2949" s="25">
        <v>465.0</v>
      </c>
      <c r="H2949" s="25">
        <v>46.0</v>
      </c>
      <c r="I2949" s="26">
        <f t="array" ref="I2949">XLOOKUP($A2949,product!A:A,product!E:E)</f>
        <v>4.61</v>
      </c>
      <c r="J2949" s="25">
        <f t="shared" si="2"/>
        <v>212.06</v>
      </c>
      <c r="K2949" s="27">
        <f t="shared" si="3"/>
        <v>1</v>
      </c>
      <c r="L2949" s="25">
        <f t="shared" si="4"/>
        <v>1</v>
      </c>
    </row>
    <row r="2950">
      <c r="A2950" s="19">
        <v>117461.0</v>
      </c>
      <c r="B2950" s="20" t="str">
        <f t="array" ref="B2950">xlookup($A2950,product!$A:$A,product!B:B)</f>
        <v>Beauté &amp; Hygiène</v>
      </c>
      <c r="C2950" s="20" t="str">
        <f t="array" ref="C2950">xlookup($A2950,product!$A:$A,product!C:C)</f>
        <v>Soins des cheveux</v>
      </c>
      <c r="D2950" s="20" t="str">
        <f t="array" ref="D2950">xlookup($A2950,product!$A:$A,product!D:D)</f>
        <v>Soins capillaires</v>
      </c>
      <c r="E2950" s="4" t="str">
        <f t="shared" si="1"/>
        <v>117461-Soins des cheveux-Soins capillaires</v>
      </c>
      <c r="F2950" s="4">
        <v>0.0</v>
      </c>
      <c r="G2950" s="4">
        <v>536.0</v>
      </c>
      <c r="H2950" s="4">
        <v>510.0</v>
      </c>
      <c r="I2950" s="21">
        <f t="array" ref="I2950">XLOOKUP($A2950,product!A:A,product!E:E)</f>
        <v>6.23</v>
      </c>
      <c r="J2950" s="4">
        <f t="shared" si="2"/>
        <v>3177.3</v>
      </c>
      <c r="K2950" s="22">
        <f t="shared" si="3"/>
        <v>1</v>
      </c>
      <c r="L2950" s="4">
        <f t="shared" si="4"/>
        <v>1</v>
      </c>
    </row>
    <row r="2951">
      <c r="A2951" s="23">
        <v>122324.0</v>
      </c>
      <c r="B2951" s="24" t="str">
        <f t="array" ref="B2951">xlookup($A2951,product!$A:$A,product!B:B)</f>
        <v>Beauté &amp; Hygiène</v>
      </c>
      <c r="C2951" s="24" t="str">
        <f t="array" ref="C2951">xlookup($A2951,product!$A:$A,product!C:C)</f>
        <v>Soins des cheveux</v>
      </c>
      <c r="D2951" s="24" t="str">
        <f t="array" ref="D2951">xlookup($A2951,product!$A:$A,product!D:D)</f>
        <v>Soins capillaires</v>
      </c>
      <c r="E2951" s="25" t="str">
        <f t="shared" si="1"/>
        <v>122324-Soins des cheveux-Soins capillaires</v>
      </c>
      <c r="F2951" s="25">
        <v>0.0</v>
      </c>
      <c r="G2951" s="25">
        <v>652.0</v>
      </c>
      <c r="H2951" s="25">
        <v>167.0</v>
      </c>
      <c r="I2951" s="26">
        <f t="array" ref="I2951">XLOOKUP($A2951,product!A:A,product!E:E)</f>
        <v>5.53</v>
      </c>
      <c r="J2951" s="25">
        <f t="shared" si="2"/>
        <v>923.51</v>
      </c>
      <c r="K2951" s="27">
        <f t="shared" si="3"/>
        <v>1</v>
      </c>
      <c r="L2951" s="25">
        <f t="shared" si="4"/>
        <v>1</v>
      </c>
    </row>
    <row r="2952">
      <c r="A2952" s="19">
        <v>119023.0</v>
      </c>
      <c r="B2952" s="20" t="str">
        <f t="array" ref="B2952">xlookup($A2952,product!$A:$A,product!B:B)</f>
        <v>Beauté &amp; Hygiène</v>
      </c>
      <c r="C2952" s="20" t="str">
        <f t="array" ref="C2952">xlookup($A2952,product!$A:$A,product!C:C)</f>
        <v>Soins des cheveux</v>
      </c>
      <c r="D2952" s="20" t="str">
        <f t="array" ref="D2952">xlookup($A2952,product!$A:$A,product!D:D)</f>
        <v>Soins capillaires</v>
      </c>
      <c r="E2952" s="4" t="str">
        <f t="shared" si="1"/>
        <v>119023-Soins des cheveux-Soins capillaires</v>
      </c>
      <c r="F2952" s="4">
        <v>0.0</v>
      </c>
      <c r="G2952" s="4">
        <v>377.0</v>
      </c>
      <c r="H2952" s="4">
        <v>12.0</v>
      </c>
      <c r="I2952" s="21">
        <f t="array" ref="I2952">XLOOKUP($A2952,product!A:A,product!E:E)</f>
        <v>8.44</v>
      </c>
      <c r="J2952" s="4">
        <f t="shared" si="2"/>
        <v>101.28</v>
      </c>
      <c r="K2952" s="22">
        <f t="shared" si="3"/>
        <v>1</v>
      </c>
      <c r="L2952" s="4">
        <f t="shared" si="4"/>
        <v>1</v>
      </c>
    </row>
    <row r="2953">
      <c r="A2953" s="23">
        <v>70600.0</v>
      </c>
      <c r="B2953" s="24" t="str">
        <f t="array" ref="B2953">xlookup($A2953,product!$A:$A,product!B:B)</f>
        <v>Beauté &amp; Hygiène</v>
      </c>
      <c r="C2953" s="24" t="str">
        <f t="array" ref="C2953">xlookup($A2953,product!$A:$A,product!C:C)</f>
        <v>Soins des cheveux</v>
      </c>
      <c r="D2953" s="24" t="str">
        <f t="array" ref="D2953">xlookup($A2953,product!$A:$A,product!D:D)</f>
        <v>Soins capillaires</v>
      </c>
      <c r="E2953" s="25" t="str">
        <f t="shared" si="1"/>
        <v>70600-Soins des cheveux-Soins capillaires</v>
      </c>
      <c r="F2953" s="25">
        <v>1.0</v>
      </c>
      <c r="G2953" s="25">
        <v>640.0</v>
      </c>
      <c r="H2953" s="25">
        <v>589.0</v>
      </c>
      <c r="I2953" s="26">
        <f t="array" ref="I2953">XLOOKUP($A2953,product!A:A,product!E:E)</f>
        <v>8.73</v>
      </c>
      <c r="J2953" s="25">
        <f t="shared" si="2"/>
        <v>5141.97</v>
      </c>
      <c r="K2953" s="27">
        <f t="shared" si="3"/>
        <v>1</v>
      </c>
      <c r="L2953" s="25">
        <f t="shared" si="4"/>
        <v>1</v>
      </c>
    </row>
    <row r="2954">
      <c r="A2954" s="19">
        <v>10689.0</v>
      </c>
      <c r="B2954" s="20" t="str">
        <f t="array" ref="B2954">xlookup($A2954,product!$A:$A,product!B:B)</f>
        <v>Beauté &amp; Hygiène</v>
      </c>
      <c r="C2954" s="20" t="str">
        <f t="array" ref="C2954">xlookup($A2954,product!$A:$A,product!C:C)</f>
        <v>Soins des cheveux</v>
      </c>
      <c r="D2954" s="20" t="str">
        <f t="array" ref="D2954">xlookup($A2954,product!$A:$A,product!D:D)</f>
        <v>Soins capillaires</v>
      </c>
      <c r="E2954" s="4" t="str">
        <f t="shared" si="1"/>
        <v>10689-Soins des cheveux-Soins capillaires</v>
      </c>
      <c r="F2954" s="4">
        <v>0.0</v>
      </c>
      <c r="G2954" s="4">
        <v>490.0</v>
      </c>
      <c r="H2954" s="4">
        <v>227.0</v>
      </c>
      <c r="I2954" s="21">
        <f t="array" ref="I2954">XLOOKUP($A2954,product!A:A,product!E:E)</f>
        <v>5.06</v>
      </c>
      <c r="J2954" s="4">
        <f t="shared" si="2"/>
        <v>1148.62</v>
      </c>
      <c r="K2954" s="22">
        <f t="shared" si="3"/>
        <v>1</v>
      </c>
      <c r="L2954" s="4">
        <f t="shared" si="4"/>
        <v>1</v>
      </c>
    </row>
    <row r="2955">
      <c r="A2955" s="23">
        <v>158427.0</v>
      </c>
      <c r="B2955" s="24" t="str">
        <f t="array" ref="B2955">xlookup($A2955,product!$A:$A,product!B:B)</f>
        <v>Beauté &amp; Hygiène</v>
      </c>
      <c r="C2955" s="24" t="str">
        <f t="array" ref="C2955">xlookup($A2955,product!$A:$A,product!C:C)</f>
        <v>Soins des cheveux</v>
      </c>
      <c r="D2955" s="24" t="str">
        <f t="array" ref="D2955">xlookup($A2955,product!$A:$A,product!D:D)</f>
        <v>Soins capillaires</v>
      </c>
      <c r="E2955" s="25" t="str">
        <f t="shared" si="1"/>
        <v>158427-Soins des cheveux-Soins capillaires</v>
      </c>
      <c r="F2955" s="25">
        <v>1.0</v>
      </c>
      <c r="G2955" s="25">
        <v>855.0</v>
      </c>
      <c r="H2955" s="25">
        <v>0.0</v>
      </c>
      <c r="I2955" s="26">
        <f t="array" ref="I2955">XLOOKUP($A2955,product!A:A,product!E:E)</f>
        <v>4.08</v>
      </c>
      <c r="J2955" s="25">
        <f t="shared" si="2"/>
        <v>0</v>
      </c>
      <c r="K2955" s="27">
        <f t="shared" si="3"/>
        <v>0</v>
      </c>
      <c r="L2955" s="25">
        <f t="shared" si="4"/>
        <v>1</v>
      </c>
    </row>
    <row r="2956">
      <c r="A2956" s="19">
        <v>122462.0</v>
      </c>
      <c r="B2956" s="20" t="str">
        <f t="array" ref="B2956">xlookup($A2956,product!$A:$A,product!B:B)</f>
        <v>Beauté &amp; Hygiène</v>
      </c>
      <c r="C2956" s="20" t="str">
        <f t="array" ref="C2956">xlookup($A2956,product!$A:$A,product!C:C)</f>
        <v>Soins des cheveux</v>
      </c>
      <c r="D2956" s="20" t="str">
        <f t="array" ref="D2956">xlookup($A2956,product!$A:$A,product!D:D)</f>
        <v>Soins capillaires</v>
      </c>
      <c r="E2956" s="4" t="str">
        <f t="shared" si="1"/>
        <v>122462-Soins des cheveux-Soins capillaires</v>
      </c>
      <c r="F2956" s="4">
        <v>1.0</v>
      </c>
      <c r="G2956" s="4">
        <v>539.0</v>
      </c>
      <c r="H2956" s="4">
        <v>70.0</v>
      </c>
      <c r="I2956" s="21">
        <f t="array" ref="I2956">XLOOKUP($A2956,product!A:A,product!E:E)</f>
        <v>9.92</v>
      </c>
      <c r="J2956" s="4">
        <f t="shared" si="2"/>
        <v>694.4</v>
      </c>
      <c r="K2956" s="22">
        <f t="shared" si="3"/>
        <v>1</v>
      </c>
      <c r="L2956" s="4">
        <f t="shared" si="4"/>
        <v>1</v>
      </c>
    </row>
    <row r="2957">
      <c r="A2957" s="23">
        <v>155951.0</v>
      </c>
      <c r="B2957" s="24" t="str">
        <f t="array" ref="B2957">xlookup($A2957,product!$A:$A,product!B:B)</f>
        <v>Beauté &amp; Hygiène</v>
      </c>
      <c r="C2957" s="24" t="str">
        <f t="array" ref="C2957">xlookup($A2957,product!$A:$A,product!C:C)</f>
        <v>Soins des cheveux</v>
      </c>
      <c r="D2957" s="24" t="str">
        <f t="array" ref="D2957">xlookup($A2957,product!$A:$A,product!D:D)</f>
        <v>Soins capillaires</v>
      </c>
      <c r="E2957" s="25" t="str">
        <f t="shared" si="1"/>
        <v>155951-Soins des cheveux-Soins capillaires</v>
      </c>
      <c r="F2957" s="25">
        <v>0.0</v>
      </c>
      <c r="G2957" s="25">
        <v>579.0</v>
      </c>
      <c r="H2957" s="25">
        <v>239.0</v>
      </c>
      <c r="I2957" s="26">
        <f t="array" ref="I2957">XLOOKUP($A2957,product!A:A,product!E:E)</f>
        <v>6.11</v>
      </c>
      <c r="J2957" s="25">
        <f t="shared" si="2"/>
        <v>1460.29</v>
      </c>
      <c r="K2957" s="27">
        <f t="shared" si="3"/>
        <v>1</v>
      </c>
      <c r="L2957" s="25">
        <f t="shared" si="4"/>
        <v>1</v>
      </c>
    </row>
    <row r="2958">
      <c r="A2958" s="19">
        <v>79338.0</v>
      </c>
      <c r="B2958" s="20" t="str">
        <f t="array" ref="B2958">xlookup($A2958,product!$A:$A,product!B:B)</f>
        <v>Beauté &amp; Hygiène</v>
      </c>
      <c r="C2958" s="20" t="str">
        <f t="array" ref="C2958">xlookup($A2958,product!$A:$A,product!C:C)</f>
        <v>Soins des cheveux</v>
      </c>
      <c r="D2958" s="20" t="str">
        <f t="array" ref="D2958">xlookup($A2958,product!$A:$A,product!D:D)</f>
        <v>Soins capillaires</v>
      </c>
      <c r="E2958" s="4" t="str">
        <f t="shared" si="1"/>
        <v>79338-Soins des cheveux-Soins capillaires</v>
      </c>
      <c r="F2958" s="4">
        <v>0.0</v>
      </c>
      <c r="G2958" s="4">
        <v>774.0</v>
      </c>
      <c r="H2958" s="4">
        <v>189.0</v>
      </c>
      <c r="I2958" s="21">
        <f t="array" ref="I2958">XLOOKUP($A2958,product!A:A,product!E:E)</f>
        <v>5.92</v>
      </c>
      <c r="J2958" s="4">
        <f t="shared" si="2"/>
        <v>1118.88</v>
      </c>
      <c r="K2958" s="22">
        <f t="shared" si="3"/>
        <v>1</v>
      </c>
      <c r="L2958" s="4">
        <f t="shared" si="4"/>
        <v>1</v>
      </c>
    </row>
    <row r="2959">
      <c r="A2959" s="23">
        <v>79919.0</v>
      </c>
      <c r="B2959" s="24" t="str">
        <f t="array" ref="B2959">xlookup($A2959,product!$A:$A,product!B:B)</f>
        <v>Beauté &amp; Hygiène</v>
      </c>
      <c r="C2959" s="24" t="str">
        <f t="array" ref="C2959">xlookup($A2959,product!$A:$A,product!C:C)</f>
        <v>Soins des cheveux</v>
      </c>
      <c r="D2959" s="24" t="str">
        <f t="array" ref="D2959">xlookup($A2959,product!$A:$A,product!D:D)</f>
        <v>Soins capillaires</v>
      </c>
      <c r="E2959" s="25" t="str">
        <f t="shared" si="1"/>
        <v>79919-Soins des cheveux-Soins capillaires</v>
      </c>
      <c r="F2959" s="25">
        <v>1.0</v>
      </c>
      <c r="G2959" s="25">
        <v>834.0</v>
      </c>
      <c r="H2959" s="25">
        <v>743.0</v>
      </c>
      <c r="I2959" s="26">
        <f t="array" ref="I2959">XLOOKUP($A2959,product!A:A,product!E:E)</f>
        <v>4.98</v>
      </c>
      <c r="J2959" s="25">
        <f t="shared" si="2"/>
        <v>3700.14</v>
      </c>
      <c r="K2959" s="27">
        <f t="shared" si="3"/>
        <v>1</v>
      </c>
      <c r="L2959" s="25">
        <f t="shared" si="4"/>
        <v>1</v>
      </c>
    </row>
    <row r="2960">
      <c r="A2960" s="19">
        <v>117057.0</v>
      </c>
      <c r="B2960" s="20" t="str">
        <f t="array" ref="B2960">xlookup($A2960,product!$A:$A,product!B:B)</f>
        <v>Beauté &amp; Hygiène</v>
      </c>
      <c r="C2960" s="20" t="str">
        <f t="array" ref="C2960">xlookup($A2960,product!$A:$A,product!C:C)</f>
        <v>Soins des cheveux</v>
      </c>
      <c r="D2960" s="20" t="str">
        <f t="array" ref="D2960">xlookup($A2960,product!$A:$A,product!D:D)</f>
        <v>Soins capillaires</v>
      </c>
      <c r="E2960" s="4" t="str">
        <f t="shared" si="1"/>
        <v>117057-Soins des cheveux-Soins capillaires</v>
      </c>
      <c r="F2960" s="4">
        <v>0.0</v>
      </c>
      <c r="G2960" s="4">
        <v>456.0</v>
      </c>
      <c r="H2960" s="4">
        <v>433.0</v>
      </c>
      <c r="I2960" s="21">
        <f t="array" ref="I2960">XLOOKUP($A2960,product!A:A,product!E:E)</f>
        <v>8.02</v>
      </c>
      <c r="J2960" s="4">
        <f t="shared" si="2"/>
        <v>3472.66</v>
      </c>
      <c r="K2960" s="22">
        <f t="shared" si="3"/>
        <v>1</v>
      </c>
      <c r="L2960" s="4">
        <f t="shared" si="4"/>
        <v>1</v>
      </c>
    </row>
    <row r="2961">
      <c r="A2961" s="23">
        <v>122334.0</v>
      </c>
      <c r="B2961" s="24" t="str">
        <f t="array" ref="B2961">xlookup($A2961,product!$A:$A,product!B:B)</f>
        <v>Beauté &amp; Hygiène</v>
      </c>
      <c r="C2961" s="24" t="str">
        <f t="array" ref="C2961">xlookup($A2961,product!$A:$A,product!C:C)</f>
        <v>Soins des cheveux</v>
      </c>
      <c r="D2961" s="24" t="str">
        <f t="array" ref="D2961">xlookup($A2961,product!$A:$A,product!D:D)</f>
        <v>Soins capillaires</v>
      </c>
      <c r="E2961" s="25" t="str">
        <f t="shared" si="1"/>
        <v>122334-Soins des cheveux-Soins capillaires</v>
      </c>
      <c r="F2961" s="25">
        <v>0.0</v>
      </c>
      <c r="G2961" s="25">
        <v>720.0</v>
      </c>
      <c r="H2961" s="25">
        <v>88.0</v>
      </c>
      <c r="I2961" s="26">
        <f t="array" ref="I2961">XLOOKUP($A2961,product!A:A,product!E:E)</f>
        <v>9.14</v>
      </c>
      <c r="J2961" s="25">
        <f t="shared" si="2"/>
        <v>804.32</v>
      </c>
      <c r="K2961" s="27">
        <f t="shared" si="3"/>
        <v>1</v>
      </c>
      <c r="L2961" s="25">
        <f t="shared" si="4"/>
        <v>1</v>
      </c>
    </row>
    <row r="2962">
      <c r="A2962" s="19">
        <v>122648.0</v>
      </c>
      <c r="B2962" s="20" t="str">
        <f t="array" ref="B2962">xlookup($A2962,product!$A:$A,product!B:B)</f>
        <v>Beauté &amp; Hygiène</v>
      </c>
      <c r="C2962" s="20" t="str">
        <f t="array" ref="C2962">xlookup($A2962,product!$A:$A,product!C:C)</f>
        <v>Soins des cheveux</v>
      </c>
      <c r="D2962" s="20" t="str">
        <f t="array" ref="D2962">xlookup($A2962,product!$A:$A,product!D:D)</f>
        <v>Soins capillaires</v>
      </c>
      <c r="E2962" s="4" t="str">
        <f t="shared" si="1"/>
        <v>122648-Soins des cheveux-Soins capillaires</v>
      </c>
      <c r="F2962" s="4">
        <v>0.0</v>
      </c>
      <c r="G2962" s="4">
        <v>643.0</v>
      </c>
      <c r="H2962" s="4">
        <v>518.0</v>
      </c>
      <c r="I2962" s="21">
        <f t="array" ref="I2962">XLOOKUP($A2962,product!A:A,product!E:E)</f>
        <v>4.18</v>
      </c>
      <c r="J2962" s="4">
        <f t="shared" si="2"/>
        <v>2165.24</v>
      </c>
      <c r="K2962" s="22">
        <f t="shared" si="3"/>
        <v>1</v>
      </c>
      <c r="L2962" s="4">
        <f t="shared" si="4"/>
        <v>1</v>
      </c>
    </row>
    <row r="2963">
      <c r="A2963" s="23">
        <v>128418.0</v>
      </c>
      <c r="B2963" s="24" t="str">
        <f t="array" ref="B2963">xlookup($A2963,product!$A:$A,product!B:B)</f>
        <v>Beauté &amp; Hygiène</v>
      </c>
      <c r="C2963" s="24" t="str">
        <f t="array" ref="C2963">xlookup($A2963,product!$A:$A,product!C:C)</f>
        <v>Soins des cheveux</v>
      </c>
      <c r="D2963" s="24" t="str">
        <f t="array" ref="D2963">xlookup($A2963,product!$A:$A,product!D:D)</f>
        <v>Soins capillaires</v>
      </c>
      <c r="E2963" s="25" t="str">
        <f t="shared" si="1"/>
        <v>128418-Soins des cheveux-Soins capillaires</v>
      </c>
      <c r="F2963" s="25">
        <v>0.0</v>
      </c>
      <c r="G2963" s="25">
        <v>629.0</v>
      </c>
      <c r="H2963" s="25">
        <v>480.0</v>
      </c>
      <c r="I2963" s="26">
        <f t="array" ref="I2963">XLOOKUP($A2963,product!A:A,product!E:E)</f>
        <v>4.63</v>
      </c>
      <c r="J2963" s="25">
        <f t="shared" si="2"/>
        <v>2222.4</v>
      </c>
      <c r="K2963" s="27">
        <f t="shared" si="3"/>
        <v>1</v>
      </c>
      <c r="L2963" s="25">
        <f t="shared" si="4"/>
        <v>1</v>
      </c>
    </row>
    <row r="2964">
      <c r="A2964" s="19">
        <v>109883.0</v>
      </c>
      <c r="B2964" s="20" t="str">
        <f t="array" ref="B2964">xlookup($A2964,product!$A:$A,product!B:B)</f>
        <v>Beauté &amp; Hygiène</v>
      </c>
      <c r="C2964" s="20" t="str">
        <f t="array" ref="C2964">xlookup($A2964,product!$A:$A,product!C:C)</f>
        <v>Soins des cheveux</v>
      </c>
      <c r="D2964" s="20" t="str">
        <f t="array" ref="D2964">xlookup($A2964,product!$A:$A,product!D:D)</f>
        <v>Soins capillaires</v>
      </c>
      <c r="E2964" s="4" t="str">
        <f t="shared" si="1"/>
        <v>109883-Soins des cheveux-Soins capillaires</v>
      </c>
      <c r="F2964" s="4">
        <v>1.0</v>
      </c>
      <c r="G2964" s="4">
        <v>595.0</v>
      </c>
      <c r="H2964" s="4">
        <v>307.0</v>
      </c>
      <c r="I2964" s="21">
        <f t="array" ref="I2964">XLOOKUP($A2964,product!A:A,product!E:E)</f>
        <v>3.58</v>
      </c>
      <c r="J2964" s="4">
        <f t="shared" si="2"/>
        <v>1099.06</v>
      </c>
      <c r="K2964" s="22">
        <f t="shared" si="3"/>
        <v>1</v>
      </c>
      <c r="L2964" s="4">
        <f t="shared" si="4"/>
        <v>1</v>
      </c>
    </row>
    <row r="2965">
      <c r="A2965" s="23">
        <v>119027.0</v>
      </c>
      <c r="B2965" s="24" t="str">
        <f t="array" ref="B2965">xlookup($A2965,product!$A:$A,product!B:B)</f>
        <v>Beauté &amp; Hygiène</v>
      </c>
      <c r="C2965" s="24" t="str">
        <f t="array" ref="C2965">xlookup($A2965,product!$A:$A,product!C:C)</f>
        <v>Soins des cheveux</v>
      </c>
      <c r="D2965" s="24" t="str">
        <f t="array" ref="D2965">xlookup($A2965,product!$A:$A,product!D:D)</f>
        <v>Soins capillaires</v>
      </c>
      <c r="E2965" s="25" t="str">
        <f t="shared" si="1"/>
        <v>119027-Soins des cheveux-Soins capillaires</v>
      </c>
      <c r="F2965" s="25">
        <v>0.0</v>
      </c>
      <c r="G2965" s="25">
        <v>973.0</v>
      </c>
      <c r="H2965" s="25">
        <v>775.0</v>
      </c>
      <c r="I2965" s="26">
        <f t="array" ref="I2965">XLOOKUP($A2965,product!A:A,product!E:E)</f>
        <v>6.21</v>
      </c>
      <c r="J2965" s="25">
        <f t="shared" si="2"/>
        <v>4812.75</v>
      </c>
      <c r="K2965" s="27">
        <f t="shared" si="3"/>
        <v>1</v>
      </c>
      <c r="L2965" s="25">
        <f t="shared" si="4"/>
        <v>1</v>
      </c>
    </row>
    <row r="2966">
      <c r="A2966" s="19">
        <v>30522.0</v>
      </c>
      <c r="B2966" s="20" t="str">
        <f t="array" ref="B2966">xlookup($A2966,product!$A:$A,product!B:B)</f>
        <v>Beauté &amp; Hygiène</v>
      </c>
      <c r="C2966" s="20" t="str">
        <f t="array" ref="C2966">xlookup($A2966,product!$A:$A,product!C:C)</f>
        <v>Soins des cheveux</v>
      </c>
      <c r="D2966" s="20" t="str">
        <f t="array" ref="D2966">xlookup($A2966,product!$A:$A,product!D:D)</f>
        <v>Soins capillaires</v>
      </c>
      <c r="E2966" s="4" t="str">
        <f t="shared" si="1"/>
        <v>30522-Soins des cheveux-Soins capillaires</v>
      </c>
      <c r="F2966" s="4">
        <v>1.0</v>
      </c>
      <c r="G2966" s="4">
        <v>941.0</v>
      </c>
      <c r="H2966" s="4">
        <v>103.0</v>
      </c>
      <c r="I2966" s="21">
        <f t="array" ref="I2966">XLOOKUP($A2966,product!A:A,product!E:E)</f>
        <v>5.76</v>
      </c>
      <c r="J2966" s="4">
        <f t="shared" si="2"/>
        <v>593.28</v>
      </c>
      <c r="K2966" s="22">
        <f t="shared" si="3"/>
        <v>1</v>
      </c>
      <c r="L2966" s="4">
        <f t="shared" si="4"/>
        <v>1</v>
      </c>
    </row>
    <row r="2967">
      <c r="A2967" s="23">
        <v>118155.0</v>
      </c>
      <c r="B2967" s="24" t="str">
        <f t="array" ref="B2967">xlookup($A2967,product!$A:$A,product!B:B)</f>
        <v>Beauté &amp; Hygiène</v>
      </c>
      <c r="C2967" s="24" t="str">
        <f t="array" ref="C2967">xlookup($A2967,product!$A:$A,product!C:C)</f>
        <v>Soins des cheveux</v>
      </c>
      <c r="D2967" s="24" t="str">
        <f t="array" ref="D2967">xlookup($A2967,product!$A:$A,product!D:D)</f>
        <v>Soins capillaires</v>
      </c>
      <c r="E2967" s="25" t="str">
        <f t="shared" si="1"/>
        <v>118155-Soins des cheveux-Soins capillaires</v>
      </c>
      <c r="F2967" s="25">
        <v>1.0</v>
      </c>
      <c r="G2967" s="25">
        <v>235.0</v>
      </c>
      <c r="H2967" s="25">
        <v>130.0</v>
      </c>
      <c r="I2967" s="26">
        <f t="array" ref="I2967">XLOOKUP($A2967,product!A:A,product!E:E)</f>
        <v>4.23</v>
      </c>
      <c r="J2967" s="25">
        <f t="shared" si="2"/>
        <v>549.9</v>
      </c>
      <c r="K2967" s="27">
        <f t="shared" si="3"/>
        <v>1</v>
      </c>
      <c r="L2967" s="25">
        <f t="shared" si="4"/>
        <v>1</v>
      </c>
    </row>
    <row r="2968">
      <c r="A2968" s="19">
        <v>188068.0</v>
      </c>
      <c r="B2968" s="20" t="str">
        <f t="array" ref="B2968">xlookup($A2968,product!$A:$A,product!B:B)</f>
        <v>Beauté &amp; Hygiène</v>
      </c>
      <c r="C2968" s="20" t="str">
        <f t="array" ref="C2968">xlookup($A2968,product!$A:$A,product!C:C)</f>
        <v>Soins des cheveux</v>
      </c>
      <c r="D2968" s="20" t="str">
        <f t="array" ref="D2968">xlookup($A2968,product!$A:$A,product!D:D)</f>
        <v>Soins capillaires</v>
      </c>
      <c r="E2968" s="4" t="str">
        <f t="shared" si="1"/>
        <v>188068-Soins des cheveux-Soins capillaires</v>
      </c>
      <c r="F2968" s="4">
        <v>0.0</v>
      </c>
      <c r="G2968" s="4">
        <v>799.0</v>
      </c>
      <c r="H2968" s="4">
        <v>456.0</v>
      </c>
      <c r="I2968" s="21">
        <f t="array" ref="I2968">XLOOKUP($A2968,product!A:A,product!E:E)</f>
        <v>3.58</v>
      </c>
      <c r="J2968" s="4">
        <f t="shared" si="2"/>
        <v>1632.48</v>
      </c>
      <c r="K2968" s="22">
        <f t="shared" si="3"/>
        <v>1</v>
      </c>
      <c r="L2968" s="4">
        <f t="shared" si="4"/>
        <v>1</v>
      </c>
    </row>
    <row r="2969">
      <c r="A2969" s="23">
        <v>92613.0</v>
      </c>
      <c r="B2969" s="24" t="str">
        <f t="array" ref="B2969">xlookup($A2969,product!$A:$A,product!B:B)</f>
        <v>Beauté &amp; Hygiène</v>
      </c>
      <c r="C2969" s="24" t="str">
        <f t="array" ref="C2969">xlookup($A2969,product!$A:$A,product!C:C)</f>
        <v>Soins des cheveux</v>
      </c>
      <c r="D2969" s="24" t="str">
        <f t="array" ref="D2969">xlookup($A2969,product!$A:$A,product!D:D)</f>
        <v>Soins capillaires</v>
      </c>
      <c r="E2969" s="25" t="str">
        <f t="shared" si="1"/>
        <v>92613-Soins des cheveux-Soins capillaires</v>
      </c>
      <c r="F2969" s="25">
        <v>1.0</v>
      </c>
      <c r="G2969" s="25">
        <v>764.0</v>
      </c>
      <c r="H2969" s="25">
        <v>194.0</v>
      </c>
      <c r="I2969" s="26">
        <f t="array" ref="I2969">XLOOKUP($A2969,product!A:A,product!E:E)</f>
        <v>3.58</v>
      </c>
      <c r="J2969" s="25">
        <f t="shared" si="2"/>
        <v>694.52</v>
      </c>
      <c r="K2969" s="27">
        <f t="shared" si="3"/>
        <v>1</v>
      </c>
      <c r="L2969" s="25">
        <f t="shared" si="4"/>
        <v>1</v>
      </c>
    </row>
    <row r="2970">
      <c r="A2970" s="19">
        <v>69234.0</v>
      </c>
      <c r="B2970" s="20" t="str">
        <f t="array" ref="B2970">xlookup($A2970,product!$A:$A,product!B:B)</f>
        <v>Beauté &amp; Hygiène</v>
      </c>
      <c r="C2970" s="20" t="str">
        <f t="array" ref="C2970">xlookup($A2970,product!$A:$A,product!C:C)</f>
        <v>Soins des cheveux</v>
      </c>
      <c r="D2970" s="20" t="str">
        <f t="array" ref="D2970">xlookup($A2970,product!$A:$A,product!D:D)</f>
        <v>Soins capillaires</v>
      </c>
      <c r="E2970" s="4" t="str">
        <f t="shared" si="1"/>
        <v>69234-Soins des cheveux-Soins capillaires</v>
      </c>
      <c r="F2970" s="4">
        <v>0.0</v>
      </c>
      <c r="G2970" s="4">
        <v>340.0</v>
      </c>
      <c r="H2970" s="4">
        <v>121.0</v>
      </c>
      <c r="I2970" s="21">
        <f t="array" ref="I2970">XLOOKUP($A2970,product!A:A,product!E:E)</f>
        <v>5.07</v>
      </c>
      <c r="J2970" s="4">
        <f t="shared" si="2"/>
        <v>613.47</v>
      </c>
      <c r="K2970" s="22">
        <f t="shared" si="3"/>
        <v>1</v>
      </c>
      <c r="L2970" s="4">
        <f t="shared" si="4"/>
        <v>1</v>
      </c>
    </row>
    <row r="2971">
      <c r="A2971" s="23">
        <v>109938.0</v>
      </c>
      <c r="B2971" s="24" t="str">
        <f t="array" ref="B2971">xlookup($A2971,product!$A:$A,product!B:B)</f>
        <v>Beauté &amp; Hygiène</v>
      </c>
      <c r="C2971" s="24" t="str">
        <f t="array" ref="C2971">xlookup($A2971,product!$A:$A,product!C:C)</f>
        <v>Soins des cheveux</v>
      </c>
      <c r="D2971" s="24" t="str">
        <f t="array" ref="D2971">xlookup($A2971,product!$A:$A,product!D:D)</f>
        <v>Soins capillaires</v>
      </c>
      <c r="E2971" s="25" t="str">
        <f t="shared" si="1"/>
        <v>109938-Soins des cheveux-Soins capillaires</v>
      </c>
      <c r="F2971" s="25">
        <v>1.0</v>
      </c>
      <c r="G2971" s="25">
        <v>625.0</v>
      </c>
      <c r="H2971" s="25">
        <v>387.0</v>
      </c>
      <c r="I2971" s="26">
        <f t="array" ref="I2971">XLOOKUP($A2971,product!A:A,product!E:E)</f>
        <v>4.89</v>
      </c>
      <c r="J2971" s="25">
        <f t="shared" si="2"/>
        <v>1892.43</v>
      </c>
      <c r="K2971" s="27">
        <f t="shared" si="3"/>
        <v>1</v>
      </c>
      <c r="L2971" s="25">
        <f t="shared" si="4"/>
        <v>1</v>
      </c>
    </row>
    <row r="2972">
      <c r="A2972" s="19">
        <v>120307.0</v>
      </c>
      <c r="B2972" s="20" t="str">
        <f t="array" ref="B2972">xlookup($A2972,product!$A:$A,product!B:B)</f>
        <v>Beauté &amp; Hygiène</v>
      </c>
      <c r="C2972" s="20" t="str">
        <f t="array" ref="C2972">xlookup($A2972,product!$A:$A,product!C:C)</f>
        <v>Soins des cheveux</v>
      </c>
      <c r="D2972" s="20" t="str">
        <f t="array" ref="D2972">xlookup($A2972,product!$A:$A,product!D:D)</f>
        <v>Soins capillaires</v>
      </c>
      <c r="E2972" s="4" t="str">
        <f t="shared" si="1"/>
        <v>120307-Soins des cheveux-Soins capillaires</v>
      </c>
      <c r="F2972" s="4">
        <v>0.0</v>
      </c>
      <c r="G2972" s="4">
        <v>412.0</v>
      </c>
      <c r="H2972" s="4">
        <v>301.0</v>
      </c>
      <c r="I2972" s="21">
        <f t="array" ref="I2972">XLOOKUP($A2972,product!A:A,product!E:E)</f>
        <v>4.08</v>
      </c>
      <c r="J2972" s="4">
        <f t="shared" si="2"/>
        <v>1228.08</v>
      </c>
      <c r="K2972" s="22">
        <f t="shared" si="3"/>
        <v>1</v>
      </c>
      <c r="L2972" s="4">
        <f t="shared" si="4"/>
        <v>1</v>
      </c>
    </row>
    <row r="2973">
      <c r="A2973" s="23">
        <v>118906.0</v>
      </c>
      <c r="B2973" s="24" t="str">
        <f t="array" ref="B2973">xlookup($A2973,product!$A:$A,product!B:B)</f>
        <v>Beauté &amp; Hygiène</v>
      </c>
      <c r="C2973" s="24" t="str">
        <f t="array" ref="C2973">xlookup($A2973,product!$A:$A,product!C:C)</f>
        <v>Soins des cheveux</v>
      </c>
      <c r="D2973" s="24" t="str">
        <f t="array" ref="D2973">xlookup($A2973,product!$A:$A,product!D:D)</f>
        <v>Soins capillaires</v>
      </c>
      <c r="E2973" s="25" t="str">
        <f t="shared" si="1"/>
        <v>118906-Soins des cheveux-Soins capillaires</v>
      </c>
      <c r="F2973" s="25">
        <v>0.0</v>
      </c>
      <c r="G2973" s="25">
        <v>553.0</v>
      </c>
      <c r="H2973" s="25">
        <v>525.0</v>
      </c>
      <c r="I2973" s="26">
        <f t="array" ref="I2973">XLOOKUP($A2973,product!A:A,product!E:E)</f>
        <v>4.9</v>
      </c>
      <c r="J2973" s="25">
        <f t="shared" si="2"/>
        <v>2572.5</v>
      </c>
      <c r="K2973" s="27">
        <f t="shared" si="3"/>
        <v>1</v>
      </c>
      <c r="L2973" s="25">
        <f t="shared" si="4"/>
        <v>1</v>
      </c>
    </row>
    <row r="2974">
      <c r="A2974" s="19">
        <v>128309.0</v>
      </c>
      <c r="B2974" s="20" t="str">
        <f t="array" ref="B2974">xlookup($A2974,product!$A:$A,product!B:B)</f>
        <v>Beauté &amp; Hygiène</v>
      </c>
      <c r="C2974" s="20" t="str">
        <f t="array" ref="C2974">xlookup($A2974,product!$A:$A,product!C:C)</f>
        <v>Soins des cheveux</v>
      </c>
      <c r="D2974" s="20" t="str">
        <f t="array" ref="D2974">xlookup($A2974,product!$A:$A,product!D:D)</f>
        <v>Shampoing traitant</v>
      </c>
      <c r="E2974" s="4" t="str">
        <f t="shared" si="1"/>
        <v>128309-Soins des cheveux-Shampoing traitant</v>
      </c>
      <c r="F2974" s="4">
        <v>0.0</v>
      </c>
      <c r="G2974" s="4">
        <v>907.0</v>
      </c>
      <c r="H2974" s="4">
        <v>390.0</v>
      </c>
      <c r="I2974" s="21">
        <f t="array" ref="I2974">XLOOKUP($A2974,product!A:A,product!E:E)</f>
        <v>2.76</v>
      </c>
      <c r="J2974" s="4">
        <f t="shared" si="2"/>
        <v>1076.4</v>
      </c>
      <c r="K2974" s="22">
        <f t="shared" si="3"/>
        <v>1</v>
      </c>
      <c r="L2974" s="4">
        <f t="shared" si="4"/>
        <v>1</v>
      </c>
    </row>
    <row r="2975">
      <c r="A2975" s="23">
        <v>1986.0</v>
      </c>
      <c r="B2975" s="24" t="str">
        <f t="array" ref="B2975">xlookup($A2975,product!$A:$A,product!B:B)</f>
        <v>Beauté &amp; Hygiène</v>
      </c>
      <c r="C2975" s="24" t="str">
        <f t="array" ref="C2975">xlookup($A2975,product!$A:$A,product!C:C)</f>
        <v>Soins des cheveux</v>
      </c>
      <c r="D2975" s="24" t="str">
        <f t="array" ref="D2975">xlookup($A2975,product!$A:$A,product!D:D)</f>
        <v>Shampoing traitant</v>
      </c>
      <c r="E2975" s="25" t="str">
        <f t="shared" si="1"/>
        <v>1986-Soins des cheveux-Shampoing traitant</v>
      </c>
      <c r="F2975" s="25">
        <v>0.0</v>
      </c>
      <c r="G2975" s="25">
        <v>585.0</v>
      </c>
      <c r="H2975" s="25">
        <v>25.0</v>
      </c>
      <c r="I2975" s="26">
        <f t="array" ref="I2975">XLOOKUP($A2975,product!A:A,product!E:E)</f>
        <v>5.74</v>
      </c>
      <c r="J2975" s="25">
        <f t="shared" si="2"/>
        <v>143.5</v>
      </c>
      <c r="K2975" s="27">
        <f t="shared" si="3"/>
        <v>1</v>
      </c>
      <c r="L2975" s="25">
        <f t="shared" si="4"/>
        <v>1</v>
      </c>
    </row>
    <row r="2976">
      <c r="A2976" s="19">
        <v>117749.0</v>
      </c>
      <c r="B2976" s="20" t="str">
        <f t="array" ref="B2976">xlookup($A2976,product!$A:$A,product!B:B)</f>
        <v>Beauté &amp; Hygiène</v>
      </c>
      <c r="C2976" s="20" t="str">
        <f t="array" ref="C2976">xlookup($A2976,product!$A:$A,product!C:C)</f>
        <v>Soins des cheveux</v>
      </c>
      <c r="D2976" s="20" t="str">
        <f t="array" ref="D2976">xlookup($A2976,product!$A:$A,product!D:D)</f>
        <v>Shampoing traitant</v>
      </c>
      <c r="E2976" s="4" t="str">
        <f t="shared" si="1"/>
        <v>117749-Soins des cheveux-Shampoing traitant</v>
      </c>
      <c r="F2976" s="4">
        <v>1.0</v>
      </c>
      <c r="G2976" s="4">
        <v>287.0</v>
      </c>
      <c r="H2976" s="4">
        <v>21.0</v>
      </c>
      <c r="I2976" s="21">
        <f t="array" ref="I2976">XLOOKUP($A2976,product!A:A,product!E:E)</f>
        <v>12.15</v>
      </c>
      <c r="J2976" s="4">
        <f t="shared" si="2"/>
        <v>255.15</v>
      </c>
      <c r="K2976" s="22">
        <f t="shared" si="3"/>
        <v>1</v>
      </c>
      <c r="L2976" s="4">
        <f t="shared" si="4"/>
        <v>1</v>
      </c>
    </row>
    <row r="2977">
      <c r="A2977" s="23">
        <v>117748.0</v>
      </c>
      <c r="B2977" s="24" t="str">
        <f t="array" ref="B2977">xlookup($A2977,product!$A:$A,product!B:B)</f>
        <v>Beauté &amp; Hygiène</v>
      </c>
      <c r="C2977" s="24" t="str">
        <f t="array" ref="C2977">xlookup($A2977,product!$A:$A,product!C:C)</f>
        <v>Soins des cheveux</v>
      </c>
      <c r="D2977" s="24" t="str">
        <f t="array" ref="D2977">xlookup($A2977,product!$A:$A,product!D:D)</f>
        <v>Shampoing traitant</v>
      </c>
      <c r="E2977" s="25" t="str">
        <f t="shared" si="1"/>
        <v>117748-Soins des cheveux-Shampoing traitant</v>
      </c>
      <c r="F2977" s="25">
        <v>1.0</v>
      </c>
      <c r="G2977" s="25">
        <v>576.0</v>
      </c>
      <c r="H2977" s="25">
        <v>404.0</v>
      </c>
      <c r="I2977" s="26">
        <f t="array" ref="I2977">XLOOKUP($A2977,product!A:A,product!E:E)</f>
        <v>9.35</v>
      </c>
      <c r="J2977" s="25">
        <f t="shared" si="2"/>
        <v>3777.4</v>
      </c>
      <c r="K2977" s="27">
        <f t="shared" si="3"/>
        <v>1</v>
      </c>
      <c r="L2977" s="25">
        <f t="shared" si="4"/>
        <v>1</v>
      </c>
    </row>
    <row r="2978">
      <c r="A2978" s="19">
        <v>1962.0</v>
      </c>
      <c r="B2978" s="20" t="str">
        <f t="array" ref="B2978">xlookup($A2978,product!$A:$A,product!B:B)</f>
        <v>Beauté &amp; Hygiène</v>
      </c>
      <c r="C2978" s="20" t="str">
        <f t="array" ref="C2978">xlookup($A2978,product!$A:$A,product!C:C)</f>
        <v>Soins des cheveux</v>
      </c>
      <c r="D2978" s="20" t="str">
        <f t="array" ref="D2978">xlookup($A2978,product!$A:$A,product!D:D)</f>
        <v>Shampoing traitant</v>
      </c>
      <c r="E2978" s="4" t="str">
        <f t="shared" si="1"/>
        <v>1962-Soins des cheveux-Shampoing traitant</v>
      </c>
      <c r="F2978" s="4">
        <v>0.0</v>
      </c>
      <c r="G2978" s="4">
        <v>140.0</v>
      </c>
      <c r="H2978" s="4">
        <v>59.0</v>
      </c>
      <c r="I2978" s="21">
        <f t="array" ref="I2978">XLOOKUP($A2978,product!A:A,product!E:E)</f>
        <v>3.56</v>
      </c>
      <c r="J2978" s="4">
        <f t="shared" si="2"/>
        <v>210.04</v>
      </c>
      <c r="K2978" s="22">
        <f t="shared" si="3"/>
        <v>1</v>
      </c>
      <c r="L2978" s="4">
        <f t="shared" si="4"/>
        <v>1</v>
      </c>
    </row>
    <row r="2979">
      <c r="A2979" s="23">
        <v>109994.0</v>
      </c>
      <c r="B2979" s="24" t="str">
        <f t="array" ref="B2979">xlookup($A2979,product!$A:$A,product!B:B)</f>
        <v>Beauté &amp; Hygiène</v>
      </c>
      <c r="C2979" s="24" t="str">
        <f t="array" ref="C2979">xlookup($A2979,product!$A:$A,product!C:C)</f>
        <v>Soins des cheveux</v>
      </c>
      <c r="D2979" s="24" t="str">
        <f t="array" ref="D2979">xlookup($A2979,product!$A:$A,product!D:D)</f>
        <v>Shampoing traitant</v>
      </c>
      <c r="E2979" s="25" t="str">
        <f t="shared" si="1"/>
        <v>109994-Soins des cheveux-Shampoing traitant</v>
      </c>
      <c r="F2979" s="25">
        <v>0.0</v>
      </c>
      <c r="G2979" s="25">
        <v>715.0</v>
      </c>
      <c r="H2979" s="25">
        <v>593.0</v>
      </c>
      <c r="I2979" s="26">
        <f t="array" ref="I2979">XLOOKUP($A2979,product!A:A,product!E:E)</f>
        <v>3.74</v>
      </c>
      <c r="J2979" s="25">
        <f t="shared" si="2"/>
        <v>2217.82</v>
      </c>
      <c r="K2979" s="27">
        <f t="shared" si="3"/>
        <v>1</v>
      </c>
      <c r="L2979" s="25">
        <f t="shared" si="4"/>
        <v>1</v>
      </c>
    </row>
    <row r="2980">
      <c r="A2980" s="19">
        <v>69364.0</v>
      </c>
      <c r="B2980" s="20" t="str">
        <f t="array" ref="B2980">xlookup($A2980,product!$A:$A,product!B:B)</f>
        <v>Beauté &amp; Hygiène</v>
      </c>
      <c r="C2980" s="20" t="str">
        <f t="array" ref="C2980">xlookup($A2980,product!$A:$A,product!C:C)</f>
        <v>Soins des cheveux</v>
      </c>
      <c r="D2980" s="20" t="str">
        <f t="array" ref="D2980">xlookup($A2980,product!$A:$A,product!D:D)</f>
        <v>Shampoing traitant</v>
      </c>
      <c r="E2980" s="4" t="str">
        <f t="shared" si="1"/>
        <v>69364-Soins des cheveux-Shampoing traitant</v>
      </c>
      <c r="F2980" s="4">
        <v>1.0</v>
      </c>
      <c r="G2980" s="4">
        <v>216.0</v>
      </c>
      <c r="H2980" s="4">
        <v>51.0</v>
      </c>
      <c r="I2980" s="21">
        <f t="array" ref="I2980">XLOOKUP($A2980,product!A:A,product!E:E)</f>
        <v>5.1</v>
      </c>
      <c r="J2980" s="4">
        <f t="shared" si="2"/>
        <v>260.1</v>
      </c>
      <c r="K2980" s="22">
        <f t="shared" si="3"/>
        <v>1</v>
      </c>
      <c r="L2980" s="4">
        <f t="shared" si="4"/>
        <v>1</v>
      </c>
    </row>
    <row r="2981">
      <c r="A2981" s="23">
        <v>69365.0</v>
      </c>
      <c r="B2981" s="24" t="str">
        <f t="array" ref="B2981">xlookup($A2981,product!$A:$A,product!B:B)</f>
        <v>Beauté &amp; Hygiène</v>
      </c>
      <c r="C2981" s="24" t="str">
        <f t="array" ref="C2981">xlookup($A2981,product!$A:$A,product!C:C)</f>
        <v>Soins des cheveux</v>
      </c>
      <c r="D2981" s="24" t="str">
        <f t="array" ref="D2981">xlookup($A2981,product!$A:$A,product!D:D)</f>
        <v>Shampoing traitant</v>
      </c>
      <c r="E2981" s="25" t="str">
        <f t="shared" si="1"/>
        <v>69365-Soins des cheveux-Shampoing traitant</v>
      </c>
      <c r="F2981" s="25">
        <v>1.0</v>
      </c>
      <c r="G2981" s="25">
        <v>487.0</v>
      </c>
      <c r="H2981" s="25">
        <v>469.0</v>
      </c>
      <c r="I2981" s="26">
        <f t="array" ref="I2981">XLOOKUP($A2981,product!A:A,product!E:E)</f>
        <v>2.82</v>
      </c>
      <c r="J2981" s="25">
        <f t="shared" si="2"/>
        <v>1322.58</v>
      </c>
      <c r="K2981" s="27">
        <f t="shared" si="3"/>
        <v>1</v>
      </c>
      <c r="L2981" s="25">
        <f t="shared" si="4"/>
        <v>1</v>
      </c>
    </row>
    <row r="2982">
      <c r="A2982" s="19">
        <v>46990.0</v>
      </c>
      <c r="B2982" s="20" t="str">
        <f t="array" ref="B2982">xlookup($A2982,product!$A:$A,product!B:B)</f>
        <v>Beauté &amp; Hygiène</v>
      </c>
      <c r="C2982" s="20" t="str">
        <f t="array" ref="C2982">xlookup($A2982,product!$A:$A,product!C:C)</f>
        <v>Soins des cheveux</v>
      </c>
      <c r="D2982" s="20" t="str">
        <f t="array" ref="D2982">xlookup($A2982,product!$A:$A,product!D:D)</f>
        <v>Shampoing traitant</v>
      </c>
      <c r="E2982" s="4" t="str">
        <f t="shared" si="1"/>
        <v>46990-Soins des cheveux-Shampoing traitant</v>
      </c>
      <c r="F2982" s="4">
        <v>0.0</v>
      </c>
      <c r="G2982" s="4">
        <v>769.0</v>
      </c>
      <c r="H2982" s="4">
        <v>10.0</v>
      </c>
      <c r="I2982" s="21">
        <f t="array" ref="I2982">XLOOKUP($A2982,product!A:A,product!E:E)</f>
        <v>3.55</v>
      </c>
      <c r="J2982" s="4">
        <f t="shared" si="2"/>
        <v>35.5</v>
      </c>
      <c r="K2982" s="22">
        <f t="shared" si="3"/>
        <v>1</v>
      </c>
      <c r="L2982" s="4">
        <f t="shared" si="4"/>
        <v>1</v>
      </c>
    </row>
    <row r="2983">
      <c r="A2983" s="23">
        <v>11428.0</v>
      </c>
      <c r="B2983" s="24" t="str">
        <f t="array" ref="B2983">xlookup($A2983,product!$A:$A,product!B:B)</f>
        <v>Beauté &amp; Hygiène</v>
      </c>
      <c r="C2983" s="24" t="str">
        <f t="array" ref="C2983">xlookup($A2983,product!$A:$A,product!C:C)</f>
        <v>Soins des cheveux</v>
      </c>
      <c r="D2983" s="24" t="str">
        <f t="array" ref="D2983">xlookup($A2983,product!$A:$A,product!D:D)</f>
        <v>Shampoing traitant</v>
      </c>
      <c r="E2983" s="25" t="str">
        <f t="shared" si="1"/>
        <v>11428-Soins des cheveux-Shampoing traitant</v>
      </c>
      <c r="F2983" s="25">
        <v>1.0</v>
      </c>
      <c r="G2983" s="25">
        <v>632.0</v>
      </c>
      <c r="H2983" s="25">
        <v>188.0</v>
      </c>
      <c r="I2983" s="26">
        <f t="array" ref="I2983">XLOOKUP($A2983,product!A:A,product!E:E)</f>
        <v>7.61</v>
      </c>
      <c r="J2983" s="25">
        <f t="shared" si="2"/>
        <v>1430.68</v>
      </c>
      <c r="K2983" s="27">
        <f t="shared" si="3"/>
        <v>1</v>
      </c>
      <c r="L2983" s="25">
        <f t="shared" si="4"/>
        <v>1</v>
      </c>
    </row>
    <row r="2984">
      <c r="A2984" s="19">
        <v>122318.0</v>
      </c>
      <c r="B2984" s="20" t="str">
        <f t="array" ref="B2984">xlookup($A2984,product!$A:$A,product!B:B)</f>
        <v>Beauté &amp; Hygiène</v>
      </c>
      <c r="C2984" s="20" t="str">
        <f t="array" ref="C2984">xlookup($A2984,product!$A:$A,product!C:C)</f>
        <v>Soins des cheveux</v>
      </c>
      <c r="D2984" s="20" t="str">
        <f t="array" ref="D2984">xlookup($A2984,product!$A:$A,product!D:D)</f>
        <v>Shampoing traitant</v>
      </c>
      <c r="E2984" s="4" t="str">
        <f t="shared" si="1"/>
        <v>122318-Soins des cheveux-Shampoing traitant</v>
      </c>
      <c r="F2984" s="4">
        <v>0.0</v>
      </c>
      <c r="G2984" s="4">
        <v>434.0</v>
      </c>
      <c r="H2984" s="4">
        <v>46.0</v>
      </c>
      <c r="I2984" s="21">
        <f t="array" ref="I2984">XLOOKUP($A2984,product!A:A,product!E:E)</f>
        <v>4.46</v>
      </c>
      <c r="J2984" s="4">
        <f t="shared" si="2"/>
        <v>205.16</v>
      </c>
      <c r="K2984" s="22">
        <f t="shared" si="3"/>
        <v>1</v>
      </c>
      <c r="L2984" s="4">
        <f t="shared" si="4"/>
        <v>1</v>
      </c>
    </row>
    <row r="2985">
      <c r="A2985" s="23">
        <v>182194.0</v>
      </c>
      <c r="B2985" s="24" t="str">
        <f t="array" ref="B2985">xlookup($A2985,product!$A:$A,product!B:B)</f>
        <v>Beauté &amp; Hygiène</v>
      </c>
      <c r="C2985" s="24" t="str">
        <f t="array" ref="C2985">xlookup($A2985,product!$A:$A,product!C:C)</f>
        <v>Soins des cheveux</v>
      </c>
      <c r="D2985" s="24" t="str">
        <f t="array" ref="D2985">xlookup($A2985,product!$A:$A,product!D:D)</f>
        <v>Shampoing traitant</v>
      </c>
      <c r="E2985" s="25" t="str">
        <f t="shared" si="1"/>
        <v>182194-Soins des cheveux-Shampoing traitant</v>
      </c>
      <c r="F2985" s="25">
        <v>0.0</v>
      </c>
      <c r="G2985" s="25">
        <v>136.0</v>
      </c>
      <c r="H2985" s="25">
        <v>132.0</v>
      </c>
      <c r="I2985" s="26">
        <f t="array" ref="I2985">XLOOKUP($A2985,product!A:A,product!E:E)</f>
        <v>3.49</v>
      </c>
      <c r="J2985" s="25">
        <f t="shared" si="2"/>
        <v>460.68</v>
      </c>
      <c r="K2985" s="27">
        <f t="shared" si="3"/>
        <v>1</v>
      </c>
      <c r="L2985" s="25">
        <f t="shared" si="4"/>
        <v>1</v>
      </c>
    </row>
    <row r="2986">
      <c r="A2986" s="19">
        <v>147256.0</v>
      </c>
      <c r="B2986" s="20" t="str">
        <f t="array" ref="B2986">xlookup($A2986,product!$A:$A,product!B:B)</f>
        <v>Beauté &amp; Hygiène</v>
      </c>
      <c r="C2986" s="20" t="str">
        <f t="array" ref="C2986">xlookup($A2986,product!$A:$A,product!C:C)</f>
        <v>Soins des cheveux</v>
      </c>
      <c r="D2986" s="20" t="str">
        <f t="array" ref="D2986">xlookup($A2986,product!$A:$A,product!D:D)</f>
        <v>Shampoing traitant</v>
      </c>
      <c r="E2986" s="4" t="str">
        <f t="shared" si="1"/>
        <v>147256-Soins des cheveux-Shampoing traitant</v>
      </c>
      <c r="F2986" s="4">
        <v>0.0</v>
      </c>
      <c r="G2986" s="4">
        <v>816.0</v>
      </c>
      <c r="H2986" s="4">
        <v>325.0</v>
      </c>
      <c r="I2986" s="21">
        <f t="array" ref="I2986">XLOOKUP($A2986,product!A:A,product!E:E)</f>
        <v>3.49</v>
      </c>
      <c r="J2986" s="4">
        <f t="shared" si="2"/>
        <v>1134.25</v>
      </c>
      <c r="K2986" s="22">
        <f t="shared" si="3"/>
        <v>1</v>
      </c>
      <c r="L2986" s="4">
        <f t="shared" si="4"/>
        <v>1</v>
      </c>
    </row>
    <row r="2987">
      <c r="A2987" s="23">
        <v>5079.0</v>
      </c>
      <c r="B2987" s="24" t="str">
        <f t="array" ref="B2987">xlookup($A2987,product!$A:$A,product!B:B)</f>
        <v>Beauté &amp; Hygiène</v>
      </c>
      <c r="C2987" s="24" t="str">
        <f t="array" ref="C2987">xlookup($A2987,product!$A:$A,product!C:C)</f>
        <v>Soins des cheveux</v>
      </c>
      <c r="D2987" s="24" t="str">
        <f t="array" ref="D2987">xlookup($A2987,product!$A:$A,product!D:D)</f>
        <v>Shampoing traitant</v>
      </c>
      <c r="E2987" s="25" t="str">
        <f t="shared" si="1"/>
        <v>5079-Soins des cheveux-Shampoing traitant</v>
      </c>
      <c r="F2987" s="25">
        <v>1.0</v>
      </c>
      <c r="G2987" s="25">
        <v>978.0</v>
      </c>
      <c r="H2987" s="25">
        <v>886.0</v>
      </c>
      <c r="I2987" s="26">
        <f t="array" ref="I2987">XLOOKUP($A2987,product!A:A,product!E:E)</f>
        <v>6.43</v>
      </c>
      <c r="J2987" s="25">
        <f t="shared" si="2"/>
        <v>5696.98</v>
      </c>
      <c r="K2987" s="27">
        <f t="shared" si="3"/>
        <v>1</v>
      </c>
      <c r="L2987" s="25">
        <f t="shared" si="4"/>
        <v>1</v>
      </c>
    </row>
    <row r="2988">
      <c r="A2988" s="19">
        <v>92621.0</v>
      </c>
      <c r="B2988" s="20" t="str">
        <f t="array" ref="B2988">xlookup($A2988,product!$A:$A,product!B:B)</f>
        <v>Beauté &amp; Hygiène</v>
      </c>
      <c r="C2988" s="20" t="str">
        <f t="array" ref="C2988">xlookup($A2988,product!$A:$A,product!C:C)</f>
        <v>Soins des cheveux</v>
      </c>
      <c r="D2988" s="20" t="str">
        <f t="array" ref="D2988">xlookup($A2988,product!$A:$A,product!D:D)</f>
        <v>Shampoing traitant</v>
      </c>
      <c r="E2988" s="4" t="str">
        <f t="shared" si="1"/>
        <v>92621-Soins des cheveux-Shampoing traitant</v>
      </c>
      <c r="F2988" s="4">
        <v>0.0</v>
      </c>
      <c r="G2988" s="4">
        <v>711.0</v>
      </c>
      <c r="H2988" s="4">
        <v>142.0</v>
      </c>
      <c r="I2988" s="21">
        <f t="array" ref="I2988">XLOOKUP($A2988,product!A:A,product!E:E)</f>
        <v>6.3</v>
      </c>
      <c r="J2988" s="4">
        <f t="shared" si="2"/>
        <v>894.6</v>
      </c>
      <c r="K2988" s="22">
        <f t="shared" si="3"/>
        <v>1</v>
      </c>
      <c r="L2988" s="4">
        <f t="shared" si="4"/>
        <v>1</v>
      </c>
    </row>
    <row r="2989">
      <c r="A2989" s="23">
        <v>11003.0</v>
      </c>
      <c r="B2989" s="24" t="str">
        <f t="array" ref="B2989">xlookup($A2989,product!$A:$A,product!B:B)</f>
        <v>Beauté &amp; Hygiène</v>
      </c>
      <c r="C2989" s="24" t="str">
        <f t="array" ref="C2989">xlookup($A2989,product!$A:$A,product!C:C)</f>
        <v>Soins des cheveux</v>
      </c>
      <c r="D2989" s="24" t="str">
        <f t="array" ref="D2989">xlookup($A2989,product!$A:$A,product!D:D)</f>
        <v>Shampoing traitant</v>
      </c>
      <c r="E2989" s="25" t="str">
        <f t="shared" si="1"/>
        <v>11003-Soins des cheveux-Shampoing traitant</v>
      </c>
      <c r="F2989" s="25">
        <v>0.0</v>
      </c>
      <c r="G2989" s="25">
        <v>633.0</v>
      </c>
      <c r="H2989" s="25">
        <v>186.0</v>
      </c>
      <c r="I2989" s="26">
        <f t="array" ref="I2989">XLOOKUP($A2989,product!A:A,product!E:E)</f>
        <v>3.05</v>
      </c>
      <c r="J2989" s="25">
        <f t="shared" si="2"/>
        <v>567.3</v>
      </c>
      <c r="K2989" s="27">
        <f t="shared" si="3"/>
        <v>1</v>
      </c>
      <c r="L2989" s="25">
        <f t="shared" si="4"/>
        <v>1</v>
      </c>
    </row>
    <row r="2990">
      <c r="A2990" s="19">
        <v>117560.0</v>
      </c>
      <c r="B2990" s="20" t="str">
        <f t="array" ref="B2990">xlookup($A2990,product!$A:$A,product!B:B)</f>
        <v>Beauté &amp; Hygiène</v>
      </c>
      <c r="C2990" s="20" t="str">
        <f t="array" ref="C2990">xlookup($A2990,product!$A:$A,product!C:C)</f>
        <v>Soins des cheveux</v>
      </c>
      <c r="D2990" s="20" t="str">
        <f t="array" ref="D2990">xlookup($A2990,product!$A:$A,product!D:D)</f>
        <v>Shampoing traitant</v>
      </c>
      <c r="E2990" s="4" t="str">
        <f t="shared" si="1"/>
        <v>117560-Soins des cheveux-Shampoing traitant</v>
      </c>
      <c r="F2990" s="4">
        <v>1.0</v>
      </c>
      <c r="G2990" s="4">
        <v>525.0</v>
      </c>
      <c r="H2990" s="4">
        <v>314.0</v>
      </c>
      <c r="I2990" s="21">
        <f t="array" ref="I2990">XLOOKUP($A2990,product!A:A,product!E:E)</f>
        <v>2.88</v>
      </c>
      <c r="J2990" s="4">
        <f t="shared" si="2"/>
        <v>904.32</v>
      </c>
      <c r="K2990" s="22">
        <f t="shared" si="3"/>
        <v>1</v>
      </c>
      <c r="L2990" s="4">
        <f t="shared" si="4"/>
        <v>1</v>
      </c>
    </row>
    <row r="2991">
      <c r="A2991" s="23">
        <v>188368.0</v>
      </c>
      <c r="B2991" s="24" t="str">
        <f t="array" ref="B2991">xlookup($A2991,product!$A:$A,product!B:B)</f>
        <v>Beauté &amp; Hygiène</v>
      </c>
      <c r="C2991" s="24" t="str">
        <f t="array" ref="C2991">xlookup($A2991,product!$A:$A,product!C:C)</f>
        <v>Soins des cheveux</v>
      </c>
      <c r="D2991" s="24" t="str">
        <f t="array" ref="D2991">xlookup($A2991,product!$A:$A,product!D:D)</f>
        <v>Shampoing traitant</v>
      </c>
      <c r="E2991" s="25" t="str">
        <f t="shared" si="1"/>
        <v>188368-Soins des cheveux-Shampoing traitant</v>
      </c>
      <c r="F2991" s="25">
        <v>0.0</v>
      </c>
      <c r="G2991" s="25">
        <v>200.0</v>
      </c>
      <c r="H2991" s="25">
        <v>72.0</v>
      </c>
      <c r="I2991" s="26">
        <f t="array" ref="I2991">XLOOKUP($A2991,product!A:A,product!E:E)</f>
        <v>4.15</v>
      </c>
      <c r="J2991" s="25">
        <f t="shared" si="2"/>
        <v>298.8</v>
      </c>
      <c r="K2991" s="27">
        <f t="shared" si="3"/>
        <v>1</v>
      </c>
      <c r="L2991" s="25">
        <f t="shared" si="4"/>
        <v>1</v>
      </c>
    </row>
    <row r="2992">
      <c r="A2992" s="19">
        <v>124765.0</v>
      </c>
      <c r="B2992" s="20" t="str">
        <f t="array" ref="B2992">xlookup($A2992,product!$A:$A,product!B:B)</f>
        <v>Beauté &amp; Hygiène</v>
      </c>
      <c r="C2992" s="20" t="str">
        <f t="array" ref="C2992">xlookup($A2992,product!$A:$A,product!C:C)</f>
        <v>Soins des cheveux</v>
      </c>
      <c r="D2992" s="20" t="str">
        <f t="array" ref="D2992">xlookup($A2992,product!$A:$A,product!D:D)</f>
        <v>Shampoing traitant</v>
      </c>
      <c r="E2992" s="4" t="str">
        <f t="shared" si="1"/>
        <v>124765-Soins des cheveux-Shampoing traitant</v>
      </c>
      <c r="F2992" s="4">
        <v>0.0</v>
      </c>
      <c r="G2992" s="4">
        <v>103.0</v>
      </c>
      <c r="H2992" s="4">
        <v>53.0</v>
      </c>
      <c r="I2992" s="21">
        <f t="array" ref="I2992">XLOOKUP($A2992,product!A:A,product!E:E)</f>
        <v>9.54</v>
      </c>
      <c r="J2992" s="4">
        <f t="shared" si="2"/>
        <v>505.62</v>
      </c>
      <c r="K2992" s="22">
        <f t="shared" si="3"/>
        <v>1</v>
      </c>
      <c r="L2992" s="4">
        <f t="shared" si="4"/>
        <v>1</v>
      </c>
    </row>
    <row r="2993">
      <c r="A2993" s="23">
        <v>8726.0</v>
      </c>
      <c r="B2993" s="24" t="str">
        <f t="array" ref="B2993">xlookup($A2993,product!$A:$A,product!B:B)</f>
        <v>Beauté &amp; Hygiène</v>
      </c>
      <c r="C2993" s="24" t="str">
        <f t="array" ref="C2993">xlookup($A2993,product!$A:$A,product!C:C)</f>
        <v>Soins des cheveux</v>
      </c>
      <c r="D2993" s="24" t="str">
        <f t="array" ref="D2993">xlookup($A2993,product!$A:$A,product!D:D)</f>
        <v>Shampoing traitant</v>
      </c>
      <c r="E2993" s="25" t="str">
        <f t="shared" si="1"/>
        <v>8726-Soins des cheveux-Shampoing traitant</v>
      </c>
      <c r="F2993" s="25">
        <v>1.0</v>
      </c>
      <c r="G2993" s="25">
        <v>235.0</v>
      </c>
      <c r="H2993" s="25">
        <v>173.0</v>
      </c>
      <c r="I2993" s="26">
        <f t="array" ref="I2993">XLOOKUP($A2993,product!A:A,product!E:E)</f>
        <v>5.18</v>
      </c>
      <c r="J2993" s="25">
        <f t="shared" si="2"/>
        <v>896.14</v>
      </c>
      <c r="K2993" s="27">
        <f t="shared" si="3"/>
        <v>1</v>
      </c>
      <c r="L2993" s="25">
        <f t="shared" si="4"/>
        <v>1</v>
      </c>
    </row>
    <row r="2994">
      <c r="A2994" s="19">
        <v>118158.0</v>
      </c>
      <c r="B2994" s="20" t="str">
        <f t="array" ref="B2994">xlookup($A2994,product!$A:$A,product!B:B)</f>
        <v>Beauté &amp; Hygiène</v>
      </c>
      <c r="C2994" s="20" t="str">
        <f t="array" ref="C2994">xlookup($A2994,product!$A:$A,product!C:C)</f>
        <v>Soins des cheveux</v>
      </c>
      <c r="D2994" s="20" t="str">
        <f t="array" ref="D2994">xlookup($A2994,product!$A:$A,product!D:D)</f>
        <v>Colorations naturelles</v>
      </c>
      <c r="E2994" s="4" t="str">
        <f t="shared" si="1"/>
        <v>118158-Soins des cheveux-Colorations naturelles</v>
      </c>
      <c r="F2994" s="4">
        <v>0.0</v>
      </c>
      <c r="G2994" s="4">
        <v>134.0</v>
      </c>
      <c r="H2994" s="4">
        <v>98.0</v>
      </c>
      <c r="I2994" s="21">
        <f t="array" ref="I2994">XLOOKUP($A2994,product!A:A,product!E:E)</f>
        <v>0.96</v>
      </c>
      <c r="J2994" s="4">
        <f t="shared" si="2"/>
        <v>94.08</v>
      </c>
      <c r="K2994" s="22">
        <f t="shared" si="3"/>
        <v>1</v>
      </c>
      <c r="L2994" s="4">
        <f t="shared" si="4"/>
        <v>1</v>
      </c>
    </row>
    <row r="2995">
      <c r="A2995" s="23">
        <v>121871.0</v>
      </c>
      <c r="B2995" s="24" t="str">
        <f t="array" ref="B2995">xlookup($A2995,product!$A:$A,product!B:B)</f>
        <v>Beauté &amp; Hygiène</v>
      </c>
      <c r="C2995" s="24" t="str">
        <f t="array" ref="C2995">xlookup($A2995,product!$A:$A,product!C:C)</f>
        <v>Soins des cheveux</v>
      </c>
      <c r="D2995" s="24" t="str">
        <f t="array" ref="D2995">xlookup($A2995,product!$A:$A,product!D:D)</f>
        <v>Colorations naturelles</v>
      </c>
      <c r="E2995" s="25" t="str">
        <f t="shared" si="1"/>
        <v>121871-Soins des cheveux-Colorations naturelles</v>
      </c>
      <c r="F2995" s="25">
        <v>1.0</v>
      </c>
      <c r="G2995" s="25">
        <v>537.0</v>
      </c>
      <c r="H2995" s="25">
        <v>86.0</v>
      </c>
      <c r="I2995" s="26">
        <f t="array" ref="I2995">XLOOKUP($A2995,product!A:A,product!E:E)</f>
        <v>5.87</v>
      </c>
      <c r="J2995" s="25">
        <f t="shared" si="2"/>
        <v>504.82</v>
      </c>
      <c r="K2995" s="27">
        <f t="shared" si="3"/>
        <v>1</v>
      </c>
      <c r="L2995" s="25">
        <f t="shared" si="4"/>
        <v>1</v>
      </c>
    </row>
    <row r="2996">
      <c r="A2996" s="19">
        <v>121876.0</v>
      </c>
      <c r="B2996" s="20" t="str">
        <f t="array" ref="B2996">xlookup($A2996,product!$A:$A,product!B:B)</f>
        <v>Beauté &amp; Hygiène</v>
      </c>
      <c r="C2996" s="20" t="str">
        <f t="array" ref="C2996">xlookup($A2996,product!$A:$A,product!C:C)</f>
        <v>Soins des cheveux</v>
      </c>
      <c r="D2996" s="20" t="str">
        <f t="array" ref="D2996">xlookup($A2996,product!$A:$A,product!D:D)</f>
        <v>Colorations naturelles</v>
      </c>
      <c r="E2996" s="4" t="str">
        <f t="shared" si="1"/>
        <v>121876-Soins des cheveux-Colorations naturelles</v>
      </c>
      <c r="F2996" s="4">
        <v>1.0</v>
      </c>
      <c r="G2996" s="4">
        <v>320.0</v>
      </c>
      <c r="H2996" s="4">
        <v>151.0</v>
      </c>
      <c r="I2996" s="21">
        <f t="array" ref="I2996">XLOOKUP($A2996,product!A:A,product!E:E)</f>
        <v>5.87</v>
      </c>
      <c r="J2996" s="4">
        <f t="shared" si="2"/>
        <v>886.37</v>
      </c>
      <c r="K2996" s="22">
        <f t="shared" si="3"/>
        <v>1</v>
      </c>
      <c r="L2996" s="4">
        <f t="shared" si="4"/>
        <v>1</v>
      </c>
    </row>
    <row r="2997">
      <c r="A2997" s="23">
        <v>121877.0</v>
      </c>
      <c r="B2997" s="24" t="str">
        <f t="array" ref="B2997">xlookup($A2997,product!$A:$A,product!B:B)</f>
        <v>Beauté &amp; Hygiène</v>
      </c>
      <c r="C2997" s="24" t="str">
        <f t="array" ref="C2997">xlookup($A2997,product!$A:$A,product!C:C)</f>
        <v>Soins des cheveux</v>
      </c>
      <c r="D2997" s="24" t="str">
        <f t="array" ref="D2997">xlookup($A2997,product!$A:$A,product!D:D)</f>
        <v>Colorations naturelles</v>
      </c>
      <c r="E2997" s="25" t="str">
        <f t="shared" si="1"/>
        <v>121877-Soins des cheveux-Colorations naturelles</v>
      </c>
      <c r="F2997" s="25">
        <v>1.0</v>
      </c>
      <c r="G2997" s="25">
        <v>897.0</v>
      </c>
      <c r="H2997" s="25">
        <v>666.0</v>
      </c>
      <c r="I2997" s="26">
        <f t="array" ref="I2997">XLOOKUP($A2997,product!A:A,product!E:E)</f>
        <v>5.87</v>
      </c>
      <c r="J2997" s="25">
        <f t="shared" si="2"/>
        <v>3909.42</v>
      </c>
      <c r="K2997" s="27">
        <f t="shared" si="3"/>
        <v>1</v>
      </c>
      <c r="L2997" s="25">
        <f t="shared" si="4"/>
        <v>1</v>
      </c>
    </row>
    <row r="2998">
      <c r="A2998" s="19">
        <v>121879.0</v>
      </c>
      <c r="B2998" s="20" t="str">
        <f t="array" ref="B2998">xlookup($A2998,product!$A:$A,product!B:B)</f>
        <v>Beauté &amp; Hygiène</v>
      </c>
      <c r="C2998" s="20" t="str">
        <f t="array" ref="C2998">xlookup($A2998,product!$A:$A,product!C:C)</f>
        <v>Soins des cheveux</v>
      </c>
      <c r="D2998" s="20" t="str">
        <f t="array" ref="D2998">xlookup($A2998,product!$A:$A,product!D:D)</f>
        <v>Colorations naturelles</v>
      </c>
      <c r="E2998" s="4" t="str">
        <f t="shared" si="1"/>
        <v>121879-Soins des cheveux-Colorations naturelles</v>
      </c>
      <c r="F2998" s="4">
        <v>0.0</v>
      </c>
      <c r="G2998" s="4">
        <v>601.0</v>
      </c>
      <c r="H2998" s="4">
        <v>480.0</v>
      </c>
      <c r="I2998" s="21">
        <f t="array" ref="I2998">XLOOKUP($A2998,product!A:A,product!E:E)</f>
        <v>5.87</v>
      </c>
      <c r="J2998" s="4">
        <f t="shared" si="2"/>
        <v>2817.6</v>
      </c>
      <c r="K2998" s="22">
        <f t="shared" si="3"/>
        <v>1</v>
      </c>
      <c r="L2998" s="4">
        <f t="shared" si="4"/>
        <v>1</v>
      </c>
    </row>
    <row r="2999">
      <c r="A2999" s="23">
        <v>121874.0</v>
      </c>
      <c r="B2999" s="24" t="str">
        <f t="array" ref="B2999">xlookup($A2999,product!$A:$A,product!B:B)</f>
        <v>Beauté &amp; Hygiène</v>
      </c>
      <c r="C2999" s="24" t="str">
        <f t="array" ref="C2999">xlookup($A2999,product!$A:$A,product!C:C)</f>
        <v>Soins des cheveux</v>
      </c>
      <c r="D2999" s="24" t="str">
        <f t="array" ref="D2999">xlookup($A2999,product!$A:$A,product!D:D)</f>
        <v>Colorations naturelles</v>
      </c>
      <c r="E2999" s="25" t="str">
        <f t="shared" si="1"/>
        <v>121874-Soins des cheveux-Colorations naturelles</v>
      </c>
      <c r="F2999" s="25">
        <v>1.0</v>
      </c>
      <c r="G2999" s="25">
        <v>82.0</v>
      </c>
      <c r="H2999" s="25">
        <v>53.0</v>
      </c>
      <c r="I2999" s="26">
        <f t="array" ref="I2999">XLOOKUP($A2999,product!A:A,product!E:E)</f>
        <v>5.87</v>
      </c>
      <c r="J2999" s="25">
        <f t="shared" si="2"/>
        <v>311.11</v>
      </c>
      <c r="K2999" s="27">
        <f t="shared" si="3"/>
        <v>1</v>
      </c>
      <c r="L2999" s="25">
        <f t="shared" si="4"/>
        <v>1</v>
      </c>
    </row>
    <row r="3000">
      <c r="A3000" s="19">
        <v>121893.0</v>
      </c>
      <c r="B3000" s="20" t="str">
        <f t="array" ref="B3000">xlookup($A3000,product!$A:$A,product!B:B)</f>
        <v>Beauté &amp; Hygiène</v>
      </c>
      <c r="C3000" s="20" t="str">
        <f t="array" ref="C3000">xlookup($A3000,product!$A:$A,product!C:C)</f>
        <v>Soins des cheveux</v>
      </c>
      <c r="D3000" s="20" t="str">
        <f t="array" ref="D3000">xlookup($A3000,product!$A:$A,product!D:D)</f>
        <v>Colorations naturelles</v>
      </c>
      <c r="E3000" s="4" t="str">
        <f t="shared" si="1"/>
        <v>121893-Soins des cheveux-Colorations naturelles</v>
      </c>
      <c r="F3000" s="4">
        <v>1.0</v>
      </c>
      <c r="G3000" s="4">
        <v>15.0</v>
      </c>
      <c r="H3000" s="4">
        <v>1.0</v>
      </c>
      <c r="I3000" s="21">
        <f t="array" ref="I3000">XLOOKUP($A3000,product!A:A,product!E:E)</f>
        <v>5.87</v>
      </c>
      <c r="J3000" s="4">
        <f t="shared" si="2"/>
        <v>5.87</v>
      </c>
      <c r="K3000" s="22">
        <f t="shared" si="3"/>
        <v>1</v>
      </c>
      <c r="L3000" s="4">
        <f t="shared" si="4"/>
        <v>1</v>
      </c>
    </row>
    <row r="3001">
      <c r="A3001" s="23">
        <v>121892.0</v>
      </c>
      <c r="B3001" s="24" t="str">
        <f t="array" ref="B3001">xlookup($A3001,product!$A:$A,product!B:B)</f>
        <v>Beauté &amp; Hygiène</v>
      </c>
      <c r="C3001" s="24" t="str">
        <f t="array" ref="C3001">xlookup($A3001,product!$A:$A,product!C:C)</f>
        <v>Soins des cheveux</v>
      </c>
      <c r="D3001" s="24" t="str">
        <f t="array" ref="D3001">xlookup($A3001,product!$A:$A,product!D:D)</f>
        <v>Colorations naturelles</v>
      </c>
      <c r="E3001" s="25" t="str">
        <f t="shared" si="1"/>
        <v>121892-Soins des cheveux-Colorations naturelles</v>
      </c>
      <c r="F3001" s="25">
        <v>0.0</v>
      </c>
      <c r="G3001" s="25">
        <v>235.0</v>
      </c>
      <c r="H3001" s="25">
        <v>111.0</v>
      </c>
      <c r="I3001" s="26">
        <f t="array" ref="I3001">XLOOKUP($A3001,product!A:A,product!E:E)</f>
        <v>5.87</v>
      </c>
      <c r="J3001" s="25">
        <f t="shared" si="2"/>
        <v>651.57</v>
      </c>
      <c r="K3001" s="27">
        <f t="shared" si="3"/>
        <v>1</v>
      </c>
      <c r="L3001" s="25">
        <f t="shared" si="4"/>
        <v>1</v>
      </c>
    </row>
    <row r="3002">
      <c r="A3002" s="19">
        <v>102678.0</v>
      </c>
      <c r="B3002" s="20" t="str">
        <f t="array" ref="B3002">xlookup($A3002,product!$A:$A,product!B:B)</f>
        <v>Beauté &amp; Hygiène</v>
      </c>
      <c r="C3002" s="20" t="str">
        <f t="array" ref="C3002">xlookup($A3002,product!$A:$A,product!C:C)</f>
        <v>Soins des cheveux</v>
      </c>
      <c r="D3002" s="20" t="str">
        <f t="array" ref="D3002">xlookup($A3002,product!$A:$A,product!D:D)</f>
        <v>Colorations naturelles</v>
      </c>
      <c r="E3002" s="4" t="str">
        <f t="shared" si="1"/>
        <v>102678-Soins des cheveux-Colorations naturelles</v>
      </c>
      <c r="F3002" s="4">
        <v>0.0</v>
      </c>
      <c r="G3002" s="4">
        <v>237.0</v>
      </c>
      <c r="H3002" s="4">
        <v>10.0</v>
      </c>
      <c r="I3002" s="21">
        <f t="array" ref="I3002">XLOOKUP($A3002,product!A:A,product!E:E)</f>
        <v>6.37</v>
      </c>
      <c r="J3002" s="4">
        <f t="shared" si="2"/>
        <v>63.7</v>
      </c>
      <c r="K3002" s="22">
        <f t="shared" si="3"/>
        <v>1</v>
      </c>
      <c r="L3002" s="4">
        <f t="shared" si="4"/>
        <v>1</v>
      </c>
    </row>
    <row r="3003">
      <c r="A3003" s="23">
        <v>121887.0</v>
      </c>
      <c r="B3003" s="24" t="str">
        <f t="array" ref="B3003">xlookup($A3003,product!$A:$A,product!B:B)</f>
        <v>Beauté &amp; Hygiène</v>
      </c>
      <c r="C3003" s="24" t="str">
        <f t="array" ref="C3003">xlookup($A3003,product!$A:$A,product!C:C)</f>
        <v>Soins des cheveux</v>
      </c>
      <c r="D3003" s="24" t="str">
        <f t="array" ref="D3003">xlookup($A3003,product!$A:$A,product!D:D)</f>
        <v>Colorations naturelles</v>
      </c>
      <c r="E3003" s="25" t="str">
        <f t="shared" si="1"/>
        <v>121887-Soins des cheveux-Colorations naturelles</v>
      </c>
      <c r="F3003" s="25">
        <v>0.0</v>
      </c>
      <c r="G3003" s="25">
        <v>535.0</v>
      </c>
      <c r="H3003" s="25">
        <v>95.0</v>
      </c>
      <c r="I3003" s="26">
        <f t="array" ref="I3003">XLOOKUP($A3003,product!A:A,product!E:E)</f>
        <v>5.87</v>
      </c>
      <c r="J3003" s="25">
        <f t="shared" si="2"/>
        <v>557.65</v>
      </c>
      <c r="K3003" s="27">
        <f t="shared" si="3"/>
        <v>1</v>
      </c>
      <c r="L3003" s="25">
        <f t="shared" si="4"/>
        <v>1</v>
      </c>
    </row>
    <row r="3004">
      <c r="A3004" s="19">
        <v>21344.0</v>
      </c>
      <c r="B3004" s="20" t="str">
        <f t="array" ref="B3004">xlookup($A3004,product!$A:$A,product!B:B)</f>
        <v>Beauté &amp; Hygiène</v>
      </c>
      <c r="C3004" s="20" t="str">
        <f t="array" ref="C3004">xlookup($A3004,product!$A:$A,product!C:C)</f>
        <v>Soins des cheveux</v>
      </c>
      <c r="D3004" s="20" t="str">
        <f t="array" ref="D3004">xlookup($A3004,product!$A:$A,product!D:D)</f>
        <v>Colorations naturelles</v>
      </c>
      <c r="E3004" s="4" t="str">
        <f t="shared" si="1"/>
        <v>21344-Soins des cheveux-Colorations naturelles</v>
      </c>
      <c r="F3004" s="4">
        <v>0.0</v>
      </c>
      <c r="G3004" s="4">
        <v>845.0</v>
      </c>
      <c r="H3004" s="4">
        <v>214.0</v>
      </c>
      <c r="I3004" s="21">
        <f t="array" ref="I3004">XLOOKUP($A3004,product!A:A,product!E:E)</f>
        <v>5.55</v>
      </c>
      <c r="J3004" s="4">
        <f t="shared" si="2"/>
        <v>1187.7</v>
      </c>
      <c r="K3004" s="22">
        <f t="shared" si="3"/>
        <v>1</v>
      </c>
      <c r="L3004" s="4">
        <f t="shared" si="4"/>
        <v>1</v>
      </c>
    </row>
    <row r="3005">
      <c r="A3005" s="23">
        <v>121873.0</v>
      </c>
      <c r="B3005" s="24" t="str">
        <f t="array" ref="B3005">xlookup($A3005,product!$A:$A,product!B:B)</f>
        <v>Beauté &amp; Hygiène</v>
      </c>
      <c r="C3005" s="24" t="str">
        <f t="array" ref="C3005">xlookup($A3005,product!$A:$A,product!C:C)</f>
        <v>Soins des cheveux</v>
      </c>
      <c r="D3005" s="24" t="str">
        <f t="array" ref="D3005">xlookup($A3005,product!$A:$A,product!D:D)</f>
        <v>Colorations naturelles</v>
      </c>
      <c r="E3005" s="25" t="str">
        <f t="shared" si="1"/>
        <v>121873-Soins des cheveux-Colorations naturelles</v>
      </c>
      <c r="F3005" s="25">
        <v>0.0</v>
      </c>
      <c r="G3005" s="25">
        <v>71.0</v>
      </c>
      <c r="H3005" s="25">
        <v>14.0</v>
      </c>
      <c r="I3005" s="26">
        <f t="array" ref="I3005">XLOOKUP($A3005,product!A:A,product!E:E)</f>
        <v>5.87</v>
      </c>
      <c r="J3005" s="25">
        <f t="shared" si="2"/>
        <v>82.18</v>
      </c>
      <c r="K3005" s="27">
        <f t="shared" si="3"/>
        <v>1</v>
      </c>
      <c r="L3005" s="25">
        <f t="shared" si="4"/>
        <v>1</v>
      </c>
    </row>
    <row r="3006">
      <c r="A3006" s="19">
        <v>108833.0</v>
      </c>
      <c r="B3006" s="20" t="str">
        <f t="array" ref="B3006">xlookup($A3006,product!$A:$A,product!B:B)</f>
        <v>Beauté &amp; Hygiène</v>
      </c>
      <c r="C3006" s="20" t="str">
        <f t="array" ref="C3006">xlookup($A3006,product!$A:$A,product!C:C)</f>
        <v>Soins des cheveux</v>
      </c>
      <c r="D3006" s="20" t="str">
        <f t="array" ref="D3006">xlookup($A3006,product!$A:$A,product!D:D)</f>
        <v>Colorations naturelles</v>
      </c>
      <c r="E3006" s="4" t="str">
        <f t="shared" si="1"/>
        <v>108833-Soins des cheveux-Colorations naturelles</v>
      </c>
      <c r="F3006" s="4">
        <v>0.0</v>
      </c>
      <c r="G3006" s="4">
        <v>966.0</v>
      </c>
      <c r="H3006" s="4">
        <v>761.0</v>
      </c>
      <c r="I3006" s="21">
        <f t="array" ref="I3006">XLOOKUP($A3006,product!A:A,product!E:E)</f>
        <v>8.7</v>
      </c>
      <c r="J3006" s="4">
        <f t="shared" si="2"/>
        <v>6620.7</v>
      </c>
      <c r="K3006" s="22">
        <f t="shared" si="3"/>
        <v>1</v>
      </c>
      <c r="L3006" s="4">
        <f t="shared" si="4"/>
        <v>1</v>
      </c>
    </row>
    <row r="3007">
      <c r="A3007" s="23">
        <v>121882.0</v>
      </c>
      <c r="B3007" s="24" t="str">
        <f t="array" ref="B3007">xlookup($A3007,product!$A:$A,product!B:B)</f>
        <v>Beauté &amp; Hygiène</v>
      </c>
      <c r="C3007" s="24" t="str">
        <f t="array" ref="C3007">xlookup($A3007,product!$A:$A,product!C:C)</f>
        <v>Soins des cheveux</v>
      </c>
      <c r="D3007" s="24" t="str">
        <f t="array" ref="D3007">xlookup($A3007,product!$A:$A,product!D:D)</f>
        <v>Colorations naturelles</v>
      </c>
      <c r="E3007" s="25" t="str">
        <f t="shared" si="1"/>
        <v>121882-Soins des cheveux-Colorations naturelles</v>
      </c>
      <c r="F3007" s="25">
        <v>0.0</v>
      </c>
      <c r="G3007" s="25">
        <v>954.0</v>
      </c>
      <c r="H3007" s="25">
        <v>482.0</v>
      </c>
      <c r="I3007" s="26">
        <f t="array" ref="I3007">XLOOKUP($A3007,product!A:A,product!E:E)</f>
        <v>5.87</v>
      </c>
      <c r="J3007" s="25">
        <f t="shared" si="2"/>
        <v>2829.34</v>
      </c>
      <c r="K3007" s="27">
        <f t="shared" si="3"/>
        <v>1</v>
      </c>
      <c r="L3007" s="25">
        <f t="shared" si="4"/>
        <v>1</v>
      </c>
    </row>
    <row r="3008">
      <c r="A3008" s="19">
        <v>91492.0</v>
      </c>
      <c r="B3008" s="20" t="str">
        <f t="array" ref="B3008">xlookup($A3008,product!$A:$A,product!B:B)</f>
        <v>Beauté &amp; Hygiène</v>
      </c>
      <c r="C3008" s="20" t="str">
        <f t="array" ref="C3008">xlookup($A3008,product!$A:$A,product!C:C)</f>
        <v>Soins des cheveux</v>
      </c>
      <c r="D3008" s="20" t="str">
        <f t="array" ref="D3008">xlookup($A3008,product!$A:$A,product!D:D)</f>
        <v>Colorations naturelles</v>
      </c>
      <c r="E3008" s="4" t="str">
        <f t="shared" si="1"/>
        <v>91492-Soins des cheveux-Colorations naturelles</v>
      </c>
      <c r="F3008" s="4">
        <v>0.0</v>
      </c>
      <c r="G3008" s="4">
        <v>405.0</v>
      </c>
      <c r="H3008" s="4">
        <v>404.0</v>
      </c>
      <c r="I3008" s="21">
        <f t="array" ref="I3008">XLOOKUP($A3008,product!A:A,product!E:E)</f>
        <v>3.53</v>
      </c>
      <c r="J3008" s="4">
        <f t="shared" si="2"/>
        <v>1426.12</v>
      </c>
      <c r="K3008" s="22">
        <f t="shared" si="3"/>
        <v>1</v>
      </c>
      <c r="L3008" s="4">
        <f t="shared" si="4"/>
        <v>1</v>
      </c>
    </row>
    <row r="3009">
      <c r="A3009" s="23">
        <v>111392.0</v>
      </c>
      <c r="B3009" s="24" t="str">
        <f t="array" ref="B3009">xlookup($A3009,product!$A:$A,product!B:B)</f>
        <v>Beauté &amp; Hygiène</v>
      </c>
      <c r="C3009" s="24" t="str">
        <f t="array" ref="C3009">xlookup($A3009,product!$A:$A,product!C:C)</f>
        <v>Soins des cheveux</v>
      </c>
      <c r="D3009" s="24" t="str">
        <f t="array" ref="D3009">xlookup($A3009,product!$A:$A,product!D:D)</f>
        <v>Colorations naturelles</v>
      </c>
      <c r="E3009" s="25" t="str">
        <f t="shared" si="1"/>
        <v>111392-Soins des cheveux-Colorations naturelles</v>
      </c>
      <c r="F3009" s="25">
        <v>1.0</v>
      </c>
      <c r="G3009" s="25">
        <v>863.0</v>
      </c>
      <c r="H3009" s="25">
        <v>727.0</v>
      </c>
      <c r="I3009" s="26">
        <f t="array" ref="I3009">XLOOKUP($A3009,product!A:A,product!E:E)</f>
        <v>6.37</v>
      </c>
      <c r="J3009" s="25">
        <f t="shared" si="2"/>
        <v>4630.99</v>
      </c>
      <c r="K3009" s="27">
        <f t="shared" si="3"/>
        <v>1</v>
      </c>
      <c r="L3009" s="25">
        <f t="shared" si="4"/>
        <v>1</v>
      </c>
    </row>
    <row r="3010">
      <c r="A3010" s="19">
        <v>108835.0</v>
      </c>
      <c r="B3010" s="20" t="str">
        <f t="array" ref="B3010">xlookup($A3010,product!$A:$A,product!B:B)</f>
        <v>Beauté &amp; Hygiène</v>
      </c>
      <c r="C3010" s="20" t="str">
        <f t="array" ref="C3010">xlookup($A3010,product!$A:$A,product!C:C)</f>
        <v>Soins des cheveux</v>
      </c>
      <c r="D3010" s="20" t="str">
        <f t="array" ref="D3010">xlookup($A3010,product!$A:$A,product!D:D)</f>
        <v>Colorations naturelles</v>
      </c>
      <c r="E3010" s="4" t="str">
        <f t="shared" si="1"/>
        <v>108835-Soins des cheveux-Colorations naturelles</v>
      </c>
      <c r="F3010" s="4">
        <v>1.0</v>
      </c>
      <c r="G3010" s="4">
        <v>455.0</v>
      </c>
      <c r="H3010" s="4">
        <v>411.0</v>
      </c>
      <c r="I3010" s="21">
        <f t="array" ref="I3010">XLOOKUP($A3010,product!A:A,product!E:E)</f>
        <v>8.7</v>
      </c>
      <c r="J3010" s="4">
        <f t="shared" si="2"/>
        <v>3575.7</v>
      </c>
      <c r="K3010" s="22">
        <f t="shared" si="3"/>
        <v>1</v>
      </c>
      <c r="L3010" s="4">
        <f t="shared" si="4"/>
        <v>1</v>
      </c>
    </row>
    <row r="3011">
      <c r="A3011" s="23">
        <v>118111.0</v>
      </c>
      <c r="B3011" s="24" t="str">
        <f t="array" ref="B3011">xlookup($A3011,product!$A:$A,product!B:B)</f>
        <v>Beauté &amp; Hygiène</v>
      </c>
      <c r="C3011" s="24" t="str">
        <f t="array" ref="C3011">xlookup($A3011,product!$A:$A,product!C:C)</f>
        <v>Soins des cheveux</v>
      </c>
      <c r="D3011" s="24" t="str">
        <f t="array" ref="D3011">xlookup($A3011,product!$A:$A,product!D:D)</f>
        <v>Colorations naturelles</v>
      </c>
      <c r="E3011" s="25" t="str">
        <f t="shared" si="1"/>
        <v>118111-Soins des cheveux-Colorations naturelles</v>
      </c>
      <c r="F3011" s="25">
        <v>0.0</v>
      </c>
      <c r="G3011" s="25">
        <v>328.0</v>
      </c>
      <c r="H3011" s="25">
        <v>292.0</v>
      </c>
      <c r="I3011" s="26">
        <f t="array" ref="I3011">XLOOKUP($A3011,product!A:A,product!E:E)</f>
        <v>5.35</v>
      </c>
      <c r="J3011" s="25">
        <f t="shared" si="2"/>
        <v>1562.2</v>
      </c>
      <c r="K3011" s="27">
        <f t="shared" si="3"/>
        <v>1</v>
      </c>
      <c r="L3011" s="25">
        <f t="shared" si="4"/>
        <v>1</v>
      </c>
    </row>
    <row r="3012">
      <c r="A3012" s="19">
        <v>121872.0</v>
      </c>
      <c r="B3012" s="20" t="str">
        <f t="array" ref="B3012">xlookup($A3012,product!$A:$A,product!B:B)</f>
        <v>Beauté &amp; Hygiène</v>
      </c>
      <c r="C3012" s="20" t="str">
        <f t="array" ref="C3012">xlookup($A3012,product!$A:$A,product!C:C)</f>
        <v>Soins des cheveux</v>
      </c>
      <c r="D3012" s="20" t="str">
        <f t="array" ref="D3012">xlookup($A3012,product!$A:$A,product!D:D)</f>
        <v>Colorations naturelles</v>
      </c>
      <c r="E3012" s="4" t="str">
        <f t="shared" si="1"/>
        <v>121872-Soins des cheveux-Colorations naturelles</v>
      </c>
      <c r="F3012" s="4">
        <v>0.0</v>
      </c>
      <c r="G3012" s="4">
        <v>610.0</v>
      </c>
      <c r="H3012" s="4">
        <v>421.0</v>
      </c>
      <c r="I3012" s="21">
        <f t="array" ref="I3012">XLOOKUP($A3012,product!A:A,product!E:E)</f>
        <v>5.87</v>
      </c>
      <c r="J3012" s="4">
        <f t="shared" si="2"/>
        <v>2471.27</v>
      </c>
      <c r="K3012" s="22">
        <f t="shared" si="3"/>
        <v>1</v>
      </c>
      <c r="L3012" s="4">
        <f t="shared" si="4"/>
        <v>1</v>
      </c>
    </row>
    <row r="3013">
      <c r="A3013" s="23">
        <v>112885.0</v>
      </c>
      <c r="B3013" s="24" t="str">
        <f t="array" ref="B3013">xlookup($A3013,product!$A:$A,product!B:B)</f>
        <v>Beauté &amp; Hygiène</v>
      </c>
      <c r="C3013" s="24" t="str">
        <f t="array" ref="C3013">xlookup($A3013,product!$A:$A,product!C:C)</f>
        <v>Soins des cheveux</v>
      </c>
      <c r="D3013" s="24" t="str">
        <f t="array" ref="D3013">xlookup($A3013,product!$A:$A,product!D:D)</f>
        <v>Colorations naturelles</v>
      </c>
      <c r="E3013" s="25" t="str">
        <f t="shared" si="1"/>
        <v>112885-Soins des cheveux-Colorations naturelles</v>
      </c>
      <c r="F3013" s="25">
        <v>1.0</v>
      </c>
      <c r="G3013" s="25">
        <v>694.0</v>
      </c>
      <c r="H3013" s="25">
        <v>183.0</v>
      </c>
      <c r="I3013" s="26">
        <f t="array" ref="I3013">XLOOKUP($A3013,product!A:A,product!E:E)</f>
        <v>8.7</v>
      </c>
      <c r="J3013" s="25">
        <f t="shared" si="2"/>
        <v>1592.1</v>
      </c>
      <c r="K3013" s="27">
        <f t="shared" si="3"/>
        <v>1</v>
      </c>
      <c r="L3013" s="25">
        <f t="shared" si="4"/>
        <v>1</v>
      </c>
    </row>
    <row r="3014">
      <c r="A3014" s="19">
        <v>108738.0</v>
      </c>
      <c r="B3014" s="20" t="str">
        <f t="array" ref="B3014">xlookup($A3014,product!$A:$A,product!B:B)</f>
        <v>Beauté &amp; Hygiène</v>
      </c>
      <c r="C3014" s="20" t="str">
        <f t="array" ref="C3014">xlookup($A3014,product!$A:$A,product!C:C)</f>
        <v>Soins des cheveux</v>
      </c>
      <c r="D3014" s="20" t="str">
        <f t="array" ref="D3014">xlookup($A3014,product!$A:$A,product!D:D)</f>
        <v>Colorations naturelles</v>
      </c>
      <c r="E3014" s="4" t="str">
        <f t="shared" si="1"/>
        <v>108738-Soins des cheveux-Colorations naturelles</v>
      </c>
      <c r="F3014" s="4">
        <v>1.0</v>
      </c>
      <c r="G3014" s="4">
        <v>779.0</v>
      </c>
      <c r="H3014" s="4">
        <v>628.0</v>
      </c>
      <c r="I3014" s="21">
        <f t="array" ref="I3014">XLOOKUP($A3014,product!A:A,product!E:E)</f>
        <v>8.7</v>
      </c>
      <c r="J3014" s="4">
        <f t="shared" si="2"/>
        <v>5463.6</v>
      </c>
      <c r="K3014" s="22">
        <f t="shared" si="3"/>
        <v>1</v>
      </c>
      <c r="L3014" s="4">
        <f t="shared" si="4"/>
        <v>1</v>
      </c>
    </row>
    <row r="3015">
      <c r="A3015" s="23">
        <v>21338.0</v>
      </c>
      <c r="B3015" s="24" t="str">
        <f t="array" ref="B3015">xlookup($A3015,product!$A:$A,product!B:B)</f>
        <v>Beauté &amp; Hygiène</v>
      </c>
      <c r="C3015" s="24" t="str">
        <f t="array" ref="C3015">xlookup($A3015,product!$A:$A,product!C:C)</f>
        <v>Soins des cheveux</v>
      </c>
      <c r="D3015" s="24" t="str">
        <f t="array" ref="D3015">xlookup($A3015,product!$A:$A,product!D:D)</f>
        <v>Colorations naturelles</v>
      </c>
      <c r="E3015" s="25" t="str">
        <f t="shared" si="1"/>
        <v>21338-Soins des cheveux-Colorations naturelles</v>
      </c>
      <c r="F3015" s="25">
        <v>1.0</v>
      </c>
      <c r="G3015" s="25">
        <v>801.0</v>
      </c>
      <c r="H3015" s="25">
        <v>481.0</v>
      </c>
      <c r="I3015" s="26">
        <f t="array" ref="I3015">XLOOKUP($A3015,product!A:A,product!E:E)</f>
        <v>5.55</v>
      </c>
      <c r="J3015" s="25">
        <f t="shared" si="2"/>
        <v>2669.55</v>
      </c>
      <c r="K3015" s="27">
        <f t="shared" si="3"/>
        <v>1</v>
      </c>
      <c r="L3015" s="25">
        <f t="shared" si="4"/>
        <v>1</v>
      </c>
    </row>
    <row r="3016">
      <c r="A3016" s="19">
        <v>76513.0</v>
      </c>
      <c r="B3016" s="20" t="str">
        <f t="array" ref="B3016">xlookup($A3016,product!$A:$A,product!B:B)</f>
        <v>Beauté &amp; Hygiène</v>
      </c>
      <c r="C3016" s="20" t="str">
        <f t="array" ref="C3016">xlookup($A3016,product!$A:$A,product!C:C)</f>
        <v>Soins des cheveux</v>
      </c>
      <c r="D3016" s="20" t="str">
        <f t="array" ref="D3016">xlookup($A3016,product!$A:$A,product!D:D)</f>
        <v>Colorations naturelles</v>
      </c>
      <c r="E3016" s="4" t="str">
        <f t="shared" si="1"/>
        <v>76513-Soins des cheveux-Colorations naturelles</v>
      </c>
      <c r="F3016" s="4">
        <v>0.0</v>
      </c>
      <c r="G3016" s="4">
        <v>905.0</v>
      </c>
      <c r="H3016" s="4">
        <v>533.0</v>
      </c>
      <c r="I3016" s="21">
        <f t="array" ref="I3016">XLOOKUP($A3016,product!A:A,product!E:E)</f>
        <v>5.9</v>
      </c>
      <c r="J3016" s="4">
        <f t="shared" si="2"/>
        <v>3144.7</v>
      </c>
      <c r="K3016" s="22">
        <f t="shared" si="3"/>
        <v>1</v>
      </c>
      <c r="L3016" s="4">
        <f t="shared" si="4"/>
        <v>1</v>
      </c>
    </row>
    <row r="3017">
      <c r="A3017" s="23">
        <v>76514.0</v>
      </c>
      <c r="B3017" s="24" t="str">
        <f t="array" ref="B3017">xlookup($A3017,product!$A:$A,product!B:B)</f>
        <v>Beauté &amp; Hygiène</v>
      </c>
      <c r="C3017" s="24" t="str">
        <f t="array" ref="C3017">xlookup($A3017,product!$A:$A,product!C:C)</f>
        <v>Soins des cheveux</v>
      </c>
      <c r="D3017" s="24" t="str">
        <f t="array" ref="D3017">xlookup($A3017,product!$A:$A,product!D:D)</f>
        <v>Colorations naturelles</v>
      </c>
      <c r="E3017" s="25" t="str">
        <f t="shared" si="1"/>
        <v>76514-Soins des cheveux-Colorations naturelles</v>
      </c>
      <c r="F3017" s="25">
        <v>0.0</v>
      </c>
      <c r="G3017" s="25">
        <v>561.0</v>
      </c>
      <c r="H3017" s="25">
        <v>415.0</v>
      </c>
      <c r="I3017" s="26">
        <f t="array" ref="I3017">XLOOKUP($A3017,product!A:A,product!E:E)</f>
        <v>5.9</v>
      </c>
      <c r="J3017" s="25">
        <f t="shared" si="2"/>
        <v>2448.5</v>
      </c>
      <c r="K3017" s="27">
        <f t="shared" si="3"/>
        <v>1</v>
      </c>
      <c r="L3017" s="25">
        <f t="shared" si="4"/>
        <v>1</v>
      </c>
    </row>
    <row r="3018">
      <c r="A3018" s="19">
        <v>21339.0</v>
      </c>
      <c r="B3018" s="20" t="str">
        <f t="array" ref="B3018">xlookup($A3018,product!$A:$A,product!B:B)</f>
        <v>Beauté &amp; Hygiène</v>
      </c>
      <c r="C3018" s="20" t="str">
        <f t="array" ref="C3018">xlookup($A3018,product!$A:$A,product!C:C)</f>
        <v>Soins des cheveux</v>
      </c>
      <c r="D3018" s="20" t="str">
        <f t="array" ref="D3018">xlookup($A3018,product!$A:$A,product!D:D)</f>
        <v>Colorations naturelles</v>
      </c>
      <c r="E3018" s="4" t="str">
        <f t="shared" si="1"/>
        <v>21339-Soins des cheveux-Colorations naturelles</v>
      </c>
      <c r="F3018" s="4">
        <v>1.0</v>
      </c>
      <c r="G3018" s="4">
        <v>639.0</v>
      </c>
      <c r="H3018" s="4">
        <v>558.0</v>
      </c>
      <c r="I3018" s="21">
        <f t="array" ref="I3018">XLOOKUP($A3018,product!A:A,product!E:E)</f>
        <v>5.55</v>
      </c>
      <c r="J3018" s="4">
        <f t="shared" si="2"/>
        <v>3096.9</v>
      </c>
      <c r="K3018" s="22">
        <f t="shared" si="3"/>
        <v>1</v>
      </c>
      <c r="L3018" s="4">
        <f t="shared" si="4"/>
        <v>1</v>
      </c>
    </row>
    <row r="3019">
      <c r="A3019" s="23">
        <v>75436.0</v>
      </c>
      <c r="B3019" s="24" t="str">
        <f t="array" ref="B3019">xlookup($A3019,product!$A:$A,product!B:B)</f>
        <v>Beauté &amp; Hygiène</v>
      </c>
      <c r="C3019" s="24" t="str">
        <f t="array" ref="C3019">xlookup($A3019,product!$A:$A,product!C:C)</f>
        <v>Soins des cheveux</v>
      </c>
      <c r="D3019" s="24" t="str">
        <f t="array" ref="D3019">xlookup($A3019,product!$A:$A,product!D:D)</f>
        <v>Colorations naturelles</v>
      </c>
      <c r="E3019" s="25" t="str">
        <f t="shared" si="1"/>
        <v>75436-Soins des cheveux-Colorations naturelles</v>
      </c>
      <c r="F3019" s="25">
        <v>1.0</v>
      </c>
      <c r="G3019" s="25">
        <v>739.0</v>
      </c>
      <c r="H3019" s="25">
        <v>178.0</v>
      </c>
      <c r="I3019" s="26">
        <f t="array" ref="I3019">XLOOKUP($A3019,product!A:A,product!E:E)</f>
        <v>6.36</v>
      </c>
      <c r="J3019" s="25">
        <f t="shared" si="2"/>
        <v>1132.08</v>
      </c>
      <c r="K3019" s="27">
        <f t="shared" si="3"/>
        <v>1</v>
      </c>
      <c r="L3019" s="25">
        <f t="shared" si="4"/>
        <v>1</v>
      </c>
    </row>
    <row r="3020">
      <c r="A3020" s="19">
        <v>84092.0</v>
      </c>
      <c r="B3020" s="20" t="str">
        <f t="array" ref="B3020">xlookup($A3020,product!$A:$A,product!B:B)</f>
        <v>Beauté &amp; Hygiène</v>
      </c>
      <c r="C3020" s="20" t="str">
        <f t="array" ref="C3020">xlookup($A3020,product!$A:$A,product!C:C)</f>
        <v>Soins des cheveux</v>
      </c>
      <c r="D3020" s="20" t="str">
        <f t="array" ref="D3020">xlookup($A3020,product!$A:$A,product!D:D)</f>
        <v>Colorations naturelles</v>
      </c>
      <c r="E3020" s="4" t="str">
        <f t="shared" si="1"/>
        <v>84092-Soins des cheveux-Colorations naturelles</v>
      </c>
      <c r="F3020" s="4">
        <v>0.0</v>
      </c>
      <c r="G3020" s="4">
        <v>477.0</v>
      </c>
      <c r="H3020" s="4">
        <v>409.0</v>
      </c>
      <c r="I3020" s="21">
        <f t="array" ref="I3020">XLOOKUP($A3020,product!A:A,product!E:E)</f>
        <v>5.87</v>
      </c>
      <c r="J3020" s="4">
        <f t="shared" si="2"/>
        <v>2400.83</v>
      </c>
      <c r="K3020" s="22">
        <f t="shared" si="3"/>
        <v>1</v>
      </c>
      <c r="L3020" s="4">
        <f t="shared" si="4"/>
        <v>1</v>
      </c>
    </row>
    <row r="3021">
      <c r="A3021" s="23">
        <v>86943.0</v>
      </c>
      <c r="B3021" s="24" t="str">
        <f t="array" ref="B3021">xlookup($A3021,product!$A:$A,product!B:B)</f>
        <v>Beauté &amp; Hygiène</v>
      </c>
      <c r="C3021" s="24" t="str">
        <f t="array" ref="C3021">xlookup($A3021,product!$A:$A,product!C:C)</f>
        <v>Soins des cheveux</v>
      </c>
      <c r="D3021" s="24" t="str">
        <f t="array" ref="D3021">xlookup($A3021,product!$A:$A,product!D:D)</f>
        <v>Colorations naturelles</v>
      </c>
      <c r="E3021" s="25" t="str">
        <f t="shared" si="1"/>
        <v>86943-Soins des cheveux-Colorations naturelles</v>
      </c>
      <c r="F3021" s="25">
        <v>0.0</v>
      </c>
      <c r="G3021" s="25">
        <v>208.0</v>
      </c>
      <c r="H3021" s="25">
        <v>166.0</v>
      </c>
      <c r="I3021" s="26">
        <f t="array" ref="I3021">XLOOKUP($A3021,product!A:A,product!E:E)</f>
        <v>6.36</v>
      </c>
      <c r="J3021" s="25">
        <f t="shared" si="2"/>
        <v>1055.76</v>
      </c>
      <c r="K3021" s="27">
        <f t="shared" si="3"/>
        <v>1</v>
      </c>
      <c r="L3021" s="25">
        <f t="shared" si="4"/>
        <v>1</v>
      </c>
    </row>
    <row r="3022">
      <c r="A3022" s="19">
        <v>8688.0</v>
      </c>
      <c r="B3022" s="20" t="str">
        <f t="array" ref="B3022">xlookup($A3022,product!$A:$A,product!B:B)</f>
        <v>Beauté &amp; Hygiène</v>
      </c>
      <c r="C3022" s="20" t="str">
        <f t="array" ref="C3022">xlookup($A3022,product!$A:$A,product!C:C)</f>
        <v>Soins des cheveux</v>
      </c>
      <c r="D3022" s="20" t="str">
        <f t="array" ref="D3022">xlookup($A3022,product!$A:$A,product!D:D)</f>
        <v>Gel et crème coiffante</v>
      </c>
      <c r="E3022" s="4" t="str">
        <f t="shared" si="1"/>
        <v>8688-Soins des cheveux-Gel et crème coiffante</v>
      </c>
      <c r="F3022" s="4">
        <v>1.0</v>
      </c>
      <c r="G3022" s="4">
        <v>707.0</v>
      </c>
      <c r="H3022" s="4">
        <v>524.0</v>
      </c>
      <c r="I3022" s="21">
        <f t="array" ref="I3022">XLOOKUP($A3022,product!A:A,product!E:E)</f>
        <v>7.39</v>
      </c>
      <c r="J3022" s="4">
        <f t="shared" si="2"/>
        <v>3872.36</v>
      </c>
      <c r="K3022" s="22">
        <f t="shared" si="3"/>
        <v>1</v>
      </c>
      <c r="L3022" s="4">
        <f t="shared" si="4"/>
        <v>1</v>
      </c>
    </row>
    <row r="3023">
      <c r="A3023" s="23">
        <v>117967.0</v>
      </c>
      <c r="B3023" s="24" t="str">
        <f t="array" ref="B3023">xlookup($A3023,product!$A:$A,product!B:B)</f>
        <v>Beauté &amp; Hygiène</v>
      </c>
      <c r="C3023" s="24" t="str">
        <f t="array" ref="C3023">xlookup($A3023,product!$A:$A,product!C:C)</f>
        <v>Soins des cheveux</v>
      </c>
      <c r="D3023" s="24" t="str">
        <f t="array" ref="D3023">xlookup($A3023,product!$A:$A,product!D:D)</f>
        <v>Gel et crème coiffante</v>
      </c>
      <c r="E3023" s="25" t="str">
        <f t="shared" si="1"/>
        <v>117967-Soins des cheveux-Gel et crème coiffante</v>
      </c>
      <c r="F3023" s="25">
        <v>1.0</v>
      </c>
      <c r="G3023" s="25">
        <v>412.0</v>
      </c>
      <c r="H3023" s="25">
        <v>165.0</v>
      </c>
      <c r="I3023" s="26">
        <f t="array" ref="I3023">XLOOKUP($A3023,product!A:A,product!E:E)</f>
        <v>8.46</v>
      </c>
      <c r="J3023" s="25">
        <f t="shared" si="2"/>
        <v>1395.9</v>
      </c>
      <c r="K3023" s="27">
        <f t="shared" si="3"/>
        <v>1</v>
      </c>
      <c r="L3023" s="25">
        <f t="shared" si="4"/>
        <v>1</v>
      </c>
    </row>
    <row r="3024">
      <c r="A3024" s="19">
        <v>23061.0</v>
      </c>
      <c r="B3024" s="20" t="str">
        <f t="array" ref="B3024">xlookup($A3024,product!$A:$A,product!B:B)</f>
        <v>Beauté &amp; Hygiène</v>
      </c>
      <c r="C3024" s="20" t="str">
        <f t="array" ref="C3024">xlookup($A3024,product!$A:$A,product!C:C)</f>
        <v>Soins des cheveux</v>
      </c>
      <c r="D3024" s="20" t="str">
        <f t="array" ref="D3024">xlookup($A3024,product!$A:$A,product!D:D)</f>
        <v>Gel et crème coiffante</v>
      </c>
      <c r="E3024" s="4" t="str">
        <f t="shared" si="1"/>
        <v>23061-Soins des cheveux-Gel et crème coiffante</v>
      </c>
      <c r="F3024" s="4">
        <v>0.0</v>
      </c>
      <c r="G3024" s="4">
        <v>223.0</v>
      </c>
      <c r="H3024" s="4">
        <v>6.0</v>
      </c>
      <c r="I3024" s="21">
        <f t="array" ref="I3024">XLOOKUP($A3024,product!A:A,product!E:E)</f>
        <v>3.16</v>
      </c>
      <c r="J3024" s="4">
        <f t="shared" si="2"/>
        <v>18.96</v>
      </c>
      <c r="K3024" s="22">
        <f t="shared" si="3"/>
        <v>1</v>
      </c>
      <c r="L3024" s="4">
        <f t="shared" si="4"/>
        <v>1</v>
      </c>
    </row>
    <row r="3025">
      <c r="A3025" s="23">
        <v>10688.0</v>
      </c>
      <c r="B3025" s="24" t="str">
        <f t="array" ref="B3025">xlookup($A3025,product!$A:$A,product!B:B)</f>
        <v>Beauté &amp; Hygiène</v>
      </c>
      <c r="C3025" s="24" t="str">
        <f t="array" ref="C3025">xlookup($A3025,product!$A:$A,product!C:C)</f>
        <v>Soins des cheveux</v>
      </c>
      <c r="D3025" s="24" t="str">
        <f t="array" ref="D3025">xlookup($A3025,product!$A:$A,product!D:D)</f>
        <v>Gel et crème coiffante</v>
      </c>
      <c r="E3025" s="25" t="str">
        <f t="shared" si="1"/>
        <v>10688-Soins des cheveux-Gel et crème coiffante</v>
      </c>
      <c r="F3025" s="25">
        <v>1.0</v>
      </c>
      <c r="G3025" s="25">
        <v>635.0</v>
      </c>
      <c r="H3025" s="25">
        <v>431.0</v>
      </c>
      <c r="I3025" s="26">
        <f t="array" ref="I3025">XLOOKUP($A3025,product!A:A,product!E:E)</f>
        <v>6.49</v>
      </c>
      <c r="J3025" s="25">
        <f t="shared" si="2"/>
        <v>2797.19</v>
      </c>
      <c r="K3025" s="27">
        <f t="shared" si="3"/>
        <v>1</v>
      </c>
      <c r="L3025" s="25">
        <f t="shared" si="4"/>
        <v>1</v>
      </c>
    </row>
    <row r="3026">
      <c r="A3026" s="19">
        <v>8690.0</v>
      </c>
      <c r="B3026" s="20" t="str">
        <f t="array" ref="B3026">xlookup($A3026,product!$A:$A,product!B:B)</f>
        <v>Beauté &amp; Hygiène</v>
      </c>
      <c r="C3026" s="20" t="str">
        <f t="array" ref="C3026">xlookup($A3026,product!$A:$A,product!C:C)</f>
        <v>Soins des cheveux</v>
      </c>
      <c r="D3026" s="20" t="str">
        <f t="array" ref="D3026">xlookup($A3026,product!$A:$A,product!D:D)</f>
        <v>Gel et crème coiffante</v>
      </c>
      <c r="E3026" s="4" t="str">
        <f t="shared" si="1"/>
        <v>8690-Soins des cheveux-Gel et crème coiffante</v>
      </c>
      <c r="F3026" s="4">
        <v>1.0</v>
      </c>
      <c r="G3026" s="4">
        <v>130.0</v>
      </c>
      <c r="H3026" s="4">
        <v>102.0</v>
      </c>
      <c r="I3026" s="21">
        <f t="array" ref="I3026">XLOOKUP($A3026,product!A:A,product!E:E)</f>
        <v>7.4</v>
      </c>
      <c r="J3026" s="4">
        <f t="shared" si="2"/>
        <v>754.8</v>
      </c>
      <c r="K3026" s="22">
        <f t="shared" si="3"/>
        <v>1</v>
      </c>
      <c r="L3026" s="4">
        <f t="shared" si="4"/>
        <v>1</v>
      </c>
    </row>
    <row r="3027">
      <c r="A3027" s="23">
        <v>79808.0</v>
      </c>
      <c r="B3027" s="24" t="str">
        <f t="array" ref="B3027">xlookup($A3027,product!$A:$A,product!B:B)</f>
        <v>Beauté &amp; Hygiène</v>
      </c>
      <c r="C3027" s="24" t="str">
        <f t="array" ref="C3027">xlookup($A3027,product!$A:$A,product!C:C)</f>
        <v>Soins des cheveux</v>
      </c>
      <c r="D3027" s="24" t="str">
        <f t="array" ref="D3027">xlookup($A3027,product!$A:$A,product!D:D)</f>
        <v>Shampoing douche 2 en 1</v>
      </c>
      <c r="E3027" s="25" t="str">
        <f t="shared" si="1"/>
        <v>79808-Soins des cheveux-Shampoing douche 2 en 1</v>
      </c>
      <c r="F3027" s="25">
        <v>1.0</v>
      </c>
      <c r="G3027" s="25">
        <v>20.0</v>
      </c>
      <c r="H3027" s="25">
        <v>13.0</v>
      </c>
      <c r="I3027" s="26">
        <f t="array" ref="I3027">XLOOKUP($A3027,product!A:A,product!E:E)</f>
        <v>4.42</v>
      </c>
      <c r="J3027" s="25">
        <f t="shared" si="2"/>
        <v>57.46</v>
      </c>
      <c r="K3027" s="27">
        <f t="shared" si="3"/>
        <v>1</v>
      </c>
      <c r="L3027" s="25">
        <f t="shared" si="4"/>
        <v>1</v>
      </c>
    </row>
    <row r="3028">
      <c r="A3028" s="19">
        <v>44797.0</v>
      </c>
      <c r="B3028" s="20" t="str">
        <f t="array" ref="B3028">xlookup($A3028,product!$A:$A,product!B:B)</f>
        <v>Beauté &amp; Hygiène</v>
      </c>
      <c r="C3028" s="20" t="str">
        <f t="array" ref="C3028">xlookup($A3028,product!$A:$A,product!C:C)</f>
        <v>Soins des cheveux</v>
      </c>
      <c r="D3028" s="20" t="str">
        <f t="array" ref="D3028">xlookup($A3028,product!$A:$A,product!D:D)</f>
        <v>Shampoing douche 2 en 1</v>
      </c>
      <c r="E3028" s="4" t="str">
        <f t="shared" si="1"/>
        <v>44797-Soins des cheveux-Shampoing douche 2 en 1</v>
      </c>
      <c r="F3028" s="4">
        <v>1.0</v>
      </c>
      <c r="G3028" s="4">
        <v>324.0</v>
      </c>
      <c r="H3028" s="4">
        <v>295.0</v>
      </c>
      <c r="I3028" s="21">
        <f t="array" ref="I3028">XLOOKUP($A3028,product!A:A,product!E:E)</f>
        <v>6.5</v>
      </c>
      <c r="J3028" s="4">
        <f t="shared" si="2"/>
        <v>1917.5</v>
      </c>
      <c r="K3028" s="22">
        <f t="shared" si="3"/>
        <v>1</v>
      </c>
      <c r="L3028" s="4">
        <f t="shared" si="4"/>
        <v>1</v>
      </c>
    </row>
    <row r="3029">
      <c r="A3029" s="23">
        <v>79807.0</v>
      </c>
      <c r="B3029" s="24" t="str">
        <f t="array" ref="B3029">xlookup($A3029,product!$A:$A,product!B:B)</f>
        <v>Beauté &amp; Hygiène</v>
      </c>
      <c r="C3029" s="24" t="str">
        <f t="array" ref="C3029">xlookup($A3029,product!$A:$A,product!C:C)</f>
        <v>Soins des cheveux</v>
      </c>
      <c r="D3029" s="24" t="str">
        <f t="array" ref="D3029">xlookup($A3029,product!$A:$A,product!D:D)</f>
        <v>Shampoing douche 2 en 1</v>
      </c>
      <c r="E3029" s="25" t="str">
        <f t="shared" si="1"/>
        <v>79807-Soins des cheveux-Shampoing douche 2 en 1</v>
      </c>
      <c r="F3029" s="25">
        <v>0.0</v>
      </c>
      <c r="G3029" s="25">
        <v>5.0</v>
      </c>
      <c r="H3029" s="25">
        <v>1.0</v>
      </c>
      <c r="I3029" s="26">
        <f t="array" ref="I3029">XLOOKUP($A3029,product!A:A,product!E:E)</f>
        <v>4.42</v>
      </c>
      <c r="J3029" s="25">
        <f t="shared" si="2"/>
        <v>4.42</v>
      </c>
      <c r="K3029" s="27">
        <f t="shared" si="3"/>
        <v>1</v>
      </c>
      <c r="L3029" s="25">
        <f t="shared" si="4"/>
        <v>1</v>
      </c>
    </row>
    <row r="3030">
      <c r="A3030" s="19">
        <v>11426.0</v>
      </c>
      <c r="B3030" s="20" t="str">
        <f t="array" ref="B3030">xlookup($A3030,product!$A:$A,product!B:B)</f>
        <v>Beauté &amp; Hygiène</v>
      </c>
      <c r="C3030" s="20" t="str">
        <f t="array" ref="C3030">xlookup($A3030,product!$A:$A,product!C:C)</f>
        <v>Soins des cheveux</v>
      </c>
      <c r="D3030" s="20" t="str">
        <f t="array" ref="D3030">xlookup($A3030,product!$A:$A,product!D:D)</f>
        <v>Shampoing douche 2 en 1</v>
      </c>
      <c r="E3030" s="4" t="str">
        <f t="shared" si="1"/>
        <v>11426-Soins des cheveux-Shampoing douche 2 en 1</v>
      </c>
      <c r="F3030" s="4">
        <v>0.0</v>
      </c>
      <c r="G3030" s="4">
        <v>533.0</v>
      </c>
      <c r="H3030" s="4">
        <v>201.0</v>
      </c>
      <c r="I3030" s="21">
        <f t="array" ref="I3030">XLOOKUP($A3030,product!A:A,product!E:E)</f>
        <v>7.61</v>
      </c>
      <c r="J3030" s="4">
        <f t="shared" si="2"/>
        <v>1529.61</v>
      </c>
      <c r="K3030" s="22">
        <f t="shared" si="3"/>
        <v>1</v>
      </c>
      <c r="L3030" s="4">
        <f t="shared" si="4"/>
        <v>1</v>
      </c>
    </row>
    <row r="3031">
      <c r="A3031" s="23">
        <v>45059.0</v>
      </c>
      <c r="B3031" s="24" t="str">
        <f t="array" ref="B3031">xlookup($A3031,product!$A:$A,product!B:B)</f>
        <v>Beauté &amp; Hygiène</v>
      </c>
      <c r="C3031" s="24" t="str">
        <f t="array" ref="C3031">xlookup($A3031,product!$A:$A,product!C:C)</f>
        <v>Soins des cheveux</v>
      </c>
      <c r="D3031" s="24" t="str">
        <f t="array" ref="D3031">xlookup($A3031,product!$A:$A,product!D:D)</f>
        <v>Shampoing douche 2 en 1</v>
      </c>
      <c r="E3031" s="25" t="str">
        <f t="shared" si="1"/>
        <v>45059-Soins des cheveux-Shampoing douche 2 en 1</v>
      </c>
      <c r="F3031" s="25">
        <v>1.0</v>
      </c>
      <c r="G3031" s="25">
        <v>251.0</v>
      </c>
      <c r="H3031" s="25">
        <v>227.0</v>
      </c>
      <c r="I3031" s="26">
        <f t="array" ref="I3031">XLOOKUP($A3031,product!A:A,product!E:E)</f>
        <v>6.5</v>
      </c>
      <c r="J3031" s="25">
        <f t="shared" si="2"/>
        <v>1475.5</v>
      </c>
      <c r="K3031" s="27">
        <f t="shared" si="3"/>
        <v>1</v>
      </c>
      <c r="L3031" s="25">
        <f t="shared" si="4"/>
        <v>1</v>
      </c>
    </row>
    <row r="3032">
      <c r="A3032" s="19">
        <v>200582.0</v>
      </c>
      <c r="B3032" s="20" t="str">
        <f t="array" ref="B3032">xlookup($A3032,product!$A:$A,product!B:B)</f>
        <v>Beauté &amp; Hygiène</v>
      </c>
      <c r="C3032" s="20" t="str">
        <f t="array" ref="C3032">xlookup($A3032,product!$A:$A,product!C:C)</f>
        <v>Soins des cheveux</v>
      </c>
      <c r="D3032" s="20" t="str">
        <f t="array" ref="D3032">xlookup($A3032,product!$A:$A,product!D:D)</f>
        <v>Shampoing douche 2 en 1</v>
      </c>
      <c r="E3032" s="4" t="str">
        <f t="shared" si="1"/>
        <v>200582-Soins des cheveux-Shampoing douche 2 en 1</v>
      </c>
      <c r="F3032" s="4">
        <v>1.0</v>
      </c>
      <c r="G3032" s="4">
        <v>304.0</v>
      </c>
      <c r="H3032" s="4">
        <v>227.0</v>
      </c>
      <c r="I3032" s="21">
        <f t="array" ref="I3032">XLOOKUP($A3032,product!A:A,product!E:E)</f>
        <v>5.27</v>
      </c>
      <c r="J3032" s="4">
        <f t="shared" si="2"/>
        <v>1196.29</v>
      </c>
      <c r="K3032" s="22">
        <f t="shared" si="3"/>
        <v>1</v>
      </c>
      <c r="L3032" s="4">
        <f t="shared" si="4"/>
        <v>1</v>
      </c>
    </row>
    <row r="3033">
      <c r="A3033" s="23">
        <v>143825.0</v>
      </c>
      <c r="B3033" s="24" t="str">
        <f t="array" ref="B3033">xlookup($A3033,product!$A:$A,product!B:B)</f>
        <v>Beauté &amp; Hygiène</v>
      </c>
      <c r="C3033" s="24" t="str">
        <f t="array" ref="C3033">xlookup($A3033,product!$A:$A,product!C:C)</f>
        <v>Soins des cheveux</v>
      </c>
      <c r="D3033" s="24" t="str">
        <f t="array" ref="D3033">xlookup($A3033,product!$A:$A,product!D:D)</f>
        <v>Shampoing douche 2 en 1</v>
      </c>
      <c r="E3033" s="25" t="str">
        <f t="shared" si="1"/>
        <v>143825-Soins des cheveux-Shampoing douche 2 en 1</v>
      </c>
      <c r="F3033" s="25">
        <v>0.0</v>
      </c>
      <c r="G3033" s="25">
        <v>386.0</v>
      </c>
      <c r="H3033" s="25">
        <v>304.0</v>
      </c>
      <c r="I3033" s="26">
        <f t="array" ref="I3033">XLOOKUP($A3033,product!A:A,product!E:E)</f>
        <v>6.5</v>
      </c>
      <c r="J3033" s="25">
        <f t="shared" si="2"/>
        <v>1976</v>
      </c>
      <c r="K3033" s="27">
        <f t="shared" si="3"/>
        <v>1</v>
      </c>
      <c r="L3033" s="25">
        <f t="shared" si="4"/>
        <v>1</v>
      </c>
    </row>
    <row r="3034">
      <c r="A3034" s="19">
        <v>85232.0</v>
      </c>
      <c r="B3034" s="20" t="str">
        <f t="array" ref="B3034">xlookup($A3034,product!$A:$A,product!B:B)</f>
        <v>Beauté &amp; Hygiène</v>
      </c>
      <c r="C3034" s="20" t="str">
        <f t="array" ref="C3034">xlookup($A3034,product!$A:$A,product!C:C)</f>
        <v>Soins des cheveux</v>
      </c>
      <c r="D3034" s="20" t="str">
        <f t="array" ref="D3034">xlookup($A3034,product!$A:$A,product!D:D)</f>
        <v>Shampoing douche 2 en 1</v>
      </c>
      <c r="E3034" s="4" t="str">
        <f t="shared" si="1"/>
        <v>85232-Soins des cheveux-Shampoing douche 2 en 1</v>
      </c>
      <c r="F3034" s="4">
        <v>0.0</v>
      </c>
      <c r="G3034" s="4">
        <v>309.0</v>
      </c>
      <c r="H3034" s="4">
        <v>117.0</v>
      </c>
      <c r="I3034" s="21">
        <f t="array" ref="I3034">XLOOKUP($A3034,product!A:A,product!E:E)</f>
        <v>4.4</v>
      </c>
      <c r="J3034" s="4">
        <f t="shared" si="2"/>
        <v>514.8</v>
      </c>
      <c r="K3034" s="22">
        <f t="shared" si="3"/>
        <v>1</v>
      </c>
      <c r="L3034" s="4">
        <f t="shared" si="4"/>
        <v>1</v>
      </c>
    </row>
    <row r="3035">
      <c r="A3035" s="23">
        <v>79806.0</v>
      </c>
      <c r="B3035" s="24" t="str">
        <f t="array" ref="B3035">xlookup($A3035,product!$A:$A,product!B:B)</f>
        <v>Beauté &amp; Hygiène</v>
      </c>
      <c r="C3035" s="24" t="str">
        <f t="array" ref="C3035">xlookup($A3035,product!$A:$A,product!C:C)</f>
        <v>Soins des cheveux</v>
      </c>
      <c r="D3035" s="24" t="str">
        <f t="array" ref="D3035">xlookup($A3035,product!$A:$A,product!D:D)</f>
        <v>Shampoing douche 2 en 1</v>
      </c>
      <c r="E3035" s="25" t="str">
        <f t="shared" si="1"/>
        <v>79806-Soins des cheveux-Shampoing douche 2 en 1</v>
      </c>
      <c r="F3035" s="25">
        <v>0.0</v>
      </c>
      <c r="G3035" s="25">
        <v>769.0</v>
      </c>
      <c r="H3035" s="25">
        <v>454.0</v>
      </c>
      <c r="I3035" s="26">
        <f t="array" ref="I3035">XLOOKUP($A3035,product!A:A,product!E:E)</f>
        <v>4.42</v>
      </c>
      <c r="J3035" s="25">
        <f t="shared" si="2"/>
        <v>2006.68</v>
      </c>
      <c r="K3035" s="27">
        <f t="shared" si="3"/>
        <v>1</v>
      </c>
      <c r="L3035" s="25">
        <f t="shared" si="4"/>
        <v>1</v>
      </c>
    </row>
    <row r="3036">
      <c r="A3036" s="19">
        <v>46991.0</v>
      </c>
      <c r="B3036" s="20" t="str">
        <f t="array" ref="B3036">xlookup($A3036,product!$A:$A,product!B:B)</f>
        <v>Beauté &amp; Hygiène</v>
      </c>
      <c r="C3036" s="20" t="str">
        <f t="array" ref="C3036">xlookup($A3036,product!$A:$A,product!C:C)</f>
        <v>Soins des cheveux</v>
      </c>
      <c r="D3036" s="20" t="str">
        <f t="array" ref="D3036">xlookup($A3036,product!$A:$A,product!D:D)</f>
        <v>Shampoing douche 2 en 1</v>
      </c>
      <c r="E3036" s="4" t="str">
        <f t="shared" si="1"/>
        <v>46991-Soins des cheveux-Shampoing douche 2 en 1</v>
      </c>
      <c r="F3036" s="4">
        <v>0.0</v>
      </c>
      <c r="G3036" s="4">
        <v>102.0</v>
      </c>
      <c r="H3036" s="4">
        <v>36.0</v>
      </c>
      <c r="I3036" s="21">
        <f t="array" ref="I3036">XLOOKUP($A3036,product!A:A,product!E:E)</f>
        <v>3.55</v>
      </c>
      <c r="J3036" s="4">
        <f t="shared" si="2"/>
        <v>127.8</v>
      </c>
      <c r="K3036" s="22">
        <f t="shared" si="3"/>
        <v>1</v>
      </c>
      <c r="L3036" s="4">
        <f t="shared" si="4"/>
        <v>1</v>
      </c>
    </row>
    <row r="3037">
      <c r="A3037" s="23">
        <v>69360.0</v>
      </c>
      <c r="B3037" s="24" t="str">
        <f t="array" ref="B3037">xlookup($A3037,product!$A:$A,product!B:B)</f>
        <v>Beauté &amp; Hygiène</v>
      </c>
      <c r="C3037" s="24" t="str">
        <f t="array" ref="C3037">xlookup($A3037,product!$A:$A,product!C:C)</f>
        <v>Soins des cheveux</v>
      </c>
      <c r="D3037" s="24" t="str">
        <f t="array" ref="D3037">xlookup($A3037,product!$A:$A,product!D:D)</f>
        <v>Shampoing douche 2 en 1</v>
      </c>
      <c r="E3037" s="25" t="str">
        <f t="shared" si="1"/>
        <v>69360-Soins des cheveux-Shampoing douche 2 en 1</v>
      </c>
      <c r="F3037" s="25">
        <v>1.0</v>
      </c>
      <c r="G3037" s="25">
        <v>386.0</v>
      </c>
      <c r="H3037" s="25">
        <v>33.0</v>
      </c>
      <c r="I3037" s="26">
        <f t="array" ref="I3037">XLOOKUP($A3037,product!A:A,product!E:E)</f>
        <v>5.68</v>
      </c>
      <c r="J3037" s="25">
        <f t="shared" si="2"/>
        <v>187.44</v>
      </c>
      <c r="K3037" s="27">
        <f t="shared" si="3"/>
        <v>1</v>
      </c>
      <c r="L3037" s="25">
        <f t="shared" si="4"/>
        <v>1</v>
      </c>
    </row>
    <row r="3038">
      <c r="A3038" s="19">
        <v>110441.0</v>
      </c>
      <c r="B3038" s="20" t="str">
        <f t="array" ref="B3038">xlookup($A3038,product!$A:$A,product!B:B)</f>
        <v>Beauté &amp; Hygiène</v>
      </c>
      <c r="C3038" s="20" t="str">
        <f t="array" ref="C3038">xlookup($A3038,product!$A:$A,product!C:C)</f>
        <v>Soins des cheveux</v>
      </c>
      <c r="D3038" s="20" t="str">
        <f t="array" ref="D3038">xlookup($A3038,product!$A:$A,product!D:D)</f>
        <v>Shampoing douche 2 en 1</v>
      </c>
      <c r="E3038" s="4" t="str">
        <f t="shared" si="1"/>
        <v>110441-Soins des cheveux-Shampoing douche 2 en 1</v>
      </c>
      <c r="F3038" s="4">
        <v>1.0</v>
      </c>
      <c r="G3038" s="4">
        <v>589.0</v>
      </c>
      <c r="H3038" s="4">
        <v>54.0</v>
      </c>
      <c r="I3038" s="21">
        <f t="array" ref="I3038">XLOOKUP($A3038,product!A:A,product!E:E)</f>
        <v>4.42</v>
      </c>
      <c r="J3038" s="4">
        <f t="shared" si="2"/>
        <v>238.68</v>
      </c>
      <c r="K3038" s="22">
        <f t="shared" si="3"/>
        <v>1</v>
      </c>
      <c r="L3038" s="4">
        <f t="shared" si="4"/>
        <v>1</v>
      </c>
    </row>
    <row r="3039">
      <c r="A3039" s="23">
        <v>120781.0</v>
      </c>
      <c r="B3039" s="24" t="str">
        <f t="array" ref="B3039">xlookup($A3039,product!$A:$A,product!B:B)</f>
        <v>Beauté &amp; Hygiène</v>
      </c>
      <c r="C3039" s="24" t="str">
        <f t="array" ref="C3039">xlookup($A3039,product!$A:$A,product!C:C)</f>
        <v>Soins des cheveux</v>
      </c>
      <c r="D3039" s="24" t="str">
        <f t="array" ref="D3039">xlookup($A3039,product!$A:$A,product!D:D)</f>
        <v>Shampoing douche 2 en 1</v>
      </c>
      <c r="E3039" s="25" t="str">
        <f t="shared" si="1"/>
        <v>120781-Soins des cheveux-Shampoing douche 2 en 1</v>
      </c>
      <c r="F3039" s="25">
        <v>1.0</v>
      </c>
      <c r="G3039" s="25">
        <v>720.0</v>
      </c>
      <c r="H3039" s="25">
        <v>337.0</v>
      </c>
      <c r="I3039" s="26">
        <f t="array" ref="I3039">XLOOKUP($A3039,product!A:A,product!E:E)</f>
        <v>3.13</v>
      </c>
      <c r="J3039" s="25">
        <f t="shared" si="2"/>
        <v>1054.81</v>
      </c>
      <c r="K3039" s="27">
        <f t="shared" si="3"/>
        <v>1</v>
      </c>
      <c r="L3039" s="25">
        <f t="shared" si="4"/>
        <v>1</v>
      </c>
    </row>
    <row r="3040">
      <c r="A3040" s="19">
        <v>79809.0</v>
      </c>
      <c r="B3040" s="20" t="str">
        <f t="array" ref="B3040">xlookup($A3040,product!$A:$A,product!B:B)</f>
        <v>Beauté &amp; Hygiène</v>
      </c>
      <c r="C3040" s="20" t="str">
        <f t="array" ref="C3040">xlookup($A3040,product!$A:$A,product!C:C)</f>
        <v>Soins des cheveux</v>
      </c>
      <c r="D3040" s="20" t="str">
        <f t="array" ref="D3040">xlookup($A3040,product!$A:$A,product!D:D)</f>
        <v>Shampoing douche 2 en 1</v>
      </c>
      <c r="E3040" s="4" t="str">
        <f t="shared" si="1"/>
        <v>79809-Soins des cheveux-Shampoing douche 2 en 1</v>
      </c>
      <c r="F3040" s="4">
        <v>1.0</v>
      </c>
      <c r="G3040" s="4">
        <v>275.0</v>
      </c>
      <c r="H3040" s="4">
        <v>146.0</v>
      </c>
      <c r="I3040" s="21">
        <f t="array" ref="I3040">XLOOKUP($A3040,product!A:A,product!E:E)</f>
        <v>4.42</v>
      </c>
      <c r="J3040" s="4">
        <f t="shared" si="2"/>
        <v>645.32</v>
      </c>
      <c r="K3040" s="22">
        <f t="shared" si="3"/>
        <v>1</v>
      </c>
      <c r="L3040" s="4">
        <f t="shared" si="4"/>
        <v>1</v>
      </c>
    </row>
    <row r="3041">
      <c r="A3041" s="23">
        <v>45057.0</v>
      </c>
      <c r="B3041" s="24" t="str">
        <f t="array" ref="B3041">xlookup($A3041,product!$A:$A,product!B:B)</f>
        <v>Beauté &amp; Hygiène</v>
      </c>
      <c r="C3041" s="24" t="str">
        <f t="array" ref="C3041">xlookup($A3041,product!$A:$A,product!C:C)</f>
        <v>Soins des cheveux</v>
      </c>
      <c r="D3041" s="24" t="str">
        <f t="array" ref="D3041">xlookup($A3041,product!$A:$A,product!D:D)</f>
        <v>Shampoing douche 2 en 1</v>
      </c>
      <c r="E3041" s="25" t="str">
        <f t="shared" si="1"/>
        <v>45057-Soins des cheveux-Shampoing douche 2 en 1</v>
      </c>
      <c r="F3041" s="25">
        <v>1.0</v>
      </c>
      <c r="G3041" s="25">
        <v>901.0</v>
      </c>
      <c r="H3041" s="25">
        <v>683.0</v>
      </c>
      <c r="I3041" s="26">
        <f t="array" ref="I3041">XLOOKUP($A3041,product!A:A,product!E:E)</f>
        <v>6.5</v>
      </c>
      <c r="J3041" s="25">
        <f t="shared" si="2"/>
        <v>4439.5</v>
      </c>
      <c r="K3041" s="27">
        <f t="shared" si="3"/>
        <v>1</v>
      </c>
      <c r="L3041" s="25">
        <f t="shared" si="4"/>
        <v>1</v>
      </c>
    </row>
    <row r="3042">
      <c r="A3042" s="19">
        <v>79805.0</v>
      </c>
      <c r="B3042" s="20" t="str">
        <f t="array" ref="B3042">xlookup($A3042,product!$A:$A,product!B:B)</f>
        <v>Beauté &amp; Hygiène</v>
      </c>
      <c r="C3042" s="20" t="str">
        <f t="array" ref="C3042">xlookup($A3042,product!$A:$A,product!C:C)</f>
        <v>Soins des cheveux</v>
      </c>
      <c r="D3042" s="20" t="str">
        <f t="array" ref="D3042">xlookup($A3042,product!$A:$A,product!D:D)</f>
        <v>Shampoing douche 2 en 1</v>
      </c>
      <c r="E3042" s="4" t="str">
        <f t="shared" si="1"/>
        <v>79805-Soins des cheveux-Shampoing douche 2 en 1</v>
      </c>
      <c r="F3042" s="4">
        <v>1.0</v>
      </c>
      <c r="G3042" s="4">
        <v>242.0</v>
      </c>
      <c r="H3042" s="4">
        <v>207.0</v>
      </c>
      <c r="I3042" s="21">
        <f t="array" ref="I3042">XLOOKUP($A3042,product!A:A,product!E:E)</f>
        <v>4.42</v>
      </c>
      <c r="J3042" s="4">
        <f t="shared" si="2"/>
        <v>914.94</v>
      </c>
      <c r="K3042" s="22">
        <f t="shared" si="3"/>
        <v>1</v>
      </c>
      <c r="L3042" s="4">
        <f t="shared" si="4"/>
        <v>1</v>
      </c>
    </row>
    <row r="3043">
      <c r="A3043" s="23">
        <v>45707.0</v>
      </c>
      <c r="B3043" s="24" t="str">
        <f t="array" ref="B3043">xlookup($A3043,product!$A:$A,product!B:B)</f>
        <v>Beauté &amp; Hygiène</v>
      </c>
      <c r="C3043" s="24" t="str">
        <f t="array" ref="C3043">xlookup($A3043,product!$A:$A,product!C:C)</f>
        <v>Soins des cheveux</v>
      </c>
      <c r="D3043" s="24" t="str">
        <f t="array" ref="D3043">xlookup($A3043,product!$A:$A,product!D:D)</f>
        <v>Shampoing douche 2 en 1</v>
      </c>
      <c r="E3043" s="25" t="str">
        <f t="shared" si="1"/>
        <v>45707-Soins des cheveux-Shampoing douche 2 en 1</v>
      </c>
      <c r="F3043" s="25">
        <v>1.0</v>
      </c>
      <c r="G3043" s="25">
        <v>215.0</v>
      </c>
      <c r="H3043" s="25">
        <v>87.0</v>
      </c>
      <c r="I3043" s="26">
        <f t="array" ref="I3043">XLOOKUP($A3043,product!A:A,product!E:E)</f>
        <v>6.5</v>
      </c>
      <c r="J3043" s="25">
        <f t="shared" si="2"/>
        <v>565.5</v>
      </c>
      <c r="K3043" s="27">
        <f t="shared" si="3"/>
        <v>1</v>
      </c>
      <c r="L3043" s="25">
        <f t="shared" si="4"/>
        <v>1</v>
      </c>
    </row>
    <row r="3044">
      <c r="A3044" s="19">
        <v>117282.0</v>
      </c>
      <c r="B3044" s="20" t="str">
        <f t="array" ref="B3044">xlookup($A3044,product!$A:$A,product!B:B)</f>
        <v>Beauté &amp; Hygiène</v>
      </c>
      <c r="C3044" s="20" t="str">
        <f t="array" ref="C3044">xlookup($A3044,product!$A:$A,product!C:C)</f>
        <v>Soins des cheveux</v>
      </c>
      <c r="D3044" s="20" t="str">
        <f t="array" ref="D3044">xlookup($A3044,product!$A:$A,product!D:D)</f>
        <v>Shampoing par type de cheveux</v>
      </c>
      <c r="E3044" s="4" t="str">
        <f t="shared" si="1"/>
        <v>117282-Soins des cheveux-Shampoing par type de cheveux</v>
      </c>
      <c r="F3044" s="4">
        <v>1.0</v>
      </c>
      <c r="G3044" s="4">
        <v>215.0</v>
      </c>
      <c r="H3044" s="4">
        <v>147.0</v>
      </c>
      <c r="I3044" s="21">
        <f t="array" ref="I3044">XLOOKUP($A3044,product!A:A,product!E:E)</f>
        <v>3.15</v>
      </c>
      <c r="J3044" s="4">
        <f t="shared" si="2"/>
        <v>463.05</v>
      </c>
      <c r="K3044" s="22">
        <f t="shared" si="3"/>
        <v>1</v>
      </c>
      <c r="L3044" s="4">
        <f t="shared" si="4"/>
        <v>1</v>
      </c>
    </row>
    <row r="3045">
      <c r="A3045" s="23">
        <v>30503.0</v>
      </c>
      <c r="B3045" s="24" t="str">
        <f t="array" ref="B3045">xlookup($A3045,product!$A:$A,product!B:B)</f>
        <v>Beauté &amp; Hygiène</v>
      </c>
      <c r="C3045" s="24" t="str">
        <f t="array" ref="C3045">xlookup($A3045,product!$A:$A,product!C:C)</f>
        <v>Soins des cheveux</v>
      </c>
      <c r="D3045" s="24" t="str">
        <f t="array" ref="D3045">xlookup($A3045,product!$A:$A,product!D:D)</f>
        <v>Shampoing par type de cheveux</v>
      </c>
      <c r="E3045" s="25" t="str">
        <f t="shared" si="1"/>
        <v>30503-Soins des cheveux-Shampoing par type de cheveux</v>
      </c>
      <c r="F3045" s="25">
        <v>1.0</v>
      </c>
      <c r="G3045" s="25">
        <v>748.0</v>
      </c>
      <c r="H3045" s="25">
        <v>35.0</v>
      </c>
      <c r="I3045" s="26">
        <f t="array" ref="I3045">XLOOKUP($A3045,product!A:A,product!E:E)</f>
        <v>5.2</v>
      </c>
      <c r="J3045" s="25">
        <f t="shared" si="2"/>
        <v>182</v>
      </c>
      <c r="K3045" s="27">
        <f t="shared" si="3"/>
        <v>1</v>
      </c>
      <c r="L3045" s="25">
        <f t="shared" si="4"/>
        <v>1</v>
      </c>
    </row>
    <row r="3046">
      <c r="A3046" s="19">
        <v>187336.0</v>
      </c>
      <c r="B3046" s="20" t="str">
        <f t="array" ref="B3046">xlookup($A3046,product!$A:$A,product!B:B)</f>
        <v>Beauté &amp; Hygiène</v>
      </c>
      <c r="C3046" s="20" t="str">
        <f t="array" ref="C3046">xlookup($A3046,product!$A:$A,product!C:C)</f>
        <v>Soins des cheveux</v>
      </c>
      <c r="D3046" s="20" t="str">
        <f t="array" ref="D3046">xlookup($A3046,product!$A:$A,product!D:D)</f>
        <v>Shampoing par type de cheveux</v>
      </c>
      <c r="E3046" s="4" t="str">
        <f t="shared" si="1"/>
        <v>187336-Soins des cheveux-Shampoing par type de cheveux</v>
      </c>
      <c r="F3046" s="4">
        <v>1.0</v>
      </c>
      <c r="G3046" s="4">
        <v>101.0</v>
      </c>
      <c r="H3046" s="4">
        <v>4.0</v>
      </c>
      <c r="I3046" s="21">
        <f t="array" ref="I3046">XLOOKUP($A3046,product!A:A,product!E:E)</f>
        <v>3.74</v>
      </c>
      <c r="J3046" s="4">
        <f t="shared" si="2"/>
        <v>14.96</v>
      </c>
      <c r="K3046" s="22">
        <f t="shared" si="3"/>
        <v>1</v>
      </c>
      <c r="L3046" s="4">
        <f t="shared" si="4"/>
        <v>1</v>
      </c>
    </row>
    <row r="3047">
      <c r="A3047" s="23">
        <v>82427.0</v>
      </c>
      <c r="B3047" s="24" t="str">
        <f t="array" ref="B3047">xlookup($A3047,product!$A:$A,product!B:B)</f>
        <v>Beauté &amp; Hygiène</v>
      </c>
      <c r="C3047" s="24" t="str">
        <f t="array" ref="C3047">xlookup($A3047,product!$A:$A,product!C:C)</f>
        <v>Soins des cheveux</v>
      </c>
      <c r="D3047" s="24" t="str">
        <f t="array" ref="D3047">xlookup($A3047,product!$A:$A,product!D:D)</f>
        <v>Shampoing par type de cheveux</v>
      </c>
      <c r="E3047" s="25" t="str">
        <f t="shared" si="1"/>
        <v>82427-Soins des cheveux-Shampoing par type de cheveux</v>
      </c>
      <c r="F3047" s="25">
        <v>1.0</v>
      </c>
      <c r="G3047" s="25">
        <v>391.0</v>
      </c>
      <c r="H3047" s="25">
        <v>86.0</v>
      </c>
      <c r="I3047" s="26">
        <f t="array" ref="I3047">XLOOKUP($A3047,product!A:A,product!E:E)</f>
        <v>2.88</v>
      </c>
      <c r="J3047" s="25">
        <f t="shared" si="2"/>
        <v>247.68</v>
      </c>
      <c r="K3047" s="27">
        <f t="shared" si="3"/>
        <v>1</v>
      </c>
      <c r="L3047" s="25">
        <f t="shared" si="4"/>
        <v>1</v>
      </c>
    </row>
    <row r="3048">
      <c r="A3048" s="19">
        <v>11000.0</v>
      </c>
      <c r="B3048" s="20" t="str">
        <f t="array" ref="B3048">xlookup($A3048,product!$A:$A,product!B:B)</f>
        <v>Beauté &amp; Hygiène</v>
      </c>
      <c r="C3048" s="20" t="str">
        <f t="array" ref="C3048">xlookup($A3048,product!$A:$A,product!C:C)</f>
        <v>Soins des cheveux</v>
      </c>
      <c r="D3048" s="20" t="str">
        <f t="array" ref="D3048">xlookup($A3048,product!$A:$A,product!D:D)</f>
        <v>Shampoing par type de cheveux</v>
      </c>
      <c r="E3048" s="4" t="str">
        <f t="shared" si="1"/>
        <v>11000-Soins des cheveux-Shampoing par type de cheveux</v>
      </c>
      <c r="F3048" s="4">
        <v>0.0</v>
      </c>
      <c r="G3048" s="4">
        <v>44.0</v>
      </c>
      <c r="H3048" s="4">
        <v>5.0</v>
      </c>
      <c r="I3048" s="21">
        <f t="array" ref="I3048">XLOOKUP($A3048,product!A:A,product!E:E)</f>
        <v>3.05</v>
      </c>
      <c r="J3048" s="4">
        <f t="shared" si="2"/>
        <v>15.25</v>
      </c>
      <c r="K3048" s="22">
        <f t="shared" si="3"/>
        <v>1</v>
      </c>
      <c r="L3048" s="4">
        <f t="shared" si="4"/>
        <v>1</v>
      </c>
    </row>
    <row r="3049">
      <c r="A3049" s="23">
        <v>117274.0</v>
      </c>
      <c r="B3049" s="24" t="str">
        <f t="array" ref="B3049">xlookup($A3049,product!$A:$A,product!B:B)</f>
        <v>Beauté &amp; Hygiène</v>
      </c>
      <c r="C3049" s="24" t="str">
        <f t="array" ref="C3049">xlookup($A3049,product!$A:$A,product!C:C)</f>
        <v>Soins des cheveux</v>
      </c>
      <c r="D3049" s="24" t="str">
        <f t="array" ref="D3049">xlookup($A3049,product!$A:$A,product!D:D)</f>
        <v>Shampoing par type de cheveux</v>
      </c>
      <c r="E3049" s="25" t="str">
        <f t="shared" si="1"/>
        <v>117274-Soins des cheveux-Shampoing par type de cheveux</v>
      </c>
      <c r="F3049" s="25">
        <v>0.0</v>
      </c>
      <c r="G3049" s="25">
        <v>146.0</v>
      </c>
      <c r="H3049" s="25">
        <v>59.0</v>
      </c>
      <c r="I3049" s="26">
        <f t="array" ref="I3049">XLOOKUP($A3049,product!A:A,product!E:E)</f>
        <v>4.58</v>
      </c>
      <c r="J3049" s="25">
        <f t="shared" si="2"/>
        <v>270.22</v>
      </c>
      <c r="K3049" s="27">
        <f t="shared" si="3"/>
        <v>1</v>
      </c>
      <c r="L3049" s="25">
        <f t="shared" si="4"/>
        <v>1</v>
      </c>
    </row>
    <row r="3050">
      <c r="A3050" s="19">
        <v>117445.0</v>
      </c>
      <c r="B3050" s="20" t="str">
        <f t="array" ref="B3050">xlookup($A3050,product!$A:$A,product!B:B)</f>
        <v>Beauté &amp; Hygiène</v>
      </c>
      <c r="C3050" s="20" t="str">
        <f t="array" ref="C3050">xlookup($A3050,product!$A:$A,product!C:C)</f>
        <v>Soins des cheveux</v>
      </c>
      <c r="D3050" s="20" t="str">
        <f t="array" ref="D3050">xlookup($A3050,product!$A:$A,product!D:D)</f>
        <v>Shampoing par type de cheveux</v>
      </c>
      <c r="E3050" s="4" t="str">
        <f t="shared" si="1"/>
        <v>117445-Soins des cheveux-Shampoing par type de cheveux</v>
      </c>
      <c r="F3050" s="4">
        <v>1.0</v>
      </c>
      <c r="G3050" s="4">
        <v>720.0</v>
      </c>
      <c r="H3050" s="4">
        <v>560.0</v>
      </c>
      <c r="I3050" s="21">
        <f t="array" ref="I3050">XLOOKUP($A3050,product!A:A,product!E:E)</f>
        <v>6.37</v>
      </c>
      <c r="J3050" s="4">
        <f t="shared" si="2"/>
        <v>3567.2</v>
      </c>
      <c r="K3050" s="22">
        <f t="shared" si="3"/>
        <v>1</v>
      </c>
      <c r="L3050" s="4">
        <f t="shared" si="4"/>
        <v>1</v>
      </c>
    </row>
    <row r="3051">
      <c r="A3051" s="23">
        <v>103246.0</v>
      </c>
      <c r="B3051" s="24" t="str">
        <f t="array" ref="B3051">xlookup($A3051,product!$A:$A,product!B:B)</f>
        <v>Beauté &amp; Hygiène</v>
      </c>
      <c r="C3051" s="24" t="str">
        <f t="array" ref="C3051">xlookup($A3051,product!$A:$A,product!C:C)</f>
        <v>Soins des cheveux</v>
      </c>
      <c r="D3051" s="24" t="str">
        <f t="array" ref="D3051">xlookup($A3051,product!$A:$A,product!D:D)</f>
        <v>Shampoing par type de cheveux</v>
      </c>
      <c r="E3051" s="25" t="str">
        <f t="shared" si="1"/>
        <v>103246-Soins des cheveux-Shampoing par type de cheveux</v>
      </c>
      <c r="F3051" s="25">
        <v>0.0</v>
      </c>
      <c r="G3051" s="25">
        <v>267.0</v>
      </c>
      <c r="H3051" s="25">
        <v>175.0</v>
      </c>
      <c r="I3051" s="26">
        <f t="array" ref="I3051">XLOOKUP($A3051,product!A:A,product!E:E)</f>
        <v>4.42</v>
      </c>
      <c r="J3051" s="25">
        <f t="shared" si="2"/>
        <v>773.5</v>
      </c>
      <c r="K3051" s="27">
        <f t="shared" si="3"/>
        <v>1</v>
      </c>
      <c r="L3051" s="25">
        <f t="shared" si="4"/>
        <v>1</v>
      </c>
    </row>
    <row r="3052">
      <c r="A3052" s="19">
        <v>92626.0</v>
      </c>
      <c r="B3052" s="20" t="str">
        <f t="array" ref="B3052">xlookup($A3052,product!$A:$A,product!B:B)</f>
        <v>Beauté &amp; Hygiène</v>
      </c>
      <c r="C3052" s="20" t="str">
        <f t="array" ref="C3052">xlookup($A3052,product!$A:$A,product!C:C)</f>
        <v>Soins des cheveux</v>
      </c>
      <c r="D3052" s="20" t="str">
        <f t="array" ref="D3052">xlookup($A3052,product!$A:$A,product!D:D)</f>
        <v>Shampoing par type de cheveux</v>
      </c>
      <c r="E3052" s="4" t="str">
        <f t="shared" si="1"/>
        <v>92626-Soins des cheveux-Shampoing par type de cheveux</v>
      </c>
      <c r="F3052" s="4">
        <v>1.0</v>
      </c>
      <c r="G3052" s="4">
        <v>141.0</v>
      </c>
      <c r="H3052" s="4">
        <v>129.0</v>
      </c>
      <c r="I3052" s="21">
        <f t="array" ref="I3052">XLOOKUP($A3052,product!A:A,product!E:E)</f>
        <v>6.3</v>
      </c>
      <c r="J3052" s="4">
        <f t="shared" si="2"/>
        <v>812.7</v>
      </c>
      <c r="K3052" s="22">
        <f t="shared" si="3"/>
        <v>1</v>
      </c>
      <c r="L3052" s="4">
        <f t="shared" si="4"/>
        <v>1</v>
      </c>
    </row>
    <row r="3053">
      <c r="A3053" s="23">
        <v>79352.0</v>
      </c>
      <c r="B3053" s="24" t="str">
        <f t="array" ref="B3053">xlookup($A3053,product!$A:$A,product!B:B)</f>
        <v>Beauté &amp; Hygiène</v>
      </c>
      <c r="C3053" s="24" t="str">
        <f t="array" ref="C3053">xlookup($A3053,product!$A:$A,product!C:C)</f>
        <v>Soins des cheveux</v>
      </c>
      <c r="D3053" s="24" t="str">
        <f t="array" ref="D3053">xlookup($A3053,product!$A:$A,product!D:D)</f>
        <v>Shampoing par type de cheveux</v>
      </c>
      <c r="E3053" s="25" t="str">
        <f t="shared" si="1"/>
        <v>79352-Soins des cheveux-Shampoing par type de cheveux</v>
      </c>
      <c r="F3053" s="25">
        <v>0.0</v>
      </c>
      <c r="G3053" s="25">
        <v>13.0</v>
      </c>
      <c r="H3053" s="25">
        <v>6.0</v>
      </c>
      <c r="I3053" s="26">
        <f t="array" ref="I3053">XLOOKUP($A3053,product!A:A,product!E:E)</f>
        <v>4.76</v>
      </c>
      <c r="J3053" s="25">
        <f t="shared" si="2"/>
        <v>28.56</v>
      </c>
      <c r="K3053" s="27">
        <f t="shared" si="3"/>
        <v>1</v>
      </c>
      <c r="L3053" s="25">
        <f t="shared" si="4"/>
        <v>1</v>
      </c>
    </row>
    <row r="3054">
      <c r="A3054" s="19">
        <v>128315.0</v>
      </c>
      <c r="B3054" s="20" t="str">
        <f t="array" ref="B3054">xlookup($A3054,product!$A:$A,product!B:B)</f>
        <v>Beauté &amp; Hygiène</v>
      </c>
      <c r="C3054" s="20" t="str">
        <f t="array" ref="C3054">xlookup($A3054,product!$A:$A,product!C:C)</f>
        <v>Soins des cheveux</v>
      </c>
      <c r="D3054" s="20" t="str">
        <f t="array" ref="D3054">xlookup($A3054,product!$A:$A,product!D:D)</f>
        <v>Shampoing par type de cheveux</v>
      </c>
      <c r="E3054" s="4" t="str">
        <f t="shared" si="1"/>
        <v>128315-Soins des cheveux-Shampoing par type de cheveux</v>
      </c>
      <c r="F3054" s="4">
        <v>1.0</v>
      </c>
      <c r="G3054" s="4">
        <v>507.0</v>
      </c>
      <c r="H3054" s="4">
        <v>97.0</v>
      </c>
      <c r="I3054" s="21">
        <f t="array" ref="I3054">XLOOKUP($A3054,product!A:A,product!E:E)</f>
        <v>2.76</v>
      </c>
      <c r="J3054" s="4">
        <f t="shared" si="2"/>
        <v>267.72</v>
      </c>
      <c r="K3054" s="22">
        <f t="shared" si="3"/>
        <v>1</v>
      </c>
      <c r="L3054" s="4">
        <f t="shared" si="4"/>
        <v>1</v>
      </c>
    </row>
    <row r="3055">
      <c r="A3055" s="23">
        <v>117272.0</v>
      </c>
      <c r="B3055" s="24" t="str">
        <f t="array" ref="B3055">xlookup($A3055,product!$A:$A,product!B:B)</f>
        <v>Beauté &amp; Hygiène</v>
      </c>
      <c r="C3055" s="24" t="str">
        <f t="array" ref="C3055">xlookup($A3055,product!$A:$A,product!C:C)</f>
        <v>Soins des cheveux</v>
      </c>
      <c r="D3055" s="24" t="str">
        <f t="array" ref="D3055">xlookup($A3055,product!$A:$A,product!D:D)</f>
        <v>Shampoing par type de cheveux</v>
      </c>
      <c r="E3055" s="25" t="str">
        <f t="shared" si="1"/>
        <v>117272-Soins des cheveux-Shampoing par type de cheveux</v>
      </c>
      <c r="F3055" s="25">
        <v>1.0</v>
      </c>
      <c r="G3055" s="25">
        <v>792.0</v>
      </c>
      <c r="H3055" s="25">
        <v>407.0</v>
      </c>
      <c r="I3055" s="26">
        <f t="array" ref="I3055">XLOOKUP($A3055,product!A:A,product!E:E)</f>
        <v>4.58</v>
      </c>
      <c r="J3055" s="25">
        <f t="shared" si="2"/>
        <v>1864.06</v>
      </c>
      <c r="K3055" s="27">
        <f t="shared" si="3"/>
        <v>1</v>
      </c>
      <c r="L3055" s="25">
        <f t="shared" si="4"/>
        <v>1</v>
      </c>
    </row>
    <row r="3056">
      <c r="A3056" s="19">
        <v>116770.0</v>
      </c>
      <c r="B3056" s="20" t="str">
        <f t="array" ref="B3056">xlookup($A3056,product!$A:$A,product!B:B)</f>
        <v>Beauté &amp; Hygiène</v>
      </c>
      <c r="C3056" s="20" t="str">
        <f t="array" ref="C3056">xlookup($A3056,product!$A:$A,product!C:C)</f>
        <v>Soins des cheveux</v>
      </c>
      <c r="D3056" s="20" t="str">
        <f t="array" ref="D3056">xlookup($A3056,product!$A:$A,product!D:D)</f>
        <v>Shampoing par type de cheveux</v>
      </c>
      <c r="E3056" s="4" t="str">
        <f t="shared" si="1"/>
        <v>116770-Soins des cheveux-Shampoing par type de cheveux</v>
      </c>
      <c r="F3056" s="4">
        <v>1.0</v>
      </c>
      <c r="G3056" s="4">
        <v>358.0</v>
      </c>
      <c r="H3056" s="4">
        <v>125.0</v>
      </c>
      <c r="I3056" s="21">
        <f t="array" ref="I3056">XLOOKUP($A3056,product!A:A,product!E:E)</f>
        <v>2.88</v>
      </c>
      <c r="J3056" s="4">
        <f t="shared" si="2"/>
        <v>360</v>
      </c>
      <c r="K3056" s="22">
        <f t="shared" si="3"/>
        <v>1</v>
      </c>
      <c r="L3056" s="4">
        <f t="shared" si="4"/>
        <v>1</v>
      </c>
    </row>
    <row r="3057">
      <c r="A3057" s="23">
        <v>118012.0</v>
      </c>
      <c r="B3057" s="24" t="str">
        <f t="array" ref="B3057">xlookup($A3057,product!$A:$A,product!B:B)</f>
        <v>Beauté &amp; Hygiène</v>
      </c>
      <c r="C3057" s="24" t="str">
        <f t="array" ref="C3057">xlookup($A3057,product!$A:$A,product!C:C)</f>
        <v>Soins des cheveux</v>
      </c>
      <c r="D3057" s="24" t="str">
        <f t="array" ref="D3057">xlookup($A3057,product!$A:$A,product!D:D)</f>
        <v>Shampoing par type de cheveux</v>
      </c>
      <c r="E3057" s="25" t="str">
        <f t="shared" si="1"/>
        <v>118012-Soins des cheveux-Shampoing par type de cheveux</v>
      </c>
      <c r="F3057" s="25">
        <v>1.0</v>
      </c>
      <c r="G3057" s="25">
        <v>493.0</v>
      </c>
      <c r="H3057" s="25">
        <v>360.0</v>
      </c>
      <c r="I3057" s="26">
        <f t="array" ref="I3057">XLOOKUP($A3057,product!A:A,product!E:E)</f>
        <v>4.79</v>
      </c>
      <c r="J3057" s="25">
        <f t="shared" si="2"/>
        <v>1724.4</v>
      </c>
      <c r="K3057" s="27">
        <f t="shared" si="3"/>
        <v>1</v>
      </c>
      <c r="L3057" s="25">
        <f t="shared" si="4"/>
        <v>1</v>
      </c>
    </row>
    <row r="3058">
      <c r="A3058" s="19">
        <v>117306.0</v>
      </c>
      <c r="B3058" s="20" t="str">
        <f t="array" ref="B3058">xlookup($A3058,product!$A:$A,product!B:B)</f>
        <v>Beauté &amp; Hygiène</v>
      </c>
      <c r="C3058" s="20" t="str">
        <f t="array" ref="C3058">xlookup($A3058,product!$A:$A,product!C:C)</f>
        <v>Soins des cheveux</v>
      </c>
      <c r="D3058" s="20" t="str">
        <f t="array" ref="D3058">xlookup($A3058,product!$A:$A,product!D:D)</f>
        <v>Shampoing par type de cheveux</v>
      </c>
      <c r="E3058" s="4" t="str">
        <f t="shared" si="1"/>
        <v>117306-Soins des cheveux-Shampoing par type de cheveux</v>
      </c>
      <c r="F3058" s="4">
        <v>0.0</v>
      </c>
      <c r="G3058" s="4">
        <v>832.0</v>
      </c>
      <c r="H3058" s="4">
        <v>444.0</v>
      </c>
      <c r="I3058" s="21">
        <f t="array" ref="I3058">XLOOKUP($A3058,product!A:A,product!E:E)</f>
        <v>4.12</v>
      </c>
      <c r="J3058" s="4">
        <f t="shared" si="2"/>
        <v>1829.28</v>
      </c>
      <c r="K3058" s="22">
        <f t="shared" si="3"/>
        <v>1</v>
      </c>
      <c r="L3058" s="4">
        <f t="shared" si="4"/>
        <v>1</v>
      </c>
    </row>
    <row r="3059">
      <c r="A3059" s="23">
        <v>117056.0</v>
      </c>
      <c r="B3059" s="24" t="str">
        <f t="array" ref="B3059">xlookup($A3059,product!$A:$A,product!B:B)</f>
        <v>Beauté &amp; Hygiène</v>
      </c>
      <c r="C3059" s="24" t="str">
        <f t="array" ref="C3059">xlookup($A3059,product!$A:$A,product!C:C)</f>
        <v>Soins des cheveux</v>
      </c>
      <c r="D3059" s="24" t="str">
        <f t="array" ref="D3059">xlookup($A3059,product!$A:$A,product!D:D)</f>
        <v>Shampoing par type de cheveux</v>
      </c>
      <c r="E3059" s="25" t="str">
        <f t="shared" si="1"/>
        <v>117056-Soins des cheveux-Shampoing par type de cheveux</v>
      </c>
      <c r="F3059" s="25">
        <v>1.0</v>
      </c>
      <c r="G3059" s="25">
        <v>411.0</v>
      </c>
      <c r="H3059" s="25">
        <v>345.0</v>
      </c>
      <c r="I3059" s="26">
        <f t="array" ref="I3059">XLOOKUP($A3059,product!A:A,product!E:E)</f>
        <v>7.02</v>
      </c>
      <c r="J3059" s="25">
        <f t="shared" si="2"/>
        <v>2421.9</v>
      </c>
      <c r="K3059" s="27">
        <f t="shared" si="3"/>
        <v>1</v>
      </c>
      <c r="L3059" s="25">
        <f t="shared" si="4"/>
        <v>1</v>
      </c>
    </row>
    <row r="3060">
      <c r="A3060" s="19">
        <v>188066.0</v>
      </c>
      <c r="B3060" s="20" t="str">
        <f t="array" ref="B3060">xlookup($A3060,product!$A:$A,product!B:B)</f>
        <v>Beauté &amp; Hygiène</v>
      </c>
      <c r="C3060" s="20" t="str">
        <f t="array" ref="C3060">xlookup($A3060,product!$A:$A,product!C:C)</f>
        <v>Soins des cheveux</v>
      </c>
      <c r="D3060" s="20" t="str">
        <f t="array" ref="D3060">xlookup($A3060,product!$A:$A,product!D:D)</f>
        <v>Shampoing par type de cheveux</v>
      </c>
      <c r="E3060" s="4" t="str">
        <f t="shared" si="1"/>
        <v>188066-Soins des cheveux-Shampoing par type de cheveux</v>
      </c>
      <c r="F3060" s="4">
        <v>1.0</v>
      </c>
      <c r="G3060" s="4">
        <v>347.0</v>
      </c>
      <c r="H3060" s="4">
        <v>226.0</v>
      </c>
      <c r="I3060" s="21">
        <f t="array" ref="I3060">XLOOKUP($A3060,product!A:A,product!E:E)</f>
        <v>6.3</v>
      </c>
      <c r="J3060" s="4">
        <f t="shared" si="2"/>
        <v>1423.8</v>
      </c>
      <c r="K3060" s="22">
        <f t="shared" si="3"/>
        <v>1</v>
      </c>
      <c r="L3060" s="4">
        <f t="shared" si="4"/>
        <v>1</v>
      </c>
    </row>
    <row r="3061">
      <c r="A3061" s="23">
        <v>181147.0</v>
      </c>
      <c r="B3061" s="24" t="str">
        <f t="array" ref="B3061">xlookup($A3061,product!$A:$A,product!B:B)</f>
        <v>Beauté &amp; Hygiène</v>
      </c>
      <c r="C3061" s="24" t="str">
        <f t="array" ref="C3061">xlookup($A3061,product!$A:$A,product!C:C)</f>
        <v>Soins des cheveux</v>
      </c>
      <c r="D3061" s="24" t="str">
        <f t="array" ref="D3061">xlookup($A3061,product!$A:$A,product!D:D)</f>
        <v>Shampoing par type de cheveux</v>
      </c>
      <c r="E3061" s="25" t="str">
        <f t="shared" si="1"/>
        <v>181147-Soins des cheveux-Shampoing par type de cheveux</v>
      </c>
      <c r="F3061" s="25">
        <v>1.0</v>
      </c>
      <c r="G3061" s="25">
        <v>426.0</v>
      </c>
      <c r="H3061" s="25">
        <v>97.0</v>
      </c>
      <c r="I3061" s="26">
        <f t="array" ref="I3061">XLOOKUP($A3061,product!A:A,product!E:E)</f>
        <v>5.3</v>
      </c>
      <c r="J3061" s="25">
        <f t="shared" si="2"/>
        <v>514.1</v>
      </c>
      <c r="K3061" s="27">
        <f t="shared" si="3"/>
        <v>1</v>
      </c>
      <c r="L3061" s="25">
        <f t="shared" si="4"/>
        <v>1</v>
      </c>
    </row>
    <row r="3062">
      <c r="A3062" s="19">
        <v>79917.0</v>
      </c>
      <c r="B3062" s="20" t="str">
        <f t="array" ref="B3062">xlookup($A3062,product!$A:$A,product!B:B)</f>
        <v>Beauté &amp; Hygiène</v>
      </c>
      <c r="C3062" s="20" t="str">
        <f t="array" ref="C3062">xlookup($A3062,product!$A:$A,product!C:C)</f>
        <v>Soins des cheveux</v>
      </c>
      <c r="D3062" s="20" t="str">
        <f t="array" ref="D3062">xlookup($A3062,product!$A:$A,product!D:D)</f>
        <v>Shampoing par type de cheveux</v>
      </c>
      <c r="E3062" s="4" t="str">
        <f t="shared" si="1"/>
        <v>79917-Soins des cheveux-Shampoing par type de cheveux</v>
      </c>
      <c r="F3062" s="4">
        <v>1.0</v>
      </c>
      <c r="G3062" s="4">
        <v>450.0</v>
      </c>
      <c r="H3062" s="4">
        <v>278.0</v>
      </c>
      <c r="I3062" s="21">
        <f t="array" ref="I3062">XLOOKUP($A3062,product!A:A,product!E:E)</f>
        <v>4.09</v>
      </c>
      <c r="J3062" s="4">
        <f t="shared" si="2"/>
        <v>1137.02</v>
      </c>
      <c r="K3062" s="22">
        <f t="shared" si="3"/>
        <v>1</v>
      </c>
      <c r="L3062" s="4">
        <f t="shared" si="4"/>
        <v>1</v>
      </c>
    </row>
    <row r="3063">
      <c r="A3063" s="23">
        <v>110282.0</v>
      </c>
      <c r="B3063" s="24" t="str">
        <f t="array" ref="B3063">xlookup($A3063,product!$A:$A,product!B:B)</f>
        <v>Beauté &amp; Hygiène</v>
      </c>
      <c r="C3063" s="24" t="str">
        <f t="array" ref="C3063">xlookup($A3063,product!$A:$A,product!C:C)</f>
        <v>Soins des cheveux</v>
      </c>
      <c r="D3063" s="24" t="str">
        <f t="array" ref="D3063">xlookup($A3063,product!$A:$A,product!D:D)</f>
        <v>Shampoing par type de cheveux</v>
      </c>
      <c r="E3063" s="25" t="str">
        <f t="shared" si="1"/>
        <v>110282-Soins des cheveux-Shampoing par type de cheveux</v>
      </c>
      <c r="F3063" s="25">
        <v>0.0</v>
      </c>
      <c r="G3063" s="25">
        <v>78.0</v>
      </c>
      <c r="H3063" s="25">
        <v>28.0</v>
      </c>
      <c r="I3063" s="26">
        <f t="array" ref="I3063">XLOOKUP($A3063,product!A:A,product!E:E)</f>
        <v>3.71</v>
      </c>
      <c r="J3063" s="25">
        <f t="shared" si="2"/>
        <v>103.88</v>
      </c>
      <c r="K3063" s="27">
        <f t="shared" si="3"/>
        <v>1</v>
      </c>
      <c r="L3063" s="25">
        <f t="shared" si="4"/>
        <v>1</v>
      </c>
    </row>
    <row r="3064">
      <c r="A3064" s="19">
        <v>200526.0</v>
      </c>
      <c r="B3064" s="20" t="str">
        <f t="array" ref="B3064">xlookup($A3064,product!$A:$A,product!B:B)</f>
        <v>Beauté &amp; Hygiène</v>
      </c>
      <c r="C3064" s="20" t="str">
        <f t="array" ref="C3064">xlookup($A3064,product!$A:$A,product!C:C)</f>
        <v>Soins des cheveux</v>
      </c>
      <c r="D3064" s="20" t="str">
        <f t="array" ref="D3064">xlookup($A3064,product!$A:$A,product!D:D)</f>
        <v>Shampoing par type de cheveux</v>
      </c>
      <c r="E3064" s="4" t="str">
        <f t="shared" si="1"/>
        <v>200526-Soins des cheveux-Shampoing par type de cheveux</v>
      </c>
      <c r="F3064" s="4">
        <v>1.0</v>
      </c>
      <c r="G3064" s="4">
        <v>45.0</v>
      </c>
      <c r="H3064" s="4">
        <v>7.0</v>
      </c>
      <c r="I3064" s="21">
        <f t="array" ref="I3064">XLOOKUP($A3064,product!A:A,product!E:E)</f>
        <v>5.82</v>
      </c>
      <c r="J3064" s="4">
        <f t="shared" si="2"/>
        <v>40.74</v>
      </c>
      <c r="K3064" s="22">
        <f t="shared" si="3"/>
        <v>1</v>
      </c>
      <c r="L3064" s="4">
        <f t="shared" si="4"/>
        <v>1</v>
      </c>
    </row>
    <row r="3065">
      <c r="A3065" s="23">
        <v>193197.0</v>
      </c>
      <c r="B3065" s="24" t="str">
        <f t="array" ref="B3065">xlookup($A3065,product!$A:$A,product!B:B)</f>
        <v>Beauté &amp; Hygiène</v>
      </c>
      <c r="C3065" s="24" t="str">
        <f t="array" ref="C3065">xlookup($A3065,product!$A:$A,product!C:C)</f>
        <v>Soins des cheveux</v>
      </c>
      <c r="D3065" s="24" t="str">
        <f t="array" ref="D3065">xlookup($A3065,product!$A:$A,product!D:D)</f>
        <v>Shampoing par type de cheveux</v>
      </c>
      <c r="E3065" s="25" t="str">
        <f t="shared" si="1"/>
        <v>193197-Soins des cheveux-Shampoing par type de cheveux</v>
      </c>
      <c r="F3065" s="25">
        <v>0.0</v>
      </c>
      <c r="G3065" s="25">
        <v>49.0</v>
      </c>
      <c r="H3065" s="25">
        <v>31.0</v>
      </c>
      <c r="I3065" s="26">
        <f t="array" ref="I3065">XLOOKUP($A3065,product!A:A,product!E:E)</f>
        <v>4.42</v>
      </c>
      <c r="J3065" s="25">
        <f t="shared" si="2"/>
        <v>137.02</v>
      </c>
      <c r="K3065" s="27">
        <f t="shared" si="3"/>
        <v>1</v>
      </c>
      <c r="L3065" s="25">
        <f t="shared" si="4"/>
        <v>1</v>
      </c>
    </row>
    <row r="3066">
      <c r="A3066" s="19">
        <v>79820.0</v>
      </c>
      <c r="B3066" s="20" t="str">
        <f t="array" ref="B3066">xlookup($A3066,product!$A:$A,product!B:B)</f>
        <v>Beauté &amp; Hygiène</v>
      </c>
      <c r="C3066" s="20" t="str">
        <f t="array" ref="C3066">xlookup($A3066,product!$A:$A,product!C:C)</f>
        <v>Soins des cheveux</v>
      </c>
      <c r="D3066" s="20" t="str">
        <f t="array" ref="D3066">xlookup($A3066,product!$A:$A,product!D:D)</f>
        <v>Shampoing par type de cheveux</v>
      </c>
      <c r="E3066" s="4" t="str">
        <f t="shared" si="1"/>
        <v>79820-Soins des cheveux-Shampoing par type de cheveux</v>
      </c>
      <c r="F3066" s="4">
        <v>1.0</v>
      </c>
      <c r="G3066" s="4">
        <v>877.0</v>
      </c>
      <c r="H3066" s="4">
        <v>278.0</v>
      </c>
      <c r="I3066" s="21">
        <f t="array" ref="I3066">XLOOKUP($A3066,product!A:A,product!E:E)</f>
        <v>3.97</v>
      </c>
      <c r="J3066" s="4">
        <f t="shared" si="2"/>
        <v>1103.66</v>
      </c>
      <c r="K3066" s="22">
        <f t="shared" si="3"/>
        <v>1</v>
      </c>
      <c r="L3066" s="4">
        <f t="shared" si="4"/>
        <v>1</v>
      </c>
    </row>
    <row r="3067">
      <c r="A3067" s="23">
        <v>122327.0</v>
      </c>
      <c r="B3067" s="24" t="str">
        <f t="array" ref="B3067">xlookup($A3067,product!$A:$A,product!B:B)</f>
        <v>Beauté &amp; Hygiène</v>
      </c>
      <c r="C3067" s="24" t="str">
        <f t="array" ref="C3067">xlookup($A3067,product!$A:$A,product!C:C)</f>
        <v>Soins des cheveux</v>
      </c>
      <c r="D3067" s="24" t="str">
        <f t="array" ref="D3067">xlookup($A3067,product!$A:$A,product!D:D)</f>
        <v>Shampoing par type de cheveux</v>
      </c>
      <c r="E3067" s="25" t="str">
        <f t="shared" si="1"/>
        <v>122327-Soins des cheveux-Shampoing par type de cheveux</v>
      </c>
      <c r="F3067" s="25">
        <v>1.0</v>
      </c>
      <c r="G3067" s="25">
        <v>546.0</v>
      </c>
      <c r="H3067" s="25">
        <v>327.0</v>
      </c>
      <c r="I3067" s="26">
        <f t="array" ref="I3067">XLOOKUP($A3067,product!A:A,product!E:E)</f>
        <v>4.05</v>
      </c>
      <c r="J3067" s="25">
        <f t="shared" si="2"/>
        <v>1324.35</v>
      </c>
      <c r="K3067" s="27">
        <f t="shared" si="3"/>
        <v>1</v>
      </c>
      <c r="L3067" s="25">
        <f t="shared" si="4"/>
        <v>1</v>
      </c>
    </row>
    <row r="3068">
      <c r="A3068" s="19">
        <v>117956.0</v>
      </c>
      <c r="B3068" s="20" t="str">
        <f t="array" ref="B3068">xlookup($A3068,product!$A:$A,product!B:B)</f>
        <v>Beauté &amp; Hygiène</v>
      </c>
      <c r="C3068" s="20" t="str">
        <f t="array" ref="C3068">xlookup($A3068,product!$A:$A,product!C:C)</f>
        <v>Soins des cheveux</v>
      </c>
      <c r="D3068" s="20" t="str">
        <f t="array" ref="D3068">xlookup($A3068,product!$A:$A,product!D:D)</f>
        <v>Shampoing par type de cheveux</v>
      </c>
      <c r="E3068" s="4" t="str">
        <f t="shared" si="1"/>
        <v>117956-Soins des cheveux-Shampoing par type de cheveux</v>
      </c>
      <c r="F3068" s="4">
        <v>0.0</v>
      </c>
      <c r="G3068" s="4">
        <v>20.0</v>
      </c>
      <c r="H3068" s="4">
        <v>17.0</v>
      </c>
      <c r="I3068" s="21">
        <f t="array" ref="I3068">XLOOKUP($A3068,product!A:A,product!E:E)</f>
        <v>6.77</v>
      </c>
      <c r="J3068" s="4">
        <f t="shared" si="2"/>
        <v>115.09</v>
      </c>
      <c r="K3068" s="22">
        <f t="shared" si="3"/>
        <v>1</v>
      </c>
      <c r="L3068" s="4">
        <f t="shared" si="4"/>
        <v>1</v>
      </c>
    </row>
    <row r="3069">
      <c r="A3069" s="23">
        <v>86182.0</v>
      </c>
      <c r="B3069" s="24" t="str">
        <f t="array" ref="B3069">xlookup($A3069,product!$A:$A,product!B:B)</f>
        <v>Beauté &amp; Hygiène</v>
      </c>
      <c r="C3069" s="24" t="str">
        <f t="array" ref="C3069">xlookup($A3069,product!$A:$A,product!C:C)</f>
        <v>Soins des cheveux</v>
      </c>
      <c r="D3069" s="24" t="str">
        <f t="array" ref="D3069">xlookup($A3069,product!$A:$A,product!D:D)</f>
        <v>Shampoing par type de cheveux</v>
      </c>
      <c r="E3069" s="25" t="str">
        <f t="shared" si="1"/>
        <v>86182-Soins des cheveux-Shampoing par type de cheveux</v>
      </c>
      <c r="F3069" s="25">
        <v>1.0</v>
      </c>
      <c r="G3069" s="25">
        <v>401.0</v>
      </c>
      <c r="H3069" s="25">
        <v>183.0</v>
      </c>
      <c r="I3069" s="26">
        <f t="array" ref="I3069">XLOOKUP($A3069,product!A:A,product!E:E)</f>
        <v>3.81</v>
      </c>
      <c r="J3069" s="25">
        <f t="shared" si="2"/>
        <v>697.23</v>
      </c>
      <c r="K3069" s="27">
        <f t="shared" si="3"/>
        <v>1</v>
      </c>
      <c r="L3069" s="25">
        <f t="shared" si="4"/>
        <v>1</v>
      </c>
    </row>
    <row r="3070">
      <c r="A3070" s="19">
        <v>46989.0</v>
      </c>
      <c r="B3070" s="20" t="str">
        <f t="array" ref="B3070">xlookup($A3070,product!$A:$A,product!B:B)</f>
        <v>Beauté &amp; Hygiène</v>
      </c>
      <c r="C3070" s="20" t="str">
        <f t="array" ref="C3070">xlookup($A3070,product!$A:$A,product!C:C)</f>
        <v>Soins des cheveux</v>
      </c>
      <c r="D3070" s="20" t="str">
        <f t="array" ref="D3070">xlookup($A3070,product!$A:$A,product!D:D)</f>
        <v>Shampoing par type de cheveux</v>
      </c>
      <c r="E3070" s="4" t="str">
        <f t="shared" si="1"/>
        <v>46989-Soins des cheveux-Shampoing par type de cheveux</v>
      </c>
      <c r="F3070" s="4">
        <v>1.0</v>
      </c>
      <c r="G3070" s="4">
        <v>808.0</v>
      </c>
      <c r="H3070" s="4">
        <v>56.0</v>
      </c>
      <c r="I3070" s="21">
        <f t="array" ref="I3070">XLOOKUP($A3070,product!A:A,product!E:E)</f>
        <v>3.55</v>
      </c>
      <c r="J3070" s="4">
        <f t="shared" si="2"/>
        <v>198.8</v>
      </c>
      <c r="K3070" s="22">
        <f t="shared" si="3"/>
        <v>1</v>
      </c>
      <c r="L3070" s="4">
        <f t="shared" si="4"/>
        <v>1</v>
      </c>
    </row>
    <row r="3071">
      <c r="A3071" s="23">
        <v>46976.0</v>
      </c>
      <c r="B3071" s="24" t="str">
        <f t="array" ref="B3071">xlookup($A3071,product!$A:$A,product!B:B)</f>
        <v>Beauté &amp; Hygiène</v>
      </c>
      <c r="C3071" s="24" t="str">
        <f t="array" ref="C3071">xlookup($A3071,product!$A:$A,product!C:C)</f>
        <v>Soins des cheveux</v>
      </c>
      <c r="D3071" s="24" t="str">
        <f t="array" ref="D3071">xlookup($A3071,product!$A:$A,product!D:D)</f>
        <v>Shampoing par type de cheveux</v>
      </c>
      <c r="E3071" s="25" t="str">
        <f t="shared" si="1"/>
        <v>46976-Soins des cheveux-Shampoing par type de cheveux</v>
      </c>
      <c r="F3071" s="25">
        <v>0.0</v>
      </c>
      <c r="G3071" s="25">
        <v>337.0</v>
      </c>
      <c r="H3071" s="25">
        <v>277.0</v>
      </c>
      <c r="I3071" s="26">
        <f t="array" ref="I3071">XLOOKUP($A3071,product!A:A,product!E:E)</f>
        <v>7.16</v>
      </c>
      <c r="J3071" s="25">
        <f t="shared" si="2"/>
        <v>1983.32</v>
      </c>
      <c r="K3071" s="27">
        <f t="shared" si="3"/>
        <v>1</v>
      </c>
      <c r="L3071" s="25">
        <f t="shared" si="4"/>
        <v>1</v>
      </c>
    </row>
    <row r="3072">
      <c r="A3072" s="19">
        <v>79354.0</v>
      </c>
      <c r="B3072" s="20" t="str">
        <f t="array" ref="B3072">xlookup($A3072,product!$A:$A,product!B:B)</f>
        <v>Beauté &amp; Hygiène</v>
      </c>
      <c r="C3072" s="20" t="str">
        <f t="array" ref="C3072">xlookup($A3072,product!$A:$A,product!C:C)</f>
        <v>Soins des cheveux</v>
      </c>
      <c r="D3072" s="20" t="str">
        <f t="array" ref="D3072">xlookup($A3072,product!$A:$A,product!D:D)</f>
        <v>Shampoing par type de cheveux</v>
      </c>
      <c r="E3072" s="4" t="str">
        <f t="shared" si="1"/>
        <v>79354-Soins des cheveux-Shampoing par type de cheveux</v>
      </c>
      <c r="F3072" s="4">
        <v>0.0</v>
      </c>
      <c r="G3072" s="4">
        <v>284.0</v>
      </c>
      <c r="H3072" s="4">
        <v>83.0</v>
      </c>
      <c r="I3072" s="21">
        <f t="array" ref="I3072">XLOOKUP($A3072,product!A:A,product!E:E)</f>
        <v>4.76</v>
      </c>
      <c r="J3072" s="4">
        <f t="shared" si="2"/>
        <v>395.08</v>
      </c>
      <c r="K3072" s="22">
        <f t="shared" si="3"/>
        <v>1</v>
      </c>
      <c r="L3072" s="4">
        <f t="shared" si="4"/>
        <v>1</v>
      </c>
    </row>
    <row r="3073">
      <c r="A3073" s="23">
        <v>114268.0</v>
      </c>
      <c r="B3073" s="24" t="str">
        <f t="array" ref="B3073">xlookup($A3073,product!$A:$A,product!B:B)</f>
        <v>Beauté &amp; Hygiène</v>
      </c>
      <c r="C3073" s="24" t="str">
        <f t="array" ref="C3073">xlookup($A3073,product!$A:$A,product!C:C)</f>
        <v>Soins des cheveux</v>
      </c>
      <c r="D3073" s="24" t="str">
        <f t="array" ref="D3073">xlookup($A3073,product!$A:$A,product!D:D)</f>
        <v>Shampoing par type de cheveux</v>
      </c>
      <c r="E3073" s="25" t="str">
        <f t="shared" si="1"/>
        <v>114268-Soins des cheveux-Shampoing par type de cheveux</v>
      </c>
      <c r="F3073" s="25">
        <v>1.0</v>
      </c>
      <c r="G3073" s="25">
        <v>208.0</v>
      </c>
      <c r="H3073" s="25">
        <v>136.0</v>
      </c>
      <c r="I3073" s="26">
        <f t="array" ref="I3073">XLOOKUP($A3073,product!A:A,product!E:E)</f>
        <v>3.13</v>
      </c>
      <c r="J3073" s="25">
        <f t="shared" si="2"/>
        <v>425.68</v>
      </c>
      <c r="K3073" s="27">
        <f t="shared" si="3"/>
        <v>1</v>
      </c>
      <c r="L3073" s="25">
        <f t="shared" si="4"/>
        <v>1</v>
      </c>
    </row>
    <row r="3074">
      <c r="A3074" s="19">
        <v>10685.0</v>
      </c>
      <c r="B3074" s="20" t="str">
        <f t="array" ref="B3074">xlookup($A3074,product!$A:$A,product!B:B)</f>
        <v>Beauté &amp; Hygiène</v>
      </c>
      <c r="C3074" s="20" t="str">
        <f t="array" ref="C3074">xlookup($A3074,product!$A:$A,product!C:C)</f>
        <v>Soins des cheveux</v>
      </c>
      <c r="D3074" s="20" t="str">
        <f t="array" ref="D3074">xlookup($A3074,product!$A:$A,product!D:D)</f>
        <v>Shampoing par type de cheveux</v>
      </c>
      <c r="E3074" s="4" t="str">
        <f t="shared" si="1"/>
        <v>10685-Soins des cheveux-Shampoing par type de cheveux</v>
      </c>
      <c r="F3074" s="4">
        <v>0.0</v>
      </c>
      <c r="G3074" s="4">
        <v>180.0</v>
      </c>
      <c r="H3074" s="4">
        <v>27.0</v>
      </c>
      <c r="I3074" s="21">
        <f t="array" ref="I3074">XLOOKUP($A3074,product!A:A,product!E:E)</f>
        <v>6.15</v>
      </c>
      <c r="J3074" s="4">
        <f t="shared" si="2"/>
        <v>166.05</v>
      </c>
      <c r="K3074" s="22">
        <f t="shared" si="3"/>
        <v>1</v>
      </c>
      <c r="L3074" s="4">
        <f t="shared" si="4"/>
        <v>1</v>
      </c>
    </row>
    <row r="3075">
      <c r="A3075" s="23">
        <v>118157.0</v>
      </c>
      <c r="B3075" s="24" t="str">
        <f t="array" ref="B3075">xlookup($A3075,product!$A:$A,product!B:B)</f>
        <v>Beauté &amp; Hygiène</v>
      </c>
      <c r="C3075" s="24" t="str">
        <f t="array" ref="C3075">xlookup($A3075,product!$A:$A,product!C:C)</f>
        <v>Soins des cheveux</v>
      </c>
      <c r="D3075" s="24" t="str">
        <f t="array" ref="D3075">xlookup($A3075,product!$A:$A,product!D:D)</f>
        <v>Shampoing par type de cheveux</v>
      </c>
      <c r="E3075" s="25" t="str">
        <f t="shared" si="1"/>
        <v>118157-Soins des cheveux-Shampoing par type de cheveux</v>
      </c>
      <c r="F3075" s="25">
        <v>1.0</v>
      </c>
      <c r="G3075" s="25">
        <v>865.0</v>
      </c>
      <c r="H3075" s="25">
        <v>158.0</v>
      </c>
      <c r="I3075" s="26">
        <f t="array" ref="I3075">XLOOKUP($A3075,product!A:A,product!E:E)</f>
        <v>4.31</v>
      </c>
      <c r="J3075" s="25">
        <f t="shared" si="2"/>
        <v>680.98</v>
      </c>
      <c r="K3075" s="27">
        <f t="shared" si="3"/>
        <v>1</v>
      </c>
      <c r="L3075" s="25">
        <f t="shared" si="4"/>
        <v>1</v>
      </c>
    </row>
    <row r="3076">
      <c r="A3076" s="19">
        <v>122322.0</v>
      </c>
      <c r="B3076" s="20" t="str">
        <f t="array" ref="B3076">xlookup($A3076,product!$A:$A,product!B:B)</f>
        <v>Beauté &amp; Hygiène</v>
      </c>
      <c r="C3076" s="20" t="str">
        <f t="array" ref="C3076">xlookup($A3076,product!$A:$A,product!C:C)</f>
        <v>Soins des cheveux</v>
      </c>
      <c r="D3076" s="20" t="str">
        <f t="array" ref="D3076">xlookup($A3076,product!$A:$A,product!D:D)</f>
        <v>Shampoing par type de cheveux</v>
      </c>
      <c r="E3076" s="4" t="str">
        <f t="shared" si="1"/>
        <v>122322-Soins des cheveux-Shampoing par type de cheveux</v>
      </c>
      <c r="F3076" s="4">
        <v>0.0</v>
      </c>
      <c r="G3076" s="4">
        <v>96.0</v>
      </c>
      <c r="H3076" s="4">
        <v>16.0</v>
      </c>
      <c r="I3076" s="21">
        <f t="array" ref="I3076">XLOOKUP($A3076,product!A:A,product!E:E)</f>
        <v>4.46</v>
      </c>
      <c r="J3076" s="4">
        <f t="shared" si="2"/>
        <v>71.36</v>
      </c>
      <c r="K3076" s="22">
        <f t="shared" si="3"/>
        <v>1</v>
      </c>
      <c r="L3076" s="4">
        <f t="shared" si="4"/>
        <v>1</v>
      </c>
    </row>
    <row r="3077">
      <c r="A3077" s="23">
        <v>27509.0</v>
      </c>
      <c r="B3077" s="24" t="str">
        <f t="array" ref="B3077">xlookup($A3077,product!$A:$A,product!B:B)</f>
        <v>Beauté &amp; Hygiène</v>
      </c>
      <c r="C3077" s="24" t="str">
        <f t="array" ref="C3077">xlookup($A3077,product!$A:$A,product!C:C)</f>
        <v>Soins des cheveux</v>
      </c>
      <c r="D3077" s="24" t="str">
        <f t="array" ref="D3077">xlookup($A3077,product!$A:$A,product!D:D)</f>
        <v>Shampoing par type de cheveux</v>
      </c>
      <c r="E3077" s="25" t="str">
        <f t="shared" si="1"/>
        <v>27509-Soins des cheveux-Shampoing par type de cheveux</v>
      </c>
      <c r="F3077" s="25">
        <v>1.0</v>
      </c>
      <c r="G3077" s="25">
        <v>659.0</v>
      </c>
      <c r="H3077" s="25">
        <v>136.0</v>
      </c>
      <c r="I3077" s="26">
        <f t="array" ref="I3077">XLOOKUP($A3077,product!A:A,product!E:E)</f>
        <v>6.31</v>
      </c>
      <c r="J3077" s="25">
        <f t="shared" si="2"/>
        <v>858.16</v>
      </c>
      <c r="K3077" s="27">
        <f t="shared" si="3"/>
        <v>1</v>
      </c>
      <c r="L3077" s="25">
        <f t="shared" si="4"/>
        <v>1</v>
      </c>
    </row>
    <row r="3078">
      <c r="A3078" s="19">
        <v>110852.0</v>
      </c>
      <c r="B3078" s="20" t="str">
        <f t="array" ref="B3078">xlookup($A3078,product!$A:$A,product!B:B)</f>
        <v>Beauté &amp; Hygiène</v>
      </c>
      <c r="C3078" s="20" t="str">
        <f t="array" ref="C3078">xlookup($A3078,product!$A:$A,product!C:C)</f>
        <v>Soins des cheveux</v>
      </c>
      <c r="D3078" s="20" t="str">
        <f t="array" ref="D3078">xlookup($A3078,product!$A:$A,product!D:D)</f>
        <v>Shampoing par type de cheveux</v>
      </c>
      <c r="E3078" s="4" t="str">
        <f t="shared" si="1"/>
        <v>110852-Soins des cheveux-Shampoing par type de cheveux</v>
      </c>
      <c r="F3078" s="4">
        <v>1.0</v>
      </c>
      <c r="G3078" s="4">
        <v>98.0</v>
      </c>
      <c r="H3078" s="4">
        <v>64.0</v>
      </c>
      <c r="I3078" s="21">
        <f t="array" ref="I3078">XLOOKUP($A3078,product!A:A,product!E:E)</f>
        <v>5.47</v>
      </c>
      <c r="J3078" s="4">
        <f t="shared" si="2"/>
        <v>350.08</v>
      </c>
      <c r="K3078" s="22">
        <f t="shared" si="3"/>
        <v>1</v>
      </c>
      <c r="L3078" s="4">
        <f t="shared" si="4"/>
        <v>1</v>
      </c>
    </row>
    <row r="3079">
      <c r="A3079" s="23">
        <v>128312.0</v>
      </c>
      <c r="B3079" s="24" t="str">
        <f t="array" ref="B3079">xlookup($A3079,product!$A:$A,product!B:B)</f>
        <v>Beauté &amp; Hygiène</v>
      </c>
      <c r="C3079" s="24" t="str">
        <f t="array" ref="C3079">xlookup($A3079,product!$A:$A,product!C:C)</f>
        <v>Soins des cheveux</v>
      </c>
      <c r="D3079" s="24" t="str">
        <f t="array" ref="D3079">xlookup($A3079,product!$A:$A,product!D:D)</f>
        <v>Shampoing par type de cheveux</v>
      </c>
      <c r="E3079" s="25" t="str">
        <f t="shared" si="1"/>
        <v>128312-Soins des cheveux-Shampoing par type de cheveux</v>
      </c>
      <c r="F3079" s="25">
        <v>0.0</v>
      </c>
      <c r="G3079" s="25">
        <v>561.0</v>
      </c>
      <c r="H3079" s="25">
        <v>471.0</v>
      </c>
      <c r="I3079" s="26">
        <f t="array" ref="I3079">XLOOKUP($A3079,product!A:A,product!E:E)</f>
        <v>2.76</v>
      </c>
      <c r="J3079" s="25">
        <f t="shared" si="2"/>
        <v>1299.96</v>
      </c>
      <c r="K3079" s="27">
        <f t="shared" si="3"/>
        <v>1</v>
      </c>
      <c r="L3079" s="25">
        <f t="shared" si="4"/>
        <v>1</v>
      </c>
    </row>
    <row r="3080">
      <c r="A3080" s="19">
        <v>79355.0</v>
      </c>
      <c r="B3080" s="20" t="str">
        <f t="array" ref="B3080">xlookup($A3080,product!$A:$A,product!B:B)</f>
        <v>Beauté &amp; Hygiène</v>
      </c>
      <c r="C3080" s="20" t="str">
        <f t="array" ref="C3080">xlookup($A3080,product!$A:$A,product!C:C)</f>
        <v>Soins des cheveux</v>
      </c>
      <c r="D3080" s="20" t="str">
        <f t="array" ref="D3080">xlookup($A3080,product!$A:$A,product!D:D)</f>
        <v>Shampoing par type de cheveux</v>
      </c>
      <c r="E3080" s="4" t="str">
        <f t="shared" si="1"/>
        <v>79355-Soins des cheveux-Shampoing par type de cheveux</v>
      </c>
      <c r="F3080" s="4">
        <v>1.0</v>
      </c>
      <c r="G3080" s="4">
        <v>476.0</v>
      </c>
      <c r="H3080" s="4">
        <v>139.0</v>
      </c>
      <c r="I3080" s="21">
        <f t="array" ref="I3080">XLOOKUP($A3080,product!A:A,product!E:E)</f>
        <v>5.11</v>
      </c>
      <c r="J3080" s="4">
        <f t="shared" si="2"/>
        <v>710.29</v>
      </c>
      <c r="K3080" s="22">
        <f t="shared" si="3"/>
        <v>1</v>
      </c>
      <c r="L3080" s="4">
        <f t="shared" si="4"/>
        <v>1</v>
      </c>
    </row>
    <row r="3081">
      <c r="A3081" s="23">
        <v>86185.0</v>
      </c>
      <c r="B3081" s="24" t="str">
        <f t="array" ref="B3081">xlookup($A3081,product!$A:$A,product!B:B)</f>
        <v>Beauté &amp; Hygiène</v>
      </c>
      <c r="C3081" s="24" t="str">
        <f t="array" ref="C3081">xlookup($A3081,product!$A:$A,product!C:C)</f>
        <v>Soins des cheveux</v>
      </c>
      <c r="D3081" s="24" t="str">
        <f t="array" ref="D3081">xlookup($A3081,product!$A:$A,product!D:D)</f>
        <v>Shampoing par type de cheveux</v>
      </c>
      <c r="E3081" s="25" t="str">
        <f t="shared" si="1"/>
        <v>86185-Soins des cheveux-Shampoing par type de cheveux</v>
      </c>
      <c r="F3081" s="25">
        <v>0.0</v>
      </c>
      <c r="G3081" s="25">
        <v>278.0</v>
      </c>
      <c r="H3081" s="25">
        <v>123.0</v>
      </c>
      <c r="I3081" s="26">
        <f t="array" ref="I3081">XLOOKUP($A3081,product!A:A,product!E:E)</f>
        <v>3.67</v>
      </c>
      <c r="J3081" s="25">
        <f t="shared" si="2"/>
        <v>451.41</v>
      </c>
      <c r="K3081" s="27">
        <f t="shared" si="3"/>
        <v>1</v>
      </c>
      <c r="L3081" s="25">
        <f t="shared" si="4"/>
        <v>1</v>
      </c>
    </row>
    <row r="3082">
      <c r="A3082" s="19">
        <v>77138.0</v>
      </c>
      <c r="B3082" s="20" t="str">
        <f t="array" ref="B3082">xlookup($A3082,product!$A:$A,product!B:B)</f>
        <v>Beauté &amp; Hygiène</v>
      </c>
      <c r="C3082" s="20" t="str">
        <f t="array" ref="C3082">xlookup($A3082,product!$A:$A,product!C:C)</f>
        <v>Soins des cheveux</v>
      </c>
      <c r="D3082" s="20" t="str">
        <f t="array" ref="D3082">xlookup($A3082,product!$A:$A,product!D:D)</f>
        <v>Shampoing par type de cheveux</v>
      </c>
      <c r="E3082" s="4" t="str">
        <f t="shared" si="1"/>
        <v>77138-Soins des cheveux-Shampoing par type de cheveux</v>
      </c>
      <c r="F3082" s="4">
        <v>0.0</v>
      </c>
      <c r="G3082" s="4">
        <v>182.0</v>
      </c>
      <c r="H3082" s="4">
        <v>116.0</v>
      </c>
      <c r="I3082" s="21">
        <f t="array" ref="I3082">XLOOKUP($A3082,product!A:A,product!E:E)</f>
        <v>5.92</v>
      </c>
      <c r="J3082" s="4">
        <f t="shared" si="2"/>
        <v>686.72</v>
      </c>
      <c r="K3082" s="22">
        <f t="shared" si="3"/>
        <v>1</v>
      </c>
      <c r="L3082" s="4">
        <f t="shared" si="4"/>
        <v>1</v>
      </c>
    </row>
    <row r="3083">
      <c r="A3083" s="23">
        <v>86183.0</v>
      </c>
      <c r="B3083" s="24" t="str">
        <f t="array" ref="B3083">xlookup($A3083,product!$A:$A,product!B:B)</f>
        <v>Beauté &amp; Hygiène</v>
      </c>
      <c r="C3083" s="24" t="str">
        <f t="array" ref="C3083">xlookup($A3083,product!$A:$A,product!C:C)</f>
        <v>Soins des cheveux</v>
      </c>
      <c r="D3083" s="24" t="str">
        <f t="array" ref="D3083">xlookup($A3083,product!$A:$A,product!D:D)</f>
        <v>Shampoing par type de cheveux</v>
      </c>
      <c r="E3083" s="25" t="str">
        <f t="shared" si="1"/>
        <v>86183-Soins des cheveux-Shampoing par type de cheveux</v>
      </c>
      <c r="F3083" s="25">
        <v>0.0</v>
      </c>
      <c r="G3083" s="25">
        <v>858.0</v>
      </c>
      <c r="H3083" s="25">
        <v>148.0</v>
      </c>
      <c r="I3083" s="26">
        <f t="array" ref="I3083">XLOOKUP($A3083,product!A:A,product!E:E)</f>
        <v>3.81</v>
      </c>
      <c r="J3083" s="25">
        <f t="shared" si="2"/>
        <v>563.88</v>
      </c>
      <c r="K3083" s="27">
        <f t="shared" si="3"/>
        <v>1</v>
      </c>
      <c r="L3083" s="25">
        <f t="shared" si="4"/>
        <v>1</v>
      </c>
    </row>
    <row r="3084">
      <c r="A3084" s="19">
        <v>122595.0</v>
      </c>
      <c r="B3084" s="20" t="str">
        <f t="array" ref="B3084">xlookup($A3084,product!$A:$A,product!B:B)</f>
        <v>Beauté &amp; Hygiène</v>
      </c>
      <c r="C3084" s="20" t="str">
        <f t="array" ref="C3084">xlookup($A3084,product!$A:$A,product!C:C)</f>
        <v>Soins des cheveux</v>
      </c>
      <c r="D3084" s="20" t="str">
        <f t="array" ref="D3084">xlookup($A3084,product!$A:$A,product!D:D)</f>
        <v>Shampoing par type de cheveux</v>
      </c>
      <c r="E3084" s="4" t="str">
        <f t="shared" si="1"/>
        <v>122595-Soins des cheveux-Shampoing par type de cheveux</v>
      </c>
      <c r="F3084" s="4">
        <v>1.0</v>
      </c>
      <c r="G3084" s="4">
        <v>676.0</v>
      </c>
      <c r="H3084" s="4">
        <v>59.0</v>
      </c>
      <c r="I3084" s="21">
        <f t="array" ref="I3084">XLOOKUP($A3084,product!A:A,product!E:E)</f>
        <v>4.42</v>
      </c>
      <c r="J3084" s="4">
        <f t="shared" si="2"/>
        <v>260.78</v>
      </c>
      <c r="K3084" s="22">
        <f t="shared" si="3"/>
        <v>1</v>
      </c>
      <c r="L3084" s="4">
        <f t="shared" si="4"/>
        <v>1</v>
      </c>
    </row>
    <row r="3085">
      <c r="A3085" s="23">
        <v>70338.0</v>
      </c>
      <c r="B3085" s="24" t="str">
        <f t="array" ref="B3085">xlookup($A3085,product!$A:$A,product!B:B)</f>
        <v>Beauté &amp; Hygiène</v>
      </c>
      <c r="C3085" s="24" t="str">
        <f t="array" ref="C3085">xlookup($A3085,product!$A:$A,product!C:C)</f>
        <v>Soins des cheveux</v>
      </c>
      <c r="D3085" s="24" t="str">
        <f t="array" ref="D3085">xlookup($A3085,product!$A:$A,product!D:D)</f>
        <v>Shampoing par type de cheveux</v>
      </c>
      <c r="E3085" s="25" t="str">
        <f t="shared" si="1"/>
        <v>70338-Soins des cheveux-Shampoing par type de cheveux</v>
      </c>
      <c r="F3085" s="25">
        <v>1.0</v>
      </c>
      <c r="G3085" s="25">
        <v>979.0</v>
      </c>
      <c r="H3085" s="25">
        <v>375.0</v>
      </c>
      <c r="I3085" s="26">
        <f t="array" ref="I3085">XLOOKUP($A3085,product!A:A,product!E:E)</f>
        <v>6.43</v>
      </c>
      <c r="J3085" s="25">
        <f t="shared" si="2"/>
        <v>2411.25</v>
      </c>
      <c r="K3085" s="27">
        <f t="shared" si="3"/>
        <v>1</v>
      </c>
      <c r="L3085" s="25">
        <f t="shared" si="4"/>
        <v>1</v>
      </c>
    </row>
    <row r="3086">
      <c r="A3086" s="19">
        <v>114273.0</v>
      </c>
      <c r="B3086" s="20" t="str">
        <f t="array" ref="B3086">xlookup($A3086,product!$A:$A,product!B:B)</f>
        <v>Beauté &amp; Hygiène</v>
      </c>
      <c r="C3086" s="20" t="str">
        <f t="array" ref="C3086">xlookup($A3086,product!$A:$A,product!C:C)</f>
        <v>Soins des cheveux</v>
      </c>
      <c r="D3086" s="20" t="str">
        <f t="array" ref="D3086">xlookup($A3086,product!$A:$A,product!D:D)</f>
        <v>Shampoing par type de cheveux</v>
      </c>
      <c r="E3086" s="4" t="str">
        <f t="shared" si="1"/>
        <v>114273-Soins des cheveux-Shampoing par type de cheveux</v>
      </c>
      <c r="F3086" s="4">
        <v>1.0</v>
      </c>
      <c r="G3086" s="4">
        <v>62.0</v>
      </c>
      <c r="H3086" s="4">
        <v>3.0</v>
      </c>
      <c r="I3086" s="21">
        <f t="array" ref="I3086">XLOOKUP($A3086,product!A:A,product!E:E)</f>
        <v>3.13</v>
      </c>
      <c r="J3086" s="4">
        <f t="shared" si="2"/>
        <v>9.39</v>
      </c>
      <c r="K3086" s="22">
        <f t="shared" si="3"/>
        <v>1</v>
      </c>
      <c r="L3086" s="4">
        <f t="shared" si="4"/>
        <v>1</v>
      </c>
    </row>
    <row r="3087">
      <c r="A3087" s="23">
        <v>110849.0</v>
      </c>
      <c r="B3087" s="24" t="str">
        <f t="array" ref="B3087">xlookup($A3087,product!$A:$A,product!B:B)</f>
        <v>Beauté &amp; Hygiène</v>
      </c>
      <c r="C3087" s="24" t="str">
        <f t="array" ref="C3087">xlookup($A3087,product!$A:$A,product!C:C)</f>
        <v>Soins des cheveux</v>
      </c>
      <c r="D3087" s="24" t="str">
        <f t="array" ref="D3087">xlookup($A3087,product!$A:$A,product!D:D)</f>
        <v>Shampoing par type de cheveux</v>
      </c>
      <c r="E3087" s="25" t="str">
        <f t="shared" si="1"/>
        <v>110849-Soins des cheveux-Shampoing par type de cheveux</v>
      </c>
      <c r="F3087" s="25">
        <v>1.0</v>
      </c>
      <c r="G3087" s="25">
        <v>548.0</v>
      </c>
      <c r="H3087" s="25">
        <v>488.0</v>
      </c>
      <c r="I3087" s="26">
        <f t="array" ref="I3087">XLOOKUP($A3087,product!A:A,product!E:E)</f>
        <v>5.47</v>
      </c>
      <c r="J3087" s="25">
        <f t="shared" si="2"/>
        <v>2669.36</v>
      </c>
      <c r="K3087" s="27">
        <f t="shared" si="3"/>
        <v>1</v>
      </c>
      <c r="L3087" s="25">
        <f t="shared" si="4"/>
        <v>1</v>
      </c>
    </row>
    <row r="3088">
      <c r="A3088" s="19">
        <v>45056.0</v>
      </c>
      <c r="B3088" s="20" t="str">
        <f t="array" ref="B3088">xlookup($A3088,product!$A:$A,product!B:B)</f>
        <v>Beauté &amp; Hygiène</v>
      </c>
      <c r="C3088" s="20" t="str">
        <f t="array" ref="C3088">xlookup($A3088,product!$A:$A,product!C:C)</f>
        <v>Soins des cheveux</v>
      </c>
      <c r="D3088" s="20" t="str">
        <f t="array" ref="D3088">xlookup($A3088,product!$A:$A,product!D:D)</f>
        <v>Shampoing par type de cheveux</v>
      </c>
      <c r="E3088" s="4" t="str">
        <f t="shared" si="1"/>
        <v>45056-Soins des cheveux-Shampoing par type de cheveux</v>
      </c>
      <c r="F3088" s="4">
        <v>1.0</v>
      </c>
      <c r="G3088" s="4">
        <v>923.0</v>
      </c>
      <c r="H3088" s="4">
        <v>69.0</v>
      </c>
      <c r="I3088" s="21">
        <f t="array" ref="I3088">XLOOKUP($A3088,product!A:A,product!E:E)</f>
        <v>6.37</v>
      </c>
      <c r="J3088" s="4">
        <f t="shared" si="2"/>
        <v>439.53</v>
      </c>
      <c r="K3088" s="22">
        <f t="shared" si="3"/>
        <v>1</v>
      </c>
      <c r="L3088" s="4">
        <f t="shared" si="4"/>
        <v>1</v>
      </c>
    </row>
    <row r="3089">
      <c r="A3089" s="23">
        <v>92633.0</v>
      </c>
      <c r="B3089" s="24" t="str">
        <f t="array" ref="B3089">xlookup($A3089,product!$A:$A,product!B:B)</f>
        <v>Beauté &amp; Hygiène</v>
      </c>
      <c r="C3089" s="24" t="str">
        <f t="array" ref="C3089">xlookup($A3089,product!$A:$A,product!C:C)</f>
        <v>Soins des cheveux</v>
      </c>
      <c r="D3089" s="24" t="str">
        <f t="array" ref="D3089">xlookup($A3089,product!$A:$A,product!D:D)</f>
        <v>Shampoing par type de cheveux</v>
      </c>
      <c r="E3089" s="25" t="str">
        <f t="shared" si="1"/>
        <v>92633-Soins des cheveux-Shampoing par type de cheveux</v>
      </c>
      <c r="F3089" s="25">
        <v>1.0</v>
      </c>
      <c r="G3089" s="25">
        <v>341.0</v>
      </c>
      <c r="H3089" s="25">
        <v>259.0</v>
      </c>
      <c r="I3089" s="26">
        <f t="array" ref="I3089">XLOOKUP($A3089,product!A:A,product!E:E)</f>
        <v>6.3</v>
      </c>
      <c r="J3089" s="25">
        <f t="shared" si="2"/>
        <v>1631.7</v>
      </c>
      <c r="K3089" s="27">
        <f t="shared" si="3"/>
        <v>1</v>
      </c>
      <c r="L3089" s="25">
        <f t="shared" si="4"/>
        <v>1</v>
      </c>
    </row>
    <row r="3090">
      <c r="A3090" s="19">
        <v>111011.0</v>
      </c>
      <c r="B3090" s="20" t="str">
        <f t="array" ref="B3090">xlookup($A3090,product!$A:$A,product!B:B)</f>
        <v>Beauté &amp; Hygiène</v>
      </c>
      <c r="C3090" s="20" t="str">
        <f t="array" ref="C3090">xlookup($A3090,product!$A:$A,product!C:C)</f>
        <v>Soins des cheveux</v>
      </c>
      <c r="D3090" s="20" t="str">
        <f t="array" ref="D3090">xlookup($A3090,product!$A:$A,product!D:D)</f>
        <v>Shampoing par type de cheveux</v>
      </c>
      <c r="E3090" s="4" t="str">
        <f t="shared" si="1"/>
        <v>111011-Soins des cheveux-Shampoing par type de cheveux</v>
      </c>
      <c r="F3090" s="4">
        <v>0.0</v>
      </c>
      <c r="G3090" s="4">
        <v>879.0</v>
      </c>
      <c r="H3090" s="4">
        <v>236.0</v>
      </c>
      <c r="I3090" s="21">
        <f t="array" ref="I3090">XLOOKUP($A3090,product!A:A,product!E:E)</f>
        <v>3.53</v>
      </c>
      <c r="J3090" s="4">
        <f t="shared" si="2"/>
        <v>833.08</v>
      </c>
      <c r="K3090" s="22">
        <f t="shared" si="3"/>
        <v>1</v>
      </c>
      <c r="L3090" s="4">
        <f t="shared" si="4"/>
        <v>1</v>
      </c>
    </row>
    <row r="3091">
      <c r="A3091" s="23">
        <v>11002.0</v>
      </c>
      <c r="B3091" s="24" t="str">
        <f t="array" ref="B3091">xlookup($A3091,product!$A:$A,product!B:B)</f>
        <v>Beauté &amp; Hygiène</v>
      </c>
      <c r="C3091" s="24" t="str">
        <f t="array" ref="C3091">xlookup($A3091,product!$A:$A,product!C:C)</f>
        <v>Soins des cheveux</v>
      </c>
      <c r="D3091" s="24" t="str">
        <f t="array" ref="D3091">xlookup($A3091,product!$A:$A,product!D:D)</f>
        <v>Shampoing par type de cheveux</v>
      </c>
      <c r="E3091" s="25" t="str">
        <f t="shared" si="1"/>
        <v>11002-Soins des cheveux-Shampoing par type de cheveux</v>
      </c>
      <c r="F3091" s="25">
        <v>0.0</v>
      </c>
      <c r="G3091" s="25">
        <v>738.0</v>
      </c>
      <c r="H3091" s="25">
        <v>460.0</v>
      </c>
      <c r="I3091" s="26">
        <f t="array" ref="I3091">XLOOKUP($A3091,product!A:A,product!E:E)</f>
        <v>2.99</v>
      </c>
      <c r="J3091" s="25">
        <f t="shared" si="2"/>
        <v>1375.4</v>
      </c>
      <c r="K3091" s="27">
        <f t="shared" si="3"/>
        <v>1</v>
      </c>
      <c r="L3091" s="25">
        <f t="shared" si="4"/>
        <v>1</v>
      </c>
    </row>
    <row r="3092">
      <c r="A3092" s="19">
        <v>80661.0</v>
      </c>
      <c r="B3092" s="20" t="str">
        <f t="array" ref="B3092">xlookup($A3092,product!$A:$A,product!B:B)</f>
        <v>Beauté &amp; Hygiène</v>
      </c>
      <c r="C3092" s="20" t="str">
        <f t="array" ref="C3092">xlookup($A3092,product!$A:$A,product!C:C)</f>
        <v>Soins des cheveux</v>
      </c>
      <c r="D3092" s="20" t="str">
        <f t="array" ref="D3092">xlookup($A3092,product!$A:$A,product!D:D)</f>
        <v>Shampoing par type de cheveux</v>
      </c>
      <c r="E3092" s="4" t="str">
        <f t="shared" si="1"/>
        <v>80661-Soins des cheveux-Shampoing par type de cheveux</v>
      </c>
      <c r="F3092" s="4">
        <v>1.0</v>
      </c>
      <c r="G3092" s="4">
        <v>829.0</v>
      </c>
      <c r="H3092" s="4">
        <v>439.0</v>
      </c>
      <c r="I3092" s="21">
        <f t="array" ref="I3092">XLOOKUP($A3092,product!A:A,product!E:E)</f>
        <v>3.82</v>
      </c>
      <c r="J3092" s="4">
        <f t="shared" si="2"/>
        <v>1676.98</v>
      </c>
      <c r="K3092" s="22">
        <f t="shared" si="3"/>
        <v>1</v>
      </c>
      <c r="L3092" s="4">
        <f t="shared" si="4"/>
        <v>1</v>
      </c>
    </row>
    <row r="3093">
      <c r="A3093" s="23">
        <v>128310.0</v>
      </c>
      <c r="B3093" s="24" t="str">
        <f t="array" ref="B3093">xlookup($A3093,product!$A:$A,product!B:B)</f>
        <v>Beauté &amp; Hygiène</v>
      </c>
      <c r="C3093" s="24" t="str">
        <f t="array" ref="C3093">xlookup($A3093,product!$A:$A,product!C:C)</f>
        <v>Soins des cheveux</v>
      </c>
      <c r="D3093" s="24" t="str">
        <f t="array" ref="D3093">xlookup($A3093,product!$A:$A,product!D:D)</f>
        <v>Shampoing par type de cheveux</v>
      </c>
      <c r="E3093" s="25" t="str">
        <f t="shared" si="1"/>
        <v>128310-Soins des cheveux-Shampoing par type de cheveux</v>
      </c>
      <c r="F3093" s="25">
        <v>0.0</v>
      </c>
      <c r="G3093" s="25">
        <v>527.0</v>
      </c>
      <c r="H3093" s="25">
        <v>215.0</v>
      </c>
      <c r="I3093" s="26">
        <f t="array" ref="I3093">XLOOKUP($A3093,product!A:A,product!E:E)</f>
        <v>2.76</v>
      </c>
      <c r="J3093" s="25">
        <f t="shared" si="2"/>
        <v>593.4</v>
      </c>
      <c r="K3093" s="27">
        <f t="shared" si="3"/>
        <v>1</v>
      </c>
      <c r="L3093" s="25">
        <f t="shared" si="4"/>
        <v>1</v>
      </c>
    </row>
    <row r="3094">
      <c r="A3094" s="19">
        <v>182193.0</v>
      </c>
      <c r="B3094" s="20" t="str">
        <f t="array" ref="B3094">xlookup($A3094,product!$A:$A,product!B:B)</f>
        <v>Beauté &amp; Hygiène</v>
      </c>
      <c r="C3094" s="20" t="str">
        <f t="array" ref="C3094">xlookup($A3094,product!$A:$A,product!C:C)</f>
        <v>Soins des cheveux</v>
      </c>
      <c r="D3094" s="20" t="str">
        <f t="array" ref="D3094">xlookup($A3094,product!$A:$A,product!D:D)</f>
        <v>Shampoing par type de cheveux</v>
      </c>
      <c r="E3094" s="4" t="str">
        <f t="shared" si="1"/>
        <v>182193-Soins des cheveux-Shampoing par type de cheveux</v>
      </c>
      <c r="F3094" s="4">
        <v>1.0</v>
      </c>
      <c r="G3094" s="4">
        <v>330.0</v>
      </c>
      <c r="H3094" s="4">
        <v>278.0</v>
      </c>
      <c r="I3094" s="21">
        <f t="array" ref="I3094">XLOOKUP($A3094,product!A:A,product!E:E)</f>
        <v>3.62</v>
      </c>
      <c r="J3094" s="4">
        <f t="shared" si="2"/>
        <v>1006.36</v>
      </c>
      <c r="K3094" s="22">
        <f t="shared" si="3"/>
        <v>1</v>
      </c>
      <c r="L3094" s="4">
        <f t="shared" si="4"/>
        <v>1</v>
      </c>
    </row>
    <row r="3095">
      <c r="A3095" s="23">
        <v>116771.0</v>
      </c>
      <c r="B3095" s="24" t="str">
        <f t="array" ref="B3095">xlookup($A3095,product!$A:$A,product!B:B)</f>
        <v>Beauté &amp; Hygiène</v>
      </c>
      <c r="C3095" s="24" t="str">
        <f t="array" ref="C3095">xlookup($A3095,product!$A:$A,product!C:C)</f>
        <v>Soins des cheveux</v>
      </c>
      <c r="D3095" s="24" t="str">
        <f t="array" ref="D3095">xlookup($A3095,product!$A:$A,product!D:D)</f>
        <v>Shampoing par type de cheveux</v>
      </c>
      <c r="E3095" s="25" t="str">
        <f t="shared" si="1"/>
        <v>116771-Soins des cheveux-Shampoing par type de cheveux</v>
      </c>
      <c r="F3095" s="25">
        <v>1.0</v>
      </c>
      <c r="G3095" s="25">
        <v>4.0</v>
      </c>
      <c r="H3095" s="25">
        <v>2.0</v>
      </c>
      <c r="I3095" s="26">
        <f t="array" ref="I3095">XLOOKUP($A3095,product!A:A,product!E:E)</f>
        <v>2.88</v>
      </c>
      <c r="J3095" s="25">
        <f t="shared" si="2"/>
        <v>5.76</v>
      </c>
      <c r="K3095" s="27">
        <f t="shared" si="3"/>
        <v>1</v>
      </c>
      <c r="L3095" s="25">
        <f t="shared" si="4"/>
        <v>1</v>
      </c>
    </row>
    <row r="3096">
      <c r="A3096" s="19">
        <v>103245.0</v>
      </c>
      <c r="B3096" s="20" t="str">
        <f t="array" ref="B3096">xlookup($A3096,product!$A:$A,product!B:B)</f>
        <v>Beauté &amp; Hygiène</v>
      </c>
      <c r="C3096" s="20" t="str">
        <f t="array" ref="C3096">xlookup($A3096,product!$A:$A,product!C:C)</f>
        <v>Soins des cheveux</v>
      </c>
      <c r="D3096" s="20" t="str">
        <f t="array" ref="D3096">xlookup($A3096,product!$A:$A,product!D:D)</f>
        <v>Shampoing par type de cheveux</v>
      </c>
      <c r="E3096" s="4" t="str">
        <f t="shared" si="1"/>
        <v>103245-Soins des cheveux-Shampoing par type de cheveux</v>
      </c>
      <c r="F3096" s="4">
        <v>0.0</v>
      </c>
      <c r="G3096" s="4">
        <v>337.0</v>
      </c>
      <c r="H3096" s="4">
        <v>130.0</v>
      </c>
      <c r="I3096" s="21">
        <f t="array" ref="I3096">XLOOKUP($A3096,product!A:A,product!E:E)</f>
        <v>4.42</v>
      </c>
      <c r="J3096" s="4">
        <f t="shared" si="2"/>
        <v>574.6</v>
      </c>
      <c r="K3096" s="22">
        <f t="shared" si="3"/>
        <v>1</v>
      </c>
      <c r="L3096" s="4">
        <f t="shared" si="4"/>
        <v>1</v>
      </c>
    </row>
    <row r="3097">
      <c r="A3097" s="23">
        <v>1961.0</v>
      </c>
      <c r="B3097" s="24" t="str">
        <f t="array" ref="B3097">xlookup($A3097,product!$A:$A,product!B:B)</f>
        <v>Beauté &amp; Hygiène</v>
      </c>
      <c r="C3097" s="24" t="str">
        <f t="array" ref="C3097">xlookup($A3097,product!$A:$A,product!C:C)</f>
        <v>Soins des cheveux</v>
      </c>
      <c r="D3097" s="24" t="str">
        <f t="array" ref="D3097">xlookup($A3097,product!$A:$A,product!D:D)</f>
        <v>Shampoing par type de cheveux</v>
      </c>
      <c r="E3097" s="25" t="str">
        <f t="shared" si="1"/>
        <v>1961-Soins des cheveux-Shampoing par type de cheveux</v>
      </c>
      <c r="F3097" s="25">
        <v>0.0</v>
      </c>
      <c r="G3097" s="25">
        <v>368.0</v>
      </c>
      <c r="H3097" s="25">
        <v>84.0</v>
      </c>
      <c r="I3097" s="26">
        <f t="array" ref="I3097">XLOOKUP($A3097,product!A:A,product!E:E)</f>
        <v>3.56</v>
      </c>
      <c r="J3097" s="25">
        <f t="shared" si="2"/>
        <v>299.04</v>
      </c>
      <c r="K3097" s="27">
        <f t="shared" si="3"/>
        <v>1</v>
      </c>
      <c r="L3097" s="25">
        <f t="shared" si="4"/>
        <v>1</v>
      </c>
    </row>
    <row r="3098">
      <c r="A3098" s="19">
        <v>128314.0</v>
      </c>
      <c r="B3098" s="20" t="str">
        <f t="array" ref="B3098">xlookup($A3098,product!$A:$A,product!B:B)</f>
        <v>Beauté &amp; Hygiène</v>
      </c>
      <c r="C3098" s="20" t="str">
        <f t="array" ref="C3098">xlookup($A3098,product!$A:$A,product!C:C)</f>
        <v>Soins des cheveux</v>
      </c>
      <c r="D3098" s="20" t="str">
        <f t="array" ref="D3098">xlookup($A3098,product!$A:$A,product!D:D)</f>
        <v>Shampoing par type de cheveux</v>
      </c>
      <c r="E3098" s="4" t="str">
        <f t="shared" si="1"/>
        <v>128314-Soins des cheveux-Shampoing par type de cheveux</v>
      </c>
      <c r="F3098" s="4">
        <v>1.0</v>
      </c>
      <c r="G3098" s="4">
        <v>486.0</v>
      </c>
      <c r="H3098" s="4">
        <v>303.0</v>
      </c>
      <c r="I3098" s="21">
        <f t="array" ref="I3098">XLOOKUP($A3098,product!A:A,product!E:E)</f>
        <v>2.76</v>
      </c>
      <c r="J3098" s="4">
        <f t="shared" si="2"/>
        <v>836.28</v>
      </c>
      <c r="K3098" s="22">
        <f t="shared" si="3"/>
        <v>1</v>
      </c>
      <c r="L3098" s="4">
        <f t="shared" si="4"/>
        <v>1</v>
      </c>
    </row>
    <row r="3099">
      <c r="A3099" s="23">
        <v>109993.0</v>
      </c>
      <c r="B3099" s="24" t="str">
        <f t="array" ref="B3099">xlookup($A3099,product!$A:$A,product!B:B)</f>
        <v>Beauté &amp; Hygiène</v>
      </c>
      <c r="C3099" s="24" t="str">
        <f t="array" ref="C3099">xlookup($A3099,product!$A:$A,product!C:C)</f>
        <v>Soins des cheveux</v>
      </c>
      <c r="D3099" s="24" t="str">
        <f t="array" ref="D3099">xlookup($A3099,product!$A:$A,product!D:D)</f>
        <v>Shampoing par type de cheveux</v>
      </c>
      <c r="E3099" s="25" t="str">
        <f t="shared" si="1"/>
        <v>109993-Soins des cheveux-Shampoing par type de cheveux</v>
      </c>
      <c r="F3099" s="25">
        <v>0.0</v>
      </c>
      <c r="G3099" s="25">
        <v>4.0</v>
      </c>
      <c r="H3099" s="25">
        <v>0.0</v>
      </c>
      <c r="I3099" s="26">
        <f t="array" ref="I3099">XLOOKUP($A3099,product!A:A,product!E:E)</f>
        <v>6.3</v>
      </c>
      <c r="J3099" s="25">
        <f t="shared" si="2"/>
        <v>0</v>
      </c>
      <c r="K3099" s="27">
        <f t="shared" si="3"/>
        <v>0</v>
      </c>
      <c r="L3099" s="25">
        <f t="shared" si="4"/>
        <v>1</v>
      </c>
    </row>
    <row r="3100">
      <c r="A3100" s="19">
        <v>117270.0</v>
      </c>
      <c r="B3100" s="20" t="str">
        <f t="array" ref="B3100">xlookup($A3100,product!$A:$A,product!B:B)</f>
        <v>Beauté &amp; Hygiène</v>
      </c>
      <c r="C3100" s="20" t="str">
        <f t="array" ref="C3100">xlookup($A3100,product!$A:$A,product!C:C)</f>
        <v>Soins des cheveux</v>
      </c>
      <c r="D3100" s="20" t="str">
        <f t="array" ref="D3100">xlookup($A3100,product!$A:$A,product!D:D)</f>
        <v>Shampoing par type de cheveux</v>
      </c>
      <c r="E3100" s="4" t="str">
        <f t="shared" si="1"/>
        <v>117270-Soins des cheveux-Shampoing par type de cheveux</v>
      </c>
      <c r="F3100" s="4">
        <v>1.0</v>
      </c>
      <c r="G3100" s="4">
        <v>182.0</v>
      </c>
      <c r="H3100" s="4">
        <v>164.0</v>
      </c>
      <c r="I3100" s="21">
        <f t="array" ref="I3100">XLOOKUP($A3100,product!A:A,product!E:E)</f>
        <v>4.58</v>
      </c>
      <c r="J3100" s="4">
        <f t="shared" si="2"/>
        <v>751.12</v>
      </c>
      <c r="K3100" s="22">
        <f t="shared" si="3"/>
        <v>1</v>
      </c>
      <c r="L3100" s="4">
        <f t="shared" si="4"/>
        <v>1</v>
      </c>
    </row>
    <row r="3101">
      <c r="A3101" s="23">
        <v>42748.0</v>
      </c>
      <c r="B3101" s="24" t="str">
        <f t="array" ref="B3101">xlookup($A3101,product!$A:$A,product!B:B)</f>
        <v>Beauté &amp; Hygiène</v>
      </c>
      <c r="C3101" s="24" t="str">
        <f t="array" ref="C3101">xlookup($A3101,product!$A:$A,product!C:C)</f>
        <v>Soins des cheveux</v>
      </c>
      <c r="D3101" s="24" t="str">
        <f t="array" ref="D3101">xlookup($A3101,product!$A:$A,product!D:D)</f>
        <v>Shampoing par type de cheveux</v>
      </c>
      <c r="E3101" s="25" t="str">
        <f t="shared" si="1"/>
        <v>42748-Soins des cheveux-Shampoing par type de cheveux</v>
      </c>
      <c r="F3101" s="25">
        <v>1.0</v>
      </c>
      <c r="G3101" s="25">
        <v>189.0</v>
      </c>
      <c r="H3101" s="25">
        <v>75.0</v>
      </c>
      <c r="I3101" s="26">
        <f t="array" ref="I3101">XLOOKUP($A3101,product!A:A,product!E:E)</f>
        <v>5.52</v>
      </c>
      <c r="J3101" s="25">
        <f t="shared" si="2"/>
        <v>414</v>
      </c>
      <c r="K3101" s="27">
        <f t="shared" si="3"/>
        <v>1</v>
      </c>
      <c r="L3101" s="25">
        <f t="shared" si="4"/>
        <v>1</v>
      </c>
    </row>
    <row r="3102">
      <c r="A3102" s="19">
        <v>110447.0</v>
      </c>
      <c r="B3102" s="20" t="str">
        <f t="array" ref="B3102">xlookup($A3102,product!$A:$A,product!B:B)</f>
        <v>Beauté &amp; Hygiène</v>
      </c>
      <c r="C3102" s="20" t="str">
        <f t="array" ref="C3102">xlookup($A3102,product!$A:$A,product!C:C)</f>
        <v>Soins des cheveux</v>
      </c>
      <c r="D3102" s="20" t="str">
        <f t="array" ref="D3102">xlookup($A3102,product!$A:$A,product!D:D)</f>
        <v>Shampoing par type de cheveux</v>
      </c>
      <c r="E3102" s="4" t="str">
        <f t="shared" si="1"/>
        <v>110447-Soins des cheveux-Shampoing par type de cheveux</v>
      </c>
      <c r="F3102" s="4">
        <v>1.0</v>
      </c>
      <c r="G3102" s="4">
        <v>480.0</v>
      </c>
      <c r="H3102" s="4">
        <v>262.0</v>
      </c>
      <c r="I3102" s="21">
        <f t="array" ref="I3102">XLOOKUP($A3102,product!A:A,product!E:E)</f>
        <v>19.79</v>
      </c>
      <c r="J3102" s="4">
        <f t="shared" si="2"/>
        <v>5184.98</v>
      </c>
      <c r="K3102" s="22">
        <f t="shared" si="3"/>
        <v>1</v>
      </c>
      <c r="L3102" s="4">
        <f t="shared" si="4"/>
        <v>1</v>
      </c>
    </row>
    <row r="3103">
      <c r="A3103" s="23">
        <v>46979.0</v>
      </c>
      <c r="B3103" s="24" t="str">
        <f t="array" ref="B3103">xlookup($A3103,product!$A:$A,product!B:B)</f>
        <v>Beauté &amp; Hygiène</v>
      </c>
      <c r="C3103" s="24" t="str">
        <f t="array" ref="C3103">xlookup($A3103,product!$A:$A,product!C:C)</f>
        <v>Soins des cheveux</v>
      </c>
      <c r="D3103" s="24" t="str">
        <f t="array" ref="D3103">xlookup($A3103,product!$A:$A,product!D:D)</f>
        <v>Shampoing par type de cheveux</v>
      </c>
      <c r="E3103" s="25" t="str">
        <f t="shared" si="1"/>
        <v>46979-Soins des cheveux-Shampoing par type de cheveux</v>
      </c>
      <c r="F3103" s="25">
        <v>1.0</v>
      </c>
      <c r="G3103" s="25">
        <v>941.0</v>
      </c>
      <c r="H3103" s="25">
        <v>354.0</v>
      </c>
      <c r="I3103" s="26">
        <f t="array" ref="I3103">XLOOKUP($A3103,product!A:A,product!E:E)</f>
        <v>5.16</v>
      </c>
      <c r="J3103" s="25">
        <f t="shared" si="2"/>
        <v>1826.64</v>
      </c>
      <c r="K3103" s="27">
        <f t="shared" si="3"/>
        <v>1</v>
      </c>
      <c r="L3103" s="25">
        <f t="shared" si="4"/>
        <v>1</v>
      </c>
    </row>
    <row r="3104">
      <c r="A3104" s="19">
        <v>1296.0</v>
      </c>
      <c r="B3104" s="20" t="str">
        <f t="array" ref="B3104">xlookup($A3104,product!$A:$A,product!B:B)</f>
        <v>Beauté &amp; Hygiène</v>
      </c>
      <c r="C3104" s="20" t="str">
        <f t="array" ref="C3104">xlookup($A3104,product!$A:$A,product!C:C)</f>
        <v>Soins des cheveux</v>
      </c>
      <c r="D3104" s="20" t="str">
        <f t="array" ref="D3104">xlookup($A3104,product!$A:$A,product!D:D)</f>
        <v>Shampoing par type de cheveux</v>
      </c>
      <c r="E3104" s="4" t="str">
        <f t="shared" si="1"/>
        <v>1296-Soins des cheveux-Shampoing par type de cheveux</v>
      </c>
      <c r="F3104" s="4">
        <v>1.0</v>
      </c>
      <c r="G3104" s="4">
        <v>941.0</v>
      </c>
      <c r="H3104" s="4">
        <v>704.0</v>
      </c>
      <c r="I3104" s="21">
        <f t="array" ref="I3104">XLOOKUP($A3104,product!A:A,product!E:E)</f>
        <v>5.55</v>
      </c>
      <c r="J3104" s="4">
        <f t="shared" si="2"/>
        <v>3907.2</v>
      </c>
      <c r="K3104" s="22">
        <f t="shared" si="3"/>
        <v>1</v>
      </c>
      <c r="L3104" s="4">
        <f t="shared" si="4"/>
        <v>1</v>
      </c>
    </row>
    <row r="3105">
      <c r="A3105" s="23">
        <v>109973.0</v>
      </c>
      <c r="B3105" s="24" t="str">
        <f t="array" ref="B3105">xlookup($A3105,product!$A:$A,product!B:B)</f>
        <v>Beauté &amp; Hygiène</v>
      </c>
      <c r="C3105" s="24" t="str">
        <f t="array" ref="C3105">xlookup($A3105,product!$A:$A,product!C:C)</f>
        <v>Soins des cheveux</v>
      </c>
      <c r="D3105" s="24" t="str">
        <f t="array" ref="D3105">xlookup($A3105,product!$A:$A,product!D:D)</f>
        <v>Shampoing par type de cheveux</v>
      </c>
      <c r="E3105" s="25" t="str">
        <f t="shared" si="1"/>
        <v>109973-Soins des cheveux-Shampoing par type de cheveux</v>
      </c>
      <c r="F3105" s="25">
        <v>0.0</v>
      </c>
      <c r="G3105" s="25">
        <v>551.0</v>
      </c>
      <c r="H3105" s="25">
        <v>118.0</v>
      </c>
      <c r="I3105" s="26">
        <f t="array" ref="I3105">XLOOKUP($A3105,product!A:A,product!E:E)</f>
        <v>3.74</v>
      </c>
      <c r="J3105" s="25">
        <f t="shared" si="2"/>
        <v>441.32</v>
      </c>
      <c r="K3105" s="27">
        <f t="shared" si="3"/>
        <v>1</v>
      </c>
      <c r="L3105" s="25">
        <f t="shared" si="4"/>
        <v>1</v>
      </c>
    </row>
    <row r="3106">
      <c r="A3106" s="19">
        <v>155949.0</v>
      </c>
      <c r="B3106" s="20" t="str">
        <f t="array" ref="B3106">xlookup($A3106,product!$A:$A,product!B:B)</f>
        <v>Beauté &amp; Hygiène</v>
      </c>
      <c r="C3106" s="20" t="str">
        <f t="array" ref="C3106">xlookup($A3106,product!$A:$A,product!C:C)</f>
        <v>Soins des cheveux</v>
      </c>
      <c r="D3106" s="20" t="str">
        <f t="array" ref="D3106">xlookup($A3106,product!$A:$A,product!D:D)</f>
        <v>Shampoing par type de cheveux</v>
      </c>
      <c r="E3106" s="4" t="str">
        <f t="shared" si="1"/>
        <v>155949-Soins des cheveux-Shampoing par type de cheveux</v>
      </c>
      <c r="F3106" s="4">
        <v>1.0</v>
      </c>
      <c r="G3106" s="4">
        <v>631.0</v>
      </c>
      <c r="H3106" s="4">
        <v>451.0</v>
      </c>
      <c r="I3106" s="21">
        <f t="array" ref="I3106">XLOOKUP($A3106,product!A:A,product!E:E)</f>
        <v>5.17</v>
      </c>
      <c r="J3106" s="4">
        <f t="shared" si="2"/>
        <v>2331.67</v>
      </c>
      <c r="K3106" s="22">
        <f t="shared" si="3"/>
        <v>1</v>
      </c>
      <c r="L3106" s="4">
        <f t="shared" si="4"/>
        <v>1</v>
      </c>
    </row>
    <row r="3107">
      <c r="A3107" s="23">
        <v>187346.0</v>
      </c>
      <c r="B3107" s="24" t="str">
        <f t="array" ref="B3107">xlookup($A3107,product!$A:$A,product!B:B)</f>
        <v>Beauté &amp; Hygiène</v>
      </c>
      <c r="C3107" s="24" t="str">
        <f t="array" ref="C3107">xlookup($A3107,product!$A:$A,product!C:C)</f>
        <v>Soins des cheveux</v>
      </c>
      <c r="D3107" s="24" t="str">
        <f t="array" ref="D3107">xlookup($A3107,product!$A:$A,product!D:D)</f>
        <v>Shampoing par type de cheveux</v>
      </c>
      <c r="E3107" s="25" t="str">
        <f t="shared" si="1"/>
        <v>187346-Soins des cheveux-Shampoing par type de cheveux</v>
      </c>
      <c r="F3107" s="25">
        <v>1.0</v>
      </c>
      <c r="G3107" s="25">
        <v>853.0</v>
      </c>
      <c r="H3107" s="25">
        <v>334.0</v>
      </c>
      <c r="I3107" s="26">
        <f t="array" ref="I3107">XLOOKUP($A3107,product!A:A,product!E:E)</f>
        <v>6.3</v>
      </c>
      <c r="J3107" s="25">
        <f t="shared" si="2"/>
        <v>2104.2</v>
      </c>
      <c r="K3107" s="27">
        <f t="shared" si="3"/>
        <v>1</v>
      </c>
      <c r="L3107" s="25">
        <f t="shared" si="4"/>
        <v>1</v>
      </c>
    </row>
    <row r="3108">
      <c r="A3108" s="19">
        <v>46978.0</v>
      </c>
      <c r="B3108" s="20" t="str">
        <f t="array" ref="B3108">xlookup($A3108,product!$A:$A,product!B:B)</f>
        <v>Beauté &amp; Hygiène</v>
      </c>
      <c r="C3108" s="20" t="str">
        <f t="array" ref="C3108">xlookup($A3108,product!$A:$A,product!C:C)</f>
        <v>Soins des cheveux</v>
      </c>
      <c r="D3108" s="20" t="str">
        <f t="array" ref="D3108">xlookup($A3108,product!$A:$A,product!D:D)</f>
        <v>Shampoing par type de cheveux</v>
      </c>
      <c r="E3108" s="4" t="str">
        <f t="shared" si="1"/>
        <v>46978-Soins des cheveux-Shampoing par type de cheveux</v>
      </c>
      <c r="F3108" s="4">
        <v>1.0</v>
      </c>
      <c r="G3108" s="4">
        <v>972.0</v>
      </c>
      <c r="H3108" s="4">
        <v>276.0</v>
      </c>
      <c r="I3108" s="21">
        <f t="array" ref="I3108">XLOOKUP($A3108,product!A:A,product!E:E)</f>
        <v>7.16</v>
      </c>
      <c r="J3108" s="4">
        <f t="shared" si="2"/>
        <v>1976.16</v>
      </c>
      <c r="K3108" s="22">
        <f t="shared" si="3"/>
        <v>1</v>
      </c>
      <c r="L3108" s="4">
        <f t="shared" si="4"/>
        <v>1</v>
      </c>
    </row>
    <row r="3109">
      <c r="A3109" s="23">
        <v>110283.0</v>
      </c>
      <c r="B3109" s="24" t="str">
        <f t="array" ref="B3109">xlookup($A3109,product!$A:$A,product!B:B)</f>
        <v>Beauté &amp; Hygiène</v>
      </c>
      <c r="C3109" s="24" t="str">
        <f t="array" ref="C3109">xlookup($A3109,product!$A:$A,product!C:C)</f>
        <v>Soins des cheveux</v>
      </c>
      <c r="D3109" s="24" t="str">
        <f t="array" ref="D3109">xlookup($A3109,product!$A:$A,product!D:D)</f>
        <v>Shampoing par type de cheveux</v>
      </c>
      <c r="E3109" s="25" t="str">
        <f t="shared" si="1"/>
        <v>110283-Soins des cheveux-Shampoing par type de cheveux</v>
      </c>
      <c r="F3109" s="25">
        <v>1.0</v>
      </c>
      <c r="G3109" s="25">
        <v>723.0</v>
      </c>
      <c r="H3109" s="25">
        <v>639.0</v>
      </c>
      <c r="I3109" s="26">
        <f t="array" ref="I3109">XLOOKUP($A3109,product!A:A,product!E:E)</f>
        <v>3.71</v>
      </c>
      <c r="J3109" s="25">
        <f t="shared" si="2"/>
        <v>2370.69</v>
      </c>
      <c r="K3109" s="27">
        <f t="shared" si="3"/>
        <v>1</v>
      </c>
      <c r="L3109" s="25">
        <f t="shared" si="4"/>
        <v>1</v>
      </c>
    </row>
    <row r="3110">
      <c r="A3110" s="19">
        <v>147257.0</v>
      </c>
      <c r="B3110" s="20" t="str">
        <f t="array" ref="B3110">xlookup($A3110,product!$A:$A,product!B:B)</f>
        <v>Beauté &amp; Hygiène</v>
      </c>
      <c r="C3110" s="20" t="str">
        <f t="array" ref="C3110">xlookup($A3110,product!$A:$A,product!C:C)</f>
        <v>Soins des cheveux</v>
      </c>
      <c r="D3110" s="20" t="str">
        <f t="array" ref="D3110">xlookup($A3110,product!$A:$A,product!D:D)</f>
        <v>Shampoing par type de cheveux</v>
      </c>
      <c r="E3110" s="4" t="str">
        <f t="shared" si="1"/>
        <v>147257-Soins des cheveux-Shampoing par type de cheveux</v>
      </c>
      <c r="F3110" s="4">
        <v>1.0</v>
      </c>
      <c r="G3110" s="4">
        <v>651.0</v>
      </c>
      <c r="H3110" s="4">
        <v>498.0</v>
      </c>
      <c r="I3110" s="21">
        <f t="array" ref="I3110">XLOOKUP($A3110,product!A:A,product!E:E)</f>
        <v>3.49</v>
      </c>
      <c r="J3110" s="4">
        <f t="shared" si="2"/>
        <v>1738.02</v>
      </c>
      <c r="K3110" s="22">
        <f t="shared" si="3"/>
        <v>1</v>
      </c>
      <c r="L3110" s="4">
        <f t="shared" si="4"/>
        <v>1</v>
      </c>
    </row>
    <row r="3111">
      <c r="A3111" s="23">
        <v>182191.0</v>
      </c>
      <c r="B3111" s="24" t="str">
        <f t="array" ref="B3111">xlookup($A3111,product!$A:$A,product!B:B)</f>
        <v>Beauté &amp; Hygiène</v>
      </c>
      <c r="C3111" s="24" t="str">
        <f t="array" ref="C3111">xlookup($A3111,product!$A:$A,product!C:C)</f>
        <v>Soins des cheveux</v>
      </c>
      <c r="D3111" s="24" t="str">
        <f t="array" ref="D3111">xlookup($A3111,product!$A:$A,product!D:D)</f>
        <v>Shampoing par type de cheveux</v>
      </c>
      <c r="E3111" s="25" t="str">
        <f t="shared" si="1"/>
        <v>182191-Soins des cheveux-Shampoing par type de cheveux</v>
      </c>
      <c r="F3111" s="25">
        <v>0.0</v>
      </c>
      <c r="G3111" s="25">
        <v>118.0</v>
      </c>
      <c r="H3111" s="25">
        <v>28.0</v>
      </c>
      <c r="I3111" s="26">
        <f t="array" ref="I3111">XLOOKUP($A3111,product!A:A,product!E:E)</f>
        <v>3.49</v>
      </c>
      <c r="J3111" s="25">
        <f t="shared" si="2"/>
        <v>97.72</v>
      </c>
      <c r="K3111" s="27">
        <f t="shared" si="3"/>
        <v>1</v>
      </c>
      <c r="L3111" s="25">
        <f t="shared" si="4"/>
        <v>1</v>
      </c>
    </row>
    <row r="3112">
      <c r="A3112" s="19">
        <v>9722.0</v>
      </c>
      <c r="B3112" s="20" t="str">
        <f t="array" ref="B3112">xlookup($A3112,product!$A:$A,product!B:B)</f>
        <v>Beauté &amp; Hygiène</v>
      </c>
      <c r="C3112" s="20" t="str">
        <f t="array" ref="C3112">xlookup($A3112,product!$A:$A,product!C:C)</f>
        <v>Soins des cheveux</v>
      </c>
      <c r="D3112" s="20" t="str">
        <f t="array" ref="D3112">xlookup($A3112,product!$A:$A,product!D:D)</f>
        <v>Shampoing par type de cheveux</v>
      </c>
      <c r="E3112" s="4" t="str">
        <f t="shared" si="1"/>
        <v>9722-Soins des cheveux-Shampoing par type de cheveux</v>
      </c>
      <c r="F3112" s="4">
        <v>1.0</v>
      </c>
      <c r="G3112" s="4">
        <v>819.0</v>
      </c>
      <c r="H3112" s="4">
        <v>654.0</v>
      </c>
      <c r="I3112" s="21">
        <f t="array" ref="I3112">XLOOKUP($A3112,product!A:A,product!E:E)</f>
        <v>3.56</v>
      </c>
      <c r="J3112" s="4">
        <f t="shared" si="2"/>
        <v>2328.24</v>
      </c>
      <c r="K3112" s="22">
        <f t="shared" si="3"/>
        <v>1</v>
      </c>
      <c r="L3112" s="4">
        <f t="shared" si="4"/>
        <v>1</v>
      </c>
    </row>
    <row r="3113">
      <c r="A3113" s="23">
        <v>124772.0</v>
      </c>
      <c r="B3113" s="24" t="str">
        <f t="array" ref="B3113">xlookup($A3113,product!$A:$A,product!B:B)</f>
        <v>Beauté &amp; Hygiène</v>
      </c>
      <c r="C3113" s="24" t="str">
        <f t="array" ref="C3113">xlookup($A3113,product!$A:$A,product!C:C)</f>
        <v>Soins des cheveux</v>
      </c>
      <c r="D3113" s="24" t="str">
        <f t="array" ref="D3113">xlookup($A3113,product!$A:$A,product!D:D)</f>
        <v>Shampoing par type de cheveux</v>
      </c>
      <c r="E3113" s="25" t="str">
        <f t="shared" si="1"/>
        <v>124772-Soins des cheveux-Shampoing par type de cheveux</v>
      </c>
      <c r="F3113" s="25">
        <v>1.0</v>
      </c>
      <c r="G3113" s="25">
        <v>192.0</v>
      </c>
      <c r="H3113" s="25">
        <v>86.0</v>
      </c>
      <c r="I3113" s="26">
        <f t="array" ref="I3113">XLOOKUP($A3113,product!A:A,product!E:E)</f>
        <v>9.54</v>
      </c>
      <c r="J3113" s="25">
        <f t="shared" si="2"/>
        <v>820.44</v>
      </c>
      <c r="K3113" s="27">
        <f t="shared" si="3"/>
        <v>1</v>
      </c>
      <c r="L3113" s="25">
        <f t="shared" si="4"/>
        <v>1</v>
      </c>
    </row>
    <row r="3114">
      <c r="A3114" s="19">
        <v>8681.0</v>
      </c>
      <c r="B3114" s="20" t="str">
        <f t="array" ref="B3114">xlookup($A3114,product!$A:$A,product!B:B)</f>
        <v>Beauté &amp; Hygiène</v>
      </c>
      <c r="C3114" s="20" t="str">
        <f t="array" ref="C3114">xlookup($A3114,product!$A:$A,product!C:C)</f>
        <v>Soins des cheveux</v>
      </c>
      <c r="D3114" s="20" t="str">
        <f t="array" ref="D3114">xlookup($A3114,product!$A:$A,product!D:D)</f>
        <v>Shampoing par type de cheveux</v>
      </c>
      <c r="E3114" s="4" t="str">
        <f t="shared" si="1"/>
        <v>8681-Soins des cheveux-Shampoing par type de cheveux</v>
      </c>
      <c r="F3114" s="4">
        <v>0.0</v>
      </c>
      <c r="G3114" s="4">
        <v>956.0</v>
      </c>
      <c r="H3114" s="4">
        <v>278.0</v>
      </c>
      <c r="I3114" s="21">
        <f t="array" ref="I3114">XLOOKUP($A3114,product!A:A,product!E:E)</f>
        <v>5.58</v>
      </c>
      <c r="J3114" s="4">
        <f t="shared" si="2"/>
        <v>1551.24</v>
      </c>
      <c r="K3114" s="22">
        <f t="shared" si="3"/>
        <v>1</v>
      </c>
      <c r="L3114" s="4">
        <f t="shared" si="4"/>
        <v>1</v>
      </c>
    </row>
    <row r="3115">
      <c r="A3115" s="23">
        <v>5077.0</v>
      </c>
      <c r="B3115" s="24" t="str">
        <f t="array" ref="B3115">xlookup($A3115,product!$A:$A,product!B:B)</f>
        <v>Beauté &amp; Hygiène</v>
      </c>
      <c r="C3115" s="24" t="str">
        <f t="array" ref="C3115">xlookup($A3115,product!$A:$A,product!C:C)</f>
        <v>Soins des cheveux</v>
      </c>
      <c r="D3115" s="24" t="str">
        <f t="array" ref="D3115">xlookup($A3115,product!$A:$A,product!D:D)</f>
        <v>Shampoing par type de cheveux</v>
      </c>
      <c r="E3115" s="25" t="str">
        <f t="shared" si="1"/>
        <v>5077-Soins des cheveux-Shampoing par type de cheveux</v>
      </c>
      <c r="F3115" s="25">
        <v>0.0</v>
      </c>
      <c r="G3115" s="25">
        <v>857.0</v>
      </c>
      <c r="H3115" s="25">
        <v>505.0</v>
      </c>
      <c r="I3115" s="26">
        <f t="array" ref="I3115">XLOOKUP($A3115,product!A:A,product!E:E)</f>
        <v>6.43</v>
      </c>
      <c r="J3115" s="25">
        <f t="shared" si="2"/>
        <v>3247.15</v>
      </c>
      <c r="K3115" s="27">
        <f t="shared" si="3"/>
        <v>1</v>
      </c>
      <c r="L3115" s="25">
        <f t="shared" si="4"/>
        <v>1</v>
      </c>
    </row>
    <row r="3116">
      <c r="A3116" s="19">
        <v>114274.0</v>
      </c>
      <c r="B3116" s="20" t="str">
        <f t="array" ref="B3116">xlookup($A3116,product!$A:$A,product!B:B)</f>
        <v>Beauté &amp; Hygiène</v>
      </c>
      <c r="C3116" s="20" t="str">
        <f t="array" ref="C3116">xlookup($A3116,product!$A:$A,product!C:C)</f>
        <v>Soins des cheveux</v>
      </c>
      <c r="D3116" s="20" t="str">
        <f t="array" ref="D3116">xlookup($A3116,product!$A:$A,product!D:D)</f>
        <v>Shampoing par type de cheveux</v>
      </c>
      <c r="E3116" s="4" t="str">
        <f t="shared" si="1"/>
        <v>114274-Soins des cheveux-Shampoing par type de cheveux</v>
      </c>
      <c r="F3116" s="4">
        <v>1.0</v>
      </c>
      <c r="G3116" s="4">
        <v>642.0</v>
      </c>
      <c r="H3116" s="4">
        <v>259.0</v>
      </c>
      <c r="I3116" s="21">
        <f t="array" ref="I3116">XLOOKUP($A3116,product!A:A,product!E:E)</f>
        <v>5.79</v>
      </c>
      <c r="J3116" s="4">
        <f t="shared" si="2"/>
        <v>1499.61</v>
      </c>
      <c r="K3116" s="22">
        <f t="shared" si="3"/>
        <v>1</v>
      </c>
      <c r="L3116" s="4">
        <f t="shared" si="4"/>
        <v>1</v>
      </c>
    </row>
    <row r="3117">
      <c r="A3117" s="23">
        <v>1297.0</v>
      </c>
      <c r="B3117" s="24" t="str">
        <f t="array" ref="B3117">xlookup($A3117,product!$A:$A,product!B:B)</f>
        <v>Beauté &amp; Hygiène</v>
      </c>
      <c r="C3117" s="24" t="str">
        <f t="array" ref="C3117">xlookup($A3117,product!$A:$A,product!C:C)</f>
        <v>Soins des cheveux</v>
      </c>
      <c r="D3117" s="24" t="str">
        <f t="array" ref="D3117">xlookup($A3117,product!$A:$A,product!D:D)</f>
        <v>Shampoing par type de cheveux</v>
      </c>
      <c r="E3117" s="25" t="str">
        <f t="shared" si="1"/>
        <v>1297-Soins des cheveux-Shampoing par type de cheveux</v>
      </c>
      <c r="F3117" s="25">
        <v>1.0</v>
      </c>
      <c r="G3117" s="25">
        <v>570.0</v>
      </c>
      <c r="H3117" s="25">
        <v>198.0</v>
      </c>
      <c r="I3117" s="26">
        <f t="array" ref="I3117">XLOOKUP($A3117,product!A:A,product!E:E)</f>
        <v>5.55</v>
      </c>
      <c r="J3117" s="25">
        <f t="shared" si="2"/>
        <v>1098.9</v>
      </c>
      <c r="K3117" s="27">
        <f t="shared" si="3"/>
        <v>1</v>
      </c>
      <c r="L3117" s="25">
        <f t="shared" si="4"/>
        <v>1</v>
      </c>
    </row>
    <row r="3118">
      <c r="A3118" s="19">
        <v>46988.0</v>
      </c>
      <c r="B3118" s="20" t="str">
        <f t="array" ref="B3118">xlookup($A3118,product!$A:$A,product!B:B)</f>
        <v>Beauté &amp; Hygiène</v>
      </c>
      <c r="C3118" s="20" t="str">
        <f t="array" ref="C3118">xlookup($A3118,product!$A:$A,product!C:C)</f>
        <v>Soins des cheveux</v>
      </c>
      <c r="D3118" s="20" t="str">
        <f t="array" ref="D3118">xlookup($A3118,product!$A:$A,product!D:D)</f>
        <v>Shampoing par type de cheveux</v>
      </c>
      <c r="E3118" s="4" t="str">
        <f t="shared" si="1"/>
        <v>46988-Soins des cheveux-Shampoing par type de cheveux</v>
      </c>
      <c r="F3118" s="4">
        <v>0.0</v>
      </c>
      <c r="G3118" s="4">
        <v>887.0</v>
      </c>
      <c r="H3118" s="4">
        <v>336.0</v>
      </c>
      <c r="I3118" s="21">
        <f t="array" ref="I3118">XLOOKUP($A3118,product!A:A,product!E:E)</f>
        <v>3.55</v>
      </c>
      <c r="J3118" s="4">
        <f t="shared" si="2"/>
        <v>1192.8</v>
      </c>
      <c r="K3118" s="22">
        <f t="shared" si="3"/>
        <v>1</v>
      </c>
      <c r="L3118" s="4">
        <f t="shared" si="4"/>
        <v>1</v>
      </c>
    </row>
    <row r="3119">
      <c r="A3119" s="23">
        <v>92623.0</v>
      </c>
      <c r="B3119" s="24" t="str">
        <f t="array" ref="B3119">xlookup($A3119,product!$A:$A,product!B:B)</f>
        <v>Beauté &amp; Hygiène</v>
      </c>
      <c r="C3119" s="24" t="str">
        <f t="array" ref="C3119">xlookup($A3119,product!$A:$A,product!C:C)</f>
        <v>Soins des cheveux</v>
      </c>
      <c r="D3119" s="24" t="str">
        <f t="array" ref="D3119">xlookup($A3119,product!$A:$A,product!D:D)</f>
        <v>Shampoing par type de cheveux</v>
      </c>
      <c r="E3119" s="25" t="str">
        <f t="shared" si="1"/>
        <v>92623-Soins des cheveux-Shampoing par type de cheveux</v>
      </c>
      <c r="F3119" s="25">
        <v>1.0</v>
      </c>
      <c r="G3119" s="25">
        <v>685.0</v>
      </c>
      <c r="H3119" s="25">
        <v>475.0</v>
      </c>
      <c r="I3119" s="26">
        <f t="array" ref="I3119">XLOOKUP($A3119,product!A:A,product!E:E)</f>
        <v>6.3</v>
      </c>
      <c r="J3119" s="25">
        <f t="shared" si="2"/>
        <v>2992.5</v>
      </c>
      <c r="K3119" s="27">
        <f t="shared" si="3"/>
        <v>1</v>
      </c>
      <c r="L3119" s="25">
        <f t="shared" si="4"/>
        <v>1</v>
      </c>
    </row>
    <row r="3120">
      <c r="A3120" s="19">
        <v>79761.0</v>
      </c>
      <c r="B3120" s="20" t="str">
        <f t="array" ref="B3120">xlookup($A3120,product!$A:$A,product!B:B)</f>
        <v>Beauté &amp; Hygiène</v>
      </c>
      <c r="C3120" s="20" t="str">
        <f t="array" ref="C3120">xlookup($A3120,product!$A:$A,product!C:C)</f>
        <v>Soins des cheveux</v>
      </c>
      <c r="D3120" s="20" t="str">
        <f t="array" ref="D3120">xlookup($A3120,product!$A:$A,product!D:D)</f>
        <v>Shampoing par type de cheveux</v>
      </c>
      <c r="E3120" s="4" t="str">
        <f t="shared" si="1"/>
        <v>79761-Soins des cheveux-Shampoing par type de cheveux</v>
      </c>
      <c r="F3120" s="4">
        <v>1.0</v>
      </c>
      <c r="G3120" s="4">
        <v>527.0</v>
      </c>
      <c r="H3120" s="4">
        <v>41.0</v>
      </c>
      <c r="I3120" s="21">
        <f t="array" ref="I3120">XLOOKUP($A3120,product!A:A,product!E:E)</f>
        <v>5.74</v>
      </c>
      <c r="J3120" s="4">
        <f t="shared" si="2"/>
        <v>235.34</v>
      </c>
      <c r="K3120" s="22">
        <f t="shared" si="3"/>
        <v>1</v>
      </c>
      <c r="L3120" s="4">
        <f t="shared" si="4"/>
        <v>1</v>
      </c>
    </row>
    <row r="3121">
      <c r="A3121" s="23">
        <v>11001.0</v>
      </c>
      <c r="B3121" s="24" t="str">
        <f t="array" ref="B3121">xlookup($A3121,product!$A:$A,product!B:B)</f>
        <v>Beauté &amp; Hygiène</v>
      </c>
      <c r="C3121" s="24" t="str">
        <f t="array" ref="C3121">xlookup($A3121,product!$A:$A,product!C:C)</f>
        <v>Soins des cheveux</v>
      </c>
      <c r="D3121" s="24" t="str">
        <f t="array" ref="D3121">xlookup($A3121,product!$A:$A,product!D:D)</f>
        <v>Shampoing par type de cheveux</v>
      </c>
      <c r="E3121" s="25" t="str">
        <f t="shared" si="1"/>
        <v>11001-Soins des cheveux-Shampoing par type de cheveux</v>
      </c>
      <c r="F3121" s="25">
        <v>1.0</v>
      </c>
      <c r="G3121" s="25">
        <v>614.0</v>
      </c>
      <c r="H3121" s="25">
        <v>210.0</v>
      </c>
      <c r="I3121" s="26">
        <f t="array" ref="I3121">XLOOKUP($A3121,product!A:A,product!E:E)</f>
        <v>2.99</v>
      </c>
      <c r="J3121" s="25">
        <f t="shared" si="2"/>
        <v>627.9</v>
      </c>
      <c r="K3121" s="27">
        <f t="shared" si="3"/>
        <v>1</v>
      </c>
      <c r="L3121" s="25">
        <f t="shared" si="4"/>
        <v>1</v>
      </c>
    </row>
    <row r="3122">
      <c r="A3122" s="19">
        <v>9731.0</v>
      </c>
      <c r="B3122" s="20" t="str">
        <f t="array" ref="B3122">xlookup($A3122,product!$A:$A,product!B:B)</f>
        <v>Beauté &amp; Hygiène</v>
      </c>
      <c r="C3122" s="20" t="str">
        <f t="array" ref="C3122">xlookup($A3122,product!$A:$A,product!C:C)</f>
        <v>Soins des cheveux</v>
      </c>
      <c r="D3122" s="20" t="str">
        <f t="array" ref="D3122">xlookup($A3122,product!$A:$A,product!D:D)</f>
        <v>Shampoing volume et brillance</v>
      </c>
      <c r="E3122" s="4" t="str">
        <f t="shared" si="1"/>
        <v>9731-Soins des cheveux-Shampoing volume et brillance</v>
      </c>
      <c r="F3122" s="4">
        <v>0.0</v>
      </c>
      <c r="G3122" s="4">
        <v>630.0</v>
      </c>
      <c r="H3122" s="4">
        <v>591.0</v>
      </c>
      <c r="I3122" s="21">
        <f t="array" ref="I3122">XLOOKUP($A3122,product!A:A,product!E:E)</f>
        <v>7.13</v>
      </c>
      <c r="J3122" s="4">
        <f t="shared" si="2"/>
        <v>4213.83</v>
      </c>
      <c r="K3122" s="22">
        <f t="shared" si="3"/>
        <v>1</v>
      </c>
      <c r="L3122" s="4">
        <f t="shared" si="4"/>
        <v>1</v>
      </c>
    </row>
    <row r="3123">
      <c r="A3123" s="23">
        <v>122316.0</v>
      </c>
      <c r="B3123" s="24" t="str">
        <f t="array" ref="B3123">xlookup($A3123,product!$A:$A,product!B:B)</f>
        <v>Beauté &amp; Hygiène</v>
      </c>
      <c r="C3123" s="24" t="str">
        <f t="array" ref="C3123">xlookup($A3123,product!$A:$A,product!C:C)</f>
        <v>Soins des cheveux</v>
      </c>
      <c r="D3123" s="24" t="str">
        <f t="array" ref="D3123">xlookup($A3123,product!$A:$A,product!D:D)</f>
        <v>Shampoing volume et brillance</v>
      </c>
      <c r="E3123" s="25" t="str">
        <f t="shared" si="1"/>
        <v>122316-Soins des cheveux-Shampoing volume et brillance</v>
      </c>
      <c r="F3123" s="25">
        <v>1.0</v>
      </c>
      <c r="G3123" s="25">
        <v>772.0</v>
      </c>
      <c r="H3123" s="25">
        <v>143.0</v>
      </c>
      <c r="I3123" s="26">
        <f t="array" ref="I3123">XLOOKUP($A3123,product!A:A,product!E:E)</f>
        <v>5.82</v>
      </c>
      <c r="J3123" s="25">
        <f t="shared" si="2"/>
        <v>832.26</v>
      </c>
      <c r="K3123" s="27">
        <f t="shared" si="3"/>
        <v>1</v>
      </c>
      <c r="L3123" s="25">
        <f t="shared" si="4"/>
        <v>1</v>
      </c>
    </row>
    <row r="3124">
      <c r="A3124" s="19">
        <v>147255.0</v>
      </c>
      <c r="B3124" s="20" t="str">
        <f t="array" ref="B3124">xlookup($A3124,product!$A:$A,product!B:B)</f>
        <v>Beauté &amp; Hygiène</v>
      </c>
      <c r="C3124" s="20" t="str">
        <f t="array" ref="C3124">xlookup($A3124,product!$A:$A,product!C:C)</f>
        <v>Soins des cheveux</v>
      </c>
      <c r="D3124" s="20" t="str">
        <f t="array" ref="D3124">xlookup($A3124,product!$A:$A,product!D:D)</f>
        <v>Shampoing volume et brillance</v>
      </c>
      <c r="E3124" s="4" t="str">
        <f t="shared" si="1"/>
        <v>147255-Soins des cheveux-Shampoing volume et brillance</v>
      </c>
      <c r="F3124" s="4">
        <v>1.0</v>
      </c>
      <c r="G3124" s="4">
        <v>633.0</v>
      </c>
      <c r="H3124" s="4">
        <v>62.0</v>
      </c>
      <c r="I3124" s="21">
        <f t="array" ref="I3124">XLOOKUP($A3124,product!A:A,product!E:E)</f>
        <v>3.49</v>
      </c>
      <c r="J3124" s="4">
        <f t="shared" si="2"/>
        <v>216.38</v>
      </c>
      <c r="K3124" s="22">
        <f t="shared" si="3"/>
        <v>1</v>
      </c>
      <c r="L3124" s="4">
        <f t="shared" si="4"/>
        <v>1</v>
      </c>
    </row>
    <row r="3125">
      <c r="A3125" s="23">
        <v>8675.0</v>
      </c>
      <c r="B3125" s="24" t="str">
        <f t="array" ref="B3125">xlookup($A3125,product!$A:$A,product!B:B)</f>
        <v>Beauté &amp; Hygiène</v>
      </c>
      <c r="C3125" s="24" t="str">
        <f t="array" ref="C3125">xlookup($A3125,product!$A:$A,product!C:C)</f>
        <v>Soins des cheveux</v>
      </c>
      <c r="D3125" s="24" t="str">
        <f t="array" ref="D3125">xlookup($A3125,product!$A:$A,product!D:D)</f>
        <v>Shampoing volume et brillance</v>
      </c>
      <c r="E3125" s="25" t="str">
        <f t="shared" si="1"/>
        <v>8675-Soins des cheveux-Shampoing volume et brillance</v>
      </c>
      <c r="F3125" s="25">
        <v>0.0</v>
      </c>
      <c r="G3125" s="25">
        <v>369.0</v>
      </c>
      <c r="H3125" s="25">
        <v>23.0</v>
      </c>
      <c r="I3125" s="26">
        <f t="array" ref="I3125">XLOOKUP($A3125,product!A:A,product!E:E)</f>
        <v>7.52</v>
      </c>
      <c r="J3125" s="25">
        <f t="shared" si="2"/>
        <v>172.96</v>
      </c>
      <c r="K3125" s="27">
        <f t="shared" si="3"/>
        <v>1</v>
      </c>
      <c r="L3125" s="25">
        <f t="shared" si="4"/>
        <v>1</v>
      </c>
    </row>
    <row r="3126">
      <c r="A3126" s="19">
        <v>121900.0</v>
      </c>
      <c r="B3126" s="20" t="str">
        <f t="array" ref="B3126">xlookup($A3126,product!$A:$A,product!B:B)</f>
        <v>Beauté &amp; Hygiène</v>
      </c>
      <c r="C3126" s="20" t="str">
        <f t="array" ref="C3126">xlookup($A3126,product!$A:$A,product!C:C)</f>
        <v>Soins des cheveux</v>
      </c>
      <c r="D3126" s="20" t="str">
        <f t="array" ref="D3126">xlookup($A3126,product!$A:$A,product!D:D)</f>
        <v>Shampoing volume et brillance</v>
      </c>
      <c r="E3126" s="4" t="str">
        <f t="shared" si="1"/>
        <v>121900-Soins des cheveux-Shampoing volume et brillance</v>
      </c>
      <c r="F3126" s="4">
        <v>1.0</v>
      </c>
      <c r="G3126" s="4">
        <v>667.0</v>
      </c>
      <c r="H3126" s="4">
        <v>382.0</v>
      </c>
      <c r="I3126" s="21">
        <f t="array" ref="I3126">XLOOKUP($A3126,product!A:A,product!E:E)</f>
        <v>6.35</v>
      </c>
      <c r="J3126" s="4">
        <f t="shared" si="2"/>
        <v>2425.7</v>
      </c>
      <c r="K3126" s="22">
        <f t="shared" si="3"/>
        <v>1</v>
      </c>
      <c r="L3126" s="4">
        <f t="shared" si="4"/>
        <v>1</v>
      </c>
    </row>
    <row r="3127">
      <c r="A3127" s="23">
        <v>124764.0</v>
      </c>
      <c r="B3127" s="24" t="str">
        <f t="array" ref="B3127">xlookup($A3127,product!$A:$A,product!B:B)</f>
        <v>Beauté &amp; Hygiène</v>
      </c>
      <c r="C3127" s="24" t="str">
        <f t="array" ref="C3127">xlookup($A3127,product!$A:$A,product!C:C)</f>
        <v>Soins des cheveux</v>
      </c>
      <c r="D3127" s="24" t="str">
        <f t="array" ref="D3127">xlookup($A3127,product!$A:$A,product!D:D)</f>
        <v>Shampoing volume et brillance</v>
      </c>
      <c r="E3127" s="25" t="str">
        <f t="shared" si="1"/>
        <v>124764-Soins des cheveux-Shampoing volume et brillance</v>
      </c>
      <c r="F3127" s="25">
        <v>1.0</v>
      </c>
      <c r="G3127" s="25">
        <v>851.0</v>
      </c>
      <c r="H3127" s="25">
        <v>217.0</v>
      </c>
      <c r="I3127" s="26">
        <f t="array" ref="I3127">XLOOKUP($A3127,product!A:A,product!E:E)</f>
        <v>9.54</v>
      </c>
      <c r="J3127" s="25">
        <f t="shared" si="2"/>
        <v>2070.18</v>
      </c>
      <c r="K3127" s="27">
        <f t="shared" si="3"/>
        <v>1</v>
      </c>
      <c r="L3127" s="25">
        <f t="shared" si="4"/>
        <v>1</v>
      </c>
    </row>
    <row r="3128">
      <c r="A3128" s="19">
        <v>124774.0</v>
      </c>
      <c r="B3128" s="20" t="str">
        <f t="array" ref="B3128">xlookup($A3128,product!$A:$A,product!B:B)</f>
        <v>Beauté &amp; Hygiène</v>
      </c>
      <c r="C3128" s="20" t="str">
        <f t="array" ref="C3128">xlookup($A3128,product!$A:$A,product!C:C)</f>
        <v>Soins des cheveux</v>
      </c>
      <c r="D3128" s="20" t="str">
        <f t="array" ref="D3128">xlookup($A3128,product!$A:$A,product!D:D)</f>
        <v>Shampoing volume et brillance</v>
      </c>
      <c r="E3128" s="4" t="str">
        <f t="shared" si="1"/>
        <v>124774-Soins des cheveux-Shampoing volume et brillance</v>
      </c>
      <c r="F3128" s="4">
        <v>0.0</v>
      </c>
      <c r="G3128" s="4">
        <v>185.0</v>
      </c>
      <c r="H3128" s="4">
        <v>127.0</v>
      </c>
      <c r="I3128" s="21">
        <f t="array" ref="I3128">XLOOKUP($A3128,product!A:A,product!E:E)</f>
        <v>9.54</v>
      </c>
      <c r="J3128" s="4">
        <f t="shared" si="2"/>
        <v>1211.58</v>
      </c>
      <c r="K3128" s="22">
        <f t="shared" si="3"/>
        <v>1</v>
      </c>
      <c r="L3128" s="4">
        <f t="shared" si="4"/>
        <v>1</v>
      </c>
    </row>
    <row r="3129">
      <c r="A3129" s="23">
        <v>79353.0</v>
      </c>
      <c r="B3129" s="24" t="str">
        <f t="array" ref="B3129">xlookup($A3129,product!$A:$A,product!B:B)</f>
        <v>Beauté &amp; Hygiène</v>
      </c>
      <c r="C3129" s="24" t="str">
        <f t="array" ref="C3129">xlookup($A3129,product!$A:$A,product!C:C)</f>
        <v>Soins des cheveux</v>
      </c>
      <c r="D3129" s="24" t="str">
        <f t="array" ref="D3129">xlookup($A3129,product!$A:$A,product!D:D)</f>
        <v>Shampoing volume et brillance</v>
      </c>
      <c r="E3129" s="25" t="str">
        <f t="shared" si="1"/>
        <v>79353-Soins des cheveux-Shampoing volume et brillance</v>
      </c>
      <c r="F3129" s="25">
        <v>1.0</v>
      </c>
      <c r="G3129" s="25">
        <v>104.0</v>
      </c>
      <c r="H3129" s="25">
        <v>6.0</v>
      </c>
      <c r="I3129" s="26">
        <f t="array" ref="I3129">XLOOKUP($A3129,product!A:A,product!E:E)</f>
        <v>4.76</v>
      </c>
      <c r="J3129" s="25">
        <f t="shared" si="2"/>
        <v>28.56</v>
      </c>
      <c r="K3129" s="27">
        <f t="shared" si="3"/>
        <v>1</v>
      </c>
      <c r="L3129" s="25">
        <f t="shared" si="4"/>
        <v>1</v>
      </c>
    </row>
    <row r="3130">
      <c r="A3130" s="19">
        <v>82703.0</v>
      </c>
      <c r="B3130" s="20" t="str">
        <f t="array" ref="B3130">xlookup($A3130,product!$A:$A,product!B:B)</f>
        <v>Beauté &amp; Hygiène</v>
      </c>
      <c r="C3130" s="20" t="str">
        <f t="array" ref="C3130">xlookup($A3130,product!$A:$A,product!C:C)</f>
        <v>Soins des cheveux</v>
      </c>
      <c r="D3130" s="20" t="str">
        <f t="array" ref="D3130">xlookup($A3130,product!$A:$A,product!D:D)</f>
        <v>Shampoing volume et brillance</v>
      </c>
      <c r="E3130" s="4" t="str">
        <f t="shared" si="1"/>
        <v>82703-Soins des cheveux-Shampoing volume et brillance</v>
      </c>
      <c r="F3130" s="4">
        <v>0.0</v>
      </c>
      <c r="G3130" s="4">
        <v>965.0</v>
      </c>
      <c r="H3130" s="4">
        <v>186.0</v>
      </c>
      <c r="I3130" s="21">
        <f t="array" ref="I3130">XLOOKUP($A3130,product!A:A,product!E:E)</f>
        <v>7.75</v>
      </c>
      <c r="J3130" s="4">
        <f t="shared" si="2"/>
        <v>1441.5</v>
      </c>
      <c r="K3130" s="22">
        <f t="shared" si="3"/>
        <v>1</v>
      </c>
      <c r="L3130" s="4">
        <f t="shared" si="4"/>
        <v>1</v>
      </c>
    </row>
    <row r="3131">
      <c r="A3131" s="23">
        <v>71820.0</v>
      </c>
      <c r="B3131" s="24" t="str">
        <f t="array" ref="B3131">xlookup($A3131,product!$A:$A,product!B:B)</f>
        <v>Beauté &amp; Hygiène</v>
      </c>
      <c r="C3131" s="24" t="str">
        <f t="array" ref="C3131">xlookup($A3131,product!$A:$A,product!C:C)</f>
        <v>Soins des cheveux</v>
      </c>
      <c r="D3131" s="24" t="str">
        <f t="array" ref="D3131">xlookup($A3131,product!$A:$A,product!D:D)</f>
        <v>Shampoing volume et brillance</v>
      </c>
      <c r="E3131" s="25" t="str">
        <f t="shared" si="1"/>
        <v>71820-Soins des cheveux-Shampoing volume et brillance</v>
      </c>
      <c r="F3131" s="25">
        <v>1.0</v>
      </c>
      <c r="G3131" s="25">
        <v>607.0</v>
      </c>
      <c r="H3131" s="25">
        <v>129.0</v>
      </c>
      <c r="I3131" s="26">
        <f t="array" ref="I3131">XLOOKUP($A3131,product!A:A,product!E:E)</f>
        <v>5.74</v>
      </c>
      <c r="J3131" s="25">
        <f t="shared" si="2"/>
        <v>740.46</v>
      </c>
      <c r="K3131" s="27">
        <f t="shared" si="3"/>
        <v>1</v>
      </c>
      <c r="L3131" s="25">
        <f t="shared" si="4"/>
        <v>1</v>
      </c>
    </row>
    <row r="3132">
      <c r="A3132" s="19">
        <v>128311.0</v>
      </c>
      <c r="B3132" s="20" t="str">
        <f t="array" ref="B3132">xlookup($A3132,product!$A:$A,product!B:B)</f>
        <v>Beauté &amp; Hygiène</v>
      </c>
      <c r="C3132" s="20" t="str">
        <f t="array" ref="C3132">xlookup($A3132,product!$A:$A,product!C:C)</f>
        <v>Soins des cheveux</v>
      </c>
      <c r="D3132" s="20" t="str">
        <f t="array" ref="D3132">xlookup($A3132,product!$A:$A,product!D:D)</f>
        <v>Shampoing volume et brillance</v>
      </c>
      <c r="E3132" s="4" t="str">
        <f t="shared" si="1"/>
        <v>128311-Soins des cheveux-Shampoing volume et brillance</v>
      </c>
      <c r="F3132" s="4">
        <v>0.0</v>
      </c>
      <c r="G3132" s="4">
        <v>362.0</v>
      </c>
      <c r="H3132" s="4">
        <v>109.0</v>
      </c>
      <c r="I3132" s="21">
        <f t="array" ref="I3132">XLOOKUP($A3132,product!A:A,product!E:E)</f>
        <v>2.76</v>
      </c>
      <c r="J3132" s="4">
        <f t="shared" si="2"/>
        <v>300.84</v>
      </c>
      <c r="K3132" s="22">
        <f t="shared" si="3"/>
        <v>1</v>
      </c>
      <c r="L3132" s="4">
        <f t="shared" si="4"/>
        <v>1</v>
      </c>
    </row>
    <row r="3133">
      <c r="A3133" s="23">
        <v>70595.0</v>
      </c>
      <c r="B3133" s="24" t="str">
        <f t="array" ref="B3133">xlookup($A3133,product!$A:$A,product!B:B)</f>
        <v>Beauté &amp; Hygiène</v>
      </c>
      <c r="C3133" s="24" t="str">
        <f t="array" ref="C3133">xlookup($A3133,product!$A:$A,product!C:C)</f>
        <v>Soins des cheveux</v>
      </c>
      <c r="D3133" s="24" t="str">
        <f t="array" ref="D3133">xlookup($A3133,product!$A:$A,product!D:D)</f>
        <v>Shampoing volume et brillance</v>
      </c>
      <c r="E3133" s="25" t="str">
        <f t="shared" si="1"/>
        <v>70595-Soins des cheveux-Shampoing volume et brillance</v>
      </c>
      <c r="F3133" s="25">
        <v>1.0</v>
      </c>
      <c r="G3133" s="25">
        <v>860.0</v>
      </c>
      <c r="H3133" s="25">
        <v>38.0</v>
      </c>
      <c r="I3133" s="26">
        <f t="array" ref="I3133">XLOOKUP($A3133,product!A:A,product!E:E)</f>
        <v>5.83</v>
      </c>
      <c r="J3133" s="25">
        <f t="shared" si="2"/>
        <v>221.54</v>
      </c>
      <c r="K3133" s="27">
        <f t="shared" si="3"/>
        <v>1</v>
      </c>
      <c r="L3133" s="25">
        <f t="shared" si="4"/>
        <v>1</v>
      </c>
    </row>
    <row r="3134">
      <c r="A3134" s="19">
        <v>8676.0</v>
      </c>
      <c r="B3134" s="20" t="str">
        <f t="array" ref="B3134">xlookup($A3134,product!$A:$A,product!B:B)</f>
        <v>Beauté &amp; Hygiène</v>
      </c>
      <c r="C3134" s="20" t="str">
        <f t="array" ref="C3134">xlookup($A3134,product!$A:$A,product!C:C)</f>
        <v>Soins des cheveux</v>
      </c>
      <c r="D3134" s="20" t="str">
        <f t="array" ref="D3134">xlookup($A3134,product!$A:$A,product!D:D)</f>
        <v>Shampoing volume et brillance</v>
      </c>
      <c r="E3134" s="4" t="str">
        <f t="shared" si="1"/>
        <v>8676-Soins des cheveux-Shampoing volume et brillance</v>
      </c>
      <c r="F3134" s="4">
        <v>0.0</v>
      </c>
      <c r="G3134" s="4">
        <v>274.0</v>
      </c>
      <c r="H3134" s="4">
        <v>113.0</v>
      </c>
      <c r="I3134" s="21">
        <f t="array" ref="I3134">XLOOKUP($A3134,product!A:A,product!E:E)</f>
        <v>5.38</v>
      </c>
      <c r="J3134" s="4">
        <f t="shared" si="2"/>
        <v>607.94</v>
      </c>
      <c r="K3134" s="22">
        <f t="shared" si="3"/>
        <v>1</v>
      </c>
      <c r="L3134" s="4">
        <f t="shared" si="4"/>
        <v>1</v>
      </c>
    </row>
    <row r="3135">
      <c r="A3135" s="23">
        <v>128313.0</v>
      </c>
      <c r="B3135" s="24" t="str">
        <f t="array" ref="B3135">xlookup($A3135,product!$A:$A,product!B:B)</f>
        <v>Beauté &amp; Hygiène</v>
      </c>
      <c r="C3135" s="24" t="str">
        <f t="array" ref="C3135">xlookup($A3135,product!$A:$A,product!C:C)</f>
        <v>Soins des cheveux</v>
      </c>
      <c r="D3135" s="24" t="str">
        <f t="array" ref="D3135">xlookup($A3135,product!$A:$A,product!D:D)</f>
        <v>Shampoing volume et brillance</v>
      </c>
      <c r="E3135" s="25" t="str">
        <f t="shared" si="1"/>
        <v>128313-Soins des cheveux-Shampoing volume et brillance</v>
      </c>
      <c r="F3135" s="25">
        <v>0.0</v>
      </c>
      <c r="G3135" s="25">
        <v>18.0</v>
      </c>
      <c r="H3135" s="25">
        <v>14.0</v>
      </c>
      <c r="I3135" s="26">
        <f t="array" ref="I3135">XLOOKUP($A3135,product!A:A,product!E:E)</f>
        <v>2.76</v>
      </c>
      <c r="J3135" s="25">
        <f t="shared" si="2"/>
        <v>38.64</v>
      </c>
      <c r="K3135" s="27">
        <f t="shared" si="3"/>
        <v>1</v>
      </c>
      <c r="L3135" s="25">
        <f t="shared" si="4"/>
        <v>1</v>
      </c>
    </row>
    <row r="3136">
      <c r="A3136" s="19">
        <v>45479.0</v>
      </c>
      <c r="B3136" s="20" t="str">
        <f t="array" ref="B3136">xlookup($A3136,product!$A:$A,product!B:B)</f>
        <v>Beauté &amp; Hygiène</v>
      </c>
      <c r="C3136" s="20" t="str">
        <f t="array" ref="C3136">xlookup($A3136,product!$A:$A,product!C:C)</f>
        <v>Soins à l'Argile</v>
      </c>
      <c r="D3136" s="20" t="str">
        <f t="array" ref="D3136">xlookup($A3136,product!$A:$A,product!D:D)</f>
        <v>Argile en Vrac</v>
      </c>
      <c r="E3136" s="4" t="str">
        <f t="shared" si="1"/>
        <v>45479-Soins à l'Argile-Argile en Vrac</v>
      </c>
      <c r="F3136" s="4">
        <v>0.0</v>
      </c>
      <c r="G3136" s="4">
        <v>803.0</v>
      </c>
      <c r="H3136" s="4">
        <v>306.0</v>
      </c>
      <c r="I3136" s="21">
        <f t="array" ref="I3136">XLOOKUP($A3136,product!A:A,product!E:E)</f>
        <v>1.99</v>
      </c>
      <c r="J3136" s="4">
        <f t="shared" si="2"/>
        <v>608.94</v>
      </c>
      <c r="K3136" s="22">
        <f t="shared" si="3"/>
        <v>1</v>
      </c>
      <c r="L3136" s="4">
        <f t="shared" si="4"/>
        <v>1</v>
      </c>
    </row>
    <row r="3137">
      <c r="A3137" s="23">
        <v>45481.0</v>
      </c>
      <c r="B3137" s="24" t="str">
        <f t="array" ref="B3137">xlookup($A3137,product!$A:$A,product!B:B)</f>
        <v>Beauté &amp; Hygiène</v>
      </c>
      <c r="C3137" s="24" t="str">
        <f t="array" ref="C3137">xlookup($A3137,product!$A:$A,product!C:C)</f>
        <v>Soins à l'Argile</v>
      </c>
      <c r="D3137" s="24" t="str">
        <f t="array" ref="D3137">xlookup($A3137,product!$A:$A,product!D:D)</f>
        <v>Argile en Vrac</v>
      </c>
      <c r="E3137" s="25" t="str">
        <f t="shared" si="1"/>
        <v>45481-Soins à l'Argile-Argile en Vrac</v>
      </c>
      <c r="F3137" s="25">
        <v>1.0</v>
      </c>
      <c r="G3137" s="25">
        <v>578.0</v>
      </c>
      <c r="H3137" s="25">
        <v>500.0</v>
      </c>
      <c r="I3137" s="26">
        <f t="array" ref="I3137">XLOOKUP($A3137,product!A:A,product!E:E)</f>
        <v>5.54</v>
      </c>
      <c r="J3137" s="25">
        <f t="shared" si="2"/>
        <v>2770</v>
      </c>
      <c r="K3137" s="27">
        <f t="shared" si="3"/>
        <v>1</v>
      </c>
      <c r="L3137" s="25">
        <f t="shared" si="4"/>
        <v>1</v>
      </c>
    </row>
    <row r="3138">
      <c r="A3138" s="19">
        <v>80001.0</v>
      </c>
      <c r="B3138" s="20" t="str">
        <f t="array" ref="B3138">xlookup($A3138,product!$A:$A,product!B:B)</f>
        <v>Beauté &amp; Hygiène</v>
      </c>
      <c r="C3138" s="20" t="str">
        <f t="array" ref="C3138">xlookup($A3138,product!$A:$A,product!C:C)</f>
        <v>Soins à l'Argile</v>
      </c>
      <c r="D3138" s="20" t="str">
        <f t="array" ref="D3138">xlookup($A3138,product!$A:$A,product!D:D)</f>
        <v>Argile en Vrac</v>
      </c>
      <c r="E3138" s="4" t="str">
        <f t="shared" si="1"/>
        <v>80001-Soins à l'Argile-Argile en Vrac</v>
      </c>
      <c r="F3138" s="4">
        <v>0.0</v>
      </c>
      <c r="G3138" s="4">
        <v>628.0</v>
      </c>
      <c r="H3138" s="4">
        <v>60.0</v>
      </c>
      <c r="I3138" s="21">
        <f t="array" ref="I3138">XLOOKUP($A3138,product!A:A,product!E:E)</f>
        <v>2.83</v>
      </c>
      <c r="J3138" s="4">
        <f t="shared" si="2"/>
        <v>169.8</v>
      </c>
      <c r="K3138" s="22">
        <f t="shared" si="3"/>
        <v>1</v>
      </c>
      <c r="L3138" s="4">
        <f t="shared" si="4"/>
        <v>1</v>
      </c>
    </row>
    <row r="3139">
      <c r="A3139" s="23">
        <v>10068.0</v>
      </c>
      <c r="B3139" s="24" t="str">
        <f t="array" ref="B3139">xlookup($A3139,product!$A:$A,product!B:B)</f>
        <v>Beauté &amp; Hygiène</v>
      </c>
      <c r="C3139" s="24" t="str">
        <f t="array" ref="C3139">xlookup($A3139,product!$A:$A,product!C:C)</f>
        <v>Soins à l'Argile</v>
      </c>
      <c r="D3139" s="24" t="str">
        <f t="array" ref="D3139">xlookup($A3139,product!$A:$A,product!D:D)</f>
        <v>Argile en Vrac</v>
      </c>
      <c r="E3139" s="25" t="str">
        <f t="shared" si="1"/>
        <v>10068-Soins à l'Argile-Argile en Vrac</v>
      </c>
      <c r="F3139" s="25">
        <v>0.0</v>
      </c>
      <c r="G3139" s="25">
        <v>495.0</v>
      </c>
      <c r="H3139" s="25">
        <v>187.0</v>
      </c>
      <c r="I3139" s="26">
        <f t="array" ref="I3139">XLOOKUP($A3139,product!A:A,product!E:E)</f>
        <v>2.39</v>
      </c>
      <c r="J3139" s="25">
        <f t="shared" si="2"/>
        <v>446.93</v>
      </c>
      <c r="K3139" s="27">
        <f t="shared" si="3"/>
        <v>1</v>
      </c>
      <c r="L3139" s="25">
        <f t="shared" si="4"/>
        <v>1</v>
      </c>
    </row>
    <row r="3140">
      <c r="A3140" s="19">
        <v>10054.0</v>
      </c>
      <c r="B3140" s="20" t="str">
        <f t="array" ref="B3140">xlookup($A3140,product!$A:$A,product!B:B)</f>
        <v>Beauté &amp; Hygiène</v>
      </c>
      <c r="C3140" s="20" t="str">
        <f t="array" ref="C3140">xlookup($A3140,product!$A:$A,product!C:C)</f>
        <v>Soins à l'Argile</v>
      </c>
      <c r="D3140" s="20" t="str">
        <f t="array" ref="D3140">xlookup($A3140,product!$A:$A,product!D:D)</f>
        <v>Argile en Vrac</v>
      </c>
      <c r="E3140" s="4" t="str">
        <f t="shared" si="1"/>
        <v>10054-Soins à l'Argile-Argile en Vrac</v>
      </c>
      <c r="F3140" s="4">
        <v>0.0</v>
      </c>
      <c r="G3140" s="4">
        <v>568.0</v>
      </c>
      <c r="H3140" s="4">
        <v>416.0</v>
      </c>
      <c r="I3140" s="21">
        <f t="array" ref="I3140">XLOOKUP($A3140,product!A:A,product!E:E)</f>
        <v>4.45</v>
      </c>
      <c r="J3140" s="4">
        <f t="shared" si="2"/>
        <v>1851.2</v>
      </c>
      <c r="K3140" s="22">
        <f t="shared" si="3"/>
        <v>1</v>
      </c>
      <c r="L3140" s="4">
        <f t="shared" si="4"/>
        <v>1</v>
      </c>
    </row>
    <row r="3141">
      <c r="A3141" s="23">
        <v>10070.0</v>
      </c>
      <c r="B3141" s="24" t="str">
        <f t="array" ref="B3141">xlookup($A3141,product!$A:$A,product!B:B)</f>
        <v>Beauté &amp; Hygiène</v>
      </c>
      <c r="C3141" s="24" t="str">
        <f t="array" ref="C3141">xlookup($A3141,product!$A:$A,product!C:C)</f>
        <v>Soins à l'Argile</v>
      </c>
      <c r="D3141" s="24" t="str">
        <f t="array" ref="D3141">xlookup($A3141,product!$A:$A,product!D:D)</f>
        <v>Argile en Vrac</v>
      </c>
      <c r="E3141" s="25" t="str">
        <f t="shared" si="1"/>
        <v>10070-Soins à l'Argile-Argile en Vrac</v>
      </c>
      <c r="F3141" s="25">
        <v>0.0</v>
      </c>
      <c r="G3141" s="25">
        <v>719.0</v>
      </c>
      <c r="H3141" s="25">
        <v>82.0</v>
      </c>
      <c r="I3141" s="26">
        <f t="array" ref="I3141">XLOOKUP($A3141,product!A:A,product!E:E)</f>
        <v>2.65</v>
      </c>
      <c r="J3141" s="25">
        <f t="shared" si="2"/>
        <v>217.3</v>
      </c>
      <c r="K3141" s="27">
        <f t="shared" si="3"/>
        <v>1</v>
      </c>
      <c r="L3141" s="25">
        <f t="shared" si="4"/>
        <v>1</v>
      </c>
    </row>
    <row r="3142">
      <c r="A3142" s="19">
        <v>45480.0</v>
      </c>
      <c r="B3142" s="20" t="str">
        <f t="array" ref="B3142">xlookup($A3142,product!$A:$A,product!B:B)</f>
        <v>Beauté &amp; Hygiène</v>
      </c>
      <c r="C3142" s="20" t="str">
        <f t="array" ref="C3142">xlookup($A3142,product!$A:$A,product!C:C)</f>
        <v>Soins à l'Argile</v>
      </c>
      <c r="D3142" s="20" t="str">
        <f t="array" ref="D3142">xlookup($A3142,product!$A:$A,product!D:D)</f>
        <v>Argile en Vrac</v>
      </c>
      <c r="E3142" s="4" t="str">
        <f t="shared" si="1"/>
        <v>45480-Soins à l'Argile-Argile en Vrac</v>
      </c>
      <c r="F3142" s="4">
        <v>1.0</v>
      </c>
      <c r="G3142" s="4">
        <v>49.0</v>
      </c>
      <c r="H3142" s="4">
        <v>1.0</v>
      </c>
      <c r="I3142" s="21">
        <f t="array" ref="I3142">XLOOKUP($A3142,product!A:A,product!E:E)</f>
        <v>2.71</v>
      </c>
      <c r="J3142" s="4">
        <f t="shared" si="2"/>
        <v>2.71</v>
      </c>
      <c r="K3142" s="22">
        <f t="shared" si="3"/>
        <v>1</v>
      </c>
      <c r="L3142" s="4">
        <f t="shared" si="4"/>
        <v>1</v>
      </c>
    </row>
    <row r="3143">
      <c r="A3143" s="23">
        <v>92791.0</v>
      </c>
      <c r="B3143" s="24" t="str">
        <f t="array" ref="B3143">xlookup($A3143,product!$A:$A,product!B:B)</f>
        <v>Beauté &amp; Hygiène</v>
      </c>
      <c r="C3143" s="24" t="str">
        <f t="array" ref="C3143">xlookup($A3143,product!$A:$A,product!C:C)</f>
        <v>Soins à l'Argile</v>
      </c>
      <c r="D3143" s="24" t="str">
        <f t="array" ref="D3143">xlookup($A3143,product!$A:$A,product!D:D)</f>
        <v>Argile en Vrac</v>
      </c>
      <c r="E3143" s="25" t="str">
        <f t="shared" si="1"/>
        <v>92791-Soins à l'Argile-Argile en Vrac</v>
      </c>
      <c r="F3143" s="25">
        <v>0.0</v>
      </c>
      <c r="G3143" s="25">
        <v>309.0</v>
      </c>
      <c r="H3143" s="25">
        <v>5.0</v>
      </c>
      <c r="I3143" s="26">
        <f t="array" ref="I3143">XLOOKUP($A3143,product!A:A,product!E:E)</f>
        <v>1.99</v>
      </c>
      <c r="J3143" s="25">
        <f t="shared" si="2"/>
        <v>9.95</v>
      </c>
      <c r="K3143" s="27">
        <f t="shared" si="3"/>
        <v>1</v>
      </c>
      <c r="L3143" s="25">
        <f t="shared" si="4"/>
        <v>1</v>
      </c>
    </row>
    <row r="3144">
      <c r="A3144" s="19">
        <v>188722.0</v>
      </c>
      <c r="B3144" s="20" t="str">
        <f t="array" ref="B3144">xlookup($A3144,product!$A:$A,product!B:B)</f>
        <v>Beauté &amp; Hygiène</v>
      </c>
      <c r="C3144" s="20" t="str">
        <f t="array" ref="C3144">xlookup($A3144,product!$A:$A,product!C:C)</f>
        <v>Soins à l'Argile</v>
      </c>
      <c r="D3144" s="20" t="str">
        <f t="array" ref="D3144">xlookup($A3144,product!$A:$A,product!D:D)</f>
        <v>Argile prête à l'emploi</v>
      </c>
      <c r="E3144" s="4" t="str">
        <f t="shared" si="1"/>
        <v>188722-Soins à l'Argile-Argile prête à l'emploi</v>
      </c>
      <c r="F3144" s="4">
        <v>1.0</v>
      </c>
      <c r="G3144" s="4">
        <v>299.0</v>
      </c>
      <c r="H3144" s="4">
        <v>299.0</v>
      </c>
      <c r="I3144" s="21">
        <f t="array" ref="I3144">XLOOKUP($A3144,product!A:A,product!E:E)</f>
        <v>2.34</v>
      </c>
      <c r="J3144" s="4">
        <f t="shared" si="2"/>
        <v>699.66</v>
      </c>
      <c r="K3144" s="22">
        <f t="shared" si="3"/>
        <v>1</v>
      </c>
      <c r="L3144" s="4">
        <f t="shared" si="4"/>
        <v>1</v>
      </c>
    </row>
    <row r="3145">
      <c r="A3145" s="23">
        <v>10061.0</v>
      </c>
      <c r="B3145" s="24" t="str">
        <f t="array" ref="B3145">xlookup($A3145,product!$A:$A,product!B:B)</f>
        <v>Beauté &amp; Hygiène</v>
      </c>
      <c r="C3145" s="24" t="str">
        <f t="array" ref="C3145">xlookup($A3145,product!$A:$A,product!C:C)</f>
        <v>Soins à l'Argile</v>
      </c>
      <c r="D3145" s="24" t="str">
        <f t="array" ref="D3145">xlookup($A3145,product!$A:$A,product!D:D)</f>
        <v>Argile prête à l'emploi</v>
      </c>
      <c r="E3145" s="25" t="str">
        <f t="shared" si="1"/>
        <v>10061-Soins à l'Argile-Argile prête à l'emploi</v>
      </c>
      <c r="F3145" s="25">
        <v>0.0</v>
      </c>
      <c r="G3145" s="25">
        <v>741.0</v>
      </c>
      <c r="H3145" s="25">
        <v>146.0</v>
      </c>
      <c r="I3145" s="26">
        <f t="array" ref="I3145">XLOOKUP($A3145,product!A:A,product!E:E)</f>
        <v>4.51</v>
      </c>
      <c r="J3145" s="25">
        <f t="shared" si="2"/>
        <v>658.46</v>
      </c>
      <c r="K3145" s="27">
        <f t="shared" si="3"/>
        <v>1</v>
      </c>
      <c r="L3145" s="25">
        <f t="shared" si="4"/>
        <v>1</v>
      </c>
    </row>
    <row r="3146">
      <c r="A3146" s="19">
        <v>188708.0</v>
      </c>
      <c r="B3146" s="20" t="str">
        <f t="array" ref="B3146">xlookup($A3146,product!$A:$A,product!B:B)</f>
        <v>Beauté &amp; Hygiène</v>
      </c>
      <c r="C3146" s="20" t="str">
        <f t="array" ref="C3146">xlookup($A3146,product!$A:$A,product!C:C)</f>
        <v>Soins à l'Argile</v>
      </c>
      <c r="D3146" s="20" t="str">
        <f t="array" ref="D3146">xlookup($A3146,product!$A:$A,product!D:D)</f>
        <v>Argile prête à l'emploi</v>
      </c>
      <c r="E3146" s="4" t="str">
        <f t="shared" si="1"/>
        <v>188708-Soins à l'Argile-Argile prête à l'emploi</v>
      </c>
      <c r="F3146" s="4">
        <v>1.0</v>
      </c>
      <c r="G3146" s="4">
        <v>702.0</v>
      </c>
      <c r="H3146" s="4">
        <v>585.0</v>
      </c>
      <c r="I3146" s="21">
        <f t="array" ref="I3146">XLOOKUP($A3146,product!A:A,product!E:E)</f>
        <v>2.34</v>
      </c>
      <c r="J3146" s="4">
        <f t="shared" si="2"/>
        <v>1368.9</v>
      </c>
      <c r="K3146" s="22">
        <f t="shared" si="3"/>
        <v>1</v>
      </c>
      <c r="L3146" s="4">
        <f t="shared" si="4"/>
        <v>1</v>
      </c>
    </row>
    <row r="3147">
      <c r="A3147" s="23">
        <v>110927.0</v>
      </c>
      <c r="B3147" s="24" t="str">
        <f t="array" ref="B3147">xlookup($A3147,product!$A:$A,product!B:B)</f>
        <v>Beauté &amp; Hygiène</v>
      </c>
      <c r="C3147" s="24" t="str">
        <f t="array" ref="C3147">xlookup($A3147,product!$A:$A,product!C:C)</f>
        <v>Soins à l'Argile</v>
      </c>
      <c r="D3147" s="24" t="str">
        <f t="array" ref="D3147">xlookup($A3147,product!$A:$A,product!D:D)</f>
        <v>Argile prête à l'emploi</v>
      </c>
      <c r="E3147" s="25" t="str">
        <f t="shared" si="1"/>
        <v>110927-Soins à l'Argile-Argile prête à l'emploi</v>
      </c>
      <c r="F3147" s="25">
        <v>1.0</v>
      </c>
      <c r="G3147" s="25">
        <v>598.0</v>
      </c>
      <c r="H3147" s="25">
        <v>50.0</v>
      </c>
      <c r="I3147" s="26">
        <f t="array" ref="I3147">XLOOKUP($A3147,product!A:A,product!E:E)</f>
        <v>3.07</v>
      </c>
      <c r="J3147" s="25">
        <f t="shared" si="2"/>
        <v>153.5</v>
      </c>
      <c r="K3147" s="27">
        <f t="shared" si="3"/>
        <v>1</v>
      </c>
      <c r="L3147" s="25">
        <f t="shared" si="4"/>
        <v>1</v>
      </c>
    </row>
    <row r="3148">
      <c r="A3148" s="19">
        <v>188729.0</v>
      </c>
      <c r="B3148" s="20" t="str">
        <f t="array" ref="B3148">xlookup($A3148,product!$A:$A,product!B:B)</f>
        <v>Beauté &amp; Hygiène</v>
      </c>
      <c r="C3148" s="20" t="str">
        <f t="array" ref="C3148">xlookup($A3148,product!$A:$A,product!C:C)</f>
        <v>Soins à l'Argile</v>
      </c>
      <c r="D3148" s="20" t="str">
        <f t="array" ref="D3148">xlookup($A3148,product!$A:$A,product!D:D)</f>
        <v>Argile prête à l'emploi</v>
      </c>
      <c r="E3148" s="4" t="str">
        <f t="shared" si="1"/>
        <v>188729-Soins à l'Argile-Argile prête à l'emploi</v>
      </c>
      <c r="F3148" s="4">
        <v>1.0</v>
      </c>
      <c r="G3148" s="4">
        <v>227.0</v>
      </c>
      <c r="H3148" s="4">
        <v>186.0</v>
      </c>
      <c r="I3148" s="21">
        <f t="array" ref="I3148">XLOOKUP($A3148,product!A:A,product!E:E)</f>
        <v>1</v>
      </c>
      <c r="J3148" s="4">
        <f t="shared" si="2"/>
        <v>186</v>
      </c>
      <c r="K3148" s="22">
        <f t="shared" si="3"/>
        <v>1</v>
      </c>
      <c r="L3148" s="4">
        <f t="shared" si="4"/>
        <v>1</v>
      </c>
    </row>
    <row r="3149">
      <c r="A3149" s="23">
        <v>120969.0</v>
      </c>
      <c r="B3149" s="24" t="str">
        <f t="array" ref="B3149">xlookup($A3149,product!$A:$A,product!B:B)</f>
        <v>Beauté &amp; Hygiène</v>
      </c>
      <c r="C3149" s="24" t="str">
        <f t="array" ref="C3149">xlookup($A3149,product!$A:$A,product!C:C)</f>
        <v>Soins à l'Argile</v>
      </c>
      <c r="D3149" s="24" t="str">
        <f t="array" ref="D3149">xlookup($A3149,product!$A:$A,product!D:D)</f>
        <v>Argile prête à l'emploi</v>
      </c>
      <c r="E3149" s="25" t="str">
        <f t="shared" si="1"/>
        <v>120969-Soins à l'Argile-Argile prête à l'emploi</v>
      </c>
      <c r="F3149" s="25">
        <v>0.0</v>
      </c>
      <c r="G3149" s="25">
        <v>141.0</v>
      </c>
      <c r="H3149" s="25">
        <v>49.0</v>
      </c>
      <c r="I3149" s="26">
        <f t="array" ref="I3149">XLOOKUP($A3149,product!A:A,product!E:E)</f>
        <v>6.02</v>
      </c>
      <c r="J3149" s="25">
        <f t="shared" si="2"/>
        <v>294.98</v>
      </c>
      <c r="K3149" s="27">
        <f t="shared" si="3"/>
        <v>1</v>
      </c>
      <c r="L3149" s="25">
        <f t="shared" si="4"/>
        <v>1</v>
      </c>
    </row>
    <row r="3150">
      <c r="A3150" s="19">
        <v>188728.0</v>
      </c>
      <c r="B3150" s="20" t="str">
        <f t="array" ref="B3150">xlookup($A3150,product!$A:$A,product!B:B)</f>
        <v>Beauté &amp; Hygiène</v>
      </c>
      <c r="C3150" s="20" t="str">
        <f t="array" ref="C3150">xlookup($A3150,product!$A:$A,product!C:C)</f>
        <v>Soins à l'Argile</v>
      </c>
      <c r="D3150" s="20" t="str">
        <f t="array" ref="D3150">xlookup($A3150,product!$A:$A,product!D:D)</f>
        <v>Argile prête à l'emploi</v>
      </c>
      <c r="E3150" s="4" t="str">
        <f t="shared" si="1"/>
        <v>188728-Soins à l'Argile-Argile prête à l'emploi</v>
      </c>
      <c r="F3150" s="4">
        <v>1.0</v>
      </c>
      <c r="G3150" s="4">
        <v>675.0</v>
      </c>
      <c r="H3150" s="4">
        <v>476.0</v>
      </c>
      <c r="I3150" s="21">
        <f t="array" ref="I3150">XLOOKUP($A3150,product!A:A,product!E:E)</f>
        <v>1</v>
      </c>
      <c r="J3150" s="4">
        <f t="shared" si="2"/>
        <v>476</v>
      </c>
      <c r="K3150" s="22">
        <f t="shared" si="3"/>
        <v>1</v>
      </c>
      <c r="L3150" s="4">
        <f t="shared" si="4"/>
        <v>1</v>
      </c>
    </row>
    <row r="3151">
      <c r="A3151" s="23">
        <v>188663.0</v>
      </c>
      <c r="B3151" s="24" t="str">
        <f t="array" ref="B3151">xlookup($A3151,product!$A:$A,product!B:B)</f>
        <v>Beauté &amp; Hygiène</v>
      </c>
      <c r="C3151" s="24" t="str">
        <f t="array" ref="C3151">xlookup($A3151,product!$A:$A,product!C:C)</f>
        <v>Soins à l'Argile</v>
      </c>
      <c r="D3151" s="24" t="str">
        <f t="array" ref="D3151">xlookup($A3151,product!$A:$A,product!D:D)</f>
        <v>Argile prête à l'emploi</v>
      </c>
      <c r="E3151" s="25" t="str">
        <f t="shared" si="1"/>
        <v>188663-Soins à l'Argile-Argile prête à l'emploi</v>
      </c>
      <c r="F3151" s="25">
        <v>0.0</v>
      </c>
      <c r="G3151" s="25">
        <v>273.0</v>
      </c>
      <c r="H3151" s="25">
        <v>165.0</v>
      </c>
      <c r="I3151" s="26">
        <f t="array" ref="I3151">XLOOKUP($A3151,product!A:A,product!E:E)</f>
        <v>2.6</v>
      </c>
      <c r="J3151" s="25">
        <f t="shared" si="2"/>
        <v>429</v>
      </c>
      <c r="K3151" s="27">
        <f t="shared" si="3"/>
        <v>1</v>
      </c>
      <c r="L3151" s="25">
        <f t="shared" si="4"/>
        <v>1</v>
      </c>
    </row>
    <row r="3152">
      <c r="A3152" s="19">
        <v>188727.0</v>
      </c>
      <c r="B3152" s="20" t="str">
        <f t="array" ref="B3152">xlookup($A3152,product!$A:$A,product!B:B)</f>
        <v>Beauté &amp; Hygiène</v>
      </c>
      <c r="C3152" s="20" t="str">
        <f t="array" ref="C3152">xlookup($A3152,product!$A:$A,product!C:C)</f>
        <v>Soins à l'Argile</v>
      </c>
      <c r="D3152" s="20" t="str">
        <f t="array" ref="D3152">xlookup($A3152,product!$A:$A,product!D:D)</f>
        <v>Argile prête à l'emploi</v>
      </c>
      <c r="E3152" s="4" t="str">
        <f t="shared" si="1"/>
        <v>188727-Soins à l'Argile-Argile prête à l'emploi</v>
      </c>
      <c r="F3152" s="4">
        <v>0.0</v>
      </c>
      <c r="G3152" s="4">
        <v>412.0</v>
      </c>
      <c r="H3152" s="4">
        <v>129.0</v>
      </c>
      <c r="I3152" s="21">
        <f t="array" ref="I3152">XLOOKUP($A3152,product!A:A,product!E:E)</f>
        <v>1</v>
      </c>
      <c r="J3152" s="4">
        <f t="shared" si="2"/>
        <v>129</v>
      </c>
      <c r="K3152" s="22">
        <f t="shared" si="3"/>
        <v>1</v>
      </c>
      <c r="L3152" s="4">
        <f t="shared" si="4"/>
        <v>1</v>
      </c>
    </row>
    <row r="3153">
      <c r="A3153" s="23">
        <v>9741.0</v>
      </c>
      <c r="B3153" s="24" t="str">
        <f t="array" ref="B3153">xlookup($A3153,product!$A:$A,product!B:B)</f>
        <v>Beauté &amp; Hygiène</v>
      </c>
      <c r="C3153" s="24" t="str">
        <f t="array" ref="C3153">xlookup($A3153,product!$A:$A,product!C:C)</f>
        <v>Soins à l'Argile</v>
      </c>
      <c r="D3153" s="24" t="str">
        <f t="array" ref="D3153">xlookup($A3153,product!$A:$A,product!D:D)</f>
        <v>Argile prête à l'emploi</v>
      </c>
      <c r="E3153" s="25" t="str">
        <f t="shared" si="1"/>
        <v>9741-Soins à l'Argile-Argile prête à l'emploi</v>
      </c>
      <c r="F3153" s="25">
        <v>1.0</v>
      </c>
      <c r="G3153" s="25">
        <v>818.0</v>
      </c>
      <c r="H3153" s="25">
        <v>503.0</v>
      </c>
      <c r="I3153" s="26">
        <f t="array" ref="I3153">XLOOKUP($A3153,product!A:A,product!E:E)</f>
        <v>3.4</v>
      </c>
      <c r="J3153" s="25">
        <f t="shared" si="2"/>
        <v>1710.2</v>
      </c>
      <c r="K3153" s="27">
        <f t="shared" si="3"/>
        <v>1</v>
      </c>
      <c r="L3153" s="25">
        <f t="shared" si="4"/>
        <v>1</v>
      </c>
    </row>
    <row r="3154">
      <c r="A3154" s="19">
        <v>70406.0</v>
      </c>
      <c r="B3154" s="20" t="str">
        <f t="array" ref="B3154">xlookup($A3154,product!$A:$A,product!B:B)</f>
        <v>Alimentation Bébé</v>
      </c>
      <c r="C3154" s="20" t="str">
        <f t="array" ref="C3154">xlookup($A3154,product!$A:$A,product!C:C)</f>
        <v>Soupes bio bébé</v>
      </c>
      <c r="D3154" s="20" t="str">
        <f t="array" ref="D3154">xlookup($A3154,product!$A:$A,product!D:D)</f>
        <v>Soupes bio bébé 4-6 mois</v>
      </c>
      <c r="E3154" s="4" t="str">
        <f t="shared" si="1"/>
        <v>70406-Soupes bio bébé-Soupes bio bébé 4-6 mois</v>
      </c>
      <c r="F3154" s="4">
        <v>1.0</v>
      </c>
      <c r="G3154" s="4">
        <v>792.0</v>
      </c>
      <c r="H3154" s="4">
        <v>336.0</v>
      </c>
      <c r="I3154" s="21">
        <f t="array" ref="I3154">XLOOKUP($A3154,product!A:A,product!E:E)</f>
        <v>1.46</v>
      </c>
      <c r="J3154" s="4">
        <f t="shared" si="2"/>
        <v>490.56</v>
      </c>
      <c r="K3154" s="22">
        <f t="shared" si="3"/>
        <v>1</v>
      </c>
      <c r="L3154" s="4">
        <f t="shared" si="4"/>
        <v>1</v>
      </c>
    </row>
    <row r="3155">
      <c r="A3155" s="23">
        <v>112114.0</v>
      </c>
      <c r="B3155" s="24" t="str">
        <f t="array" ref="B3155">xlookup($A3155,product!$A:$A,product!B:B)</f>
        <v>Alimentation Bébé</v>
      </c>
      <c r="C3155" s="24" t="str">
        <f t="array" ref="C3155">xlookup($A3155,product!$A:$A,product!C:C)</f>
        <v>Soupes bio bébé</v>
      </c>
      <c r="D3155" s="24" t="str">
        <f t="array" ref="D3155">xlookup($A3155,product!$A:$A,product!D:D)</f>
        <v>Soupes bio bébé 4-6 mois</v>
      </c>
      <c r="E3155" s="25" t="str">
        <f t="shared" si="1"/>
        <v>112114-Soupes bio bébé-Soupes bio bébé 4-6 mois</v>
      </c>
      <c r="F3155" s="25">
        <v>0.0</v>
      </c>
      <c r="G3155" s="25">
        <v>393.0</v>
      </c>
      <c r="H3155" s="25">
        <v>211.0</v>
      </c>
      <c r="I3155" s="26">
        <f t="array" ref="I3155">XLOOKUP($A3155,product!A:A,product!E:E)</f>
        <v>1.46</v>
      </c>
      <c r="J3155" s="25">
        <f t="shared" si="2"/>
        <v>308.06</v>
      </c>
      <c r="K3155" s="27">
        <f t="shared" si="3"/>
        <v>1</v>
      </c>
      <c r="L3155" s="25">
        <f t="shared" si="4"/>
        <v>1</v>
      </c>
    </row>
    <row r="3156">
      <c r="A3156" s="19">
        <v>70405.0</v>
      </c>
      <c r="B3156" s="20" t="str">
        <f t="array" ref="B3156">xlookup($A3156,product!$A:$A,product!B:B)</f>
        <v>Alimentation Bébé</v>
      </c>
      <c r="C3156" s="20" t="str">
        <f t="array" ref="C3156">xlookup($A3156,product!$A:$A,product!C:C)</f>
        <v>Soupes bio bébé</v>
      </c>
      <c r="D3156" s="20" t="str">
        <f t="array" ref="D3156">xlookup($A3156,product!$A:$A,product!D:D)</f>
        <v>Soupes bio bébé 4-6 mois</v>
      </c>
      <c r="E3156" s="4" t="str">
        <f t="shared" si="1"/>
        <v>70405-Soupes bio bébé-Soupes bio bébé 4-6 mois</v>
      </c>
      <c r="F3156" s="4">
        <v>0.0</v>
      </c>
      <c r="G3156" s="4">
        <v>897.0</v>
      </c>
      <c r="H3156" s="4">
        <v>521.0</v>
      </c>
      <c r="I3156" s="21">
        <f t="array" ref="I3156">XLOOKUP($A3156,product!A:A,product!E:E)</f>
        <v>1.46</v>
      </c>
      <c r="J3156" s="4">
        <f t="shared" si="2"/>
        <v>760.66</v>
      </c>
      <c r="K3156" s="22">
        <f t="shared" si="3"/>
        <v>1</v>
      </c>
      <c r="L3156" s="4">
        <f t="shared" si="4"/>
        <v>1</v>
      </c>
    </row>
    <row r="3157">
      <c r="A3157" s="23">
        <v>20405.0</v>
      </c>
      <c r="B3157" s="24" t="str">
        <f t="array" ref="B3157">xlookup($A3157,product!$A:$A,product!B:B)</f>
        <v>Alimentation Bébé</v>
      </c>
      <c r="C3157" s="24" t="str">
        <f t="array" ref="C3157">xlookup($A3157,product!$A:$A,product!C:C)</f>
        <v>Soupes bio bébé</v>
      </c>
      <c r="D3157" s="24" t="str">
        <f t="array" ref="D3157">xlookup($A3157,product!$A:$A,product!D:D)</f>
        <v>Soupes bio bébé 8-12 mois</v>
      </c>
      <c r="E3157" s="25" t="str">
        <f t="shared" si="1"/>
        <v>20405-Soupes bio bébé-Soupes bio bébé 8-12 mois</v>
      </c>
      <c r="F3157" s="25">
        <v>1.0</v>
      </c>
      <c r="G3157" s="25">
        <v>539.0</v>
      </c>
      <c r="H3157" s="25">
        <v>233.0</v>
      </c>
      <c r="I3157" s="26">
        <f t="array" ref="I3157">XLOOKUP($A3157,product!A:A,product!E:E)</f>
        <v>2.1</v>
      </c>
      <c r="J3157" s="25">
        <f t="shared" si="2"/>
        <v>489.3</v>
      </c>
      <c r="K3157" s="27">
        <f t="shared" si="3"/>
        <v>1</v>
      </c>
      <c r="L3157" s="25">
        <f t="shared" si="4"/>
        <v>1</v>
      </c>
    </row>
    <row r="3158">
      <c r="A3158" s="19">
        <v>121308.0</v>
      </c>
      <c r="B3158" s="20" t="str">
        <f t="array" ref="B3158">xlookup($A3158,product!$A:$A,product!B:B)</f>
        <v>Extérieur</v>
      </c>
      <c r="C3158" s="20" t="str">
        <f t="array" ref="C3158">xlookup($A3158,product!$A:$A,product!C:C)</f>
        <v>Abris pour animaux</v>
      </c>
      <c r="D3158" s="20" t="str">
        <f t="array" ref="D3158">xlookup($A3158,product!$A:$A,product!D:D)</f>
        <v>Abris pour oiseaux</v>
      </c>
      <c r="E3158" s="4" t="str">
        <f t="shared" si="1"/>
        <v>121308-Abris pour animaux-Abris pour oiseaux</v>
      </c>
      <c r="F3158" s="4">
        <v>1.0</v>
      </c>
      <c r="G3158" s="4">
        <v>26.0</v>
      </c>
      <c r="H3158" s="4">
        <v>12.0</v>
      </c>
      <c r="I3158" s="21">
        <f t="array" ref="I3158">XLOOKUP($A3158,product!A:A,product!E:E)</f>
        <v>6.4</v>
      </c>
      <c r="J3158" s="4">
        <f t="shared" si="2"/>
        <v>76.8</v>
      </c>
      <c r="K3158" s="22">
        <f t="shared" si="3"/>
        <v>1</v>
      </c>
      <c r="L3158" s="4">
        <f t="shared" si="4"/>
        <v>1</v>
      </c>
    </row>
    <row r="3159">
      <c r="A3159" s="23">
        <v>121311.0</v>
      </c>
      <c r="B3159" s="24" t="str">
        <f t="array" ref="B3159">xlookup($A3159,product!$A:$A,product!B:B)</f>
        <v>Extérieur</v>
      </c>
      <c r="C3159" s="24" t="str">
        <f t="array" ref="C3159">xlookup($A3159,product!$A:$A,product!C:C)</f>
        <v>Abris pour animaux</v>
      </c>
      <c r="D3159" s="24" t="str">
        <f t="array" ref="D3159">xlookup($A3159,product!$A:$A,product!D:D)</f>
        <v>Abris pour oiseaux</v>
      </c>
      <c r="E3159" s="25" t="str">
        <f t="shared" si="1"/>
        <v>121311-Abris pour animaux-Abris pour oiseaux</v>
      </c>
      <c r="F3159" s="25">
        <v>0.0</v>
      </c>
      <c r="G3159" s="25">
        <v>400.0</v>
      </c>
      <c r="H3159" s="25">
        <v>261.0</v>
      </c>
      <c r="I3159" s="26">
        <f t="array" ref="I3159">XLOOKUP($A3159,product!A:A,product!E:E)</f>
        <v>7.77</v>
      </c>
      <c r="J3159" s="25">
        <f t="shared" si="2"/>
        <v>2027.97</v>
      </c>
      <c r="K3159" s="27">
        <f t="shared" si="3"/>
        <v>1</v>
      </c>
      <c r="L3159" s="25">
        <f t="shared" si="4"/>
        <v>1</v>
      </c>
    </row>
    <row r="3160">
      <c r="A3160" s="19">
        <v>124748.0</v>
      </c>
      <c r="B3160" s="20" t="str">
        <f t="array" ref="B3160">xlookup($A3160,product!$A:$A,product!B:B)</f>
        <v>Epicerie sucrée</v>
      </c>
      <c r="C3160" s="20" t="str">
        <f t="array" ref="C3160">xlookup($A3160,product!$A:$A,product!C:C)</f>
        <v>Biscuits, Gâteaux</v>
      </c>
      <c r="D3160" s="20" t="str">
        <f t="array" ref="D3160">xlookup($A3160,product!$A:$A,product!D:D)</f>
        <v>Gâteaux</v>
      </c>
      <c r="E3160" s="4" t="str">
        <f t="shared" si="1"/>
        <v>124748-Biscuits, Gâteaux-Gâteaux</v>
      </c>
      <c r="F3160" s="4">
        <v>0.0</v>
      </c>
      <c r="G3160" s="4">
        <v>745.0</v>
      </c>
      <c r="H3160" s="4">
        <v>509.0</v>
      </c>
      <c r="I3160" s="21">
        <f t="array" ref="I3160">XLOOKUP($A3160,product!A:A,product!E:E)</f>
        <v>5.45</v>
      </c>
      <c r="J3160" s="4">
        <f t="shared" si="2"/>
        <v>2774.05</v>
      </c>
      <c r="K3160" s="22">
        <f t="shared" si="3"/>
        <v>1</v>
      </c>
      <c r="L3160" s="4">
        <f t="shared" si="4"/>
        <v>1</v>
      </c>
    </row>
    <row r="3161">
      <c r="A3161" s="23">
        <v>104315.0</v>
      </c>
      <c r="B3161" s="24" t="str">
        <f t="array" ref="B3161">xlookup($A3161,product!$A:$A,product!B:B)</f>
        <v>Epicerie sucrée</v>
      </c>
      <c r="C3161" s="24" t="str">
        <f t="array" ref="C3161">xlookup($A3161,product!$A:$A,product!C:C)</f>
        <v>Biscuits, Gâteaux</v>
      </c>
      <c r="D3161" s="24" t="str">
        <f t="array" ref="D3161">xlookup($A3161,product!$A:$A,product!D:D)</f>
        <v>Gâteaux</v>
      </c>
      <c r="E3161" s="25" t="str">
        <f t="shared" si="1"/>
        <v>104315-Biscuits, Gâteaux-Gâteaux</v>
      </c>
      <c r="F3161" s="25">
        <v>0.0</v>
      </c>
      <c r="G3161" s="25">
        <v>16.0</v>
      </c>
      <c r="H3161" s="25">
        <v>8.0</v>
      </c>
      <c r="I3161" s="26">
        <f t="array" ref="I3161">XLOOKUP($A3161,product!A:A,product!E:E)</f>
        <v>2.58</v>
      </c>
      <c r="J3161" s="25">
        <f t="shared" si="2"/>
        <v>20.64</v>
      </c>
      <c r="K3161" s="27">
        <f t="shared" si="3"/>
        <v>1</v>
      </c>
      <c r="L3161" s="25">
        <f t="shared" si="4"/>
        <v>1</v>
      </c>
    </row>
    <row r="3162">
      <c r="A3162" s="19">
        <v>104314.0</v>
      </c>
      <c r="B3162" s="20" t="str">
        <f t="array" ref="B3162">xlookup($A3162,product!$A:$A,product!B:B)</f>
        <v>Epicerie sucrée</v>
      </c>
      <c r="C3162" s="20" t="str">
        <f t="array" ref="C3162">xlookup($A3162,product!$A:$A,product!C:C)</f>
        <v>Biscuits, Gâteaux</v>
      </c>
      <c r="D3162" s="20" t="str">
        <f t="array" ref="D3162">xlookup($A3162,product!$A:$A,product!D:D)</f>
        <v>Gâteaux</v>
      </c>
      <c r="E3162" s="4" t="str">
        <f t="shared" si="1"/>
        <v>104314-Biscuits, Gâteaux-Gâteaux</v>
      </c>
      <c r="F3162" s="4">
        <v>1.0</v>
      </c>
      <c r="G3162" s="4">
        <v>967.0</v>
      </c>
      <c r="H3162" s="4">
        <v>592.0</v>
      </c>
      <c r="I3162" s="21">
        <f t="array" ref="I3162">XLOOKUP($A3162,product!A:A,product!E:E)</f>
        <v>2.44</v>
      </c>
      <c r="J3162" s="4">
        <f t="shared" si="2"/>
        <v>1444.48</v>
      </c>
      <c r="K3162" s="22">
        <f t="shared" si="3"/>
        <v>1</v>
      </c>
      <c r="L3162" s="4">
        <f t="shared" si="4"/>
        <v>1</v>
      </c>
    </row>
    <row r="3163">
      <c r="A3163" s="23">
        <v>69287.0</v>
      </c>
      <c r="B3163" s="24" t="str">
        <f t="array" ref="B3163">xlookup($A3163,product!$A:$A,product!B:B)</f>
        <v>Epicerie sucrée</v>
      </c>
      <c r="C3163" s="24" t="str">
        <f t="array" ref="C3163">xlookup($A3163,product!$A:$A,product!C:C)</f>
        <v>Biscuits, Gâteaux</v>
      </c>
      <c r="D3163" s="24" t="str">
        <f t="array" ref="D3163">xlookup($A3163,product!$A:$A,product!D:D)</f>
        <v>Gâteaux</v>
      </c>
      <c r="E3163" s="25" t="str">
        <f t="shared" si="1"/>
        <v>69287-Biscuits, Gâteaux-Gâteaux</v>
      </c>
      <c r="F3163" s="25">
        <v>0.0</v>
      </c>
      <c r="G3163" s="25">
        <v>899.0</v>
      </c>
      <c r="H3163" s="25">
        <v>361.0</v>
      </c>
      <c r="I3163" s="26">
        <f t="array" ref="I3163">XLOOKUP($A3163,product!A:A,product!E:E)</f>
        <v>2.28</v>
      </c>
      <c r="J3163" s="25">
        <f t="shared" si="2"/>
        <v>823.08</v>
      </c>
      <c r="K3163" s="27">
        <f t="shared" si="3"/>
        <v>1</v>
      </c>
      <c r="L3163" s="25">
        <f t="shared" si="4"/>
        <v>1</v>
      </c>
    </row>
    <row r="3164">
      <c r="A3164" s="19">
        <v>5789.0</v>
      </c>
      <c r="B3164" s="20" t="str">
        <f t="array" ref="B3164">xlookup($A3164,product!$A:$A,product!B:B)</f>
        <v>Epicerie sucrée</v>
      </c>
      <c r="C3164" s="20" t="str">
        <f t="array" ref="C3164">xlookup($A3164,product!$A:$A,product!C:C)</f>
        <v>Biscuits, Gâteaux</v>
      </c>
      <c r="D3164" s="20" t="str">
        <f t="array" ref="D3164">xlookup($A3164,product!$A:$A,product!D:D)</f>
        <v>Gâteaux</v>
      </c>
      <c r="E3164" s="4" t="str">
        <f t="shared" si="1"/>
        <v>5789-Biscuits, Gâteaux-Gâteaux</v>
      </c>
      <c r="F3164" s="4">
        <v>1.0</v>
      </c>
      <c r="G3164" s="4">
        <v>268.0</v>
      </c>
      <c r="H3164" s="4">
        <v>122.0</v>
      </c>
      <c r="I3164" s="21">
        <f t="array" ref="I3164">XLOOKUP($A3164,product!A:A,product!E:E)</f>
        <v>1.79</v>
      </c>
      <c r="J3164" s="4">
        <f t="shared" si="2"/>
        <v>218.38</v>
      </c>
      <c r="K3164" s="22">
        <f t="shared" si="3"/>
        <v>1</v>
      </c>
      <c r="L3164" s="4">
        <f t="shared" si="4"/>
        <v>1</v>
      </c>
    </row>
    <row r="3165">
      <c r="A3165" s="23">
        <v>14013.0</v>
      </c>
      <c r="B3165" s="24" t="str">
        <f t="array" ref="B3165">xlookup($A3165,product!$A:$A,product!B:B)</f>
        <v>Epicerie sucrée</v>
      </c>
      <c r="C3165" s="24" t="str">
        <f t="array" ref="C3165">xlookup($A3165,product!$A:$A,product!C:C)</f>
        <v>Biscuits, Gâteaux</v>
      </c>
      <c r="D3165" s="24" t="str">
        <f t="array" ref="D3165">xlookup($A3165,product!$A:$A,product!D:D)</f>
        <v>Gâteaux</v>
      </c>
      <c r="E3165" s="25" t="str">
        <f t="shared" si="1"/>
        <v>14013-Biscuits, Gâteaux-Gâteaux</v>
      </c>
      <c r="F3165" s="25">
        <v>1.0</v>
      </c>
      <c r="G3165" s="25">
        <v>765.0</v>
      </c>
      <c r="H3165" s="25">
        <v>513.0</v>
      </c>
      <c r="I3165" s="26">
        <f t="array" ref="I3165">XLOOKUP($A3165,product!A:A,product!E:E)</f>
        <v>0.43</v>
      </c>
      <c r="J3165" s="25">
        <f t="shared" si="2"/>
        <v>220.59</v>
      </c>
      <c r="K3165" s="27">
        <f t="shared" si="3"/>
        <v>1</v>
      </c>
      <c r="L3165" s="25">
        <f t="shared" si="4"/>
        <v>1</v>
      </c>
    </row>
    <row r="3166">
      <c r="A3166" s="19">
        <v>14015.0</v>
      </c>
      <c r="B3166" s="20" t="str">
        <f t="array" ref="B3166">xlookup($A3166,product!$A:$A,product!B:B)</f>
        <v>Epicerie sucrée</v>
      </c>
      <c r="C3166" s="20" t="str">
        <f t="array" ref="C3166">xlookup($A3166,product!$A:$A,product!C:C)</f>
        <v>Biscuits, Gâteaux</v>
      </c>
      <c r="D3166" s="20" t="str">
        <f t="array" ref="D3166">xlookup($A3166,product!$A:$A,product!D:D)</f>
        <v>Gâteaux</v>
      </c>
      <c r="E3166" s="4" t="str">
        <f t="shared" si="1"/>
        <v>14015-Biscuits, Gâteaux-Gâteaux</v>
      </c>
      <c r="F3166" s="4">
        <v>1.0</v>
      </c>
      <c r="G3166" s="4">
        <v>39.0</v>
      </c>
      <c r="H3166" s="4">
        <v>33.0</v>
      </c>
      <c r="I3166" s="21">
        <f t="array" ref="I3166">XLOOKUP($A3166,product!A:A,product!E:E)</f>
        <v>1.97</v>
      </c>
      <c r="J3166" s="4">
        <f t="shared" si="2"/>
        <v>65.01</v>
      </c>
      <c r="K3166" s="22">
        <f t="shared" si="3"/>
        <v>1</v>
      </c>
      <c r="L3166" s="4">
        <f t="shared" si="4"/>
        <v>1</v>
      </c>
    </row>
    <row r="3167">
      <c r="A3167" s="23">
        <v>69291.0</v>
      </c>
      <c r="B3167" s="24" t="str">
        <f t="array" ref="B3167">xlookup($A3167,product!$A:$A,product!B:B)</f>
        <v>Epicerie sucrée</v>
      </c>
      <c r="C3167" s="24" t="str">
        <f t="array" ref="C3167">xlookup($A3167,product!$A:$A,product!C:C)</f>
        <v>Biscuits, Gâteaux</v>
      </c>
      <c r="D3167" s="24" t="str">
        <f t="array" ref="D3167">xlookup($A3167,product!$A:$A,product!D:D)</f>
        <v>Gâteaux</v>
      </c>
      <c r="E3167" s="25" t="str">
        <f t="shared" si="1"/>
        <v>69291-Biscuits, Gâteaux-Gâteaux</v>
      </c>
      <c r="F3167" s="25">
        <v>1.0</v>
      </c>
      <c r="G3167" s="25">
        <v>54.0</v>
      </c>
      <c r="H3167" s="25">
        <v>38.0</v>
      </c>
      <c r="I3167" s="26">
        <f t="array" ref="I3167">XLOOKUP($A3167,product!A:A,product!E:E)</f>
        <v>2.5</v>
      </c>
      <c r="J3167" s="25">
        <f t="shared" si="2"/>
        <v>95</v>
      </c>
      <c r="K3167" s="27">
        <f t="shared" si="3"/>
        <v>1</v>
      </c>
      <c r="L3167" s="25">
        <f t="shared" si="4"/>
        <v>1</v>
      </c>
    </row>
    <row r="3168">
      <c r="A3168" s="19">
        <v>26057.0</v>
      </c>
      <c r="B3168" s="20" t="str">
        <f t="array" ref="B3168">xlookup($A3168,product!$A:$A,product!B:B)</f>
        <v>Epicerie sucrée</v>
      </c>
      <c r="C3168" s="20" t="str">
        <f t="array" ref="C3168">xlookup($A3168,product!$A:$A,product!C:C)</f>
        <v>Biscuits, Gâteaux</v>
      </c>
      <c r="D3168" s="20" t="str">
        <f t="array" ref="D3168">xlookup($A3168,product!$A:$A,product!D:D)</f>
        <v>Biscuit nature</v>
      </c>
      <c r="E3168" s="4" t="str">
        <f t="shared" si="1"/>
        <v>26057-Biscuits, Gâteaux-Biscuit nature</v>
      </c>
      <c r="F3168" s="4">
        <v>1.0</v>
      </c>
      <c r="G3168" s="4">
        <v>550.0</v>
      </c>
      <c r="H3168" s="4">
        <v>65.0</v>
      </c>
      <c r="I3168" s="21">
        <f t="array" ref="I3168">XLOOKUP($A3168,product!A:A,product!E:E)</f>
        <v>1.34</v>
      </c>
      <c r="J3168" s="4">
        <f t="shared" si="2"/>
        <v>87.1</v>
      </c>
      <c r="K3168" s="22">
        <f t="shared" si="3"/>
        <v>1</v>
      </c>
      <c r="L3168" s="4">
        <f t="shared" si="4"/>
        <v>1</v>
      </c>
    </row>
    <row r="3169">
      <c r="A3169" s="23">
        <v>14022.0</v>
      </c>
      <c r="B3169" s="24" t="str">
        <f t="array" ref="B3169">xlookup($A3169,product!$A:$A,product!B:B)</f>
        <v>Epicerie sucrée</v>
      </c>
      <c r="C3169" s="24" t="str">
        <f t="array" ref="C3169">xlookup($A3169,product!$A:$A,product!C:C)</f>
        <v>Biscuits, Gâteaux</v>
      </c>
      <c r="D3169" s="24" t="str">
        <f t="array" ref="D3169">xlookup($A3169,product!$A:$A,product!D:D)</f>
        <v>Biscuit nature</v>
      </c>
      <c r="E3169" s="25" t="str">
        <f t="shared" si="1"/>
        <v>14022-Biscuits, Gâteaux-Biscuit nature</v>
      </c>
      <c r="F3169" s="25">
        <v>0.0</v>
      </c>
      <c r="G3169" s="25">
        <v>508.0</v>
      </c>
      <c r="H3169" s="25">
        <v>122.0</v>
      </c>
      <c r="I3169" s="26">
        <f t="array" ref="I3169">XLOOKUP($A3169,product!A:A,product!E:E)</f>
        <v>1.53</v>
      </c>
      <c r="J3169" s="25">
        <f t="shared" si="2"/>
        <v>186.66</v>
      </c>
      <c r="K3169" s="27">
        <f t="shared" si="3"/>
        <v>1</v>
      </c>
      <c r="L3169" s="25">
        <f t="shared" si="4"/>
        <v>1</v>
      </c>
    </row>
    <row r="3170">
      <c r="A3170" s="19">
        <v>80109.0</v>
      </c>
      <c r="B3170" s="20" t="str">
        <f t="array" ref="B3170">xlookup($A3170,product!$A:$A,product!B:B)</f>
        <v>Epicerie sucrée</v>
      </c>
      <c r="C3170" s="20" t="str">
        <f t="array" ref="C3170">xlookup($A3170,product!$A:$A,product!C:C)</f>
        <v>Biscuits, Gâteaux</v>
      </c>
      <c r="D3170" s="20" t="str">
        <f t="array" ref="D3170">xlookup($A3170,product!$A:$A,product!D:D)</f>
        <v>Biscuit nature</v>
      </c>
      <c r="E3170" s="4" t="str">
        <f t="shared" si="1"/>
        <v>80109-Biscuits, Gâteaux-Biscuit nature</v>
      </c>
      <c r="F3170" s="4">
        <v>1.0</v>
      </c>
      <c r="G3170" s="4">
        <v>60.0</v>
      </c>
      <c r="H3170" s="4">
        <v>23.0</v>
      </c>
      <c r="I3170" s="21">
        <f t="array" ref="I3170">XLOOKUP($A3170,product!A:A,product!E:E)</f>
        <v>2.7</v>
      </c>
      <c r="J3170" s="4">
        <f t="shared" si="2"/>
        <v>62.1</v>
      </c>
      <c r="K3170" s="22">
        <f t="shared" si="3"/>
        <v>1</v>
      </c>
      <c r="L3170" s="4">
        <f t="shared" si="4"/>
        <v>1</v>
      </c>
    </row>
    <row r="3171">
      <c r="A3171" s="23">
        <v>121686.0</v>
      </c>
      <c r="B3171" s="24" t="str">
        <f t="array" ref="B3171">xlookup($A3171,product!$A:$A,product!B:B)</f>
        <v>Epicerie sucrée</v>
      </c>
      <c r="C3171" s="24" t="str">
        <f t="array" ref="C3171">xlookup($A3171,product!$A:$A,product!C:C)</f>
        <v>Biscuits, Gâteaux</v>
      </c>
      <c r="D3171" s="24" t="str">
        <f t="array" ref="D3171">xlookup($A3171,product!$A:$A,product!D:D)</f>
        <v>Biscuit nature</v>
      </c>
      <c r="E3171" s="25" t="str">
        <f t="shared" si="1"/>
        <v>121686-Biscuits, Gâteaux-Biscuit nature</v>
      </c>
      <c r="F3171" s="25">
        <v>0.0</v>
      </c>
      <c r="G3171" s="25">
        <v>856.0</v>
      </c>
      <c r="H3171" s="25">
        <v>630.0</v>
      </c>
      <c r="I3171" s="26">
        <f t="array" ref="I3171">XLOOKUP($A3171,product!A:A,product!E:E)</f>
        <v>1.4</v>
      </c>
      <c r="J3171" s="25">
        <f t="shared" si="2"/>
        <v>882</v>
      </c>
      <c r="K3171" s="27">
        <f t="shared" si="3"/>
        <v>1</v>
      </c>
      <c r="L3171" s="25">
        <f t="shared" si="4"/>
        <v>1</v>
      </c>
    </row>
    <row r="3172">
      <c r="A3172" s="19">
        <v>60365.0</v>
      </c>
      <c r="B3172" s="20" t="str">
        <f t="array" ref="B3172">xlookup($A3172,product!$A:$A,product!B:B)</f>
        <v>Epicerie sucrée</v>
      </c>
      <c r="C3172" s="20" t="str">
        <f t="array" ref="C3172">xlookup($A3172,product!$A:$A,product!C:C)</f>
        <v>Biscuits, Gâteaux</v>
      </c>
      <c r="D3172" s="20" t="str">
        <f t="array" ref="D3172">xlookup($A3172,product!$A:$A,product!D:D)</f>
        <v>Biscuit nature</v>
      </c>
      <c r="E3172" s="4" t="str">
        <f t="shared" si="1"/>
        <v>60365-Biscuits, Gâteaux-Biscuit nature</v>
      </c>
      <c r="F3172" s="4">
        <v>0.0</v>
      </c>
      <c r="G3172" s="4">
        <v>45.0</v>
      </c>
      <c r="H3172" s="4">
        <v>14.0</v>
      </c>
      <c r="I3172" s="21">
        <f t="array" ref="I3172">XLOOKUP($A3172,product!A:A,product!E:E)</f>
        <v>2.06</v>
      </c>
      <c r="J3172" s="4">
        <f t="shared" si="2"/>
        <v>28.84</v>
      </c>
      <c r="K3172" s="22">
        <f t="shared" si="3"/>
        <v>1</v>
      </c>
      <c r="L3172" s="4">
        <f t="shared" si="4"/>
        <v>1</v>
      </c>
    </row>
    <row r="3173">
      <c r="A3173" s="23">
        <v>86488.0</v>
      </c>
      <c r="B3173" s="24" t="str">
        <f t="array" ref="B3173">xlookup($A3173,product!$A:$A,product!B:B)</f>
        <v>Epicerie sucrée</v>
      </c>
      <c r="C3173" s="24" t="str">
        <f t="array" ref="C3173">xlookup($A3173,product!$A:$A,product!C:C)</f>
        <v>Biscuits, Gâteaux</v>
      </c>
      <c r="D3173" s="24" t="str">
        <f t="array" ref="D3173">xlookup($A3173,product!$A:$A,product!D:D)</f>
        <v>Biscuit nature</v>
      </c>
      <c r="E3173" s="25" t="str">
        <f t="shared" si="1"/>
        <v>86488-Biscuits, Gâteaux-Biscuit nature</v>
      </c>
      <c r="F3173" s="25">
        <v>0.0</v>
      </c>
      <c r="G3173" s="25">
        <v>338.0</v>
      </c>
      <c r="H3173" s="25">
        <v>245.0</v>
      </c>
      <c r="I3173" s="26">
        <f t="array" ref="I3173">XLOOKUP($A3173,product!A:A,product!E:E)</f>
        <v>1.23</v>
      </c>
      <c r="J3173" s="25">
        <f t="shared" si="2"/>
        <v>301.35</v>
      </c>
      <c r="K3173" s="27">
        <f t="shared" si="3"/>
        <v>1</v>
      </c>
      <c r="L3173" s="25">
        <f t="shared" si="4"/>
        <v>1</v>
      </c>
    </row>
    <row r="3174">
      <c r="A3174" s="19">
        <v>122530.0</v>
      </c>
      <c r="B3174" s="20" t="str">
        <f t="array" ref="B3174">xlookup($A3174,product!$A:$A,product!B:B)</f>
        <v>Epicerie sucrée</v>
      </c>
      <c r="C3174" s="20" t="str">
        <f t="array" ref="C3174">xlookup($A3174,product!$A:$A,product!C:C)</f>
        <v>Biscuits, Gâteaux</v>
      </c>
      <c r="D3174" s="20" t="str">
        <f t="array" ref="D3174">xlookup($A3174,product!$A:$A,product!D:D)</f>
        <v>Biscuit nature</v>
      </c>
      <c r="E3174" s="4" t="str">
        <f t="shared" si="1"/>
        <v>122530-Biscuits, Gâteaux-Biscuit nature</v>
      </c>
      <c r="F3174" s="4">
        <v>1.0</v>
      </c>
      <c r="G3174" s="4">
        <v>16.0</v>
      </c>
      <c r="H3174" s="4">
        <v>1.0</v>
      </c>
      <c r="I3174" s="21">
        <f t="array" ref="I3174">XLOOKUP($A3174,product!A:A,product!E:E)</f>
        <v>1.66</v>
      </c>
      <c r="J3174" s="4">
        <f t="shared" si="2"/>
        <v>1.66</v>
      </c>
      <c r="K3174" s="22">
        <f t="shared" si="3"/>
        <v>1</v>
      </c>
      <c r="L3174" s="4">
        <f t="shared" si="4"/>
        <v>1</v>
      </c>
    </row>
    <row r="3175">
      <c r="A3175" s="23">
        <v>60526.0</v>
      </c>
      <c r="B3175" s="24" t="str">
        <f t="array" ref="B3175">xlookup($A3175,product!$A:$A,product!B:B)</f>
        <v>Epicerie sucrée</v>
      </c>
      <c r="C3175" s="24" t="str">
        <f t="array" ref="C3175">xlookup($A3175,product!$A:$A,product!C:C)</f>
        <v>Biscuits, Gâteaux</v>
      </c>
      <c r="D3175" s="24" t="str">
        <f t="array" ref="D3175">xlookup($A3175,product!$A:$A,product!D:D)</f>
        <v>Biscuit nature</v>
      </c>
      <c r="E3175" s="25" t="str">
        <f t="shared" si="1"/>
        <v>60526-Biscuits, Gâteaux-Biscuit nature</v>
      </c>
      <c r="F3175" s="25">
        <v>0.0</v>
      </c>
      <c r="G3175" s="25">
        <v>52.0</v>
      </c>
      <c r="H3175" s="25">
        <v>30.0</v>
      </c>
      <c r="I3175" s="26">
        <f t="array" ref="I3175">XLOOKUP($A3175,product!A:A,product!E:E)</f>
        <v>1.11</v>
      </c>
      <c r="J3175" s="25">
        <f t="shared" si="2"/>
        <v>33.3</v>
      </c>
      <c r="K3175" s="27">
        <f t="shared" si="3"/>
        <v>1</v>
      </c>
      <c r="L3175" s="25">
        <f t="shared" si="4"/>
        <v>1</v>
      </c>
    </row>
    <row r="3176">
      <c r="A3176" s="19">
        <v>116807.0</v>
      </c>
      <c r="B3176" s="20" t="str">
        <f t="array" ref="B3176">xlookup($A3176,product!$A:$A,product!B:B)</f>
        <v>Epicerie sucrée</v>
      </c>
      <c r="C3176" s="20" t="str">
        <f t="array" ref="C3176">xlookup($A3176,product!$A:$A,product!C:C)</f>
        <v>Biscuits, Gâteaux</v>
      </c>
      <c r="D3176" s="20" t="str">
        <f t="array" ref="D3176">xlookup($A3176,product!$A:$A,product!D:D)</f>
        <v>Biscuit nature</v>
      </c>
      <c r="E3176" s="4" t="str">
        <f t="shared" si="1"/>
        <v>116807-Biscuits, Gâteaux-Biscuit nature</v>
      </c>
      <c r="F3176" s="4">
        <v>0.0</v>
      </c>
      <c r="G3176" s="4">
        <v>674.0</v>
      </c>
      <c r="H3176" s="4">
        <v>411.0</v>
      </c>
      <c r="I3176" s="21">
        <f t="array" ref="I3176">XLOOKUP($A3176,product!A:A,product!E:E)</f>
        <v>1.12</v>
      </c>
      <c r="J3176" s="4">
        <f t="shared" si="2"/>
        <v>460.32</v>
      </c>
      <c r="K3176" s="22">
        <f t="shared" si="3"/>
        <v>1</v>
      </c>
      <c r="L3176" s="4">
        <f t="shared" si="4"/>
        <v>1</v>
      </c>
    </row>
    <row r="3177">
      <c r="A3177" s="23">
        <v>80030.0</v>
      </c>
      <c r="B3177" s="24" t="str">
        <f t="array" ref="B3177">xlookup($A3177,product!$A:$A,product!B:B)</f>
        <v>Epicerie sucrée</v>
      </c>
      <c r="C3177" s="24" t="str">
        <f t="array" ref="C3177">xlookup($A3177,product!$A:$A,product!C:C)</f>
        <v>Biscuits, Gâteaux</v>
      </c>
      <c r="D3177" s="24" t="str">
        <f t="array" ref="D3177">xlookup($A3177,product!$A:$A,product!D:D)</f>
        <v>Biscuit nature</v>
      </c>
      <c r="E3177" s="25" t="str">
        <f t="shared" si="1"/>
        <v>80030-Biscuits, Gâteaux-Biscuit nature</v>
      </c>
      <c r="F3177" s="25">
        <v>1.0</v>
      </c>
      <c r="G3177" s="25">
        <v>560.0</v>
      </c>
      <c r="H3177" s="25">
        <v>520.0</v>
      </c>
      <c r="I3177" s="26">
        <f t="array" ref="I3177">XLOOKUP($A3177,product!A:A,product!E:E)</f>
        <v>1.67</v>
      </c>
      <c r="J3177" s="25">
        <f t="shared" si="2"/>
        <v>868.4</v>
      </c>
      <c r="K3177" s="27">
        <f t="shared" si="3"/>
        <v>1</v>
      </c>
      <c r="L3177" s="25">
        <f t="shared" si="4"/>
        <v>1</v>
      </c>
    </row>
    <row r="3178">
      <c r="A3178" s="19">
        <v>122529.0</v>
      </c>
      <c r="B3178" s="20" t="str">
        <f t="array" ref="B3178">xlookup($A3178,product!$A:$A,product!B:B)</f>
        <v>Epicerie sucrée</v>
      </c>
      <c r="C3178" s="20" t="str">
        <f t="array" ref="C3178">xlookup($A3178,product!$A:$A,product!C:C)</f>
        <v>Biscuits, Gâteaux</v>
      </c>
      <c r="D3178" s="20" t="str">
        <f t="array" ref="D3178">xlookup($A3178,product!$A:$A,product!D:D)</f>
        <v>Biscuit nature</v>
      </c>
      <c r="E3178" s="4" t="str">
        <f t="shared" si="1"/>
        <v>122529-Biscuits, Gâteaux-Biscuit nature</v>
      </c>
      <c r="F3178" s="4">
        <v>0.0</v>
      </c>
      <c r="G3178" s="4">
        <v>697.0</v>
      </c>
      <c r="H3178" s="4">
        <v>551.0</v>
      </c>
      <c r="I3178" s="21">
        <f t="array" ref="I3178">XLOOKUP($A3178,product!A:A,product!E:E)</f>
        <v>1.66</v>
      </c>
      <c r="J3178" s="4">
        <f t="shared" si="2"/>
        <v>914.66</v>
      </c>
      <c r="K3178" s="22">
        <f t="shared" si="3"/>
        <v>1</v>
      </c>
      <c r="L3178" s="4">
        <f t="shared" si="4"/>
        <v>1</v>
      </c>
    </row>
    <row r="3179">
      <c r="A3179" s="23">
        <v>14042.0</v>
      </c>
      <c r="B3179" s="24" t="str">
        <f t="array" ref="B3179">xlookup($A3179,product!$A:$A,product!B:B)</f>
        <v>Epicerie sucrée</v>
      </c>
      <c r="C3179" s="24" t="str">
        <f t="array" ref="C3179">xlookup($A3179,product!$A:$A,product!C:C)</f>
        <v>Biscuits, Gâteaux</v>
      </c>
      <c r="D3179" s="24" t="str">
        <f t="array" ref="D3179">xlookup($A3179,product!$A:$A,product!D:D)</f>
        <v>Biscuit nature</v>
      </c>
      <c r="E3179" s="25" t="str">
        <f t="shared" si="1"/>
        <v>14042-Biscuits, Gâteaux-Biscuit nature</v>
      </c>
      <c r="F3179" s="25">
        <v>1.0</v>
      </c>
      <c r="G3179" s="25">
        <v>736.0</v>
      </c>
      <c r="H3179" s="25">
        <v>82.0</v>
      </c>
      <c r="I3179" s="26">
        <f t="array" ref="I3179">XLOOKUP($A3179,product!A:A,product!E:E)</f>
        <v>1.73</v>
      </c>
      <c r="J3179" s="25">
        <f t="shared" si="2"/>
        <v>141.86</v>
      </c>
      <c r="K3179" s="27">
        <f t="shared" si="3"/>
        <v>1</v>
      </c>
      <c r="L3179" s="25">
        <f t="shared" si="4"/>
        <v>1</v>
      </c>
    </row>
    <row r="3180">
      <c r="A3180" s="19">
        <v>14043.0</v>
      </c>
      <c r="B3180" s="20" t="str">
        <f t="array" ref="B3180">xlookup($A3180,product!$A:$A,product!B:B)</f>
        <v>Epicerie sucrée</v>
      </c>
      <c r="C3180" s="20" t="str">
        <f t="array" ref="C3180">xlookup($A3180,product!$A:$A,product!C:C)</f>
        <v>Biscuits, Gâteaux</v>
      </c>
      <c r="D3180" s="20" t="str">
        <f t="array" ref="D3180">xlookup($A3180,product!$A:$A,product!D:D)</f>
        <v>Biscuit nature</v>
      </c>
      <c r="E3180" s="4" t="str">
        <f t="shared" si="1"/>
        <v>14043-Biscuits, Gâteaux-Biscuit nature</v>
      </c>
      <c r="F3180" s="4">
        <v>0.0</v>
      </c>
      <c r="G3180" s="4">
        <v>619.0</v>
      </c>
      <c r="H3180" s="4">
        <v>71.0</v>
      </c>
      <c r="I3180" s="21">
        <f t="array" ref="I3180">XLOOKUP($A3180,product!A:A,product!E:E)</f>
        <v>1.71</v>
      </c>
      <c r="J3180" s="4">
        <f t="shared" si="2"/>
        <v>121.41</v>
      </c>
      <c r="K3180" s="22">
        <f t="shared" si="3"/>
        <v>1</v>
      </c>
      <c r="L3180" s="4">
        <f t="shared" si="4"/>
        <v>1</v>
      </c>
    </row>
    <row r="3181">
      <c r="A3181" s="23">
        <v>9157.0</v>
      </c>
      <c r="B3181" s="24" t="str">
        <f t="array" ref="B3181">xlookup($A3181,product!$A:$A,product!B:B)</f>
        <v>Epicerie sucrée</v>
      </c>
      <c r="C3181" s="24" t="str">
        <f t="array" ref="C3181">xlookup($A3181,product!$A:$A,product!C:C)</f>
        <v>Biscuits, Gâteaux</v>
      </c>
      <c r="D3181" s="24" t="str">
        <f t="array" ref="D3181">xlookup($A3181,product!$A:$A,product!D:D)</f>
        <v>Biscuit aux fruits</v>
      </c>
      <c r="E3181" s="25" t="str">
        <f t="shared" si="1"/>
        <v>9157-Biscuits, Gâteaux-Biscuit aux fruits</v>
      </c>
      <c r="F3181" s="25">
        <v>1.0</v>
      </c>
      <c r="G3181" s="25">
        <v>768.0</v>
      </c>
      <c r="H3181" s="25">
        <v>212.0</v>
      </c>
      <c r="I3181" s="26">
        <f t="array" ref="I3181">XLOOKUP($A3181,product!A:A,product!E:E)</f>
        <v>1.61</v>
      </c>
      <c r="J3181" s="25">
        <f t="shared" si="2"/>
        <v>341.32</v>
      </c>
      <c r="K3181" s="27">
        <f t="shared" si="3"/>
        <v>1</v>
      </c>
      <c r="L3181" s="25">
        <f t="shared" si="4"/>
        <v>1</v>
      </c>
    </row>
    <row r="3182">
      <c r="A3182" s="19">
        <v>149968.0</v>
      </c>
      <c r="B3182" s="20" t="str">
        <f t="array" ref="B3182">xlookup($A3182,product!$A:$A,product!B:B)</f>
        <v>Epicerie sucrée</v>
      </c>
      <c r="C3182" s="20" t="str">
        <f t="array" ref="C3182">xlookup($A3182,product!$A:$A,product!C:C)</f>
        <v>Biscuits, Gâteaux</v>
      </c>
      <c r="D3182" s="20" t="str">
        <f t="array" ref="D3182">xlookup($A3182,product!$A:$A,product!D:D)</f>
        <v>Biscuit aux fruits</v>
      </c>
      <c r="E3182" s="4" t="str">
        <f t="shared" si="1"/>
        <v>149968-Biscuits, Gâteaux-Biscuit aux fruits</v>
      </c>
      <c r="F3182" s="4">
        <v>0.0</v>
      </c>
      <c r="G3182" s="4">
        <v>103.0</v>
      </c>
      <c r="H3182" s="4">
        <v>98.0</v>
      </c>
      <c r="I3182" s="21">
        <f t="array" ref="I3182">XLOOKUP($A3182,product!A:A,product!E:E)</f>
        <v>1.66</v>
      </c>
      <c r="J3182" s="4">
        <f t="shared" si="2"/>
        <v>162.68</v>
      </c>
      <c r="K3182" s="22">
        <f t="shared" si="3"/>
        <v>1</v>
      </c>
      <c r="L3182" s="4">
        <f t="shared" si="4"/>
        <v>1</v>
      </c>
    </row>
    <row r="3183">
      <c r="A3183" s="23">
        <v>47299.0</v>
      </c>
      <c r="B3183" s="24" t="str">
        <f t="array" ref="B3183">xlookup($A3183,product!$A:$A,product!B:B)</f>
        <v>Epicerie sucrée</v>
      </c>
      <c r="C3183" s="24" t="str">
        <f t="array" ref="C3183">xlookup($A3183,product!$A:$A,product!C:C)</f>
        <v>Biscuits, Gâteaux</v>
      </c>
      <c r="D3183" s="24" t="str">
        <f t="array" ref="D3183">xlookup($A3183,product!$A:$A,product!D:D)</f>
        <v>Biscuit aux fruits</v>
      </c>
      <c r="E3183" s="25" t="str">
        <f t="shared" si="1"/>
        <v>47299-Biscuits, Gâteaux-Biscuit aux fruits</v>
      </c>
      <c r="F3183" s="25">
        <v>0.0</v>
      </c>
      <c r="G3183" s="25">
        <v>818.0</v>
      </c>
      <c r="H3183" s="25">
        <v>486.0</v>
      </c>
      <c r="I3183" s="26">
        <f t="array" ref="I3183">XLOOKUP($A3183,product!A:A,product!E:E)</f>
        <v>1.84</v>
      </c>
      <c r="J3183" s="25">
        <f t="shared" si="2"/>
        <v>894.24</v>
      </c>
      <c r="K3183" s="27">
        <f t="shared" si="3"/>
        <v>1</v>
      </c>
      <c r="L3183" s="25">
        <f t="shared" si="4"/>
        <v>1</v>
      </c>
    </row>
    <row r="3184">
      <c r="A3184" s="19">
        <v>109275.0</v>
      </c>
      <c r="B3184" s="20" t="str">
        <f t="array" ref="B3184">xlookup($A3184,product!$A:$A,product!B:B)</f>
        <v>Epicerie sucrée</v>
      </c>
      <c r="C3184" s="20" t="str">
        <f t="array" ref="C3184">xlookup($A3184,product!$A:$A,product!C:C)</f>
        <v>Biscuits, Gâteaux</v>
      </c>
      <c r="D3184" s="20" t="str">
        <f t="array" ref="D3184">xlookup($A3184,product!$A:$A,product!D:D)</f>
        <v>Biscuit aux fruits</v>
      </c>
      <c r="E3184" s="4" t="str">
        <f t="shared" si="1"/>
        <v>109275-Biscuits, Gâteaux-Biscuit aux fruits</v>
      </c>
      <c r="F3184" s="4">
        <v>0.0</v>
      </c>
      <c r="G3184" s="4">
        <v>300.0</v>
      </c>
      <c r="H3184" s="4">
        <v>254.0</v>
      </c>
      <c r="I3184" s="21">
        <f t="array" ref="I3184">XLOOKUP($A3184,product!A:A,product!E:E)</f>
        <v>1.92</v>
      </c>
      <c r="J3184" s="4">
        <f t="shared" si="2"/>
        <v>487.68</v>
      </c>
      <c r="K3184" s="22">
        <f t="shared" si="3"/>
        <v>1</v>
      </c>
      <c r="L3184" s="4">
        <f t="shared" si="4"/>
        <v>1</v>
      </c>
    </row>
    <row r="3185">
      <c r="A3185" s="23">
        <v>122768.0</v>
      </c>
      <c r="B3185" s="24" t="str">
        <f t="array" ref="B3185">xlookup($A3185,product!$A:$A,product!B:B)</f>
        <v>Epicerie sucrée</v>
      </c>
      <c r="C3185" s="24" t="str">
        <f t="array" ref="C3185">xlookup($A3185,product!$A:$A,product!C:C)</f>
        <v>Biscuits, Gâteaux</v>
      </c>
      <c r="D3185" s="24" t="str">
        <f t="array" ref="D3185">xlookup($A3185,product!$A:$A,product!D:D)</f>
        <v>Biscuit aux fruits</v>
      </c>
      <c r="E3185" s="25" t="str">
        <f t="shared" si="1"/>
        <v>122768-Biscuits, Gâteaux-Biscuit aux fruits</v>
      </c>
      <c r="F3185" s="25">
        <v>1.0</v>
      </c>
      <c r="G3185" s="25">
        <v>907.0</v>
      </c>
      <c r="H3185" s="25">
        <v>361.0</v>
      </c>
      <c r="I3185" s="26">
        <f t="array" ref="I3185">XLOOKUP($A3185,product!A:A,product!E:E)</f>
        <v>1.54</v>
      </c>
      <c r="J3185" s="25">
        <f t="shared" si="2"/>
        <v>555.94</v>
      </c>
      <c r="K3185" s="27">
        <f t="shared" si="3"/>
        <v>1</v>
      </c>
      <c r="L3185" s="25">
        <f t="shared" si="4"/>
        <v>1</v>
      </c>
    </row>
    <row r="3186">
      <c r="A3186" s="19">
        <v>80400.0</v>
      </c>
      <c r="B3186" s="20" t="str">
        <f t="array" ref="B3186">xlookup($A3186,product!$A:$A,product!B:B)</f>
        <v>Epicerie sucrée</v>
      </c>
      <c r="C3186" s="20" t="str">
        <f t="array" ref="C3186">xlookup($A3186,product!$A:$A,product!C:C)</f>
        <v>Biscuits, Gâteaux</v>
      </c>
      <c r="D3186" s="20" t="str">
        <f t="array" ref="D3186">xlookup($A3186,product!$A:$A,product!D:D)</f>
        <v>Biscuit aux fruits</v>
      </c>
      <c r="E3186" s="4" t="str">
        <f t="shared" si="1"/>
        <v>80400-Biscuits, Gâteaux-Biscuit aux fruits</v>
      </c>
      <c r="F3186" s="4">
        <v>1.0</v>
      </c>
      <c r="G3186" s="4">
        <v>306.0</v>
      </c>
      <c r="H3186" s="4">
        <v>13.0</v>
      </c>
      <c r="I3186" s="21">
        <f t="array" ref="I3186">XLOOKUP($A3186,product!A:A,product!E:E)</f>
        <v>2.77</v>
      </c>
      <c r="J3186" s="4">
        <f t="shared" si="2"/>
        <v>36.01</v>
      </c>
      <c r="K3186" s="22">
        <f t="shared" si="3"/>
        <v>1</v>
      </c>
      <c r="L3186" s="4">
        <f t="shared" si="4"/>
        <v>1</v>
      </c>
    </row>
    <row r="3187">
      <c r="A3187" s="23">
        <v>8803.0</v>
      </c>
      <c r="B3187" s="24" t="str">
        <f t="array" ref="B3187">xlookup($A3187,product!$A:$A,product!B:B)</f>
        <v>Epicerie sucrée</v>
      </c>
      <c r="C3187" s="24" t="str">
        <f t="array" ref="C3187">xlookup($A3187,product!$A:$A,product!C:C)</f>
        <v>Biscuits, Gâteaux</v>
      </c>
      <c r="D3187" s="24" t="str">
        <f t="array" ref="D3187">xlookup($A3187,product!$A:$A,product!D:D)</f>
        <v>Biscuit aux fruits</v>
      </c>
      <c r="E3187" s="25" t="str">
        <f t="shared" si="1"/>
        <v>8803-Biscuits, Gâteaux-Biscuit aux fruits</v>
      </c>
      <c r="F3187" s="25">
        <v>0.0</v>
      </c>
      <c r="G3187" s="25">
        <v>187.0</v>
      </c>
      <c r="H3187" s="25">
        <v>34.0</v>
      </c>
      <c r="I3187" s="26">
        <f t="array" ref="I3187">XLOOKUP($A3187,product!A:A,product!E:E)</f>
        <v>2.24</v>
      </c>
      <c r="J3187" s="25">
        <f t="shared" si="2"/>
        <v>76.16</v>
      </c>
      <c r="K3187" s="27">
        <f t="shared" si="3"/>
        <v>1</v>
      </c>
      <c r="L3187" s="25">
        <f t="shared" si="4"/>
        <v>1</v>
      </c>
    </row>
    <row r="3188">
      <c r="A3188" s="19">
        <v>80085.0</v>
      </c>
      <c r="B3188" s="20" t="str">
        <f t="array" ref="B3188">xlookup($A3188,product!$A:$A,product!B:B)</f>
        <v>Epicerie sucrée</v>
      </c>
      <c r="C3188" s="20" t="str">
        <f t="array" ref="C3188">xlookup($A3188,product!$A:$A,product!C:C)</f>
        <v>Biscuits, Gâteaux</v>
      </c>
      <c r="D3188" s="20" t="str">
        <f t="array" ref="D3188">xlookup($A3188,product!$A:$A,product!D:D)</f>
        <v>Biscuit aux fruits</v>
      </c>
      <c r="E3188" s="4" t="str">
        <f t="shared" si="1"/>
        <v>80085-Biscuits, Gâteaux-Biscuit aux fruits</v>
      </c>
      <c r="F3188" s="4">
        <v>0.0</v>
      </c>
      <c r="G3188" s="4">
        <v>302.0</v>
      </c>
      <c r="H3188" s="4">
        <v>18.0</v>
      </c>
      <c r="I3188" s="21">
        <f t="array" ref="I3188">XLOOKUP($A3188,product!A:A,product!E:E)</f>
        <v>2.18</v>
      </c>
      <c r="J3188" s="4">
        <f t="shared" si="2"/>
        <v>39.24</v>
      </c>
      <c r="K3188" s="22">
        <f t="shared" si="3"/>
        <v>1</v>
      </c>
      <c r="L3188" s="4">
        <f t="shared" si="4"/>
        <v>1</v>
      </c>
    </row>
    <row r="3189">
      <c r="A3189" s="23">
        <v>47379.0</v>
      </c>
      <c r="B3189" s="24" t="str">
        <f t="array" ref="B3189">xlookup($A3189,product!$A:$A,product!B:B)</f>
        <v>Epicerie sucrée</v>
      </c>
      <c r="C3189" s="24" t="str">
        <f t="array" ref="C3189">xlookup($A3189,product!$A:$A,product!C:C)</f>
        <v>Biscuits, Gâteaux</v>
      </c>
      <c r="D3189" s="24" t="str">
        <f t="array" ref="D3189">xlookup($A3189,product!$A:$A,product!D:D)</f>
        <v>Biscuit aux fruits</v>
      </c>
      <c r="E3189" s="25" t="str">
        <f t="shared" si="1"/>
        <v>47379-Biscuits, Gâteaux-Biscuit aux fruits</v>
      </c>
      <c r="F3189" s="25">
        <v>0.0</v>
      </c>
      <c r="G3189" s="25">
        <v>244.0</v>
      </c>
      <c r="H3189" s="25">
        <v>51.0</v>
      </c>
      <c r="I3189" s="26">
        <f t="array" ref="I3189">XLOOKUP($A3189,product!A:A,product!E:E)</f>
        <v>1.84</v>
      </c>
      <c r="J3189" s="25">
        <f t="shared" si="2"/>
        <v>93.84</v>
      </c>
      <c r="K3189" s="27">
        <f t="shared" si="3"/>
        <v>1</v>
      </c>
      <c r="L3189" s="25">
        <f t="shared" si="4"/>
        <v>1</v>
      </c>
    </row>
    <row r="3190">
      <c r="A3190" s="19">
        <v>47366.0</v>
      </c>
      <c r="B3190" s="20" t="str">
        <f t="array" ref="B3190">xlookup($A3190,product!$A:$A,product!B:B)</f>
        <v>Epicerie sucrée</v>
      </c>
      <c r="C3190" s="20" t="str">
        <f t="array" ref="C3190">xlookup($A3190,product!$A:$A,product!C:C)</f>
        <v>Biscuits, Gâteaux</v>
      </c>
      <c r="D3190" s="20" t="str">
        <f t="array" ref="D3190">xlookup($A3190,product!$A:$A,product!D:D)</f>
        <v>Biscuit aux fruits</v>
      </c>
      <c r="E3190" s="4" t="str">
        <f t="shared" si="1"/>
        <v>47366-Biscuits, Gâteaux-Biscuit aux fruits</v>
      </c>
      <c r="F3190" s="4">
        <v>1.0</v>
      </c>
      <c r="G3190" s="4">
        <v>686.0</v>
      </c>
      <c r="H3190" s="4">
        <v>276.0</v>
      </c>
      <c r="I3190" s="21">
        <f t="array" ref="I3190">XLOOKUP($A3190,product!A:A,product!E:E)</f>
        <v>2.05</v>
      </c>
      <c r="J3190" s="4">
        <f t="shared" si="2"/>
        <v>565.8</v>
      </c>
      <c r="K3190" s="22">
        <f t="shared" si="3"/>
        <v>1</v>
      </c>
      <c r="L3190" s="4">
        <f t="shared" si="4"/>
        <v>1</v>
      </c>
    </row>
    <row r="3191">
      <c r="A3191" s="23">
        <v>47376.0</v>
      </c>
      <c r="B3191" s="24" t="str">
        <f t="array" ref="B3191">xlookup($A3191,product!$A:$A,product!B:B)</f>
        <v>Epicerie sucrée</v>
      </c>
      <c r="C3191" s="24" t="str">
        <f t="array" ref="C3191">xlookup($A3191,product!$A:$A,product!C:C)</f>
        <v>Biscuits, Gâteaux</v>
      </c>
      <c r="D3191" s="24" t="str">
        <f t="array" ref="D3191">xlookup($A3191,product!$A:$A,product!D:D)</f>
        <v>Biscuit aux fruits</v>
      </c>
      <c r="E3191" s="25" t="str">
        <f t="shared" si="1"/>
        <v>47376-Biscuits, Gâteaux-Biscuit aux fruits</v>
      </c>
      <c r="F3191" s="25">
        <v>0.0</v>
      </c>
      <c r="G3191" s="25">
        <v>30.0</v>
      </c>
      <c r="H3191" s="25">
        <v>2.0</v>
      </c>
      <c r="I3191" s="26">
        <f t="array" ref="I3191">XLOOKUP($A3191,product!A:A,product!E:E)</f>
        <v>1.84</v>
      </c>
      <c r="J3191" s="25">
        <f t="shared" si="2"/>
        <v>3.68</v>
      </c>
      <c r="K3191" s="27">
        <f t="shared" si="3"/>
        <v>1</v>
      </c>
      <c r="L3191" s="25">
        <f t="shared" si="4"/>
        <v>1</v>
      </c>
    </row>
    <row r="3192">
      <c r="A3192" s="19">
        <v>95799.0</v>
      </c>
      <c r="B3192" s="20" t="str">
        <f t="array" ref="B3192">xlookup($A3192,product!$A:$A,product!B:B)</f>
        <v>Epicerie sucrée</v>
      </c>
      <c r="C3192" s="20" t="str">
        <f t="array" ref="C3192">xlookup($A3192,product!$A:$A,product!C:C)</f>
        <v>Biscuits, Gâteaux</v>
      </c>
      <c r="D3192" s="20" t="str">
        <f t="array" ref="D3192">xlookup($A3192,product!$A:$A,product!D:D)</f>
        <v>Biscuit aux fruits</v>
      </c>
      <c r="E3192" s="4" t="str">
        <f t="shared" si="1"/>
        <v>95799-Biscuits, Gâteaux-Biscuit aux fruits</v>
      </c>
      <c r="F3192" s="4">
        <v>0.0</v>
      </c>
      <c r="G3192" s="4">
        <v>12.0</v>
      </c>
      <c r="H3192" s="4">
        <v>8.0</v>
      </c>
      <c r="I3192" s="21">
        <f t="array" ref="I3192">XLOOKUP($A3192,product!A:A,product!E:E)</f>
        <v>1.96</v>
      </c>
      <c r="J3192" s="4">
        <f t="shared" si="2"/>
        <v>15.68</v>
      </c>
      <c r="K3192" s="22">
        <f t="shared" si="3"/>
        <v>1</v>
      </c>
      <c r="L3192" s="4">
        <f t="shared" si="4"/>
        <v>1</v>
      </c>
    </row>
    <row r="3193">
      <c r="A3193" s="23">
        <v>112733.0</v>
      </c>
      <c r="B3193" s="24" t="str">
        <f t="array" ref="B3193">xlookup($A3193,product!$A:$A,product!B:B)</f>
        <v>Epicerie sucrée</v>
      </c>
      <c r="C3193" s="24" t="str">
        <f t="array" ref="C3193">xlookup($A3193,product!$A:$A,product!C:C)</f>
        <v>Biscuits, Gâteaux</v>
      </c>
      <c r="D3193" s="24" t="str">
        <f t="array" ref="D3193">xlookup($A3193,product!$A:$A,product!D:D)</f>
        <v>Biscuit aux fruits</v>
      </c>
      <c r="E3193" s="25" t="str">
        <f t="shared" si="1"/>
        <v>112733-Biscuits, Gâteaux-Biscuit aux fruits</v>
      </c>
      <c r="F3193" s="25">
        <v>1.0</v>
      </c>
      <c r="G3193" s="25">
        <v>622.0</v>
      </c>
      <c r="H3193" s="25">
        <v>526.0</v>
      </c>
      <c r="I3193" s="26">
        <f t="array" ref="I3193">XLOOKUP($A3193,product!A:A,product!E:E)</f>
        <v>1.66</v>
      </c>
      <c r="J3193" s="25">
        <f t="shared" si="2"/>
        <v>873.16</v>
      </c>
      <c r="K3193" s="27">
        <f t="shared" si="3"/>
        <v>1</v>
      </c>
      <c r="L3193" s="25">
        <f t="shared" si="4"/>
        <v>1</v>
      </c>
    </row>
    <row r="3194">
      <c r="A3194" s="19">
        <v>47050.0</v>
      </c>
      <c r="B3194" s="20" t="str">
        <f t="array" ref="B3194">xlookup($A3194,product!$A:$A,product!B:B)</f>
        <v>Epicerie sucrée</v>
      </c>
      <c r="C3194" s="20" t="str">
        <f t="array" ref="C3194">xlookup($A3194,product!$A:$A,product!C:C)</f>
        <v>Biscuits, Gâteaux</v>
      </c>
      <c r="D3194" s="20" t="str">
        <f t="array" ref="D3194">xlookup($A3194,product!$A:$A,product!D:D)</f>
        <v>Biscuit au chocolat</v>
      </c>
      <c r="E3194" s="4" t="str">
        <f t="shared" si="1"/>
        <v>47050-Biscuits, Gâteaux-Biscuit au chocolat</v>
      </c>
      <c r="F3194" s="4">
        <v>1.0</v>
      </c>
      <c r="G3194" s="4">
        <v>539.0</v>
      </c>
      <c r="H3194" s="4">
        <v>518.0</v>
      </c>
      <c r="I3194" s="21">
        <f t="array" ref="I3194">XLOOKUP($A3194,product!A:A,product!E:E)</f>
        <v>2.11</v>
      </c>
      <c r="J3194" s="4">
        <f t="shared" si="2"/>
        <v>1092.98</v>
      </c>
      <c r="K3194" s="22">
        <f t="shared" si="3"/>
        <v>1</v>
      </c>
      <c r="L3194" s="4">
        <f t="shared" si="4"/>
        <v>1</v>
      </c>
    </row>
    <row r="3195">
      <c r="A3195" s="23">
        <v>112449.0</v>
      </c>
      <c r="B3195" s="24" t="str">
        <f t="array" ref="B3195">xlookup($A3195,product!$A:$A,product!B:B)</f>
        <v>Epicerie sucrée</v>
      </c>
      <c r="C3195" s="24" t="str">
        <f t="array" ref="C3195">xlookup($A3195,product!$A:$A,product!C:C)</f>
        <v>Biscuits, Gâteaux</v>
      </c>
      <c r="D3195" s="24" t="str">
        <f t="array" ref="D3195">xlookup($A3195,product!$A:$A,product!D:D)</f>
        <v>Biscuit au chocolat</v>
      </c>
      <c r="E3195" s="25" t="str">
        <f t="shared" si="1"/>
        <v>112449-Biscuits, Gâteaux-Biscuit au chocolat</v>
      </c>
      <c r="F3195" s="25">
        <v>0.0</v>
      </c>
      <c r="G3195" s="25">
        <v>344.0</v>
      </c>
      <c r="H3195" s="25">
        <v>39.0</v>
      </c>
      <c r="I3195" s="26">
        <f t="array" ref="I3195">XLOOKUP($A3195,product!A:A,product!E:E)</f>
        <v>1.83</v>
      </c>
      <c r="J3195" s="25">
        <f t="shared" si="2"/>
        <v>71.37</v>
      </c>
      <c r="K3195" s="27">
        <f t="shared" si="3"/>
        <v>1</v>
      </c>
      <c r="L3195" s="25">
        <f t="shared" si="4"/>
        <v>1</v>
      </c>
    </row>
    <row r="3196">
      <c r="A3196" s="19">
        <v>14025.0</v>
      </c>
      <c r="B3196" s="20" t="str">
        <f t="array" ref="B3196">xlookup($A3196,product!$A:$A,product!B:B)</f>
        <v>Epicerie sucrée</v>
      </c>
      <c r="C3196" s="20" t="str">
        <f t="array" ref="C3196">xlookup($A3196,product!$A:$A,product!C:C)</f>
        <v>Biscuits, Gâteaux</v>
      </c>
      <c r="D3196" s="20" t="str">
        <f t="array" ref="D3196">xlookup($A3196,product!$A:$A,product!D:D)</f>
        <v>Biscuit au chocolat</v>
      </c>
      <c r="E3196" s="4" t="str">
        <f t="shared" si="1"/>
        <v>14025-Biscuits, Gâteaux-Biscuit au chocolat</v>
      </c>
      <c r="F3196" s="4">
        <v>1.0</v>
      </c>
      <c r="G3196" s="4">
        <v>513.0</v>
      </c>
      <c r="H3196" s="4">
        <v>15.0</v>
      </c>
      <c r="I3196" s="21">
        <f t="array" ref="I3196">XLOOKUP($A3196,product!A:A,product!E:E)</f>
        <v>1.97</v>
      </c>
      <c r="J3196" s="4">
        <f t="shared" si="2"/>
        <v>29.55</v>
      </c>
      <c r="K3196" s="22">
        <f t="shared" si="3"/>
        <v>1</v>
      </c>
      <c r="L3196" s="4">
        <f t="shared" si="4"/>
        <v>1</v>
      </c>
    </row>
    <row r="3197">
      <c r="A3197" s="23">
        <v>26054.0</v>
      </c>
      <c r="B3197" s="24" t="str">
        <f t="array" ref="B3197">xlookup($A3197,product!$A:$A,product!B:B)</f>
        <v>Epicerie sucrée</v>
      </c>
      <c r="C3197" s="24" t="str">
        <f t="array" ref="C3197">xlookup($A3197,product!$A:$A,product!C:C)</f>
        <v>Biscuits, Gâteaux</v>
      </c>
      <c r="D3197" s="24" t="str">
        <f t="array" ref="D3197">xlookup($A3197,product!$A:$A,product!D:D)</f>
        <v>Biscuit au chocolat</v>
      </c>
      <c r="E3197" s="25" t="str">
        <f t="shared" si="1"/>
        <v>26054-Biscuits, Gâteaux-Biscuit au chocolat</v>
      </c>
      <c r="F3197" s="25">
        <v>0.0</v>
      </c>
      <c r="G3197" s="25">
        <v>759.0</v>
      </c>
      <c r="H3197" s="25">
        <v>10.0</v>
      </c>
      <c r="I3197" s="26">
        <f t="array" ref="I3197">XLOOKUP($A3197,product!A:A,product!E:E)</f>
        <v>1.76</v>
      </c>
      <c r="J3197" s="25">
        <f t="shared" si="2"/>
        <v>17.6</v>
      </c>
      <c r="K3197" s="27">
        <f t="shared" si="3"/>
        <v>1</v>
      </c>
      <c r="L3197" s="25">
        <f t="shared" si="4"/>
        <v>1</v>
      </c>
    </row>
    <row r="3198">
      <c r="A3198" s="19">
        <v>60366.0</v>
      </c>
      <c r="B3198" s="20" t="str">
        <f t="array" ref="B3198">xlookup($A3198,product!$A:$A,product!B:B)</f>
        <v>Epicerie sucrée</v>
      </c>
      <c r="C3198" s="20" t="str">
        <f t="array" ref="C3198">xlookup($A3198,product!$A:$A,product!C:C)</f>
        <v>Biscuits, Gâteaux</v>
      </c>
      <c r="D3198" s="20" t="str">
        <f t="array" ref="D3198">xlookup($A3198,product!$A:$A,product!D:D)</f>
        <v>Biscuit au chocolat</v>
      </c>
      <c r="E3198" s="4" t="str">
        <f t="shared" si="1"/>
        <v>60366-Biscuits, Gâteaux-Biscuit au chocolat</v>
      </c>
      <c r="F3198" s="4">
        <v>0.0</v>
      </c>
      <c r="G3198" s="4">
        <v>346.0</v>
      </c>
      <c r="H3198" s="4">
        <v>267.0</v>
      </c>
      <c r="I3198" s="21">
        <f t="array" ref="I3198">XLOOKUP($A3198,product!A:A,product!E:E)</f>
        <v>1.95</v>
      </c>
      <c r="J3198" s="4">
        <f t="shared" si="2"/>
        <v>520.65</v>
      </c>
      <c r="K3198" s="22">
        <f t="shared" si="3"/>
        <v>1</v>
      </c>
      <c r="L3198" s="4">
        <f t="shared" si="4"/>
        <v>1</v>
      </c>
    </row>
    <row r="3199">
      <c r="A3199" s="23">
        <v>116805.0</v>
      </c>
      <c r="B3199" s="24" t="str">
        <f t="array" ref="B3199">xlookup($A3199,product!$A:$A,product!B:B)</f>
        <v>Epicerie sucrée</v>
      </c>
      <c r="C3199" s="24" t="str">
        <f t="array" ref="C3199">xlookup($A3199,product!$A:$A,product!C:C)</f>
        <v>Biscuits, Gâteaux</v>
      </c>
      <c r="D3199" s="24" t="str">
        <f t="array" ref="D3199">xlookup($A3199,product!$A:$A,product!D:D)</f>
        <v>Biscuit au chocolat</v>
      </c>
      <c r="E3199" s="25" t="str">
        <f t="shared" si="1"/>
        <v>116805-Biscuits, Gâteaux-Biscuit au chocolat</v>
      </c>
      <c r="F3199" s="25">
        <v>1.0</v>
      </c>
      <c r="G3199" s="25">
        <v>765.0</v>
      </c>
      <c r="H3199" s="25">
        <v>143.0</v>
      </c>
      <c r="I3199" s="26">
        <f t="array" ref="I3199">XLOOKUP($A3199,product!A:A,product!E:E)</f>
        <v>1.2</v>
      </c>
      <c r="J3199" s="25">
        <f t="shared" si="2"/>
        <v>171.6</v>
      </c>
      <c r="K3199" s="27">
        <f t="shared" si="3"/>
        <v>1</v>
      </c>
      <c r="L3199" s="25">
        <f t="shared" si="4"/>
        <v>1</v>
      </c>
    </row>
    <row r="3200">
      <c r="A3200" s="19">
        <v>8804.0</v>
      </c>
      <c r="B3200" s="20" t="str">
        <f t="array" ref="B3200">xlookup($A3200,product!$A:$A,product!B:B)</f>
        <v>Epicerie sucrée</v>
      </c>
      <c r="C3200" s="20" t="str">
        <f t="array" ref="C3200">xlookup($A3200,product!$A:$A,product!C:C)</f>
        <v>Biscuits, Gâteaux</v>
      </c>
      <c r="D3200" s="20" t="str">
        <f t="array" ref="D3200">xlookup($A3200,product!$A:$A,product!D:D)</f>
        <v>Biscuit au chocolat</v>
      </c>
      <c r="E3200" s="4" t="str">
        <f t="shared" si="1"/>
        <v>8804-Biscuits, Gâteaux-Biscuit au chocolat</v>
      </c>
      <c r="F3200" s="4">
        <v>1.0</v>
      </c>
      <c r="G3200" s="4">
        <v>423.0</v>
      </c>
      <c r="H3200" s="4">
        <v>420.0</v>
      </c>
      <c r="I3200" s="21">
        <f t="array" ref="I3200">XLOOKUP($A3200,product!A:A,product!E:E)</f>
        <v>2.33</v>
      </c>
      <c r="J3200" s="4">
        <f t="shared" si="2"/>
        <v>978.6</v>
      </c>
      <c r="K3200" s="22">
        <f t="shared" si="3"/>
        <v>1</v>
      </c>
      <c r="L3200" s="4">
        <f t="shared" si="4"/>
        <v>1</v>
      </c>
    </row>
    <row r="3201">
      <c r="A3201" s="23">
        <v>48470.0</v>
      </c>
      <c r="B3201" s="24" t="str">
        <f t="array" ref="B3201">xlookup($A3201,product!$A:$A,product!B:B)</f>
        <v>Epicerie sucrée</v>
      </c>
      <c r="C3201" s="24" t="str">
        <f t="array" ref="C3201">xlookup($A3201,product!$A:$A,product!C:C)</f>
        <v>Biscuits, Gâteaux</v>
      </c>
      <c r="D3201" s="24" t="str">
        <f t="array" ref="D3201">xlookup($A3201,product!$A:$A,product!D:D)</f>
        <v>Biscuit au chocolat</v>
      </c>
      <c r="E3201" s="25" t="str">
        <f t="shared" si="1"/>
        <v>48470-Biscuits, Gâteaux-Biscuit au chocolat</v>
      </c>
      <c r="F3201" s="25">
        <v>1.0</v>
      </c>
      <c r="G3201" s="25">
        <v>192.0</v>
      </c>
      <c r="H3201" s="25">
        <v>180.0</v>
      </c>
      <c r="I3201" s="26">
        <f t="array" ref="I3201">XLOOKUP($A3201,product!A:A,product!E:E)</f>
        <v>2.37</v>
      </c>
      <c r="J3201" s="25">
        <f t="shared" si="2"/>
        <v>426.6</v>
      </c>
      <c r="K3201" s="27">
        <f t="shared" si="3"/>
        <v>1</v>
      </c>
      <c r="L3201" s="25">
        <f t="shared" si="4"/>
        <v>1</v>
      </c>
    </row>
    <row r="3202">
      <c r="A3202" s="19">
        <v>86485.0</v>
      </c>
      <c r="B3202" s="20" t="str">
        <f t="array" ref="B3202">xlookup($A3202,product!$A:$A,product!B:B)</f>
        <v>Epicerie sucrée</v>
      </c>
      <c r="C3202" s="20" t="str">
        <f t="array" ref="C3202">xlookup($A3202,product!$A:$A,product!C:C)</f>
        <v>Biscuits, Gâteaux</v>
      </c>
      <c r="D3202" s="20" t="str">
        <f t="array" ref="D3202">xlookup($A3202,product!$A:$A,product!D:D)</f>
        <v>Biscuit au chocolat</v>
      </c>
      <c r="E3202" s="4" t="str">
        <f t="shared" si="1"/>
        <v>86485-Biscuits, Gâteaux-Biscuit au chocolat</v>
      </c>
      <c r="F3202" s="4">
        <v>1.0</v>
      </c>
      <c r="G3202" s="4">
        <v>134.0</v>
      </c>
      <c r="H3202" s="4">
        <v>39.0</v>
      </c>
      <c r="I3202" s="21">
        <f t="array" ref="I3202">XLOOKUP($A3202,product!A:A,product!E:E)</f>
        <v>1.76</v>
      </c>
      <c r="J3202" s="4">
        <f t="shared" si="2"/>
        <v>68.64</v>
      </c>
      <c r="K3202" s="22">
        <f t="shared" si="3"/>
        <v>1</v>
      </c>
      <c r="L3202" s="4">
        <f t="shared" si="4"/>
        <v>1</v>
      </c>
    </row>
    <row r="3203">
      <c r="A3203" s="23">
        <v>73872.0</v>
      </c>
      <c r="B3203" s="24" t="str">
        <f t="array" ref="B3203">xlookup($A3203,product!$A:$A,product!B:B)</f>
        <v>Epicerie sucrée</v>
      </c>
      <c r="C3203" s="24" t="str">
        <f t="array" ref="C3203">xlookup($A3203,product!$A:$A,product!C:C)</f>
        <v>Biscuits, Gâteaux</v>
      </c>
      <c r="D3203" s="24" t="str">
        <f t="array" ref="D3203">xlookup($A3203,product!$A:$A,product!D:D)</f>
        <v>Biscuit au chocolat</v>
      </c>
      <c r="E3203" s="25" t="str">
        <f t="shared" si="1"/>
        <v>73872-Biscuits, Gâteaux-Biscuit au chocolat</v>
      </c>
      <c r="F3203" s="25">
        <v>1.0</v>
      </c>
      <c r="G3203" s="25">
        <v>47.0</v>
      </c>
      <c r="H3203" s="25">
        <v>29.0</v>
      </c>
      <c r="I3203" s="26">
        <f t="array" ref="I3203">XLOOKUP($A3203,product!A:A,product!E:E)</f>
        <v>2.07</v>
      </c>
      <c r="J3203" s="25">
        <f t="shared" si="2"/>
        <v>60.03</v>
      </c>
      <c r="K3203" s="27">
        <f t="shared" si="3"/>
        <v>1</v>
      </c>
      <c r="L3203" s="25">
        <f t="shared" si="4"/>
        <v>1</v>
      </c>
    </row>
    <row r="3204">
      <c r="A3204" s="19">
        <v>72852.0</v>
      </c>
      <c r="B3204" s="20" t="str">
        <f t="array" ref="B3204">xlookup($A3204,product!$A:$A,product!B:B)</f>
        <v>Epicerie sucrée</v>
      </c>
      <c r="C3204" s="20" t="str">
        <f t="array" ref="C3204">xlookup($A3204,product!$A:$A,product!C:C)</f>
        <v>Biscuits, Gâteaux</v>
      </c>
      <c r="D3204" s="20" t="str">
        <f t="array" ref="D3204">xlookup($A3204,product!$A:$A,product!D:D)</f>
        <v>Biscuit au chocolat</v>
      </c>
      <c r="E3204" s="4" t="str">
        <f t="shared" si="1"/>
        <v>72852-Biscuits, Gâteaux-Biscuit au chocolat</v>
      </c>
      <c r="F3204" s="4">
        <v>0.0</v>
      </c>
      <c r="G3204" s="4">
        <v>859.0</v>
      </c>
      <c r="H3204" s="4">
        <v>644.0</v>
      </c>
      <c r="I3204" s="21">
        <f t="array" ref="I3204">XLOOKUP($A3204,product!A:A,product!E:E)</f>
        <v>2.66</v>
      </c>
      <c r="J3204" s="4">
        <f t="shared" si="2"/>
        <v>1713.04</v>
      </c>
      <c r="K3204" s="22">
        <f t="shared" si="3"/>
        <v>1</v>
      </c>
      <c r="L3204" s="4">
        <f t="shared" si="4"/>
        <v>1</v>
      </c>
    </row>
    <row r="3205">
      <c r="A3205" s="23">
        <v>85856.0</v>
      </c>
      <c r="B3205" s="24" t="str">
        <f t="array" ref="B3205">xlookup($A3205,product!$A:$A,product!B:B)</f>
        <v>Epicerie sucrée</v>
      </c>
      <c r="C3205" s="24" t="str">
        <f t="array" ref="C3205">xlookup($A3205,product!$A:$A,product!C:C)</f>
        <v>Biscuits, Gâteaux</v>
      </c>
      <c r="D3205" s="24" t="str">
        <f t="array" ref="D3205">xlookup($A3205,product!$A:$A,product!D:D)</f>
        <v>Biscuit au chocolat</v>
      </c>
      <c r="E3205" s="25" t="str">
        <f t="shared" si="1"/>
        <v>85856-Biscuits, Gâteaux-Biscuit au chocolat</v>
      </c>
      <c r="F3205" s="25">
        <v>1.0</v>
      </c>
      <c r="G3205" s="25">
        <v>836.0</v>
      </c>
      <c r="H3205" s="25">
        <v>388.0</v>
      </c>
      <c r="I3205" s="26">
        <f t="array" ref="I3205">XLOOKUP($A3205,product!A:A,product!E:E)</f>
        <v>0.66</v>
      </c>
      <c r="J3205" s="25">
        <f t="shared" si="2"/>
        <v>256.08</v>
      </c>
      <c r="K3205" s="27">
        <f t="shared" si="3"/>
        <v>1</v>
      </c>
      <c r="L3205" s="25">
        <f t="shared" si="4"/>
        <v>1</v>
      </c>
    </row>
    <row r="3206">
      <c r="A3206" s="19">
        <v>14018.0</v>
      </c>
      <c r="B3206" s="20" t="str">
        <f t="array" ref="B3206">xlookup($A3206,product!$A:$A,product!B:B)</f>
        <v>Epicerie sucrée</v>
      </c>
      <c r="C3206" s="20" t="str">
        <f t="array" ref="C3206">xlookup($A3206,product!$A:$A,product!C:C)</f>
        <v>Biscuits, Gâteaux</v>
      </c>
      <c r="D3206" s="20" t="str">
        <f t="array" ref="D3206">xlookup($A3206,product!$A:$A,product!D:D)</f>
        <v>Biscuit au chocolat</v>
      </c>
      <c r="E3206" s="4" t="str">
        <f t="shared" si="1"/>
        <v>14018-Biscuits, Gâteaux-Biscuit au chocolat</v>
      </c>
      <c r="F3206" s="4">
        <v>0.0</v>
      </c>
      <c r="G3206" s="4">
        <v>197.0</v>
      </c>
      <c r="H3206" s="4">
        <v>102.0</v>
      </c>
      <c r="I3206" s="21">
        <f t="array" ref="I3206">XLOOKUP($A3206,product!A:A,product!E:E)</f>
        <v>2.17</v>
      </c>
      <c r="J3206" s="4">
        <f t="shared" si="2"/>
        <v>221.34</v>
      </c>
      <c r="K3206" s="22">
        <f t="shared" si="3"/>
        <v>1</v>
      </c>
      <c r="L3206" s="4">
        <f t="shared" si="4"/>
        <v>1</v>
      </c>
    </row>
    <row r="3207">
      <c r="A3207" s="23">
        <v>100262.0</v>
      </c>
      <c r="B3207" s="24" t="str">
        <f t="array" ref="B3207">xlookup($A3207,product!$A:$A,product!B:B)</f>
        <v>Epicerie sucrée</v>
      </c>
      <c r="C3207" s="24" t="str">
        <f t="array" ref="C3207">xlookup($A3207,product!$A:$A,product!C:C)</f>
        <v>Biscuits, Gâteaux</v>
      </c>
      <c r="D3207" s="24" t="str">
        <f t="array" ref="D3207">xlookup($A3207,product!$A:$A,product!D:D)</f>
        <v>Biscuit au chocolat</v>
      </c>
      <c r="E3207" s="25" t="str">
        <f t="shared" si="1"/>
        <v>100262-Biscuits, Gâteaux-Biscuit au chocolat</v>
      </c>
      <c r="F3207" s="25">
        <v>1.0</v>
      </c>
      <c r="G3207" s="25">
        <v>242.0</v>
      </c>
      <c r="H3207" s="25">
        <v>82.0</v>
      </c>
      <c r="I3207" s="26">
        <f t="array" ref="I3207">XLOOKUP($A3207,product!A:A,product!E:E)</f>
        <v>2.14</v>
      </c>
      <c r="J3207" s="25">
        <f t="shared" si="2"/>
        <v>175.48</v>
      </c>
      <c r="K3207" s="27">
        <f t="shared" si="3"/>
        <v>1</v>
      </c>
      <c r="L3207" s="25">
        <f t="shared" si="4"/>
        <v>1</v>
      </c>
    </row>
    <row r="3208">
      <c r="A3208" s="19">
        <v>114657.0</v>
      </c>
      <c r="B3208" s="20" t="str">
        <f t="array" ref="B3208">xlookup($A3208,product!$A:$A,product!B:B)</f>
        <v>Epicerie sucrée</v>
      </c>
      <c r="C3208" s="20" t="str">
        <f t="array" ref="C3208">xlookup($A3208,product!$A:$A,product!C:C)</f>
        <v>Biscuits, Gâteaux</v>
      </c>
      <c r="D3208" s="20" t="str">
        <f t="array" ref="D3208">xlookup($A3208,product!$A:$A,product!D:D)</f>
        <v>Biscuit au chocolat</v>
      </c>
      <c r="E3208" s="4" t="str">
        <f t="shared" si="1"/>
        <v>114657-Biscuits, Gâteaux-Biscuit au chocolat</v>
      </c>
      <c r="F3208" s="4">
        <v>1.0</v>
      </c>
      <c r="G3208" s="4">
        <v>549.0</v>
      </c>
      <c r="H3208" s="4">
        <v>379.0</v>
      </c>
      <c r="I3208" s="21">
        <f t="array" ref="I3208">XLOOKUP($A3208,product!A:A,product!E:E)</f>
        <v>1.9</v>
      </c>
      <c r="J3208" s="4">
        <f t="shared" si="2"/>
        <v>720.1</v>
      </c>
      <c r="K3208" s="22">
        <f t="shared" si="3"/>
        <v>1</v>
      </c>
      <c r="L3208" s="4">
        <f t="shared" si="4"/>
        <v>1</v>
      </c>
    </row>
    <row r="3209">
      <c r="A3209" s="23">
        <v>150281.0</v>
      </c>
      <c r="B3209" s="24" t="str">
        <f t="array" ref="B3209">xlookup($A3209,product!$A:$A,product!B:B)</f>
        <v>Epicerie sucrée</v>
      </c>
      <c r="C3209" s="24" t="str">
        <f t="array" ref="C3209">xlookup($A3209,product!$A:$A,product!C:C)</f>
        <v>Biscuits, Gâteaux</v>
      </c>
      <c r="D3209" s="24" t="str">
        <f t="array" ref="D3209">xlookup($A3209,product!$A:$A,product!D:D)</f>
        <v>Biscuit au chocolat</v>
      </c>
      <c r="E3209" s="25" t="str">
        <f t="shared" si="1"/>
        <v>150281-Biscuits, Gâteaux-Biscuit au chocolat</v>
      </c>
      <c r="F3209" s="25">
        <v>1.0</v>
      </c>
      <c r="G3209" s="25">
        <v>323.0</v>
      </c>
      <c r="H3209" s="25">
        <v>293.0</v>
      </c>
      <c r="I3209" s="26">
        <f t="array" ref="I3209">XLOOKUP($A3209,product!A:A,product!E:E)</f>
        <v>1.73</v>
      </c>
      <c r="J3209" s="25">
        <f t="shared" si="2"/>
        <v>506.89</v>
      </c>
      <c r="K3209" s="27">
        <f t="shared" si="3"/>
        <v>1</v>
      </c>
      <c r="L3209" s="25">
        <f t="shared" si="4"/>
        <v>1</v>
      </c>
    </row>
    <row r="3210">
      <c r="A3210" s="19">
        <v>81491.0</v>
      </c>
      <c r="B3210" s="20" t="str">
        <f t="array" ref="B3210">xlookup($A3210,product!$A:$A,product!B:B)</f>
        <v>Epicerie sucrée</v>
      </c>
      <c r="C3210" s="20" t="str">
        <f t="array" ref="C3210">xlookup($A3210,product!$A:$A,product!C:C)</f>
        <v>Biscuits, Gâteaux</v>
      </c>
      <c r="D3210" s="20" t="str">
        <f t="array" ref="D3210">xlookup($A3210,product!$A:$A,product!D:D)</f>
        <v>Biscuit au chocolat</v>
      </c>
      <c r="E3210" s="4" t="str">
        <f t="shared" si="1"/>
        <v>81491-Biscuits, Gâteaux-Biscuit au chocolat</v>
      </c>
      <c r="F3210" s="4">
        <v>0.0</v>
      </c>
      <c r="G3210" s="4">
        <v>227.0</v>
      </c>
      <c r="H3210" s="4">
        <v>127.0</v>
      </c>
      <c r="I3210" s="21">
        <f t="array" ref="I3210">XLOOKUP($A3210,product!A:A,product!E:E)</f>
        <v>1.81</v>
      </c>
      <c r="J3210" s="4">
        <f t="shared" si="2"/>
        <v>229.87</v>
      </c>
      <c r="K3210" s="22">
        <f t="shared" si="3"/>
        <v>1</v>
      </c>
      <c r="L3210" s="4">
        <f t="shared" si="4"/>
        <v>1</v>
      </c>
    </row>
    <row r="3211">
      <c r="A3211" s="23">
        <v>88519.0</v>
      </c>
      <c r="B3211" s="24" t="str">
        <f t="array" ref="B3211">xlookup($A3211,product!$A:$A,product!B:B)</f>
        <v>Epicerie sucrée</v>
      </c>
      <c r="C3211" s="24" t="str">
        <f t="array" ref="C3211">xlookup($A3211,product!$A:$A,product!C:C)</f>
        <v>Biscuits, Gâteaux</v>
      </c>
      <c r="D3211" s="24" t="str">
        <f t="array" ref="D3211">xlookup($A3211,product!$A:$A,product!D:D)</f>
        <v>Biscuit au chocolat</v>
      </c>
      <c r="E3211" s="25" t="str">
        <f t="shared" si="1"/>
        <v>88519-Biscuits, Gâteaux-Biscuit au chocolat</v>
      </c>
      <c r="F3211" s="25">
        <v>0.0</v>
      </c>
      <c r="G3211" s="25">
        <v>816.0</v>
      </c>
      <c r="H3211" s="25">
        <v>429.0</v>
      </c>
      <c r="I3211" s="26">
        <f t="array" ref="I3211">XLOOKUP($A3211,product!A:A,product!E:E)</f>
        <v>2.11</v>
      </c>
      <c r="J3211" s="25">
        <f t="shared" si="2"/>
        <v>905.19</v>
      </c>
      <c r="K3211" s="27">
        <f t="shared" si="3"/>
        <v>1</v>
      </c>
      <c r="L3211" s="25">
        <f t="shared" si="4"/>
        <v>1</v>
      </c>
    </row>
    <row r="3212">
      <c r="A3212" s="19">
        <v>116800.0</v>
      </c>
      <c r="B3212" s="20" t="str">
        <f t="array" ref="B3212">xlookup($A3212,product!$A:$A,product!B:B)</f>
        <v>Epicerie sucrée</v>
      </c>
      <c r="C3212" s="20" t="str">
        <f t="array" ref="C3212">xlookup($A3212,product!$A:$A,product!C:C)</f>
        <v>Biscuits, Gâteaux</v>
      </c>
      <c r="D3212" s="20" t="str">
        <f t="array" ref="D3212">xlookup($A3212,product!$A:$A,product!D:D)</f>
        <v>Biscuit au chocolat</v>
      </c>
      <c r="E3212" s="4" t="str">
        <f t="shared" si="1"/>
        <v>116800-Biscuits, Gâteaux-Biscuit au chocolat</v>
      </c>
      <c r="F3212" s="4">
        <v>0.0</v>
      </c>
      <c r="G3212" s="4">
        <v>689.0</v>
      </c>
      <c r="H3212" s="4">
        <v>26.0</v>
      </c>
      <c r="I3212" s="21">
        <f t="array" ref="I3212">XLOOKUP($A3212,product!A:A,product!E:E)</f>
        <v>1.41</v>
      </c>
      <c r="J3212" s="4">
        <f t="shared" si="2"/>
        <v>36.66</v>
      </c>
      <c r="K3212" s="22">
        <f t="shared" si="3"/>
        <v>1</v>
      </c>
      <c r="L3212" s="4">
        <f t="shared" si="4"/>
        <v>1</v>
      </c>
    </row>
    <row r="3213">
      <c r="A3213" s="23">
        <v>117675.0</v>
      </c>
      <c r="B3213" s="24" t="str">
        <f t="array" ref="B3213">xlookup($A3213,product!$A:$A,product!B:B)</f>
        <v>Epicerie sucrée</v>
      </c>
      <c r="C3213" s="24" t="str">
        <f t="array" ref="C3213">xlookup($A3213,product!$A:$A,product!C:C)</f>
        <v>Biscuits, Gâteaux</v>
      </c>
      <c r="D3213" s="24" t="str">
        <f t="array" ref="D3213">xlookup($A3213,product!$A:$A,product!D:D)</f>
        <v>Biscuit au chocolat</v>
      </c>
      <c r="E3213" s="25" t="str">
        <f t="shared" si="1"/>
        <v>117675-Biscuits, Gâteaux-Biscuit au chocolat</v>
      </c>
      <c r="F3213" s="25">
        <v>1.0</v>
      </c>
      <c r="G3213" s="25">
        <v>297.0</v>
      </c>
      <c r="H3213" s="25">
        <v>257.0</v>
      </c>
      <c r="I3213" s="26">
        <f t="array" ref="I3213">XLOOKUP($A3213,product!A:A,product!E:E)</f>
        <v>1.46</v>
      </c>
      <c r="J3213" s="25">
        <f t="shared" si="2"/>
        <v>375.22</v>
      </c>
      <c r="K3213" s="27">
        <f t="shared" si="3"/>
        <v>1</v>
      </c>
      <c r="L3213" s="25">
        <f t="shared" si="4"/>
        <v>1</v>
      </c>
    </row>
    <row r="3214">
      <c r="A3214" s="19">
        <v>47051.0</v>
      </c>
      <c r="B3214" s="20" t="str">
        <f t="array" ref="B3214">xlookup($A3214,product!$A:$A,product!B:B)</f>
        <v>Epicerie sucrée</v>
      </c>
      <c r="C3214" s="20" t="str">
        <f t="array" ref="C3214">xlookup($A3214,product!$A:$A,product!C:C)</f>
        <v>Biscuits, Gâteaux</v>
      </c>
      <c r="D3214" s="20" t="str">
        <f t="array" ref="D3214">xlookup($A3214,product!$A:$A,product!D:D)</f>
        <v>Biscuit au chocolat</v>
      </c>
      <c r="E3214" s="4" t="str">
        <f t="shared" si="1"/>
        <v>47051-Biscuits, Gâteaux-Biscuit au chocolat</v>
      </c>
      <c r="F3214" s="4">
        <v>1.0</v>
      </c>
      <c r="G3214" s="4">
        <v>78.0</v>
      </c>
      <c r="H3214" s="4">
        <v>37.0</v>
      </c>
      <c r="I3214" s="21">
        <f t="array" ref="I3214">XLOOKUP($A3214,product!A:A,product!E:E)</f>
        <v>1.83</v>
      </c>
      <c r="J3214" s="4">
        <f t="shared" si="2"/>
        <v>67.71</v>
      </c>
      <c r="K3214" s="22">
        <f t="shared" si="3"/>
        <v>1</v>
      </c>
      <c r="L3214" s="4">
        <f t="shared" si="4"/>
        <v>1</v>
      </c>
    </row>
    <row r="3215">
      <c r="A3215" s="23">
        <v>103171.0</v>
      </c>
      <c r="B3215" s="24" t="str">
        <f t="array" ref="B3215">xlookup($A3215,product!$A:$A,product!B:B)</f>
        <v>Epicerie sucrée</v>
      </c>
      <c r="C3215" s="24" t="str">
        <f t="array" ref="C3215">xlookup($A3215,product!$A:$A,product!C:C)</f>
        <v>Biscuits, Gâteaux</v>
      </c>
      <c r="D3215" s="24" t="str">
        <f t="array" ref="D3215">xlookup($A3215,product!$A:$A,product!D:D)</f>
        <v>Biscuit au chocolat</v>
      </c>
      <c r="E3215" s="25" t="str">
        <f t="shared" si="1"/>
        <v>103171-Biscuits, Gâteaux-Biscuit au chocolat</v>
      </c>
      <c r="F3215" s="25">
        <v>0.0</v>
      </c>
      <c r="G3215" s="25">
        <v>81.0</v>
      </c>
      <c r="H3215" s="25">
        <v>79.0</v>
      </c>
      <c r="I3215" s="26">
        <f t="array" ref="I3215">XLOOKUP($A3215,product!A:A,product!E:E)</f>
        <v>1.9</v>
      </c>
      <c r="J3215" s="25">
        <f t="shared" si="2"/>
        <v>150.1</v>
      </c>
      <c r="K3215" s="27">
        <f t="shared" si="3"/>
        <v>1</v>
      </c>
      <c r="L3215" s="25">
        <f t="shared" si="4"/>
        <v>1</v>
      </c>
    </row>
    <row r="3216">
      <c r="A3216" s="19">
        <v>47049.0</v>
      </c>
      <c r="B3216" s="20" t="str">
        <f t="array" ref="B3216">xlookup($A3216,product!$A:$A,product!B:B)</f>
        <v>Epicerie sucrée</v>
      </c>
      <c r="C3216" s="20" t="str">
        <f t="array" ref="C3216">xlookup($A3216,product!$A:$A,product!C:C)</f>
        <v>Biscuits, Gâteaux</v>
      </c>
      <c r="D3216" s="20" t="str">
        <f t="array" ref="D3216">xlookup($A3216,product!$A:$A,product!D:D)</f>
        <v>Biscuit au chocolat</v>
      </c>
      <c r="E3216" s="4" t="str">
        <f t="shared" si="1"/>
        <v>47049-Biscuits, Gâteaux-Biscuit au chocolat</v>
      </c>
      <c r="F3216" s="4">
        <v>1.0</v>
      </c>
      <c r="G3216" s="4">
        <v>377.0</v>
      </c>
      <c r="H3216" s="4">
        <v>57.0</v>
      </c>
      <c r="I3216" s="21">
        <f t="array" ref="I3216">XLOOKUP($A3216,product!A:A,product!E:E)</f>
        <v>1.83</v>
      </c>
      <c r="J3216" s="4">
        <f t="shared" si="2"/>
        <v>104.31</v>
      </c>
      <c r="K3216" s="22">
        <f t="shared" si="3"/>
        <v>1</v>
      </c>
      <c r="L3216" s="4">
        <f t="shared" si="4"/>
        <v>1</v>
      </c>
    </row>
    <row r="3217">
      <c r="A3217" s="23">
        <v>47351.0</v>
      </c>
      <c r="B3217" s="24" t="str">
        <f t="array" ref="B3217">xlookup($A3217,product!$A:$A,product!B:B)</f>
        <v>Epicerie sucrée</v>
      </c>
      <c r="C3217" s="24" t="str">
        <f t="array" ref="C3217">xlookup($A3217,product!$A:$A,product!C:C)</f>
        <v>Biscuits, Gâteaux</v>
      </c>
      <c r="D3217" s="24" t="str">
        <f t="array" ref="D3217">xlookup($A3217,product!$A:$A,product!D:D)</f>
        <v>Biscuit au chocolat</v>
      </c>
      <c r="E3217" s="25" t="str">
        <f t="shared" si="1"/>
        <v>47351-Biscuits, Gâteaux-Biscuit au chocolat</v>
      </c>
      <c r="F3217" s="25">
        <v>0.0</v>
      </c>
      <c r="G3217" s="25">
        <v>944.0</v>
      </c>
      <c r="H3217" s="25">
        <v>527.0</v>
      </c>
      <c r="I3217" s="26">
        <f t="array" ref="I3217">XLOOKUP($A3217,product!A:A,product!E:E)</f>
        <v>1.58</v>
      </c>
      <c r="J3217" s="25">
        <f t="shared" si="2"/>
        <v>832.66</v>
      </c>
      <c r="K3217" s="27">
        <f t="shared" si="3"/>
        <v>1</v>
      </c>
      <c r="L3217" s="25">
        <f t="shared" si="4"/>
        <v>1</v>
      </c>
    </row>
    <row r="3218">
      <c r="A3218" s="19">
        <v>47575.0</v>
      </c>
      <c r="B3218" s="20" t="str">
        <f t="array" ref="B3218">xlookup($A3218,product!$A:$A,product!B:B)</f>
        <v>Epicerie sucrée</v>
      </c>
      <c r="C3218" s="20" t="str">
        <f t="array" ref="C3218">xlookup($A3218,product!$A:$A,product!C:C)</f>
        <v>Biscuits, Gâteaux</v>
      </c>
      <c r="D3218" s="20" t="str">
        <f t="array" ref="D3218">xlookup($A3218,product!$A:$A,product!D:D)</f>
        <v>Biscuit au chocolat</v>
      </c>
      <c r="E3218" s="4" t="str">
        <f t="shared" si="1"/>
        <v>47575-Biscuits, Gâteaux-Biscuit au chocolat</v>
      </c>
      <c r="F3218" s="4">
        <v>0.0</v>
      </c>
      <c r="G3218" s="4">
        <v>371.0</v>
      </c>
      <c r="H3218" s="4">
        <v>103.0</v>
      </c>
      <c r="I3218" s="21">
        <f t="array" ref="I3218">XLOOKUP($A3218,product!A:A,product!E:E)</f>
        <v>2.51</v>
      </c>
      <c r="J3218" s="4">
        <f t="shared" si="2"/>
        <v>258.53</v>
      </c>
      <c r="K3218" s="22">
        <f t="shared" si="3"/>
        <v>1</v>
      </c>
      <c r="L3218" s="4">
        <f t="shared" si="4"/>
        <v>1</v>
      </c>
    </row>
    <row r="3219">
      <c r="A3219" s="23">
        <v>80088.0</v>
      </c>
      <c r="B3219" s="24" t="str">
        <f t="array" ref="B3219">xlookup($A3219,product!$A:$A,product!B:B)</f>
        <v>Epicerie sucrée</v>
      </c>
      <c r="C3219" s="24" t="str">
        <f t="array" ref="C3219">xlookup($A3219,product!$A:$A,product!C:C)</f>
        <v>Biscuits, Gâteaux</v>
      </c>
      <c r="D3219" s="24" t="str">
        <f t="array" ref="D3219">xlookup($A3219,product!$A:$A,product!D:D)</f>
        <v>Biscuit au chocolat</v>
      </c>
      <c r="E3219" s="25" t="str">
        <f t="shared" si="1"/>
        <v>80088-Biscuits, Gâteaux-Biscuit au chocolat</v>
      </c>
      <c r="F3219" s="25">
        <v>1.0</v>
      </c>
      <c r="G3219" s="25">
        <v>323.0</v>
      </c>
      <c r="H3219" s="25">
        <v>23.0</v>
      </c>
      <c r="I3219" s="26">
        <f t="array" ref="I3219">XLOOKUP($A3219,product!A:A,product!E:E)</f>
        <v>2.37</v>
      </c>
      <c r="J3219" s="25">
        <f t="shared" si="2"/>
        <v>54.51</v>
      </c>
      <c r="K3219" s="27">
        <f t="shared" si="3"/>
        <v>1</v>
      </c>
      <c r="L3219" s="25">
        <f t="shared" si="4"/>
        <v>1</v>
      </c>
    </row>
    <row r="3220">
      <c r="A3220" s="19">
        <v>47298.0</v>
      </c>
      <c r="B3220" s="20" t="str">
        <f t="array" ref="B3220">xlookup($A3220,product!$A:$A,product!B:B)</f>
        <v>Epicerie sucrée</v>
      </c>
      <c r="C3220" s="20" t="str">
        <f t="array" ref="C3220">xlookup($A3220,product!$A:$A,product!C:C)</f>
        <v>Biscuits, Gâteaux</v>
      </c>
      <c r="D3220" s="20" t="str">
        <f t="array" ref="D3220">xlookup($A3220,product!$A:$A,product!D:D)</f>
        <v>Biscuit au chocolat</v>
      </c>
      <c r="E3220" s="4" t="str">
        <f t="shared" si="1"/>
        <v>47298-Biscuits, Gâteaux-Biscuit au chocolat</v>
      </c>
      <c r="F3220" s="4">
        <v>0.0</v>
      </c>
      <c r="G3220" s="4">
        <v>396.0</v>
      </c>
      <c r="H3220" s="4">
        <v>373.0</v>
      </c>
      <c r="I3220" s="21">
        <f t="array" ref="I3220">XLOOKUP($A3220,product!A:A,product!E:E)</f>
        <v>1.84</v>
      </c>
      <c r="J3220" s="4">
        <f t="shared" si="2"/>
        <v>686.32</v>
      </c>
      <c r="K3220" s="22">
        <f t="shared" si="3"/>
        <v>1</v>
      </c>
      <c r="L3220" s="4">
        <f t="shared" si="4"/>
        <v>1</v>
      </c>
    </row>
    <row r="3221">
      <c r="A3221" s="23">
        <v>100271.0</v>
      </c>
      <c r="B3221" s="24" t="str">
        <f t="array" ref="B3221">xlookup($A3221,product!$A:$A,product!B:B)</f>
        <v>Epicerie sucrée</v>
      </c>
      <c r="C3221" s="24" t="str">
        <f t="array" ref="C3221">xlookup($A3221,product!$A:$A,product!C:C)</f>
        <v>Biscuits, Gâteaux</v>
      </c>
      <c r="D3221" s="24" t="str">
        <f t="array" ref="D3221">xlookup($A3221,product!$A:$A,product!D:D)</f>
        <v>Biscuit au chocolat</v>
      </c>
      <c r="E3221" s="25" t="str">
        <f t="shared" si="1"/>
        <v>100271-Biscuits, Gâteaux-Biscuit au chocolat</v>
      </c>
      <c r="F3221" s="25">
        <v>0.0</v>
      </c>
      <c r="G3221" s="25">
        <v>564.0</v>
      </c>
      <c r="H3221" s="25">
        <v>180.0</v>
      </c>
      <c r="I3221" s="26">
        <f t="array" ref="I3221">XLOOKUP($A3221,product!A:A,product!E:E)</f>
        <v>1.62</v>
      </c>
      <c r="J3221" s="25">
        <f t="shared" si="2"/>
        <v>291.6</v>
      </c>
      <c r="K3221" s="27">
        <f t="shared" si="3"/>
        <v>1</v>
      </c>
      <c r="L3221" s="25">
        <f t="shared" si="4"/>
        <v>1</v>
      </c>
    </row>
    <row r="3222">
      <c r="A3222" s="19">
        <v>47621.0</v>
      </c>
      <c r="B3222" s="20" t="str">
        <f t="array" ref="B3222">xlookup($A3222,product!$A:$A,product!B:B)</f>
        <v>Epicerie sucrée</v>
      </c>
      <c r="C3222" s="20" t="str">
        <f t="array" ref="C3222">xlookup($A3222,product!$A:$A,product!C:C)</f>
        <v>Biscuits, Gâteaux</v>
      </c>
      <c r="D3222" s="20" t="str">
        <f t="array" ref="D3222">xlookup($A3222,product!$A:$A,product!D:D)</f>
        <v>Biscuit au chocolat</v>
      </c>
      <c r="E3222" s="4" t="str">
        <f t="shared" si="1"/>
        <v>47621-Biscuits, Gâteaux-Biscuit au chocolat</v>
      </c>
      <c r="F3222" s="4">
        <v>0.0</v>
      </c>
      <c r="G3222" s="4">
        <v>795.0</v>
      </c>
      <c r="H3222" s="4">
        <v>779.0</v>
      </c>
      <c r="I3222" s="21">
        <f t="array" ref="I3222">XLOOKUP($A3222,product!A:A,product!E:E)</f>
        <v>1.84</v>
      </c>
      <c r="J3222" s="4">
        <f t="shared" si="2"/>
        <v>1433.36</v>
      </c>
      <c r="K3222" s="22">
        <f t="shared" si="3"/>
        <v>1</v>
      </c>
      <c r="L3222" s="4">
        <f t="shared" si="4"/>
        <v>1</v>
      </c>
    </row>
    <row r="3223">
      <c r="A3223" s="23">
        <v>117609.0</v>
      </c>
      <c r="B3223" s="24" t="str">
        <f t="array" ref="B3223">xlookup($A3223,product!$A:$A,product!B:B)</f>
        <v>Epicerie sucrée</v>
      </c>
      <c r="C3223" s="24" t="str">
        <f t="array" ref="C3223">xlookup($A3223,product!$A:$A,product!C:C)</f>
        <v>Biscuits, Gâteaux</v>
      </c>
      <c r="D3223" s="24" t="str">
        <f t="array" ref="D3223">xlookup($A3223,product!$A:$A,product!D:D)</f>
        <v>Biscuit au chocolat</v>
      </c>
      <c r="E3223" s="25" t="str">
        <f t="shared" si="1"/>
        <v>117609-Biscuits, Gâteaux-Biscuit au chocolat</v>
      </c>
      <c r="F3223" s="25">
        <v>0.0</v>
      </c>
      <c r="G3223" s="25">
        <v>799.0</v>
      </c>
      <c r="H3223" s="25">
        <v>261.0</v>
      </c>
      <c r="I3223" s="26">
        <f t="array" ref="I3223">XLOOKUP($A3223,product!A:A,product!E:E)</f>
        <v>1.85</v>
      </c>
      <c r="J3223" s="25">
        <f t="shared" si="2"/>
        <v>482.85</v>
      </c>
      <c r="K3223" s="27">
        <f t="shared" si="3"/>
        <v>1</v>
      </c>
      <c r="L3223" s="25">
        <f t="shared" si="4"/>
        <v>1</v>
      </c>
    </row>
    <row r="3224">
      <c r="A3224" s="19">
        <v>103873.0</v>
      </c>
      <c r="B3224" s="20" t="str">
        <f t="array" ref="B3224">xlookup($A3224,product!$A:$A,product!B:B)</f>
        <v>Epicerie sucrée</v>
      </c>
      <c r="C3224" s="20" t="str">
        <f t="array" ref="C3224">xlookup($A3224,product!$A:$A,product!C:C)</f>
        <v>Biscuits, Gâteaux</v>
      </c>
      <c r="D3224" s="20" t="str">
        <f t="array" ref="D3224">xlookup($A3224,product!$A:$A,product!D:D)</f>
        <v>Biscuit au chocolat</v>
      </c>
      <c r="E3224" s="4" t="str">
        <f t="shared" si="1"/>
        <v>103873-Biscuits, Gâteaux-Biscuit au chocolat</v>
      </c>
      <c r="F3224" s="4">
        <v>1.0</v>
      </c>
      <c r="G3224" s="4">
        <v>504.0</v>
      </c>
      <c r="H3224" s="4">
        <v>155.0</v>
      </c>
      <c r="I3224" s="21">
        <f t="array" ref="I3224">XLOOKUP($A3224,product!A:A,product!E:E)</f>
        <v>1.83</v>
      </c>
      <c r="J3224" s="4">
        <f t="shared" si="2"/>
        <v>283.65</v>
      </c>
      <c r="K3224" s="22">
        <f t="shared" si="3"/>
        <v>1</v>
      </c>
      <c r="L3224" s="4">
        <f t="shared" si="4"/>
        <v>1</v>
      </c>
    </row>
    <row r="3225">
      <c r="A3225" s="23">
        <v>14026.0</v>
      </c>
      <c r="B3225" s="24" t="str">
        <f t="array" ref="B3225">xlookup($A3225,product!$A:$A,product!B:B)</f>
        <v>Epicerie sucrée</v>
      </c>
      <c r="C3225" s="24" t="str">
        <f t="array" ref="C3225">xlookup($A3225,product!$A:$A,product!C:C)</f>
        <v>Biscuits, Gâteaux</v>
      </c>
      <c r="D3225" s="24" t="str">
        <f t="array" ref="D3225">xlookup($A3225,product!$A:$A,product!D:D)</f>
        <v>Biscuit au chocolat</v>
      </c>
      <c r="E3225" s="25" t="str">
        <f t="shared" si="1"/>
        <v>14026-Biscuits, Gâteaux-Biscuit au chocolat</v>
      </c>
      <c r="F3225" s="25">
        <v>1.0</v>
      </c>
      <c r="G3225" s="25">
        <v>201.0</v>
      </c>
      <c r="H3225" s="25">
        <v>55.0</v>
      </c>
      <c r="I3225" s="26">
        <f t="array" ref="I3225">XLOOKUP($A3225,product!A:A,product!E:E)</f>
        <v>1.88</v>
      </c>
      <c r="J3225" s="25">
        <f t="shared" si="2"/>
        <v>103.4</v>
      </c>
      <c r="K3225" s="27">
        <f t="shared" si="3"/>
        <v>1</v>
      </c>
      <c r="L3225" s="25">
        <f t="shared" si="4"/>
        <v>1</v>
      </c>
    </row>
    <row r="3226">
      <c r="A3226" s="19">
        <v>95951.0</v>
      </c>
      <c r="B3226" s="20" t="str">
        <f t="array" ref="B3226">xlookup($A3226,product!$A:$A,product!B:B)</f>
        <v>Epicerie sucrée</v>
      </c>
      <c r="C3226" s="20" t="str">
        <f t="array" ref="C3226">xlookup($A3226,product!$A:$A,product!C:C)</f>
        <v>Biscuits, Gâteaux</v>
      </c>
      <c r="D3226" s="20" t="str">
        <f t="array" ref="D3226">xlookup($A3226,product!$A:$A,product!D:D)</f>
        <v>Biscuit au chocolat</v>
      </c>
      <c r="E3226" s="4" t="str">
        <f t="shared" si="1"/>
        <v>95951-Biscuits, Gâteaux-Biscuit au chocolat</v>
      </c>
      <c r="F3226" s="4">
        <v>0.0</v>
      </c>
      <c r="G3226" s="4">
        <v>54.0</v>
      </c>
      <c r="H3226" s="4">
        <v>48.0</v>
      </c>
      <c r="I3226" s="21">
        <f t="array" ref="I3226">XLOOKUP($A3226,product!A:A,product!E:E)</f>
        <v>0.65</v>
      </c>
      <c r="J3226" s="4">
        <f t="shared" si="2"/>
        <v>31.2</v>
      </c>
      <c r="K3226" s="22">
        <f t="shared" si="3"/>
        <v>1</v>
      </c>
      <c r="L3226" s="4">
        <f t="shared" si="4"/>
        <v>1</v>
      </c>
    </row>
    <row r="3227">
      <c r="A3227" s="23">
        <v>9162.0</v>
      </c>
      <c r="B3227" s="24" t="str">
        <f t="array" ref="B3227">xlookup($A3227,product!$A:$A,product!B:B)</f>
        <v>Epicerie sucrée</v>
      </c>
      <c r="C3227" s="24" t="str">
        <f t="array" ref="C3227">xlookup($A3227,product!$A:$A,product!C:C)</f>
        <v>Biscuits, Gâteaux</v>
      </c>
      <c r="D3227" s="24" t="str">
        <f t="array" ref="D3227">xlookup($A3227,product!$A:$A,product!D:D)</f>
        <v>Biscuit au chocolat</v>
      </c>
      <c r="E3227" s="25" t="str">
        <f t="shared" si="1"/>
        <v>9162-Biscuits, Gâteaux-Biscuit au chocolat</v>
      </c>
      <c r="F3227" s="25">
        <v>0.0</v>
      </c>
      <c r="G3227" s="25">
        <v>480.0</v>
      </c>
      <c r="H3227" s="25">
        <v>227.0</v>
      </c>
      <c r="I3227" s="26">
        <f t="array" ref="I3227">XLOOKUP($A3227,product!A:A,product!E:E)</f>
        <v>1.42</v>
      </c>
      <c r="J3227" s="25">
        <f t="shared" si="2"/>
        <v>322.34</v>
      </c>
      <c r="K3227" s="27">
        <f t="shared" si="3"/>
        <v>1</v>
      </c>
      <c r="L3227" s="25">
        <f t="shared" si="4"/>
        <v>1</v>
      </c>
    </row>
    <row r="3228">
      <c r="A3228" s="19">
        <v>80089.0</v>
      </c>
      <c r="B3228" s="20" t="str">
        <f t="array" ref="B3228">xlookup($A3228,product!$A:$A,product!B:B)</f>
        <v>Epicerie sucrée</v>
      </c>
      <c r="C3228" s="20" t="str">
        <f t="array" ref="C3228">xlookup($A3228,product!$A:$A,product!C:C)</f>
        <v>Biscuits, Gâteaux</v>
      </c>
      <c r="D3228" s="20" t="str">
        <f t="array" ref="D3228">xlookup($A3228,product!$A:$A,product!D:D)</f>
        <v>Biscuit au chocolat</v>
      </c>
      <c r="E3228" s="4" t="str">
        <f t="shared" si="1"/>
        <v>80089-Biscuits, Gâteaux-Biscuit au chocolat</v>
      </c>
      <c r="F3228" s="4">
        <v>0.0</v>
      </c>
      <c r="G3228" s="4">
        <v>889.0</v>
      </c>
      <c r="H3228" s="4">
        <v>616.0</v>
      </c>
      <c r="I3228" s="21">
        <f t="array" ref="I3228">XLOOKUP($A3228,product!A:A,product!E:E)</f>
        <v>2.27</v>
      </c>
      <c r="J3228" s="4">
        <f t="shared" si="2"/>
        <v>1398.32</v>
      </c>
      <c r="K3228" s="22">
        <f t="shared" si="3"/>
        <v>1</v>
      </c>
      <c r="L3228" s="4">
        <f t="shared" si="4"/>
        <v>1</v>
      </c>
    </row>
    <row r="3229">
      <c r="A3229" s="23">
        <v>122521.0</v>
      </c>
      <c r="B3229" s="24" t="str">
        <f t="array" ref="B3229">xlookup($A3229,product!$A:$A,product!B:B)</f>
        <v>Epicerie sucrée</v>
      </c>
      <c r="C3229" s="24" t="str">
        <f t="array" ref="C3229">xlookup($A3229,product!$A:$A,product!C:C)</f>
        <v>Biscuits, Gâteaux</v>
      </c>
      <c r="D3229" s="24" t="str">
        <f t="array" ref="D3229">xlookup($A3229,product!$A:$A,product!D:D)</f>
        <v>Biscuit au chocolat</v>
      </c>
      <c r="E3229" s="25" t="str">
        <f t="shared" si="1"/>
        <v>122521-Biscuits, Gâteaux-Biscuit au chocolat</v>
      </c>
      <c r="F3229" s="25">
        <v>1.0</v>
      </c>
      <c r="G3229" s="25">
        <v>893.0</v>
      </c>
      <c r="H3229" s="25">
        <v>772.0</v>
      </c>
      <c r="I3229" s="26">
        <f t="array" ref="I3229">XLOOKUP($A3229,product!A:A,product!E:E)</f>
        <v>1.17</v>
      </c>
      <c r="J3229" s="25">
        <f t="shared" si="2"/>
        <v>903.24</v>
      </c>
      <c r="K3229" s="27">
        <f t="shared" si="3"/>
        <v>1</v>
      </c>
      <c r="L3229" s="25">
        <f t="shared" si="4"/>
        <v>1</v>
      </c>
    </row>
    <row r="3230">
      <c r="A3230" s="19">
        <v>69300.0</v>
      </c>
      <c r="B3230" s="20" t="str">
        <f t="array" ref="B3230">xlookup($A3230,product!$A:$A,product!B:B)</f>
        <v>Epicerie sucrée</v>
      </c>
      <c r="C3230" s="20" t="str">
        <f t="array" ref="C3230">xlookup($A3230,product!$A:$A,product!C:C)</f>
        <v>Biscuits, Gâteaux</v>
      </c>
      <c r="D3230" s="20" t="str">
        <f t="array" ref="D3230">xlookup($A3230,product!$A:$A,product!D:D)</f>
        <v>Biscuit au chocolat</v>
      </c>
      <c r="E3230" s="4" t="str">
        <f t="shared" si="1"/>
        <v>69300-Biscuits, Gâteaux-Biscuit au chocolat</v>
      </c>
      <c r="F3230" s="4">
        <v>1.0</v>
      </c>
      <c r="G3230" s="4">
        <v>341.0</v>
      </c>
      <c r="H3230" s="4">
        <v>196.0</v>
      </c>
      <c r="I3230" s="21">
        <f t="array" ref="I3230">XLOOKUP($A3230,product!A:A,product!E:E)</f>
        <v>2.25</v>
      </c>
      <c r="J3230" s="4">
        <f t="shared" si="2"/>
        <v>441</v>
      </c>
      <c r="K3230" s="22">
        <f t="shared" si="3"/>
        <v>1</v>
      </c>
      <c r="L3230" s="4">
        <f t="shared" si="4"/>
        <v>1</v>
      </c>
    </row>
    <row r="3231">
      <c r="A3231" s="23">
        <v>80417.0</v>
      </c>
      <c r="B3231" s="24" t="str">
        <f t="array" ref="B3231">xlookup($A3231,product!$A:$A,product!B:B)</f>
        <v>Epicerie sucrée</v>
      </c>
      <c r="C3231" s="24" t="str">
        <f t="array" ref="C3231">xlookup($A3231,product!$A:$A,product!C:C)</f>
        <v>Biscuits, Gâteaux</v>
      </c>
      <c r="D3231" s="24" t="str">
        <f t="array" ref="D3231">xlookup($A3231,product!$A:$A,product!D:D)</f>
        <v>Biscuit au chocolat</v>
      </c>
      <c r="E3231" s="25" t="str">
        <f t="shared" si="1"/>
        <v>80417-Biscuits, Gâteaux-Biscuit au chocolat</v>
      </c>
      <c r="F3231" s="25">
        <v>0.0</v>
      </c>
      <c r="G3231" s="25">
        <v>394.0</v>
      </c>
      <c r="H3231" s="25">
        <v>142.0</v>
      </c>
      <c r="I3231" s="26">
        <f t="array" ref="I3231">XLOOKUP($A3231,product!A:A,product!E:E)</f>
        <v>2.09</v>
      </c>
      <c r="J3231" s="25">
        <f t="shared" si="2"/>
        <v>296.78</v>
      </c>
      <c r="K3231" s="27">
        <f t="shared" si="3"/>
        <v>1</v>
      </c>
      <c r="L3231" s="25">
        <f t="shared" si="4"/>
        <v>1</v>
      </c>
    </row>
    <row r="3232">
      <c r="A3232" s="19">
        <v>128323.0</v>
      </c>
      <c r="B3232" s="20" t="str">
        <f t="array" ref="B3232">xlookup($A3232,product!$A:$A,product!B:B)</f>
        <v>Epicerie sucrée</v>
      </c>
      <c r="C3232" s="20" t="str">
        <f t="array" ref="C3232">xlookup($A3232,product!$A:$A,product!C:C)</f>
        <v>Biscuits, Gâteaux</v>
      </c>
      <c r="D3232" s="20" t="str">
        <f t="array" ref="D3232">xlookup($A3232,product!$A:$A,product!D:D)</f>
        <v>Biscuit au chocolat</v>
      </c>
      <c r="E3232" s="4" t="str">
        <f t="shared" si="1"/>
        <v>128323-Biscuits, Gâteaux-Biscuit au chocolat</v>
      </c>
      <c r="F3232" s="4">
        <v>0.0</v>
      </c>
      <c r="G3232" s="4">
        <v>863.0</v>
      </c>
      <c r="H3232" s="4">
        <v>54.0</v>
      </c>
      <c r="I3232" s="21">
        <f t="array" ref="I3232">XLOOKUP($A3232,product!A:A,product!E:E)</f>
        <v>1.66</v>
      </c>
      <c r="J3232" s="4">
        <f t="shared" si="2"/>
        <v>89.64</v>
      </c>
      <c r="K3232" s="22">
        <f t="shared" si="3"/>
        <v>1</v>
      </c>
      <c r="L3232" s="4">
        <f t="shared" si="4"/>
        <v>1</v>
      </c>
    </row>
    <row r="3233">
      <c r="A3233" s="23">
        <v>80091.0</v>
      </c>
      <c r="B3233" s="24" t="str">
        <f t="array" ref="B3233">xlookup($A3233,product!$A:$A,product!B:B)</f>
        <v>Epicerie sucrée</v>
      </c>
      <c r="C3233" s="24" t="str">
        <f t="array" ref="C3233">xlookup($A3233,product!$A:$A,product!C:C)</f>
        <v>Biscuits, Gâteaux</v>
      </c>
      <c r="D3233" s="24" t="str">
        <f t="array" ref="D3233">xlookup($A3233,product!$A:$A,product!D:D)</f>
        <v>Biscuit au chocolat</v>
      </c>
      <c r="E3233" s="25" t="str">
        <f t="shared" si="1"/>
        <v>80091-Biscuits, Gâteaux-Biscuit au chocolat</v>
      </c>
      <c r="F3233" s="25">
        <v>1.0</v>
      </c>
      <c r="G3233" s="25">
        <v>370.0</v>
      </c>
      <c r="H3233" s="25">
        <v>181.0</v>
      </c>
      <c r="I3233" s="26">
        <f t="array" ref="I3233">XLOOKUP($A3233,product!A:A,product!E:E)</f>
        <v>1.32</v>
      </c>
      <c r="J3233" s="25">
        <f t="shared" si="2"/>
        <v>238.92</v>
      </c>
      <c r="K3233" s="27">
        <f t="shared" si="3"/>
        <v>1</v>
      </c>
      <c r="L3233" s="25">
        <f t="shared" si="4"/>
        <v>1</v>
      </c>
    </row>
    <row r="3234">
      <c r="A3234" s="19">
        <v>92927.0</v>
      </c>
      <c r="B3234" s="20" t="str">
        <f t="array" ref="B3234">xlookup($A3234,product!$A:$A,product!B:B)</f>
        <v>Epicerie sucrée</v>
      </c>
      <c r="C3234" s="20" t="str">
        <f t="array" ref="C3234">xlookup($A3234,product!$A:$A,product!C:C)</f>
        <v>Biscuits, Gâteaux</v>
      </c>
      <c r="D3234" s="20" t="str">
        <f t="array" ref="D3234">xlookup($A3234,product!$A:$A,product!D:D)</f>
        <v>Biscuit au chocolat</v>
      </c>
      <c r="E3234" s="4" t="str">
        <f t="shared" si="1"/>
        <v>92927-Biscuits, Gâteaux-Biscuit au chocolat</v>
      </c>
      <c r="F3234" s="4">
        <v>0.0</v>
      </c>
      <c r="G3234" s="4">
        <v>164.0</v>
      </c>
      <c r="H3234" s="4">
        <v>96.0</v>
      </c>
      <c r="I3234" s="21">
        <f t="array" ref="I3234">XLOOKUP($A3234,product!A:A,product!E:E)</f>
        <v>1.44</v>
      </c>
      <c r="J3234" s="4">
        <f t="shared" si="2"/>
        <v>138.24</v>
      </c>
      <c r="K3234" s="22">
        <f t="shared" si="3"/>
        <v>1</v>
      </c>
      <c r="L3234" s="4">
        <f t="shared" si="4"/>
        <v>1</v>
      </c>
    </row>
    <row r="3235">
      <c r="A3235" s="23">
        <v>9158.0</v>
      </c>
      <c r="B3235" s="24" t="str">
        <f t="array" ref="B3235">xlookup($A3235,product!$A:$A,product!B:B)</f>
        <v>Epicerie sucrée</v>
      </c>
      <c r="C3235" s="24" t="str">
        <f t="array" ref="C3235">xlookup($A3235,product!$A:$A,product!C:C)</f>
        <v>Biscuits, Gâteaux</v>
      </c>
      <c r="D3235" s="24" t="str">
        <f t="array" ref="D3235">xlookup($A3235,product!$A:$A,product!D:D)</f>
        <v>Biscuit au chocolat</v>
      </c>
      <c r="E3235" s="25" t="str">
        <f t="shared" si="1"/>
        <v>9158-Biscuits, Gâteaux-Biscuit au chocolat</v>
      </c>
      <c r="F3235" s="25">
        <v>1.0</v>
      </c>
      <c r="G3235" s="25">
        <v>567.0</v>
      </c>
      <c r="H3235" s="25">
        <v>187.0</v>
      </c>
      <c r="I3235" s="26">
        <f t="array" ref="I3235">XLOOKUP($A3235,product!A:A,product!E:E)</f>
        <v>1.61</v>
      </c>
      <c r="J3235" s="25">
        <f t="shared" si="2"/>
        <v>301.07</v>
      </c>
      <c r="K3235" s="27">
        <f t="shared" si="3"/>
        <v>1</v>
      </c>
      <c r="L3235" s="25">
        <f t="shared" si="4"/>
        <v>1</v>
      </c>
    </row>
    <row r="3236">
      <c r="A3236" s="19">
        <v>103872.0</v>
      </c>
      <c r="B3236" s="20" t="str">
        <f t="array" ref="B3236">xlookup($A3236,product!$A:$A,product!B:B)</f>
        <v>Epicerie sucrée</v>
      </c>
      <c r="C3236" s="20" t="str">
        <f t="array" ref="C3236">xlookup($A3236,product!$A:$A,product!C:C)</f>
        <v>Biscuits, Gâteaux</v>
      </c>
      <c r="D3236" s="20" t="str">
        <f t="array" ref="D3236">xlookup($A3236,product!$A:$A,product!D:D)</f>
        <v>Biscuit au chocolat</v>
      </c>
      <c r="E3236" s="4" t="str">
        <f t="shared" si="1"/>
        <v>103872-Biscuits, Gâteaux-Biscuit au chocolat</v>
      </c>
      <c r="F3236" s="4">
        <v>1.0</v>
      </c>
      <c r="G3236" s="4">
        <v>890.0</v>
      </c>
      <c r="H3236" s="4">
        <v>713.0</v>
      </c>
      <c r="I3236" s="21">
        <f t="array" ref="I3236">XLOOKUP($A3236,product!A:A,product!E:E)</f>
        <v>1.83</v>
      </c>
      <c r="J3236" s="4">
        <f t="shared" si="2"/>
        <v>1304.79</v>
      </c>
      <c r="K3236" s="22">
        <f t="shared" si="3"/>
        <v>1</v>
      </c>
      <c r="L3236" s="4">
        <f t="shared" si="4"/>
        <v>1</v>
      </c>
    </row>
    <row r="3237">
      <c r="A3237" s="23">
        <v>116809.0</v>
      </c>
      <c r="B3237" s="24" t="str">
        <f t="array" ref="B3237">xlookup($A3237,product!$A:$A,product!B:B)</f>
        <v>Epicerie sucrée</v>
      </c>
      <c r="C3237" s="24" t="str">
        <f t="array" ref="C3237">xlookup($A3237,product!$A:$A,product!C:C)</f>
        <v>Biscuits, Gâteaux</v>
      </c>
      <c r="D3237" s="24" t="str">
        <f t="array" ref="D3237">xlookup($A3237,product!$A:$A,product!D:D)</f>
        <v>Biscuit au chocolat</v>
      </c>
      <c r="E3237" s="25" t="str">
        <f t="shared" si="1"/>
        <v>116809-Biscuits, Gâteaux-Biscuit au chocolat</v>
      </c>
      <c r="F3237" s="25">
        <v>0.0</v>
      </c>
      <c r="G3237" s="25">
        <v>60.0</v>
      </c>
      <c r="H3237" s="25">
        <v>26.0</v>
      </c>
      <c r="I3237" s="26">
        <f t="array" ref="I3237">XLOOKUP($A3237,product!A:A,product!E:E)</f>
        <v>1.42</v>
      </c>
      <c r="J3237" s="25">
        <f t="shared" si="2"/>
        <v>36.92</v>
      </c>
      <c r="K3237" s="27">
        <f t="shared" si="3"/>
        <v>1</v>
      </c>
      <c r="L3237" s="25">
        <f t="shared" si="4"/>
        <v>1</v>
      </c>
    </row>
    <row r="3238">
      <c r="A3238" s="19">
        <v>114655.0</v>
      </c>
      <c r="B3238" s="20" t="str">
        <f t="array" ref="B3238">xlookup($A3238,product!$A:$A,product!B:B)</f>
        <v>Epicerie sucrée</v>
      </c>
      <c r="C3238" s="20" t="str">
        <f t="array" ref="C3238">xlookup($A3238,product!$A:$A,product!C:C)</f>
        <v>Biscuits, Gâteaux</v>
      </c>
      <c r="D3238" s="20" t="str">
        <f t="array" ref="D3238">xlookup($A3238,product!$A:$A,product!D:D)</f>
        <v>Biscuit au chocolat</v>
      </c>
      <c r="E3238" s="4" t="str">
        <f t="shared" si="1"/>
        <v>114655-Biscuits, Gâteaux-Biscuit au chocolat</v>
      </c>
      <c r="F3238" s="4">
        <v>1.0</v>
      </c>
      <c r="G3238" s="4">
        <v>741.0</v>
      </c>
      <c r="H3238" s="4">
        <v>412.0</v>
      </c>
      <c r="I3238" s="21">
        <f t="array" ref="I3238">XLOOKUP($A3238,product!A:A,product!E:E)</f>
        <v>1.98</v>
      </c>
      <c r="J3238" s="4">
        <f t="shared" si="2"/>
        <v>815.76</v>
      </c>
      <c r="K3238" s="22">
        <f t="shared" si="3"/>
        <v>1</v>
      </c>
      <c r="L3238" s="4">
        <f t="shared" si="4"/>
        <v>1</v>
      </c>
    </row>
    <row r="3239">
      <c r="A3239" s="23">
        <v>80228.0</v>
      </c>
      <c r="B3239" s="24" t="str">
        <f t="array" ref="B3239">xlookup($A3239,product!$A:$A,product!B:B)</f>
        <v>Epicerie sucrée</v>
      </c>
      <c r="C3239" s="24" t="str">
        <f t="array" ref="C3239">xlookup($A3239,product!$A:$A,product!C:C)</f>
        <v>Biscuits, Gâteaux</v>
      </c>
      <c r="D3239" s="24" t="str">
        <f t="array" ref="D3239">xlookup($A3239,product!$A:$A,product!D:D)</f>
        <v>Biscuit au chocolat</v>
      </c>
      <c r="E3239" s="25" t="str">
        <f t="shared" si="1"/>
        <v>80228-Biscuits, Gâteaux-Biscuit au chocolat</v>
      </c>
      <c r="F3239" s="25">
        <v>0.0</v>
      </c>
      <c r="G3239" s="25">
        <v>452.0</v>
      </c>
      <c r="H3239" s="25">
        <v>94.0</v>
      </c>
      <c r="I3239" s="26">
        <f t="array" ref="I3239">XLOOKUP($A3239,product!A:A,product!E:E)</f>
        <v>2.43</v>
      </c>
      <c r="J3239" s="25">
        <f t="shared" si="2"/>
        <v>228.42</v>
      </c>
      <c r="K3239" s="27">
        <f t="shared" si="3"/>
        <v>1</v>
      </c>
      <c r="L3239" s="25">
        <f t="shared" si="4"/>
        <v>1</v>
      </c>
    </row>
    <row r="3240">
      <c r="A3240" s="19">
        <v>47207.0</v>
      </c>
      <c r="B3240" s="20" t="str">
        <f t="array" ref="B3240">xlookup($A3240,product!$A:$A,product!B:B)</f>
        <v>Epicerie sucrée</v>
      </c>
      <c r="C3240" s="20" t="str">
        <f t="array" ref="C3240">xlookup($A3240,product!$A:$A,product!C:C)</f>
        <v>Biscuits, Gâteaux</v>
      </c>
      <c r="D3240" s="20" t="str">
        <f t="array" ref="D3240">xlookup($A3240,product!$A:$A,product!D:D)</f>
        <v>Biscuit au chocolat</v>
      </c>
      <c r="E3240" s="4" t="str">
        <f t="shared" si="1"/>
        <v>47207-Biscuits, Gâteaux-Biscuit au chocolat</v>
      </c>
      <c r="F3240" s="4">
        <v>0.0</v>
      </c>
      <c r="G3240" s="4">
        <v>735.0</v>
      </c>
      <c r="H3240" s="4">
        <v>646.0</v>
      </c>
      <c r="I3240" s="21">
        <f t="array" ref="I3240">XLOOKUP($A3240,product!A:A,product!E:E)</f>
        <v>1.85</v>
      </c>
      <c r="J3240" s="4">
        <f t="shared" si="2"/>
        <v>1195.1</v>
      </c>
      <c r="K3240" s="22">
        <f t="shared" si="3"/>
        <v>1</v>
      </c>
      <c r="L3240" s="4">
        <f t="shared" si="4"/>
        <v>1</v>
      </c>
    </row>
    <row r="3241">
      <c r="A3241" s="23">
        <v>116402.0</v>
      </c>
      <c r="B3241" s="24" t="str">
        <f t="array" ref="B3241">xlookup($A3241,product!$A:$A,product!B:B)</f>
        <v>Epicerie sucrée</v>
      </c>
      <c r="C3241" s="24" t="str">
        <f t="array" ref="C3241">xlookup($A3241,product!$A:$A,product!C:C)</f>
        <v>Biscuits, Gâteaux</v>
      </c>
      <c r="D3241" s="24" t="str">
        <f t="array" ref="D3241">xlookup($A3241,product!$A:$A,product!D:D)</f>
        <v>Biscuit sans gluten</v>
      </c>
      <c r="E3241" s="25" t="str">
        <f t="shared" si="1"/>
        <v>116402-Biscuits, Gâteaux-Biscuit sans gluten</v>
      </c>
      <c r="F3241" s="25">
        <v>1.0</v>
      </c>
      <c r="G3241" s="25">
        <v>384.0</v>
      </c>
      <c r="H3241" s="25">
        <v>88.0</v>
      </c>
      <c r="I3241" s="26">
        <f t="array" ref="I3241">XLOOKUP($A3241,product!A:A,product!E:E)</f>
        <v>2.82</v>
      </c>
      <c r="J3241" s="25">
        <f t="shared" si="2"/>
        <v>248.16</v>
      </c>
      <c r="K3241" s="27">
        <f t="shared" si="3"/>
        <v>1</v>
      </c>
      <c r="L3241" s="25">
        <f t="shared" si="4"/>
        <v>1</v>
      </c>
    </row>
    <row r="3242">
      <c r="A3242" s="19">
        <v>116408.0</v>
      </c>
      <c r="B3242" s="20" t="str">
        <f t="array" ref="B3242">xlookup($A3242,product!$A:$A,product!B:B)</f>
        <v>Epicerie sucrée</v>
      </c>
      <c r="C3242" s="20" t="str">
        <f t="array" ref="C3242">xlookup($A3242,product!$A:$A,product!C:C)</f>
        <v>Biscuits, Gâteaux</v>
      </c>
      <c r="D3242" s="20" t="str">
        <f t="array" ref="D3242">xlookup($A3242,product!$A:$A,product!D:D)</f>
        <v>Biscuit sans gluten</v>
      </c>
      <c r="E3242" s="4" t="str">
        <f t="shared" si="1"/>
        <v>116408-Biscuits, Gâteaux-Biscuit sans gluten</v>
      </c>
      <c r="F3242" s="4">
        <v>0.0</v>
      </c>
      <c r="G3242" s="4">
        <v>58.0</v>
      </c>
      <c r="H3242" s="4">
        <v>5.0</v>
      </c>
      <c r="I3242" s="21">
        <f t="array" ref="I3242">XLOOKUP($A3242,product!A:A,product!E:E)</f>
        <v>2.57</v>
      </c>
      <c r="J3242" s="4">
        <f t="shared" si="2"/>
        <v>12.85</v>
      </c>
      <c r="K3242" s="22">
        <f t="shared" si="3"/>
        <v>1</v>
      </c>
      <c r="L3242" s="4">
        <f t="shared" si="4"/>
        <v>1</v>
      </c>
    </row>
    <row r="3243">
      <c r="A3243" s="23">
        <v>83592.0</v>
      </c>
      <c r="B3243" s="24" t="str">
        <f t="array" ref="B3243">xlookup($A3243,product!$A:$A,product!B:B)</f>
        <v>Epicerie sucrée</v>
      </c>
      <c r="C3243" s="24" t="str">
        <f t="array" ref="C3243">xlookup($A3243,product!$A:$A,product!C:C)</f>
        <v>Biscuits, Gâteaux</v>
      </c>
      <c r="D3243" s="24" t="str">
        <f t="array" ref="D3243">xlookup($A3243,product!$A:$A,product!D:D)</f>
        <v>Biscuit sans gluten</v>
      </c>
      <c r="E3243" s="25" t="str">
        <f t="shared" si="1"/>
        <v>83592-Biscuits, Gâteaux-Biscuit sans gluten</v>
      </c>
      <c r="F3243" s="25">
        <v>1.0</v>
      </c>
      <c r="G3243" s="25">
        <v>54.0</v>
      </c>
      <c r="H3243" s="25">
        <v>52.0</v>
      </c>
      <c r="I3243" s="26">
        <f t="array" ref="I3243">XLOOKUP($A3243,product!A:A,product!E:E)</f>
        <v>3.56</v>
      </c>
      <c r="J3243" s="25">
        <f t="shared" si="2"/>
        <v>185.12</v>
      </c>
      <c r="K3243" s="27">
        <f t="shared" si="3"/>
        <v>1</v>
      </c>
      <c r="L3243" s="25">
        <f t="shared" si="4"/>
        <v>1</v>
      </c>
    </row>
    <row r="3244">
      <c r="A3244" s="19">
        <v>122241.0</v>
      </c>
      <c r="B3244" s="20" t="str">
        <f t="array" ref="B3244">xlookup($A3244,product!$A:$A,product!B:B)</f>
        <v>Epicerie sucrée</v>
      </c>
      <c r="C3244" s="20" t="str">
        <f t="array" ref="C3244">xlookup($A3244,product!$A:$A,product!C:C)</f>
        <v>Biscuits, Gâteaux</v>
      </c>
      <c r="D3244" s="20" t="str">
        <f t="array" ref="D3244">xlookup($A3244,product!$A:$A,product!D:D)</f>
        <v>Biscuit sans gluten</v>
      </c>
      <c r="E3244" s="4" t="str">
        <f t="shared" si="1"/>
        <v>122241-Biscuits, Gâteaux-Biscuit sans gluten</v>
      </c>
      <c r="F3244" s="4">
        <v>1.0</v>
      </c>
      <c r="G3244" s="4">
        <v>778.0</v>
      </c>
      <c r="H3244" s="4">
        <v>533.0</v>
      </c>
      <c r="I3244" s="21">
        <f t="array" ref="I3244">XLOOKUP($A3244,product!A:A,product!E:E)</f>
        <v>1.85</v>
      </c>
      <c r="J3244" s="4">
        <f t="shared" si="2"/>
        <v>986.05</v>
      </c>
      <c r="K3244" s="22">
        <f t="shared" si="3"/>
        <v>1</v>
      </c>
      <c r="L3244" s="4">
        <f t="shared" si="4"/>
        <v>1</v>
      </c>
    </row>
    <row r="3245">
      <c r="A3245" s="23">
        <v>112799.0</v>
      </c>
      <c r="B3245" s="24" t="str">
        <f t="array" ref="B3245">xlookup($A3245,product!$A:$A,product!B:B)</f>
        <v>Epicerie sucrée</v>
      </c>
      <c r="C3245" s="24" t="str">
        <f t="array" ref="C3245">xlookup($A3245,product!$A:$A,product!C:C)</f>
        <v>Biscuits, Gâteaux</v>
      </c>
      <c r="D3245" s="24" t="str">
        <f t="array" ref="D3245">xlookup($A3245,product!$A:$A,product!D:D)</f>
        <v>Biscuit sans gluten</v>
      </c>
      <c r="E3245" s="25" t="str">
        <f t="shared" si="1"/>
        <v>112799-Biscuits, Gâteaux-Biscuit sans gluten</v>
      </c>
      <c r="F3245" s="25">
        <v>0.0</v>
      </c>
      <c r="G3245" s="25">
        <v>460.0</v>
      </c>
      <c r="H3245" s="25">
        <v>419.0</v>
      </c>
      <c r="I3245" s="26">
        <f t="array" ref="I3245">XLOOKUP($A3245,product!A:A,product!E:E)</f>
        <v>3.14</v>
      </c>
      <c r="J3245" s="25">
        <f t="shared" si="2"/>
        <v>1315.66</v>
      </c>
      <c r="K3245" s="27">
        <f t="shared" si="3"/>
        <v>1</v>
      </c>
      <c r="L3245" s="25">
        <f t="shared" si="4"/>
        <v>1</v>
      </c>
    </row>
    <row r="3246">
      <c r="A3246" s="19">
        <v>122659.0</v>
      </c>
      <c r="B3246" s="20" t="str">
        <f t="array" ref="B3246">xlookup($A3246,product!$A:$A,product!B:B)</f>
        <v>Epicerie sucrée</v>
      </c>
      <c r="C3246" s="20" t="str">
        <f t="array" ref="C3246">xlookup($A3246,product!$A:$A,product!C:C)</f>
        <v>Biscuits, Gâteaux</v>
      </c>
      <c r="D3246" s="20" t="str">
        <f t="array" ref="D3246">xlookup($A3246,product!$A:$A,product!D:D)</f>
        <v>Biscuit sans gluten</v>
      </c>
      <c r="E3246" s="4" t="str">
        <f t="shared" si="1"/>
        <v>122659-Biscuits, Gâteaux-Biscuit sans gluten</v>
      </c>
      <c r="F3246" s="4">
        <v>1.0</v>
      </c>
      <c r="G3246" s="4">
        <v>211.0</v>
      </c>
      <c r="H3246" s="4">
        <v>94.0</v>
      </c>
      <c r="I3246" s="21">
        <f t="array" ref="I3246">XLOOKUP($A3246,product!A:A,product!E:E)</f>
        <v>3.2</v>
      </c>
      <c r="J3246" s="4">
        <f t="shared" si="2"/>
        <v>300.8</v>
      </c>
      <c r="K3246" s="22">
        <f t="shared" si="3"/>
        <v>1</v>
      </c>
      <c r="L3246" s="4">
        <f t="shared" si="4"/>
        <v>1</v>
      </c>
    </row>
    <row r="3247">
      <c r="A3247" s="23">
        <v>112797.0</v>
      </c>
      <c r="B3247" s="24" t="str">
        <f t="array" ref="B3247">xlookup($A3247,product!$A:$A,product!B:B)</f>
        <v>Epicerie sucrée</v>
      </c>
      <c r="C3247" s="24" t="str">
        <f t="array" ref="C3247">xlookup($A3247,product!$A:$A,product!C:C)</f>
        <v>Biscuits, Gâteaux</v>
      </c>
      <c r="D3247" s="24" t="str">
        <f t="array" ref="D3247">xlookup($A3247,product!$A:$A,product!D:D)</f>
        <v>Biscuit sans gluten</v>
      </c>
      <c r="E3247" s="25" t="str">
        <f t="shared" si="1"/>
        <v>112797-Biscuits, Gâteaux-Biscuit sans gluten</v>
      </c>
      <c r="F3247" s="25">
        <v>1.0</v>
      </c>
      <c r="G3247" s="25">
        <v>856.0</v>
      </c>
      <c r="H3247" s="25">
        <v>574.0</v>
      </c>
      <c r="I3247" s="26">
        <f t="array" ref="I3247">XLOOKUP($A3247,product!A:A,product!E:E)</f>
        <v>3.01</v>
      </c>
      <c r="J3247" s="25">
        <f t="shared" si="2"/>
        <v>1727.74</v>
      </c>
      <c r="K3247" s="27">
        <f t="shared" si="3"/>
        <v>1</v>
      </c>
      <c r="L3247" s="25">
        <f t="shared" si="4"/>
        <v>1</v>
      </c>
    </row>
    <row r="3248">
      <c r="A3248" s="19">
        <v>122663.0</v>
      </c>
      <c r="B3248" s="20" t="str">
        <f t="array" ref="B3248">xlookup($A3248,product!$A:$A,product!B:B)</f>
        <v>Epicerie sucrée</v>
      </c>
      <c r="C3248" s="20" t="str">
        <f t="array" ref="C3248">xlookup($A3248,product!$A:$A,product!C:C)</f>
        <v>Biscuits, Gâteaux</v>
      </c>
      <c r="D3248" s="20" t="str">
        <f t="array" ref="D3248">xlookup($A3248,product!$A:$A,product!D:D)</f>
        <v>Biscuit sans gluten</v>
      </c>
      <c r="E3248" s="4" t="str">
        <f t="shared" si="1"/>
        <v>122663-Biscuits, Gâteaux-Biscuit sans gluten</v>
      </c>
      <c r="F3248" s="4">
        <v>0.0</v>
      </c>
      <c r="G3248" s="4">
        <v>576.0</v>
      </c>
      <c r="H3248" s="4">
        <v>384.0</v>
      </c>
      <c r="I3248" s="21">
        <f t="array" ref="I3248">XLOOKUP($A3248,product!A:A,product!E:E)</f>
        <v>2.49</v>
      </c>
      <c r="J3248" s="4">
        <f t="shared" si="2"/>
        <v>956.16</v>
      </c>
      <c r="K3248" s="22">
        <f t="shared" si="3"/>
        <v>1</v>
      </c>
      <c r="L3248" s="4">
        <f t="shared" si="4"/>
        <v>1</v>
      </c>
    </row>
    <row r="3249">
      <c r="A3249" s="23">
        <v>112809.0</v>
      </c>
      <c r="B3249" s="24" t="str">
        <f t="array" ref="B3249">xlookup($A3249,product!$A:$A,product!B:B)</f>
        <v>Epicerie sucrée</v>
      </c>
      <c r="C3249" s="24" t="str">
        <f t="array" ref="C3249">xlookup($A3249,product!$A:$A,product!C:C)</f>
        <v>Biscuits, Gâteaux</v>
      </c>
      <c r="D3249" s="24" t="str">
        <f t="array" ref="D3249">xlookup($A3249,product!$A:$A,product!D:D)</f>
        <v>Biscuit sans gluten</v>
      </c>
      <c r="E3249" s="25" t="str">
        <f t="shared" si="1"/>
        <v>112809-Biscuits, Gâteaux-Biscuit sans gluten</v>
      </c>
      <c r="F3249" s="25">
        <v>1.0</v>
      </c>
      <c r="G3249" s="25">
        <v>26.0</v>
      </c>
      <c r="H3249" s="25">
        <v>16.0</v>
      </c>
      <c r="I3249" s="26">
        <f t="array" ref="I3249">XLOOKUP($A3249,product!A:A,product!E:E)</f>
        <v>1.08</v>
      </c>
      <c r="J3249" s="25">
        <f t="shared" si="2"/>
        <v>17.28</v>
      </c>
      <c r="K3249" s="27">
        <f t="shared" si="3"/>
        <v>1</v>
      </c>
      <c r="L3249" s="25">
        <f t="shared" si="4"/>
        <v>1</v>
      </c>
    </row>
    <row r="3250">
      <c r="A3250" s="19">
        <v>80220.0</v>
      </c>
      <c r="B3250" s="20" t="str">
        <f t="array" ref="B3250">xlookup($A3250,product!$A:$A,product!B:B)</f>
        <v>Epicerie sucrée</v>
      </c>
      <c r="C3250" s="20" t="str">
        <f t="array" ref="C3250">xlookup($A3250,product!$A:$A,product!C:C)</f>
        <v>Biscuits, Gâteaux</v>
      </c>
      <c r="D3250" s="20" t="str">
        <f t="array" ref="D3250">xlookup($A3250,product!$A:$A,product!D:D)</f>
        <v>Biscuit sans gluten</v>
      </c>
      <c r="E3250" s="4" t="str">
        <f t="shared" si="1"/>
        <v>80220-Biscuits, Gâteaux-Biscuit sans gluten</v>
      </c>
      <c r="F3250" s="4">
        <v>0.0</v>
      </c>
      <c r="G3250" s="4">
        <v>860.0</v>
      </c>
      <c r="H3250" s="4">
        <v>676.0</v>
      </c>
      <c r="I3250" s="21">
        <f t="array" ref="I3250">XLOOKUP($A3250,product!A:A,product!E:E)</f>
        <v>2.7</v>
      </c>
      <c r="J3250" s="4">
        <f t="shared" si="2"/>
        <v>1825.2</v>
      </c>
      <c r="K3250" s="22">
        <f t="shared" si="3"/>
        <v>1</v>
      </c>
      <c r="L3250" s="4">
        <f t="shared" si="4"/>
        <v>1</v>
      </c>
    </row>
    <row r="3251">
      <c r="A3251" s="23">
        <v>112732.0</v>
      </c>
      <c r="B3251" s="24" t="str">
        <f t="array" ref="B3251">xlookup($A3251,product!$A:$A,product!B:B)</f>
        <v>Epicerie sucrée</v>
      </c>
      <c r="C3251" s="24" t="str">
        <f t="array" ref="C3251">xlookup($A3251,product!$A:$A,product!C:C)</f>
        <v>Biscuits, Gâteaux</v>
      </c>
      <c r="D3251" s="24" t="str">
        <f t="array" ref="D3251">xlookup($A3251,product!$A:$A,product!D:D)</f>
        <v>Biscuit sans gluten</v>
      </c>
      <c r="E3251" s="25" t="str">
        <f t="shared" si="1"/>
        <v>112732-Biscuits, Gâteaux-Biscuit sans gluten</v>
      </c>
      <c r="F3251" s="25">
        <v>0.0</v>
      </c>
      <c r="G3251" s="25">
        <v>660.0</v>
      </c>
      <c r="H3251" s="25">
        <v>524.0</v>
      </c>
      <c r="I3251" s="26">
        <f t="array" ref="I3251">XLOOKUP($A3251,product!A:A,product!E:E)</f>
        <v>2.52</v>
      </c>
      <c r="J3251" s="25">
        <f t="shared" si="2"/>
        <v>1320.48</v>
      </c>
      <c r="K3251" s="27">
        <f t="shared" si="3"/>
        <v>1</v>
      </c>
      <c r="L3251" s="25">
        <f t="shared" si="4"/>
        <v>1</v>
      </c>
    </row>
    <row r="3252">
      <c r="A3252" s="19">
        <v>83354.0</v>
      </c>
      <c r="B3252" s="20" t="str">
        <f t="array" ref="B3252">xlookup($A3252,product!$A:$A,product!B:B)</f>
        <v>Epicerie sucrée</v>
      </c>
      <c r="C3252" s="20" t="str">
        <f t="array" ref="C3252">xlookup($A3252,product!$A:$A,product!C:C)</f>
        <v>Biscuits, Gâteaux</v>
      </c>
      <c r="D3252" s="20" t="str">
        <f t="array" ref="D3252">xlookup($A3252,product!$A:$A,product!D:D)</f>
        <v>Biscuit sans gluten</v>
      </c>
      <c r="E3252" s="4" t="str">
        <f t="shared" si="1"/>
        <v>83354-Biscuits, Gâteaux-Biscuit sans gluten</v>
      </c>
      <c r="F3252" s="4">
        <v>1.0</v>
      </c>
      <c r="G3252" s="4">
        <v>371.0</v>
      </c>
      <c r="H3252" s="4">
        <v>239.0</v>
      </c>
      <c r="I3252" s="21">
        <f t="array" ref="I3252">XLOOKUP($A3252,product!A:A,product!E:E)</f>
        <v>2.35</v>
      </c>
      <c r="J3252" s="4">
        <f t="shared" si="2"/>
        <v>561.65</v>
      </c>
      <c r="K3252" s="22">
        <f t="shared" si="3"/>
        <v>1</v>
      </c>
      <c r="L3252" s="4">
        <f t="shared" si="4"/>
        <v>1</v>
      </c>
    </row>
    <row r="3253">
      <c r="A3253" s="23">
        <v>116410.0</v>
      </c>
      <c r="B3253" s="24" t="str">
        <f t="array" ref="B3253">xlookup($A3253,product!$A:$A,product!B:B)</f>
        <v>Epicerie sucrée</v>
      </c>
      <c r="C3253" s="24" t="str">
        <f t="array" ref="C3253">xlookup($A3253,product!$A:$A,product!C:C)</f>
        <v>Biscuits, Gâteaux</v>
      </c>
      <c r="D3253" s="24" t="str">
        <f t="array" ref="D3253">xlookup($A3253,product!$A:$A,product!D:D)</f>
        <v>Biscuit sans gluten</v>
      </c>
      <c r="E3253" s="25" t="str">
        <f t="shared" si="1"/>
        <v>116410-Biscuits, Gâteaux-Biscuit sans gluten</v>
      </c>
      <c r="F3253" s="25">
        <v>0.0</v>
      </c>
      <c r="G3253" s="25">
        <v>87.0</v>
      </c>
      <c r="H3253" s="25">
        <v>80.0</v>
      </c>
      <c r="I3253" s="26">
        <f t="array" ref="I3253">XLOOKUP($A3253,product!A:A,product!E:E)</f>
        <v>2.57</v>
      </c>
      <c r="J3253" s="25">
        <f t="shared" si="2"/>
        <v>205.6</v>
      </c>
      <c r="K3253" s="27">
        <f t="shared" si="3"/>
        <v>1</v>
      </c>
      <c r="L3253" s="25">
        <f t="shared" si="4"/>
        <v>1</v>
      </c>
    </row>
    <row r="3254">
      <c r="A3254" s="19">
        <v>103841.0</v>
      </c>
      <c r="B3254" s="20" t="str">
        <f t="array" ref="B3254">xlookup($A3254,product!$A:$A,product!B:B)</f>
        <v>Epicerie sucrée</v>
      </c>
      <c r="C3254" s="20" t="str">
        <f t="array" ref="C3254">xlookup($A3254,product!$A:$A,product!C:C)</f>
        <v>Biscuits, Gâteaux</v>
      </c>
      <c r="D3254" s="20" t="str">
        <f t="array" ref="D3254">xlookup($A3254,product!$A:$A,product!D:D)</f>
        <v>Biscuit sans gluten</v>
      </c>
      <c r="E3254" s="4" t="str">
        <f t="shared" si="1"/>
        <v>103841-Biscuits, Gâteaux-Biscuit sans gluten</v>
      </c>
      <c r="F3254" s="4">
        <v>1.0</v>
      </c>
      <c r="G3254" s="4">
        <v>511.0</v>
      </c>
      <c r="H3254" s="4">
        <v>42.0</v>
      </c>
      <c r="I3254" s="21">
        <f t="array" ref="I3254">XLOOKUP($A3254,product!A:A,product!E:E)</f>
        <v>1.73</v>
      </c>
      <c r="J3254" s="4">
        <f t="shared" si="2"/>
        <v>72.66</v>
      </c>
      <c r="K3254" s="22">
        <f t="shared" si="3"/>
        <v>1</v>
      </c>
      <c r="L3254" s="4">
        <f t="shared" si="4"/>
        <v>1</v>
      </c>
    </row>
    <row r="3255">
      <c r="A3255" s="23">
        <v>116746.0</v>
      </c>
      <c r="B3255" s="24" t="str">
        <f t="array" ref="B3255">xlookup($A3255,product!$A:$A,product!B:B)</f>
        <v>Epicerie sucrée</v>
      </c>
      <c r="C3255" s="24" t="str">
        <f t="array" ref="C3255">xlookup($A3255,product!$A:$A,product!C:C)</f>
        <v>Biscuits, Gâteaux</v>
      </c>
      <c r="D3255" s="24" t="str">
        <f t="array" ref="D3255">xlookup($A3255,product!$A:$A,product!D:D)</f>
        <v>Biscuit sans gluten</v>
      </c>
      <c r="E3255" s="25" t="str">
        <f t="shared" si="1"/>
        <v>116746-Biscuits, Gâteaux-Biscuit sans gluten</v>
      </c>
      <c r="F3255" s="25">
        <v>1.0</v>
      </c>
      <c r="G3255" s="25">
        <v>765.0</v>
      </c>
      <c r="H3255" s="25">
        <v>465.0</v>
      </c>
      <c r="I3255" s="26">
        <f t="array" ref="I3255">XLOOKUP($A3255,product!A:A,product!E:E)</f>
        <v>2.04</v>
      </c>
      <c r="J3255" s="25">
        <f t="shared" si="2"/>
        <v>948.6</v>
      </c>
      <c r="K3255" s="27">
        <f t="shared" si="3"/>
        <v>1</v>
      </c>
      <c r="L3255" s="25">
        <f t="shared" si="4"/>
        <v>1</v>
      </c>
    </row>
    <row r="3256">
      <c r="A3256" s="19">
        <v>116405.0</v>
      </c>
      <c r="B3256" s="20" t="str">
        <f t="array" ref="B3256">xlookup($A3256,product!$A:$A,product!B:B)</f>
        <v>Epicerie sucrée</v>
      </c>
      <c r="C3256" s="20" t="str">
        <f t="array" ref="C3256">xlookup($A3256,product!$A:$A,product!C:C)</f>
        <v>Biscuits, Gâteaux</v>
      </c>
      <c r="D3256" s="20" t="str">
        <f t="array" ref="D3256">xlookup($A3256,product!$A:$A,product!D:D)</f>
        <v>Biscuit sans gluten</v>
      </c>
      <c r="E3256" s="4" t="str">
        <f t="shared" si="1"/>
        <v>116405-Biscuits, Gâteaux-Biscuit sans gluten</v>
      </c>
      <c r="F3256" s="4">
        <v>0.0</v>
      </c>
      <c r="G3256" s="4">
        <v>514.0</v>
      </c>
      <c r="H3256" s="4">
        <v>172.0</v>
      </c>
      <c r="I3256" s="21">
        <f t="array" ref="I3256">XLOOKUP($A3256,product!A:A,product!E:E)</f>
        <v>2.84</v>
      </c>
      <c r="J3256" s="4">
        <f t="shared" si="2"/>
        <v>488.48</v>
      </c>
      <c r="K3256" s="22">
        <f t="shared" si="3"/>
        <v>1</v>
      </c>
      <c r="L3256" s="4">
        <f t="shared" si="4"/>
        <v>1</v>
      </c>
    </row>
    <row r="3257">
      <c r="A3257" s="23">
        <v>112810.0</v>
      </c>
      <c r="B3257" s="24" t="str">
        <f t="array" ref="B3257">xlookup($A3257,product!$A:$A,product!B:B)</f>
        <v>Epicerie sucrée</v>
      </c>
      <c r="C3257" s="24" t="str">
        <f t="array" ref="C3257">xlookup($A3257,product!$A:$A,product!C:C)</f>
        <v>Biscuits, Gâteaux</v>
      </c>
      <c r="D3257" s="24" t="str">
        <f t="array" ref="D3257">xlookup($A3257,product!$A:$A,product!D:D)</f>
        <v>Biscuit sans gluten</v>
      </c>
      <c r="E3257" s="25" t="str">
        <f t="shared" si="1"/>
        <v>112810-Biscuits, Gâteaux-Biscuit sans gluten</v>
      </c>
      <c r="F3257" s="25">
        <v>1.0</v>
      </c>
      <c r="G3257" s="25">
        <v>893.0</v>
      </c>
      <c r="H3257" s="25">
        <v>454.0</v>
      </c>
      <c r="I3257" s="26">
        <f t="array" ref="I3257">XLOOKUP($A3257,product!A:A,product!E:E)</f>
        <v>2.45</v>
      </c>
      <c r="J3257" s="25">
        <f t="shared" si="2"/>
        <v>1112.3</v>
      </c>
      <c r="K3257" s="27">
        <f t="shared" si="3"/>
        <v>1</v>
      </c>
      <c r="L3257" s="25">
        <f t="shared" si="4"/>
        <v>1</v>
      </c>
    </row>
    <row r="3258">
      <c r="A3258" s="19">
        <v>47347.0</v>
      </c>
      <c r="B3258" s="20" t="str">
        <f t="array" ref="B3258">xlookup($A3258,product!$A:$A,product!B:B)</f>
        <v>Epicerie sucrée</v>
      </c>
      <c r="C3258" s="20" t="str">
        <f t="array" ref="C3258">xlookup($A3258,product!$A:$A,product!C:C)</f>
        <v>Biscuits, Gâteaux</v>
      </c>
      <c r="D3258" s="20" t="str">
        <f t="array" ref="D3258">xlookup($A3258,product!$A:$A,product!D:D)</f>
        <v>Madeleine et moelleux</v>
      </c>
      <c r="E3258" s="4" t="str">
        <f t="shared" si="1"/>
        <v>47347-Biscuits, Gâteaux-Madeleine et moelleux</v>
      </c>
      <c r="F3258" s="4">
        <v>1.0</v>
      </c>
      <c r="G3258" s="4">
        <v>370.0</v>
      </c>
      <c r="H3258" s="4">
        <v>318.0</v>
      </c>
      <c r="I3258" s="21">
        <f t="array" ref="I3258">XLOOKUP($A3258,product!A:A,product!E:E)</f>
        <v>1.94</v>
      </c>
      <c r="J3258" s="4">
        <f t="shared" si="2"/>
        <v>616.92</v>
      </c>
      <c r="K3258" s="22">
        <f t="shared" si="3"/>
        <v>1</v>
      </c>
      <c r="L3258" s="4">
        <f t="shared" si="4"/>
        <v>1</v>
      </c>
    </row>
    <row r="3259">
      <c r="A3259" s="23">
        <v>101902.0</v>
      </c>
      <c r="B3259" s="24" t="str">
        <f t="array" ref="B3259">xlookup($A3259,product!$A:$A,product!B:B)</f>
        <v>Epicerie sucrée</v>
      </c>
      <c r="C3259" s="24" t="str">
        <f t="array" ref="C3259">xlookup($A3259,product!$A:$A,product!C:C)</f>
        <v>Biscuits, Gâteaux</v>
      </c>
      <c r="D3259" s="24" t="str">
        <f t="array" ref="D3259">xlookup($A3259,product!$A:$A,product!D:D)</f>
        <v>Madeleine et moelleux</v>
      </c>
      <c r="E3259" s="25" t="str">
        <f t="shared" si="1"/>
        <v>101902-Biscuits, Gâteaux-Madeleine et moelleux</v>
      </c>
      <c r="F3259" s="25">
        <v>0.0</v>
      </c>
      <c r="G3259" s="25">
        <v>418.0</v>
      </c>
      <c r="H3259" s="25">
        <v>118.0</v>
      </c>
      <c r="I3259" s="26">
        <f t="array" ref="I3259">XLOOKUP($A3259,product!A:A,product!E:E)</f>
        <v>2.31</v>
      </c>
      <c r="J3259" s="25">
        <f t="shared" si="2"/>
        <v>272.58</v>
      </c>
      <c r="K3259" s="27">
        <f t="shared" si="3"/>
        <v>1</v>
      </c>
      <c r="L3259" s="25">
        <f t="shared" si="4"/>
        <v>1</v>
      </c>
    </row>
    <row r="3260">
      <c r="A3260" s="19">
        <v>92926.0</v>
      </c>
      <c r="B3260" s="20" t="str">
        <f t="array" ref="B3260">xlookup($A3260,product!$A:$A,product!B:B)</f>
        <v>Epicerie sucrée</v>
      </c>
      <c r="C3260" s="20" t="str">
        <f t="array" ref="C3260">xlookup($A3260,product!$A:$A,product!C:C)</f>
        <v>Biscuits, Gâteaux</v>
      </c>
      <c r="D3260" s="20" t="str">
        <f t="array" ref="D3260">xlookup($A3260,product!$A:$A,product!D:D)</f>
        <v>Madeleine et moelleux</v>
      </c>
      <c r="E3260" s="4" t="str">
        <f t="shared" si="1"/>
        <v>92926-Biscuits, Gâteaux-Madeleine et moelleux</v>
      </c>
      <c r="F3260" s="4">
        <v>0.0</v>
      </c>
      <c r="G3260" s="4">
        <v>845.0</v>
      </c>
      <c r="H3260" s="4">
        <v>106.0</v>
      </c>
      <c r="I3260" s="21">
        <f t="array" ref="I3260">XLOOKUP($A3260,product!A:A,product!E:E)</f>
        <v>3.02</v>
      </c>
      <c r="J3260" s="4">
        <f t="shared" si="2"/>
        <v>320.12</v>
      </c>
      <c r="K3260" s="22">
        <f t="shared" si="3"/>
        <v>1</v>
      </c>
      <c r="L3260" s="4">
        <f t="shared" si="4"/>
        <v>1</v>
      </c>
    </row>
    <row r="3261">
      <c r="A3261" s="23">
        <v>47345.0</v>
      </c>
      <c r="B3261" s="24" t="str">
        <f t="array" ref="B3261">xlookup($A3261,product!$A:$A,product!B:B)</f>
        <v>Epicerie sucrée</v>
      </c>
      <c r="C3261" s="24" t="str">
        <f t="array" ref="C3261">xlookup($A3261,product!$A:$A,product!C:C)</f>
        <v>Biscuits, Gâteaux</v>
      </c>
      <c r="D3261" s="24" t="str">
        <f t="array" ref="D3261">xlookup($A3261,product!$A:$A,product!D:D)</f>
        <v>Madeleine et moelleux</v>
      </c>
      <c r="E3261" s="25" t="str">
        <f t="shared" si="1"/>
        <v>47345-Biscuits, Gâteaux-Madeleine et moelleux</v>
      </c>
      <c r="F3261" s="25">
        <v>0.0</v>
      </c>
      <c r="G3261" s="25">
        <v>284.0</v>
      </c>
      <c r="H3261" s="25">
        <v>255.0</v>
      </c>
      <c r="I3261" s="26">
        <f t="array" ref="I3261">XLOOKUP($A3261,product!A:A,product!E:E)</f>
        <v>1.94</v>
      </c>
      <c r="J3261" s="25">
        <f t="shared" si="2"/>
        <v>494.7</v>
      </c>
      <c r="K3261" s="27">
        <f t="shared" si="3"/>
        <v>1</v>
      </c>
      <c r="L3261" s="25">
        <f t="shared" si="4"/>
        <v>1</v>
      </c>
    </row>
    <row r="3262">
      <c r="A3262" s="19">
        <v>121611.0</v>
      </c>
      <c r="B3262" s="20" t="str">
        <f t="array" ref="B3262">xlookup($A3262,product!$A:$A,product!B:B)</f>
        <v>Epicerie sucrée</v>
      </c>
      <c r="C3262" s="20" t="str">
        <f t="array" ref="C3262">xlookup($A3262,product!$A:$A,product!C:C)</f>
        <v>Biscuits, Gâteaux</v>
      </c>
      <c r="D3262" s="20" t="str">
        <f t="array" ref="D3262">xlookup($A3262,product!$A:$A,product!D:D)</f>
        <v>Madeleine et moelleux</v>
      </c>
      <c r="E3262" s="4" t="str">
        <f t="shared" si="1"/>
        <v>121611-Biscuits, Gâteaux-Madeleine et moelleux</v>
      </c>
      <c r="F3262" s="4">
        <v>1.0</v>
      </c>
      <c r="G3262" s="4">
        <v>759.0</v>
      </c>
      <c r="H3262" s="4">
        <v>56.0</v>
      </c>
      <c r="I3262" s="21">
        <f t="array" ref="I3262">XLOOKUP($A3262,product!A:A,product!E:E)</f>
        <v>2.59</v>
      </c>
      <c r="J3262" s="4">
        <f t="shared" si="2"/>
        <v>145.04</v>
      </c>
      <c r="K3262" s="22">
        <f t="shared" si="3"/>
        <v>1</v>
      </c>
      <c r="L3262" s="4">
        <f t="shared" si="4"/>
        <v>1</v>
      </c>
    </row>
    <row r="3263">
      <c r="A3263" s="23">
        <v>73310.0</v>
      </c>
      <c r="B3263" s="24" t="str">
        <f t="array" ref="B3263">xlookup($A3263,product!$A:$A,product!B:B)</f>
        <v>Epicerie sucrée</v>
      </c>
      <c r="C3263" s="24" t="str">
        <f t="array" ref="C3263">xlookup($A3263,product!$A:$A,product!C:C)</f>
        <v>Biscuits, Gâteaux</v>
      </c>
      <c r="D3263" s="24" t="str">
        <f t="array" ref="D3263">xlookup($A3263,product!$A:$A,product!D:D)</f>
        <v>Madeleine et moelleux</v>
      </c>
      <c r="E3263" s="25" t="str">
        <f t="shared" si="1"/>
        <v>73310-Biscuits, Gâteaux-Madeleine et moelleux</v>
      </c>
      <c r="F3263" s="25">
        <v>1.0</v>
      </c>
      <c r="G3263" s="25">
        <v>205.0</v>
      </c>
      <c r="H3263" s="25">
        <v>69.0</v>
      </c>
      <c r="I3263" s="26">
        <f t="array" ref="I3263">XLOOKUP($A3263,product!A:A,product!E:E)</f>
        <v>2.36</v>
      </c>
      <c r="J3263" s="25">
        <f t="shared" si="2"/>
        <v>162.84</v>
      </c>
      <c r="K3263" s="27">
        <f t="shared" si="3"/>
        <v>1</v>
      </c>
      <c r="L3263" s="25">
        <f t="shared" si="4"/>
        <v>1</v>
      </c>
    </row>
    <row r="3264">
      <c r="A3264" s="19">
        <v>80102.0</v>
      </c>
      <c r="B3264" s="20" t="str">
        <f t="array" ref="B3264">xlookup($A3264,product!$A:$A,product!B:B)</f>
        <v>Epicerie sucrée</v>
      </c>
      <c r="C3264" s="20" t="str">
        <f t="array" ref="C3264">xlookup($A3264,product!$A:$A,product!C:C)</f>
        <v>Biscuits, Gâteaux</v>
      </c>
      <c r="D3264" s="20" t="str">
        <f t="array" ref="D3264">xlookup($A3264,product!$A:$A,product!D:D)</f>
        <v>Madeleine et moelleux</v>
      </c>
      <c r="E3264" s="4" t="str">
        <f t="shared" si="1"/>
        <v>80102-Biscuits, Gâteaux-Madeleine et moelleux</v>
      </c>
      <c r="F3264" s="4">
        <v>1.0</v>
      </c>
      <c r="G3264" s="4">
        <v>443.0</v>
      </c>
      <c r="H3264" s="4">
        <v>260.0</v>
      </c>
      <c r="I3264" s="21">
        <f t="array" ref="I3264">XLOOKUP($A3264,product!A:A,product!E:E)</f>
        <v>3.04</v>
      </c>
      <c r="J3264" s="4">
        <f t="shared" si="2"/>
        <v>790.4</v>
      </c>
      <c r="K3264" s="22">
        <f t="shared" si="3"/>
        <v>1</v>
      </c>
      <c r="L3264" s="4">
        <f t="shared" si="4"/>
        <v>1</v>
      </c>
    </row>
    <row r="3265">
      <c r="A3265" s="23">
        <v>122773.0</v>
      </c>
      <c r="B3265" s="24" t="str">
        <f t="array" ref="B3265">xlookup($A3265,product!$A:$A,product!B:B)</f>
        <v>Epicerie sucrée</v>
      </c>
      <c r="C3265" s="24" t="str">
        <f t="array" ref="C3265">xlookup($A3265,product!$A:$A,product!C:C)</f>
        <v>Biscuits, Gâteaux</v>
      </c>
      <c r="D3265" s="24" t="str">
        <f t="array" ref="D3265">xlookup($A3265,product!$A:$A,product!D:D)</f>
        <v>Madeleine et moelleux</v>
      </c>
      <c r="E3265" s="25" t="str">
        <f t="shared" si="1"/>
        <v>122773-Biscuits, Gâteaux-Madeleine et moelleux</v>
      </c>
      <c r="F3265" s="25">
        <v>0.0</v>
      </c>
      <c r="G3265" s="25">
        <v>248.0</v>
      </c>
      <c r="H3265" s="25">
        <v>156.0</v>
      </c>
      <c r="I3265" s="26">
        <f t="array" ref="I3265">XLOOKUP($A3265,product!A:A,product!E:E)</f>
        <v>2.21</v>
      </c>
      <c r="J3265" s="25">
        <f t="shared" si="2"/>
        <v>344.76</v>
      </c>
      <c r="K3265" s="27">
        <f t="shared" si="3"/>
        <v>1</v>
      </c>
      <c r="L3265" s="25">
        <f t="shared" si="4"/>
        <v>1</v>
      </c>
    </row>
    <row r="3266">
      <c r="A3266" s="19">
        <v>119421.0</v>
      </c>
      <c r="B3266" s="20" t="str">
        <f t="array" ref="B3266">xlookup($A3266,product!$A:$A,product!B:B)</f>
        <v>Epicerie sucrée</v>
      </c>
      <c r="C3266" s="20" t="str">
        <f t="array" ref="C3266">xlookup($A3266,product!$A:$A,product!C:C)</f>
        <v>Biscuits, Gâteaux</v>
      </c>
      <c r="D3266" s="20" t="str">
        <f t="array" ref="D3266">xlookup($A3266,product!$A:$A,product!D:D)</f>
        <v>Madeleine et moelleux</v>
      </c>
      <c r="E3266" s="4" t="str">
        <f t="shared" si="1"/>
        <v>119421-Biscuits, Gâteaux-Madeleine et moelleux</v>
      </c>
      <c r="F3266" s="4">
        <v>1.0</v>
      </c>
      <c r="G3266" s="4">
        <v>485.0</v>
      </c>
      <c r="H3266" s="4">
        <v>309.0</v>
      </c>
      <c r="I3266" s="21">
        <f t="array" ref="I3266">XLOOKUP($A3266,product!A:A,product!E:E)</f>
        <v>4.3</v>
      </c>
      <c r="J3266" s="4">
        <f t="shared" si="2"/>
        <v>1328.7</v>
      </c>
      <c r="K3266" s="22">
        <f t="shared" si="3"/>
        <v>1</v>
      </c>
      <c r="L3266" s="4">
        <f t="shared" si="4"/>
        <v>1</v>
      </c>
    </row>
    <row r="3267">
      <c r="A3267" s="23">
        <v>118276.0</v>
      </c>
      <c r="B3267" s="24" t="str">
        <f t="array" ref="B3267">xlookup($A3267,product!$A:$A,product!B:B)</f>
        <v>Epicerie sucrée</v>
      </c>
      <c r="C3267" s="24" t="str">
        <f t="array" ref="C3267">xlookup($A3267,product!$A:$A,product!C:C)</f>
        <v>Biscuits, Gâteaux</v>
      </c>
      <c r="D3267" s="24" t="str">
        <f t="array" ref="D3267">xlookup($A3267,product!$A:$A,product!D:D)</f>
        <v>Madeleine et moelleux</v>
      </c>
      <c r="E3267" s="25" t="str">
        <f t="shared" si="1"/>
        <v>118276-Biscuits, Gâteaux-Madeleine et moelleux</v>
      </c>
      <c r="F3267" s="25">
        <v>1.0</v>
      </c>
      <c r="G3267" s="25">
        <v>210.0</v>
      </c>
      <c r="H3267" s="25">
        <v>19.0</v>
      </c>
      <c r="I3267" s="26">
        <f t="array" ref="I3267">XLOOKUP($A3267,product!A:A,product!E:E)</f>
        <v>1.9</v>
      </c>
      <c r="J3267" s="25">
        <f t="shared" si="2"/>
        <v>36.1</v>
      </c>
      <c r="K3267" s="27">
        <f t="shared" si="3"/>
        <v>1</v>
      </c>
      <c r="L3267" s="25">
        <f t="shared" si="4"/>
        <v>1</v>
      </c>
    </row>
    <row r="3268">
      <c r="A3268" s="19">
        <v>47314.0</v>
      </c>
      <c r="B3268" s="20" t="str">
        <f t="array" ref="B3268">xlookup($A3268,product!$A:$A,product!B:B)</f>
        <v>Epicerie sucrée</v>
      </c>
      <c r="C3268" s="20" t="str">
        <f t="array" ref="C3268">xlookup($A3268,product!$A:$A,product!C:C)</f>
        <v>Biscuits, Gâteaux</v>
      </c>
      <c r="D3268" s="20" t="str">
        <f t="array" ref="D3268">xlookup($A3268,product!$A:$A,product!D:D)</f>
        <v>Madeleine et moelleux</v>
      </c>
      <c r="E3268" s="4" t="str">
        <f t="shared" si="1"/>
        <v>47314-Biscuits, Gâteaux-Madeleine et moelleux</v>
      </c>
      <c r="F3268" s="4">
        <v>0.0</v>
      </c>
      <c r="G3268" s="4">
        <v>626.0</v>
      </c>
      <c r="H3268" s="4">
        <v>343.0</v>
      </c>
      <c r="I3268" s="21">
        <f t="array" ref="I3268">XLOOKUP($A3268,product!A:A,product!E:E)</f>
        <v>2.15</v>
      </c>
      <c r="J3268" s="4">
        <f t="shared" si="2"/>
        <v>737.45</v>
      </c>
      <c r="K3268" s="22">
        <f t="shared" si="3"/>
        <v>1</v>
      </c>
      <c r="L3268" s="4">
        <f t="shared" si="4"/>
        <v>1</v>
      </c>
    </row>
    <row r="3269">
      <c r="A3269" s="23">
        <v>122771.0</v>
      </c>
      <c r="B3269" s="24" t="str">
        <f t="array" ref="B3269">xlookup($A3269,product!$A:$A,product!B:B)</f>
        <v>Epicerie sucrée</v>
      </c>
      <c r="C3269" s="24" t="str">
        <f t="array" ref="C3269">xlookup($A3269,product!$A:$A,product!C:C)</f>
        <v>Biscuits, Gâteaux</v>
      </c>
      <c r="D3269" s="24" t="str">
        <f t="array" ref="D3269">xlookup($A3269,product!$A:$A,product!D:D)</f>
        <v>Madeleine et moelleux</v>
      </c>
      <c r="E3269" s="25" t="str">
        <f t="shared" si="1"/>
        <v>122771-Biscuits, Gâteaux-Madeleine et moelleux</v>
      </c>
      <c r="F3269" s="25">
        <v>0.0</v>
      </c>
      <c r="G3269" s="25">
        <v>485.0</v>
      </c>
      <c r="H3269" s="25">
        <v>326.0</v>
      </c>
      <c r="I3269" s="26">
        <f t="array" ref="I3269">XLOOKUP($A3269,product!A:A,product!E:E)</f>
        <v>2.53</v>
      </c>
      <c r="J3269" s="25">
        <f t="shared" si="2"/>
        <v>824.78</v>
      </c>
      <c r="K3269" s="27">
        <f t="shared" si="3"/>
        <v>1</v>
      </c>
      <c r="L3269" s="25">
        <f t="shared" si="4"/>
        <v>1</v>
      </c>
    </row>
    <row r="3270">
      <c r="A3270" s="19">
        <v>47380.0</v>
      </c>
      <c r="B3270" s="20" t="str">
        <f t="array" ref="B3270">xlookup($A3270,product!$A:$A,product!B:B)</f>
        <v>Epicerie sucrée</v>
      </c>
      <c r="C3270" s="20" t="str">
        <f t="array" ref="C3270">xlookup($A3270,product!$A:$A,product!C:C)</f>
        <v>Biscuits, Gâteaux</v>
      </c>
      <c r="D3270" s="20" t="str">
        <f t="array" ref="D3270">xlookup($A3270,product!$A:$A,product!D:D)</f>
        <v>Biscuit petit déjeuner</v>
      </c>
      <c r="E3270" s="4" t="str">
        <f t="shared" si="1"/>
        <v>47380-Biscuits, Gâteaux-Biscuit petit déjeuner</v>
      </c>
      <c r="F3270" s="4">
        <v>0.0</v>
      </c>
      <c r="G3270" s="4">
        <v>221.0</v>
      </c>
      <c r="H3270" s="4">
        <v>149.0</v>
      </c>
      <c r="I3270" s="21">
        <f t="array" ref="I3270">XLOOKUP($A3270,product!A:A,product!E:E)</f>
        <v>1.81</v>
      </c>
      <c r="J3270" s="4">
        <f t="shared" si="2"/>
        <v>269.69</v>
      </c>
      <c r="K3270" s="22">
        <f t="shared" si="3"/>
        <v>1</v>
      </c>
      <c r="L3270" s="4">
        <f t="shared" si="4"/>
        <v>1</v>
      </c>
    </row>
    <row r="3271">
      <c r="A3271" s="23">
        <v>98329.0</v>
      </c>
      <c r="B3271" s="24" t="str">
        <f t="array" ref="B3271">xlookup($A3271,product!$A:$A,product!B:B)</f>
        <v>Epicerie sucrée</v>
      </c>
      <c r="C3271" s="24" t="str">
        <f t="array" ref="C3271">xlookup($A3271,product!$A:$A,product!C:C)</f>
        <v>Biscuits, Gâteaux</v>
      </c>
      <c r="D3271" s="24" t="str">
        <f t="array" ref="D3271">xlookup($A3271,product!$A:$A,product!D:D)</f>
        <v>Biscuit petit déjeuner</v>
      </c>
      <c r="E3271" s="25" t="str">
        <f t="shared" si="1"/>
        <v>98329-Biscuits, Gâteaux-Biscuit petit déjeuner</v>
      </c>
      <c r="F3271" s="25">
        <v>0.0</v>
      </c>
      <c r="G3271" s="25">
        <v>784.0</v>
      </c>
      <c r="H3271" s="25">
        <v>251.0</v>
      </c>
      <c r="I3271" s="26">
        <f t="array" ref="I3271">XLOOKUP($A3271,product!A:A,product!E:E)</f>
        <v>2.09</v>
      </c>
      <c r="J3271" s="25">
        <f t="shared" si="2"/>
        <v>524.59</v>
      </c>
      <c r="K3271" s="27">
        <f t="shared" si="3"/>
        <v>1</v>
      </c>
      <c r="L3271" s="25">
        <f t="shared" si="4"/>
        <v>1</v>
      </c>
    </row>
    <row r="3272">
      <c r="A3272" s="19">
        <v>81485.0</v>
      </c>
      <c r="B3272" s="20" t="str">
        <f t="array" ref="B3272">xlookup($A3272,product!$A:$A,product!B:B)</f>
        <v>Epicerie sucrée</v>
      </c>
      <c r="C3272" s="20" t="str">
        <f t="array" ref="C3272">xlookup($A3272,product!$A:$A,product!C:C)</f>
        <v>Biscuits, Gâteaux</v>
      </c>
      <c r="D3272" s="20" t="str">
        <f t="array" ref="D3272">xlookup($A3272,product!$A:$A,product!D:D)</f>
        <v>Biscuit petit déjeuner</v>
      </c>
      <c r="E3272" s="4" t="str">
        <f t="shared" si="1"/>
        <v>81485-Biscuits, Gâteaux-Biscuit petit déjeuner</v>
      </c>
      <c r="F3272" s="4">
        <v>0.0</v>
      </c>
      <c r="G3272" s="4">
        <v>32.0</v>
      </c>
      <c r="H3272" s="4">
        <v>28.0</v>
      </c>
      <c r="I3272" s="21">
        <f t="array" ref="I3272">XLOOKUP($A3272,product!A:A,product!E:E)</f>
        <v>1.81</v>
      </c>
      <c r="J3272" s="4">
        <f t="shared" si="2"/>
        <v>50.68</v>
      </c>
      <c r="K3272" s="22">
        <f t="shared" si="3"/>
        <v>1</v>
      </c>
      <c r="L3272" s="4">
        <f t="shared" si="4"/>
        <v>1</v>
      </c>
    </row>
    <row r="3273">
      <c r="A3273" s="23">
        <v>77847.0</v>
      </c>
      <c r="B3273" s="24" t="str">
        <f t="array" ref="B3273">xlookup($A3273,product!$A:$A,product!B:B)</f>
        <v>Epicerie sucrée</v>
      </c>
      <c r="C3273" s="24" t="str">
        <f t="array" ref="C3273">xlookup($A3273,product!$A:$A,product!C:C)</f>
        <v>Biscuits, Gâteaux</v>
      </c>
      <c r="D3273" s="24" t="str">
        <f t="array" ref="D3273">xlookup($A3273,product!$A:$A,product!D:D)</f>
        <v>Biscuit petit déjeuner</v>
      </c>
      <c r="E3273" s="25" t="str">
        <f t="shared" si="1"/>
        <v>77847-Biscuits, Gâteaux-Biscuit petit déjeuner</v>
      </c>
      <c r="F3273" s="25">
        <v>0.0</v>
      </c>
      <c r="G3273" s="25">
        <v>614.0</v>
      </c>
      <c r="H3273" s="25">
        <v>531.0</v>
      </c>
      <c r="I3273" s="26">
        <f t="array" ref="I3273">XLOOKUP($A3273,product!A:A,product!E:E)</f>
        <v>3.52</v>
      </c>
      <c r="J3273" s="25">
        <f t="shared" si="2"/>
        <v>1869.12</v>
      </c>
      <c r="K3273" s="27">
        <f t="shared" si="3"/>
        <v>1</v>
      </c>
      <c r="L3273" s="25">
        <f t="shared" si="4"/>
        <v>1</v>
      </c>
    </row>
    <row r="3274">
      <c r="A3274" s="19">
        <v>77290.0</v>
      </c>
      <c r="B3274" s="20" t="str">
        <f t="array" ref="B3274">xlookup($A3274,product!$A:$A,product!B:B)</f>
        <v>Epicerie sucrée</v>
      </c>
      <c r="C3274" s="20" t="str">
        <f t="array" ref="C3274">xlookup($A3274,product!$A:$A,product!C:C)</f>
        <v>Biscuits, Gâteaux</v>
      </c>
      <c r="D3274" s="20" t="str">
        <f t="array" ref="D3274">xlookup($A3274,product!$A:$A,product!D:D)</f>
        <v>Biscuit petit déjeuner</v>
      </c>
      <c r="E3274" s="4" t="str">
        <f t="shared" si="1"/>
        <v>77290-Biscuits, Gâteaux-Biscuit petit déjeuner</v>
      </c>
      <c r="F3274" s="4">
        <v>0.0</v>
      </c>
      <c r="G3274" s="4">
        <v>259.0</v>
      </c>
      <c r="H3274" s="4">
        <v>217.0</v>
      </c>
      <c r="I3274" s="21">
        <f t="array" ref="I3274">XLOOKUP($A3274,product!A:A,product!E:E)</f>
        <v>1.75</v>
      </c>
      <c r="J3274" s="4">
        <f t="shared" si="2"/>
        <v>379.75</v>
      </c>
      <c r="K3274" s="22">
        <f t="shared" si="3"/>
        <v>1</v>
      </c>
      <c r="L3274" s="4">
        <f t="shared" si="4"/>
        <v>1</v>
      </c>
    </row>
    <row r="3275">
      <c r="A3275" s="23">
        <v>114656.0</v>
      </c>
      <c r="B3275" s="24" t="str">
        <f t="array" ref="B3275">xlookup($A3275,product!$A:$A,product!B:B)</f>
        <v>Epicerie sucrée</v>
      </c>
      <c r="C3275" s="24" t="str">
        <f t="array" ref="C3275">xlookup($A3275,product!$A:$A,product!C:C)</f>
        <v>Biscuits, Gâteaux</v>
      </c>
      <c r="D3275" s="24" t="str">
        <f t="array" ref="D3275">xlookup($A3275,product!$A:$A,product!D:D)</f>
        <v>Biscuit petit déjeuner</v>
      </c>
      <c r="E3275" s="25" t="str">
        <f t="shared" si="1"/>
        <v>114656-Biscuits, Gâteaux-Biscuit petit déjeuner</v>
      </c>
      <c r="F3275" s="25">
        <v>0.0</v>
      </c>
      <c r="G3275" s="25">
        <v>321.0</v>
      </c>
      <c r="H3275" s="25">
        <v>150.0</v>
      </c>
      <c r="I3275" s="26">
        <f t="array" ref="I3275">XLOOKUP($A3275,product!A:A,product!E:E)</f>
        <v>1.81</v>
      </c>
      <c r="J3275" s="25">
        <f t="shared" si="2"/>
        <v>271.5</v>
      </c>
      <c r="K3275" s="27">
        <f t="shared" si="3"/>
        <v>1</v>
      </c>
      <c r="L3275" s="25">
        <f t="shared" si="4"/>
        <v>1</v>
      </c>
    </row>
    <row r="3276">
      <c r="A3276" s="19">
        <v>118486.0</v>
      </c>
      <c r="B3276" s="20" t="str">
        <f t="array" ref="B3276">xlookup($A3276,product!$A:$A,product!B:B)</f>
        <v>Epicerie sucrée</v>
      </c>
      <c r="C3276" s="20" t="str">
        <f t="array" ref="C3276">xlookup($A3276,product!$A:$A,product!C:C)</f>
        <v>Biscuits, Gâteaux</v>
      </c>
      <c r="D3276" s="20" t="str">
        <f t="array" ref="D3276">xlookup($A3276,product!$A:$A,product!D:D)</f>
        <v>Biscuit petit déjeuner</v>
      </c>
      <c r="E3276" s="4" t="str">
        <f t="shared" si="1"/>
        <v>118486-Biscuits, Gâteaux-Biscuit petit déjeuner</v>
      </c>
      <c r="F3276" s="4">
        <v>1.0</v>
      </c>
      <c r="G3276" s="4">
        <v>850.0</v>
      </c>
      <c r="H3276" s="4">
        <v>116.0</v>
      </c>
      <c r="I3276" s="21">
        <f t="array" ref="I3276">XLOOKUP($A3276,product!A:A,product!E:E)</f>
        <v>2.09</v>
      </c>
      <c r="J3276" s="4">
        <f t="shared" si="2"/>
        <v>242.44</v>
      </c>
      <c r="K3276" s="22">
        <f t="shared" si="3"/>
        <v>1</v>
      </c>
      <c r="L3276" s="4">
        <f t="shared" si="4"/>
        <v>1</v>
      </c>
    </row>
    <row r="3277">
      <c r="A3277" s="23">
        <v>101889.0</v>
      </c>
      <c r="B3277" s="24" t="str">
        <f t="array" ref="B3277">xlookup($A3277,product!$A:$A,product!B:B)</f>
        <v>Epicerie sucrée</v>
      </c>
      <c r="C3277" s="24" t="str">
        <f t="array" ref="C3277">xlookup($A3277,product!$A:$A,product!C:C)</f>
        <v>Biscuits, Gâteaux</v>
      </c>
      <c r="D3277" s="24" t="str">
        <f t="array" ref="D3277">xlookup($A3277,product!$A:$A,product!D:D)</f>
        <v>Biscuit petit déjeuner</v>
      </c>
      <c r="E3277" s="25" t="str">
        <f t="shared" si="1"/>
        <v>101889-Biscuits, Gâteaux-Biscuit petit déjeuner</v>
      </c>
      <c r="F3277" s="25">
        <v>0.0</v>
      </c>
      <c r="G3277" s="25">
        <v>488.0</v>
      </c>
      <c r="H3277" s="25">
        <v>359.0</v>
      </c>
      <c r="I3277" s="26">
        <f t="array" ref="I3277">XLOOKUP($A3277,product!A:A,product!E:E)</f>
        <v>2.05</v>
      </c>
      <c r="J3277" s="25">
        <f t="shared" si="2"/>
        <v>735.95</v>
      </c>
      <c r="K3277" s="27">
        <f t="shared" si="3"/>
        <v>1</v>
      </c>
      <c r="L3277" s="25">
        <f t="shared" si="4"/>
        <v>1</v>
      </c>
    </row>
    <row r="3278">
      <c r="A3278" s="19">
        <v>14030.0</v>
      </c>
      <c r="B3278" s="20" t="str">
        <f t="array" ref="B3278">xlookup($A3278,product!$A:$A,product!B:B)</f>
        <v>Epicerie sucrée</v>
      </c>
      <c r="C3278" s="20" t="str">
        <f t="array" ref="C3278">xlookup($A3278,product!$A:$A,product!C:C)</f>
        <v>Biscuits, Gâteaux</v>
      </c>
      <c r="D3278" s="20" t="str">
        <f t="array" ref="D3278">xlookup($A3278,product!$A:$A,product!D:D)</f>
        <v>Biscuit petit déjeuner</v>
      </c>
      <c r="E3278" s="4" t="str">
        <f t="shared" si="1"/>
        <v>14030-Biscuits, Gâteaux-Biscuit petit déjeuner</v>
      </c>
      <c r="F3278" s="4">
        <v>0.0</v>
      </c>
      <c r="G3278" s="4">
        <v>475.0</v>
      </c>
      <c r="H3278" s="4">
        <v>182.0</v>
      </c>
      <c r="I3278" s="21">
        <f t="array" ref="I3278">XLOOKUP($A3278,product!A:A,product!E:E)</f>
        <v>1.75</v>
      </c>
      <c r="J3278" s="4">
        <f t="shared" si="2"/>
        <v>318.5</v>
      </c>
      <c r="K3278" s="22">
        <f t="shared" si="3"/>
        <v>1</v>
      </c>
      <c r="L3278" s="4">
        <f t="shared" si="4"/>
        <v>1</v>
      </c>
    </row>
    <row r="3279">
      <c r="A3279" s="23">
        <v>47381.0</v>
      </c>
      <c r="B3279" s="24" t="str">
        <f t="array" ref="B3279">xlookup($A3279,product!$A:$A,product!B:B)</f>
        <v>Epicerie sucrée</v>
      </c>
      <c r="C3279" s="24" t="str">
        <f t="array" ref="C3279">xlookup($A3279,product!$A:$A,product!C:C)</f>
        <v>Biscuits, Gâteaux</v>
      </c>
      <c r="D3279" s="24" t="str">
        <f t="array" ref="D3279">xlookup($A3279,product!$A:$A,product!D:D)</f>
        <v>Biscuit petit déjeuner</v>
      </c>
      <c r="E3279" s="25" t="str">
        <f t="shared" si="1"/>
        <v>47381-Biscuits, Gâteaux-Biscuit petit déjeuner</v>
      </c>
      <c r="F3279" s="25">
        <v>1.0</v>
      </c>
      <c r="G3279" s="25">
        <v>375.0</v>
      </c>
      <c r="H3279" s="25">
        <v>287.0</v>
      </c>
      <c r="I3279" s="26">
        <f t="array" ref="I3279">XLOOKUP($A3279,product!A:A,product!E:E)</f>
        <v>1.81</v>
      </c>
      <c r="J3279" s="25">
        <f t="shared" si="2"/>
        <v>519.47</v>
      </c>
      <c r="K3279" s="27">
        <f t="shared" si="3"/>
        <v>1</v>
      </c>
      <c r="L3279" s="25">
        <f t="shared" si="4"/>
        <v>1</v>
      </c>
    </row>
    <row r="3280">
      <c r="A3280" s="19">
        <v>101888.0</v>
      </c>
      <c r="B3280" s="20" t="str">
        <f t="array" ref="B3280">xlookup($A3280,product!$A:$A,product!B:B)</f>
        <v>Epicerie sucrée</v>
      </c>
      <c r="C3280" s="20" t="str">
        <f t="array" ref="C3280">xlookup($A3280,product!$A:$A,product!C:C)</f>
        <v>Biscuits, Gâteaux</v>
      </c>
      <c r="D3280" s="20" t="str">
        <f t="array" ref="D3280">xlookup($A3280,product!$A:$A,product!D:D)</f>
        <v>Biscuit petit déjeuner</v>
      </c>
      <c r="E3280" s="4" t="str">
        <f t="shared" si="1"/>
        <v>101888-Biscuits, Gâteaux-Biscuit petit déjeuner</v>
      </c>
      <c r="F3280" s="4">
        <v>0.0</v>
      </c>
      <c r="G3280" s="4">
        <v>109.0</v>
      </c>
      <c r="H3280" s="4">
        <v>63.0</v>
      </c>
      <c r="I3280" s="21">
        <f t="array" ref="I3280">XLOOKUP($A3280,product!A:A,product!E:E)</f>
        <v>1.98</v>
      </c>
      <c r="J3280" s="4">
        <f t="shared" si="2"/>
        <v>124.74</v>
      </c>
      <c r="K3280" s="22">
        <f t="shared" si="3"/>
        <v>1</v>
      </c>
      <c r="L3280" s="4">
        <f t="shared" si="4"/>
        <v>1</v>
      </c>
    </row>
    <row r="3281">
      <c r="A3281" s="23">
        <v>98328.0</v>
      </c>
      <c r="B3281" s="24" t="str">
        <f t="array" ref="B3281">xlookup($A3281,product!$A:$A,product!B:B)</f>
        <v>Epicerie sucrée</v>
      </c>
      <c r="C3281" s="24" t="str">
        <f t="array" ref="C3281">xlookup($A3281,product!$A:$A,product!C:C)</f>
        <v>Biscuits, Gâteaux</v>
      </c>
      <c r="D3281" s="24" t="str">
        <f t="array" ref="D3281">xlookup($A3281,product!$A:$A,product!D:D)</f>
        <v>Biscuit petit déjeuner</v>
      </c>
      <c r="E3281" s="25" t="str">
        <f t="shared" si="1"/>
        <v>98328-Biscuits, Gâteaux-Biscuit petit déjeuner</v>
      </c>
      <c r="F3281" s="25">
        <v>0.0</v>
      </c>
      <c r="G3281" s="25">
        <v>354.0</v>
      </c>
      <c r="H3281" s="25">
        <v>221.0</v>
      </c>
      <c r="I3281" s="26">
        <f t="array" ref="I3281">XLOOKUP($A3281,product!A:A,product!E:E)</f>
        <v>2.09</v>
      </c>
      <c r="J3281" s="25">
        <f t="shared" si="2"/>
        <v>461.89</v>
      </c>
      <c r="K3281" s="27">
        <f t="shared" si="3"/>
        <v>1</v>
      </c>
      <c r="L3281" s="25">
        <f t="shared" si="4"/>
        <v>1</v>
      </c>
    </row>
    <row r="3282">
      <c r="A3282" s="19">
        <v>79775.0</v>
      </c>
      <c r="B3282" s="20" t="str">
        <f t="array" ref="B3282">xlookup($A3282,product!$A:$A,product!B:B)</f>
        <v>Epicerie sucrée</v>
      </c>
      <c r="C3282" s="20" t="str">
        <f t="array" ref="C3282">xlookup($A3282,product!$A:$A,product!C:C)</f>
        <v>Biscuits, Gâteaux</v>
      </c>
      <c r="D3282" s="20" t="str">
        <f t="array" ref="D3282">xlookup($A3282,product!$A:$A,product!D:D)</f>
        <v>Biscuit caramel et vanille</v>
      </c>
      <c r="E3282" s="4" t="str">
        <f t="shared" si="1"/>
        <v>79775-Biscuits, Gâteaux-Biscuit caramel et vanille</v>
      </c>
      <c r="F3282" s="4">
        <v>0.0</v>
      </c>
      <c r="G3282" s="4">
        <v>909.0</v>
      </c>
      <c r="H3282" s="4">
        <v>586.0</v>
      </c>
      <c r="I3282" s="21">
        <f t="array" ref="I3282">XLOOKUP($A3282,product!A:A,product!E:E)</f>
        <v>2.11</v>
      </c>
      <c r="J3282" s="4">
        <f t="shared" si="2"/>
        <v>1236.46</v>
      </c>
      <c r="K3282" s="22">
        <f t="shared" si="3"/>
        <v>1</v>
      </c>
      <c r="L3282" s="4">
        <f t="shared" si="4"/>
        <v>1</v>
      </c>
    </row>
    <row r="3283">
      <c r="A3283" s="23">
        <v>122616.0</v>
      </c>
      <c r="B3283" s="24" t="str">
        <f t="array" ref="B3283">xlookup($A3283,product!$A:$A,product!B:B)</f>
        <v>Epicerie sucrée</v>
      </c>
      <c r="C3283" s="24" t="str">
        <f t="array" ref="C3283">xlookup($A3283,product!$A:$A,product!C:C)</f>
        <v>Biscuits, Gâteaux</v>
      </c>
      <c r="D3283" s="24" t="str">
        <f t="array" ref="D3283">xlookup($A3283,product!$A:$A,product!D:D)</f>
        <v>Biscuit caramel et vanille</v>
      </c>
      <c r="E3283" s="25" t="str">
        <f t="shared" si="1"/>
        <v>122616-Biscuits, Gâteaux-Biscuit caramel et vanille</v>
      </c>
      <c r="F3283" s="25">
        <v>1.0</v>
      </c>
      <c r="G3283" s="25">
        <v>112.0</v>
      </c>
      <c r="H3283" s="25">
        <v>0.0</v>
      </c>
      <c r="I3283" s="26">
        <f t="array" ref="I3283">XLOOKUP($A3283,product!A:A,product!E:E)</f>
        <v>2.07</v>
      </c>
      <c r="J3283" s="25">
        <f t="shared" si="2"/>
        <v>0</v>
      </c>
      <c r="K3283" s="27">
        <f t="shared" si="3"/>
        <v>0</v>
      </c>
      <c r="L3283" s="25">
        <f t="shared" si="4"/>
        <v>1</v>
      </c>
    </row>
    <row r="3284">
      <c r="A3284" s="19">
        <v>101950.0</v>
      </c>
      <c r="B3284" s="20" t="str">
        <f t="array" ref="B3284">xlookup($A3284,product!$A:$A,product!B:B)</f>
        <v>Epicerie sucrée</v>
      </c>
      <c r="C3284" s="20" t="str">
        <f t="array" ref="C3284">xlookup($A3284,product!$A:$A,product!C:C)</f>
        <v>Biscuits, Gâteaux</v>
      </c>
      <c r="D3284" s="20" t="str">
        <f t="array" ref="D3284">xlookup($A3284,product!$A:$A,product!D:D)</f>
        <v>Biscuit caramel et vanille</v>
      </c>
      <c r="E3284" s="4" t="str">
        <f t="shared" si="1"/>
        <v>101950-Biscuits, Gâteaux-Biscuit caramel et vanille</v>
      </c>
      <c r="F3284" s="4">
        <v>0.0</v>
      </c>
      <c r="G3284" s="4">
        <v>916.0</v>
      </c>
      <c r="H3284" s="4">
        <v>512.0</v>
      </c>
      <c r="I3284" s="21">
        <f t="array" ref="I3284">XLOOKUP($A3284,product!A:A,product!E:E)</f>
        <v>2.23</v>
      </c>
      <c r="J3284" s="4">
        <f t="shared" si="2"/>
        <v>1141.76</v>
      </c>
      <c r="K3284" s="22">
        <f t="shared" si="3"/>
        <v>1</v>
      </c>
      <c r="L3284" s="4">
        <f t="shared" si="4"/>
        <v>1</v>
      </c>
    </row>
    <row r="3285">
      <c r="A3285" s="23">
        <v>9163.0</v>
      </c>
      <c r="B3285" s="24" t="str">
        <f t="array" ref="B3285">xlookup($A3285,product!$A:$A,product!B:B)</f>
        <v>Epicerie sucrée</v>
      </c>
      <c r="C3285" s="24" t="str">
        <f t="array" ref="C3285">xlookup($A3285,product!$A:$A,product!C:C)</f>
        <v>Biscuits, Gâteaux</v>
      </c>
      <c r="D3285" s="24" t="str">
        <f t="array" ref="D3285">xlookup($A3285,product!$A:$A,product!D:D)</f>
        <v>Biscuit caramel et vanille</v>
      </c>
      <c r="E3285" s="25" t="str">
        <f t="shared" si="1"/>
        <v>9163-Biscuits, Gâteaux-Biscuit caramel et vanille</v>
      </c>
      <c r="F3285" s="25">
        <v>1.0</v>
      </c>
      <c r="G3285" s="25">
        <v>616.0</v>
      </c>
      <c r="H3285" s="25">
        <v>428.0</v>
      </c>
      <c r="I3285" s="26">
        <f t="array" ref="I3285">XLOOKUP($A3285,product!A:A,product!E:E)</f>
        <v>1.41</v>
      </c>
      <c r="J3285" s="25">
        <f t="shared" si="2"/>
        <v>603.48</v>
      </c>
      <c r="K3285" s="27">
        <f t="shared" si="3"/>
        <v>1</v>
      </c>
      <c r="L3285" s="25">
        <f t="shared" si="4"/>
        <v>1</v>
      </c>
    </row>
    <row r="3286">
      <c r="A3286" s="19">
        <v>110106.0</v>
      </c>
      <c r="B3286" s="20" t="str">
        <f t="array" ref="B3286">xlookup($A3286,product!$A:$A,product!B:B)</f>
        <v>Epicerie sucrée</v>
      </c>
      <c r="C3286" s="20" t="str">
        <f t="array" ref="C3286">xlookup($A3286,product!$A:$A,product!C:C)</f>
        <v>Biscuits, Gâteaux</v>
      </c>
      <c r="D3286" s="20" t="str">
        <f t="array" ref="D3286">xlookup($A3286,product!$A:$A,product!D:D)</f>
        <v>Biscuit caramel et vanille</v>
      </c>
      <c r="E3286" s="4" t="str">
        <f t="shared" si="1"/>
        <v>110106-Biscuits, Gâteaux-Biscuit caramel et vanille</v>
      </c>
      <c r="F3286" s="4">
        <v>0.0</v>
      </c>
      <c r="G3286" s="4">
        <v>531.0</v>
      </c>
      <c r="H3286" s="4">
        <v>443.0</v>
      </c>
      <c r="I3286" s="21">
        <f t="array" ref="I3286">XLOOKUP($A3286,product!A:A,product!E:E)</f>
        <v>1.57</v>
      </c>
      <c r="J3286" s="4">
        <f t="shared" si="2"/>
        <v>695.51</v>
      </c>
      <c r="K3286" s="22">
        <f t="shared" si="3"/>
        <v>1</v>
      </c>
      <c r="L3286" s="4">
        <f t="shared" si="4"/>
        <v>1</v>
      </c>
    </row>
    <row r="3287">
      <c r="A3287" s="23">
        <v>14045.0</v>
      </c>
      <c r="B3287" s="24" t="str">
        <f t="array" ref="B3287">xlookup($A3287,product!$A:$A,product!B:B)</f>
        <v>Epicerie sucrée</v>
      </c>
      <c r="C3287" s="24" t="str">
        <f t="array" ref="C3287">xlookup($A3287,product!$A:$A,product!C:C)</f>
        <v>Biscuits, Gâteaux</v>
      </c>
      <c r="D3287" s="24" t="str">
        <f t="array" ref="D3287">xlookup($A3287,product!$A:$A,product!D:D)</f>
        <v>Biscuit fruits secs et céréales</v>
      </c>
      <c r="E3287" s="25" t="str">
        <f t="shared" si="1"/>
        <v>14045-Biscuits, Gâteaux-Biscuit fruits secs et céréales</v>
      </c>
      <c r="F3287" s="25">
        <v>0.0</v>
      </c>
      <c r="G3287" s="25">
        <v>391.0</v>
      </c>
      <c r="H3287" s="25">
        <v>373.0</v>
      </c>
      <c r="I3287" s="26">
        <f t="array" ref="I3287">XLOOKUP($A3287,product!A:A,product!E:E)</f>
        <v>1.71</v>
      </c>
      <c r="J3287" s="25">
        <f t="shared" si="2"/>
        <v>637.83</v>
      </c>
      <c r="K3287" s="27">
        <f t="shared" si="3"/>
        <v>1</v>
      </c>
      <c r="L3287" s="25">
        <f t="shared" si="4"/>
        <v>1</v>
      </c>
    </row>
    <row r="3288">
      <c r="A3288" s="19">
        <v>95993.0</v>
      </c>
      <c r="B3288" s="20" t="str">
        <f t="array" ref="B3288">xlookup($A3288,product!$A:$A,product!B:B)</f>
        <v>Epicerie sucrée</v>
      </c>
      <c r="C3288" s="20" t="str">
        <f t="array" ref="C3288">xlookup($A3288,product!$A:$A,product!C:C)</f>
        <v>Biscuits, Gâteaux</v>
      </c>
      <c r="D3288" s="20" t="str">
        <f t="array" ref="D3288">xlookup($A3288,product!$A:$A,product!D:D)</f>
        <v>Biscuit fruits secs et céréales</v>
      </c>
      <c r="E3288" s="4" t="str">
        <f t="shared" si="1"/>
        <v>95993-Biscuits, Gâteaux-Biscuit fruits secs et céréales</v>
      </c>
      <c r="F3288" s="4">
        <v>1.0</v>
      </c>
      <c r="G3288" s="4">
        <v>322.0</v>
      </c>
      <c r="H3288" s="4">
        <v>261.0</v>
      </c>
      <c r="I3288" s="21">
        <f t="array" ref="I3288">XLOOKUP($A3288,product!A:A,product!E:E)</f>
        <v>0.57</v>
      </c>
      <c r="J3288" s="4">
        <f t="shared" si="2"/>
        <v>148.77</v>
      </c>
      <c r="K3288" s="22">
        <f t="shared" si="3"/>
        <v>1</v>
      </c>
      <c r="L3288" s="4">
        <f t="shared" si="4"/>
        <v>1</v>
      </c>
    </row>
    <row r="3289">
      <c r="A3289" s="23">
        <v>81488.0</v>
      </c>
      <c r="B3289" s="24" t="str">
        <f t="array" ref="B3289">xlookup($A3289,product!$A:$A,product!B:B)</f>
        <v>Epicerie sucrée</v>
      </c>
      <c r="C3289" s="24" t="str">
        <f t="array" ref="C3289">xlookup($A3289,product!$A:$A,product!C:C)</f>
        <v>Biscuits, Gâteaux</v>
      </c>
      <c r="D3289" s="24" t="str">
        <f t="array" ref="D3289">xlookup($A3289,product!$A:$A,product!D:D)</f>
        <v>Biscuit fruits secs et céréales</v>
      </c>
      <c r="E3289" s="25" t="str">
        <f t="shared" si="1"/>
        <v>81488-Biscuits, Gâteaux-Biscuit fruits secs et céréales</v>
      </c>
      <c r="F3289" s="25">
        <v>0.0</v>
      </c>
      <c r="G3289" s="25">
        <v>328.0</v>
      </c>
      <c r="H3289" s="25">
        <v>121.0</v>
      </c>
      <c r="I3289" s="26">
        <f t="array" ref="I3289">XLOOKUP($A3289,product!A:A,product!E:E)</f>
        <v>1.85</v>
      </c>
      <c r="J3289" s="25">
        <f t="shared" si="2"/>
        <v>223.85</v>
      </c>
      <c r="K3289" s="27">
        <f t="shared" si="3"/>
        <v>1</v>
      </c>
      <c r="L3289" s="25">
        <f t="shared" si="4"/>
        <v>1</v>
      </c>
    </row>
    <row r="3290">
      <c r="A3290" s="19">
        <v>14049.0</v>
      </c>
      <c r="B3290" s="20" t="str">
        <f t="array" ref="B3290">xlookup($A3290,product!$A:$A,product!B:B)</f>
        <v>Epicerie sucrée</v>
      </c>
      <c r="C3290" s="20" t="str">
        <f t="array" ref="C3290">xlookup($A3290,product!$A:$A,product!C:C)</f>
        <v>Biscuits, Gâteaux</v>
      </c>
      <c r="D3290" s="20" t="str">
        <f t="array" ref="D3290">xlookup($A3290,product!$A:$A,product!D:D)</f>
        <v>Biscuit fruits secs et céréales</v>
      </c>
      <c r="E3290" s="4" t="str">
        <f t="shared" si="1"/>
        <v>14049-Biscuits, Gâteaux-Biscuit fruits secs et céréales</v>
      </c>
      <c r="F3290" s="4">
        <v>0.0</v>
      </c>
      <c r="G3290" s="4">
        <v>291.0</v>
      </c>
      <c r="H3290" s="4">
        <v>244.0</v>
      </c>
      <c r="I3290" s="21">
        <f t="array" ref="I3290">XLOOKUP($A3290,product!A:A,product!E:E)</f>
        <v>1.81</v>
      </c>
      <c r="J3290" s="4">
        <f t="shared" si="2"/>
        <v>441.64</v>
      </c>
      <c r="K3290" s="22">
        <f t="shared" si="3"/>
        <v>1</v>
      </c>
      <c r="L3290" s="4">
        <f t="shared" si="4"/>
        <v>1</v>
      </c>
    </row>
    <row r="3291">
      <c r="A3291" s="23">
        <v>121749.0</v>
      </c>
      <c r="B3291" s="24" t="str">
        <f t="array" ref="B3291">xlookup($A3291,product!$A:$A,product!B:B)</f>
        <v>Epicerie sucrée</v>
      </c>
      <c r="C3291" s="24" t="str">
        <f t="array" ref="C3291">xlookup($A3291,product!$A:$A,product!C:C)</f>
        <v>Biscuits, Gâteaux</v>
      </c>
      <c r="D3291" s="24" t="str">
        <f t="array" ref="D3291">xlookup($A3291,product!$A:$A,product!D:D)</f>
        <v>Biscuit fruits secs et céréales</v>
      </c>
      <c r="E3291" s="25" t="str">
        <f t="shared" si="1"/>
        <v>121749-Biscuits, Gâteaux-Biscuit fruits secs et céréales</v>
      </c>
      <c r="F3291" s="25">
        <v>0.0</v>
      </c>
      <c r="G3291" s="25">
        <v>445.0</v>
      </c>
      <c r="H3291" s="25">
        <v>133.0</v>
      </c>
      <c r="I3291" s="26">
        <f t="array" ref="I3291">XLOOKUP($A3291,product!A:A,product!E:E)</f>
        <v>1.43</v>
      </c>
      <c r="J3291" s="25">
        <f t="shared" si="2"/>
        <v>190.19</v>
      </c>
      <c r="K3291" s="27">
        <f t="shared" si="3"/>
        <v>1</v>
      </c>
      <c r="L3291" s="25">
        <f t="shared" si="4"/>
        <v>1</v>
      </c>
    </row>
    <row r="3292">
      <c r="A3292" s="19">
        <v>101927.0</v>
      </c>
      <c r="B3292" s="20" t="str">
        <f t="array" ref="B3292">xlookup($A3292,product!$A:$A,product!B:B)</f>
        <v>Epicerie sucrée</v>
      </c>
      <c r="C3292" s="20" t="str">
        <f t="array" ref="C3292">xlookup($A3292,product!$A:$A,product!C:C)</f>
        <v>Biscuits, Gâteaux</v>
      </c>
      <c r="D3292" s="20" t="str">
        <f t="array" ref="D3292">xlookup($A3292,product!$A:$A,product!D:D)</f>
        <v>Biscuit fruits secs et céréales</v>
      </c>
      <c r="E3292" s="4" t="str">
        <f t="shared" si="1"/>
        <v>101927-Biscuits, Gâteaux-Biscuit fruits secs et céréales</v>
      </c>
      <c r="F3292" s="4">
        <v>0.0</v>
      </c>
      <c r="G3292" s="4">
        <v>212.0</v>
      </c>
      <c r="H3292" s="4">
        <v>61.0</v>
      </c>
      <c r="I3292" s="21">
        <f t="array" ref="I3292">XLOOKUP($A3292,product!A:A,product!E:E)</f>
        <v>2.05</v>
      </c>
      <c r="J3292" s="4">
        <f t="shared" si="2"/>
        <v>125.05</v>
      </c>
      <c r="K3292" s="22">
        <f t="shared" si="3"/>
        <v>1</v>
      </c>
      <c r="L3292" s="4">
        <f t="shared" si="4"/>
        <v>1</v>
      </c>
    </row>
    <row r="3293">
      <c r="A3293" s="23">
        <v>103864.0</v>
      </c>
      <c r="B3293" s="24" t="str">
        <f t="array" ref="B3293">xlookup($A3293,product!$A:$A,product!B:B)</f>
        <v>Epicerie sucrée</v>
      </c>
      <c r="C3293" s="24" t="str">
        <f t="array" ref="C3293">xlookup($A3293,product!$A:$A,product!C:C)</f>
        <v>Biscuits, Gâteaux</v>
      </c>
      <c r="D3293" s="24" t="str">
        <f t="array" ref="D3293">xlookup($A3293,product!$A:$A,product!D:D)</f>
        <v>Biscuit fruits secs et céréales</v>
      </c>
      <c r="E3293" s="25" t="str">
        <f t="shared" si="1"/>
        <v>103864-Biscuits, Gâteaux-Biscuit fruits secs et céréales</v>
      </c>
      <c r="F3293" s="25">
        <v>0.0</v>
      </c>
      <c r="G3293" s="25">
        <v>179.0</v>
      </c>
      <c r="H3293" s="25">
        <v>134.0</v>
      </c>
      <c r="I3293" s="26">
        <f t="array" ref="I3293">XLOOKUP($A3293,product!A:A,product!E:E)</f>
        <v>2.11</v>
      </c>
      <c r="J3293" s="25">
        <f t="shared" si="2"/>
        <v>282.74</v>
      </c>
      <c r="K3293" s="27">
        <f t="shared" si="3"/>
        <v>1</v>
      </c>
      <c r="L3293" s="25">
        <f t="shared" si="4"/>
        <v>1</v>
      </c>
    </row>
    <row r="3294">
      <c r="A3294" s="19">
        <v>85862.0</v>
      </c>
      <c r="B3294" s="20" t="str">
        <f t="array" ref="B3294">xlookup($A3294,product!$A:$A,product!B:B)</f>
        <v>Epicerie sucrée</v>
      </c>
      <c r="C3294" s="20" t="str">
        <f t="array" ref="C3294">xlookup($A3294,product!$A:$A,product!C:C)</f>
        <v>Biscuits, Gâteaux</v>
      </c>
      <c r="D3294" s="20" t="str">
        <f t="array" ref="D3294">xlookup($A3294,product!$A:$A,product!D:D)</f>
        <v>Biscuit fruits secs et céréales</v>
      </c>
      <c r="E3294" s="4" t="str">
        <f t="shared" si="1"/>
        <v>85862-Biscuits, Gâteaux-Biscuit fruits secs et céréales</v>
      </c>
      <c r="F3294" s="4">
        <v>1.0</v>
      </c>
      <c r="G3294" s="4">
        <v>308.0</v>
      </c>
      <c r="H3294" s="4">
        <v>226.0</v>
      </c>
      <c r="I3294" s="21">
        <f t="array" ref="I3294">XLOOKUP($A3294,product!A:A,product!E:E)</f>
        <v>2.01</v>
      </c>
      <c r="J3294" s="4">
        <f t="shared" si="2"/>
        <v>454.26</v>
      </c>
      <c r="K3294" s="22">
        <f t="shared" si="3"/>
        <v>1</v>
      </c>
      <c r="L3294" s="4">
        <f t="shared" si="4"/>
        <v>1</v>
      </c>
    </row>
    <row r="3295">
      <c r="A3295" s="23">
        <v>46124.0</v>
      </c>
      <c r="B3295" s="24" t="str">
        <f t="array" ref="B3295">xlookup($A3295,product!$A:$A,product!B:B)</f>
        <v>Boisson</v>
      </c>
      <c r="C3295" s="24" t="str">
        <f t="array" ref="C3295">xlookup($A3295,product!$A:$A,product!C:C)</f>
        <v>Boisson végétale</v>
      </c>
      <c r="D3295" s="24" t="str">
        <f t="array" ref="D3295">xlookup($A3295,product!$A:$A,product!D:D)</f>
        <v>Boisson au riz</v>
      </c>
      <c r="E3295" s="25" t="str">
        <f t="shared" si="1"/>
        <v>46124-Boisson végétale-Boisson au riz</v>
      </c>
      <c r="F3295" s="25">
        <v>1.0</v>
      </c>
      <c r="G3295" s="25">
        <v>379.0</v>
      </c>
      <c r="H3295" s="25">
        <v>140.0</v>
      </c>
      <c r="I3295" s="26">
        <f t="array" ref="I3295">XLOOKUP($A3295,product!A:A,product!E:E)</f>
        <v>1.11</v>
      </c>
      <c r="J3295" s="25">
        <f t="shared" si="2"/>
        <v>155.4</v>
      </c>
      <c r="K3295" s="27">
        <f t="shared" si="3"/>
        <v>1</v>
      </c>
      <c r="L3295" s="25">
        <f t="shared" si="4"/>
        <v>1</v>
      </c>
    </row>
    <row r="3296">
      <c r="A3296" s="19">
        <v>114346.0</v>
      </c>
      <c r="B3296" s="20" t="str">
        <f t="array" ref="B3296">xlookup($A3296,product!$A:$A,product!B:B)</f>
        <v>Boisson</v>
      </c>
      <c r="C3296" s="20" t="str">
        <f t="array" ref="C3296">xlookup($A3296,product!$A:$A,product!C:C)</f>
        <v>Boisson végétale</v>
      </c>
      <c r="D3296" s="20" t="str">
        <f t="array" ref="D3296">xlookup($A3296,product!$A:$A,product!D:D)</f>
        <v>Boisson au riz</v>
      </c>
      <c r="E3296" s="4" t="str">
        <f t="shared" si="1"/>
        <v>114346-Boisson végétale-Boisson au riz</v>
      </c>
      <c r="F3296" s="4">
        <v>1.0</v>
      </c>
      <c r="G3296" s="4">
        <v>919.0</v>
      </c>
      <c r="H3296" s="4">
        <v>397.0</v>
      </c>
      <c r="I3296" s="21">
        <f t="array" ref="I3296">XLOOKUP($A3296,product!A:A,product!E:E)</f>
        <v>1.5</v>
      </c>
      <c r="J3296" s="4">
        <f t="shared" si="2"/>
        <v>595.5</v>
      </c>
      <c r="K3296" s="22">
        <f t="shared" si="3"/>
        <v>1</v>
      </c>
      <c r="L3296" s="4">
        <f t="shared" si="4"/>
        <v>1</v>
      </c>
    </row>
    <row r="3297">
      <c r="A3297" s="23">
        <v>80194.0</v>
      </c>
      <c r="B3297" s="24" t="str">
        <f t="array" ref="B3297">xlookup($A3297,product!$A:$A,product!B:B)</f>
        <v>Boisson</v>
      </c>
      <c r="C3297" s="24" t="str">
        <f t="array" ref="C3297">xlookup($A3297,product!$A:$A,product!C:C)</f>
        <v>Boisson végétale</v>
      </c>
      <c r="D3297" s="24" t="str">
        <f t="array" ref="D3297">xlookup($A3297,product!$A:$A,product!D:D)</f>
        <v>Boisson au riz</v>
      </c>
      <c r="E3297" s="25" t="str">
        <f t="shared" si="1"/>
        <v>80194-Boisson végétale-Boisson au riz</v>
      </c>
      <c r="F3297" s="25">
        <v>1.0</v>
      </c>
      <c r="G3297" s="25">
        <v>219.0</v>
      </c>
      <c r="H3297" s="25">
        <v>164.0</v>
      </c>
      <c r="I3297" s="26">
        <f t="array" ref="I3297">XLOOKUP($A3297,product!A:A,product!E:E)</f>
        <v>2.29</v>
      </c>
      <c r="J3297" s="25">
        <f t="shared" si="2"/>
        <v>375.56</v>
      </c>
      <c r="K3297" s="27">
        <f t="shared" si="3"/>
        <v>1</v>
      </c>
      <c r="L3297" s="25">
        <f t="shared" si="4"/>
        <v>1</v>
      </c>
    </row>
    <row r="3298">
      <c r="A3298" s="19">
        <v>80192.0</v>
      </c>
      <c r="B3298" s="20" t="str">
        <f t="array" ref="B3298">xlookup($A3298,product!$A:$A,product!B:B)</f>
        <v>Boisson</v>
      </c>
      <c r="C3298" s="20" t="str">
        <f t="array" ref="C3298">xlookup($A3298,product!$A:$A,product!C:C)</f>
        <v>Boisson végétale</v>
      </c>
      <c r="D3298" s="20" t="str">
        <f t="array" ref="D3298">xlookup($A3298,product!$A:$A,product!D:D)</f>
        <v>Boisson au riz</v>
      </c>
      <c r="E3298" s="4" t="str">
        <f t="shared" si="1"/>
        <v>80192-Boisson végétale-Boisson au riz</v>
      </c>
      <c r="F3298" s="4">
        <v>1.0</v>
      </c>
      <c r="G3298" s="4">
        <v>712.0</v>
      </c>
      <c r="H3298" s="4">
        <v>241.0</v>
      </c>
      <c r="I3298" s="21">
        <f t="array" ref="I3298">XLOOKUP($A3298,product!A:A,product!E:E)</f>
        <v>2.2</v>
      </c>
      <c r="J3298" s="4">
        <f t="shared" si="2"/>
        <v>530.2</v>
      </c>
      <c r="K3298" s="22">
        <f t="shared" si="3"/>
        <v>1</v>
      </c>
      <c r="L3298" s="4">
        <f t="shared" si="4"/>
        <v>1</v>
      </c>
    </row>
    <row r="3299">
      <c r="A3299" s="23">
        <v>46109.0</v>
      </c>
      <c r="B3299" s="24" t="str">
        <f t="array" ref="B3299">xlookup($A3299,product!$A:$A,product!B:B)</f>
        <v>Boisson</v>
      </c>
      <c r="C3299" s="24" t="str">
        <f t="array" ref="C3299">xlookup($A3299,product!$A:$A,product!C:C)</f>
        <v>Boisson végétale</v>
      </c>
      <c r="D3299" s="24" t="str">
        <f t="array" ref="D3299">xlookup($A3299,product!$A:$A,product!D:D)</f>
        <v>Boisson au riz</v>
      </c>
      <c r="E3299" s="25" t="str">
        <f t="shared" si="1"/>
        <v>46109-Boisson végétale-Boisson au riz</v>
      </c>
      <c r="F3299" s="25">
        <v>1.0</v>
      </c>
      <c r="G3299" s="25">
        <v>877.0</v>
      </c>
      <c r="H3299" s="25">
        <v>146.0</v>
      </c>
      <c r="I3299" s="26">
        <f t="array" ref="I3299">XLOOKUP($A3299,product!A:A,product!E:E)</f>
        <v>0.96</v>
      </c>
      <c r="J3299" s="25">
        <f t="shared" si="2"/>
        <v>140.16</v>
      </c>
      <c r="K3299" s="27">
        <f t="shared" si="3"/>
        <v>1</v>
      </c>
      <c r="L3299" s="25">
        <f t="shared" si="4"/>
        <v>1</v>
      </c>
    </row>
    <row r="3300">
      <c r="A3300" s="19">
        <v>80196.0</v>
      </c>
      <c r="B3300" s="20" t="str">
        <f t="array" ref="B3300">xlookup($A3300,product!$A:$A,product!B:B)</f>
        <v>Boisson</v>
      </c>
      <c r="C3300" s="20" t="str">
        <f t="array" ref="C3300">xlookup($A3300,product!$A:$A,product!C:C)</f>
        <v>Boisson végétale</v>
      </c>
      <c r="D3300" s="20" t="str">
        <f t="array" ref="D3300">xlookup($A3300,product!$A:$A,product!D:D)</f>
        <v>Boisson au riz</v>
      </c>
      <c r="E3300" s="4" t="str">
        <f t="shared" si="1"/>
        <v>80196-Boisson végétale-Boisson au riz</v>
      </c>
      <c r="F3300" s="4">
        <v>0.0</v>
      </c>
      <c r="G3300" s="4">
        <v>755.0</v>
      </c>
      <c r="H3300" s="4">
        <v>742.0</v>
      </c>
      <c r="I3300" s="21">
        <f t="array" ref="I3300">XLOOKUP($A3300,product!A:A,product!E:E)</f>
        <v>2.19</v>
      </c>
      <c r="J3300" s="4">
        <f t="shared" si="2"/>
        <v>1624.98</v>
      </c>
      <c r="K3300" s="22">
        <f t="shared" si="3"/>
        <v>1</v>
      </c>
      <c r="L3300" s="4">
        <f t="shared" si="4"/>
        <v>1</v>
      </c>
    </row>
    <row r="3301">
      <c r="A3301" s="23">
        <v>149602.0</v>
      </c>
      <c r="B3301" s="24" t="str">
        <f t="array" ref="B3301">xlookup($A3301,product!$A:$A,product!B:B)</f>
        <v>Boisson</v>
      </c>
      <c r="C3301" s="24" t="str">
        <f t="array" ref="C3301">xlookup($A3301,product!$A:$A,product!C:C)</f>
        <v>Boisson végétale</v>
      </c>
      <c r="D3301" s="24" t="str">
        <f t="array" ref="D3301">xlookup($A3301,product!$A:$A,product!D:D)</f>
        <v>Boisson au riz</v>
      </c>
      <c r="E3301" s="25" t="str">
        <f t="shared" si="1"/>
        <v>149602-Boisson végétale-Boisson au riz</v>
      </c>
      <c r="F3301" s="25">
        <v>0.0</v>
      </c>
      <c r="G3301" s="25">
        <v>802.0</v>
      </c>
      <c r="H3301" s="25">
        <v>104.0</v>
      </c>
      <c r="I3301" s="26">
        <f t="array" ref="I3301">XLOOKUP($A3301,product!A:A,product!E:E)</f>
        <v>1.03</v>
      </c>
      <c r="J3301" s="25">
        <f t="shared" si="2"/>
        <v>107.12</v>
      </c>
      <c r="K3301" s="27">
        <f t="shared" si="3"/>
        <v>1</v>
      </c>
      <c r="L3301" s="25">
        <f t="shared" si="4"/>
        <v>1</v>
      </c>
    </row>
    <row r="3302">
      <c r="A3302" s="19">
        <v>46123.0</v>
      </c>
      <c r="B3302" s="20" t="str">
        <f t="array" ref="B3302">xlookup($A3302,product!$A:$A,product!B:B)</f>
        <v>Boisson</v>
      </c>
      <c r="C3302" s="20" t="str">
        <f t="array" ref="C3302">xlookup($A3302,product!$A:$A,product!C:C)</f>
        <v>Boisson végétale</v>
      </c>
      <c r="D3302" s="20" t="str">
        <f t="array" ref="D3302">xlookup($A3302,product!$A:$A,product!D:D)</f>
        <v>Boisson au riz</v>
      </c>
      <c r="E3302" s="4" t="str">
        <f t="shared" si="1"/>
        <v>46123-Boisson végétale-Boisson au riz</v>
      </c>
      <c r="F3302" s="4">
        <v>0.0</v>
      </c>
      <c r="G3302" s="4">
        <v>662.0</v>
      </c>
      <c r="H3302" s="4">
        <v>635.0</v>
      </c>
      <c r="I3302" s="21">
        <f t="array" ref="I3302">XLOOKUP($A3302,product!A:A,product!E:E)</f>
        <v>1.02</v>
      </c>
      <c r="J3302" s="4">
        <f t="shared" si="2"/>
        <v>647.7</v>
      </c>
      <c r="K3302" s="22">
        <f t="shared" si="3"/>
        <v>1</v>
      </c>
      <c r="L3302" s="4">
        <f t="shared" si="4"/>
        <v>1</v>
      </c>
    </row>
    <row r="3303">
      <c r="A3303" s="23">
        <v>46113.0</v>
      </c>
      <c r="B3303" s="24" t="str">
        <f t="array" ref="B3303">xlookup($A3303,product!$A:$A,product!B:B)</f>
        <v>Boisson</v>
      </c>
      <c r="C3303" s="24" t="str">
        <f t="array" ref="C3303">xlookup($A3303,product!$A:$A,product!C:C)</f>
        <v>Boisson végétale</v>
      </c>
      <c r="D3303" s="24" t="str">
        <f t="array" ref="D3303">xlookup($A3303,product!$A:$A,product!D:D)</f>
        <v>Boisson au riz</v>
      </c>
      <c r="E3303" s="25" t="str">
        <f t="shared" si="1"/>
        <v>46113-Boisson végétale-Boisson au riz</v>
      </c>
      <c r="F3303" s="25">
        <v>1.0</v>
      </c>
      <c r="G3303" s="25">
        <v>41.0</v>
      </c>
      <c r="H3303" s="25">
        <v>41.0</v>
      </c>
      <c r="I3303" s="26">
        <f t="array" ref="I3303">XLOOKUP($A3303,product!A:A,product!E:E)</f>
        <v>1.03</v>
      </c>
      <c r="J3303" s="25">
        <f t="shared" si="2"/>
        <v>42.23</v>
      </c>
      <c r="K3303" s="27">
        <f t="shared" si="3"/>
        <v>1</v>
      </c>
      <c r="L3303" s="25">
        <f t="shared" si="4"/>
        <v>1</v>
      </c>
    </row>
    <row r="3304">
      <c r="A3304" s="19">
        <v>46116.0</v>
      </c>
      <c r="B3304" s="20" t="str">
        <f t="array" ref="B3304">xlookup($A3304,product!$A:$A,product!B:B)</f>
        <v>Boisson</v>
      </c>
      <c r="C3304" s="20" t="str">
        <f t="array" ref="C3304">xlookup($A3304,product!$A:$A,product!C:C)</f>
        <v>Boisson végétale</v>
      </c>
      <c r="D3304" s="20" t="str">
        <f t="array" ref="D3304">xlookup($A3304,product!$A:$A,product!D:D)</f>
        <v>Boisson au riz</v>
      </c>
      <c r="E3304" s="4" t="str">
        <f t="shared" si="1"/>
        <v>46116-Boisson végétale-Boisson au riz</v>
      </c>
      <c r="F3304" s="4">
        <v>0.0</v>
      </c>
      <c r="G3304" s="4">
        <v>98.0</v>
      </c>
      <c r="H3304" s="4">
        <v>15.0</v>
      </c>
      <c r="I3304" s="21">
        <f t="array" ref="I3304">XLOOKUP($A3304,product!A:A,product!E:E)</f>
        <v>1.3</v>
      </c>
      <c r="J3304" s="4">
        <f t="shared" si="2"/>
        <v>19.5</v>
      </c>
      <c r="K3304" s="22">
        <f t="shared" si="3"/>
        <v>1</v>
      </c>
      <c r="L3304" s="4">
        <f t="shared" si="4"/>
        <v>1</v>
      </c>
    </row>
    <row r="3305">
      <c r="A3305" s="23">
        <v>46119.0</v>
      </c>
      <c r="B3305" s="24" t="str">
        <f t="array" ref="B3305">xlookup($A3305,product!$A:$A,product!B:B)</f>
        <v>Boisson</v>
      </c>
      <c r="C3305" s="24" t="str">
        <f t="array" ref="C3305">xlookup($A3305,product!$A:$A,product!C:C)</f>
        <v>Boisson végétale</v>
      </c>
      <c r="D3305" s="24" t="str">
        <f t="array" ref="D3305">xlookup($A3305,product!$A:$A,product!D:D)</f>
        <v>Boisson au riz</v>
      </c>
      <c r="E3305" s="25" t="str">
        <f t="shared" si="1"/>
        <v>46119-Boisson végétale-Boisson au riz</v>
      </c>
      <c r="F3305" s="25">
        <v>1.0</v>
      </c>
      <c r="G3305" s="25">
        <v>497.0</v>
      </c>
      <c r="H3305" s="25">
        <v>479.0</v>
      </c>
      <c r="I3305" s="26">
        <f t="array" ref="I3305">XLOOKUP($A3305,product!A:A,product!E:E)</f>
        <v>1.12</v>
      </c>
      <c r="J3305" s="25">
        <f t="shared" si="2"/>
        <v>536.48</v>
      </c>
      <c r="K3305" s="27">
        <f t="shared" si="3"/>
        <v>1</v>
      </c>
      <c r="L3305" s="25">
        <f t="shared" si="4"/>
        <v>1</v>
      </c>
    </row>
    <row r="3306">
      <c r="A3306" s="19">
        <v>63867.0</v>
      </c>
      <c r="B3306" s="20" t="str">
        <f t="array" ref="B3306">xlookup($A3306,product!$A:$A,product!B:B)</f>
        <v>Boisson</v>
      </c>
      <c r="C3306" s="20" t="str">
        <f t="array" ref="C3306">xlookup($A3306,product!$A:$A,product!C:C)</f>
        <v>Boisson végétale</v>
      </c>
      <c r="D3306" s="20" t="str">
        <f t="array" ref="D3306">xlookup($A3306,product!$A:$A,product!D:D)</f>
        <v>Boisson au riz</v>
      </c>
      <c r="E3306" s="4" t="str">
        <f t="shared" si="1"/>
        <v>63867-Boisson végétale-Boisson au riz</v>
      </c>
      <c r="F3306" s="4">
        <v>1.0</v>
      </c>
      <c r="G3306" s="4">
        <v>246.0</v>
      </c>
      <c r="H3306" s="4">
        <v>223.0</v>
      </c>
      <c r="I3306" s="21">
        <f t="array" ref="I3306">XLOOKUP($A3306,product!A:A,product!E:E)</f>
        <v>2.01</v>
      </c>
      <c r="J3306" s="4">
        <f t="shared" si="2"/>
        <v>448.23</v>
      </c>
      <c r="K3306" s="22">
        <f t="shared" si="3"/>
        <v>1</v>
      </c>
      <c r="L3306" s="4">
        <f t="shared" si="4"/>
        <v>1</v>
      </c>
    </row>
    <row r="3307">
      <c r="A3307" s="23">
        <v>80190.0</v>
      </c>
      <c r="B3307" s="24" t="str">
        <f t="array" ref="B3307">xlookup($A3307,product!$A:$A,product!B:B)</f>
        <v>Boisson</v>
      </c>
      <c r="C3307" s="24" t="str">
        <f t="array" ref="C3307">xlookup($A3307,product!$A:$A,product!C:C)</f>
        <v>Boisson végétale</v>
      </c>
      <c r="D3307" s="24" t="str">
        <f t="array" ref="D3307">xlookup($A3307,product!$A:$A,product!D:D)</f>
        <v>Boisson au riz</v>
      </c>
      <c r="E3307" s="25" t="str">
        <f t="shared" si="1"/>
        <v>80190-Boisson végétale-Boisson au riz</v>
      </c>
      <c r="F3307" s="25">
        <v>0.0</v>
      </c>
      <c r="G3307" s="25">
        <v>545.0</v>
      </c>
      <c r="H3307" s="25">
        <v>205.0</v>
      </c>
      <c r="I3307" s="26">
        <f t="array" ref="I3307">XLOOKUP($A3307,product!A:A,product!E:E)</f>
        <v>1.86</v>
      </c>
      <c r="J3307" s="25">
        <f t="shared" si="2"/>
        <v>381.3</v>
      </c>
      <c r="K3307" s="27">
        <f t="shared" si="3"/>
        <v>1</v>
      </c>
      <c r="L3307" s="25">
        <f t="shared" si="4"/>
        <v>1</v>
      </c>
    </row>
    <row r="3308">
      <c r="A3308" s="19">
        <v>48485.0</v>
      </c>
      <c r="B3308" s="20" t="str">
        <f t="array" ref="B3308">xlookup($A3308,product!$A:$A,product!B:B)</f>
        <v>Boisson</v>
      </c>
      <c r="C3308" s="20" t="str">
        <f t="array" ref="C3308">xlookup($A3308,product!$A:$A,product!C:C)</f>
        <v>Boisson végétale</v>
      </c>
      <c r="D3308" s="20" t="str">
        <f t="array" ref="D3308">xlookup($A3308,product!$A:$A,product!D:D)</f>
        <v>Boisson au riz</v>
      </c>
      <c r="E3308" s="4" t="str">
        <f t="shared" si="1"/>
        <v>48485-Boisson végétale-Boisson au riz</v>
      </c>
      <c r="F3308" s="4">
        <v>1.0</v>
      </c>
      <c r="G3308" s="4">
        <v>847.0</v>
      </c>
      <c r="H3308" s="4">
        <v>299.0</v>
      </c>
      <c r="I3308" s="21">
        <f t="array" ref="I3308">XLOOKUP($A3308,product!A:A,product!E:E)</f>
        <v>10.14</v>
      </c>
      <c r="J3308" s="4">
        <f t="shared" si="2"/>
        <v>3031.86</v>
      </c>
      <c r="K3308" s="22">
        <f t="shared" si="3"/>
        <v>1</v>
      </c>
      <c r="L3308" s="4">
        <f t="shared" si="4"/>
        <v>1</v>
      </c>
    </row>
    <row r="3309">
      <c r="A3309" s="23">
        <v>80203.0</v>
      </c>
      <c r="B3309" s="24" t="str">
        <f t="array" ref="B3309">xlookup($A3309,product!$A:$A,product!B:B)</f>
        <v>Boisson</v>
      </c>
      <c r="C3309" s="24" t="str">
        <f t="array" ref="C3309">xlookup($A3309,product!$A:$A,product!C:C)</f>
        <v>Boisson végétale</v>
      </c>
      <c r="D3309" s="24" t="str">
        <f t="array" ref="D3309">xlookup($A3309,product!$A:$A,product!D:D)</f>
        <v>Boisson au riz</v>
      </c>
      <c r="E3309" s="25" t="str">
        <f t="shared" si="1"/>
        <v>80203-Boisson végétale-Boisson au riz</v>
      </c>
      <c r="F3309" s="25">
        <v>1.0</v>
      </c>
      <c r="G3309" s="25">
        <v>794.0</v>
      </c>
      <c r="H3309" s="25">
        <v>702.0</v>
      </c>
      <c r="I3309" s="26">
        <f t="array" ref="I3309">XLOOKUP($A3309,product!A:A,product!E:E)</f>
        <v>1.78</v>
      </c>
      <c r="J3309" s="25">
        <f t="shared" si="2"/>
        <v>1249.56</v>
      </c>
      <c r="K3309" s="27">
        <f t="shared" si="3"/>
        <v>1</v>
      </c>
      <c r="L3309" s="25">
        <f t="shared" si="4"/>
        <v>1</v>
      </c>
    </row>
    <row r="3310">
      <c r="A3310" s="19">
        <v>100670.0</v>
      </c>
      <c r="B3310" s="20" t="str">
        <f t="array" ref="B3310">xlookup($A3310,product!$A:$A,product!B:B)</f>
        <v>Boisson</v>
      </c>
      <c r="C3310" s="20" t="str">
        <f t="array" ref="C3310">xlookup($A3310,product!$A:$A,product!C:C)</f>
        <v>Boisson végétale</v>
      </c>
      <c r="D3310" s="20" t="str">
        <f t="array" ref="D3310">xlookup($A3310,product!$A:$A,product!D:D)</f>
        <v>Boisson au riz</v>
      </c>
      <c r="E3310" s="4" t="str">
        <f t="shared" si="1"/>
        <v>100670-Boisson végétale-Boisson au riz</v>
      </c>
      <c r="F3310" s="4">
        <v>1.0</v>
      </c>
      <c r="G3310" s="4">
        <v>169.0</v>
      </c>
      <c r="H3310" s="4">
        <v>9.0</v>
      </c>
      <c r="I3310" s="21">
        <f t="array" ref="I3310">XLOOKUP($A3310,product!A:A,product!E:E)</f>
        <v>1.03</v>
      </c>
      <c r="J3310" s="4">
        <f t="shared" si="2"/>
        <v>9.27</v>
      </c>
      <c r="K3310" s="22">
        <f t="shared" si="3"/>
        <v>1</v>
      </c>
      <c r="L3310" s="4">
        <f t="shared" si="4"/>
        <v>1</v>
      </c>
    </row>
    <row r="3311">
      <c r="A3311" s="23">
        <v>16546.0</v>
      </c>
      <c r="B3311" s="24" t="str">
        <f t="array" ref="B3311">xlookup($A3311,product!$A:$A,product!B:B)</f>
        <v>Boisson</v>
      </c>
      <c r="C3311" s="24" t="str">
        <f t="array" ref="C3311">xlookup($A3311,product!$A:$A,product!C:C)</f>
        <v>Boisson végétale</v>
      </c>
      <c r="D3311" s="24" t="str">
        <f t="array" ref="D3311">xlookup($A3311,product!$A:$A,product!D:D)</f>
        <v>Boisson au riz</v>
      </c>
      <c r="E3311" s="25" t="str">
        <f t="shared" si="1"/>
        <v>16546-Boisson végétale-Boisson au riz</v>
      </c>
      <c r="F3311" s="25">
        <v>1.0</v>
      </c>
      <c r="G3311" s="25">
        <v>564.0</v>
      </c>
      <c r="H3311" s="25">
        <v>160.0</v>
      </c>
      <c r="I3311" s="26">
        <f t="array" ref="I3311">XLOOKUP($A3311,product!A:A,product!E:E)</f>
        <v>1.16</v>
      </c>
      <c r="J3311" s="25">
        <f t="shared" si="2"/>
        <v>185.6</v>
      </c>
      <c r="K3311" s="27">
        <f t="shared" si="3"/>
        <v>1</v>
      </c>
      <c r="L3311" s="25">
        <f t="shared" si="4"/>
        <v>1</v>
      </c>
    </row>
    <row r="3312">
      <c r="A3312" s="19">
        <v>121622.0</v>
      </c>
      <c r="B3312" s="20" t="str">
        <f t="array" ref="B3312">xlookup($A3312,product!$A:$A,product!B:B)</f>
        <v>Boisson</v>
      </c>
      <c r="C3312" s="20" t="str">
        <f t="array" ref="C3312">xlookup($A3312,product!$A:$A,product!C:C)</f>
        <v>Boisson végétale</v>
      </c>
      <c r="D3312" s="20" t="str">
        <f t="array" ref="D3312">xlookup($A3312,product!$A:$A,product!D:D)</f>
        <v>Boisson au riz</v>
      </c>
      <c r="E3312" s="4" t="str">
        <f t="shared" si="1"/>
        <v>121622-Boisson végétale-Boisson au riz</v>
      </c>
      <c r="F3312" s="4">
        <v>1.0</v>
      </c>
      <c r="G3312" s="4">
        <v>181.0</v>
      </c>
      <c r="H3312" s="4">
        <v>155.0</v>
      </c>
      <c r="I3312" s="21">
        <f t="array" ref="I3312">XLOOKUP($A3312,product!A:A,product!E:E)</f>
        <v>1.09</v>
      </c>
      <c r="J3312" s="4">
        <f t="shared" si="2"/>
        <v>168.95</v>
      </c>
      <c r="K3312" s="22">
        <f t="shared" si="3"/>
        <v>1</v>
      </c>
      <c r="L3312" s="4">
        <f t="shared" si="4"/>
        <v>1</v>
      </c>
    </row>
    <row r="3313">
      <c r="A3313" s="23">
        <v>80202.0</v>
      </c>
      <c r="B3313" s="24" t="str">
        <f t="array" ref="B3313">xlookup($A3313,product!$A:$A,product!B:B)</f>
        <v>Boisson</v>
      </c>
      <c r="C3313" s="24" t="str">
        <f t="array" ref="C3313">xlookup($A3313,product!$A:$A,product!C:C)</f>
        <v>Boisson végétale</v>
      </c>
      <c r="D3313" s="24" t="str">
        <f t="array" ref="D3313">xlookup($A3313,product!$A:$A,product!D:D)</f>
        <v>Boisson au riz</v>
      </c>
      <c r="E3313" s="25" t="str">
        <f t="shared" si="1"/>
        <v>80202-Boisson végétale-Boisson au riz</v>
      </c>
      <c r="F3313" s="25">
        <v>1.0</v>
      </c>
      <c r="G3313" s="25">
        <v>765.0</v>
      </c>
      <c r="H3313" s="25">
        <v>202.0</v>
      </c>
      <c r="I3313" s="26">
        <f t="array" ref="I3313">XLOOKUP($A3313,product!A:A,product!E:E)</f>
        <v>0.78</v>
      </c>
      <c r="J3313" s="25">
        <f t="shared" si="2"/>
        <v>157.56</v>
      </c>
      <c r="K3313" s="27">
        <f t="shared" si="3"/>
        <v>1</v>
      </c>
      <c r="L3313" s="25">
        <f t="shared" si="4"/>
        <v>1</v>
      </c>
    </row>
    <row r="3314">
      <c r="A3314" s="19">
        <v>24263.0</v>
      </c>
      <c r="B3314" s="20" t="str">
        <f t="array" ref="B3314">xlookup($A3314,product!$A:$A,product!B:B)</f>
        <v>Boisson</v>
      </c>
      <c r="C3314" s="20" t="str">
        <f t="array" ref="C3314">xlookup($A3314,product!$A:$A,product!C:C)</f>
        <v>Boisson végétale</v>
      </c>
      <c r="D3314" s="20" t="str">
        <f t="array" ref="D3314">xlookup($A3314,product!$A:$A,product!D:D)</f>
        <v>Boisson au riz</v>
      </c>
      <c r="E3314" s="4" t="str">
        <f t="shared" si="1"/>
        <v>24263-Boisson végétale-Boisson au riz</v>
      </c>
      <c r="F3314" s="4">
        <v>0.0</v>
      </c>
      <c r="G3314" s="4">
        <v>728.0</v>
      </c>
      <c r="H3314" s="4">
        <v>616.0</v>
      </c>
      <c r="I3314" s="21">
        <f t="array" ref="I3314">XLOOKUP($A3314,product!A:A,product!E:E)</f>
        <v>1.36</v>
      </c>
      <c r="J3314" s="4">
        <f t="shared" si="2"/>
        <v>837.76</v>
      </c>
      <c r="K3314" s="22">
        <f t="shared" si="3"/>
        <v>1</v>
      </c>
      <c r="L3314" s="4">
        <f t="shared" si="4"/>
        <v>1</v>
      </c>
    </row>
    <row r="3315">
      <c r="A3315" s="23">
        <v>16552.0</v>
      </c>
      <c r="B3315" s="24" t="str">
        <f t="array" ref="B3315">xlookup($A3315,product!$A:$A,product!B:B)</f>
        <v>Boisson</v>
      </c>
      <c r="C3315" s="24" t="str">
        <f t="array" ref="C3315">xlookup($A3315,product!$A:$A,product!C:C)</f>
        <v>Boisson végétale</v>
      </c>
      <c r="D3315" s="24" t="str">
        <f t="array" ref="D3315">xlookup($A3315,product!$A:$A,product!D:D)</f>
        <v>Boisson au riz</v>
      </c>
      <c r="E3315" s="25" t="str">
        <f t="shared" si="1"/>
        <v>16552-Boisson végétale-Boisson au riz</v>
      </c>
      <c r="F3315" s="25">
        <v>1.0</v>
      </c>
      <c r="G3315" s="25">
        <v>187.0</v>
      </c>
      <c r="H3315" s="25">
        <v>23.0</v>
      </c>
      <c r="I3315" s="26">
        <f t="array" ref="I3315">XLOOKUP($A3315,product!A:A,product!E:E)</f>
        <v>1.5</v>
      </c>
      <c r="J3315" s="25">
        <f t="shared" si="2"/>
        <v>34.5</v>
      </c>
      <c r="K3315" s="27">
        <f t="shared" si="3"/>
        <v>1</v>
      </c>
      <c r="L3315" s="25">
        <f t="shared" si="4"/>
        <v>1</v>
      </c>
    </row>
    <row r="3316">
      <c r="A3316" s="19">
        <v>112771.0</v>
      </c>
      <c r="B3316" s="20" t="str">
        <f t="array" ref="B3316">xlookup($A3316,product!$A:$A,product!B:B)</f>
        <v>Boisson</v>
      </c>
      <c r="C3316" s="20" t="str">
        <f t="array" ref="C3316">xlookup($A3316,product!$A:$A,product!C:C)</f>
        <v>Boisson végétale</v>
      </c>
      <c r="D3316" s="20" t="str">
        <f t="array" ref="D3316">xlookup($A3316,product!$A:$A,product!D:D)</f>
        <v>Boisson au soja</v>
      </c>
      <c r="E3316" s="4" t="str">
        <f t="shared" si="1"/>
        <v>112771-Boisson végétale-Boisson au soja</v>
      </c>
      <c r="F3316" s="4">
        <v>1.0</v>
      </c>
      <c r="G3316" s="4">
        <v>467.0</v>
      </c>
      <c r="H3316" s="4">
        <v>113.0</v>
      </c>
      <c r="I3316" s="21">
        <f t="array" ref="I3316">XLOOKUP($A3316,product!A:A,product!E:E)</f>
        <v>0.81</v>
      </c>
      <c r="J3316" s="4">
        <f t="shared" si="2"/>
        <v>91.53</v>
      </c>
      <c r="K3316" s="22">
        <f t="shared" si="3"/>
        <v>1</v>
      </c>
      <c r="L3316" s="4">
        <f t="shared" si="4"/>
        <v>1</v>
      </c>
    </row>
    <row r="3317">
      <c r="A3317" s="23">
        <v>116197.0</v>
      </c>
      <c r="B3317" s="24" t="str">
        <f t="array" ref="B3317">xlookup($A3317,product!$A:$A,product!B:B)</f>
        <v>Boisson</v>
      </c>
      <c r="C3317" s="24" t="str">
        <f t="array" ref="C3317">xlookup($A3317,product!$A:$A,product!C:C)</f>
        <v>Boisson végétale</v>
      </c>
      <c r="D3317" s="24" t="str">
        <f t="array" ref="D3317">xlookup($A3317,product!$A:$A,product!D:D)</f>
        <v>Boisson au soja</v>
      </c>
      <c r="E3317" s="25" t="str">
        <f t="shared" si="1"/>
        <v>116197-Boisson végétale-Boisson au soja</v>
      </c>
      <c r="F3317" s="25">
        <v>1.0</v>
      </c>
      <c r="G3317" s="25">
        <v>355.0</v>
      </c>
      <c r="H3317" s="25">
        <v>129.0</v>
      </c>
      <c r="I3317" s="26">
        <f t="array" ref="I3317">XLOOKUP($A3317,product!A:A,product!E:E)</f>
        <v>1.03</v>
      </c>
      <c r="J3317" s="25">
        <f t="shared" si="2"/>
        <v>132.87</v>
      </c>
      <c r="K3317" s="27">
        <f t="shared" si="3"/>
        <v>1</v>
      </c>
      <c r="L3317" s="25">
        <f t="shared" si="4"/>
        <v>1</v>
      </c>
    </row>
    <row r="3318">
      <c r="A3318" s="19">
        <v>46138.0</v>
      </c>
      <c r="B3318" s="20" t="str">
        <f t="array" ref="B3318">xlookup($A3318,product!$A:$A,product!B:B)</f>
        <v>Boisson</v>
      </c>
      <c r="C3318" s="20" t="str">
        <f t="array" ref="C3318">xlookup($A3318,product!$A:$A,product!C:C)</f>
        <v>Boisson végétale</v>
      </c>
      <c r="D3318" s="20" t="str">
        <f t="array" ref="D3318">xlookup($A3318,product!$A:$A,product!D:D)</f>
        <v>Boisson au soja</v>
      </c>
      <c r="E3318" s="4" t="str">
        <f t="shared" si="1"/>
        <v>46138-Boisson végétale-Boisson au soja</v>
      </c>
      <c r="F3318" s="4">
        <v>0.0</v>
      </c>
      <c r="G3318" s="4">
        <v>871.0</v>
      </c>
      <c r="H3318" s="4">
        <v>637.0</v>
      </c>
      <c r="I3318" s="21">
        <f t="array" ref="I3318">XLOOKUP($A3318,product!A:A,product!E:E)</f>
        <v>0.85</v>
      </c>
      <c r="J3318" s="4">
        <f t="shared" si="2"/>
        <v>541.45</v>
      </c>
      <c r="K3318" s="22">
        <f t="shared" si="3"/>
        <v>1</v>
      </c>
      <c r="L3318" s="4">
        <f t="shared" si="4"/>
        <v>1</v>
      </c>
    </row>
    <row r="3319">
      <c r="A3319" s="23">
        <v>109546.0</v>
      </c>
      <c r="B3319" s="24" t="str">
        <f t="array" ref="B3319">xlookup($A3319,product!$A:$A,product!B:B)</f>
        <v>Boisson</v>
      </c>
      <c r="C3319" s="24" t="str">
        <f t="array" ref="C3319">xlookup($A3319,product!$A:$A,product!C:C)</f>
        <v>Boisson végétale</v>
      </c>
      <c r="D3319" s="24" t="str">
        <f t="array" ref="D3319">xlookup($A3319,product!$A:$A,product!D:D)</f>
        <v>Boisson au soja</v>
      </c>
      <c r="E3319" s="25" t="str">
        <f t="shared" si="1"/>
        <v>109546-Boisson végétale-Boisson au soja</v>
      </c>
      <c r="F3319" s="25">
        <v>0.0</v>
      </c>
      <c r="G3319" s="25">
        <v>350.0</v>
      </c>
      <c r="H3319" s="25">
        <v>273.0</v>
      </c>
      <c r="I3319" s="26">
        <f t="array" ref="I3319">XLOOKUP($A3319,product!A:A,product!E:E)</f>
        <v>1.24</v>
      </c>
      <c r="J3319" s="25">
        <f t="shared" si="2"/>
        <v>338.52</v>
      </c>
      <c r="K3319" s="27">
        <f t="shared" si="3"/>
        <v>1</v>
      </c>
      <c r="L3319" s="25">
        <f t="shared" si="4"/>
        <v>1</v>
      </c>
    </row>
    <row r="3320">
      <c r="A3320" s="19">
        <v>199475.0</v>
      </c>
      <c r="B3320" s="20" t="str">
        <f t="array" ref="B3320">xlookup($A3320,product!$A:$A,product!B:B)</f>
        <v>Boisson</v>
      </c>
      <c r="C3320" s="20" t="str">
        <f t="array" ref="C3320">xlookup($A3320,product!$A:$A,product!C:C)</f>
        <v>Boisson végétale</v>
      </c>
      <c r="D3320" s="20" t="str">
        <f t="array" ref="D3320">xlookup($A3320,product!$A:$A,product!D:D)</f>
        <v>Boisson au soja</v>
      </c>
      <c r="E3320" s="4" t="str">
        <f t="shared" si="1"/>
        <v>199475-Boisson végétale-Boisson au soja</v>
      </c>
      <c r="F3320" s="4">
        <v>0.0</v>
      </c>
      <c r="G3320" s="4">
        <v>807.0</v>
      </c>
      <c r="H3320" s="4">
        <v>325.0</v>
      </c>
      <c r="I3320" s="21">
        <f t="array" ref="I3320">XLOOKUP($A3320,product!A:A,product!E:E)</f>
        <v>1.5</v>
      </c>
      <c r="J3320" s="4">
        <f t="shared" si="2"/>
        <v>487.5</v>
      </c>
      <c r="K3320" s="22">
        <f t="shared" si="3"/>
        <v>1</v>
      </c>
      <c r="L3320" s="4">
        <f t="shared" si="4"/>
        <v>1</v>
      </c>
    </row>
    <row r="3321">
      <c r="A3321" s="23">
        <v>199479.0</v>
      </c>
      <c r="B3321" s="24" t="str">
        <f t="array" ref="B3321">xlookup($A3321,product!$A:$A,product!B:B)</f>
        <v>Boisson</v>
      </c>
      <c r="C3321" s="24" t="str">
        <f t="array" ref="C3321">xlookup($A3321,product!$A:$A,product!C:C)</f>
        <v>Boisson végétale</v>
      </c>
      <c r="D3321" s="24" t="str">
        <f t="array" ref="D3321">xlookup($A3321,product!$A:$A,product!D:D)</f>
        <v>Boisson au soja</v>
      </c>
      <c r="E3321" s="25" t="str">
        <f t="shared" si="1"/>
        <v>199479-Boisson végétale-Boisson au soja</v>
      </c>
      <c r="F3321" s="25">
        <v>1.0</v>
      </c>
      <c r="G3321" s="25">
        <v>170.0</v>
      </c>
      <c r="H3321" s="25">
        <v>123.0</v>
      </c>
      <c r="I3321" s="26">
        <f t="array" ref="I3321">XLOOKUP($A3321,product!A:A,product!E:E)</f>
        <v>1.77</v>
      </c>
      <c r="J3321" s="25">
        <f t="shared" si="2"/>
        <v>217.71</v>
      </c>
      <c r="K3321" s="27">
        <f t="shared" si="3"/>
        <v>1</v>
      </c>
      <c r="L3321" s="25">
        <f t="shared" si="4"/>
        <v>1</v>
      </c>
    </row>
    <row r="3322">
      <c r="A3322" s="19">
        <v>48180.0</v>
      </c>
      <c r="B3322" s="20" t="str">
        <f t="array" ref="B3322">xlookup($A3322,product!$A:$A,product!B:B)</f>
        <v>Boisson</v>
      </c>
      <c r="C3322" s="20" t="str">
        <f t="array" ref="C3322">xlookup($A3322,product!$A:$A,product!C:C)</f>
        <v>Boisson végétale</v>
      </c>
      <c r="D3322" s="20" t="str">
        <f t="array" ref="D3322">xlookup($A3322,product!$A:$A,product!D:D)</f>
        <v>Boisson à la coco</v>
      </c>
      <c r="E3322" s="4" t="str">
        <f t="shared" si="1"/>
        <v>48180-Boisson végétale-Boisson à la coco</v>
      </c>
      <c r="F3322" s="4">
        <v>1.0</v>
      </c>
      <c r="G3322" s="4">
        <v>155.0</v>
      </c>
      <c r="H3322" s="4">
        <v>152.0</v>
      </c>
      <c r="I3322" s="21">
        <f t="array" ref="I3322">XLOOKUP($A3322,product!A:A,product!E:E)</f>
        <v>1.83</v>
      </c>
      <c r="J3322" s="4">
        <f t="shared" si="2"/>
        <v>278.16</v>
      </c>
      <c r="K3322" s="22">
        <f t="shared" si="3"/>
        <v>1</v>
      </c>
      <c r="L3322" s="4">
        <f t="shared" si="4"/>
        <v>1</v>
      </c>
    </row>
    <row r="3323">
      <c r="A3323" s="23">
        <v>90374.0</v>
      </c>
      <c r="B3323" s="24" t="str">
        <f t="array" ref="B3323">xlookup($A3323,product!$A:$A,product!B:B)</f>
        <v>Boisson</v>
      </c>
      <c r="C3323" s="24" t="str">
        <f t="array" ref="C3323">xlookup($A3323,product!$A:$A,product!C:C)</f>
        <v>Boisson végétale</v>
      </c>
      <c r="D3323" s="24" t="str">
        <f t="array" ref="D3323">xlookup($A3323,product!$A:$A,product!D:D)</f>
        <v>Boisson à la coco</v>
      </c>
      <c r="E3323" s="25" t="str">
        <f t="shared" si="1"/>
        <v>90374-Boisson végétale-Boisson à la coco</v>
      </c>
      <c r="F3323" s="25">
        <v>0.0</v>
      </c>
      <c r="G3323" s="25">
        <v>964.0</v>
      </c>
      <c r="H3323" s="25">
        <v>697.0</v>
      </c>
      <c r="I3323" s="26">
        <f t="array" ref="I3323">XLOOKUP($A3323,product!A:A,product!E:E)</f>
        <v>1.81</v>
      </c>
      <c r="J3323" s="25">
        <f t="shared" si="2"/>
        <v>1261.57</v>
      </c>
      <c r="K3323" s="27">
        <f t="shared" si="3"/>
        <v>1</v>
      </c>
      <c r="L3323" s="25">
        <f t="shared" si="4"/>
        <v>1</v>
      </c>
    </row>
    <row r="3324">
      <c r="A3324" s="19">
        <v>80318.0</v>
      </c>
      <c r="B3324" s="20" t="str">
        <f t="array" ref="B3324">xlookup($A3324,product!$A:$A,product!B:B)</f>
        <v>Boisson</v>
      </c>
      <c r="C3324" s="20" t="str">
        <f t="array" ref="C3324">xlookup($A3324,product!$A:$A,product!C:C)</f>
        <v>Boisson végétale</v>
      </c>
      <c r="D3324" s="20" t="str">
        <f t="array" ref="D3324">xlookup($A3324,product!$A:$A,product!D:D)</f>
        <v>Boisson à la coco</v>
      </c>
      <c r="E3324" s="4" t="str">
        <f t="shared" si="1"/>
        <v>80318-Boisson végétale-Boisson à la coco</v>
      </c>
      <c r="F3324" s="4">
        <v>1.0</v>
      </c>
      <c r="G3324" s="4">
        <v>175.0</v>
      </c>
      <c r="H3324" s="4">
        <v>161.0</v>
      </c>
      <c r="I3324" s="21">
        <f t="array" ref="I3324">XLOOKUP($A3324,product!A:A,product!E:E)</f>
        <v>1.86</v>
      </c>
      <c r="J3324" s="4">
        <f t="shared" si="2"/>
        <v>299.46</v>
      </c>
      <c r="K3324" s="22">
        <f t="shared" si="3"/>
        <v>1</v>
      </c>
      <c r="L3324" s="4">
        <f t="shared" si="4"/>
        <v>1</v>
      </c>
    </row>
    <row r="3325">
      <c r="A3325" s="23">
        <v>6206.0</v>
      </c>
      <c r="B3325" s="24" t="str">
        <f t="array" ref="B3325">xlookup($A3325,product!$A:$A,product!B:B)</f>
        <v>Boisson</v>
      </c>
      <c r="C3325" s="24" t="str">
        <f t="array" ref="C3325">xlookup($A3325,product!$A:$A,product!C:C)</f>
        <v>Boisson végétale</v>
      </c>
      <c r="D3325" s="24" t="str">
        <f t="array" ref="D3325">xlookup($A3325,product!$A:$A,product!D:D)</f>
        <v>Boisson à la coco</v>
      </c>
      <c r="E3325" s="25" t="str">
        <f t="shared" si="1"/>
        <v>6206-Boisson végétale-Boisson à la coco</v>
      </c>
      <c r="F3325" s="25">
        <v>1.0</v>
      </c>
      <c r="G3325" s="25">
        <v>399.0</v>
      </c>
      <c r="H3325" s="25">
        <v>142.0</v>
      </c>
      <c r="I3325" s="26">
        <f t="array" ref="I3325">XLOOKUP($A3325,product!A:A,product!E:E)</f>
        <v>10.47</v>
      </c>
      <c r="J3325" s="25">
        <f t="shared" si="2"/>
        <v>1486.74</v>
      </c>
      <c r="K3325" s="27">
        <f t="shared" si="3"/>
        <v>1</v>
      </c>
      <c r="L3325" s="25">
        <f t="shared" si="4"/>
        <v>1</v>
      </c>
    </row>
    <row r="3326">
      <c r="A3326" s="19">
        <v>181492.0</v>
      </c>
      <c r="B3326" s="20" t="str">
        <f t="array" ref="B3326">xlookup($A3326,product!$A:$A,product!B:B)</f>
        <v>Boisson</v>
      </c>
      <c r="C3326" s="20" t="str">
        <f t="array" ref="C3326">xlookup($A3326,product!$A:$A,product!C:C)</f>
        <v>Boisson végétale</v>
      </c>
      <c r="D3326" s="20" t="str">
        <f t="array" ref="D3326">xlookup($A3326,product!$A:$A,product!D:D)</f>
        <v>Boisson à la coco</v>
      </c>
      <c r="E3326" s="4" t="str">
        <f t="shared" si="1"/>
        <v>181492-Boisson végétale-Boisson à la coco</v>
      </c>
      <c r="F3326" s="4">
        <v>0.0</v>
      </c>
      <c r="G3326" s="4">
        <v>151.0</v>
      </c>
      <c r="H3326" s="4">
        <v>19.0</v>
      </c>
      <c r="I3326" s="21">
        <f t="array" ref="I3326">XLOOKUP($A3326,product!A:A,product!E:E)</f>
        <v>1.64</v>
      </c>
      <c r="J3326" s="4">
        <f t="shared" si="2"/>
        <v>31.16</v>
      </c>
      <c r="K3326" s="22">
        <f t="shared" si="3"/>
        <v>1</v>
      </c>
      <c r="L3326" s="4">
        <f t="shared" si="4"/>
        <v>1</v>
      </c>
    </row>
    <row r="3327">
      <c r="A3327" s="23">
        <v>148738.0</v>
      </c>
      <c r="B3327" s="24" t="str">
        <f t="array" ref="B3327">xlookup($A3327,product!$A:$A,product!B:B)</f>
        <v>Boisson</v>
      </c>
      <c r="C3327" s="24" t="str">
        <f t="array" ref="C3327">xlookup($A3327,product!$A:$A,product!C:C)</f>
        <v>Boisson végétale</v>
      </c>
      <c r="D3327" s="24" t="str">
        <f t="array" ref="D3327">xlookup($A3327,product!$A:$A,product!D:D)</f>
        <v>Boisson à la coco</v>
      </c>
      <c r="E3327" s="25" t="str">
        <f t="shared" si="1"/>
        <v>148738-Boisson végétale-Boisson à la coco</v>
      </c>
      <c r="F3327" s="25">
        <v>0.0</v>
      </c>
      <c r="G3327" s="25">
        <v>94.0</v>
      </c>
      <c r="H3327" s="25">
        <v>24.0</v>
      </c>
      <c r="I3327" s="26">
        <f t="array" ref="I3327">XLOOKUP($A3327,product!A:A,product!E:E)</f>
        <v>1.34</v>
      </c>
      <c r="J3327" s="25">
        <f t="shared" si="2"/>
        <v>32.16</v>
      </c>
      <c r="K3327" s="27">
        <f t="shared" si="3"/>
        <v>1</v>
      </c>
      <c r="L3327" s="25">
        <f t="shared" si="4"/>
        <v>1</v>
      </c>
    </row>
    <row r="3328">
      <c r="A3328" s="19">
        <v>100692.0</v>
      </c>
      <c r="B3328" s="20" t="str">
        <f t="array" ref="B3328">xlookup($A3328,product!$A:$A,product!B:B)</f>
        <v>Boisson</v>
      </c>
      <c r="C3328" s="20" t="str">
        <f t="array" ref="C3328">xlookup($A3328,product!$A:$A,product!C:C)</f>
        <v>Boisson végétale</v>
      </c>
      <c r="D3328" s="20" t="str">
        <f t="array" ref="D3328">xlookup($A3328,product!$A:$A,product!D:D)</f>
        <v>Boisson à la coco</v>
      </c>
      <c r="E3328" s="4" t="str">
        <f t="shared" si="1"/>
        <v>100692-Boisson végétale-Boisson à la coco</v>
      </c>
      <c r="F3328" s="4">
        <v>1.0</v>
      </c>
      <c r="G3328" s="4">
        <v>745.0</v>
      </c>
      <c r="H3328" s="4">
        <v>563.0</v>
      </c>
      <c r="I3328" s="21">
        <f t="array" ref="I3328">XLOOKUP($A3328,product!A:A,product!E:E)</f>
        <v>1.24</v>
      </c>
      <c r="J3328" s="4">
        <f t="shared" si="2"/>
        <v>698.12</v>
      </c>
      <c r="K3328" s="22">
        <f t="shared" si="3"/>
        <v>1</v>
      </c>
      <c r="L3328" s="4">
        <f t="shared" si="4"/>
        <v>1</v>
      </c>
    </row>
    <row r="3329">
      <c r="A3329" s="23">
        <v>121708.0</v>
      </c>
      <c r="B3329" s="24" t="str">
        <f t="array" ref="B3329">xlookup($A3329,product!$A:$A,product!B:B)</f>
        <v>Boisson</v>
      </c>
      <c r="C3329" s="24" t="str">
        <f t="array" ref="C3329">xlookup($A3329,product!$A:$A,product!C:C)</f>
        <v>Boisson végétale</v>
      </c>
      <c r="D3329" s="24" t="str">
        <f t="array" ref="D3329">xlookup($A3329,product!$A:$A,product!D:D)</f>
        <v>Boisson à l'amande</v>
      </c>
      <c r="E3329" s="25" t="str">
        <f t="shared" si="1"/>
        <v>121708-Boisson végétale-Boisson à l'amande</v>
      </c>
      <c r="F3329" s="25">
        <v>1.0</v>
      </c>
      <c r="G3329" s="25">
        <v>914.0</v>
      </c>
      <c r="H3329" s="25">
        <v>607.0</v>
      </c>
      <c r="I3329" s="26">
        <f t="array" ref="I3329">XLOOKUP($A3329,product!A:A,product!E:E)</f>
        <v>9.92</v>
      </c>
      <c r="J3329" s="25">
        <f t="shared" si="2"/>
        <v>6021.44</v>
      </c>
      <c r="K3329" s="27">
        <f t="shared" si="3"/>
        <v>1</v>
      </c>
      <c r="L3329" s="25">
        <f t="shared" si="4"/>
        <v>1</v>
      </c>
    </row>
    <row r="3330">
      <c r="A3330" s="19">
        <v>47508.0</v>
      </c>
      <c r="B3330" s="20" t="str">
        <f t="array" ref="B3330">xlookup($A3330,product!$A:$A,product!B:B)</f>
        <v>Boisson</v>
      </c>
      <c r="C3330" s="20" t="str">
        <f t="array" ref="C3330">xlookup($A3330,product!$A:$A,product!C:C)</f>
        <v>Boisson végétale</v>
      </c>
      <c r="D3330" s="20" t="str">
        <f t="array" ref="D3330">xlookup($A3330,product!$A:$A,product!D:D)</f>
        <v>Boisson à l'amande</v>
      </c>
      <c r="E3330" s="4" t="str">
        <f t="shared" si="1"/>
        <v>47508-Boisson végétale-Boisson à l'amande</v>
      </c>
      <c r="F3330" s="4">
        <v>0.0</v>
      </c>
      <c r="G3330" s="4">
        <v>204.0</v>
      </c>
      <c r="H3330" s="4">
        <v>44.0</v>
      </c>
      <c r="I3330" s="21">
        <f t="array" ref="I3330">XLOOKUP($A3330,product!A:A,product!E:E)</f>
        <v>2.08</v>
      </c>
      <c r="J3330" s="4">
        <f t="shared" si="2"/>
        <v>91.52</v>
      </c>
      <c r="K3330" s="22">
        <f t="shared" si="3"/>
        <v>1</v>
      </c>
      <c r="L3330" s="4">
        <f t="shared" si="4"/>
        <v>1</v>
      </c>
    </row>
    <row r="3331">
      <c r="A3331" s="23">
        <v>89514.0</v>
      </c>
      <c r="B3331" s="24" t="str">
        <f t="array" ref="B3331">xlookup($A3331,product!$A:$A,product!B:B)</f>
        <v>Boisson</v>
      </c>
      <c r="C3331" s="24" t="str">
        <f t="array" ref="C3331">xlookup($A3331,product!$A:$A,product!C:C)</f>
        <v>Boisson végétale</v>
      </c>
      <c r="D3331" s="24" t="str">
        <f t="array" ref="D3331">xlookup($A3331,product!$A:$A,product!D:D)</f>
        <v>Boisson à l'amande</v>
      </c>
      <c r="E3331" s="25" t="str">
        <f t="shared" si="1"/>
        <v>89514-Boisson végétale-Boisson à l'amande</v>
      </c>
      <c r="F3331" s="25">
        <v>1.0</v>
      </c>
      <c r="G3331" s="25">
        <v>952.0</v>
      </c>
      <c r="H3331" s="25">
        <v>133.0</v>
      </c>
      <c r="I3331" s="26">
        <f t="array" ref="I3331">XLOOKUP($A3331,product!A:A,product!E:E)</f>
        <v>2.04</v>
      </c>
      <c r="J3331" s="25">
        <f t="shared" si="2"/>
        <v>271.32</v>
      </c>
      <c r="K3331" s="27">
        <f t="shared" si="3"/>
        <v>1</v>
      </c>
      <c r="L3331" s="25">
        <f t="shared" si="4"/>
        <v>1</v>
      </c>
    </row>
    <row r="3332">
      <c r="A3332" s="19">
        <v>117918.0</v>
      </c>
      <c r="B3332" s="20" t="str">
        <f t="array" ref="B3332">xlookup($A3332,product!$A:$A,product!B:B)</f>
        <v>Boisson</v>
      </c>
      <c r="C3332" s="20" t="str">
        <f t="array" ref="C3332">xlookup($A3332,product!$A:$A,product!C:C)</f>
        <v>Boisson végétale</v>
      </c>
      <c r="D3332" s="20" t="str">
        <f t="array" ref="D3332">xlookup($A3332,product!$A:$A,product!D:D)</f>
        <v>Boisson à l'amande</v>
      </c>
      <c r="E3332" s="4" t="str">
        <f t="shared" si="1"/>
        <v>117918-Boisson végétale-Boisson à l'amande</v>
      </c>
      <c r="F3332" s="4">
        <v>0.0</v>
      </c>
      <c r="G3332" s="4">
        <v>17.0</v>
      </c>
      <c r="H3332" s="4">
        <v>15.0</v>
      </c>
      <c r="I3332" s="21">
        <f t="array" ref="I3332">XLOOKUP($A3332,product!A:A,product!E:E)</f>
        <v>2.17</v>
      </c>
      <c r="J3332" s="4">
        <f t="shared" si="2"/>
        <v>32.55</v>
      </c>
      <c r="K3332" s="22">
        <f t="shared" si="3"/>
        <v>1</v>
      </c>
      <c r="L3332" s="4">
        <f t="shared" si="4"/>
        <v>1</v>
      </c>
    </row>
    <row r="3333">
      <c r="A3333" s="23">
        <v>16645.0</v>
      </c>
      <c r="B3333" s="24" t="str">
        <f t="array" ref="B3333">xlookup($A3333,product!$A:$A,product!B:B)</f>
        <v>Boisson</v>
      </c>
      <c r="C3333" s="24" t="str">
        <f t="array" ref="C3333">xlookup($A3333,product!$A:$A,product!C:C)</f>
        <v>Boisson végétale</v>
      </c>
      <c r="D3333" s="24" t="str">
        <f t="array" ref="D3333">xlookup($A3333,product!$A:$A,product!D:D)</f>
        <v>Boisson à l'amande</v>
      </c>
      <c r="E3333" s="25" t="str">
        <f t="shared" si="1"/>
        <v>16645-Boisson végétale-Boisson à l'amande</v>
      </c>
      <c r="F3333" s="25">
        <v>0.0</v>
      </c>
      <c r="G3333" s="25">
        <v>523.0</v>
      </c>
      <c r="H3333" s="25">
        <v>393.0</v>
      </c>
      <c r="I3333" s="26">
        <f t="array" ref="I3333">XLOOKUP($A3333,product!A:A,product!E:E)</f>
        <v>1.93</v>
      </c>
      <c r="J3333" s="25">
        <f t="shared" si="2"/>
        <v>758.49</v>
      </c>
      <c r="K3333" s="27">
        <f t="shared" si="3"/>
        <v>1</v>
      </c>
      <c r="L3333" s="25">
        <f t="shared" si="4"/>
        <v>1</v>
      </c>
    </row>
    <row r="3334">
      <c r="A3334" s="19">
        <v>148740.0</v>
      </c>
      <c r="B3334" s="20" t="str">
        <f t="array" ref="B3334">xlookup($A3334,product!$A:$A,product!B:B)</f>
        <v>Boisson</v>
      </c>
      <c r="C3334" s="20" t="str">
        <f t="array" ref="C3334">xlookup($A3334,product!$A:$A,product!C:C)</f>
        <v>Boisson végétale</v>
      </c>
      <c r="D3334" s="20" t="str">
        <f t="array" ref="D3334">xlookup($A3334,product!$A:$A,product!D:D)</f>
        <v>Boisson à l'amande</v>
      </c>
      <c r="E3334" s="4" t="str">
        <f t="shared" si="1"/>
        <v>148740-Boisson végétale-Boisson à l'amande</v>
      </c>
      <c r="F3334" s="4">
        <v>0.0</v>
      </c>
      <c r="G3334" s="4">
        <v>73.0</v>
      </c>
      <c r="H3334" s="4">
        <v>67.0</v>
      </c>
      <c r="I3334" s="21">
        <f t="array" ref="I3334">XLOOKUP($A3334,product!A:A,product!E:E)</f>
        <v>1.47</v>
      </c>
      <c r="J3334" s="4">
        <f t="shared" si="2"/>
        <v>98.49</v>
      </c>
      <c r="K3334" s="22">
        <f t="shared" si="3"/>
        <v>1</v>
      </c>
      <c r="L3334" s="4">
        <f t="shared" si="4"/>
        <v>1</v>
      </c>
    </row>
    <row r="3335">
      <c r="A3335" s="23">
        <v>100688.0</v>
      </c>
      <c r="B3335" s="24" t="str">
        <f t="array" ref="B3335">xlookup($A3335,product!$A:$A,product!B:B)</f>
        <v>Boisson</v>
      </c>
      <c r="C3335" s="24" t="str">
        <f t="array" ref="C3335">xlookup($A3335,product!$A:$A,product!C:C)</f>
        <v>Boisson végétale</v>
      </c>
      <c r="D3335" s="24" t="str">
        <f t="array" ref="D3335">xlookup($A3335,product!$A:$A,product!D:D)</f>
        <v>Boisson à l'amande</v>
      </c>
      <c r="E3335" s="25" t="str">
        <f t="shared" si="1"/>
        <v>100688-Boisson végétale-Boisson à l'amande</v>
      </c>
      <c r="F3335" s="25">
        <v>0.0</v>
      </c>
      <c r="G3335" s="25">
        <v>34.0</v>
      </c>
      <c r="H3335" s="25">
        <v>33.0</v>
      </c>
      <c r="I3335" s="26">
        <f t="array" ref="I3335">XLOOKUP($A3335,product!A:A,product!E:E)</f>
        <v>1.3</v>
      </c>
      <c r="J3335" s="25">
        <f t="shared" si="2"/>
        <v>42.9</v>
      </c>
      <c r="K3335" s="27">
        <f t="shared" si="3"/>
        <v>1</v>
      </c>
      <c r="L3335" s="25">
        <f t="shared" si="4"/>
        <v>1</v>
      </c>
    </row>
    <row r="3336">
      <c r="A3336" s="19">
        <v>148741.0</v>
      </c>
      <c r="B3336" s="20" t="str">
        <f t="array" ref="B3336">xlookup($A3336,product!$A:$A,product!B:B)</f>
        <v>Boisson</v>
      </c>
      <c r="C3336" s="20" t="str">
        <f t="array" ref="C3336">xlookup($A3336,product!$A:$A,product!C:C)</f>
        <v>Boisson végétale</v>
      </c>
      <c r="D3336" s="20" t="str">
        <f t="array" ref="D3336">xlookup($A3336,product!$A:$A,product!D:D)</f>
        <v>Boisson à l'amande</v>
      </c>
      <c r="E3336" s="4" t="str">
        <f t="shared" si="1"/>
        <v>148741-Boisson végétale-Boisson à l'amande</v>
      </c>
      <c r="F3336" s="4">
        <v>1.0</v>
      </c>
      <c r="G3336" s="4">
        <v>747.0</v>
      </c>
      <c r="H3336" s="4">
        <v>741.0</v>
      </c>
      <c r="I3336" s="21">
        <f t="array" ref="I3336">XLOOKUP($A3336,product!A:A,product!E:E)</f>
        <v>1.37</v>
      </c>
      <c r="J3336" s="4">
        <f t="shared" si="2"/>
        <v>1015.17</v>
      </c>
      <c r="K3336" s="22">
        <f t="shared" si="3"/>
        <v>1</v>
      </c>
      <c r="L3336" s="4">
        <f t="shared" si="4"/>
        <v>1</v>
      </c>
    </row>
    <row r="3337">
      <c r="A3337" s="23">
        <v>109299.0</v>
      </c>
      <c r="B3337" s="24" t="str">
        <f t="array" ref="B3337">xlookup($A3337,product!$A:$A,product!B:B)</f>
        <v>Boisson</v>
      </c>
      <c r="C3337" s="24" t="str">
        <f t="array" ref="C3337">xlookup($A3337,product!$A:$A,product!C:C)</f>
        <v>Boisson végétale</v>
      </c>
      <c r="D3337" s="24" t="str">
        <f t="array" ref="D3337">xlookup($A3337,product!$A:$A,product!D:D)</f>
        <v>Boisson à l'amande</v>
      </c>
      <c r="E3337" s="25" t="str">
        <f t="shared" si="1"/>
        <v>109299-Boisson végétale-Boisson à l'amande</v>
      </c>
      <c r="F3337" s="25">
        <v>1.0</v>
      </c>
      <c r="G3337" s="25">
        <v>441.0</v>
      </c>
      <c r="H3337" s="25">
        <v>179.0</v>
      </c>
      <c r="I3337" s="26">
        <f t="array" ref="I3337">XLOOKUP($A3337,product!A:A,product!E:E)</f>
        <v>1.11</v>
      </c>
      <c r="J3337" s="25">
        <f t="shared" si="2"/>
        <v>198.69</v>
      </c>
      <c r="K3337" s="27">
        <f t="shared" si="3"/>
        <v>1</v>
      </c>
      <c r="L3337" s="25">
        <f t="shared" si="4"/>
        <v>1</v>
      </c>
    </row>
    <row r="3338">
      <c r="A3338" s="19">
        <v>196109.0</v>
      </c>
      <c r="B3338" s="20" t="str">
        <f t="array" ref="B3338">xlookup($A3338,product!$A:$A,product!B:B)</f>
        <v>Boisson</v>
      </c>
      <c r="C3338" s="20" t="str">
        <f t="array" ref="C3338">xlookup($A3338,product!$A:$A,product!C:C)</f>
        <v>Boisson végétale</v>
      </c>
      <c r="D3338" s="20" t="str">
        <f t="array" ref="D3338">xlookup($A3338,product!$A:$A,product!D:D)</f>
        <v>Boisson à l'amande</v>
      </c>
      <c r="E3338" s="4" t="str">
        <f t="shared" si="1"/>
        <v>196109-Boisson végétale-Boisson à l'amande</v>
      </c>
      <c r="F3338" s="4">
        <v>0.0</v>
      </c>
      <c r="G3338" s="4">
        <v>34.0</v>
      </c>
      <c r="H3338" s="4">
        <v>18.0</v>
      </c>
      <c r="I3338" s="21">
        <f t="array" ref="I3338">XLOOKUP($A3338,product!A:A,product!E:E)</f>
        <v>1.06</v>
      </c>
      <c r="J3338" s="4">
        <f t="shared" si="2"/>
        <v>19.08</v>
      </c>
      <c r="K3338" s="22">
        <f t="shared" si="3"/>
        <v>1</v>
      </c>
      <c r="L3338" s="4">
        <f t="shared" si="4"/>
        <v>1</v>
      </c>
    </row>
    <row r="3339">
      <c r="A3339" s="23">
        <v>72155.0</v>
      </c>
      <c r="B3339" s="24" t="str">
        <f t="array" ref="B3339">xlookup($A3339,product!$A:$A,product!B:B)</f>
        <v>Boisson</v>
      </c>
      <c r="C3339" s="24" t="str">
        <f t="array" ref="C3339">xlookup($A3339,product!$A:$A,product!C:C)</f>
        <v>Boisson végétale</v>
      </c>
      <c r="D3339" s="24" t="str">
        <f t="array" ref="D3339">xlookup($A3339,product!$A:$A,product!D:D)</f>
        <v>Boisson à l'amande</v>
      </c>
      <c r="E3339" s="25" t="str">
        <f t="shared" si="1"/>
        <v>72155-Boisson végétale-Boisson à l'amande</v>
      </c>
      <c r="F3339" s="25">
        <v>1.0</v>
      </c>
      <c r="G3339" s="25">
        <v>190.0</v>
      </c>
      <c r="H3339" s="25">
        <v>85.0</v>
      </c>
      <c r="I3339" s="26">
        <f t="array" ref="I3339">XLOOKUP($A3339,product!A:A,product!E:E)</f>
        <v>11.12</v>
      </c>
      <c r="J3339" s="25">
        <f t="shared" si="2"/>
        <v>945.2</v>
      </c>
      <c r="K3339" s="27">
        <f t="shared" si="3"/>
        <v>1</v>
      </c>
      <c r="L3339" s="25">
        <f t="shared" si="4"/>
        <v>1</v>
      </c>
    </row>
    <row r="3340">
      <c r="A3340" s="19">
        <v>80245.0</v>
      </c>
      <c r="B3340" s="20" t="str">
        <f t="array" ref="B3340">xlookup($A3340,product!$A:$A,product!B:B)</f>
        <v>Boisson</v>
      </c>
      <c r="C3340" s="20" t="str">
        <f t="array" ref="C3340">xlookup($A3340,product!$A:$A,product!C:C)</f>
        <v>Boisson végétale</v>
      </c>
      <c r="D3340" s="20" t="str">
        <f t="array" ref="D3340">xlookup($A3340,product!$A:$A,product!D:D)</f>
        <v>Boisson à l'amande</v>
      </c>
      <c r="E3340" s="4" t="str">
        <f t="shared" si="1"/>
        <v>80245-Boisson végétale-Boisson à l'amande</v>
      </c>
      <c r="F3340" s="4">
        <v>1.0</v>
      </c>
      <c r="G3340" s="4">
        <v>312.0</v>
      </c>
      <c r="H3340" s="4">
        <v>95.0</v>
      </c>
      <c r="I3340" s="21">
        <f t="array" ref="I3340">XLOOKUP($A3340,product!A:A,product!E:E)</f>
        <v>2.39</v>
      </c>
      <c r="J3340" s="4">
        <f t="shared" si="2"/>
        <v>227.05</v>
      </c>
      <c r="K3340" s="22">
        <f t="shared" si="3"/>
        <v>1</v>
      </c>
      <c r="L3340" s="4">
        <f t="shared" si="4"/>
        <v>1</v>
      </c>
    </row>
    <row r="3341">
      <c r="A3341" s="23">
        <v>6215.0</v>
      </c>
      <c r="B3341" s="24" t="str">
        <f t="array" ref="B3341">xlookup($A3341,product!$A:$A,product!B:B)</f>
        <v>Boisson</v>
      </c>
      <c r="C3341" s="24" t="str">
        <f t="array" ref="C3341">xlookup($A3341,product!$A:$A,product!C:C)</f>
        <v>Boisson végétale</v>
      </c>
      <c r="D3341" s="24" t="str">
        <f t="array" ref="D3341">xlookup($A3341,product!$A:$A,product!D:D)</f>
        <v>Boisson à l'amande</v>
      </c>
      <c r="E3341" s="25" t="str">
        <f t="shared" si="1"/>
        <v>6215-Boisson végétale-Boisson à l'amande</v>
      </c>
      <c r="F3341" s="25">
        <v>1.0</v>
      </c>
      <c r="G3341" s="25">
        <v>21.0</v>
      </c>
      <c r="H3341" s="25">
        <v>1.0</v>
      </c>
      <c r="I3341" s="26">
        <f t="array" ref="I3341">XLOOKUP($A3341,product!A:A,product!E:E)</f>
        <v>2.92</v>
      </c>
      <c r="J3341" s="25">
        <f t="shared" si="2"/>
        <v>2.92</v>
      </c>
      <c r="K3341" s="27">
        <f t="shared" si="3"/>
        <v>1</v>
      </c>
      <c r="L3341" s="25">
        <f t="shared" si="4"/>
        <v>1</v>
      </c>
    </row>
    <row r="3342">
      <c r="A3342" s="19">
        <v>45810.0</v>
      </c>
      <c r="B3342" s="20" t="str">
        <f t="array" ref="B3342">xlookup($A3342,product!$A:$A,product!B:B)</f>
        <v>Boisson</v>
      </c>
      <c r="C3342" s="20" t="str">
        <f t="array" ref="C3342">xlookup($A3342,product!$A:$A,product!C:C)</f>
        <v>Boisson végétale</v>
      </c>
      <c r="D3342" s="20" t="str">
        <f t="array" ref="D3342">xlookup($A3342,product!$A:$A,product!D:D)</f>
        <v>Boisson à l'amande</v>
      </c>
      <c r="E3342" s="4" t="str">
        <f t="shared" si="1"/>
        <v>45810-Boisson végétale-Boisson à l'amande</v>
      </c>
      <c r="F3342" s="4">
        <v>1.0</v>
      </c>
      <c r="G3342" s="4">
        <v>70.0</v>
      </c>
      <c r="H3342" s="4">
        <v>37.0</v>
      </c>
      <c r="I3342" s="21">
        <f t="array" ref="I3342">XLOOKUP($A3342,product!A:A,product!E:E)</f>
        <v>1.21</v>
      </c>
      <c r="J3342" s="4">
        <f t="shared" si="2"/>
        <v>44.77</v>
      </c>
      <c r="K3342" s="22">
        <f t="shared" si="3"/>
        <v>1</v>
      </c>
      <c r="L3342" s="4">
        <f t="shared" si="4"/>
        <v>1</v>
      </c>
    </row>
    <row r="3343">
      <c r="A3343" s="23">
        <v>80205.0</v>
      </c>
      <c r="B3343" s="24" t="str">
        <f t="array" ref="B3343">xlookup($A3343,product!$A:$A,product!B:B)</f>
        <v>Boisson</v>
      </c>
      <c r="C3343" s="24" t="str">
        <f t="array" ref="C3343">xlookup($A3343,product!$A:$A,product!C:C)</f>
        <v>Boisson végétale</v>
      </c>
      <c r="D3343" s="24" t="str">
        <f t="array" ref="D3343">xlookup($A3343,product!$A:$A,product!D:D)</f>
        <v>Boisson à l'amande</v>
      </c>
      <c r="E3343" s="25" t="str">
        <f t="shared" si="1"/>
        <v>80205-Boisson végétale-Boisson à l'amande</v>
      </c>
      <c r="F3343" s="25">
        <v>1.0</v>
      </c>
      <c r="G3343" s="25">
        <v>877.0</v>
      </c>
      <c r="H3343" s="25">
        <v>201.0</v>
      </c>
      <c r="I3343" s="26">
        <f t="array" ref="I3343">XLOOKUP($A3343,product!A:A,product!E:E)</f>
        <v>2.27</v>
      </c>
      <c r="J3343" s="25">
        <f t="shared" si="2"/>
        <v>456.27</v>
      </c>
      <c r="K3343" s="27">
        <f t="shared" si="3"/>
        <v>1</v>
      </c>
      <c r="L3343" s="25">
        <f t="shared" si="4"/>
        <v>1</v>
      </c>
    </row>
    <row r="3344">
      <c r="A3344" s="19">
        <v>107064.0</v>
      </c>
      <c r="B3344" s="20" t="str">
        <f t="array" ref="B3344">xlookup($A3344,product!$A:$A,product!B:B)</f>
        <v>Boisson</v>
      </c>
      <c r="C3344" s="20" t="str">
        <f t="array" ref="C3344">xlookup($A3344,product!$A:$A,product!C:C)</f>
        <v>Boisson végétale</v>
      </c>
      <c r="D3344" s="20" t="str">
        <f t="array" ref="D3344">xlookup($A3344,product!$A:$A,product!D:D)</f>
        <v>Boisson à l'amande</v>
      </c>
      <c r="E3344" s="4" t="str">
        <f t="shared" si="1"/>
        <v>107064-Boisson végétale-Boisson à l'amande</v>
      </c>
      <c r="F3344" s="4">
        <v>0.0</v>
      </c>
      <c r="G3344" s="4">
        <v>91.0</v>
      </c>
      <c r="H3344" s="4">
        <v>51.0</v>
      </c>
      <c r="I3344" s="21">
        <f t="array" ref="I3344">XLOOKUP($A3344,product!A:A,product!E:E)</f>
        <v>1.6</v>
      </c>
      <c r="J3344" s="4">
        <f t="shared" si="2"/>
        <v>81.6</v>
      </c>
      <c r="K3344" s="22">
        <f t="shared" si="3"/>
        <v>1</v>
      </c>
      <c r="L3344" s="4">
        <f t="shared" si="4"/>
        <v>1</v>
      </c>
    </row>
    <row r="3345">
      <c r="A3345" s="23">
        <v>6211.0</v>
      </c>
      <c r="B3345" s="24" t="str">
        <f t="array" ref="B3345">xlookup($A3345,product!$A:$A,product!B:B)</f>
        <v>Boisson</v>
      </c>
      <c r="C3345" s="24" t="str">
        <f t="array" ref="C3345">xlookup($A3345,product!$A:$A,product!C:C)</f>
        <v>Boisson végétale</v>
      </c>
      <c r="D3345" s="24" t="str">
        <f t="array" ref="D3345">xlookup($A3345,product!$A:$A,product!D:D)</f>
        <v>Boisson à l'amande</v>
      </c>
      <c r="E3345" s="25" t="str">
        <f t="shared" si="1"/>
        <v>6211-Boisson végétale-Boisson à l'amande</v>
      </c>
      <c r="F3345" s="25">
        <v>0.0</v>
      </c>
      <c r="G3345" s="25">
        <v>318.0</v>
      </c>
      <c r="H3345" s="25">
        <v>72.0</v>
      </c>
      <c r="I3345" s="26">
        <f t="array" ref="I3345">XLOOKUP($A3345,product!A:A,product!E:E)</f>
        <v>23.77</v>
      </c>
      <c r="J3345" s="25">
        <f t="shared" si="2"/>
        <v>1711.44</v>
      </c>
      <c r="K3345" s="27">
        <f t="shared" si="3"/>
        <v>1</v>
      </c>
      <c r="L3345" s="25">
        <f t="shared" si="4"/>
        <v>1</v>
      </c>
    </row>
    <row r="3346">
      <c r="A3346" s="19">
        <v>44036.0</v>
      </c>
      <c r="B3346" s="20" t="str">
        <f t="array" ref="B3346">xlookup($A3346,product!$A:$A,product!B:B)</f>
        <v>Boisson</v>
      </c>
      <c r="C3346" s="20" t="str">
        <f t="array" ref="C3346">xlookup($A3346,product!$A:$A,product!C:C)</f>
        <v>Boisson végétale</v>
      </c>
      <c r="D3346" s="20" t="str">
        <f t="array" ref="D3346">xlookup($A3346,product!$A:$A,product!D:D)</f>
        <v>Boisson à l'amande</v>
      </c>
      <c r="E3346" s="4" t="str">
        <f t="shared" si="1"/>
        <v>44036-Boisson végétale-Boisson à l'amande</v>
      </c>
      <c r="F3346" s="4">
        <v>0.0</v>
      </c>
      <c r="G3346" s="4">
        <v>720.0</v>
      </c>
      <c r="H3346" s="4">
        <v>30.0</v>
      </c>
      <c r="I3346" s="21">
        <f t="array" ref="I3346">XLOOKUP($A3346,product!A:A,product!E:E)</f>
        <v>1.98</v>
      </c>
      <c r="J3346" s="4">
        <f t="shared" si="2"/>
        <v>59.4</v>
      </c>
      <c r="K3346" s="22">
        <f t="shared" si="3"/>
        <v>1</v>
      </c>
      <c r="L3346" s="4">
        <f t="shared" si="4"/>
        <v>1</v>
      </c>
    </row>
    <row r="3347">
      <c r="A3347" s="23">
        <v>181493.0</v>
      </c>
      <c r="B3347" s="24" t="str">
        <f t="array" ref="B3347">xlookup($A3347,product!$A:$A,product!B:B)</f>
        <v>Boisson</v>
      </c>
      <c r="C3347" s="24" t="str">
        <f t="array" ref="C3347">xlookup($A3347,product!$A:$A,product!C:C)</f>
        <v>Boisson végétale</v>
      </c>
      <c r="D3347" s="24" t="str">
        <f t="array" ref="D3347">xlookup($A3347,product!$A:$A,product!D:D)</f>
        <v>Boisson à l'amande</v>
      </c>
      <c r="E3347" s="25" t="str">
        <f t="shared" si="1"/>
        <v>181493-Boisson végétale-Boisson à l'amande</v>
      </c>
      <c r="F3347" s="25">
        <v>0.0</v>
      </c>
      <c r="G3347" s="25">
        <v>925.0</v>
      </c>
      <c r="H3347" s="25">
        <v>283.0</v>
      </c>
      <c r="I3347" s="26">
        <f t="array" ref="I3347">XLOOKUP($A3347,product!A:A,product!E:E)</f>
        <v>2.13</v>
      </c>
      <c r="J3347" s="25">
        <f t="shared" si="2"/>
        <v>602.79</v>
      </c>
      <c r="K3347" s="27">
        <f t="shared" si="3"/>
        <v>1</v>
      </c>
      <c r="L3347" s="25">
        <f t="shared" si="4"/>
        <v>1</v>
      </c>
    </row>
    <row r="3348">
      <c r="A3348" s="19">
        <v>6210.0</v>
      </c>
      <c r="B3348" s="20" t="str">
        <f t="array" ref="B3348">xlookup($A3348,product!$A:$A,product!B:B)</f>
        <v>Boisson</v>
      </c>
      <c r="C3348" s="20" t="str">
        <f t="array" ref="C3348">xlookup($A3348,product!$A:$A,product!C:C)</f>
        <v>Boisson végétale</v>
      </c>
      <c r="D3348" s="20" t="str">
        <f t="array" ref="D3348">xlookup($A3348,product!$A:$A,product!D:D)</f>
        <v>Boisson à l'amande</v>
      </c>
      <c r="E3348" s="4" t="str">
        <f t="shared" si="1"/>
        <v>6210-Boisson végétale-Boisson à l'amande</v>
      </c>
      <c r="F3348" s="4">
        <v>1.0</v>
      </c>
      <c r="G3348" s="4">
        <v>529.0</v>
      </c>
      <c r="H3348" s="4">
        <v>459.0</v>
      </c>
      <c r="I3348" s="21">
        <f t="array" ref="I3348">XLOOKUP($A3348,product!A:A,product!E:E)</f>
        <v>13.61</v>
      </c>
      <c r="J3348" s="4">
        <f t="shared" si="2"/>
        <v>6246.99</v>
      </c>
      <c r="K3348" s="22">
        <f t="shared" si="3"/>
        <v>1</v>
      </c>
      <c r="L3348" s="4">
        <f t="shared" si="4"/>
        <v>1</v>
      </c>
    </row>
    <row r="3349">
      <c r="A3349" s="23">
        <v>110431.0</v>
      </c>
      <c r="B3349" s="24" t="str">
        <f t="array" ref="B3349">xlookup($A3349,product!$A:$A,product!B:B)</f>
        <v>Boisson</v>
      </c>
      <c r="C3349" s="24" t="str">
        <f t="array" ref="C3349">xlookup($A3349,product!$A:$A,product!C:C)</f>
        <v>Boisson végétale</v>
      </c>
      <c r="D3349" s="24" t="str">
        <f t="array" ref="D3349">xlookup($A3349,product!$A:$A,product!D:D)</f>
        <v>Boisson à l'avoine</v>
      </c>
      <c r="E3349" s="25" t="str">
        <f t="shared" si="1"/>
        <v>110431-Boisson végétale-Boisson à l'avoine</v>
      </c>
      <c r="F3349" s="25">
        <v>1.0</v>
      </c>
      <c r="G3349" s="25">
        <v>105.0</v>
      </c>
      <c r="H3349" s="25">
        <v>48.0</v>
      </c>
      <c r="I3349" s="26">
        <f t="array" ref="I3349">XLOOKUP($A3349,product!A:A,product!E:E)</f>
        <v>1.05</v>
      </c>
      <c r="J3349" s="25">
        <f t="shared" si="2"/>
        <v>50.4</v>
      </c>
      <c r="K3349" s="27">
        <f t="shared" si="3"/>
        <v>1</v>
      </c>
      <c r="L3349" s="25">
        <f t="shared" si="4"/>
        <v>1</v>
      </c>
    </row>
    <row r="3350">
      <c r="A3350" s="19">
        <v>122878.0</v>
      </c>
      <c r="B3350" s="20" t="str">
        <f t="array" ref="B3350">xlookup($A3350,product!$A:$A,product!B:B)</f>
        <v>Boisson</v>
      </c>
      <c r="C3350" s="20" t="str">
        <f t="array" ref="C3350">xlookup($A3350,product!$A:$A,product!C:C)</f>
        <v>Boisson végétale</v>
      </c>
      <c r="D3350" s="20" t="str">
        <f t="array" ref="D3350">xlookup($A3350,product!$A:$A,product!D:D)</f>
        <v>Boisson à l'avoine</v>
      </c>
      <c r="E3350" s="4" t="str">
        <f t="shared" si="1"/>
        <v>122878-Boisson végétale-Boisson à l'avoine</v>
      </c>
      <c r="F3350" s="4">
        <v>0.0</v>
      </c>
      <c r="G3350" s="4">
        <v>872.0</v>
      </c>
      <c r="H3350" s="4">
        <v>46.0</v>
      </c>
      <c r="I3350" s="21">
        <f t="array" ref="I3350">XLOOKUP($A3350,product!A:A,product!E:E)</f>
        <v>1.56</v>
      </c>
      <c r="J3350" s="4">
        <f t="shared" si="2"/>
        <v>71.76</v>
      </c>
      <c r="K3350" s="22">
        <f t="shared" si="3"/>
        <v>1</v>
      </c>
      <c r="L3350" s="4">
        <f t="shared" si="4"/>
        <v>1</v>
      </c>
    </row>
    <row r="3351">
      <c r="A3351" s="23">
        <v>14092.0</v>
      </c>
      <c r="B3351" s="24" t="str">
        <f t="array" ref="B3351">xlookup($A3351,product!$A:$A,product!B:B)</f>
        <v>Boisson</v>
      </c>
      <c r="C3351" s="24" t="str">
        <f t="array" ref="C3351">xlookup($A3351,product!$A:$A,product!C:C)</f>
        <v>Boisson végétale</v>
      </c>
      <c r="D3351" s="24" t="str">
        <f t="array" ref="D3351">xlookup($A3351,product!$A:$A,product!D:D)</f>
        <v>Boisson à l'avoine</v>
      </c>
      <c r="E3351" s="25" t="str">
        <f t="shared" si="1"/>
        <v>14092-Boisson végétale-Boisson à l'avoine</v>
      </c>
      <c r="F3351" s="25">
        <v>0.0</v>
      </c>
      <c r="G3351" s="25">
        <v>559.0</v>
      </c>
      <c r="H3351" s="25">
        <v>422.0</v>
      </c>
      <c r="I3351" s="26">
        <f t="array" ref="I3351">XLOOKUP($A3351,product!A:A,product!E:E)</f>
        <v>1.31</v>
      </c>
      <c r="J3351" s="25">
        <f t="shared" si="2"/>
        <v>552.82</v>
      </c>
      <c r="K3351" s="27">
        <f t="shared" si="3"/>
        <v>1</v>
      </c>
      <c r="L3351" s="25">
        <f t="shared" si="4"/>
        <v>1</v>
      </c>
    </row>
    <row r="3352">
      <c r="A3352" s="19">
        <v>121621.0</v>
      </c>
      <c r="B3352" s="20" t="str">
        <f t="array" ref="B3352">xlookup($A3352,product!$A:$A,product!B:B)</f>
        <v>Boisson</v>
      </c>
      <c r="C3352" s="20" t="str">
        <f t="array" ref="C3352">xlookup($A3352,product!$A:$A,product!C:C)</f>
        <v>Boisson végétale</v>
      </c>
      <c r="D3352" s="20" t="str">
        <f t="array" ref="D3352">xlookup($A3352,product!$A:$A,product!D:D)</f>
        <v>Boisson à l'avoine</v>
      </c>
      <c r="E3352" s="4" t="str">
        <f t="shared" si="1"/>
        <v>121621-Boisson végétale-Boisson à l'avoine</v>
      </c>
      <c r="F3352" s="4">
        <v>1.0</v>
      </c>
      <c r="G3352" s="4">
        <v>340.0</v>
      </c>
      <c r="H3352" s="4">
        <v>6.0</v>
      </c>
      <c r="I3352" s="21">
        <f t="array" ref="I3352">XLOOKUP($A3352,product!A:A,product!E:E)</f>
        <v>0.96</v>
      </c>
      <c r="J3352" s="4">
        <f t="shared" si="2"/>
        <v>5.76</v>
      </c>
      <c r="K3352" s="22">
        <f t="shared" si="3"/>
        <v>1</v>
      </c>
      <c r="L3352" s="4">
        <f t="shared" si="4"/>
        <v>1</v>
      </c>
    </row>
    <row r="3353">
      <c r="A3353" s="23">
        <v>120511.0</v>
      </c>
      <c r="B3353" s="24" t="str">
        <f t="array" ref="B3353">xlookup($A3353,product!$A:$A,product!B:B)</f>
        <v>Boisson</v>
      </c>
      <c r="C3353" s="24" t="str">
        <f t="array" ref="C3353">xlookup($A3353,product!$A:$A,product!C:C)</f>
        <v>Boisson végétale</v>
      </c>
      <c r="D3353" s="24" t="str">
        <f t="array" ref="D3353">xlookup($A3353,product!$A:$A,product!D:D)</f>
        <v>Boisson à l'avoine</v>
      </c>
      <c r="E3353" s="25" t="str">
        <f t="shared" si="1"/>
        <v>120511-Boisson végétale-Boisson à l'avoine</v>
      </c>
      <c r="F3353" s="25">
        <v>1.0</v>
      </c>
      <c r="G3353" s="25">
        <v>206.0</v>
      </c>
      <c r="H3353" s="25">
        <v>138.0</v>
      </c>
      <c r="I3353" s="26">
        <f t="array" ref="I3353">XLOOKUP($A3353,product!A:A,product!E:E)</f>
        <v>1.45</v>
      </c>
      <c r="J3353" s="25">
        <f t="shared" si="2"/>
        <v>200.1</v>
      </c>
      <c r="K3353" s="27">
        <f t="shared" si="3"/>
        <v>1</v>
      </c>
      <c r="L3353" s="25">
        <f t="shared" si="4"/>
        <v>1</v>
      </c>
    </row>
    <row r="3354">
      <c r="A3354" s="19">
        <v>46132.0</v>
      </c>
      <c r="B3354" s="20" t="str">
        <f t="array" ref="B3354">xlookup($A3354,product!$A:$A,product!B:B)</f>
        <v>Boisson</v>
      </c>
      <c r="C3354" s="20" t="str">
        <f t="array" ref="C3354">xlookup($A3354,product!$A:$A,product!C:C)</f>
        <v>Boisson végétale</v>
      </c>
      <c r="D3354" s="20" t="str">
        <f t="array" ref="D3354">xlookup($A3354,product!$A:$A,product!D:D)</f>
        <v>Boisson à l'avoine</v>
      </c>
      <c r="E3354" s="4" t="str">
        <f t="shared" si="1"/>
        <v>46132-Boisson végétale-Boisson à l'avoine</v>
      </c>
      <c r="F3354" s="4">
        <v>0.0</v>
      </c>
      <c r="G3354" s="4">
        <v>771.0</v>
      </c>
      <c r="H3354" s="4">
        <v>565.0</v>
      </c>
      <c r="I3354" s="21">
        <f t="array" ref="I3354">XLOOKUP($A3354,product!A:A,product!E:E)</f>
        <v>1.05</v>
      </c>
      <c r="J3354" s="4">
        <f t="shared" si="2"/>
        <v>593.25</v>
      </c>
      <c r="K3354" s="22">
        <f t="shared" si="3"/>
        <v>1</v>
      </c>
      <c r="L3354" s="4">
        <f t="shared" si="4"/>
        <v>1</v>
      </c>
    </row>
    <row r="3355">
      <c r="A3355" s="23">
        <v>83014.0</v>
      </c>
      <c r="B3355" s="24" t="str">
        <f t="array" ref="B3355">xlookup($A3355,product!$A:$A,product!B:B)</f>
        <v>Boisson</v>
      </c>
      <c r="C3355" s="24" t="str">
        <f t="array" ref="C3355">xlookup($A3355,product!$A:$A,product!C:C)</f>
        <v>Boisson végétale</v>
      </c>
      <c r="D3355" s="24" t="str">
        <f t="array" ref="D3355">xlookup($A3355,product!$A:$A,product!D:D)</f>
        <v>Boisson à l'avoine</v>
      </c>
      <c r="E3355" s="25" t="str">
        <f t="shared" si="1"/>
        <v>83014-Boisson végétale-Boisson à l'avoine</v>
      </c>
      <c r="F3355" s="25">
        <v>1.0</v>
      </c>
      <c r="G3355" s="25">
        <v>695.0</v>
      </c>
      <c r="H3355" s="25">
        <v>670.0</v>
      </c>
      <c r="I3355" s="26">
        <f t="array" ref="I3355">XLOOKUP($A3355,product!A:A,product!E:E)</f>
        <v>1.42</v>
      </c>
      <c r="J3355" s="25">
        <f t="shared" si="2"/>
        <v>951.4</v>
      </c>
      <c r="K3355" s="27">
        <f t="shared" si="3"/>
        <v>1</v>
      </c>
      <c r="L3355" s="25">
        <f t="shared" si="4"/>
        <v>1</v>
      </c>
    </row>
    <row r="3356">
      <c r="A3356" s="19">
        <v>80199.0</v>
      </c>
      <c r="B3356" s="20" t="str">
        <f t="array" ref="B3356">xlookup($A3356,product!$A:$A,product!B:B)</f>
        <v>Boisson</v>
      </c>
      <c r="C3356" s="20" t="str">
        <f t="array" ref="C3356">xlookup($A3356,product!$A:$A,product!C:C)</f>
        <v>Boisson végétale</v>
      </c>
      <c r="D3356" s="20" t="str">
        <f t="array" ref="D3356">xlookup($A3356,product!$A:$A,product!D:D)</f>
        <v>Boisson à l'avoine</v>
      </c>
      <c r="E3356" s="4" t="str">
        <f t="shared" si="1"/>
        <v>80199-Boisson végétale-Boisson à l'avoine</v>
      </c>
      <c r="F3356" s="4">
        <v>0.0</v>
      </c>
      <c r="G3356" s="4">
        <v>565.0</v>
      </c>
      <c r="H3356" s="4">
        <v>181.0</v>
      </c>
      <c r="I3356" s="21">
        <f t="array" ref="I3356">XLOOKUP($A3356,product!A:A,product!E:E)</f>
        <v>1.18</v>
      </c>
      <c r="J3356" s="4">
        <f t="shared" si="2"/>
        <v>213.58</v>
      </c>
      <c r="K3356" s="22">
        <f t="shared" si="3"/>
        <v>1</v>
      </c>
      <c r="L3356" s="4">
        <f t="shared" si="4"/>
        <v>1</v>
      </c>
    </row>
    <row r="3357">
      <c r="A3357" s="23">
        <v>80201.0</v>
      </c>
      <c r="B3357" s="24" t="str">
        <f t="array" ref="B3357">xlookup($A3357,product!$A:$A,product!B:B)</f>
        <v>Boisson</v>
      </c>
      <c r="C3357" s="24" t="str">
        <f t="array" ref="C3357">xlookup($A3357,product!$A:$A,product!C:C)</f>
        <v>Boisson végétale</v>
      </c>
      <c r="D3357" s="24" t="str">
        <f t="array" ref="D3357">xlookup($A3357,product!$A:$A,product!D:D)</f>
        <v>Boisson à l'avoine</v>
      </c>
      <c r="E3357" s="25" t="str">
        <f t="shared" si="1"/>
        <v>80201-Boisson végétale-Boisson à l'avoine</v>
      </c>
      <c r="F3357" s="25">
        <v>0.0</v>
      </c>
      <c r="G3357" s="25">
        <v>925.0</v>
      </c>
      <c r="H3357" s="25">
        <v>508.0</v>
      </c>
      <c r="I3357" s="26">
        <f t="array" ref="I3357">XLOOKUP($A3357,product!A:A,product!E:E)</f>
        <v>1.38</v>
      </c>
      <c r="J3357" s="25">
        <f t="shared" si="2"/>
        <v>701.04</v>
      </c>
      <c r="K3357" s="27">
        <f t="shared" si="3"/>
        <v>1</v>
      </c>
      <c r="L3357" s="25">
        <f t="shared" si="4"/>
        <v>1</v>
      </c>
    </row>
    <row r="3358">
      <c r="A3358" s="19">
        <v>46131.0</v>
      </c>
      <c r="B3358" s="20" t="str">
        <f t="array" ref="B3358">xlookup($A3358,product!$A:$A,product!B:B)</f>
        <v>Boisson</v>
      </c>
      <c r="C3358" s="20" t="str">
        <f t="array" ref="C3358">xlookup($A3358,product!$A:$A,product!C:C)</f>
        <v>Boisson végétale</v>
      </c>
      <c r="D3358" s="20" t="str">
        <f t="array" ref="D3358">xlookup($A3358,product!$A:$A,product!D:D)</f>
        <v>Boisson à l'avoine</v>
      </c>
      <c r="E3358" s="4" t="str">
        <f t="shared" si="1"/>
        <v>46131-Boisson végétale-Boisson à l'avoine</v>
      </c>
      <c r="F3358" s="4">
        <v>0.0</v>
      </c>
      <c r="G3358" s="4">
        <v>784.0</v>
      </c>
      <c r="H3358" s="4">
        <v>520.0</v>
      </c>
      <c r="I3358" s="21">
        <f t="array" ref="I3358">XLOOKUP($A3358,product!A:A,product!E:E)</f>
        <v>1</v>
      </c>
      <c r="J3358" s="4">
        <f t="shared" si="2"/>
        <v>520</v>
      </c>
      <c r="K3358" s="22">
        <f t="shared" si="3"/>
        <v>1</v>
      </c>
      <c r="L3358" s="4">
        <f t="shared" si="4"/>
        <v>1</v>
      </c>
    </row>
    <row r="3359">
      <c r="A3359" s="23">
        <v>102346.0</v>
      </c>
      <c r="B3359" s="24" t="str">
        <f t="array" ref="B3359">xlookup($A3359,product!$A:$A,product!B:B)</f>
        <v>Boisson</v>
      </c>
      <c r="C3359" s="24" t="str">
        <f t="array" ref="C3359">xlookup($A3359,product!$A:$A,product!C:C)</f>
        <v>Boisson végétale</v>
      </c>
      <c r="D3359" s="24" t="str">
        <f t="array" ref="D3359">xlookup($A3359,product!$A:$A,product!D:D)</f>
        <v>Boisson à l'avoine</v>
      </c>
      <c r="E3359" s="25" t="str">
        <f t="shared" si="1"/>
        <v>102346-Boisson végétale-Boisson à l'avoine</v>
      </c>
      <c r="F3359" s="25">
        <v>1.0</v>
      </c>
      <c r="G3359" s="25">
        <v>788.0</v>
      </c>
      <c r="H3359" s="25">
        <v>28.0</v>
      </c>
      <c r="I3359" s="26">
        <f t="array" ref="I3359">XLOOKUP($A3359,product!A:A,product!E:E)</f>
        <v>1.18</v>
      </c>
      <c r="J3359" s="25">
        <f t="shared" si="2"/>
        <v>33.04</v>
      </c>
      <c r="K3359" s="27">
        <f t="shared" si="3"/>
        <v>1</v>
      </c>
      <c r="L3359" s="25">
        <f t="shared" si="4"/>
        <v>1</v>
      </c>
    </row>
    <row r="3360">
      <c r="A3360" s="19">
        <v>14094.0</v>
      </c>
      <c r="B3360" s="20" t="str">
        <f t="array" ref="B3360">xlookup($A3360,product!$A:$A,product!B:B)</f>
        <v>Boisson</v>
      </c>
      <c r="C3360" s="20" t="str">
        <f t="array" ref="C3360">xlookup($A3360,product!$A:$A,product!C:C)</f>
        <v>Boisson végétale</v>
      </c>
      <c r="D3360" s="20" t="str">
        <f t="array" ref="D3360">xlookup($A3360,product!$A:$A,product!D:D)</f>
        <v>Boisson à l'avoine</v>
      </c>
      <c r="E3360" s="4" t="str">
        <f t="shared" si="1"/>
        <v>14094-Boisson végétale-Boisson à l'avoine</v>
      </c>
      <c r="F3360" s="4">
        <v>1.0</v>
      </c>
      <c r="G3360" s="4">
        <v>620.0</v>
      </c>
      <c r="H3360" s="4">
        <v>567.0</v>
      </c>
      <c r="I3360" s="21">
        <f t="array" ref="I3360">XLOOKUP($A3360,product!A:A,product!E:E)</f>
        <v>1.9</v>
      </c>
      <c r="J3360" s="4">
        <f t="shared" si="2"/>
        <v>1077.3</v>
      </c>
      <c r="K3360" s="22">
        <f t="shared" si="3"/>
        <v>1</v>
      </c>
      <c r="L3360" s="4">
        <f t="shared" si="4"/>
        <v>1</v>
      </c>
    </row>
    <row r="3361">
      <c r="A3361" s="23">
        <v>100679.0</v>
      </c>
      <c r="B3361" s="24" t="str">
        <f t="array" ref="B3361">xlookup($A3361,product!$A:$A,product!B:B)</f>
        <v>Boisson</v>
      </c>
      <c r="C3361" s="24" t="str">
        <f t="array" ref="C3361">xlookup($A3361,product!$A:$A,product!C:C)</f>
        <v>Boisson végétale</v>
      </c>
      <c r="D3361" s="24" t="str">
        <f t="array" ref="D3361">xlookup($A3361,product!$A:$A,product!D:D)</f>
        <v>Boisson à l'avoine</v>
      </c>
      <c r="E3361" s="25" t="str">
        <f t="shared" si="1"/>
        <v>100679-Boisson végétale-Boisson à l'avoine</v>
      </c>
      <c r="F3361" s="25">
        <v>0.0</v>
      </c>
      <c r="G3361" s="25">
        <v>528.0</v>
      </c>
      <c r="H3361" s="25">
        <v>313.0</v>
      </c>
      <c r="I3361" s="26">
        <f t="array" ref="I3361">XLOOKUP($A3361,product!A:A,product!E:E)</f>
        <v>1.09</v>
      </c>
      <c r="J3361" s="25">
        <f t="shared" si="2"/>
        <v>341.17</v>
      </c>
      <c r="K3361" s="27">
        <f t="shared" si="3"/>
        <v>1</v>
      </c>
      <c r="L3361" s="25">
        <f t="shared" si="4"/>
        <v>1</v>
      </c>
    </row>
    <row r="3362">
      <c r="A3362" s="19">
        <v>102345.0</v>
      </c>
      <c r="B3362" s="20" t="str">
        <f t="array" ref="B3362">xlookup($A3362,product!$A:$A,product!B:B)</f>
        <v>Boisson</v>
      </c>
      <c r="C3362" s="20" t="str">
        <f t="array" ref="C3362">xlookup($A3362,product!$A:$A,product!C:C)</f>
        <v>Boisson végétale</v>
      </c>
      <c r="D3362" s="20" t="str">
        <f t="array" ref="D3362">xlookup($A3362,product!$A:$A,product!D:D)</f>
        <v>Boisson à l'avoine</v>
      </c>
      <c r="E3362" s="4" t="str">
        <f t="shared" si="1"/>
        <v>102345-Boisson végétale-Boisson à l'avoine</v>
      </c>
      <c r="F3362" s="4">
        <v>1.0</v>
      </c>
      <c r="G3362" s="4">
        <v>736.0</v>
      </c>
      <c r="H3362" s="4">
        <v>594.0</v>
      </c>
      <c r="I3362" s="21">
        <f t="array" ref="I3362">XLOOKUP($A3362,product!A:A,product!E:E)</f>
        <v>1.47</v>
      </c>
      <c r="J3362" s="4">
        <f t="shared" si="2"/>
        <v>873.18</v>
      </c>
      <c r="K3362" s="22">
        <f t="shared" si="3"/>
        <v>1</v>
      </c>
      <c r="L3362" s="4">
        <f t="shared" si="4"/>
        <v>1</v>
      </c>
    </row>
    <row r="3363">
      <c r="A3363" s="23">
        <v>121695.0</v>
      </c>
      <c r="B3363" s="24" t="str">
        <f t="array" ref="B3363">xlookup($A3363,product!$A:$A,product!B:B)</f>
        <v>Boisson</v>
      </c>
      <c r="C3363" s="24" t="str">
        <f t="array" ref="C3363">xlookup($A3363,product!$A:$A,product!C:C)</f>
        <v>Boisson végétale</v>
      </c>
      <c r="D3363" s="24" t="str">
        <f t="array" ref="D3363">xlookup($A3363,product!$A:$A,product!D:D)</f>
        <v>Boisson à l'avoine</v>
      </c>
      <c r="E3363" s="25" t="str">
        <f t="shared" si="1"/>
        <v>121695-Boisson végétale-Boisson à l'avoine</v>
      </c>
      <c r="F3363" s="25">
        <v>0.0</v>
      </c>
      <c r="G3363" s="25">
        <v>682.0</v>
      </c>
      <c r="H3363" s="25">
        <v>340.0</v>
      </c>
      <c r="I3363" s="26">
        <f t="array" ref="I3363">XLOOKUP($A3363,product!A:A,product!E:E)</f>
        <v>0.7</v>
      </c>
      <c r="J3363" s="25">
        <f t="shared" si="2"/>
        <v>238</v>
      </c>
      <c r="K3363" s="27">
        <f t="shared" si="3"/>
        <v>1</v>
      </c>
      <c r="L3363" s="25">
        <f t="shared" si="4"/>
        <v>1</v>
      </c>
    </row>
    <row r="3364">
      <c r="A3364" s="19">
        <v>6204.0</v>
      </c>
      <c r="B3364" s="20" t="str">
        <f t="array" ref="B3364">xlookup($A3364,product!$A:$A,product!B:B)</f>
        <v>Boisson</v>
      </c>
      <c r="C3364" s="20" t="str">
        <f t="array" ref="C3364">xlookup($A3364,product!$A:$A,product!C:C)</f>
        <v>Boisson végétale</v>
      </c>
      <c r="D3364" s="20" t="str">
        <f t="array" ref="D3364">xlookup($A3364,product!$A:$A,product!D:D)</f>
        <v>Boisson aux noisettes</v>
      </c>
      <c r="E3364" s="4" t="str">
        <f t="shared" si="1"/>
        <v>6204-Boisson végétale-Boisson aux noisettes</v>
      </c>
      <c r="F3364" s="4">
        <v>0.0</v>
      </c>
      <c r="G3364" s="4">
        <v>152.0</v>
      </c>
      <c r="H3364" s="4">
        <v>100.0</v>
      </c>
      <c r="I3364" s="21">
        <f t="array" ref="I3364">XLOOKUP($A3364,product!A:A,product!E:E)</f>
        <v>12.7</v>
      </c>
      <c r="J3364" s="4">
        <f t="shared" si="2"/>
        <v>1270</v>
      </c>
      <c r="K3364" s="22">
        <f t="shared" si="3"/>
        <v>1</v>
      </c>
      <c r="L3364" s="4">
        <f t="shared" si="4"/>
        <v>1</v>
      </c>
    </row>
    <row r="3365">
      <c r="A3365" s="23">
        <v>16571.0</v>
      </c>
      <c r="B3365" s="24" t="str">
        <f t="array" ref="B3365">xlookup($A3365,product!$A:$A,product!B:B)</f>
        <v>Boisson</v>
      </c>
      <c r="C3365" s="24" t="str">
        <f t="array" ref="C3365">xlookup($A3365,product!$A:$A,product!C:C)</f>
        <v>Boisson végétale</v>
      </c>
      <c r="D3365" s="24" t="str">
        <f t="array" ref="D3365">xlookup($A3365,product!$A:$A,product!D:D)</f>
        <v>Boisson aux noisettes</v>
      </c>
      <c r="E3365" s="25" t="str">
        <f t="shared" si="1"/>
        <v>16571-Boisson végétale-Boisson aux noisettes</v>
      </c>
      <c r="F3365" s="25">
        <v>1.0</v>
      </c>
      <c r="G3365" s="25">
        <v>891.0</v>
      </c>
      <c r="H3365" s="25">
        <v>795.0</v>
      </c>
      <c r="I3365" s="26">
        <f t="array" ref="I3365">XLOOKUP($A3365,product!A:A,product!E:E)</f>
        <v>10.65</v>
      </c>
      <c r="J3365" s="25">
        <f t="shared" si="2"/>
        <v>8466.75</v>
      </c>
      <c r="K3365" s="27">
        <f t="shared" si="3"/>
        <v>1</v>
      </c>
      <c r="L3365" s="25">
        <f t="shared" si="4"/>
        <v>1</v>
      </c>
    </row>
    <row r="3366">
      <c r="A3366" s="19">
        <v>181494.0</v>
      </c>
      <c r="B3366" s="20" t="str">
        <f t="array" ref="B3366">xlookup($A3366,product!$A:$A,product!B:B)</f>
        <v>Boisson</v>
      </c>
      <c r="C3366" s="20" t="str">
        <f t="array" ref="C3366">xlookup($A3366,product!$A:$A,product!C:C)</f>
        <v>Boisson végétale</v>
      </c>
      <c r="D3366" s="20" t="str">
        <f t="array" ref="D3366">xlookup($A3366,product!$A:$A,product!D:D)</f>
        <v>Boisson aux noisettes</v>
      </c>
      <c r="E3366" s="4" t="str">
        <f t="shared" si="1"/>
        <v>181494-Boisson végétale-Boisson aux noisettes</v>
      </c>
      <c r="F3366" s="4">
        <v>1.0</v>
      </c>
      <c r="G3366" s="4">
        <v>907.0</v>
      </c>
      <c r="H3366" s="4">
        <v>468.0</v>
      </c>
      <c r="I3366" s="21">
        <f t="array" ref="I3366">XLOOKUP($A3366,product!A:A,product!E:E)</f>
        <v>2.17</v>
      </c>
      <c r="J3366" s="4">
        <f t="shared" si="2"/>
        <v>1015.56</v>
      </c>
      <c r="K3366" s="22">
        <f t="shared" si="3"/>
        <v>1</v>
      </c>
      <c r="L3366" s="4">
        <f t="shared" si="4"/>
        <v>1</v>
      </c>
    </row>
    <row r="3367">
      <c r="A3367" s="23">
        <v>80315.0</v>
      </c>
      <c r="B3367" s="24" t="str">
        <f t="array" ref="B3367">xlookup($A3367,product!$A:$A,product!B:B)</f>
        <v>Boisson</v>
      </c>
      <c r="C3367" s="24" t="str">
        <f t="array" ref="C3367">xlookup($A3367,product!$A:$A,product!C:C)</f>
        <v>Boisson végétale</v>
      </c>
      <c r="D3367" s="24" t="str">
        <f t="array" ref="D3367">xlookup($A3367,product!$A:$A,product!D:D)</f>
        <v>Boisson aux noisettes</v>
      </c>
      <c r="E3367" s="25" t="str">
        <f t="shared" si="1"/>
        <v>80315-Boisson végétale-Boisson aux noisettes</v>
      </c>
      <c r="F3367" s="25">
        <v>1.0</v>
      </c>
      <c r="G3367" s="25">
        <v>320.0</v>
      </c>
      <c r="H3367" s="25">
        <v>265.0</v>
      </c>
      <c r="I3367" s="26">
        <f t="array" ref="I3367">XLOOKUP($A3367,product!A:A,product!E:E)</f>
        <v>2.07</v>
      </c>
      <c r="J3367" s="25">
        <f t="shared" si="2"/>
        <v>548.55</v>
      </c>
      <c r="K3367" s="27">
        <f t="shared" si="3"/>
        <v>1</v>
      </c>
      <c r="L3367" s="25">
        <f t="shared" si="4"/>
        <v>1</v>
      </c>
    </row>
    <row r="3368">
      <c r="A3368" s="19">
        <v>83054.0</v>
      </c>
      <c r="B3368" s="20" t="str">
        <f t="array" ref="B3368">xlookup($A3368,product!$A:$A,product!B:B)</f>
        <v>Boisson</v>
      </c>
      <c r="C3368" s="20" t="str">
        <f t="array" ref="C3368">xlookup($A3368,product!$A:$A,product!C:C)</f>
        <v>Boisson végétale</v>
      </c>
      <c r="D3368" s="20" t="str">
        <f t="array" ref="D3368">xlookup($A3368,product!$A:$A,product!D:D)</f>
        <v>Boisson à l'épeautre</v>
      </c>
      <c r="E3368" s="4" t="str">
        <f t="shared" si="1"/>
        <v>83054-Boisson végétale-Boisson à l'épeautre</v>
      </c>
      <c r="F3368" s="4">
        <v>0.0</v>
      </c>
      <c r="G3368" s="4">
        <v>397.0</v>
      </c>
      <c r="H3368" s="4">
        <v>252.0</v>
      </c>
      <c r="I3368" s="21">
        <f t="array" ref="I3368">XLOOKUP($A3368,product!A:A,product!E:E)</f>
        <v>1.34</v>
      </c>
      <c r="J3368" s="4">
        <f t="shared" si="2"/>
        <v>337.68</v>
      </c>
      <c r="K3368" s="22">
        <f t="shared" si="3"/>
        <v>1</v>
      </c>
      <c r="L3368" s="4">
        <f t="shared" si="4"/>
        <v>1</v>
      </c>
    </row>
    <row r="3369">
      <c r="A3369" s="23">
        <v>83056.0</v>
      </c>
      <c r="B3369" s="24" t="str">
        <f t="array" ref="B3369">xlookup($A3369,product!$A:$A,product!B:B)</f>
        <v>Boisson</v>
      </c>
      <c r="C3369" s="24" t="str">
        <f t="array" ref="C3369">xlookup($A3369,product!$A:$A,product!C:C)</f>
        <v>Boisson végétale</v>
      </c>
      <c r="D3369" s="24" t="str">
        <f t="array" ref="D3369">xlookup($A3369,product!$A:$A,product!D:D)</f>
        <v>Boisson à l'épeautre</v>
      </c>
      <c r="E3369" s="25" t="str">
        <f t="shared" si="1"/>
        <v>83056-Boisson végétale-Boisson à l'épeautre</v>
      </c>
      <c r="F3369" s="25">
        <v>0.0</v>
      </c>
      <c r="G3369" s="25">
        <v>397.0</v>
      </c>
      <c r="H3369" s="25">
        <v>242.0</v>
      </c>
      <c r="I3369" s="26">
        <f t="array" ref="I3369">XLOOKUP($A3369,product!A:A,product!E:E)</f>
        <v>1.86</v>
      </c>
      <c r="J3369" s="25">
        <f t="shared" si="2"/>
        <v>450.12</v>
      </c>
      <c r="K3369" s="27">
        <f t="shared" si="3"/>
        <v>1</v>
      </c>
      <c r="L3369" s="25">
        <f t="shared" si="4"/>
        <v>1</v>
      </c>
    </row>
    <row r="3370">
      <c r="A3370" s="19">
        <v>83055.0</v>
      </c>
      <c r="B3370" s="20" t="str">
        <f t="array" ref="B3370">xlookup($A3370,product!$A:$A,product!B:B)</f>
        <v>Boisson</v>
      </c>
      <c r="C3370" s="20" t="str">
        <f t="array" ref="C3370">xlookup($A3370,product!$A:$A,product!C:C)</f>
        <v>Boisson végétale</v>
      </c>
      <c r="D3370" s="20" t="str">
        <f t="array" ref="D3370">xlookup($A3370,product!$A:$A,product!D:D)</f>
        <v>Boisson à l'épeautre</v>
      </c>
      <c r="E3370" s="4" t="str">
        <f t="shared" si="1"/>
        <v>83055-Boisson végétale-Boisson à l'épeautre</v>
      </c>
      <c r="F3370" s="4">
        <v>1.0</v>
      </c>
      <c r="G3370" s="4">
        <v>772.0</v>
      </c>
      <c r="H3370" s="4">
        <v>546.0</v>
      </c>
      <c r="I3370" s="21">
        <f t="array" ref="I3370">XLOOKUP($A3370,product!A:A,product!E:E)</f>
        <v>1.39</v>
      </c>
      <c r="J3370" s="4">
        <f t="shared" si="2"/>
        <v>758.94</v>
      </c>
      <c r="K3370" s="22">
        <f t="shared" si="3"/>
        <v>1</v>
      </c>
      <c r="L3370" s="4">
        <f t="shared" si="4"/>
        <v>1</v>
      </c>
    </row>
    <row r="3371">
      <c r="A3371" s="23">
        <v>46134.0</v>
      </c>
      <c r="B3371" s="24" t="str">
        <f t="array" ref="B3371">xlookup($A3371,product!$A:$A,product!B:B)</f>
        <v>Boisson</v>
      </c>
      <c r="C3371" s="24" t="str">
        <f t="array" ref="C3371">xlookup($A3371,product!$A:$A,product!C:C)</f>
        <v>Boisson végétale</v>
      </c>
      <c r="D3371" s="24" t="str">
        <f t="array" ref="D3371">xlookup($A3371,product!$A:$A,product!D:D)</f>
        <v>Boisson à l'épeautre</v>
      </c>
      <c r="E3371" s="25" t="str">
        <f t="shared" si="1"/>
        <v>46134-Boisson végétale-Boisson à l'épeautre</v>
      </c>
      <c r="F3371" s="25">
        <v>0.0</v>
      </c>
      <c r="G3371" s="25">
        <v>32.0</v>
      </c>
      <c r="H3371" s="25">
        <v>7.0</v>
      </c>
      <c r="I3371" s="26">
        <f t="array" ref="I3371">XLOOKUP($A3371,product!A:A,product!E:E)</f>
        <v>1.08</v>
      </c>
      <c r="J3371" s="25">
        <f t="shared" si="2"/>
        <v>7.56</v>
      </c>
      <c r="K3371" s="27">
        <f t="shared" si="3"/>
        <v>1</v>
      </c>
      <c r="L3371" s="25">
        <f t="shared" si="4"/>
        <v>1</v>
      </c>
    </row>
    <row r="3372">
      <c r="A3372" s="19">
        <v>121693.0</v>
      </c>
      <c r="B3372" s="20" t="str">
        <f t="array" ref="B3372">xlookup($A3372,product!$A:$A,product!B:B)</f>
        <v>Boisson</v>
      </c>
      <c r="C3372" s="20" t="str">
        <f t="array" ref="C3372">xlookup($A3372,product!$A:$A,product!C:C)</f>
        <v>Boisson végétale</v>
      </c>
      <c r="D3372" s="20" t="str">
        <f t="array" ref="D3372">xlookup($A3372,product!$A:$A,product!D:D)</f>
        <v>Boisson à l'épeautre</v>
      </c>
      <c r="E3372" s="4" t="str">
        <f t="shared" si="1"/>
        <v>121693-Boisson végétale-Boisson à l'épeautre</v>
      </c>
      <c r="F3372" s="4">
        <v>0.0</v>
      </c>
      <c r="G3372" s="4">
        <v>219.0</v>
      </c>
      <c r="H3372" s="4">
        <v>80.0</v>
      </c>
      <c r="I3372" s="21">
        <f t="array" ref="I3372">XLOOKUP($A3372,product!A:A,product!E:E)</f>
        <v>1.73</v>
      </c>
      <c r="J3372" s="4">
        <f t="shared" si="2"/>
        <v>138.4</v>
      </c>
      <c r="K3372" s="22">
        <f t="shared" si="3"/>
        <v>1</v>
      </c>
      <c r="L3372" s="4">
        <f t="shared" si="4"/>
        <v>1</v>
      </c>
    </row>
    <row r="3373">
      <c r="A3373" s="23">
        <v>102344.0</v>
      </c>
      <c r="B3373" s="24" t="str">
        <f t="array" ref="B3373">xlookup($A3373,product!$A:$A,product!B:B)</f>
        <v>Boisson</v>
      </c>
      <c r="C3373" s="24" t="str">
        <f t="array" ref="C3373">xlookup($A3373,product!$A:$A,product!C:C)</f>
        <v>Boisson végétale</v>
      </c>
      <c r="D3373" s="24" t="str">
        <f t="array" ref="D3373">xlookup($A3373,product!$A:$A,product!D:D)</f>
        <v>Autre boisson végétale</v>
      </c>
      <c r="E3373" s="25" t="str">
        <f t="shared" si="1"/>
        <v>102344-Boisson végétale-Autre boisson végétale</v>
      </c>
      <c r="F3373" s="25">
        <v>0.0</v>
      </c>
      <c r="G3373" s="25">
        <v>194.0</v>
      </c>
      <c r="H3373" s="25">
        <v>90.0</v>
      </c>
      <c r="I3373" s="26">
        <f t="array" ref="I3373">XLOOKUP($A3373,product!A:A,product!E:E)</f>
        <v>1.97</v>
      </c>
      <c r="J3373" s="25">
        <f t="shared" si="2"/>
        <v>177.3</v>
      </c>
      <c r="K3373" s="27">
        <f t="shared" si="3"/>
        <v>1</v>
      </c>
      <c r="L3373" s="25">
        <f t="shared" si="4"/>
        <v>1</v>
      </c>
    </row>
    <row r="3374">
      <c r="A3374" s="19">
        <v>100687.0</v>
      </c>
      <c r="B3374" s="20" t="str">
        <f t="array" ref="B3374">xlookup($A3374,product!$A:$A,product!B:B)</f>
        <v>Boisson</v>
      </c>
      <c r="C3374" s="20" t="str">
        <f t="array" ref="C3374">xlookup($A3374,product!$A:$A,product!C:C)</f>
        <v>Boisson végétale</v>
      </c>
      <c r="D3374" s="20" t="str">
        <f t="array" ref="D3374">xlookup($A3374,product!$A:$A,product!D:D)</f>
        <v>Autre boisson végétale</v>
      </c>
      <c r="E3374" s="4" t="str">
        <f t="shared" si="1"/>
        <v>100687-Boisson végétale-Autre boisson végétale</v>
      </c>
      <c r="F3374" s="4">
        <v>0.0</v>
      </c>
      <c r="G3374" s="4">
        <v>899.0</v>
      </c>
      <c r="H3374" s="4">
        <v>474.0</v>
      </c>
      <c r="I3374" s="21">
        <f t="array" ref="I3374">XLOOKUP($A3374,product!A:A,product!E:E)</f>
        <v>1.07</v>
      </c>
      <c r="J3374" s="4">
        <f t="shared" si="2"/>
        <v>507.18</v>
      </c>
      <c r="K3374" s="22">
        <f t="shared" si="3"/>
        <v>1</v>
      </c>
      <c r="L3374" s="4">
        <f t="shared" si="4"/>
        <v>1</v>
      </c>
    </row>
    <row r="3375">
      <c r="A3375" s="23">
        <v>70327.0</v>
      </c>
      <c r="B3375" s="24" t="str">
        <f t="array" ref="B3375">xlookup($A3375,product!$A:$A,product!B:B)</f>
        <v>Boisson</v>
      </c>
      <c r="C3375" s="24" t="str">
        <f t="array" ref="C3375">xlookup($A3375,product!$A:$A,product!C:C)</f>
        <v>Boisson végétale</v>
      </c>
      <c r="D3375" s="24" t="str">
        <f t="array" ref="D3375">xlookup($A3375,product!$A:$A,product!D:D)</f>
        <v>Autre boisson végétale</v>
      </c>
      <c r="E3375" s="25" t="str">
        <f t="shared" si="1"/>
        <v>70327-Boisson végétale-Autre boisson végétale</v>
      </c>
      <c r="F3375" s="25">
        <v>1.0</v>
      </c>
      <c r="G3375" s="25">
        <v>212.0</v>
      </c>
      <c r="H3375" s="25">
        <v>184.0</v>
      </c>
      <c r="I3375" s="26">
        <f t="array" ref="I3375">XLOOKUP($A3375,product!A:A,product!E:E)</f>
        <v>1.86</v>
      </c>
      <c r="J3375" s="25">
        <f t="shared" si="2"/>
        <v>342.24</v>
      </c>
      <c r="K3375" s="27">
        <f t="shared" si="3"/>
        <v>1</v>
      </c>
      <c r="L3375" s="25">
        <f t="shared" si="4"/>
        <v>1</v>
      </c>
    </row>
    <row r="3376">
      <c r="A3376" s="19">
        <v>80191.0</v>
      </c>
      <c r="B3376" s="20" t="str">
        <f t="array" ref="B3376">xlookup($A3376,product!$A:$A,product!B:B)</f>
        <v>Boisson</v>
      </c>
      <c r="C3376" s="20" t="str">
        <f t="array" ref="C3376">xlookup($A3376,product!$A:$A,product!C:C)</f>
        <v>Boisson végétale</v>
      </c>
      <c r="D3376" s="20" t="str">
        <f t="array" ref="D3376">xlookup($A3376,product!$A:$A,product!D:D)</f>
        <v>Autre boisson végétale</v>
      </c>
      <c r="E3376" s="4" t="str">
        <f t="shared" si="1"/>
        <v>80191-Boisson végétale-Autre boisson végétale</v>
      </c>
      <c r="F3376" s="4">
        <v>0.0</v>
      </c>
      <c r="G3376" s="4">
        <v>437.0</v>
      </c>
      <c r="H3376" s="4">
        <v>171.0</v>
      </c>
      <c r="I3376" s="21">
        <f t="array" ref="I3376">XLOOKUP($A3376,product!A:A,product!E:E)</f>
        <v>2.16</v>
      </c>
      <c r="J3376" s="4">
        <f t="shared" si="2"/>
        <v>369.36</v>
      </c>
      <c r="K3376" s="22">
        <f t="shared" si="3"/>
        <v>1</v>
      </c>
      <c r="L3376" s="4">
        <f t="shared" si="4"/>
        <v>1</v>
      </c>
    </row>
    <row r="3377">
      <c r="A3377" s="23">
        <v>103037.0</v>
      </c>
      <c r="B3377" s="24" t="str">
        <f t="array" ref="B3377">xlookup($A3377,product!$A:$A,product!B:B)</f>
        <v>Boisson</v>
      </c>
      <c r="C3377" s="24" t="str">
        <f t="array" ref="C3377">xlookup($A3377,product!$A:$A,product!C:C)</f>
        <v>Boisson végétale</v>
      </c>
      <c r="D3377" s="24" t="str">
        <f t="array" ref="D3377">xlookup($A3377,product!$A:$A,product!D:D)</f>
        <v>Autre boisson végétale</v>
      </c>
      <c r="E3377" s="25" t="str">
        <f t="shared" si="1"/>
        <v>103037-Boisson végétale-Autre boisson végétale</v>
      </c>
      <c r="F3377" s="25">
        <v>0.0</v>
      </c>
      <c r="G3377" s="25">
        <v>157.0</v>
      </c>
      <c r="H3377" s="25">
        <v>128.0</v>
      </c>
      <c r="I3377" s="26">
        <f t="array" ref="I3377">XLOOKUP($A3377,product!A:A,product!E:E)</f>
        <v>2.03</v>
      </c>
      <c r="J3377" s="25">
        <f t="shared" si="2"/>
        <v>259.84</v>
      </c>
      <c r="K3377" s="27">
        <f t="shared" si="3"/>
        <v>1</v>
      </c>
      <c r="L3377" s="25">
        <f t="shared" si="4"/>
        <v>1</v>
      </c>
    </row>
    <row r="3378">
      <c r="A3378" s="19">
        <v>6205.0</v>
      </c>
      <c r="B3378" s="20" t="str">
        <f t="array" ref="B3378">xlookup($A3378,product!$A:$A,product!B:B)</f>
        <v>Boisson</v>
      </c>
      <c r="C3378" s="20" t="str">
        <f t="array" ref="C3378">xlookup($A3378,product!$A:$A,product!C:C)</f>
        <v>Boisson végétale</v>
      </c>
      <c r="D3378" s="20" t="str">
        <f t="array" ref="D3378">xlookup($A3378,product!$A:$A,product!D:D)</f>
        <v>Boisson à la châtaigne</v>
      </c>
      <c r="E3378" s="4" t="str">
        <f t="shared" si="1"/>
        <v>6205-Boisson végétale-Boisson à la châtaigne</v>
      </c>
      <c r="F3378" s="4">
        <v>0.0</v>
      </c>
      <c r="G3378" s="4">
        <v>838.0</v>
      </c>
      <c r="H3378" s="4">
        <v>459.0</v>
      </c>
      <c r="I3378" s="21">
        <f t="array" ref="I3378">XLOOKUP($A3378,product!A:A,product!E:E)</f>
        <v>12.7</v>
      </c>
      <c r="J3378" s="4">
        <f t="shared" si="2"/>
        <v>5829.3</v>
      </c>
      <c r="K3378" s="22">
        <f t="shared" si="3"/>
        <v>1</v>
      </c>
      <c r="L3378" s="4">
        <f t="shared" si="4"/>
        <v>1</v>
      </c>
    </row>
    <row r="3379">
      <c r="A3379" s="23">
        <v>70387.0</v>
      </c>
      <c r="B3379" s="24" t="str">
        <f t="array" ref="B3379">xlookup($A3379,product!$A:$A,product!B:B)</f>
        <v>Boisson</v>
      </c>
      <c r="C3379" s="24" t="str">
        <f t="array" ref="C3379">xlookup($A3379,product!$A:$A,product!C:C)</f>
        <v>Boisson végétale</v>
      </c>
      <c r="D3379" s="24" t="str">
        <f t="array" ref="D3379">xlookup($A3379,product!$A:$A,product!D:D)</f>
        <v>Boisson à la châtaigne</v>
      </c>
      <c r="E3379" s="25" t="str">
        <f t="shared" si="1"/>
        <v>70387-Boisson végétale-Boisson à la châtaigne</v>
      </c>
      <c r="F3379" s="25">
        <v>0.0</v>
      </c>
      <c r="G3379" s="25">
        <v>19.0</v>
      </c>
      <c r="H3379" s="25">
        <v>11.0</v>
      </c>
      <c r="I3379" s="26">
        <f t="array" ref="I3379">XLOOKUP($A3379,product!A:A,product!E:E)</f>
        <v>11.12</v>
      </c>
      <c r="J3379" s="25">
        <f t="shared" si="2"/>
        <v>122.32</v>
      </c>
      <c r="K3379" s="27">
        <f t="shared" si="3"/>
        <v>1</v>
      </c>
      <c r="L3379" s="25">
        <f t="shared" si="4"/>
        <v>1</v>
      </c>
    </row>
    <row r="3380">
      <c r="A3380" s="19">
        <v>122278.0</v>
      </c>
      <c r="B3380" s="20" t="str">
        <f t="array" ref="B3380">xlookup($A3380,product!$A:$A,product!B:B)</f>
        <v>Epicerie sucrée</v>
      </c>
      <c r="C3380" s="20" t="str">
        <f t="array" ref="C3380">xlookup($A3380,product!$A:$A,product!C:C)</f>
        <v>Compote et dessert</v>
      </c>
      <c r="D3380" s="20" t="str">
        <f t="array" ref="D3380">xlookup($A3380,product!$A:$A,product!D:D)</f>
        <v>Dessert et glace</v>
      </c>
      <c r="E3380" s="4" t="str">
        <f t="shared" si="1"/>
        <v>122278-Compote et dessert-Dessert et glace</v>
      </c>
      <c r="F3380" s="4">
        <v>1.0</v>
      </c>
      <c r="G3380" s="4">
        <v>456.0</v>
      </c>
      <c r="H3380" s="4">
        <v>424.0</v>
      </c>
      <c r="I3380" s="21">
        <f t="array" ref="I3380">XLOOKUP($A3380,product!A:A,product!E:E)</f>
        <v>1.43</v>
      </c>
      <c r="J3380" s="4">
        <f t="shared" si="2"/>
        <v>606.32</v>
      </c>
      <c r="K3380" s="22">
        <f t="shared" si="3"/>
        <v>1</v>
      </c>
      <c r="L3380" s="4">
        <f t="shared" si="4"/>
        <v>1</v>
      </c>
    </row>
    <row r="3381">
      <c r="A3381" s="23">
        <v>29365.0</v>
      </c>
      <c r="B3381" s="24" t="str">
        <f t="array" ref="B3381">xlookup($A3381,product!$A:$A,product!B:B)</f>
        <v>Epicerie sucrée</v>
      </c>
      <c r="C3381" s="24" t="str">
        <f t="array" ref="C3381">xlookup($A3381,product!$A:$A,product!C:C)</f>
        <v>Compote et dessert</v>
      </c>
      <c r="D3381" s="24" t="str">
        <f t="array" ref="D3381">xlookup($A3381,product!$A:$A,product!D:D)</f>
        <v>Dessert et glace</v>
      </c>
      <c r="E3381" s="25" t="str">
        <f t="shared" si="1"/>
        <v>29365-Compote et dessert-Dessert et glace</v>
      </c>
      <c r="F3381" s="25">
        <v>0.0</v>
      </c>
      <c r="G3381" s="25">
        <v>861.0</v>
      </c>
      <c r="H3381" s="25">
        <v>271.0</v>
      </c>
      <c r="I3381" s="26">
        <f t="array" ref="I3381">XLOOKUP($A3381,product!A:A,product!E:E)</f>
        <v>0.67</v>
      </c>
      <c r="J3381" s="25">
        <f t="shared" si="2"/>
        <v>181.57</v>
      </c>
      <c r="K3381" s="27">
        <f t="shared" si="3"/>
        <v>1</v>
      </c>
      <c r="L3381" s="25">
        <f t="shared" si="4"/>
        <v>1</v>
      </c>
    </row>
    <row r="3382">
      <c r="A3382" s="19">
        <v>17769.0</v>
      </c>
      <c r="B3382" s="20" t="str">
        <f t="array" ref="B3382">xlookup($A3382,product!$A:$A,product!B:B)</f>
        <v>Epicerie sucrée</v>
      </c>
      <c r="C3382" s="20" t="str">
        <f t="array" ref="C3382">xlookup($A3382,product!$A:$A,product!C:C)</f>
        <v>Compote et dessert</v>
      </c>
      <c r="D3382" s="20" t="str">
        <f t="array" ref="D3382">xlookup($A3382,product!$A:$A,product!D:D)</f>
        <v>Dessert et glace</v>
      </c>
      <c r="E3382" s="4" t="str">
        <f t="shared" si="1"/>
        <v>17769-Compote et dessert-Dessert et glace</v>
      </c>
      <c r="F3382" s="4">
        <v>0.0</v>
      </c>
      <c r="G3382" s="4">
        <v>430.0</v>
      </c>
      <c r="H3382" s="4">
        <v>221.0</v>
      </c>
      <c r="I3382" s="21">
        <f t="array" ref="I3382">XLOOKUP($A3382,product!A:A,product!E:E)</f>
        <v>0.98</v>
      </c>
      <c r="J3382" s="4">
        <f t="shared" si="2"/>
        <v>216.58</v>
      </c>
      <c r="K3382" s="22">
        <f t="shared" si="3"/>
        <v>1</v>
      </c>
      <c r="L3382" s="4">
        <f t="shared" si="4"/>
        <v>1</v>
      </c>
    </row>
    <row r="3383">
      <c r="A3383" s="23">
        <v>23144.0</v>
      </c>
      <c r="B3383" s="24" t="str">
        <f t="array" ref="B3383">xlookup($A3383,product!$A:$A,product!B:B)</f>
        <v>Epicerie sucrée</v>
      </c>
      <c r="C3383" s="24" t="str">
        <f t="array" ref="C3383">xlookup($A3383,product!$A:$A,product!C:C)</f>
        <v>Compote et dessert</v>
      </c>
      <c r="D3383" s="24" t="str">
        <f t="array" ref="D3383">xlookup($A3383,product!$A:$A,product!D:D)</f>
        <v>Dessert et glace</v>
      </c>
      <c r="E3383" s="25" t="str">
        <f t="shared" si="1"/>
        <v>23144-Compote et dessert-Dessert et glace</v>
      </c>
      <c r="F3383" s="25">
        <v>1.0</v>
      </c>
      <c r="G3383" s="25">
        <v>433.0</v>
      </c>
      <c r="H3383" s="25">
        <v>383.0</v>
      </c>
      <c r="I3383" s="26">
        <f t="array" ref="I3383">XLOOKUP($A3383,product!A:A,product!E:E)</f>
        <v>1.07</v>
      </c>
      <c r="J3383" s="25">
        <f t="shared" si="2"/>
        <v>409.81</v>
      </c>
      <c r="K3383" s="27">
        <f t="shared" si="3"/>
        <v>1</v>
      </c>
      <c r="L3383" s="25">
        <f t="shared" si="4"/>
        <v>1</v>
      </c>
    </row>
    <row r="3384">
      <c r="A3384" s="19">
        <v>120115.0</v>
      </c>
      <c r="B3384" s="20" t="str">
        <f t="array" ref="B3384">xlookup($A3384,product!$A:$A,product!B:B)</f>
        <v>Epicerie sucrée</v>
      </c>
      <c r="C3384" s="20" t="str">
        <f t="array" ref="C3384">xlookup($A3384,product!$A:$A,product!C:C)</f>
        <v>Compote et dessert</v>
      </c>
      <c r="D3384" s="20" t="str">
        <f t="array" ref="D3384">xlookup($A3384,product!$A:$A,product!D:D)</f>
        <v>Dessert et glace</v>
      </c>
      <c r="E3384" s="4" t="str">
        <f t="shared" si="1"/>
        <v>120115-Compote et dessert-Dessert et glace</v>
      </c>
      <c r="F3384" s="4">
        <v>1.0</v>
      </c>
      <c r="G3384" s="4">
        <v>747.0</v>
      </c>
      <c r="H3384" s="4">
        <v>484.0</v>
      </c>
      <c r="I3384" s="21">
        <f t="array" ref="I3384">XLOOKUP($A3384,product!A:A,product!E:E)</f>
        <v>1.65</v>
      </c>
      <c r="J3384" s="4">
        <f t="shared" si="2"/>
        <v>798.6</v>
      </c>
      <c r="K3384" s="22">
        <f t="shared" si="3"/>
        <v>1</v>
      </c>
      <c r="L3384" s="4">
        <f t="shared" si="4"/>
        <v>1</v>
      </c>
    </row>
    <row r="3385">
      <c r="A3385" s="23">
        <v>29384.0</v>
      </c>
      <c r="B3385" s="24" t="str">
        <f t="array" ref="B3385">xlookup($A3385,product!$A:$A,product!B:B)</f>
        <v>Epicerie sucrée</v>
      </c>
      <c r="C3385" s="24" t="str">
        <f t="array" ref="C3385">xlookup($A3385,product!$A:$A,product!C:C)</f>
        <v>Compote et dessert</v>
      </c>
      <c r="D3385" s="24" t="str">
        <f t="array" ref="D3385">xlookup($A3385,product!$A:$A,product!D:D)</f>
        <v>Dessert et glace</v>
      </c>
      <c r="E3385" s="25" t="str">
        <f t="shared" si="1"/>
        <v>29384-Compote et dessert-Dessert et glace</v>
      </c>
      <c r="F3385" s="25">
        <v>0.0</v>
      </c>
      <c r="G3385" s="25">
        <v>513.0</v>
      </c>
      <c r="H3385" s="25">
        <v>490.0</v>
      </c>
      <c r="I3385" s="26">
        <f t="array" ref="I3385">XLOOKUP($A3385,product!A:A,product!E:E)</f>
        <v>0.67</v>
      </c>
      <c r="J3385" s="25">
        <f t="shared" si="2"/>
        <v>328.3</v>
      </c>
      <c r="K3385" s="27">
        <f t="shared" si="3"/>
        <v>1</v>
      </c>
      <c r="L3385" s="25">
        <f t="shared" si="4"/>
        <v>1</v>
      </c>
    </row>
    <row r="3386">
      <c r="A3386" s="19">
        <v>17746.0</v>
      </c>
      <c r="B3386" s="20" t="str">
        <f t="array" ref="B3386">xlookup($A3386,product!$A:$A,product!B:B)</f>
        <v>Epicerie sucrée</v>
      </c>
      <c r="C3386" s="20" t="str">
        <f t="array" ref="C3386">xlookup($A3386,product!$A:$A,product!C:C)</f>
        <v>Compote et dessert</v>
      </c>
      <c r="D3386" s="20" t="str">
        <f t="array" ref="D3386">xlookup($A3386,product!$A:$A,product!D:D)</f>
        <v>Dessert et glace</v>
      </c>
      <c r="E3386" s="4" t="str">
        <f t="shared" si="1"/>
        <v>17746-Compote et dessert-Dessert et glace</v>
      </c>
      <c r="F3386" s="4">
        <v>0.0</v>
      </c>
      <c r="G3386" s="4">
        <v>630.0</v>
      </c>
      <c r="H3386" s="4">
        <v>106.0</v>
      </c>
      <c r="I3386" s="21">
        <f t="array" ref="I3386">XLOOKUP($A3386,product!A:A,product!E:E)</f>
        <v>1.62</v>
      </c>
      <c r="J3386" s="4">
        <f t="shared" si="2"/>
        <v>171.72</v>
      </c>
      <c r="K3386" s="22">
        <f t="shared" si="3"/>
        <v>1</v>
      </c>
      <c r="L3386" s="4">
        <f t="shared" si="4"/>
        <v>1</v>
      </c>
    </row>
    <row r="3387">
      <c r="A3387" s="23">
        <v>121630.0</v>
      </c>
      <c r="B3387" s="24" t="str">
        <f t="array" ref="B3387">xlookup($A3387,product!$A:$A,product!B:B)</f>
        <v>Epicerie sucrée</v>
      </c>
      <c r="C3387" s="24" t="str">
        <f t="array" ref="C3387">xlookup($A3387,product!$A:$A,product!C:C)</f>
        <v>Compote et dessert</v>
      </c>
      <c r="D3387" s="24" t="str">
        <f t="array" ref="D3387">xlookup($A3387,product!$A:$A,product!D:D)</f>
        <v>Dessert et glace</v>
      </c>
      <c r="E3387" s="25" t="str">
        <f t="shared" si="1"/>
        <v>121630-Compote et dessert-Dessert et glace</v>
      </c>
      <c r="F3387" s="25">
        <v>0.0</v>
      </c>
      <c r="G3387" s="25">
        <v>29.0</v>
      </c>
      <c r="H3387" s="25">
        <v>19.0</v>
      </c>
      <c r="I3387" s="26">
        <f t="array" ref="I3387">XLOOKUP($A3387,product!A:A,product!E:E)</f>
        <v>1.73</v>
      </c>
      <c r="J3387" s="25">
        <f t="shared" si="2"/>
        <v>32.87</v>
      </c>
      <c r="K3387" s="27">
        <f t="shared" si="3"/>
        <v>1</v>
      </c>
      <c r="L3387" s="25">
        <f t="shared" si="4"/>
        <v>1</v>
      </c>
    </row>
    <row r="3388">
      <c r="A3388" s="19">
        <v>29385.0</v>
      </c>
      <c r="B3388" s="20" t="str">
        <f t="array" ref="B3388">xlookup($A3388,product!$A:$A,product!B:B)</f>
        <v>Epicerie sucrée</v>
      </c>
      <c r="C3388" s="20" t="str">
        <f t="array" ref="C3388">xlookup($A3388,product!$A:$A,product!C:C)</f>
        <v>Compote et dessert</v>
      </c>
      <c r="D3388" s="20" t="str">
        <f t="array" ref="D3388">xlookup($A3388,product!$A:$A,product!D:D)</f>
        <v>Dessert et glace</v>
      </c>
      <c r="E3388" s="4" t="str">
        <f t="shared" si="1"/>
        <v>29385-Compote et dessert-Dessert et glace</v>
      </c>
      <c r="F3388" s="4">
        <v>0.0</v>
      </c>
      <c r="G3388" s="4">
        <v>336.0</v>
      </c>
      <c r="H3388" s="4">
        <v>117.0</v>
      </c>
      <c r="I3388" s="21">
        <f t="array" ref="I3388">XLOOKUP($A3388,product!A:A,product!E:E)</f>
        <v>0.67</v>
      </c>
      <c r="J3388" s="4">
        <f t="shared" si="2"/>
        <v>78.39</v>
      </c>
      <c r="K3388" s="22">
        <f t="shared" si="3"/>
        <v>1</v>
      </c>
      <c r="L3388" s="4">
        <f t="shared" si="4"/>
        <v>1</v>
      </c>
    </row>
    <row r="3389">
      <c r="A3389" s="23">
        <v>17767.0</v>
      </c>
      <c r="B3389" s="24" t="str">
        <f t="array" ref="B3389">xlookup($A3389,product!$A:$A,product!B:B)</f>
        <v>Epicerie sucrée</v>
      </c>
      <c r="C3389" s="24" t="str">
        <f t="array" ref="C3389">xlookup($A3389,product!$A:$A,product!C:C)</f>
        <v>Compote et dessert</v>
      </c>
      <c r="D3389" s="24" t="str">
        <f t="array" ref="D3389">xlookup($A3389,product!$A:$A,product!D:D)</f>
        <v>Dessert et glace</v>
      </c>
      <c r="E3389" s="25" t="str">
        <f t="shared" si="1"/>
        <v>17767-Compote et dessert-Dessert et glace</v>
      </c>
      <c r="F3389" s="25">
        <v>0.0</v>
      </c>
      <c r="G3389" s="25">
        <v>797.0</v>
      </c>
      <c r="H3389" s="25">
        <v>689.0</v>
      </c>
      <c r="I3389" s="26">
        <f t="array" ref="I3389">XLOOKUP($A3389,product!A:A,product!E:E)</f>
        <v>0.98</v>
      </c>
      <c r="J3389" s="25">
        <f t="shared" si="2"/>
        <v>675.22</v>
      </c>
      <c r="K3389" s="27">
        <f t="shared" si="3"/>
        <v>1</v>
      </c>
      <c r="L3389" s="25">
        <f t="shared" si="4"/>
        <v>1</v>
      </c>
    </row>
    <row r="3390">
      <c r="A3390" s="19">
        <v>103047.0</v>
      </c>
      <c r="B3390" s="20" t="str">
        <f t="array" ref="B3390">xlookup($A3390,product!$A:$A,product!B:B)</f>
        <v>Epicerie sucrée</v>
      </c>
      <c r="C3390" s="20" t="str">
        <f t="array" ref="C3390">xlookup($A3390,product!$A:$A,product!C:C)</f>
        <v>Compote et dessert</v>
      </c>
      <c r="D3390" s="20" t="str">
        <f t="array" ref="D3390">xlookup($A3390,product!$A:$A,product!D:D)</f>
        <v>Dessert et glace</v>
      </c>
      <c r="E3390" s="4" t="str">
        <f t="shared" si="1"/>
        <v>103047-Compote et dessert-Dessert et glace</v>
      </c>
      <c r="F3390" s="4">
        <v>1.0</v>
      </c>
      <c r="G3390" s="4">
        <v>141.0</v>
      </c>
      <c r="H3390" s="4">
        <v>75.0</v>
      </c>
      <c r="I3390" s="21">
        <f t="array" ref="I3390">XLOOKUP($A3390,product!A:A,product!E:E)</f>
        <v>1.95</v>
      </c>
      <c r="J3390" s="4">
        <f t="shared" si="2"/>
        <v>146.25</v>
      </c>
      <c r="K3390" s="22">
        <f t="shared" si="3"/>
        <v>1</v>
      </c>
      <c r="L3390" s="4">
        <f t="shared" si="4"/>
        <v>1</v>
      </c>
    </row>
    <row r="3391">
      <c r="A3391" s="23">
        <v>70209.0</v>
      </c>
      <c r="B3391" s="24" t="str">
        <f t="array" ref="B3391">xlookup($A3391,product!$A:$A,product!B:B)</f>
        <v>Epicerie sucrée</v>
      </c>
      <c r="C3391" s="24" t="str">
        <f t="array" ref="C3391">xlookup($A3391,product!$A:$A,product!C:C)</f>
        <v>Compote et dessert</v>
      </c>
      <c r="D3391" s="24" t="str">
        <f t="array" ref="D3391">xlookup($A3391,product!$A:$A,product!D:D)</f>
        <v>Dessert et glace</v>
      </c>
      <c r="E3391" s="25" t="str">
        <f t="shared" si="1"/>
        <v>70209-Compote et dessert-Dessert et glace</v>
      </c>
      <c r="F3391" s="25">
        <v>0.0</v>
      </c>
      <c r="G3391" s="25">
        <v>829.0</v>
      </c>
      <c r="H3391" s="25">
        <v>697.0</v>
      </c>
      <c r="I3391" s="26">
        <f t="array" ref="I3391">XLOOKUP($A3391,product!A:A,product!E:E)</f>
        <v>1.65</v>
      </c>
      <c r="J3391" s="25">
        <f t="shared" si="2"/>
        <v>1150.05</v>
      </c>
      <c r="K3391" s="27">
        <f t="shared" si="3"/>
        <v>1</v>
      </c>
      <c r="L3391" s="25">
        <f t="shared" si="4"/>
        <v>1</v>
      </c>
    </row>
    <row r="3392">
      <c r="A3392" s="19">
        <v>29372.0</v>
      </c>
      <c r="B3392" s="20" t="str">
        <f t="array" ref="B3392">xlookup($A3392,product!$A:$A,product!B:B)</f>
        <v>Epicerie sucrée</v>
      </c>
      <c r="C3392" s="20" t="str">
        <f t="array" ref="C3392">xlookup($A3392,product!$A:$A,product!C:C)</f>
        <v>Compote et dessert</v>
      </c>
      <c r="D3392" s="20" t="str">
        <f t="array" ref="D3392">xlookup($A3392,product!$A:$A,product!D:D)</f>
        <v>Dessert et glace</v>
      </c>
      <c r="E3392" s="4" t="str">
        <f t="shared" si="1"/>
        <v>29372-Compote et dessert-Dessert et glace</v>
      </c>
      <c r="F3392" s="4">
        <v>0.0</v>
      </c>
      <c r="G3392" s="4">
        <v>432.0</v>
      </c>
      <c r="H3392" s="4">
        <v>276.0</v>
      </c>
      <c r="I3392" s="21">
        <f t="array" ref="I3392">XLOOKUP($A3392,product!A:A,product!E:E)</f>
        <v>0.67</v>
      </c>
      <c r="J3392" s="4">
        <f t="shared" si="2"/>
        <v>184.92</v>
      </c>
      <c r="K3392" s="22">
        <f t="shared" si="3"/>
        <v>1</v>
      </c>
      <c r="L3392" s="4">
        <f t="shared" si="4"/>
        <v>1</v>
      </c>
    </row>
    <row r="3393">
      <c r="A3393" s="23">
        <v>120485.0</v>
      </c>
      <c r="B3393" s="24" t="str">
        <f t="array" ref="B3393">xlookup($A3393,product!$A:$A,product!B:B)</f>
        <v>Epicerie sucrée</v>
      </c>
      <c r="C3393" s="24" t="str">
        <f t="array" ref="C3393">xlookup($A3393,product!$A:$A,product!C:C)</f>
        <v>Compote et dessert</v>
      </c>
      <c r="D3393" s="24" t="str">
        <f t="array" ref="D3393">xlookup($A3393,product!$A:$A,product!D:D)</f>
        <v>Dessert et glace</v>
      </c>
      <c r="E3393" s="25" t="str">
        <f t="shared" si="1"/>
        <v>120485-Compote et dessert-Dessert et glace</v>
      </c>
      <c r="F3393" s="25">
        <v>0.0</v>
      </c>
      <c r="G3393" s="25">
        <v>249.0</v>
      </c>
      <c r="H3393" s="25">
        <v>98.0</v>
      </c>
      <c r="I3393" s="26">
        <f t="array" ref="I3393">XLOOKUP($A3393,product!A:A,product!E:E)</f>
        <v>1.73</v>
      </c>
      <c r="J3393" s="25">
        <f t="shared" si="2"/>
        <v>169.54</v>
      </c>
      <c r="K3393" s="27">
        <f t="shared" si="3"/>
        <v>1</v>
      </c>
      <c r="L3393" s="25">
        <f t="shared" si="4"/>
        <v>1</v>
      </c>
    </row>
    <row r="3394">
      <c r="A3394" s="19">
        <v>120486.0</v>
      </c>
      <c r="B3394" s="20" t="str">
        <f t="array" ref="B3394">xlookup($A3394,product!$A:$A,product!B:B)</f>
        <v>Epicerie sucrée</v>
      </c>
      <c r="C3394" s="20" t="str">
        <f t="array" ref="C3394">xlookup($A3394,product!$A:$A,product!C:C)</f>
        <v>Compote et dessert</v>
      </c>
      <c r="D3394" s="20" t="str">
        <f t="array" ref="D3394">xlookup($A3394,product!$A:$A,product!D:D)</f>
        <v>Dessert et glace</v>
      </c>
      <c r="E3394" s="4" t="str">
        <f t="shared" si="1"/>
        <v>120486-Compote et dessert-Dessert et glace</v>
      </c>
      <c r="F3394" s="4">
        <v>1.0</v>
      </c>
      <c r="G3394" s="4">
        <v>588.0</v>
      </c>
      <c r="H3394" s="4">
        <v>153.0</v>
      </c>
      <c r="I3394" s="21">
        <f t="array" ref="I3394">XLOOKUP($A3394,product!A:A,product!E:E)</f>
        <v>1.73</v>
      </c>
      <c r="J3394" s="4">
        <f t="shared" si="2"/>
        <v>264.69</v>
      </c>
      <c r="K3394" s="22">
        <f t="shared" si="3"/>
        <v>1</v>
      </c>
      <c r="L3394" s="4">
        <f t="shared" si="4"/>
        <v>1</v>
      </c>
    </row>
    <row r="3395">
      <c r="A3395" s="23">
        <v>70293.0</v>
      </c>
      <c r="B3395" s="24" t="str">
        <f t="array" ref="B3395">xlookup($A3395,product!$A:$A,product!B:B)</f>
        <v>Epicerie sucrée</v>
      </c>
      <c r="C3395" s="24" t="str">
        <f t="array" ref="C3395">xlookup($A3395,product!$A:$A,product!C:C)</f>
        <v>Compote et dessert</v>
      </c>
      <c r="D3395" s="24" t="str">
        <f t="array" ref="D3395">xlookup($A3395,product!$A:$A,product!D:D)</f>
        <v>Compote et purée de fruit</v>
      </c>
      <c r="E3395" s="25" t="str">
        <f t="shared" si="1"/>
        <v>70293-Compote et dessert-Compote et purée de fruit</v>
      </c>
      <c r="F3395" s="25">
        <v>1.0</v>
      </c>
      <c r="G3395" s="25">
        <v>934.0</v>
      </c>
      <c r="H3395" s="25">
        <v>422.0</v>
      </c>
      <c r="I3395" s="26">
        <f t="array" ref="I3395">XLOOKUP($A3395,product!A:A,product!E:E)</f>
        <v>5.39</v>
      </c>
      <c r="J3395" s="25">
        <f t="shared" si="2"/>
        <v>2274.58</v>
      </c>
      <c r="K3395" s="27">
        <f t="shared" si="3"/>
        <v>1</v>
      </c>
      <c r="L3395" s="25">
        <f t="shared" si="4"/>
        <v>1</v>
      </c>
    </row>
    <row r="3396">
      <c r="A3396" s="19">
        <v>71772.0</v>
      </c>
      <c r="B3396" s="20" t="str">
        <f t="array" ref="B3396">xlookup($A3396,product!$A:$A,product!B:B)</f>
        <v>Epicerie sucrée</v>
      </c>
      <c r="C3396" s="20" t="str">
        <f t="array" ref="C3396">xlookup($A3396,product!$A:$A,product!C:C)</f>
        <v>Compote et dessert</v>
      </c>
      <c r="D3396" s="20" t="str">
        <f t="array" ref="D3396">xlookup($A3396,product!$A:$A,product!D:D)</f>
        <v>Compote et purée de fruit</v>
      </c>
      <c r="E3396" s="4" t="str">
        <f t="shared" si="1"/>
        <v>71772-Compote et dessert-Compote et purée de fruit</v>
      </c>
      <c r="F3396" s="4">
        <v>0.0</v>
      </c>
      <c r="G3396" s="4">
        <v>314.0</v>
      </c>
      <c r="H3396" s="4">
        <v>35.0</v>
      </c>
      <c r="I3396" s="21">
        <f t="array" ref="I3396">XLOOKUP($A3396,product!A:A,product!E:E)</f>
        <v>4.73</v>
      </c>
      <c r="J3396" s="4">
        <f t="shared" si="2"/>
        <v>165.55</v>
      </c>
      <c r="K3396" s="22">
        <f t="shared" si="3"/>
        <v>1</v>
      </c>
      <c r="L3396" s="4">
        <f t="shared" si="4"/>
        <v>1</v>
      </c>
    </row>
    <row r="3397">
      <c r="A3397" s="23">
        <v>86111.0</v>
      </c>
      <c r="B3397" s="24" t="str">
        <f t="array" ref="B3397">xlookup($A3397,product!$A:$A,product!B:B)</f>
        <v>Epicerie sucrée</v>
      </c>
      <c r="C3397" s="24" t="str">
        <f t="array" ref="C3397">xlookup($A3397,product!$A:$A,product!C:C)</f>
        <v>Compote et dessert</v>
      </c>
      <c r="D3397" s="24" t="str">
        <f t="array" ref="D3397">xlookup($A3397,product!$A:$A,product!D:D)</f>
        <v>Compote et purée de fruit</v>
      </c>
      <c r="E3397" s="25" t="str">
        <f t="shared" si="1"/>
        <v>86111-Compote et dessert-Compote et purée de fruit</v>
      </c>
      <c r="F3397" s="25">
        <v>0.0</v>
      </c>
      <c r="G3397" s="25">
        <v>157.0</v>
      </c>
      <c r="H3397" s="25">
        <v>153.0</v>
      </c>
      <c r="I3397" s="26">
        <f t="array" ref="I3397">XLOOKUP($A3397,product!A:A,product!E:E)</f>
        <v>2.24</v>
      </c>
      <c r="J3397" s="25">
        <f t="shared" si="2"/>
        <v>342.72</v>
      </c>
      <c r="K3397" s="27">
        <f t="shared" si="3"/>
        <v>1</v>
      </c>
      <c r="L3397" s="25">
        <f t="shared" si="4"/>
        <v>1</v>
      </c>
    </row>
    <row r="3398">
      <c r="A3398" s="19">
        <v>71840.0</v>
      </c>
      <c r="B3398" s="20" t="str">
        <f t="array" ref="B3398">xlookup($A3398,product!$A:$A,product!B:B)</f>
        <v>Epicerie sucrée</v>
      </c>
      <c r="C3398" s="20" t="str">
        <f t="array" ref="C3398">xlookup($A3398,product!$A:$A,product!C:C)</f>
        <v>Compote et dessert</v>
      </c>
      <c r="D3398" s="20" t="str">
        <f t="array" ref="D3398">xlookup($A3398,product!$A:$A,product!D:D)</f>
        <v>Compote et purée de fruit</v>
      </c>
      <c r="E3398" s="4" t="str">
        <f t="shared" si="1"/>
        <v>71840-Compote et dessert-Compote et purée de fruit</v>
      </c>
      <c r="F3398" s="4">
        <v>0.0</v>
      </c>
      <c r="G3398" s="4">
        <v>133.0</v>
      </c>
      <c r="H3398" s="4">
        <v>59.0</v>
      </c>
      <c r="I3398" s="21">
        <f t="array" ref="I3398">XLOOKUP($A3398,product!A:A,product!E:E)</f>
        <v>2.46</v>
      </c>
      <c r="J3398" s="4">
        <f t="shared" si="2"/>
        <v>145.14</v>
      </c>
      <c r="K3398" s="22">
        <f t="shared" si="3"/>
        <v>1</v>
      </c>
      <c r="L3398" s="4">
        <f t="shared" si="4"/>
        <v>1</v>
      </c>
    </row>
    <row r="3399">
      <c r="A3399" s="23">
        <v>28533.0</v>
      </c>
      <c r="B3399" s="24" t="str">
        <f t="array" ref="B3399">xlookup($A3399,product!$A:$A,product!B:B)</f>
        <v>Epicerie sucrée</v>
      </c>
      <c r="C3399" s="24" t="str">
        <f t="array" ref="C3399">xlookup($A3399,product!$A:$A,product!C:C)</f>
        <v>Compote et dessert</v>
      </c>
      <c r="D3399" s="24" t="str">
        <f t="array" ref="D3399">xlookup($A3399,product!$A:$A,product!D:D)</f>
        <v>Compote et purée de fruit</v>
      </c>
      <c r="E3399" s="25" t="str">
        <f t="shared" si="1"/>
        <v>28533-Compote et dessert-Compote et purée de fruit</v>
      </c>
      <c r="F3399" s="25">
        <v>0.0</v>
      </c>
      <c r="G3399" s="25">
        <v>55.0</v>
      </c>
      <c r="H3399" s="25">
        <v>47.0</v>
      </c>
      <c r="I3399" s="26">
        <f t="array" ref="I3399">XLOOKUP($A3399,product!A:A,product!E:E)</f>
        <v>5.39</v>
      </c>
      <c r="J3399" s="25">
        <f t="shared" si="2"/>
        <v>253.33</v>
      </c>
      <c r="K3399" s="27">
        <f t="shared" si="3"/>
        <v>1</v>
      </c>
      <c r="L3399" s="25">
        <f t="shared" si="4"/>
        <v>1</v>
      </c>
    </row>
    <row r="3400">
      <c r="A3400" s="19">
        <v>86994.0</v>
      </c>
      <c r="B3400" s="20" t="str">
        <f t="array" ref="B3400">xlookup($A3400,product!$A:$A,product!B:B)</f>
        <v>Epicerie sucrée</v>
      </c>
      <c r="C3400" s="20" t="str">
        <f t="array" ref="C3400">xlookup($A3400,product!$A:$A,product!C:C)</f>
        <v>Compote et dessert</v>
      </c>
      <c r="D3400" s="20" t="str">
        <f t="array" ref="D3400">xlookup($A3400,product!$A:$A,product!D:D)</f>
        <v>Compote et purée de fruit</v>
      </c>
      <c r="E3400" s="4" t="str">
        <f t="shared" si="1"/>
        <v>86994-Compote et dessert-Compote et purée de fruit</v>
      </c>
      <c r="F3400" s="4">
        <v>0.0</v>
      </c>
      <c r="G3400" s="4">
        <v>689.0</v>
      </c>
      <c r="H3400" s="4">
        <v>576.0</v>
      </c>
      <c r="I3400" s="21">
        <f t="array" ref="I3400">XLOOKUP($A3400,product!A:A,product!E:E)</f>
        <v>2.05</v>
      </c>
      <c r="J3400" s="4">
        <f t="shared" si="2"/>
        <v>1180.8</v>
      </c>
      <c r="K3400" s="22">
        <f t="shared" si="3"/>
        <v>1</v>
      </c>
      <c r="L3400" s="4">
        <f t="shared" si="4"/>
        <v>1</v>
      </c>
    </row>
    <row r="3401">
      <c r="A3401" s="23">
        <v>124881.0</v>
      </c>
      <c r="B3401" s="24" t="str">
        <f t="array" ref="B3401">xlookup($A3401,product!$A:$A,product!B:B)</f>
        <v>Epicerie sucrée</v>
      </c>
      <c r="C3401" s="24" t="str">
        <f t="array" ref="C3401">xlookup($A3401,product!$A:$A,product!C:C)</f>
        <v>Compote et dessert</v>
      </c>
      <c r="D3401" s="24" t="str">
        <f t="array" ref="D3401">xlookup($A3401,product!$A:$A,product!D:D)</f>
        <v>Compote et purée de fruit</v>
      </c>
      <c r="E3401" s="25" t="str">
        <f t="shared" si="1"/>
        <v>124881-Compote et dessert-Compote et purée de fruit</v>
      </c>
      <c r="F3401" s="25">
        <v>0.0</v>
      </c>
      <c r="G3401" s="25">
        <v>684.0</v>
      </c>
      <c r="H3401" s="25">
        <v>391.0</v>
      </c>
      <c r="I3401" s="26">
        <f t="array" ref="I3401">XLOOKUP($A3401,product!A:A,product!E:E)</f>
        <v>7.5</v>
      </c>
      <c r="J3401" s="25">
        <f t="shared" si="2"/>
        <v>2932.5</v>
      </c>
      <c r="K3401" s="27">
        <f t="shared" si="3"/>
        <v>1</v>
      </c>
      <c r="L3401" s="25">
        <f t="shared" si="4"/>
        <v>1</v>
      </c>
    </row>
    <row r="3402">
      <c r="A3402" s="19">
        <v>119280.0</v>
      </c>
      <c r="B3402" s="20" t="str">
        <f t="array" ref="B3402">xlookup($A3402,product!$A:$A,product!B:B)</f>
        <v>Epicerie sucrée</v>
      </c>
      <c r="C3402" s="20" t="str">
        <f t="array" ref="C3402">xlookup($A3402,product!$A:$A,product!C:C)</f>
        <v>Compote et dessert</v>
      </c>
      <c r="D3402" s="20" t="str">
        <f t="array" ref="D3402">xlookup($A3402,product!$A:$A,product!D:D)</f>
        <v>Compote et purée de fruit</v>
      </c>
      <c r="E3402" s="4" t="str">
        <f t="shared" si="1"/>
        <v>119280-Compote et dessert-Compote et purée de fruit</v>
      </c>
      <c r="F3402" s="4">
        <v>0.0</v>
      </c>
      <c r="G3402" s="4">
        <v>604.0</v>
      </c>
      <c r="H3402" s="4">
        <v>123.0</v>
      </c>
      <c r="I3402" s="21">
        <f t="array" ref="I3402">XLOOKUP($A3402,product!A:A,product!E:E)</f>
        <v>2.81</v>
      </c>
      <c r="J3402" s="4">
        <f t="shared" si="2"/>
        <v>345.63</v>
      </c>
      <c r="K3402" s="22">
        <f t="shared" si="3"/>
        <v>1</v>
      </c>
      <c r="L3402" s="4">
        <f t="shared" si="4"/>
        <v>1</v>
      </c>
    </row>
    <row r="3403">
      <c r="A3403" s="23">
        <v>87001.0</v>
      </c>
      <c r="B3403" s="24" t="str">
        <f t="array" ref="B3403">xlookup($A3403,product!$A:$A,product!B:B)</f>
        <v>Epicerie sucrée</v>
      </c>
      <c r="C3403" s="24" t="str">
        <f t="array" ref="C3403">xlookup($A3403,product!$A:$A,product!C:C)</f>
        <v>Compote et dessert</v>
      </c>
      <c r="D3403" s="24" t="str">
        <f t="array" ref="D3403">xlookup($A3403,product!$A:$A,product!D:D)</f>
        <v>Compote et purée de fruit</v>
      </c>
      <c r="E3403" s="25" t="str">
        <f t="shared" si="1"/>
        <v>87001-Compote et dessert-Compote et purée de fruit</v>
      </c>
      <c r="F3403" s="25">
        <v>0.0</v>
      </c>
      <c r="G3403" s="25">
        <v>245.0</v>
      </c>
      <c r="H3403" s="25">
        <v>183.0</v>
      </c>
      <c r="I3403" s="26">
        <f t="array" ref="I3403">XLOOKUP($A3403,product!A:A,product!E:E)</f>
        <v>2.07</v>
      </c>
      <c r="J3403" s="25">
        <f t="shared" si="2"/>
        <v>378.81</v>
      </c>
      <c r="K3403" s="27">
        <f t="shared" si="3"/>
        <v>1</v>
      </c>
      <c r="L3403" s="25">
        <f t="shared" si="4"/>
        <v>1</v>
      </c>
    </row>
    <row r="3404">
      <c r="A3404" s="19">
        <v>71839.0</v>
      </c>
      <c r="B3404" s="20" t="str">
        <f t="array" ref="B3404">xlookup($A3404,product!$A:$A,product!B:B)</f>
        <v>Epicerie sucrée</v>
      </c>
      <c r="C3404" s="20" t="str">
        <f t="array" ref="C3404">xlookup($A3404,product!$A:$A,product!C:C)</f>
        <v>Compote et dessert</v>
      </c>
      <c r="D3404" s="20" t="str">
        <f t="array" ref="D3404">xlookup($A3404,product!$A:$A,product!D:D)</f>
        <v>Compote et purée de fruit</v>
      </c>
      <c r="E3404" s="4" t="str">
        <f t="shared" si="1"/>
        <v>71839-Compote et dessert-Compote et purée de fruit</v>
      </c>
      <c r="F3404" s="4">
        <v>1.0</v>
      </c>
      <c r="G3404" s="4">
        <v>139.0</v>
      </c>
      <c r="H3404" s="4">
        <v>132.0</v>
      </c>
      <c r="I3404" s="21">
        <f t="array" ref="I3404">XLOOKUP($A3404,product!A:A,product!E:E)</f>
        <v>2.75</v>
      </c>
      <c r="J3404" s="4">
        <f t="shared" si="2"/>
        <v>363</v>
      </c>
      <c r="K3404" s="22">
        <f t="shared" si="3"/>
        <v>1</v>
      </c>
      <c r="L3404" s="4">
        <f t="shared" si="4"/>
        <v>1</v>
      </c>
    </row>
    <row r="3405">
      <c r="A3405" s="23">
        <v>119288.0</v>
      </c>
      <c r="B3405" s="24" t="str">
        <f t="array" ref="B3405">xlookup($A3405,product!$A:$A,product!B:B)</f>
        <v>Epicerie sucrée</v>
      </c>
      <c r="C3405" s="24" t="str">
        <f t="array" ref="C3405">xlookup($A3405,product!$A:$A,product!C:C)</f>
        <v>Compote et dessert</v>
      </c>
      <c r="D3405" s="24" t="str">
        <f t="array" ref="D3405">xlookup($A3405,product!$A:$A,product!D:D)</f>
        <v>Compote et purée de fruit</v>
      </c>
      <c r="E3405" s="25" t="str">
        <f t="shared" si="1"/>
        <v>119288-Compote et dessert-Compote et purée de fruit</v>
      </c>
      <c r="F3405" s="25">
        <v>0.0</v>
      </c>
      <c r="G3405" s="25">
        <v>340.0</v>
      </c>
      <c r="H3405" s="25">
        <v>340.0</v>
      </c>
      <c r="I3405" s="26">
        <f t="array" ref="I3405">XLOOKUP($A3405,product!A:A,product!E:E)</f>
        <v>2.39</v>
      </c>
      <c r="J3405" s="25">
        <f t="shared" si="2"/>
        <v>812.6</v>
      </c>
      <c r="K3405" s="27">
        <f t="shared" si="3"/>
        <v>1</v>
      </c>
      <c r="L3405" s="25">
        <f t="shared" si="4"/>
        <v>1</v>
      </c>
    </row>
    <row r="3406">
      <c r="A3406" s="19">
        <v>71770.0</v>
      </c>
      <c r="B3406" s="20" t="str">
        <f t="array" ref="B3406">xlookup($A3406,product!$A:$A,product!B:B)</f>
        <v>Epicerie sucrée</v>
      </c>
      <c r="C3406" s="20" t="str">
        <f t="array" ref="C3406">xlookup($A3406,product!$A:$A,product!C:C)</f>
        <v>Compote et dessert</v>
      </c>
      <c r="D3406" s="20" t="str">
        <f t="array" ref="D3406">xlookup($A3406,product!$A:$A,product!D:D)</f>
        <v>Compote et purée de fruit</v>
      </c>
      <c r="E3406" s="4" t="str">
        <f t="shared" si="1"/>
        <v>71770-Compote et dessert-Compote et purée de fruit</v>
      </c>
      <c r="F3406" s="4">
        <v>1.0</v>
      </c>
      <c r="G3406" s="4">
        <v>85.0</v>
      </c>
      <c r="H3406" s="4">
        <v>2.0</v>
      </c>
      <c r="I3406" s="21">
        <f t="array" ref="I3406">XLOOKUP($A3406,product!A:A,product!E:E)</f>
        <v>4.27</v>
      </c>
      <c r="J3406" s="4">
        <f t="shared" si="2"/>
        <v>8.54</v>
      </c>
      <c r="K3406" s="22">
        <f t="shared" si="3"/>
        <v>1</v>
      </c>
      <c r="L3406" s="4">
        <f t="shared" si="4"/>
        <v>1</v>
      </c>
    </row>
    <row r="3407">
      <c r="A3407" s="23">
        <v>28536.0</v>
      </c>
      <c r="B3407" s="24" t="str">
        <f t="array" ref="B3407">xlookup($A3407,product!$A:$A,product!B:B)</f>
        <v>Epicerie sucrée</v>
      </c>
      <c r="C3407" s="24" t="str">
        <f t="array" ref="C3407">xlookup($A3407,product!$A:$A,product!C:C)</f>
        <v>Compote et dessert</v>
      </c>
      <c r="D3407" s="24" t="str">
        <f t="array" ref="D3407">xlookup($A3407,product!$A:$A,product!D:D)</f>
        <v>Compote et purée de fruit</v>
      </c>
      <c r="E3407" s="25" t="str">
        <f t="shared" si="1"/>
        <v>28536-Compote et dessert-Compote et purée de fruit</v>
      </c>
      <c r="F3407" s="25">
        <v>1.0</v>
      </c>
      <c r="G3407" s="25">
        <v>50.0</v>
      </c>
      <c r="H3407" s="25">
        <v>13.0</v>
      </c>
      <c r="I3407" s="26">
        <f t="array" ref="I3407">XLOOKUP($A3407,product!A:A,product!E:E)</f>
        <v>5.39</v>
      </c>
      <c r="J3407" s="25">
        <f t="shared" si="2"/>
        <v>70.07</v>
      </c>
      <c r="K3407" s="27">
        <f t="shared" si="3"/>
        <v>1</v>
      </c>
      <c r="L3407" s="25">
        <f t="shared" si="4"/>
        <v>1</v>
      </c>
    </row>
    <row r="3408">
      <c r="A3408" s="19">
        <v>90007.0</v>
      </c>
      <c r="B3408" s="20" t="str">
        <f t="array" ref="B3408">xlookup($A3408,product!$A:$A,product!B:B)</f>
        <v>Epicerie sucrée</v>
      </c>
      <c r="C3408" s="20" t="str">
        <f t="array" ref="C3408">xlookup($A3408,product!$A:$A,product!C:C)</f>
        <v>Compote et dessert</v>
      </c>
      <c r="D3408" s="20" t="str">
        <f t="array" ref="D3408">xlookup($A3408,product!$A:$A,product!D:D)</f>
        <v>Compote et purée de fruit</v>
      </c>
      <c r="E3408" s="4" t="str">
        <f t="shared" si="1"/>
        <v>90007-Compote et dessert-Compote et purée de fruit</v>
      </c>
      <c r="F3408" s="4">
        <v>1.0</v>
      </c>
      <c r="G3408" s="4">
        <v>682.0</v>
      </c>
      <c r="H3408" s="4">
        <v>320.0</v>
      </c>
      <c r="I3408" s="21">
        <f t="array" ref="I3408">XLOOKUP($A3408,product!A:A,product!E:E)</f>
        <v>2.62</v>
      </c>
      <c r="J3408" s="4">
        <f t="shared" si="2"/>
        <v>838.4</v>
      </c>
      <c r="K3408" s="22">
        <f t="shared" si="3"/>
        <v>1</v>
      </c>
      <c r="L3408" s="4">
        <f t="shared" si="4"/>
        <v>1</v>
      </c>
    </row>
    <row r="3409">
      <c r="A3409" s="23">
        <v>71830.0</v>
      </c>
      <c r="B3409" s="24" t="str">
        <f t="array" ref="B3409">xlookup($A3409,product!$A:$A,product!B:B)</f>
        <v>Epicerie sucrée</v>
      </c>
      <c r="C3409" s="24" t="str">
        <f t="array" ref="C3409">xlookup($A3409,product!$A:$A,product!C:C)</f>
        <v>Compote et dessert</v>
      </c>
      <c r="D3409" s="24" t="str">
        <f t="array" ref="D3409">xlookup($A3409,product!$A:$A,product!D:D)</f>
        <v>Compote et purée de fruit</v>
      </c>
      <c r="E3409" s="25" t="str">
        <f t="shared" si="1"/>
        <v>71830-Compote et dessert-Compote et purée de fruit</v>
      </c>
      <c r="F3409" s="25">
        <v>1.0</v>
      </c>
      <c r="G3409" s="25">
        <v>719.0</v>
      </c>
      <c r="H3409" s="25">
        <v>585.0</v>
      </c>
      <c r="I3409" s="26">
        <f t="array" ref="I3409">XLOOKUP($A3409,product!A:A,product!E:E)</f>
        <v>2.22</v>
      </c>
      <c r="J3409" s="25">
        <f t="shared" si="2"/>
        <v>1298.7</v>
      </c>
      <c r="K3409" s="27">
        <f t="shared" si="3"/>
        <v>1</v>
      </c>
      <c r="L3409" s="25">
        <f t="shared" si="4"/>
        <v>1</v>
      </c>
    </row>
    <row r="3410">
      <c r="A3410" s="19">
        <v>71837.0</v>
      </c>
      <c r="B3410" s="20" t="str">
        <f t="array" ref="B3410">xlookup($A3410,product!$A:$A,product!B:B)</f>
        <v>Epicerie sucrée</v>
      </c>
      <c r="C3410" s="20" t="str">
        <f t="array" ref="C3410">xlookup($A3410,product!$A:$A,product!C:C)</f>
        <v>Compote et dessert</v>
      </c>
      <c r="D3410" s="20" t="str">
        <f t="array" ref="D3410">xlookup($A3410,product!$A:$A,product!D:D)</f>
        <v>Compote et purée de fruit</v>
      </c>
      <c r="E3410" s="4" t="str">
        <f t="shared" si="1"/>
        <v>71837-Compote et dessert-Compote et purée de fruit</v>
      </c>
      <c r="F3410" s="4">
        <v>0.0</v>
      </c>
      <c r="G3410" s="4">
        <v>196.0</v>
      </c>
      <c r="H3410" s="4">
        <v>114.0</v>
      </c>
      <c r="I3410" s="21">
        <f t="array" ref="I3410">XLOOKUP($A3410,product!A:A,product!E:E)</f>
        <v>2.52</v>
      </c>
      <c r="J3410" s="4">
        <f t="shared" si="2"/>
        <v>287.28</v>
      </c>
      <c r="K3410" s="22">
        <f t="shared" si="3"/>
        <v>1</v>
      </c>
      <c r="L3410" s="4">
        <f t="shared" si="4"/>
        <v>1</v>
      </c>
    </row>
    <row r="3411">
      <c r="A3411" s="23">
        <v>83640.0</v>
      </c>
      <c r="B3411" s="24" t="str">
        <f t="array" ref="B3411">xlookup($A3411,product!$A:$A,product!B:B)</f>
        <v>Epicerie sucrée</v>
      </c>
      <c r="C3411" s="24" t="str">
        <f t="array" ref="C3411">xlookup($A3411,product!$A:$A,product!C:C)</f>
        <v>Compote et dessert</v>
      </c>
      <c r="D3411" s="24" t="str">
        <f t="array" ref="D3411">xlookup($A3411,product!$A:$A,product!D:D)</f>
        <v>Compote et purée de fruit</v>
      </c>
      <c r="E3411" s="25" t="str">
        <f t="shared" si="1"/>
        <v>83640-Compote et dessert-Compote et purée de fruit</v>
      </c>
      <c r="F3411" s="25">
        <v>1.0</v>
      </c>
      <c r="G3411" s="25">
        <v>29.0</v>
      </c>
      <c r="H3411" s="25">
        <v>10.0</v>
      </c>
      <c r="I3411" s="26">
        <f t="array" ref="I3411">XLOOKUP($A3411,product!A:A,product!E:E)</f>
        <v>2.19</v>
      </c>
      <c r="J3411" s="25">
        <f t="shared" si="2"/>
        <v>21.9</v>
      </c>
      <c r="K3411" s="27">
        <f t="shared" si="3"/>
        <v>1</v>
      </c>
      <c r="L3411" s="25">
        <f t="shared" si="4"/>
        <v>1</v>
      </c>
    </row>
    <row r="3412">
      <c r="A3412" s="19">
        <v>111191.0</v>
      </c>
      <c r="B3412" s="20" t="str">
        <f t="array" ref="B3412">xlookup($A3412,product!$A:$A,product!B:B)</f>
        <v>Epicerie sucrée</v>
      </c>
      <c r="C3412" s="20" t="str">
        <f t="array" ref="C3412">xlookup($A3412,product!$A:$A,product!C:C)</f>
        <v>Compote et dessert</v>
      </c>
      <c r="D3412" s="20" t="str">
        <f t="array" ref="D3412">xlookup($A3412,product!$A:$A,product!D:D)</f>
        <v>Compote et purée de fruit</v>
      </c>
      <c r="E3412" s="4" t="str">
        <f t="shared" si="1"/>
        <v>111191-Compote et dessert-Compote et purée de fruit</v>
      </c>
      <c r="F3412" s="4">
        <v>0.0</v>
      </c>
      <c r="G3412" s="4">
        <v>318.0</v>
      </c>
      <c r="H3412" s="4">
        <v>58.0</v>
      </c>
      <c r="I3412" s="21">
        <f t="array" ref="I3412">XLOOKUP($A3412,product!A:A,product!E:E)</f>
        <v>8.31</v>
      </c>
      <c r="J3412" s="4">
        <f t="shared" si="2"/>
        <v>481.98</v>
      </c>
      <c r="K3412" s="22">
        <f t="shared" si="3"/>
        <v>1</v>
      </c>
      <c r="L3412" s="4">
        <f t="shared" si="4"/>
        <v>1</v>
      </c>
    </row>
    <row r="3413">
      <c r="A3413" s="23">
        <v>70442.0</v>
      </c>
      <c r="B3413" s="24" t="str">
        <f t="array" ref="B3413">xlookup($A3413,product!$A:$A,product!B:B)</f>
        <v>Epicerie sucrée</v>
      </c>
      <c r="C3413" s="24" t="str">
        <f t="array" ref="C3413">xlookup($A3413,product!$A:$A,product!C:C)</f>
        <v>Compote et dessert</v>
      </c>
      <c r="D3413" s="24" t="str">
        <f t="array" ref="D3413">xlookup($A3413,product!$A:$A,product!D:D)</f>
        <v>Compote et purée de fruit</v>
      </c>
      <c r="E3413" s="25" t="str">
        <f t="shared" si="1"/>
        <v>70442-Compote et dessert-Compote et purée de fruit</v>
      </c>
      <c r="F3413" s="25">
        <v>1.0</v>
      </c>
      <c r="G3413" s="25">
        <v>692.0</v>
      </c>
      <c r="H3413" s="25">
        <v>280.0</v>
      </c>
      <c r="I3413" s="26">
        <f t="array" ref="I3413">XLOOKUP($A3413,product!A:A,product!E:E)</f>
        <v>2.62</v>
      </c>
      <c r="J3413" s="25">
        <f t="shared" si="2"/>
        <v>733.6</v>
      </c>
      <c r="K3413" s="27">
        <f t="shared" si="3"/>
        <v>1</v>
      </c>
      <c r="L3413" s="25">
        <f t="shared" si="4"/>
        <v>1</v>
      </c>
    </row>
    <row r="3414">
      <c r="A3414" s="19">
        <v>122228.0</v>
      </c>
      <c r="B3414" s="20" t="str">
        <f t="array" ref="B3414">xlookup($A3414,product!$A:$A,product!B:B)</f>
        <v>Epicerie sucrée</v>
      </c>
      <c r="C3414" s="20" t="str">
        <f t="array" ref="C3414">xlookup($A3414,product!$A:$A,product!C:C)</f>
        <v>Compote et dessert</v>
      </c>
      <c r="D3414" s="20" t="str">
        <f t="array" ref="D3414">xlookup($A3414,product!$A:$A,product!D:D)</f>
        <v>Compote et purée de fruit</v>
      </c>
      <c r="E3414" s="4" t="str">
        <f t="shared" si="1"/>
        <v>122228-Compote et dessert-Compote et purée de fruit</v>
      </c>
      <c r="F3414" s="4">
        <v>0.0</v>
      </c>
      <c r="G3414" s="4">
        <v>488.0</v>
      </c>
      <c r="H3414" s="4">
        <v>80.0</v>
      </c>
      <c r="I3414" s="21">
        <f t="array" ref="I3414">XLOOKUP($A3414,product!A:A,product!E:E)</f>
        <v>1.98</v>
      </c>
      <c r="J3414" s="4">
        <f t="shared" si="2"/>
        <v>158.4</v>
      </c>
      <c r="K3414" s="22">
        <f t="shared" si="3"/>
        <v>1</v>
      </c>
      <c r="L3414" s="4">
        <f t="shared" si="4"/>
        <v>1</v>
      </c>
    </row>
    <row r="3415">
      <c r="A3415" s="23">
        <v>46822.0</v>
      </c>
      <c r="B3415" s="24" t="str">
        <f t="array" ref="B3415">xlookup($A3415,product!$A:$A,product!B:B)</f>
        <v>Epicerie sucrée</v>
      </c>
      <c r="C3415" s="24" t="str">
        <f t="array" ref="C3415">xlookup($A3415,product!$A:$A,product!C:C)</f>
        <v>Compote et dessert</v>
      </c>
      <c r="D3415" s="24" t="str">
        <f t="array" ref="D3415">xlookup($A3415,product!$A:$A,product!D:D)</f>
        <v>Compote et purée de fruit</v>
      </c>
      <c r="E3415" s="25" t="str">
        <f t="shared" si="1"/>
        <v>46822-Compote et dessert-Compote et purée de fruit</v>
      </c>
      <c r="F3415" s="25">
        <v>0.0</v>
      </c>
      <c r="G3415" s="25">
        <v>373.0</v>
      </c>
      <c r="H3415" s="25">
        <v>325.0</v>
      </c>
      <c r="I3415" s="26">
        <f t="array" ref="I3415">XLOOKUP($A3415,product!A:A,product!E:E)</f>
        <v>2.94</v>
      </c>
      <c r="J3415" s="25">
        <f t="shared" si="2"/>
        <v>955.5</v>
      </c>
      <c r="K3415" s="27">
        <f t="shared" si="3"/>
        <v>1</v>
      </c>
      <c r="L3415" s="25">
        <f t="shared" si="4"/>
        <v>1</v>
      </c>
    </row>
    <row r="3416">
      <c r="A3416" s="19">
        <v>71769.0</v>
      </c>
      <c r="B3416" s="20" t="str">
        <f t="array" ref="B3416">xlookup($A3416,product!$A:$A,product!B:B)</f>
        <v>Epicerie sucrée</v>
      </c>
      <c r="C3416" s="20" t="str">
        <f t="array" ref="C3416">xlookup($A3416,product!$A:$A,product!C:C)</f>
        <v>Compote et dessert</v>
      </c>
      <c r="D3416" s="20" t="str">
        <f t="array" ref="D3416">xlookup($A3416,product!$A:$A,product!D:D)</f>
        <v>Compote et purée de fruit</v>
      </c>
      <c r="E3416" s="4" t="str">
        <f t="shared" si="1"/>
        <v>71769-Compote et dessert-Compote et purée de fruit</v>
      </c>
      <c r="F3416" s="4">
        <v>0.0</v>
      </c>
      <c r="G3416" s="4">
        <v>777.0</v>
      </c>
      <c r="H3416" s="4">
        <v>366.0</v>
      </c>
      <c r="I3416" s="21">
        <f t="array" ref="I3416">XLOOKUP($A3416,product!A:A,product!E:E)</f>
        <v>4.16</v>
      </c>
      <c r="J3416" s="4">
        <f t="shared" si="2"/>
        <v>1522.56</v>
      </c>
      <c r="K3416" s="22">
        <f t="shared" si="3"/>
        <v>1</v>
      </c>
      <c r="L3416" s="4">
        <f t="shared" si="4"/>
        <v>1</v>
      </c>
    </row>
    <row r="3417">
      <c r="A3417" s="23">
        <v>9302.0</v>
      </c>
      <c r="B3417" s="24" t="str">
        <f t="array" ref="B3417">xlookup($A3417,product!$A:$A,product!B:B)</f>
        <v>Epicerie sucrée</v>
      </c>
      <c r="C3417" s="24" t="str">
        <f t="array" ref="C3417">xlookup($A3417,product!$A:$A,product!C:C)</f>
        <v>Compote et dessert</v>
      </c>
      <c r="D3417" s="24" t="str">
        <f t="array" ref="D3417">xlookup($A3417,product!$A:$A,product!D:D)</f>
        <v>Compote et purée de fruit</v>
      </c>
      <c r="E3417" s="25" t="str">
        <f t="shared" si="1"/>
        <v>9302-Compote et dessert-Compote et purée de fruit</v>
      </c>
      <c r="F3417" s="25">
        <v>1.0</v>
      </c>
      <c r="G3417" s="25">
        <v>937.0</v>
      </c>
      <c r="H3417" s="25">
        <v>612.0</v>
      </c>
      <c r="I3417" s="26">
        <f t="array" ref="I3417">XLOOKUP($A3417,product!A:A,product!E:E)</f>
        <v>1.91</v>
      </c>
      <c r="J3417" s="25">
        <f t="shared" si="2"/>
        <v>1168.92</v>
      </c>
      <c r="K3417" s="27">
        <f t="shared" si="3"/>
        <v>1</v>
      </c>
      <c r="L3417" s="25">
        <f t="shared" si="4"/>
        <v>1</v>
      </c>
    </row>
    <row r="3418">
      <c r="A3418" s="19">
        <v>90006.0</v>
      </c>
      <c r="B3418" s="20" t="str">
        <f t="array" ref="B3418">xlookup($A3418,product!$A:$A,product!B:B)</f>
        <v>Epicerie sucrée</v>
      </c>
      <c r="C3418" s="20" t="str">
        <f t="array" ref="C3418">xlookup($A3418,product!$A:$A,product!C:C)</f>
        <v>Compote et dessert</v>
      </c>
      <c r="D3418" s="20" t="str">
        <f t="array" ref="D3418">xlookup($A3418,product!$A:$A,product!D:D)</f>
        <v>Compote et purée de fruit</v>
      </c>
      <c r="E3418" s="4" t="str">
        <f t="shared" si="1"/>
        <v>90006-Compote et dessert-Compote et purée de fruit</v>
      </c>
      <c r="F3418" s="4">
        <v>1.0</v>
      </c>
      <c r="G3418" s="4">
        <v>235.0</v>
      </c>
      <c r="H3418" s="4">
        <v>120.0</v>
      </c>
      <c r="I3418" s="21">
        <f t="array" ref="I3418">XLOOKUP($A3418,product!A:A,product!E:E)</f>
        <v>6.44</v>
      </c>
      <c r="J3418" s="4">
        <f t="shared" si="2"/>
        <v>772.8</v>
      </c>
      <c r="K3418" s="22">
        <f t="shared" si="3"/>
        <v>1</v>
      </c>
      <c r="L3418" s="4">
        <f t="shared" si="4"/>
        <v>1</v>
      </c>
    </row>
    <row r="3419">
      <c r="A3419" s="23">
        <v>80673.0</v>
      </c>
      <c r="B3419" s="24" t="str">
        <f t="array" ref="B3419">xlookup($A3419,product!$A:$A,product!B:B)</f>
        <v>Epicerie sucrée</v>
      </c>
      <c r="C3419" s="24" t="str">
        <f t="array" ref="C3419">xlookup($A3419,product!$A:$A,product!C:C)</f>
        <v>Compote et dessert</v>
      </c>
      <c r="D3419" s="24" t="str">
        <f t="array" ref="D3419">xlookup($A3419,product!$A:$A,product!D:D)</f>
        <v>Compote et purée de fruit</v>
      </c>
      <c r="E3419" s="25" t="str">
        <f t="shared" si="1"/>
        <v>80673-Compote et dessert-Compote et purée de fruit</v>
      </c>
      <c r="F3419" s="25">
        <v>1.0</v>
      </c>
      <c r="G3419" s="25">
        <v>708.0</v>
      </c>
      <c r="H3419" s="25">
        <v>583.0</v>
      </c>
      <c r="I3419" s="26">
        <f t="array" ref="I3419">XLOOKUP($A3419,product!A:A,product!E:E)</f>
        <v>2.29</v>
      </c>
      <c r="J3419" s="25">
        <f t="shared" si="2"/>
        <v>1335.07</v>
      </c>
      <c r="K3419" s="27">
        <f t="shared" si="3"/>
        <v>1</v>
      </c>
      <c r="L3419" s="25">
        <f t="shared" si="4"/>
        <v>1</v>
      </c>
    </row>
    <row r="3420">
      <c r="A3420" s="19">
        <v>71834.0</v>
      </c>
      <c r="B3420" s="20" t="str">
        <f t="array" ref="B3420">xlookup($A3420,product!$A:$A,product!B:B)</f>
        <v>Epicerie sucrée</v>
      </c>
      <c r="C3420" s="20" t="str">
        <f t="array" ref="C3420">xlookup($A3420,product!$A:$A,product!C:C)</f>
        <v>Compote et dessert</v>
      </c>
      <c r="D3420" s="20" t="str">
        <f t="array" ref="D3420">xlookup($A3420,product!$A:$A,product!D:D)</f>
        <v>Compote et purée de fruit</v>
      </c>
      <c r="E3420" s="4" t="str">
        <f t="shared" si="1"/>
        <v>71834-Compote et dessert-Compote et purée de fruit</v>
      </c>
      <c r="F3420" s="4">
        <v>0.0</v>
      </c>
      <c r="G3420" s="4">
        <v>257.0</v>
      </c>
      <c r="H3420" s="4">
        <v>178.0</v>
      </c>
      <c r="I3420" s="21">
        <f t="array" ref="I3420">XLOOKUP($A3420,product!A:A,product!E:E)</f>
        <v>2.18</v>
      </c>
      <c r="J3420" s="4">
        <f t="shared" si="2"/>
        <v>388.04</v>
      </c>
      <c r="K3420" s="22">
        <f t="shared" si="3"/>
        <v>1</v>
      </c>
      <c r="L3420" s="4">
        <f t="shared" si="4"/>
        <v>1</v>
      </c>
    </row>
    <row r="3421">
      <c r="A3421" s="23">
        <v>107310.0</v>
      </c>
      <c r="B3421" s="24" t="str">
        <f t="array" ref="B3421">xlookup($A3421,product!$A:$A,product!B:B)</f>
        <v>Epicerie sucrée</v>
      </c>
      <c r="C3421" s="24" t="str">
        <f t="array" ref="C3421">xlookup($A3421,product!$A:$A,product!C:C)</f>
        <v>Compote et dessert</v>
      </c>
      <c r="D3421" s="24" t="str">
        <f t="array" ref="D3421">xlookup($A3421,product!$A:$A,product!D:D)</f>
        <v>Compote et purée de fruit</v>
      </c>
      <c r="E3421" s="25" t="str">
        <f t="shared" si="1"/>
        <v>107310-Compote et dessert-Compote et purée de fruit</v>
      </c>
      <c r="F3421" s="25">
        <v>0.0</v>
      </c>
      <c r="G3421" s="25">
        <v>192.0</v>
      </c>
      <c r="H3421" s="25">
        <v>123.0</v>
      </c>
      <c r="I3421" s="26">
        <f t="array" ref="I3421">XLOOKUP($A3421,product!A:A,product!E:E)</f>
        <v>3.11</v>
      </c>
      <c r="J3421" s="25">
        <f t="shared" si="2"/>
        <v>382.53</v>
      </c>
      <c r="K3421" s="27">
        <f t="shared" si="3"/>
        <v>1</v>
      </c>
      <c r="L3421" s="25">
        <f t="shared" si="4"/>
        <v>1</v>
      </c>
    </row>
    <row r="3422">
      <c r="A3422" s="19">
        <v>71843.0</v>
      </c>
      <c r="B3422" s="20" t="str">
        <f t="array" ref="B3422">xlookup($A3422,product!$A:$A,product!B:B)</f>
        <v>Epicerie sucrée</v>
      </c>
      <c r="C3422" s="20" t="str">
        <f t="array" ref="C3422">xlookup($A3422,product!$A:$A,product!C:C)</f>
        <v>Compote et dessert</v>
      </c>
      <c r="D3422" s="20" t="str">
        <f t="array" ref="D3422">xlookup($A3422,product!$A:$A,product!D:D)</f>
        <v>Compote et purée de fruit</v>
      </c>
      <c r="E3422" s="4" t="str">
        <f t="shared" si="1"/>
        <v>71843-Compote et dessert-Compote et purée de fruit</v>
      </c>
      <c r="F3422" s="4">
        <v>0.0</v>
      </c>
      <c r="G3422" s="4">
        <v>769.0</v>
      </c>
      <c r="H3422" s="4">
        <v>724.0</v>
      </c>
      <c r="I3422" s="21">
        <f t="array" ref="I3422">XLOOKUP($A3422,product!A:A,product!E:E)</f>
        <v>3.21</v>
      </c>
      <c r="J3422" s="4">
        <f t="shared" si="2"/>
        <v>2324.04</v>
      </c>
      <c r="K3422" s="22">
        <f t="shared" si="3"/>
        <v>1</v>
      </c>
      <c r="L3422" s="4">
        <f t="shared" si="4"/>
        <v>1</v>
      </c>
    </row>
    <row r="3423">
      <c r="A3423" s="23">
        <v>107358.0</v>
      </c>
      <c r="B3423" s="24" t="str">
        <f t="array" ref="B3423">xlookup($A3423,product!$A:$A,product!B:B)</f>
        <v>Epicerie sucrée</v>
      </c>
      <c r="C3423" s="24" t="str">
        <f t="array" ref="C3423">xlookup($A3423,product!$A:$A,product!C:C)</f>
        <v>Compote et dessert</v>
      </c>
      <c r="D3423" s="24" t="str">
        <f t="array" ref="D3423">xlookup($A3423,product!$A:$A,product!D:D)</f>
        <v>Compote et purée de fruit</v>
      </c>
      <c r="E3423" s="25" t="str">
        <f t="shared" si="1"/>
        <v>107358-Compote et dessert-Compote et purée de fruit</v>
      </c>
      <c r="F3423" s="25">
        <v>1.0</v>
      </c>
      <c r="G3423" s="25">
        <v>260.0</v>
      </c>
      <c r="H3423" s="25">
        <v>27.0</v>
      </c>
      <c r="I3423" s="26">
        <f t="array" ref="I3423">XLOOKUP($A3423,product!A:A,product!E:E)</f>
        <v>2.69</v>
      </c>
      <c r="J3423" s="25">
        <f t="shared" si="2"/>
        <v>72.63</v>
      </c>
      <c r="K3423" s="27">
        <f t="shared" si="3"/>
        <v>1</v>
      </c>
      <c r="L3423" s="25">
        <f t="shared" si="4"/>
        <v>1</v>
      </c>
    </row>
    <row r="3424">
      <c r="A3424" s="19">
        <v>44842.0</v>
      </c>
      <c r="B3424" s="20" t="str">
        <f t="array" ref="B3424">xlookup($A3424,product!$A:$A,product!B:B)</f>
        <v>Epicerie sucrée</v>
      </c>
      <c r="C3424" s="20" t="str">
        <f t="array" ref="C3424">xlookup($A3424,product!$A:$A,product!C:C)</f>
        <v>Compote et dessert</v>
      </c>
      <c r="D3424" s="20" t="str">
        <f t="array" ref="D3424">xlookup($A3424,product!$A:$A,product!D:D)</f>
        <v>Compote et purée de fruit</v>
      </c>
      <c r="E3424" s="4" t="str">
        <f t="shared" si="1"/>
        <v>44842-Compote et dessert-Compote et purée de fruit</v>
      </c>
      <c r="F3424" s="4">
        <v>0.0</v>
      </c>
      <c r="G3424" s="4">
        <v>393.0</v>
      </c>
      <c r="H3424" s="4">
        <v>175.0</v>
      </c>
      <c r="I3424" s="21">
        <f t="array" ref="I3424">XLOOKUP($A3424,product!A:A,product!E:E)</f>
        <v>1.98</v>
      </c>
      <c r="J3424" s="4">
        <f t="shared" si="2"/>
        <v>346.5</v>
      </c>
      <c r="K3424" s="22">
        <f t="shared" si="3"/>
        <v>1</v>
      </c>
      <c r="L3424" s="4">
        <f t="shared" si="4"/>
        <v>1</v>
      </c>
    </row>
    <row r="3425">
      <c r="A3425" s="23">
        <v>111181.0</v>
      </c>
      <c r="B3425" s="24" t="str">
        <f t="array" ref="B3425">xlookup($A3425,product!$A:$A,product!B:B)</f>
        <v>Epicerie sucrée</v>
      </c>
      <c r="C3425" s="24" t="str">
        <f t="array" ref="C3425">xlookup($A3425,product!$A:$A,product!C:C)</f>
        <v>Compote et dessert</v>
      </c>
      <c r="D3425" s="24" t="str">
        <f t="array" ref="D3425">xlookup($A3425,product!$A:$A,product!D:D)</f>
        <v>Compote et purée de fruit</v>
      </c>
      <c r="E3425" s="25" t="str">
        <f t="shared" si="1"/>
        <v>111181-Compote et dessert-Compote et purée de fruit</v>
      </c>
      <c r="F3425" s="25">
        <v>0.0</v>
      </c>
      <c r="G3425" s="25">
        <v>111.0</v>
      </c>
      <c r="H3425" s="25">
        <v>6.0</v>
      </c>
      <c r="I3425" s="26">
        <f t="array" ref="I3425">XLOOKUP($A3425,product!A:A,product!E:E)</f>
        <v>7.87</v>
      </c>
      <c r="J3425" s="25">
        <f t="shared" si="2"/>
        <v>47.22</v>
      </c>
      <c r="K3425" s="27">
        <f t="shared" si="3"/>
        <v>1</v>
      </c>
      <c r="L3425" s="25">
        <f t="shared" si="4"/>
        <v>1</v>
      </c>
    </row>
    <row r="3426">
      <c r="A3426" s="19">
        <v>71773.0</v>
      </c>
      <c r="B3426" s="20" t="str">
        <f t="array" ref="B3426">xlookup($A3426,product!$A:$A,product!B:B)</f>
        <v>Epicerie sucrée</v>
      </c>
      <c r="C3426" s="20" t="str">
        <f t="array" ref="C3426">xlookup($A3426,product!$A:$A,product!C:C)</f>
        <v>Compote et dessert</v>
      </c>
      <c r="D3426" s="20" t="str">
        <f t="array" ref="D3426">xlookup($A3426,product!$A:$A,product!D:D)</f>
        <v>Compote et purée de fruit</v>
      </c>
      <c r="E3426" s="4" t="str">
        <f t="shared" si="1"/>
        <v>71773-Compote et dessert-Compote et purée de fruit</v>
      </c>
      <c r="F3426" s="4">
        <v>1.0</v>
      </c>
      <c r="G3426" s="4">
        <v>651.0</v>
      </c>
      <c r="H3426" s="4">
        <v>156.0</v>
      </c>
      <c r="I3426" s="21">
        <f t="array" ref="I3426">XLOOKUP($A3426,product!A:A,product!E:E)</f>
        <v>4.48</v>
      </c>
      <c r="J3426" s="4">
        <f t="shared" si="2"/>
        <v>698.88</v>
      </c>
      <c r="K3426" s="22">
        <f t="shared" si="3"/>
        <v>1</v>
      </c>
      <c r="L3426" s="4">
        <f t="shared" si="4"/>
        <v>1</v>
      </c>
    </row>
    <row r="3427">
      <c r="A3427" s="23">
        <v>71836.0</v>
      </c>
      <c r="B3427" s="24" t="str">
        <f t="array" ref="B3427">xlookup($A3427,product!$A:$A,product!B:B)</f>
        <v>Epicerie sucrée</v>
      </c>
      <c r="C3427" s="24" t="str">
        <f t="array" ref="C3427">xlookup($A3427,product!$A:$A,product!C:C)</f>
        <v>Compote et dessert</v>
      </c>
      <c r="D3427" s="24" t="str">
        <f t="array" ref="D3427">xlookup($A3427,product!$A:$A,product!D:D)</f>
        <v>Compote et purée de fruit</v>
      </c>
      <c r="E3427" s="25" t="str">
        <f t="shared" si="1"/>
        <v>71836-Compote et dessert-Compote et purée de fruit</v>
      </c>
      <c r="F3427" s="25">
        <v>0.0</v>
      </c>
      <c r="G3427" s="25">
        <v>229.0</v>
      </c>
      <c r="H3427" s="25">
        <v>227.0</v>
      </c>
      <c r="I3427" s="26">
        <f t="array" ref="I3427">XLOOKUP($A3427,product!A:A,product!E:E)</f>
        <v>2.45</v>
      </c>
      <c r="J3427" s="25">
        <f t="shared" si="2"/>
        <v>556.15</v>
      </c>
      <c r="K3427" s="27">
        <f t="shared" si="3"/>
        <v>1</v>
      </c>
      <c r="L3427" s="25">
        <f t="shared" si="4"/>
        <v>1</v>
      </c>
    </row>
    <row r="3428">
      <c r="A3428" s="19">
        <v>70276.0</v>
      </c>
      <c r="B3428" s="20" t="str">
        <f t="array" ref="B3428">xlookup($A3428,product!$A:$A,product!B:B)</f>
        <v>Epicerie sucrée</v>
      </c>
      <c r="C3428" s="20" t="str">
        <f t="array" ref="C3428">xlookup($A3428,product!$A:$A,product!C:C)</f>
        <v>Compote et dessert</v>
      </c>
      <c r="D3428" s="20" t="str">
        <f t="array" ref="D3428">xlookup($A3428,product!$A:$A,product!D:D)</f>
        <v>Compote et purée de fruit</v>
      </c>
      <c r="E3428" s="4" t="str">
        <f t="shared" si="1"/>
        <v>70276-Compote et dessert-Compote et purée de fruit</v>
      </c>
      <c r="F3428" s="4">
        <v>1.0</v>
      </c>
      <c r="G3428" s="4">
        <v>556.0</v>
      </c>
      <c r="H3428" s="4">
        <v>338.0</v>
      </c>
      <c r="I3428" s="21">
        <f t="array" ref="I3428">XLOOKUP($A3428,product!A:A,product!E:E)</f>
        <v>5.16</v>
      </c>
      <c r="J3428" s="4">
        <f t="shared" si="2"/>
        <v>1744.08</v>
      </c>
      <c r="K3428" s="22">
        <f t="shared" si="3"/>
        <v>1</v>
      </c>
      <c r="L3428" s="4">
        <f t="shared" si="4"/>
        <v>1</v>
      </c>
    </row>
    <row r="3429">
      <c r="A3429" s="23">
        <v>71775.0</v>
      </c>
      <c r="B3429" s="24" t="str">
        <f t="array" ref="B3429">xlookup($A3429,product!$A:$A,product!B:B)</f>
        <v>Epicerie sucrée</v>
      </c>
      <c r="C3429" s="24" t="str">
        <f t="array" ref="C3429">xlookup($A3429,product!$A:$A,product!C:C)</f>
        <v>Compote et dessert</v>
      </c>
      <c r="D3429" s="24" t="str">
        <f t="array" ref="D3429">xlookup($A3429,product!$A:$A,product!D:D)</f>
        <v>Compote et purée de fruit</v>
      </c>
      <c r="E3429" s="25" t="str">
        <f t="shared" si="1"/>
        <v>71775-Compote et dessert-Compote et purée de fruit</v>
      </c>
      <c r="F3429" s="25">
        <v>0.0</v>
      </c>
      <c r="G3429" s="25">
        <v>878.0</v>
      </c>
      <c r="H3429" s="25">
        <v>313.0</v>
      </c>
      <c r="I3429" s="26">
        <f t="array" ref="I3429">XLOOKUP($A3429,product!A:A,product!E:E)</f>
        <v>4.67</v>
      </c>
      <c r="J3429" s="25">
        <f t="shared" si="2"/>
        <v>1461.71</v>
      </c>
      <c r="K3429" s="27">
        <f t="shared" si="3"/>
        <v>1</v>
      </c>
      <c r="L3429" s="25">
        <f t="shared" si="4"/>
        <v>1</v>
      </c>
    </row>
    <row r="3430">
      <c r="A3430" s="19">
        <v>44844.0</v>
      </c>
      <c r="B3430" s="20" t="str">
        <f t="array" ref="B3430">xlookup($A3430,product!$A:$A,product!B:B)</f>
        <v>Epicerie sucrée</v>
      </c>
      <c r="C3430" s="20" t="str">
        <f t="array" ref="C3430">xlookup($A3430,product!$A:$A,product!C:C)</f>
        <v>Compote et dessert</v>
      </c>
      <c r="D3430" s="20" t="str">
        <f t="array" ref="D3430">xlookup($A3430,product!$A:$A,product!D:D)</f>
        <v>Compote et purée de fruit</v>
      </c>
      <c r="E3430" s="4" t="str">
        <f t="shared" si="1"/>
        <v>44844-Compote et dessert-Compote et purée de fruit</v>
      </c>
      <c r="F3430" s="4">
        <v>1.0</v>
      </c>
      <c r="G3430" s="4">
        <v>160.0</v>
      </c>
      <c r="H3430" s="4">
        <v>105.0</v>
      </c>
      <c r="I3430" s="21">
        <f t="array" ref="I3430">XLOOKUP($A3430,product!A:A,product!E:E)</f>
        <v>1.98</v>
      </c>
      <c r="J3430" s="4">
        <f t="shared" si="2"/>
        <v>207.9</v>
      </c>
      <c r="K3430" s="22">
        <f t="shared" si="3"/>
        <v>1</v>
      </c>
      <c r="L3430" s="4">
        <f t="shared" si="4"/>
        <v>1</v>
      </c>
    </row>
    <row r="3431">
      <c r="A3431" s="23">
        <v>156181.0</v>
      </c>
      <c r="B3431" s="24" t="str">
        <f t="array" ref="B3431">xlookup($A3431,product!$A:$A,product!B:B)</f>
        <v>Epicerie sucrée</v>
      </c>
      <c r="C3431" s="24" t="str">
        <f t="array" ref="C3431">xlookup($A3431,product!$A:$A,product!C:C)</f>
        <v>Compote et dessert</v>
      </c>
      <c r="D3431" s="24" t="str">
        <f t="array" ref="D3431">xlookup($A3431,product!$A:$A,product!D:D)</f>
        <v>Compote et purée de fruit</v>
      </c>
      <c r="E3431" s="25" t="str">
        <f t="shared" si="1"/>
        <v>156181-Compote et dessert-Compote et purée de fruit</v>
      </c>
      <c r="F3431" s="25">
        <v>0.0</v>
      </c>
      <c r="G3431" s="25">
        <v>88.0</v>
      </c>
      <c r="H3431" s="25">
        <v>73.0</v>
      </c>
      <c r="I3431" s="26">
        <f t="array" ref="I3431">XLOOKUP($A3431,product!A:A,product!E:E)</f>
        <v>2.92</v>
      </c>
      <c r="J3431" s="25">
        <f t="shared" si="2"/>
        <v>213.16</v>
      </c>
      <c r="K3431" s="27">
        <f t="shared" si="3"/>
        <v>1</v>
      </c>
      <c r="L3431" s="25">
        <f t="shared" si="4"/>
        <v>1</v>
      </c>
    </row>
    <row r="3432">
      <c r="A3432" s="19">
        <v>102898.0</v>
      </c>
      <c r="B3432" s="20" t="str">
        <f t="array" ref="B3432">xlookup($A3432,product!$A:$A,product!B:B)</f>
        <v>Epicerie sucrée</v>
      </c>
      <c r="C3432" s="20" t="str">
        <f t="array" ref="C3432">xlookup($A3432,product!$A:$A,product!C:C)</f>
        <v>Compote et dessert</v>
      </c>
      <c r="D3432" s="20" t="str">
        <f t="array" ref="D3432">xlookup($A3432,product!$A:$A,product!D:D)</f>
        <v>Compote et purée de fruit</v>
      </c>
      <c r="E3432" s="4" t="str">
        <f t="shared" si="1"/>
        <v>102898-Compote et dessert-Compote et purée de fruit</v>
      </c>
      <c r="F3432" s="4">
        <v>1.0</v>
      </c>
      <c r="G3432" s="4">
        <v>560.0</v>
      </c>
      <c r="H3432" s="4">
        <v>308.0</v>
      </c>
      <c r="I3432" s="21">
        <f t="array" ref="I3432">XLOOKUP($A3432,product!A:A,product!E:E)</f>
        <v>2.62</v>
      </c>
      <c r="J3432" s="4">
        <f t="shared" si="2"/>
        <v>806.96</v>
      </c>
      <c r="K3432" s="22">
        <f t="shared" si="3"/>
        <v>1</v>
      </c>
      <c r="L3432" s="4">
        <f t="shared" si="4"/>
        <v>1</v>
      </c>
    </row>
    <row r="3433">
      <c r="A3433" s="23">
        <v>47600.0</v>
      </c>
      <c r="B3433" s="24" t="str">
        <f t="array" ref="B3433">xlookup($A3433,product!$A:$A,product!B:B)</f>
        <v>Epicerie sucrée</v>
      </c>
      <c r="C3433" s="24" t="str">
        <f t="array" ref="C3433">xlookup($A3433,product!$A:$A,product!C:C)</f>
        <v>Compote et dessert</v>
      </c>
      <c r="D3433" s="24" t="str">
        <f t="array" ref="D3433">xlookup($A3433,product!$A:$A,product!D:D)</f>
        <v>Compote et purée de fruit</v>
      </c>
      <c r="E3433" s="25" t="str">
        <f t="shared" si="1"/>
        <v>47600-Compote et dessert-Compote et purée de fruit</v>
      </c>
      <c r="F3433" s="25">
        <v>1.0</v>
      </c>
      <c r="G3433" s="25">
        <v>115.0</v>
      </c>
      <c r="H3433" s="25">
        <v>20.0</v>
      </c>
      <c r="I3433" s="26">
        <f t="array" ref="I3433">XLOOKUP($A3433,product!A:A,product!E:E)</f>
        <v>1.65</v>
      </c>
      <c r="J3433" s="25">
        <f t="shared" si="2"/>
        <v>33</v>
      </c>
      <c r="K3433" s="27">
        <f t="shared" si="3"/>
        <v>1</v>
      </c>
      <c r="L3433" s="25">
        <f t="shared" si="4"/>
        <v>1</v>
      </c>
    </row>
    <row r="3434">
      <c r="A3434" s="19">
        <v>111173.0</v>
      </c>
      <c r="B3434" s="20" t="str">
        <f t="array" ref="B3434">xlookup($A3434,product!$A:$A,product!B:B)</f>
        <v>Epicerie sucrée</v>
      </c>
      <c r="C3434" s="20" t="str">
        <f t="array" ref="C3434">xlookup($A3434,product!$A:$A,product!C:C)</f>
        <v>Compote et dessert</v>
      </c>
      <c r="D3434" s="20" t="str">
        <f t="array" ref="D3434">xlookup($A3434,product!$A:$A,product!D:D)</f>
        <v>Compote et purée de fruit</v>
      </c>
      <c r="E3434" s="4" t="str">
        <f t="shared" si="1"/>
        <v>111173-Compote et dessert-Compote et purée de fruit</v>
      </c>
      <c r="F3434" s="4">
        <v>0.0</v>
      </c>
      <c r="G3434" s="4">
        <v>589.0</v>
      </c>
      <c r="H3434" s="4">
        <v>398.0</v>
      </c>
      <c r="I3434" s="21">
        <f t="array" ref="I3434">XLOOKUP($A3434,product!A:A,product!E:E)</f>
        <v>2.04</v>
      </c>
      <c r="J3434" s="4">
        <f t="shared" si="2"/>
        <v>811.92</v>
      </c>
      <c r="K3434" s="22">
        <f t="shared" si="3"/>
        <v>1</v>
      </c>
      <c r="L3434" s="4">
        <f t="shared" si="4"/>
        <v>1</v>
      </c>
    </row>
    <row r="3435">
      <c r="A3435" s="23">
        <v>70201.0</v>
      </c>
      <c r="B3435" s="24" t="str">
        <f t="array" ref="B3435">xlookup($A3435,product!$A:$A,product!B:B)</f>
        <v>Epicerie sucrée</v>
      </c>
      <c r="C3435" s="24" t="str">
        <f t="array" ref="C3435">xlookup($A3435,product!$A:$A,product!C:C)</f>
        <v>Compote et dessert</v>
      </c>
      <c r="D3435" s="24" t="str">
        <f t="array" ref="D3435">xlookup($A3435,product!$A:$A,product!D:D)</f>
        <v>Compote et purée de fruit</v>
      </c>
      <c r="E3435" s="25" t="str">
        <f t="shared" si="1"/>
        <v>70201-Compote et dessert-Compote et purée de fruit</v>
      </c>
      <c r="F3435" s="25">
        <v>0.0</v>
      </c>
      <c r="G3435" s="25">
        <v>683.0</v>
      </c>
      <c r="H3435" s="25">
        <v>174.0</v>
      </c>
      <c r="I3435" s="26">
        <f t="array" ref="I3435">XLOOKUP($A3435,product!A:A,product!E:E)</f>
        <v>3.79</v>
      </c>
      <c r="J3435" s="25">
        <f t="shared" si="2"/>
        <v>659.46</v>
      </c>
      <c r="K3435" s="27">
        <f t="shared" si="3"/>
        <v>1</v>
      </c>
      <c r="L3435" s="25">
        <f t="shared" si="4"/>
        <v>1</v>
      </c>
    </row>
    <row r="3436">
      <c r="A3436" s="19">
        <v>71842.0</v>
      </c>
      <c r="B3436" s="20" t="str">
        <f t="array" ref="B3436">xlookup($A3436,product!$A:$A,product!B:B)</f>
        <v>Epicerie sucrée</v>
      </c>
      <c r="C3436" s="20" t="str">
        <f t="array" ref="C3436">xlookup($A3436,product!$A:$A,product!C:C)</f>
        <v>Compote et dessert</v>
      </c>
      <c r="D3436" s="20" t="str">
        <f t="array" ref="D3436">xlookup($A3436,product!$A:$A,product!D:D)</f>
        <v>Compote et purée de fruit</v>
      </c>
      <c r="E3436" s="4" t="str">
        <f t="shared" si="1"/>
        <v>71842-Compote et dessert-Compote et purée de fruit</v>
      </c>
      <c r="F3436" s="4">
        <v>1.0</v>
      </c>
      <c r="G3436" s="4">
        <v>561.0</v>
      </c>
      <c r="H3436" s="4">
        <v>217.0</v>
      </c>
      <c r="I3436" s="21">
        <f t="array" ref="I3436">XLOOKUP($A3436,product!A:A,product!E:E)</f>
        <v>2.62</v>
      </c>
      <c r="J3436" s="4">
        <f t="shared" si="2"/>
        <v>568.54</v>
      </c>
      <c r="K3436" s="22">
        <f t="shared" si="3"/>
        <v>1</v>
      </c>
      <c r="L3436" s="4">
        <f t="shared" si="4"/>
        <v>1</v>
      </c>
    </row>
    <row r="3437">
      <c r="A3437" s="23">
        <v>47601.0</v>
      </c>
      <c r="B3437" s="24" t="str">
        <f t="array" ref="B3437">xlookup($A3437,product!$A:$A,product!B:B)</f>
        <v>Epicerie sucrée</v>
      </c>
      <c r="C3437" s="24" t="str">
        <f t="array" ref="C3437">xlookup($A3437,product!$A:$A,product!C:C)</f>
        <v>Compote et dessert</v>
      </c>
      <c r="D3437" s="24" t="str">
        <f t="array" ref="D3437">xlookup($A3437,product!$A:$A,product!D:D)</f>
        <v>Compote et purée de fruit</v>
      </c>
      <c r="E3437" s="25" t="str">
        <f t="shared" si="1"/>
        <v>47601-Compote et dessert-Compote et purée de fruit</v>
      </c>
      <c r="F3437" s="25">
        <v>1.0</v>
      </c>
      <c r="G3437" s="25">
        <v>161.0</v>
      </c>
      <c r="H3437" s="25">
        <v>35.0</v>
      </c>
      <c r="I3437" s="26">
        <f t="array" ref="I3437">XLOOKUP($A3437,product!A:A,product!E:E)</f>
        <v>2.94</v>
      </c>
      <c r="J3437" s="25">
        <f t="shared" si="2"/>
        <v>102.9</v>
      </c>
      <c r="K3437" s="27">
        <f t="shared" si="3"/>
        <v>1</v>
      </c>
      <c r="L3437" s="25">
        <f t="shared" si="4"/>
        <v>1</v>
      </c>
    </row>
    <row r="3438">
      <c r="A3438" s="19">
        <v>87000.0</v>
      </c>
      <c r="B3438" s="20" t="str">
        <f t="array" ref="B3438">xlookup($A3438,product!$A:$A,product!B:B)</f>
        <v>Epicerie sucrée</v>
      </c>
      <c r="C3438" s="20" t="str">
        <f t="array" ref="C3438">xlookup($A3438,product!$A:$A,product!C:C)</f>
        <v>Compote et dessert</v>
      </c>
      <c r="D3438" s="20" t="str">
        <f t="array" ref="D3438">xlookup($A3438,product!$A:$A,product!D:D)</f>
        <v>Compote et purée de fruit</v>
      </c>
      <c r="E3438" s="4" t="str">
        <f t="shared" si="1"/>
        <v>87000-Compote et dessert-Compote et purée de fruit</v>
      </c>
      <c r="F3438" s="4">
        <v>1.0</v>
      </c>
      <c r="G3438" s="4">
        <v>531.0</v>
      </c>
      <c r="H3438" s="4">
        <v>43.0</v>
      </c>
      <c r="I3438" s="21">
        <f t="array" ref="I3438">XLOOKUP($A3438,product!A:A,product!E:E)</f>
        <v>1.82</v>
      </c>
      <c r="J3438" s="4">
        <f t="shared" si="2"/>
        <v>78.26</v>
      </c>
      <c r="K3438" s="22">
        <f t="shared" si="3"/>
        <v>1</v>
      </c>
      <c r="L3438" s="4">
        <f t="shared" si="4"/>
        <v>1</v>
      </c>
    </row>
    <row r="3439">
      <c r="A3439" s="23">
        <v>103457.0</v>
      </c>
      <c r="B3439" s="24" t="str">
        <f t="array" ref="B3439">xlookup($A3439,product!$A:$A,product!B:B)</f>
        <v>Epicerie sucrée</v>
      </c>
      <c r="C3439" s="24" t="str">
        <f t="array" ref="C3439">xlookup($A3439,product!$A:$A,product!C:C)</f>
        <v>Compote et dessert</v>
      </c>
      <c r="D3439" s="24" t="str">
        <f t="array" ref="D3439">xlookup($A3439,product!$A:$A,product!D:D)</f>
        <v>Compote et purée de fruit</v>
      </c>
      <c r="E3439" s="25" t="str">
        <f t="shared" si="1"/>
        <v>103457-Compote et dessert-Compote et purée de fruit</v>
      </c>
      <c r="F3439" s="25">
        <v>1.0</v>
      </c>
      <c r="G3439" s="25">
        <v>971.0</v>
      </c>
      <c r="H3439" s="25">
        <v>76.0</v>
      </c>
      <c r="I3439" s="26">
        <f t="array" ref="I3439">XLOOKUP($A3439,product!A:A,product!E:E)</f>
        <v>1.98</v>
      </c>
      <c r="J3439" s="25">
        <f t="shared" si="2"/>
        <v>150.48</v>
      </c>
      <c r="K3439" s="27">
        <f t="shared" si="3"/>
        <v>1</v>
      </c>
      <c r="L3439" s="25">
        <f t="shared" si="4"/>
        <v>1</v>
      </c>
    </row>
    <row r="3440">
      <c r="A3440" s="19">
        <v>42198.0</v>
      </c>
      <c r="B3440" s="20" t="str">
        <f t="array" ref="B3440">xlookup($A3440,product!$A:$A,product!B:B)</f>
        <v>Epicerie sucrée</v>
      </c>
      <c r="C3440" s="20" t="str">
        <f t="array" ref="C3440">xlookup($A3440,product!$A:$A,product!C:C)</f>
        <v>Compote et dessert</v>
      </c>
      <c r="D3440" s="20" t="str">
        <f t="array" ref="D3440">xlookup($A3440,product!$A:$A,product!D:D)</f>
        <v>Compote et purée de fruit</v>
      </c>
      <c r="E3440" s="4" t="str">
        <f t="shared" si="1"/>
        <v>42198-Compote et dessert-Compote et purée de fruit</v>
      </c>
      <c r="F3440" s="4">
        <v>1.0</v>
      </c>
      <c r="G3440" s="4">
        <v>898.0</v>
      </c>
      <c r="H3440" s="4">
        <v>340.0</v>
      </c>
      <c r="I3440" s="21">
        <f t="array" ref="I3440">XLOOKUP($A3440,product!A:A,product!E:E)</f>
        <v>2.63</v>
      </c>
      <c r="J3440" s="4">
        <f t="shared" si="2"/>
        <v>894.2</v>
      </c>
      <c r="K3440" s="22">
        <f t="shared" si="3"/>
        <v>1</v>
      </c>
      <c r="L3440" s="4">
        <f t="shared" si="4"/>
        <v>1</v>
      </c>
    </row>
    <row r="3441">
      <c r="A3441" s="23">
        <v>46823.0</v>
      </c>
      <c r="B3441" s="24" t="str">
        <f t="array" ref="B3441">xlookup($A3441,product!$A:$A,product!B:B)</f>
        <v>Epicerie sucrée</v>
      </c>
      <c r="C3441" s="24" t="str">
        <f t="array" ref="C3441">xlookup($A3441,product!$A:$A,product!C:C)</f>
        <v>Compote et dessert</v>
      </c>
      <c r="D3441" s="24" t="str">
        <f t="array" ref="D3441">xlookup($A3441,product!$A:$A,product!D:D)</f>
        <v>Compote et purée de fruit</v>
      </c>
      <c r="E3441" s="25" t="str">
        <f t="shared" si="1"/>
        <v>46823-Compote et dessert-Compote et purée de fruit</v>
      </c>
      <c r="F3441" s="25">
        <v>0.0</v>
      </c>
      <c r="G3441" s="25">
        <v>170.0</v>
      </c>
      <c r="H3441" s="25">
        <v>102.0</v>
      </c>
      <c r="I3441" s="26">
        <f t="array" ref="I3441">XLOOKUP($A3441,product!A:A,product!E:E)</f>
        <v>2.68</v>
      </c>
      <c r="J3441" s="25">
        <f t="shared" si="2"/>
        <v>273.36</v>
      </c>
      <c r="K3441" s="27">
        <f t="shared" si="3"/>
        <v>1</v>
      </c>
      <c r="L3441" s="25">
        <f t="shared" si="4"/>
        <v>1</v>
      </c>
    </row>
    <row r="3442">
      <c r="A3442" s="19">
        <v>116196.0</v>
      </c>
      <c r="B3442" s="20" t="str">
        <f t="array" ref="B3442">xlookup($A3442,product!$A:$A,product!B:B)</f>
        <v>Epicerie sucrée</v>
      </c>
      <c r="C3442" s="20" t="str">
        <f t="array" ref="C3442">xlookup($A3442,product!$A:$A,product!C:C)</f>
        <v>Compote et dessert</v>
      </c>
      <c r="D3442" s="20" t="str">
        <f t="array" ref="D3442">xlookup($A3442,product!$A:$A,product!D:D)</f>
        <v>Compote et purée de fruit</v>
      </c>
      <c r="E3442" s="4" t="str">
        <f t="shared" si="1"/>
        <v>116196-Compote et dessert-Compote et purée de fruit</v>
      </c>
      <c r="F3442" s="4">
        <v>1.0</v>
      </c>
      <c r="G3442" s="4">
        <v>839.0</v>
      </c>
      <c r="H3442" s="4">
        <v>648.0</v>
      </c>
      <c r="I3442" s="21">
        <f t="array" ref="I3442">XLOOKUP($A3442,product!A:A,product!E:E)</f>
        <v>1.55</v>
      </c>
      <c r="J3442" s="4">
        <f t="shared" si="2"/>
        <v>1004.4</v>
      </c>
      <c r="K3442" s="22">
        <f t="shared" si="3"/>
        <v>1</v>
      </c>
      <c r="L3442" s="4">
        <f t="shared" si="4"/>
        <v>1</v>
      </c>
    </row>
    <row r="3443">
      <c r="A3443" s="23">
        <v>111177.0</v>
      </c>
      <c r="B3443" s="24" t="str">
        <f t="array" ref="B3443">xlookup($A3443,product!$A:$A,product!B:B)</f>
        <v>Epicerie sucrée</v>
      </c>
      <c r="C3443" s="24" t="str">
        <f t="array" ref="C3443">xlookup($A3443,product!$A:$A,product!C:C)</f>
        <v>Compote et dessert</v>
      </c>
      <c r="D3443" s="24" t="str">
        <f t="array" ref="D3443">xlookup($A3443,product!$A:$A,product!D:D)</f>
        <v>Compote et purée de fruit</v>
      </c>
      <c r="E3443" s="25" t="str">
        <f t="shared" si="1"/>
        <v>111177-Compote et dessert-Compote et purée de fruit</v>
      </c>
      <c r="F3443" s="25">
        <v>0.0</v>
      </c>
      <c r="G3443" s="25">
        <v>155.0</v>
      </c>
      <c r="H3443" s="25">
        <v>2.0</v>
      </c>
      <c r="I3443" s="26">
        <f t="array" ref="I3443">XLOOKUP($A3443,product!A:A,product!E:E)</f>
        <v>6.91</v>
      </c>
      <c r="J3443" s="25">
        <f t="shared" si="2"/>
        <v>13.82</v>
      </c>
      <c r="K3443" s="27">
        <f t="shared" si="3"/>
        <v>1</v>
      </c>
      <c r="L3443" s="25">
        <f t="shared" si="4"/>
        <v>1</v>
      </c>
    </row>
    <row r="3444">
      <c r="A3444" s="19">
        <v>70292.0</v>
      </c>
      <c r="B3444" s="20" t="str">
        <f t="array" ref="B3444">xlookup($A3444,product!$A:$A,product!B:B)</f>
        <v>Epicerie sucrée</v>
      </c>
      <c r="C3444" s="20" t="str">
        <f t="array" ref="C3444">xlookup($A3444,product!$A:$A,product!C:C)</f>
        <v>Compote et dessert</v>
      </c>
      <c r="D3444" s="20" t="str">
        <f t="array" ref="D3444">xlookup($A3444,product!$A:$A,product!D:D)</f>
        <v>Compote et purée de fruit</v>
      </c>
      <c r="E3444" s="4" t="str">
        <f t="shared" si="1"/>
        <v>70292-Compote et dessert-Compote et purée de fruit</v>
      </c>
      <c r="F3444" s="4">
        <v>1.0</v>
      </c>
      <c r="G3444" s="4">
        <v>100.0</v>
      </c>
      <c r="H3444" s="4">
        <v>87.0</v>
      </c>
      <c r="I3444" s="21">
        <f t="array" ref="I3444">XLOOKUP($A3444,product!A:A,product!E:E)</f>
        <v>5.39</v>
      </c>
      <c r="J3444" s="4">
        <f t="shared" si="2"/>
        <v>468.93</v>
      </c>
      <c r="K3444" s="22">
        <f t="shared" si="3"/>
        <v>1</v>
      </c>
      <c r="L3444" s="4">
        <f t="shared" si="4"/>
        <v>1</v>
      </c>
    </row>
    <row r="3445">
      <c r="A3445" s="23">
        <v>90008.0</v>
      </c>
      <c r="B3445" s="24" t="str">
        <f t="array" ref="B3445">xlookup($A3445,product!$A:$A,product!B:B)</f>
        <v>Epicerie sucrée</v>
      </c>
      <c r="C3445" s="24" t="str">
        <f t="array" ref="C3445">xlookup($A3445,product!$A:$A,product!C:C)</f>
        <v>Compote et dessert</v>
      </c>
      <c r="D3445" s="24" t="str">
        <f t="array" ref="D3445">xlookup($A3445,product!$A:$A,product!D:D)</f>
        <v>Compote et purée de fruit</v>
      </c>
      <c r="E3445" s="25" t="str">
        <f t="shared" si="1"/>
        <v>90008-Compote et dessert-Compote et purée de fruit</v>
      </c>
      <c r="F3445" s="25">
        <v>0.0</v>
      </c>
      <c r="G3445" s="25">
        <v>676.0</v>
      </c>
      <c r="H3445" s="25">
        <v>534.0</v>
      </c>
      <c r="I3445" s="26">
        <f t="array" ref="I3445">XLOOKUP($A3445,product!A:A,product!E:E)</f>
        <v>2.62</v>
      </c>
      <c r="J3445" s="25">
        <f t="shared" si="2"/>
        <v>1399.08</v>
      </c>
      <c r="K3445" s="27">
        <f t="shared" si="3"/>
        <v>1</v>
      </c>
      <c r="L3445" s="25">
        <f t="shared" si="4"/>
        <v>1</v>
      </c>
    </row>
    <row r="3446">
      <c r="A3446" s="19">
        <v>71768.0</v>
      </c>
      <c r="B3446" s="20" t="str">
        <f t="array" ref="B3446">xlookup($A3446,product!$A:$A,product!B:B)</f>
        <v>Epicerie sucrée</v>
      </c>
      <c r="C3446" s="20" t="str">
        <f t="array" ref="C3446">xlookup($A3446,product!$A:$A,product!C:C)</f>
        <v>Compote et dessert</v>
      </c>
      <c r="D3446" s="20" t="str">
        <f t="array" ref="D3446">xlookup($A3446,product!$A:$A,product!D:D)</f>
        <v>Compote et purée de fruit</v>
      </c>
      <c r="E3446" s="4" t="str">
        <f t="shared" si="1"/>
        <v>71768-Compote et dessert-Compote et purée de fruit</v>
      </c>
      <c r="F3446" s="4">
        <v>1.0</v>
      </c>
      <c r="G3446" s="4">
        <v>842.0</v>
      </c>
      <c r="H3446" s="4">
        <v>464.0</v>
      </c>
      <c r="I3446" s="21">
        <f t="array" ref="I3446">XLOOKUP($A3446,product!A:A,product!E:E)</f>
        <v>2.22</v>
      </c>
      <c r="J3446" s="4">
        <f t="shared" si="2"/>
        <v>1030.08</v>
      </c>
      <c r="K3446" s="22">
        <f t="shared" si="3"/>
        <v>1</v>
      </c>
      <c r="L3446" s="4">
        <f t="shared" si="4"/>
        <v>1</v>
      </c>
    </row>
    <row r="3447">
      <c r="A3447" s="23">
        <v>86972.0</v>
      </c>
      <c r="B3447" s="24" t="str">
        <f t="array" ref="B3447">xlookup($A3447,product!$A:$A,product!B:B)</f>
        <v>Epicerie sucrée</v>
      </c>
      <c r="C3447" s="24" t="str">
        <f t="array" ref="C3447">xlookup($A3447,product!$A:$A,product!C:C)</f>
        <v>Compote et dessert</v>
      </c>
      <c r="D3447" s="24" t="str">
        <f t="array" ref="D3447">xlookup($A3447,product!$A:$A,product!D:D)</f>
        <v>Compote et purée de fruit</v>
      </c>
      <c r="E3447" s="25" t="str">
        <f t="shared" si="1"/>
        <v>86972-Compote et dessert-Compote et purée de fruit</v>
      </c>
      <c r="F3447" s="25">
        <v>1.0</v>
      </c>
      <c r="G3447" s="25">
        <v>547.0</v>
      </c>
      <c r="H3447" s="25">
        <v>386.0</v>
      </c>
      <c r="I3447" s="26">
        <f t="array" ref="I3447">XLOOKUP($A3447,product!A:A,product!E:E)</f>
        <v>2.07</v>
      </c>
      <c r="J3447" s="25">
        <f t="shared" si="2"/>
        <v>799.02</v>
      </c>
      <c r="K3447" s="27">
        <f t="shared" si="3"/>
        <v>1</v>
      </c>
      <c r="L3447" s="25">
        <f t="shared" si="4"/>
        <v>1</v>
      </c>
    </row>
    <row r="3448">
      <c r="A3448" s="19">
        <v>111179.0</v>
      </c>
      <c r="B3448" s="20" t="str">
        <f t="array" ref="B3448">xlookup($A3448,product!$A:$A,product!B:B)</f>
        <v>Epicerie sucrée</v>
      </c>
      <c r="C3448" s="20" t="str">
        <f t="array" ref="C3448">xlookup($A3448,product!$A:$A,product!C:C)</f>
        <v>Compote et dessert</v>
      </c>
      <c r="D3448" s="20" t="str">
        <f t="array" ref="D3448">xlookup($A3448,product!$A:$A,product!D:D)</f>
        <v>Compote et purée de fruit</v>
      </c>
      <c r="E3448" s="4" t="str">
        <f t="shared" si="1"/>
        <v>111179-Compote et dessert-Compote et purée de fruit</v>
      </c>
      <c r="F3448" s="4">
        <v>0.0</v>
      </c>
      <c r="G3448" s="4">
        <v>589.0</v>
      </c>
      <c r="H3448" s="4">
        <v>131.0</v>
      </c>
      <c r="I3448" s="21">
        <f t="array" ref="I3448">XLOOKUP($A3448,product!A:A,product!E:E)</f>
        <v>8.52</v>
      </c>
      <c r="J3448" s="4">
        <f t="shared" si="2"/>
        <v>1116.12</v>
      </c>
      <c r="K3448" s="22">
        <f t="shared" si="3"/>
        <v>1</v>
      </c>
      <c r="L3448" s="4">
        <f t="shared" si="4"/>
        <v>1</v>
      </c>
    </row>
    <row r="3449">
      <c r="A3449" s="23">
        <v>81726.0</v>
      </c>
      <c r="B3449" s="24" t="str">
        <f t="array" ref="B3449">xlookup($A3449,product!$A:$A,product!B:B)</f>
        <v>Epicerie sucrée</v>
      </c>
      <c r="C3449" s="24" t="str">
        <f t="array" ref="C3449">xlookup($A3449,product!$A:$A,product!C:C)</f>
        <v>Compote et dessert</v>
      </c>
      <c r="D3449" s="24" t="str">
        <f t="array" ref="D3449">xlookup($A3449,product!$A:$A,product!D:D)</f>
        <v>Compote et purée de fruit</v>
      </c>
      <c r="E3449" s="25" t="str">
        <f t="shared" si="1"/>
        <v>81726-Compote et dessert-Compote et purée de fruit</v>
      </c>
      <c r="F3449" s="25">
        <v>0.0</v>
      </c>
      <c r="G3449" s="25">
        <v>815.0</v>
      </c>
      <c r="H3449" s="25">
        <v>81.0</v>
      </c>
      <c r="I3449" s="26">
        <f t="array" ref="I3449">XLOOKUP($A3449,product!A:A,product!E:E)</f>
        <v>1.73</v>
      </c>
      <c r="J3449" s="25">
        <f t="shared" si="2"/>
        <v>140.13</v>
      </c>
      <c r="K3449" s="27">
        <f t="shared" si="3"/>
        <v>1</v>
      </c>
      <c r="L3449" s="25">
        <f t="shared" si="4"/>
        <v>1</v>
      </c>
    </row>
    <row r="3450">
      <c r="A3450" s="19">
        <v>28535.0</v>
      </c>
      <c r="B3450" s="20" t="str">
        <f t="array" ref="B3450">xlookup($A3450,product!$A:$A,product!B:B)</f>
        <v>Epicerie sucrée</v>
      </c>
      <c r="C3450" s="20" t="str">
        <f t="array" ref="C3450">xlookup($A3450,product!$A:$A,product!C:C)</f>
        <v>Compote et dessert</v>
      </c>
      <c r="D3450" s="20" t="str">
        <f t="array" ref="D3450">xlookup($A3450,product!$A:$A,product!D:D)</f>
        <v>Compote et purée de fruit</v>
      </c>
      <c r="E3450" s="4" t="str">
        <f t="shared" si="1"/>
        <v>28535-Compote et dessert-Compote et purée de fruit</v>
      </c>
      <c r="F3450" s="4">
        <v>1.0</v>
      </c>
      <c r="G3450" s="4">
        <v>783.0</v>
      </c>
      <c r="H3450" s="4">
        <v>751.0</v>
      </c>
      <c r="I3450" s="21">
        <f t="array" ref="I3450">XLOOKUP($A3450,product!A:A,product!E:E)</f>
        <v>5.39</v>
      </c>
      <c r="J3450" s="4">
        <f t="shared" si="2"/>
        <v>4047.89</v>
      </c>
      <c r="K3450" s="22">
        <f t="shared" si="3"/>
        <v>1</v>
      </c>
      <c r="L3450" s="4">
        <f t="shared" si="4"/>
        <v>1</v>
      </c>
    </row>
    <row r="3451">
      <c r="A3451" s="23">
        <v>80682.0</v>
      </c>
      <c r="B3451" s="24" t="str">
        <f t="array" ref="B3451">xlookup($A3451,product!$A:$A,product!B:B)</f>
        <v>Epicerie sucrée</v>
      </c>
      <c r="C3451" s="24" t="str">
        <f t="array" ref="C3451">xlookup($A3451,product!$A:$A,product!C:C)</f>
        <v>Compote et dessert</v>
      </c>
      <c r="D3451" s="24" t="str">
        <f t="array" ref="D3451">xlookup($A3451,product!$A:$A,product!D:D)</f>
        <v>Compote et purée de fruit</v>
      </c>
      <c r="E3451" s="25" t="str">
        <f t="shared" si="1"/>
        <v>80682-Compote et dessert-Compote et purée de fruit</v>
      </c>
      <c r="F3451" s="25">
        <v>0.0</v>
      </c>
      <c r="G3451" s="25">
        <v>833.0</v>
      </c>
      <c r="H3451" s="25">
        <v>476.0</v>
      </c>
      <c r="I3451" s="26">
        <f t="array" ref="I3451">XLOOKUP($A3451,product!A:A,product!E:E)</f>
        <v>1.98</v>
      </c>
      <c r="J3451" s="25">
        <f t="shared" si="2"/>
        <v>942.48</v>
      </c>
      <c r="K3451" s="27">
        <f t="shared" si="3"/>
        <v>1</v>
      </c>
      <c r="L3451" s="25">
        <f t="shared" si="4"/>
        <v>1</v>
      </c>
    </row>
    <row r="3452">
      <c r="A3452" s="19">
        <v>144008.0</v>
      </c>
      <c r="B3452" s="20" t="str">
        <f t="array" ref="B3452">xlookup($A3452,product!$A:$A,product!B:B)</f>
        <v>Epicerie sucrée</v>
      </c>
      <c r="C3452" s="20" t="str">
        <f t="array" ref="C3452">xlookup($A3452,product!$A:$A,product!C:C)</f>
        <v>Compote et dessert</v>
      </c>
      <c r="D3452" s="20" t="str">
        <f t="array" ref="D3452">xlookup($A3452,product!$A:$A,product!D:D)</f>
        <v>Compote et purée de fruit</v>
      </c>
      <c r="E3452" s="4" t="str">
        <f t="shared" si="1"/>
        <v>144008-Compote et dessert-Compote et purée de fruit</v>
      </c>
      <c r="F3452" s="4">
        <v>0.0</v>
      </c>
      <c r="G3452" s="4">
        <v>933.0</v>
      </c>
      <c r="H3452" s="4">
        <v>344.0</v>
      </c>
      <c r="I3452" s="21">
        <f t="array" ref="I3452">XLOOKUP($A3452,product!A:A,product!E:E)</f>
        <v>2.26</v>
      </c>
      <c r="J3452" s="4">
        <f t="shared" si="2"/>
        <v>777.44</v>
      </c>
      <c r="K3452" s="22">
        <f t="shared" si="3"/>
        <v>1</v>
      </c>
      <c r="L3452" s="4">
        <f t="shared" si="4"/>
        <v>1</v>
      </c>
    </row>
    <row r="3453">
      <c r="A3453" s="23">
        <v>111129.0</v>
      </c>
      <c r="B3453" s="24" t="str">
        <f t="array" ref="B3453">xlookup($A3453,product!$A:$A,product!B:B)</f>
        <v>Epicerie sucrée</v>
      </c>
      <c r="C3453" s="24" t="str">
        <f t="array" ref="C3453">xlookup($A3453,product!$A:$A,product!C:C)</f>
        <v>Compote et dessert</v>
      </c>
      <c r="D3453" s="24" t="str">
        <f t="array" ref="D3453">xlookup($A3453,product!$A:$A,product!D:D)</f>
        <v>Compote et purée de fruit</v>
      </c>
      <c r="E3453" s="25" t="str">
        <f t="shared" si="1"/>
        <v>111129-Compote et dessert-Compote et purée de fruit</v>
      </c>
      <c r="F3453" s="25">
        <v>1.0</v>
      </c>
      <c r="G3453" s="25">
        <v>789.0</v>
      </c>
      <c r="H3453" s="25">
        <v>270.0</v>
      </c>
      <c r="I3453" s="26">
        <f t="array" ref="I3453">XLOOKUP($A3453,product!A:A,product!E:E)</f>
        <v>2.24</v>
      </c>
      <c r="J3453" s="25">
        <f t="shared" si="2"/>
        <v>604.8</v>
      </c>
      <c r="K3453" s="27">
        <f t="shared" si="3"/>
        <v>1</v>
      </c>
      <c r="L3453" s="25">
        <f t="shared" si="4"/>
        <v>1</v>
      </c>
    </row>
    <row r="3454">
      <c r="A3454" s="19">
        <v>107307.0</v>
      </c>
      <c r="B3454" s="20" t="str">
        <f t="array" ref="B3454">xlookup($A3454,product!$A:$A,product!B:B)</f>
        <v>Epicerie sucrée</v>
      </c>
      <c r="C3454" s="20" t="str">
        <f t="array" ref="C3454">xlookup($A3454,product!$A:$A,product!C:C)</f>
        <v>Compote et dessert</v>
      </c>
      <c r="D3454" s="20" t="str">
        <f t="array" ref="D3454">xlookup($A3454,product!$A:$A,product!D:D)</f>
        <v>Compote et purée de fruit</v>
      </c>
      <c r="E3454" s="4" t="str">
        <f t="shared" si="1"/>
        <v>107307-Compote et dessert-Compote et purée de fruit</v>
      </c>
      <c r="F3454" s="4">
        <v>1.0</v>
      </c>
      <c r="G3454" s="4">
        <v>578.0</v>
      </c>
      <c r="H3454" s="4">
        <v>330.0</v>
      </c>
      <c r="I3454" s="21">
        <f t="array" ref="I3454">XLOOKUP($A3454,product!A:A,product!E:E)</f>
        <v>3.44</v>
      </c>
      <c r="J3454" s="4">
        <f t="shared" si="2"/>
        <v>1135.2</v>
      </c>
      <c r="K3454" s="22">
        <f t="shared" si="3"/>
        <v>1</v>
      </c>
      <c r="L3454" s="4">
        <f t="shared" si="4"/>
        <v>1</v>
      </c>
    </row>
    <row r="3455">
      <c r="A3455" s="23">
        <v>70206.0</v>
      </c>
      <c r="B3455" s="24" t="str">
        <f t="array" ref="B3455">xlookup($A3455,product!$A:$A,product!B:B)</f>
        <v>Epicerie sucrée</v>
      </c>
      <c r="C3455" s="24" t="str">
        <f t="array" ref="C3455">xlookup($A3455,product!$A:$A,product!C:C)</f>
        <v>Compote et dessert</v>
      </c>
      <c r="D3455" s="24" t="str">
        <f t="array" ref="D3455">xlookup($A3455,product!$A:$A,product!D:D)</f>
        <v>Compote et purée de fruit</v>
      </c>
      <c r="E3455" s="25" t="str">
        <f t="shared" si="1"/>
        <v>70206-Compote et dessert-Compote et purée de fruit</v>
      </c>
      <c r="F3455" s="25">
        <v>0.0</v>
      </c>
      <c r="G3455" s="25">
        <v>863.0</v>
      </c>
      <c r="H3455" s="25">
        <v>834.0</v>
      </c>
      <c r="I3455" s="26">
        <f t="array" ref="I3455">XLOOKUP($A3455,product!A:A,product!E:E)</f>
        <v>4.14</v>
      </c>
      <c r="J3455" s="25">
        <f t="shared" si="2"/>
        <v>3452.76</v>
      </c>
      <c r="K3455" s="27">
        <f t="shared" si="3"/>
        <v>1</v>
      </c>
      <c r="L3455" s="25">
        <f t="shared" si="4"/>
        <v>1</v>
      </c>
    </row>
    <row r="3456">
      <c r="A3456" s="19">
        <v>107349.0</v>
      </c>
      <c r="B3456" s="20" t="str">
        <f t="array" ref="B3456">xlookup($A3456,product!$A:$A,product!B:B)</f>
        <v>Epicerie sucrée</v>
      </c>
      <c r="C3456" s="20" t="str">
        <f t="array" ref="C3456">xlookup($A3456,product!$A:$A,product!C:C)</f>
        <v>Compote et dessert</v>
      </c>
      <c r="D3456" s="20" t="str">
        <f t="array" ref="D3456">xlookup($A3456,product!$A:$A,product!D:D)</f>
        <v>Compote et purée de fruit</v>
      </c>
      <c r="E3456" s="4" t="str">
        <f t="shared" si="1"/>
        <v>107349-Compote et dessert-Compote et purée de fruit</v>
      </c>
      <c r="F3456" s="4">
        <v>0.0</v>
      </c>
      <c r="G3456" s="4">
        <v>435.0</v>
      </c>
      <c r="H3456" s="4">
        <v>137.0</v>
      </c>
      <c r="I3456" s="21">
        <f t="array" ref="I3456">XLOOKUP($A3456,product!A:A,product!E:E)</f>
        <v>2.18</v>
      </c>
      <c r="J3456" s="4">
        <f t="shared" si="2"/>
        <v>298.66</v>
      </c>
      <c r="K3456" s="22">
        <f t="shared" si="3"/>
        <v>1</v>
      </c>
      <c r="L3456" s="4">
        <f t="shared" si="4"/>
        <v>1</v>
      </c>
    </row>
    <row r="3457">
      <c r="A3457" s="23">
        <v>122231.0</v>
      </c>
      <c r="B3457" s="24" t="str">
        <f t="array" ref="B3457">xlookup($A3457,product!$A:$A,product!B:B)</f>
        <v>Epicerie sucrée</v>
      </c>
      <c r="C3457" s="24" t="str">
        <f t="array" ref="C3457">xlookup($A3457,product!$A:$A,product!C:C)</f>
        <v>Compote et dessert</v>
      </c>
      <c r="D3457" s="24" t="str">
        <f t="array" ref="D3457">xlookup($A3457,product!$A:$A,product!D:D)</f>
        <v>Compote et purée de fruit</v>
      </c>
      <c r="E3457" s="25" t="str">
        <f t="shared" si="1"/>
        <v>122231-Compote et dessert-Compote et purée de fruit</v>
      </c>
      <c r="F3457" s="25">
        <v>0.0</v>
      </c>
      <c r="G3457" s="25">
        <v>3.0</v>
      </c>
      <c r="H3457" s="25">
        <v>1.0</v>
      </c>
      <c r="I3457" s="26">
        <f t="array" ref="I3457">XLOOKUP($A3457,product!A:A,product!E:E)</f>
        <v>2.62</v>
      </c>
      <c r="J3457" s="25">
        <f t="shared" si="2"/>
        <v>2.62</v>
      </c>
      <c r="K3457" s="27">
        <f t="shared" si="3"/>
        <v>1</v>
      </c>
      <c r="L3457" s="25">
        <f t="shared" si="4"/>
        <v>1</v>
      </c>
    </row>
    <row r="3458">
      <c r="A3458" s="19">
        <v>103458.0</v>
      </c>
      <c r="B3458" s="20" t="str">
        <f t="array" ref="B3458">xlookup($A3458,product!$A:$A,product!B:B)</f>
        <v>Epicerie sucrée</v>
      </c>
      <c r="C3458" s="20" t="str">
        <f t="array" ref="C3458">xlookup($A3458,product!$A:$A,product!C:C)</f>
        <v>Compote et dessert</v>
      </c>
      <c r="D3458" s="20" t="str">
        <f t="array" ref="D3458">xlookup($A3458,product!$A:$A,product!D:D)</f>
        <v>Compote et purée de fruit</v>
      </c>
      <c r="E3458" s="4" t="str">
        <f t="shared" si="1"/>
        <v>103458-Compote et dessert-Compote et purée de fruit</v>
      </c>
      <c r="F3458" s="4">
        <v>0.0</v>
      </c>
      <c r="G3458" s="4">
        <v>963.0</v>
      </c>
      <c r="H3458" s="4">
        <v>19.0</v>
      </c>
      <c r="I3458" s="21">
        <f t="array" ref="I3458">XLOOKUP($A3458,product!A:A,product!E:E)</f>
        <v>5.39</v>
      </c>
      <c r="J3458" s="4">
        <f t="shared" si="2"/>
        <v>102.41</v>
      </c>
      <c r="K3458" s="22">
        <f t="shared" si="3"/>
        <v>1</v>
      </c>
      <c r="L3458" s="4">
        <f t="shared" si="4"/>
        <v>1</v>
      </c>
    </row>
    <row r="3459">
      <c r="A3459" s="23">
        <v>71838.0</v>
      </c>
      <c r="B3459" s="24" t="str">
        <f t="array" ref="B3459">xlookup($A3459,product!$A:$A,product!B:B)</f>
        <v>Epicerie sucrée</v>
      </c>
      <c r="C3459" s="24" t="str">
        <f t="array" ref="C3459">xlookup($A3459,product!$A:$A,product!C:C)</f>
        <v>Compote et dessert</v>
      </c>
      <c r="D3459" s="24" t="str">
        <f t="array" ref="D3459">xlookup($A3459,product!$A:$A,product!D:D)</f>
        <v>Compote et purée de fruit</v>
      </c>
      <c r="E3459" s="25" t="str">
        <f t="shared" si="1"/>
        <v>71838-Compote et dessert-Compote et purée de fruit</v>
      </c>
      <c r="F3459" s="25">
        <v>0.0</v>
      </c>
      <c r="G3459" s="25">
        <v>858.0</v>
      </c>
      <c r="H3459" s="25">
        <v>179.0</v>
      </c>
      <c r="I3459" s="26">
        <f t="array" ref="I3459">XLOOKUP($A3459,product!A:A,product!E:E)</f>
        <v>2.86</v>
      </c>
      <c r="J3459" s="25">
        <f t="shared" si="2"/>
        <v>511.94</v>
      </c>
      <c r="K3459" s="27">
        <f t="shared" si="3"/>
        <v>1</v>
      </c>
      <c r="L3459" s="25">
        <f t="shared" si="4"/>
        <v>1</v>
      </c>
    </row>
    <row r="3460">
      <c r="A3460" s="19">
        <v>104671.0</v>
      </c>
      <c r="B3460" s="20" t="str">
        <f t="array" ref="B3460">xlookup($A3460,product!$A:$A,product!B:B)</f>
        <v>Epicerie sucrée</v>
      </c>
      <c r="C3460" s="20" t="str">
        <f t="array" ref="C3460">xlookup($A3460,product!$A:$A,product!C:C)</f>
        <v>Compote et dessert</v>
      </c>
      <c r="D3460" s="20" t="str">
        <f t="array" ref="D3460">xlookup($A3460,product!$A:$A,product!D:D)</f>
        <v>Compote et purée de fruit</v>
      </c>
      <c r="E3460" s="4" t="str">
        <f t="shared" si="1"/>
        <v>104671-Compote et dessert-Compote et purée de fruit</v>
      </c>
      <c r="F3460" s="4">
        <v>1.0</v>
      </c>
      <c r="G3460" s="4">
        <v>652.0</v>
      </c>
      <c r="H3460" s="4">
        <v>42.0</v>
      </c>
      <c r="I3460" s="21">
        <f t="array" ref="I3460">XLOOKUP($A3460,product!A:A,product!E:E)</f>
        <v>2.58</v>
      </c>
      <c r="J3460" s="4">
        <f t="shared" si="2"/>
        <v>108.36</v>
      </c>
      <c r="K3460" s="22">
        <f t="shared" si="3"/>
        <v>1</v>
      </c>
      <c r="L3460" s="4">
        <f t="shared" si="4"/>
        <v>1</v>
      </c>
    </row>
    <row r="3461">
      <c r="A3461" s="23">
        <v>83793.0</v>
      </c>
      <c r="B3461" s="24" t="str">
        <f t="array" ref="B3461">xlookup($A3461,product!$A:$A,product!B:B)</f>
        <v>Epicerie sucrée</v>
      </c>
      <c r="C3461" s="24" t="str">
        <f t="array" ref="C3461">xlookup($A3461,product!$A:$A,product!C:C)</f>
        <v>Compote et dessert</v>
      </c>
      <c r="D3461" s="24" t="str">
        <f t="array" ref="D3461">xlookup($A3461,product!$A:$A,product!D:D)</f>
        <v>Compote et purée de fruit</v>
      </c>
      <c r="E3461" s="25" t="str">
        <f t="shared" si="1"/>
        <v>83793-Compote et dessert-Compote et purée de fruit</v>
      </c>
      <c r="F3461" s="25">
        <v>1.0</v>
      </c>
      <c r="G3461" s="25">
        <v>772.0</v>
      </c>
      <c r="H3461" s="25">
        <v>397.0</v>
      </c>
      <c r="I3461" s="26">
        <f t="array" ref="I3461">XLOOKUP($A3461,product!A:A,product!E:E)</f>
        <v>1.97</v>
      </c>
      <c r="J3461" s="25">
        <f t="shared" si="2"/>
        <v>782.09</v>
      </c>
      <c r="K3461" s="27">
        <f t="shared" si="3"/>
        <v>1</v>
      </c>
      <c r="L3461" s="25">
        <f t="shared" si="4"/>
        <v>1</v>
      </c>
    </row>
    <row r="3462">
      <c r="A3462" s="19">
        <v>50478.0</v>
      </c>
      <c r="B3462" s="20" t="str">
        <f t="array" ref="B3462">xlookup($A3462,product!$A:$A,product!B:B)</f>
        <v>Epicerie sucrée</v>
      </c>
      <c r="C3462" s="20" t="str">
        <f t="array" ref="C3462">xlookup($A3462,product!$A:$A,product!C:C)</f>
        <v>Compote et dessert</v>
      </c>
      <c r="D3462" s="20" t="str">
        <f t="array" ref="D3462">xlookup($A3462,product!$A:$A,product!D:D)</f>
        <v>Compote et purée de fruit</v>
      </c>
      <c r="E3462" s="4" t="str">
        <f t="shared" si="1"/>
        <v>50478-Compote et dessert-Compote et purée de fruit</v>
      </c>
      <c r="F3462" s="4">
        <v>0.0</v>
      </c>
      <c r="G3462" s="4">
        <v>375.0</v>
      </c>
      <c r="H3462" s="4">
        <v>48.0</v>
      </c>
      <c r="I3462" s="21">
        <f t="array" ref="I3462">XLOOKUP($A3462,product!A:A,product!E:E)</f>
        <v>1.64</v>
      </c>
      <c r="J3462" s="4">
        <f t="shared" si="2"/>
        <v>78.72</v>
      </c>
      <c r="K3462" s="22">
        <f t="shared" si="3"/>
        <v>1</v>
      </c>
      <c r="L3462" s="4">
        <f t="shared" si="4"/>
        <v>1</v>
      </c>
    </row>
    <row r="3463">
      <c r="A3463" s="23">
        <v>118891.0</v>
      </c>
      <c r="B3463" s="24" t="str">
        <f t="array" ref="B3463">xlookup($A3463,product!$A:$A,product!B:B)</f>
        <v>Epicerie sucrée</v>
      </c>
      <c r="C3463" s="24" t="str">
        <f t="array" ref="C3463">xlookup($A3463,product!$A:$A,product!C:C)</f>
        <v>Compote et dessert</v>
      </c>
      <c r="D3463" s="24" t="str">
        <f t="array" ref="D3463">xlookup($A3463,product!$A:$A,product!D:D)</f>
        <v>Compote et purée de fruit</v>
      </c>
      <c r="E3463" s="25" t="str">
        <f t="shared" si="1"/>
        <v>118891-Compote et dessert-Compote et purée de fruit</v>
      </c>
      <c r="F3463" s="25">
        <v>0.0</v>
      </c>
      <c r="G3463" s="25">
        <v>403.0</v>
      </c>
      <c r="H3463" s="25">
        <v>163.0</v>
      </c>
      <c r="I3463" s="26">
        <f t="array" ref="I3463">XLOOKUP($A3463,product!A:A,product!E:E)</f>
        <v>1.67</v>
      </c>
      <c r="J3463" s="25">
        <f t="shared" si="2"/>
        <v>272.21</v>
      </c>
      <c r="K3463" s="27">
        <f t="shared" si="3"/>
        <v>1</v>
      </c>
      <c r="L3463" s="25">
        <f t="shared" si="4"/>
        <v>1</v>
      </c>
    </row>
    <row r="3464">
      <c r="A3464" s="19">
        <v>70440.0</v>
      </c>
      <c r="B3464" s="20" t="str">
        <f t="array" ref="B3464">xlookup($A3464,product!$A:$A,product!B:B)</f>
        <v>Epicerie sucrée</v>
      </c>
      <c r="C3464" s="20" t="str">
        <f t="array" ref="C3464">xlookup($A3464,product!$A:$A,product!C:C)</f>
        <v>Compote et dessert</v>
      </c>
      <c r="D3464" s="20" t="str">
        <f t="array" ref="D3464">xlookup($A3464,product!$A:$A,product!D:D)</f>
        <v>Compote et purée de fruit</v>
      </c>
      <c r="E3464" s="4" t="str">
        <f t="shared" si="1"/>
        <v>70440-Compote et dessert-Compote et purée de fruit</v>
      </c>
      <c r="F3464" s="4">
        <v>0.0</v>
      </c>
      <c r="G3464" s="4">
        <v>373.0</v>
      </c>
      <c r="H3464" s="4">
        <v>350.0</v>
      </c>
      <c r="I3464" s="21">
        <f t="array" ref="I3464">XLOOKUP($A3464,product!A:A,product!E:E)</f>
        <v>3.28</v>
      </c>
      <c r="J3464" s="4">
        <f t="shared" si="2"/>
        <v>1148</v>
      </c>
      <c r="K3464" s="22">
        <f t="shared" si="3"/>
        <v>1</v>
      </c>
      <c r="L3464" s="4">
        <f t="shared" si="4"/>
        <v>1</v>
      </c>
    </row>
    <row r="3465">
      <c r="A3465" s="23">
        <v>44840.0</v>
      </c>
      <c r="B3465" s="24" t="str">
        <f t="array" ref="B3465">xlookup($A3465,product!$A:$A,product!B:B)</f>
        <v>Epicerie sucrée</v>
      </c>
      <c r="C3465" s="24" t="str">
        <f t="array" ref="C3465">xlookup($A3465,product!$A:$A,product!C:C)</f>
        <v>Compote et dessert</v>
      </c>
      <c r="D3465" s="24" t="str">
        <f t="array" ref="D3465">xlookup($A3465,product!$A:$A,product!D:D)</f>
        <v>Compote et purée de fruit</v>
      </c>
      <c r="E3465" s="25" t="str">
        <f t="shared" si="1"/>
        <v>44840-Compote et dessert-Compote et purée de fruit</v>
      </c>
      <c r="F3465" s="25">
        <v>1.0</v>
      </c>
      <c r="G3465" s="25">
        <v>256.0</v>
      </c>
      <c r="H3465" s="25">
        <v>195.0</v>
      </c>
      <c r="I3465" s="26">
        <f t="array" ref="I3465">XLOOKUP($A3465,product!A:A,product!E:E)</f>
        <v>1.98</v>
      </c>
      <c r="J3465" s="25">
        <f t="shared" si="2"/>
        <v>386.1</v>
      </c>
      <c r="K3465" s="27">
        <f t="shared" si="3"/>
        <v>1</v>
      </c>
      <c r="L3465" s="25">
        <f t="shared" si="4"/>
        <v>1</v>
      </c>
    </row>
    <row r="3466">
      <c r="A3466" s="19">
        <v>107304.0</v>
      </c>
      <c r="B3466" s="20" t="str">
        <f t="array" ref="B3466">xlookup($A3466,product!$A:$A,product!B:B)</f>
        <v>Epicerie sucrée</v>
      </c>
      <c r="C3466" s="20" t="str">
        <f t="array" ref="C3466">xlookup($A3466,product!$A:$A,product!C:C)</f>
        <v>Compote et dessert</v>
      </c>
      <c r="D3466" s="20" t="str">
        <f t="array" ref="D3466">xlookup($A3466,product!$A:$A,product!D:D)</f>
        <v>Compote et purée de fruit</v>
      </c>
      <c r="E3466" s="4" t="str">
        <f t="shared" si="1"/>
        <v>107304-Compote et dessert-Compote et purée de fruit</v>
      </c>
      <c r="F3466" s="4">
        <v>0.0</v>
      </c>
      <c r="G3466" s="4">
        <v>82.0</v>
      </c>
      <c r="H3466" s="4">
        <v>10.0</v>
      </c>
      <c r="I3466" s="21">
        <f t="array" ref="I3466">XLOOKUP($A3466,product!A:A,product!E:E)</f>
        <v>3.23</v>
      </c>
      <c r="J3466" s="4">
        <f t="shared" si="2"/>
        <v>32.3</v>
      </c>
      <c r="K3466" s="22">
        <f t="shared" si="3"/>
        <v>1</v>
      </c>
      <c r="L3466" s="4">
        <f t="shared" si="4"/>
        <v>1</v>
      </c>
    </row>
    <row r="3467">
      <c r="A3467" s="23">
        <v>116195.0</v>
      </c>
      <c r="B3467" s="24" t="str">
        <f t="array" ref="B3467">xlookup($A3467,product!$A:$A,product!B:B)</f>
        <v>Epicerie sucrée</v>
      </c>
      <c r="C3467" s="24" t="str">
        <f t="array" ref="C3467">xlookup($A3467,product!$A:$A,product!C:C)</f>
        <v>Compote et dessert</v>
      </c>
      <c r="D3467" s="24" t="str">
        <f t="array" ref="D3467">xlookup($A3467,product!$A:$A,product!D:D)</f>
        <v>Compote et purée de fruit</v>
      </c>
      <c r="E3467" s="25" t="str">
        <f t="shared" si="1"/>
        <v>116195-Compote et dessert-Compote et purée de fruit</v>
      </c>
      <c r="F3467" s="25">
        <v>1.0</v>
      </c>
      <c r="G3467" s="25">
        <v>435.0</v>
      </c>
      <c r="H3467" s="25">
        <v>223.0</v>
      </c>
      <c r="I3467" s="26">
        <f t="array" ref="I3467">XLOOKUP($A3467,product!A:A,product!E:E)</f>
        <v>1.55</v>
      </c>
      <c r="J3467" s="25">
        <f t="shared" si="2"/>
        <v>345.65</v>
      </c>
      <c r="K3467" s="27">
        <f t="shared" si="3"/>
        <v>1</v>
      </c>
      <c r="L3467" s="25">
        <f t="shared" si="4"/>
        <v>1</v>
      </c>
    </row>
    <row r="3468">
      <c r="A3468" s="19">
        <v>86980.0</v>
      </c>
      <c r="B3468" s="20" t="str">
        <f t="array" ref="B3468">xlookup($A3468,product!$A:$A,product!B:B)</f>
        <v>Epicerie sucrée</v>
      </c>
      <c r="C3468" s="20" t="str">
        <f t="array" ref="C3468">xlookup($A3468,product!$A:$A,product!C:C)</f>
        <v>Compote et dessert</v>
      </c>
      <c r="D3468" s="20" t="str">
        <f t="array" ref="D3468">xlookup($A3468,product!$A:$A,product!D:D)</f>
        <v>Compote et purée de fruit</v>
      </c>
      <c r="E3468" s="4" t="str">
        <f t="shared" si="1"/>
        <v>86980-Compote et dessert-Compote et purée de fruit</v>
      </c>
      <c r="F3468" s="4">
        <v>1.0</v>
      </c>
      <c r="G3468" s="4">
        <v>551.0</v>
      </c>
      <c r="H3468" s="4">
        <v>46.0</v>
      </c>
      <c r="I3468" s="21">
        <f t="array" ref="I3468">XLOOKUP($A3468,product!A:A,product!E:E)</f>
        <v>1.99</v>
      </c>
      <c r="J3468" s="4">
        <f t="shared" si="2"/>
        <v>91.54</v>
      </c>
      <c r="K3468" s="22">
        <f t="shared" si="3"/>
        <v>1</v>
      </c>
      <c r="L3468" s="4">
        <f t="shared" si="4"/>
        <v>1</v>
      </c>
    </row>
    <row r="3469">
      <c r="A3469" s="23">
        <v>122230.0</v>
      </c>
      <c r="B3469" s="24" t="str">
        <f t="array" ref="B3469">xlookup($A3469,product!$A:$A,product!B:B)</f>
        <v>Epicerie sucrée</v>
      </c>
      <c r="C3469" s="24" t="str">
        <f t="array" ref="C3469">xlookup($A3469,product!$A:$A,product!C:C)</f>
        <v>Compote et dessert</v>
      </c>
      <c r="D3469" s="24" t="str">
        <f t="array" ref="D3469">xlookup($A3469,product!$A:$A,product!D:D)</f>
        <v>Compote et purée de fruit</v>
      </c>
      <c r="E3469" s="25" t="str">
        <f t="shared" si="1"/>
        <v>122230-Compote et dessert-Compote et purée de fruit</v>
      </c>
      <c r="F3469" s="25">
        <v>0.0</v>
      </c>
      <c r="G3469" s="25">
        <v>32.0</v>
      </c>
      <c r="H3469" s="25">
        <v>5.0</v>
      </c>
      <c r="I3469" s="26">
        <f t="array" ref="I3469">XLOOKUP($A3469,product!A:A,product!E:E)</f>
        <v>1.98</v>
      </c>
      <c r="J3469" s="25">
        <f t="shared" si="2"/>
        <v>9.9</v>
      </c>
      <c r="K3469" s="27">
        <f t="shared" si="3"/>
        <v>1</v>
      </c>
      <c r="L3469" s="25">
        <f t="shared" si="4"/>
        <v>1</v>
      </c>
    </row>
    <row r="3470">
      <c r="A3470" s="19">
        <v>47602.0</v>
      </c>
      <c r="B3470" s="20" t="str">
        <f t="array" ref="B3470">xlookup($A3470,product!$A:$A,product!B:B)</f>
        <v>Epicerie sucrée</v>
      </c>
      <c r="C3470" s="20" t="str">
        <f t="array" ref="C3470">xlookup($A3470,product!$A:$A,product!C:C)</f>
        <v>Compote et dessert</v>
      </c>
      <c r="D3470" s="20" t="str">
        <f t="array" ref="D3470">xlookup($A3470,product!$A:$A,product!D:D)</f>
        <v>Compote et purée de fruit</v>
      </c>
      <c r="E3470" s="4" t="str">
        <f t="shared" si="1"/>
        <v>47602-Compote et dessert-Compote et purée de fruit</v>
      </c>
      <c r="F3470" s="4">
        <v>1.0</v>
      </c>
      <c r="G3470" s="4">
        <v>14.0</v>
      </c>
      <c r="H3470" s="4">
        <v>13.0</v>
      </c>
      <c r="I3470" s="21">
        <f t="array" ref="I3470">XLOOKUP($A3470,product!A:A,product!E:E)</f>
        <v>1.87</v>
      </c>
      <c r="J3470" s="4">
        <f t="shared" si="2"/>
        <v>24.31</v>
      </c>
      <c r="K3470" s="22">
        <f t="shared" si="3"/>
        <v>1</v>
      </c>
      <c r="L3470" s="4">
        <f t="shared" si="4"/>
        <v>1</v>
      </c>
    </row>
    <row r="3471">
      <c r="A3471" s="23">
        <v>42190.0</v>
      </c>
      <c r="B3471" s="24" t="str">
        <f t="array" ref="B3471">xlookup($A3471,product!$A:$A,product!B:B)</f>
        <v>Epicerie sucrée</v>
      </c>
      <c r="C3471" s="24" t="str">
        <f t="array" ref="C3471">xlookup($A3471,product!$A:$A,product!C:C)</f>
        <v>Compote et dessert</v>
      </c>
      <c r="D3471" s="24" t="str">
        <f t="array" ref="D3471">xlookup($A3471,product!$A:$A,product!D:D)</f>
        <v>Compote et purée de fruit</v>
      </c>
      <c r="E3471" s="25" t="str">
        <f t="shared" si="1"/>
        <v>42190-Compote et dessert-Compote et purée de fruit</v>
      </c>
      <c r="F3471" s="25">
        <v>0.0</v>
      </c>
      <c r="G3471" s="25">
        <v>400.0</v>
      </c>
      <c r="H3471" s="25">
        <v>232.0</v>
      </c>
      <c r="I3471" s="26">
        <f t="array" ref="I3471">XLOOKUP($A3471,product!A:A,product!E:E)</f>
        <v>2.26</v>
      </c>
      <c r="J3471" s="25">
        <f t="shared" si="2"/>
        <v>524.32</v>
      </c>
      <c r="K3471" s="27">
        <f t="shared" si="3"/>
        <v>1</v>
      </c>
      <c r="L3471" s="25">
        <f t="shared" si="4"/>
        <v>1</v>
      </c>
    </row>
    <row r="3472">
      <c r="A3472" s="19">
        <v>111130.0</v>
      </c>
      <c r="B3472" s="20" t="str">
        <f t="array" ref="B3472">xlookup($A3472,product!$A:$A,product!B:B)</f>
        <v>Epicerie sucrée</v>
      </c>
      <c r="C3472" s="20" t="str">
        <f t="array" ref="C3472">xlookup($A3472,product!$A:$A,product!C:C)</f>
        <v>Compote et dessert</v>
      </c>
      <c r="D3472" s="20" t="str">
        <f t="array" ref="D3472">xlookup($A3472,product!$A:$A,product!D:D)</f>
        <v>Compote et purée de fruit</v>
      </c>
      <c r="E3472" s="4" t="str">
        <f t="shared" si="1"/>
        <v>111130-Compote et dessert-Compote et purée de fruit</v>
      </c>
      <c r="F3472" s="4">
        <v>1.0</v>
      </c>
      <c r="G3472" s="4">
        <v>797.0</v>
      </c>
      <c r="H3472" s="4">
        <v>375.0</v>
      </c>
      <c r="I3472" s="21">
        <f t="array" ref="I3472">XLOOKUP($A3472,product!A:A,product!E:E)</f>
        <v>2.77</v>
      </c>
      <c r="J3472" s="4">
        <f t="shared" si="2"/>
        <v>1038.75</v>
      </c>
      <c r="K3472" s="22">
        <f t="shared" si="3"/>
        <v>1</v>
      </c>
      <c r="L3472" s="4">
        <f t="shared" si="4"/>
        <v>1</v>
      </c>
    </row>
    <row r="3473">
      <c r="A3473" s="23">
        <v>71774.0</v>
      </c>
      <c r="B3473" s="24" t="str">
        <f t="array" ref="B3473">xlookup($A3473,product!$A:$A,product!B:B)</f>
        <v>Epicerie sucrée</v>
      </c>
      <c r="C3473" s="24" t="str">
        <f t="array" ref="C3473">xlookup($A3473,product!$A:$A,product!C:C)</f>
        <v>Compote et dessert</v>
      </c>
      <c r="D3473" s="24" t="str">
        <f t="array" ref="D3473">xlookup($A3473,product!$A:$A,product!D:D)</f>
        <v>Compote et purée de fruit</v>
      </c>
      <c r="E3473" s="25" t="str">
        <f t="shared" si="1"/>
        <v>71774-Compote et dessert-Compote et purée de fruit</v>
      </c>
      <c r="F3473" s="25">
        <v>0.0</v>
      </c>
      <c r="G3473" s="25">
        <v>930.0</v>
      </c>
      <c r="H3473" s="25">
        <v>483.0</v>
      </c>
      <c r="I3473" s="26">
        <f t="array" ref="I3473">XLOOKUP($A3473,product!A:A,product!E:E)</f>
        <v>2.92</v>
      </c>
      <c r="J3473" s="25">
        <f t="shared" si="2"/>
        <v>1410.36</v>
      </c>
      <c r="K3473" s="27">
        <f t="shared" si="3"/>
        <v>1</v>
      </c>
      <c r="L3473" s="25">
        <f t="shared" si="4"/>
        <v>1</v>
      </c>
    </row>
    <row r="3474">
      <c r="A3474" s="19">
        <v>75010.0</v>
      </c>
      <c r="B3474" s="20" t="str">
        <f t="array" ref="B3474">xlookup($A3474,product!$A:$A,product!B:B)</f>
        <v>Epicerie sucrée</v>
      </c>
      <c r="C3474" s="20" t="str">
        <f t="array" ref="C3474">xlookup($A3474,product!$A:$A,product!C:C)</f>
        <v>Compote et dessert</v>
      </c>
      <c r="D3474" s="20" t="str">
        <f t="array" ref="D3474">xlookup($A3474,product!$A:$A,product!D:D)</f>
        <v>Compote et purée de fruit</v>
      </c>
      <c r="E3474" s="4" t="str">
        <f t="shared" si="1"/>
        <v>75010-Compote et dessert-Compote et purée de fruit</v>
      </c>
      <c r="F3474" s="4">
        <v>1.0</v>
      </c>
      <c r="G3474" s="4">
        <v>980.0</v>
      </c>
      <c r="H3474" s="4">
        <v>872.0</v>
      </c>
      <c r="I3474" s="21">
        <f t="array" ref="I3474">XLOOKUP($A3474,product!A:A,product!E:E)</f>
        <v>3.19</v>
      </c>
      <c r="J3474" s="4">
        <f t="shared" si="2"/>
        <v>2781.68</v>
      </c>
      <c r="K3474" s="22">
        <f t="shared" si="3"/>
        <v>1</v>
      </c>
      <c r="L3474" s="4">
        <f t="shared" si="4"/>
        <v>1</v>
      </c>
    </row>
    <row r="3475">
      <c r="A3475" s="23">
        <v>119276.0</v>
      </c>
      <c r="B3475" s="24" t="str">
        <f t="array" ref="B3475">xlookup($A3475,product!$A:$A,product!B:B)</f>
        <v>Epicerie sucrée</v>
      </c>
      <c r="C3475" s="24" t="str">
        <f t="array" ref="C3475">xlookup($A3475,product!$A:$A,product!C:C)</f>
        <v>Compote et dessert</v>
      </c>
      <c r="D3475" s="24" t="str">
        <f t="array" ref="D3475">xlookup($A3475,product!$A:$A,product!D:D)</f>
        <v>Compote et purée de fruit</v>
      </c>
      <c r="E3475" s="25" t="str">
        <f t="shared" si="1"/>
        <v>119276-Compote et dessert-Compote et purée de fruit</v>
      </c>
      <c r="F3475" s="25">
        <v>1.0</v>
      </c>
      <c r="G3475" s="25">
        <v>13.0</v>
      </c>
      <c r="H3475" s="25">
        <v>0.0</v>
      </c>
      <c r="I3475" s="26">
        <f t="array" ref="I3475">XLOOKUP($A3475,product!A:A,product!E:E)</f>
        <v>2.81</v>
      </c>
      <c r="J3475" s="25">
        <f t="shared" si="2"/>
        <v>0</v>
      </c>
      <c r="K3475" s="27">
        <f t="shared" si="3"/>
        <v>0</v>
      </c>
      <c r="L3475" s="25">
        <f t="shared" si="4"/>
        <v>1</v>
      </c>
    </row>
    <row r="3476">
      <c r="A3476" s="19">
        <v>83789.0</v>
      </c>
      <c r="B3476" s="20" t="str">
        <f t="array" ref="B3476">xlookup($A3476,product!$A:$A,product!B:B)</f>
        <v>Epicerie sucrée</v>
      </c>
      <c r="C3476" s="20" t="str">
        <f t="array" ref="C3476">xlookup($A3476,product!$A:$A,product!C:C)</f>
        <v>Compote et dessert</v>
      </c>
      <c r="D3476" s="20" t="str">
        <f t="array" ref="D3476">xlookup($A3476,product!$A:$A,product!D:D)</f>
        <v>Compote et purée de fruit</v>
      </c>
      <c r="E3476" s="4" t="str">
        <f t="shared" si="1"/>
        <v>83789-Compote et dessert-Compote et purée de fruit</v>
      </c>
      <c r="F3476" s="4">
        <v>1.0</v>
      </c>
      <c r="G3476" s="4">
        <v>115.0</v>
      </c>
      <c r="H3476" s="4">
        <v>14.0</v>
      </c>
      <c r="I3476" s="21">
        <f t="array" ref="I3476">XLOOKUP($A3476,product!A:A,product!E:E)</f>
        <v>1.97</v>
      </c>
      <c r="J3476" s="4">
        <f t="shared" si="2"/>
        <v>27.58</v>
      </c>
      <c r="K3476" s="22">
        <f t="shared" si="3"/>
        <v>1</v>
      </c>
      <c r="L3476" s="4">
        <f t="shared" si="4"/>
        <v>1</v>
      </c>
    </row>
    <row r="3477">
      <c r="A3477" s="23">
        <v>86999.0</v>
      </c>
      <c r="B3477" s="24" t="str">
        <f t="array" ref="B3477">xlookup($A3477,product!$A:$A,product!B:B)</f>
        <v>Epicerie sucrée</v>
      </c>
      <c r="C3477" s="24" t="str">
        <f t="array" ref="C3477">xlookup($A3477,product!$A:$A,product!C:C)</f>
        <v>Compote et dessert</v>
      </c>
      <c r="D3477" s="24" t="str">
        <f t="array" ref="D3477">xlookup($A3477,product!$A:$A,product!D:D)</f>
        <v>Compote et purée de fruit</v>
      </c>
      <c r="E3477" s="25" t="str">
        <f t="shared" si="1"/>
        <v>86999-Compote et dessert-Compote et purée de fruit</v>
      </c>
      <c r="F3477" s="25">
        <v>0.0</v>
      </c>
      <c r="G3477" s="25">
        <v>306.0</v>
      </c>
      <c r="H3477" s="25">
        <v>286.0</v>
      </c>
      <c r="I3477" s="26">
        <f t="array" ref="I3477">XLOOKUP($A3477,product!A:A,product!E:E)</f>
        <v>2.13</v>
      </c>
      <c r="J3477" s="25">
        <f t="shared" si="2"/>
        <v>609.18</v>
      </c>
      <c r="K3477" s="27">
        <f t="shared" si="3"/>
        <v>1</v>
      </c>
      <c r="L3477" s="25">
        <f t="shared" si="4"/>
        <v>1</v>
      </c>
    </row>
    <row r="3478">
      <c r="A3478" s="19">
        <v>80678.0</v>
      </c>
      <c r="B3478" s="20" t="str">
        <f t="array" ref="B3478">xlookup($A3478,product!$A:$A,product!B:B)</f>
        <v>Epicerie sucrée</v>
      </c>
      <c r="C3478" s="20" t="str">
        <f t="array" ref="C3478">xlookup($A3478,product!$A:$A,product!C:C)</f>
        <v>Compote et dessert</v>
      </c>
      <c r="D3478" s="20" t="str">
        <f t="array" ref="D3478">xlookup($A3478,product!$A:$A,product!D:D)</f>
        <v>Compote et purée de fruit</v>
      </c>
      <c r="E3478" s="4" t="str">
        <f t="shared" si="1"/>
        <v>80678-Compote et dessert-Compote et purée de fruit</v>
      </c>
      <c r="F3478" s="4">
        <v>1.0</v>
      </c>
      <c r="G3478" s="4">
        <v>135.0</v>
      </c>
      <c r="H3478" s="4">
        <v>14.0</v>
      </c>
      <c r="I3478" s="21">
        <f t="array" ref="I3478">XLOOKUP($A3478,product!A:A,product!E:E)</f>
        <v>1.99</v>
      </c>
      <c r="J3478" s="4">
        <f t="shared" si="2"/>
        <v>27.86</v>
      </c>
      <c r="K3478" s="22">
        <f t="shared" si="3"/>
        <v>1</v>
      </c>
      <c r="L3478" s="4">
        <f t="shared" si="4"/>
        <v>1</v>
      </c>
    </row>
    <row r="3479">
      <c r="A3479" s="23">
        <v>86973.0</v>
      </c>
      <c r="B3479" s="24" t="str">
        <f t="array" ref="B3479">xlookup($A3479,product!$A:$A,product!B:B)</f>
        <v>Epicerie sucrée</v>
      </c>
      <c r="C3479" s="24" t="str">
        <f t="array" ref="C3479">xlookup($A3479,product!$A:$A,product!C:C)</f>
        <v>Compote et dessert</v>
      </c>
      <c r="D3479" s="24" t="str">
        <f t="array" ref="D3479">xlookup($A3479,product!$A:$A,product!D:D)</f>
        <v>Compote et purée de fruit</v>
      </c>
      <c r="E3479" s="25" t="str">
        <f t="shared" si="1"/>
        <v>86973-Compote et dessert-Compote et purée de fruit</v>
      </c>
      <c r="F3479" s="25">
        <v>0.0</v>
      </c>
      <c r="G3479" s="25">
        <v>909.0</v>
      </c>
      <c r="H3479" s="25">
        <v>468.0</v>
      </c>
      <c r="I3479" s="26">
        <f t="array" ref="I3479">XLOOKUP($A3479,product!A:A,product!E:E)</f>
        <v>2.21</v>
      </c>
      <c r="J3479" s="25">
        <f t="shared" si="2"/>
        <v>1034.28</v>
      </c>
      <c r="K3479" s="27">
        <f t="shared" si="3"/>
        <v>1</v>
      </c>
      <c r="L3479" s="25">
        <f t="shared" si="4"/>
        <v>1</v>
      </c>
    </row>
    <row r="3480">
      <c r="A3480" s="19">
        <v>81724.0</v>
      </c>
      <c r="B3480" s="20" t="str">
        <f t="array" ref="B3480">xlookup($A3480,product!$A:$A,product!B:B)</f>
        <v>Epicerie sucrée</v>
      </c>
      <c r="C3480" s="20" t="str">
        <f t="array" ref="C3480">xlookup($A3480,product!$A:$A,product!C:C)</f>
        <v>Compote et dessert</v>
      </c>
      <c r="D3480" s="20" t="str">
        <f t="array" ref="D3480">xlookup($A3480,product!$A:$A,product!D:D)</f>
        <v>Compote et purée de fruit</v>
      </c>
      <c r="E3480" s="4" t="str">
        <f t="shared" si="1"/>
        <v>81724-Compote et dessert-Compote et purée de fruit</v>
      </c>
      <c r="F3480" s="4">
        <v>1.0</v>
      </c>
      <c r="G3480" s="4">
        <v>613.0</v>
      </c>
      <c r="H3480" s="4">
        <v>486.0</v>
      </c>
      <c r="I3480" s="21">
        <f t="array" ref="I3480">XLOOKUP($A3480,product!A:A,product!E:E)</f>
        <v>2.49</v>
      </c>
      <c r="J3480" s="4">
        <f t="shared" si="2"/>
        <v>1210.14</v>
      </c>
      <c r="K3480" s="22">
        <f t="shared" si="3"/>
        <v>1</v>
      </c>
      <c r="L3480" s="4">
        <f t="shared" si="4"/>
        <v>1</v>
      </c>
    </row>
    <row r="3481">
      <c r="A3481" s="23">
        <v>104678.0</v>
      </c>
      <c r="B3481" s="24" t="str">
        <f t="array" ref="B3481">xlookup($A3481,product!$A:$A,product!B:B)</f>
        <v>Epicerie sucrée</v>
      </c>
      <c r="C3481" s="24" t="str">
        <f t="array" ref="C3481">xlookup($A3481,product!$A:$A,product!C:C)</f>
        <v>Compote et dessert</v>
      </c>
      <c r="D3481" s="24" t="str">
        <f t="array" ref="D3481">xlookup($A3481,product!$A:$A,product!D:D)</f>
        <v>Compote et purée de fruit</v>
      </c>
      <c r="E3481" s="25" t="str">
        <f t="shared" si="1"/>
        <v>104678-Compote et dessert-Compote et purée de fruit</v>
      </c>
      <c r="F3481" s="25">
        <v>0.0</v>
      </c>
      <c r="G3481" s="25">
        <v>900.0</v>
      </c>
      <c r="H3481" s="25">
        <v>55.0</v>
      </c>
      <c r="I3481" s="26">
        <f t="array" ref="I3481">XLOOKUP($A3481,product!A:A,product!E:E)</f>
        <v>2.58</v>
      </c>
      <c r="J3481" s="25">
        <f t="shared" si="2"/>
        <v>141.9</v>
      </c>
      <c r="K3481" s="27">
        <f t="shared" si="3"/>
        <v>1</v>
      </c>
      <c r="L3481" s="25">
        <f t="shared" si="4"/>
        <v>1</v>
      </c>
    </row>
    <row r="3482">
      <c r="A3482" s="19">
        <v>71844.0</v>
      </c>
      <c r="B3482" s="20" t="str">
        <f t="array" ref="B3482">xlookup($A3482,product!$A:$A,product!B:B)</f>
        <v>Epicerie sucrée</v>
      </c>
      <c r="C3482" s="20" t="str">
        <f t="array" ref="C3482">xlookup($A3482,product!$A:$A,product!C:C)</f>
        <v>Compote et dessert</v>
      </c>
      <c r="D3482" s="20" t="str">
        <f t="array" ref="D3482">xlookup($A3482,product!$A:$A,product!D:D)</f>
        <v>Compote et purée de fruit</v>
      </c>
      <c r="E3482" s="4" t="str">
        <f t="shared" si="1"/>
        <v>71844-Compote et dessert-Compote et purée de fruit</v>
      </c>
      <c r="F3482" s="4">
        <v>1.0</v>
      </c>
      <c r="G3482" s="4">
        <v>162.0</v>
      </c>
      <c r="H3482" s="4">
        <v>121.0</v>
      </c>
      <c r="I3482" s="21">
        <f t="array" ref="I3482">XLOOKUP($A3482,product!A:A,product!E:E)</f>
        <v>4.44</v>
      </c>
      <c r="J3482" s="4">
        <f t="shared" si="2"/>
        <v>537.24</v>
      </c>
      <c r="K3482" s="22">
        <f t="shared" si="3"/>
        <v>1</v>
      </c>
      <c r="L3482" s="4">
        <f t="shared" si="4"/>
        <v>1</v>
      </c>
    </row>
    <row r="3483">
      <c r="A3483" s="23">
        <v>42287.0</v>
      </c>
      <c r="B3483" s="24" t="str">
        <f t="array" ref="B3483">xlookup($A3483,product!$A:$A,product!B:B)</f>
        <v>Alimentation Bébé</v>
      </c>
      <c r="C3483" s="24" t="str">
        <f t="array" ref="C3483">xlookup($A3483,product!$A:$A,product!C:C)</f>
        <v>Lait infantile bio</v>
      </c>
      <c r="D3483" s="24" t="str">
        <f t="array" ref="D3483">xlookup($A3483,product!$A:$A,product!D:D)</f>
        <v>Lait de croissance bio</v>
      </c>
      <c r="E3483" s="25" t="str">
        <f t="shared" si="1"/>
        <v>42287-Lait infantile bio-Lait de croissance bio</v>
      </c>
      <c r="F3483" s="25">
        <v>0.0</v>
      </c>
      <c r="G3483" s="25">
        <v>924.0</v>
      </c>
      <c r="H3483" s="25">
        <v>606.0</v>
      </c>
      <c r="I3483" s="26">
        <f t="array" ref="I3483">XLOOKUP($A3483,product!A:A,product!E:E)</f>
        <v>12.88</v>
      </c>
      <c r="J3483" s="25">
        <f t="shared" si="2"/>
        <v>7805.28</v>
      </c>
      <c r="K3483" s="27">
        <f t="shared" si="3"/>
        <v>1</v>
      </c>
      <c r="L3483" s="25">
        <f t="shared" si="4"/>
        <v>1</v>
      </c>
    </row>
    <row r="3484">
      <c r="A3484" s="19">
        <v>116678.0</v>
      </c>
      <c r="B3484" s="20" t="str">
        <f t="array" ref="B3484">xlookup($A3484,product!$A:$A,product!B:B)</f>
        <v>Alimentation Bébé</v>
      </c>
      <c r="C3484" s="20" t="str">
        <f t="array" ref="C3484">xlookup($A3484,product!$A:$A,product!C:C)</f>
        <v>Lait infantile bio</v>
      </c>
      <c r="D3484" s="20" t="str">
        <f t="array" ref="D3484">xlookup($A3484,product!$A:$A,product!D:D)</f>
        <v>Lait de croissance bio</v>
      </c>
      <c r="E3484" s="4" t="str">
        <f t="shared" si="1"/>
        <v>116678-Lait infantile bio-Lait de croissance bio</v>
      </c>
      <c r="F3484" s="4">
        <v>1.0</v>
      </c>
      <c r="G3484" s="4">
        <v>104.0</v>
      </c>
      <c r="H3484" s="4">
        <v>53.0</v>
      </c>
      <c r="I3484" s="21">
        <f t="array" ref="I3484">XLOOKUP($A3484,product!A:A,product!E:E)</f>
        <v>13.04</v>
      </c>
      <c r="J3484" s="4">
        <f t="shared" si="2"/>
        <v>691.12</v>
      </c>
      <c r="K3484" s="22">
        <f t="shared" si="3"/>
        <v>1</v>
      </c>
      <c r="L3484" s="4">
        <f t="shared" si="4"/>
        <v>1</v>
      </c>
    </row>
    <row r="3485">
      <c r="A3485" s="23">
        <v>116845.0</v>
      </c>
      <c r="B3485" s="24" t="str">
        <f t="array" ref="B3485">xlookup($A3485,product!$A:$A,product!B:B)</f>
        <v>Alimentation Bébé</v>
      </c>
      <c r="C3485" s="24" t="str">
        <f t="array" ref="C3485">xlookup($A3485,product!$A:$A,product!C:C)</f>
        <v>Lait infantile bio</v>
      </c>
      <c r="D3485" s="24" t="str">
        <f t="array" ref="D3485">xlookup($A3485,product!$A:$A,product!D:D)</f>
        <v>Lait de croissance bio</v>
      </c>
      <c r="E3485" s="25" t="str">
        <f t="shared" si="1"/>
        <v>116845-Lait infantile bio-Lait de croissance bio</v>
      </c>
      <c r="F3485" s="25">
        <v>1.0</v>
      </c>
      <c r="G3485" s="25">
        <v>496.0</v>
      </c>
      <c r="H3485" s="25">
        <v>78.0</v>
      </c>
      <c r="I3485" s="26">
        <f t="array" ref="I3485">XLOOKUP($A3485,product!A:A,product!E:E)</f>
        <v>9.18</v>
      </c>
      <c r="J3485" s="25">
        <f t="shared" si="2"/>
        <v>716.04</v>
      </c>
      <c r="K3485" s="27">
        <f t="shared" si="3"/>
        <v>1</v>
      </c>
      <c r="L3485" s="25">
        <f t="shared" si="4"/>
        <v>1</v>
      </c>
    </row>
    <row r="3486">
      <c r="A3486" s="19">
        <v>114252.0</v>
      </c>
      <c r="B3486" s="20" t="str">
        <f t="array" ref="B3486">xlookup($A3486,product!$A:$A,product!B:B)</f>
        <v>Alimentation Bébé</v>
      </c>
      <c r="C3486" s="20" t="str">
        <f t="array" ref="C3486">xlookup($A3486,product!$A:$A,product!C:C)</f>
        <v>Lait infantile bio</v>
      </c>
      <c r="D3486" s="20" t="str">
        <f t="array" ref="D3486">xlookup($A3486,product!$A:$A,product!D:D)</f>
        <v>Lait de croissance bio</v>
      </c>
      <c r="E3486" s="4" t="str">
        <f t="shared" si="1"/>
        <v>114252-Lait infantile bio-Lait de croissance bio</v>
      </c>
      <c r="F3486" s="4">
        <v>1.0</v>
      </c>
      <c r="G3486" s="4">
        <v>508.0</v>
      </c>
      <c r="H3486" s="4">
        <v>148.0</v>
      </c>
      <c r="I3486" s="21">
        <f t="array" ref="I3486">XLOOKUP($A3486,product!A:A,product!E:E)</f>
        <v>13.79</v>
      </c>
      <c r="J3486" s="4">
        <f t="shared" si="2"/>
        <v>2040.92</v>
      </c>
      <c r="K3486" s="22">
        <f t="shared" si="3"/>
        <v>1</v>
      </c>
      <c r="L3486" s="4">
        <f t="shared" si="4"/>
        <v>1</v>
      </c>
    </row>
    <row r="3487">
      <c r="A3487" s="23">
        <v>117595.0</v>
      </c>
      <c r="B3487" s="24" t="str">
        <f t="array" ref="B3487">xlookup($A3487,product!$A:$A,product!B:B)</f>
        <v>Alimentation Bébé</v>
      </c>
      <c r="C3487" s="24" t="str">
        <f t="array" ref="C3487">xlookup($A3487,product!$A:$A,product!C:C)</f>
        <v>Lait infantile bio</v>
      </c>
      <c r="D3487" s="24" t="str">
        <f t="array" ref="D3487">xlookup($A3487,product!$A:$A,product!D:D)</f>
        <v>Lait de croissance bio</v>
      </c>
      <c r="E3487" s="25" t="str">
        <f t="shared" si="1"/>
        <v>117595-Lait infantile bio-Lait de croissance bio</v>
      </c>
      <c r="F3487" s="25">
        <v>0.0</v>
      </c>
      <c r="G3487" s="25">
        <v>597.0</v>
      </c>
      <c r="H3487" s="25">
        <v>544.0</v>
      </c>
      <c r="I3487" s="26">
        <f t="array" ref="I3487">XLOOKUP($A3487,product!A:A,product!E:E)</f>
        <v>10.55</v>
      </c>
      <c r="J3487" s="25">
        <f t="shared" si="2"/>
        <v>5739.2</v>
      </c>
      <c r="K3487" s="27">
        <f t="shared" si="3"/>
        <v>1</v>
      </c>
      <c r="L3487" s="25">
        <f t="shared" si="4"/>
        <v>1</v>
      </c>
    </row>
    <row r="3488">
      <c r="A3488" s="19">
        <v>109579.0</v>
      </c>
      <c r="B3488" s="20" t="str">
        <f t="array" ref="B3488">xlookup($A3488,product!$A:$A,product!B:B)</f>
        <v>Alimentation Bébé</v>
      </c>
      <c r="C3488" s="20" t="str">
        <f t="array" ref="C3488">xlookup($A3488,product!$A:$A,product!C:C)</f>
        <v>Lait infantile bio</v>
      </c>
      <c r="D3488" s="20" t="str">
        <f t="array" ref="D3488">xlookup($A3488,product!$A:$A,product!D:D)</f>
        <v>Lait de croissance bio</v>
      </c>
      <c r="E3488" s="4" t="str">
        <f t="shared" si="1"/>
        <v>109579-Lait infantile bio-Lait de croissance bio</v>
      </c>
      <c r="F3488" s="4">
        <v>0.0</v>
      </c>
      <c r="G3488" s="4">
        <v>854.0</v>
      </c>
      <c r="H3488" s="4">
        <v>520.0</v>
      </c>
      <c r="I3488" s="21">
        <f t="array" ref="I3488">XLOOKUP($A3488,product!A:A,product!E:E)</f>
        <v>14.53</v>
      </c>
      <c r="J3488" s="4">
        <f t="shared" si="2"/>
        <v>7555.6</v>
      </c>
      <c r="K3488" s="22">
        <f t="shared" si="3"/>
        <v>1</v>
      </c>
      <c r="L3488" s="4">
        <f t="shared" si="4"/>
        <v>1</v>
      </c>
    </row>
    <row r="3489">
      <c r="A3489" s="23">
        <v>117597.0</v>
      </c>
      <c r="B3489" s="24" t="str">
        <f t="array" ref="B3489">xlookup($A3489,product!$A:$A,product!B:B)</f>
        <v>Alimentation Bébé</v>
      </c>
      <c r="C3489" s="24" t="str">
        <f t="array" ref="C3489">xlookup($A3489,product!$A:$A,product!C:C)</f>
        <v>Lait infantile bio</v>
      </c>
      <c r="D3489" s="24" t="str">
        <f t="array" ref="D3489">xlookup($A3489,product!$A:$A,product!D:D)</f>
        <v>Lait de croissance bio</v>
      </c>
      <c r="E3489" s="25" t="str">
        <f t="shared" si="1"/>
        <v>117597-Lait infantile bio-Lait de croissance bio</v>
      </c>
      <c r="F3489" s="25">
        <v>0.0</v>
      </c>
      <c r="G3489" s="25">
        <v>929.0</v>
      </c>
      <c r="H3489" s="25">
        <v>242.0</v>
      </c>
      <c r="I3489" s="26">
        <f t="array" ref="I3489">XLOOKUP($A3489,product!A:A,product!E:E)</f>
        <v>4.33</v>
      </c>
      <c r="J3489" s="25">
        <f t="shared" si="2"/>
        <v>1047.86</v>
      </c>
      <c r="K3489" s="27">
        <f t="shared" si="3"/>
        <v>1</v>
      </c>
      <c r="L3489" s="25">
        <f t="shared" si="4"/>
        <v>1</v>
      </c>
    </row>
    <row r="3490">
      <c r="A3490" s="19">
        <v>14401.0</v>
      </c>
      <c r="B3490" s="20" t="str">
        <f t="array" ref="B3490">xlookup($A3490,product!$A:$A,product!B:B)</f>
        <v>Alimentation Bébé</v>
      </c>
      <c r="C3490" s="20" t="str">
        <f t="array" ref="C3490">xlookup($A3490,product!$A:$A,product!C:C)</f>
        <v>Lait infantile bio</v>
      </c>
      <c r="D3490" s="20" t="str">
        <f t="array" ref="D3490">xlookup($A3490,product!$A:$A,product!D:D)</f>
        <v>Lait de croissance bio</v>
      </c>
      <c r="E3490" s="4" t="str">
        <f t="shared" si="1"/>
        <v>14401-Lait infantile bio-Lait de croissance bio</v>
      </c>
      <c r="F3490" s="4">
        <v>1.0</v>
      </c>
      <c r="G3490" s="4">
        <v>444.0</v>
      </c>
      <c r="H3490" s="4">
        <v>388.0</v>
      </c>
      <c r="I3490" s="21">
        <f t="array" ref="I3490">XLOOKUP($A3490,product!A:A,product!E:E)</f>
        <v>4.79</v>
      </c>
      <c r="J3490" s="4">
        <f t="shared" si="2"/>
        <v>1858.52</v>
      </c>
      <c r="K3490" s="22">
        <f t="shared" si="3"/>
        <v>1</v>
      </c>
      <c r="L3490" s="4">
        <f t="shared" si="4"/>
        <v>1</v>
      </c>
    </row>
    <row r="3491">
      <c r="A3491" s="23">
        <v>109290.0</v>
      </c>
      <c r="B3491" s="24" t="str">
        <f t="array" ref="B3491">xlookup($A3491,product!$A:$A,product!B:B)</f>
        <v>Alimentation Bébé</v>
      </c>
      <c r="C3491" s="24" t="str">
        <f t="array" ref="C3491">xlookup($A3491,product!$A:$A,product!C:C)</f>
        <v>Lait infantile bio</v>
      </c>
      <c r="D3491" s="24" t="str">
        <f t="array" ref="D3491">xlookup($A3491,product!$A:$A,product!D:D)</f>
        <v>Lait de croissance bio</v>
      </c>
      <c r="E3491" s="25" t="str">
        <f t="shared" si="1"/>
        <v>109290-Lait infantile bio-Lait de croissance bio</v>
      </c>
      <c r="F3491" s="25">
        <v>0.0</v>
      </c>
      <c r="G3491" s="25">
        <v>526.0</v>
      </c>
      <c r="H3491" s="25">
        <v>460.0</v>
      </c>
      <c r="I3491" s="26">
        <f t="array" ref="I3491">XLOOKUP($A3491,product!A:A,product!E:E)</f>
        <v>16.35</v>
      </c>
      <c r="J3491" s="25">
        <f t="shared" si="2"/>
        <v>7521</v>
      </c>
      <c r="K3491" s="27">
        <f t="shared" si="3"/>
        <v>1</v>
      </c>
      <c r="L3491" s="25">
        <f t="shared" si="4"/>
        <v>1</v>
      </c>
    </row>
    <row r="3492">
      <c r="A3492" s="19">
        <v>117665.0</v>
      </c>
      <c r="B3492" s="20" t="str">
        <f t="array" ref="B3492">xlookup($A3492,product!$A:$A,product!B:B)</f>
        <v>Alimentation Bébé</v>
      </c>
      <c r="C3492" s="20" t="str">
        <f t="array" ref="C3492">xlookup($A3492,product!$A:$A,product!C:C)</f>
        <v>Lait infantile bio</v>
      </c>
      <c r="D3492" s="20" t="str">
        <f t="array" ref="D3492">xlookup($A3492,product!$A:$A,product!D:D)</f>
        <v>Lait de croissance bio</v>
      </c>
      <c r="E3492" s="4" t="str">
        <f t="shared" si="1"/>
        <v>117665-Lait infantile bio-Lait de croissance bio</v>
      </c>
      <c r="F3492" s="4">
        <v>0.0</v>
      </c>
      <c r="G3492" s="4">
        <v>147.0</v>
      </c>
      <c r="H3492" s="4">
        <v>4.0</v>
      </c>
      <c r="I3492" s="21">
        <f t="array" ref="I3492">XLOOKUP($A3492,product!A:A,product!E:E)</f>
        <v>8.58</v>
      </c>
      <c r="J3492" s="4">
        <f t="shared" si="2"/>
        <v>34.32</v>
      </c>
      <c r="K3492" s="22">
        <f t="shared" si="3"/>
        <v>1</v>
      </c>
      <c r="L3492" s="4">
        <f t="shared" si="4"/>
        <v>1</v>
      </c>
    </row>
    <row r="3493">
      <c r="A3493" s="23">
        <v>117681.0</v>
      </c>
      <c r="B3493" s="24" t="str">
        <f t="array" ref="B3493">xlookup($A3493,product!$A:$A,product!B:B)</f>
        <v>Alimentation Bébé</v>
      </c>
      <c r="C3493" s="24" t="str">
        <f t="array" ref="C3493">xlookup($A3493,product!$A:$A,product!C:C)</f>
        <v>Lait infantile bio</v>
      </c>
      <c r="D3493" s="24" t="str">
        <f t="array" ref="D3493">xlookup($A3493,product!$A:$A,product!D:D)</f>
        <v>Lait de croissance bio</v>
      </c>
      <c r="E3493" s="25" t="str">
        <f t="shared" si="1"/>
        <v>117681-Lait infantile bio-Lait de croissance bio</v>
      </c>
      <c r="F3493" s="25">
        <v>0.0</v>
      </c>
      <c r="G3493" s="25">
        <v>506.0</v>
      </c>
      <c r="H3493" s="25">
        <v>205.0</v>
      </c>
      <c r="I3493" s="26">
        <f t="array" ref="I3493">XLOOKUP($A3493,product!A:A,product!E:E)</f>
        <v>11.34</v>
      </c>
      <c r="J3493" s="25">
        <f t="shared" si="2"/>
        <v>2324.7</v>
      </c>
      <c r="K3493" s="27">
        <f t="shared" si="3"/>
        <v>1</v>
      </c>
      <c r="L3493" s="25">
        <f t="shared" si="4"/>
        <v>1</v>
      </c>
    </row>
    <row r="3494">
      <c r="A3494" s="19">
        <v>119406.0</v>
      </c>
      <c r="B3494" s="20" t="str">
        <f t="array" ref="B3494">xlookup($A3494,product!$A:$A,product!B:B)</f>
        <v>Alimentation Bébé</v>
      </c>
      <c r="C3494" s="20" t="str">
        <f t="array" ref="C3494">xlookup($A3494,product!$A:$A,product!C:C)</f>
        <v>Lait infantile bio</v>
      </c>
      <c r="D3494" s="20" t="str">
        <f t="array" ref="D3494">xlookup($A3494,product!$A:$A,product!D:D)</f>
        <v>Lait de croissance bio</v>
      </c>
      <c r="E3494" s="4" t="str">
        <f t="shared" si="1"/>
        <v>119406-Lait infantile bio-Lait de croissance bio</v>
      </c>
      <c r="F3494" s="4">
        <v>0.0</v>
      </c>
      <c r="G3494" s="4">
        <v>706.0</v>
      </c>
      <c r="H3494" s="4">
        <v>652.0</v>
      </c>
      <c r="I3494" s="21">
        <f t="array" ref="I3494">XLOOKUP($A3494,product!A:A,product!E:E)</f>
        <v>11.58</v>
      </c>
      <c r="J3494" s="4">
        <f t="shared" si="2"/>
        <v>7550.16</v>
      </c>
      <c r="K3494" s="22">
        <f t="shared" si="3"/>
        <v>1</v>
      </c>
      <c r="L3494" s="4">
        <f t="shared" si="4"/>
        <v>1</v>
      </c>
    </row>
    <row r="3495">
      <c r="A3495" s="23">
        <v>117676.0</v>
      </c>
      <c r="B3495" s="24" t="str">
        <f t="array" ref="B3495">xlookup($A3495,product!$A:$A,product!B:B)</f>
        <v>Alimentation Bébé</v>
      </c>
      <c r="C3495" s="24" t="str">
        <f t="array" ref="C3495">xlookup($A3495,product!$A:$A,product!C:C)</f>
        <v>Lait infantile bio</v>
      </c>
      <c r="D3495" s="24" t="str">
        <f t="array" ref="D3495">xlookup($A3495,product!$A:$A,product!D:D)</f>
        <v>Lait infantile bio 1er âge</v>
      </c>
      <c r="E3495" s="25" t="str">
        <f t="shared" si="1"/>
        <v>117676-Lait infantile bio-Lait infantile bio 1er âge</v>
      </c>
      <c r="F3495" s="25">
        <v>0.0</v>
      </c>
      <c r="G3495" s="25">
        <v>741.0</v>
      </c>
      <c r="H3495" s="25">
        <v>352.0</v>
      </c>
      <c r="I3495" s="26">
        <f t="array" ref="I3495">XLOOKUP($A3495,product!A:A,product!E:E)</f>
        <v>14.6</v>
      </c>
      <c r="J3495" s="25">
        <f t="shared" si="2"/>
        <v>5139.2</v>
      </c>
      <c r="K3495" s="27">
        <f t="shared" si="3"/>
        <v>1</v>
      </c>
      <c r="L3495" s="25">
        <f t="shared" si="4"/>
        <v>1</v>
      </c>
    </row>
    <row r="3496">
      <c r="A3496" s="19">
        <v>109571.0</v>
      </c>
      <c r="B3496" s="20" t="str">
        <f t="array" ref="B3496">xlookup($A3496,product!$A:$A,product!B:B)</f>
        <v>Alimentation Bébé</v>
      </c>
      <c r="C3496" s="20" t="str">
        <f t="array" ref="C3496">xlookup($A3496,product!$A:$A,product!C:C)</f>
        <v>Lait infantile bio</v>
      </c>
      <c r="D3496" s="20" t="str">
        <f t="array" ref="D3496">xlookup($A3496,product!$A:$A,product!D:D)</f>
        <v>Lait infantile bio 1er âge</v>
      </c>
      <c r="E3496" s="4" t="str">
        <f t="shared" si="1"/>
        <v>109571-Lait infantile bio-Lait infantile bio 1er âge</v>
      </c>
      <c r="F3496" s="4">
        <v>1.0</v>
      </c>
      <c r="G3496" s="4">
        <v>399.0</v>
      </c>
      <c r="H3496" s="4">
        <v>234.0</v>
      </c>
      <c r="I3496" s="21">
        <f t="array" ref="I3496">XLOOKUP($A3496,product!A:A,product!E:E)</f>
        <v>14.53</v>
      </c>
      <c r="J3496" s="4">
        <f t="shared" si="2"/>
        <v>3400.02</v>
      </c>
      <c r="K3496" s="22">
        <f t="shared" si="3"/>
        <v>1</v>
      </c>
      <c r="L3496" s="4">
        <f t="shared" si="4"/>
        <v>1</v>
      </c>
    </row>
    <row r="3497">
      <c r="A3497" s="23">
        <v>116676.0</v>
      </c>
      <c r="B3497" s="24" t="str">
        <f t="array" ref="B3497">xlookup($A3497,product!$A:$A,product!B:B)</f>
        <v>Alimentation Bébé</v>
      </c>
      <c r="C3497" s="24" t="str">
        <f t="array" ref="C3497">xlookup($A3497,product!$A:$A,product!C:C)</f>
        <v>Lait infantile bio</v>
      </c>
      <c r="D3497" s="24" t="str">
        <f t="array" ref="D3497">xlookup($A3497,product!$A:$A,product!D:D)</f>
        <v>Lait infantile bio 1er âge</v>
      </c>
      <c r="E3497" s="25" t="str">
        <f t="shared" si="1"/>
        <v>116676-Lait infantile bio-Lait infantile bio 1er âge</v>
      </c>
      <c r="F3497" s="25">
        <v>0.0</v>
      </c>
      <c r="G3497" s="25">
        <v>123.0</v>
      </c>
      <c r="H3497" s="25">
        <v>108.0</v>
      </c>
      <c r="I3497" s="26">
        <f t="array" ref="I3497">XLOOKUP($A3497,product!A:A,product!E:E)</f>
        <v>13.78</v>
      </c>
      <c r="J3497" s="25">
        <f t="shared" si="2"/>
        <v>1488.24</v>
      </c>
      <c r="K3497" s="27">
        <f t="shared" si="3"/>
        <v>1</v>
      </c>
      <c r="L3497" s="25">
        <f t="shared" si="4"/>
        <v>1</v>
      </c>
    </row>
    <row r="3498">
      <c r="A3498" s="19">
        <v>116816.0</v>
      </c>
      <c r="B3498" s="20" t="str">
        <f t="array" ref="B3498">xlookup($A3498,product!$A:$A,product!B:B)</f>
        <v>Alimentation Bébé</v>
      </c>
      <c r="C3498" s="20" t="str">
        <f t="array" ref="C3498">xlookup($A3498,product!$A:$A,product!C:C)</f>
        <v>Lait infantile bio</v>
      </c>
      <c r="D3498" s="20" t="str">
        <f t="array" ref="D3498">xlookup($A3498,product!$A:$A,product!D:D)</f>
        <v>Lait infantile bio 1er âge</v>
      </c>
      <c r="E3498" s="4" t="str">
        <f t="shared" si="1"/>
        <v>116816-Lait infantile bio-Lait infantile bio 1er âge</v>
      </c>
      <c r="F3498" s="4">
        <v>0.0</v>
      </c>
      <c r="G3498" s="4">
        <v>199.0</v>
      </c>
      <c r="H3498" s="4">
        <v>116.0</v>
      </c>
      <c r="I3498" s="21">
        <f t="array" ref="I3498">XLOOKUP($A3498,product!A:A,product!E:E)</f>
        <v>6.13</v>
      </c>
      <c r="J3498" s="4">
        <f t="shared" si="2"/>
        <v>711.08</v>
      </c>
      <c r="K3498" s="22">
        <f t="shared" si="3"/>
        <v>1</v>
      </c>
      <c r="L3498" s="4">
        <f t="shared" si="4"/>
        <v>1</v>
      </c>
    </row>
    <row r="3499">
      <c r="A3499" s="23">
        <v>117663.0</v>
      </c>
      <c r="B3499" s="24" t="str">
        <f t="array" ref="B3499">xlookup($A3499,product!$A:$A,product!B:B)</f>
        <v>Alimentation Bébé</v>
      </c>
      <c r="C3499" s="24" t="str">
        <f t="array" ref="C3499">xlookup($A3499,product!$A:$A,product!C:C)</f>
        <v>Lait infantile bio</v>
      </c>
      <c r="D3499" s="24" t="str">
        <f t="array" ref="D3499">xlookup($A3499,product!$A:$A,product!D:D)</f>
        <v>Lait infantile bio 1er âge</v>
      </c>
      <c r="E3499" s="25" t="str">
        <f t="shared" si="1"/>
        <v>117663-Lait infantile bio-Lait infantile bio 1er âge</v>
      </c>
      <c r="F3499" s="25">
        <v>1.0</v>
      </c>
      <c r="G3499" s="25">
        <v>571.0</v>
      </c>
      <c r="H3499" s="25">
        <v>44.0</v>
      </c>
      <c r="I3499" s="26">
        <f t="array" ref="I3499">XLOOKUP($A3499,product!A:A,product!E:E)</f>
        <v>9.51</v>
      </c>
      <c r="J3499" s="25">
        <f t="shared" si="2"/>
        <v>418.44</v>
      </c>
      <c r="K3499" s="27">
        <f t="shared" si="3"/>
        <v>1</v>
      </c>
      <c r="L3499" s="25">
        <f t="shared" si="4"/>
        <v>1</v>
      </c>
    </row>
    <row r="3500">
      <c r="A3500" s="19">
        <v>117652.0</v>
      </c>
      <c r="B3500" s="20" t="str">
        <f t="array" ref="B3500">xlookup($A3500,product!$A:$A,product!B:B)</f>
        <v>Alimentation Bébé</v>
      </c>
      <c r="C3500" s="20" t="str">
        <f t="array" ref="C3500">xlookup($A3500,product!$A:$A,product!C:C)</f>
        <v>Lait infantile bio</v>
      </c>
      <c r="D3500" s="20" t="str">
        <f t="array" ref="D3500">xlookup($A3500,product!$A:$A,product!D:D)</f>
        <v>Lait infantile bio 1er âge</v>
      </c>
      <c r="E3500" s="4" t="str">
        <f t="shared" si="1"/>
        <v>117652-Lait infantile bio-Lait infantile bio 1er âge</v>
      </c>
      <c r="F3500" s="4">
        <v>0.0</v>
      </c>
      <c r="G3500" s="4">
        <v>564.0</v>
      </c>
      <c r="H3500" s="4">
        <v>506.0</v>
      </c>
      <c r="I3500" s="21">
        <f t="array" ref="I3500">XLOOKUP($A3500,product!A:A,product!E:E)</f>
        <v>17.52</v>
      </c>
      <c r="J3500" s="4">
        <f t="shared" si="2"/>
        <v>8865.12</v>
      </c>
      <c r="K3500" s="22">
        <f t="shared" si="3"/>
        <v>1</v>
      </c>
      <c r="L3500" s="4">
        <f t="shared" si="4"/>
        <v>1</v>
      </c>
    </row>
    <row r="3501">
      <c r="A3501" s="23">
        <v>109289.0</v>
      </c>
      <c r="B3501" s="24" t="str">
        <f t="array" ref="B3501">xlookup($A3501,product!$A:$A,product!B:B)</f>
        <v>Alimentation Bébé</v>
      </c>
      <c r="C3501" s="24" t="str">
        <f t="array" ref="C3501">xlookup($A3501,product!$A:$A,product!C:C)</f>
        <v>Lait infantile bio</v>
      </c>
      <c r="D3501" s="24" t="str">
        <f t="array" ref="D3501">xlookup($A3501,product!$A:$A,product!D:D)</f>
        <v>Lait infantile bio 2ème âge</v>
      </c>
      <c r="E3501" s="25" t="str">
        <f t="shared" si="1"/>
        <v>109289-Lait infantile bio-Lait infantile bio 2ème âge</v>
      </c>
      <c r="F3501" s="25">
        <v>1.0</v>
      </c>
      <c r="G3501" s="25">
        <v>266.0</v>
      </c>
      <c r="H3501" s="25">
        <v>171.0</v>
      </c>
      <c r="I3501" s="26">
        <f t="array" ref="I3501">XLOOKUP($A3501,product!A:A,product!E:E)</f>
        <v>16.35</v>
      </c>
      <c r="J3501" s="25">
        <f t="shared" si="2"/>
        <v>2795.85</v>
      </c>
      <c r="K3501" s="27">
        <f t="shared" si="3"/>
        <v>1</v>
      </c>
      <c r="L3501" s="25">
        <f t="shared" si="4"/>
        <v>1</v>
      </c>
    </row>
    <row r="3502">
      <c r="A3502" s="19">
        <v>117656.0</v>
      </c>
      <c r="B3502" s="20" t="str">
        <f t="array" ref="B3502">xlookup($A3502,product!$A:$A,product!B:B)</f>
        <v>Alimentation Bébé</v>
      </c>
      <c r="C3502" s="20" t="str">
        <f t="array" ref="C3502">xlookup($A3502,product!$A:$A,product!C:C)</f>
        <v>Lait infantile bio</v>
      </c>
      <c r="D3502" s="20" t="str">
        <f t="array" ref="D3502">xlookup($A3502,product!$A:$A,product!D:D)</f>
        <v>Lait infantile bio 2ème âge</v>
      </c>
      <c r="E3502" s="4" t="str">
        <f t="shared" si="1"/>
        <v>117656-Lait infantile bio-Lait infantile bio 2ème âge</v>
      </c>
      <c r="F3502" s="4">
        <v>0.0</v>
      </c>
      <c r="G3502" s="4">
        <v>447.0</v>
      </c>
      <c r="H3502" s="4">
        <v>138.0</v>
      </c>
      <c r="I3502" s="21">
        <f t="array" ref="I3502">XLOOKUP($A3502,product!A:A,product!E:E)</f>
        <v>16.64</v>
      </c>
      <c r="J3502" s="4">
        <f t="shared" si="2"/>
        <v>2296.32</v>
      </c>
      <c r="K3502" s="22">
        <f t="shared" si="3"/>
        <v>1</v>
      </c>
      <c r="L3502" s="4">
        <f t="shared" si="4"/>
        <v>1</v>
      </c>
    </row>
    <row r="3503">
      <c r="A3503" s="23">
        <v>117677.0</v>
      </c>
      <c r="B3503" s="24" t="str">
        <f t="array" ref="B3503">xlookup($A3503,product!$A:$A,product!B:B)</f>
        <v>Alimentation Bébé</v>
      </c>
      <c r="C3503" s="24" t="str">
        <f t="array" ref="C3503">xlookup($A3503,product!$A:$A,product!C:C)</f>
        <v>Lait infantile bio</v>
      </c>
      <c r="D3503" s="24" t="str">
        <f t="array" ref="D3503">xlookup($A3503,product!$A:$A,product!D:D)</f>
        <v>Lait infantile bio 2ème âge</v>
      </c>
      <c r="E3503" s="25" t="str">
        <f t="shared" si="1"/>
        <v>117677-Lait infantile bio-Lait infantile bio 2ème âge</v>
      </c>
      <c r="F3503" s="25">
        <v>1.0</v>
      </c>
      <c r="G3503" s="25">
        <v>404.0</v>
      </c>
      <c r="H3503" s="25">
        <v>386.0</v>
      </c>
      <c r="I3503" s="26">
        <f t="array" ref="I3503">XLOOKUP($A3503,product!A:A,product!E:E)</f>
        <v>13.87</v>
      </c>
      <c r="J3503" s="25">
        <f t="shared" si="2"/>
        <v>5353.82</v>
      </c>
      <c r="K3503" s="27">
        <f t="shared" si="3"/>
        <v>1</v>
      </c>
      <c r="L3503" s="25">
        <f t="shared" si="4"/>
        <v>1</v>
      </c>
    </row>
    <row r="3504">
      <c r="A3504" s="19">
        <v>116677.0</v>
      </c>
      <c r="B3504" s="20" t="str">
        <f t="array" ref="B3504">xlookup($A3504,product!$A:$A,product!B:B)</f>
        <v>Alimentation Bébé</v>
      </c>
      <c r="C3504" s="20" t="str">
        <f t="array" ref="C3504">xlookup($A3504,product!$A:$A,product!C:C)</f>
        <v>Lait infantile bio</v>
      </c>
      <c r="D3504" s="20" t="str">
        <f t="array" ref="D3504">xlookup($A3504,product!$A:$A,product!D:D)</f>
        <v>Lait infantile bio 2ème âge</v>
      </c>
      <c r="E3504" s="4" t="str">
        <f t="shared" si="1"/>
        <v>116677-Lait infantile bio-Lait infantile bio 2ème âge</v>
      </c>
      <c r="F3504" s="4">
        <v>1.0</v>
      </c>
      <c r="G3504" s="4">
        <v>0.0</v>
      </c>
      <c r="H3504" s="4">
        <v>0.0</v>
      </c>
      <c r="I3504" s="21">
        <f t="array" ref="I3504">XLOOKUP($A3504,product!A:A,product!E:E)</f>
        <v>13.7</v>
      </c>
      <c r="J3504" s="4">
        <f t="shared" si="2"/>
        <v>0</v>
      </c>
      <c r="K3504" s="22">
        <f t="shared" si="3"/>
        <v>0</v>
      </c>
      <c r="L3504" s="4">
        <f t="shared" si="4"/>
        <v>1</v>
      </c>
    </row>
    <row r="3505">
      <c r="A3505" s="23">
        <v>117256.0</v>
      </c>
      <c r="B3505" s="24" t="str">
        <f t="array" ref="B3505">xlookup($A3505,product!$A:$A,product!B:B)</f>
        <v>Alimentation Bébé</v>
      </c>
      <c r="C3505" s="24" t="str">
        <f t="array" ref="C3505">xlookup($A3505,product!$A:$A,product!C:C)</f>
        <v>Lait infantile bio</v>
      </c>
      <c r="D3505" s="24" t="str">
        <f t="array" ref="D3505">xlookup($A3505,product!$A:$A,product!D:D)</f>
        <v>Lait infantile bio 2ème âge</v>
      </c>
      <c r="E3505" s="25" t="str">
        <f t="shared" si="1"/>
        <v>117256-Lait infantile bio-Lait infantile bio 2ème âge</v>
      </c>
      <c r="F3505" s="25">
        <v>1.0</v>
      </c>
      <c r="G3505" s="25">
        <v>751.0</v>
      </c>
      <c r="H3505" s="25">
        <v>302.0</v>
      </c>
      <c r="I3505" s="26">
        <f t="array" ref="I3505">XLOOKUP($A3505,product!A:A,product!E:E)</f>
        <v>8.58</v>
      </c>
      <c r="J3505" s="25">
        <f t="shared" si="2"/>
        <v>2591.16</v>
      </c>
      <c r="K3505" s="27">
        <f t="shared" si="3"/>
        <v>1</v>
      </c>
      <c r="L3505" s="25">
        <f t="shared" si="4"/>
        <v>1</v>
      </c>
    </row>
    <row r="3506">
      <c r="A3506" s="19">
        <v>122738.0</v>
      </c>
      <c r="B3506" s="20" t="str">
        <f t="array" ref="B3506">xlookup($A3506,product!$A:$A,product!B:B)</f>
        <v>Alimentation Bébé</v>
      </c>
      <c r="C3506" s="20" t="str">
        <f t="array" ref="C3506">xlookup($A3506,product!$A:$A,product!C:C)</f>
        <v>Lait infantile bio</v>
      </c>
      <c r="D3506" s="20" t="str">
        <f t="array" ref="D3506">xlookup($A3506,product!$A:$A,product!D:D)</f>
        <v>Lait infantile bio 2ème âge</v>
      </c>
      <c r="E3506" s="4" t="str">
        <f t="shared" si="1"/>
        <v>122738-Lait infantile bio-Lait infantile bio 2ème âge</v>
      </c>
      <c r="F3506" s="4">
        <v>1.0</v>
      </c>
      <c r="G3506" s="4">
        <v>238.0</v>
      </c>
      <c r="H3506" s="4">
        <v>114.0</v>
      </c>
      <c r="I3506" s="21">
        <f t="array" ref="I3506">XLOOKUP($A3506,product!A:A,product!E:E)</f>
        <v>9.66</v>
      </c>
      <c r="J3506" s="4">
        <f t="shared" si="2"/>
        <v>1101.24</v>
      </c>
      <c r="K3506" s="22">
        <f t="shared" si="3"/>
        <v>1</v>
      </c>
      <c r="L3506" s="4">
        <f t="shared" si="4"/>
        <v>1</v>
      </c>
    </row>
    <row r="3507">
      <c r="A3507" s="23">
        <v>116679.0</v>
      </c>
      <c r="B3507" s="24" t="str">
        <f t="array" ref="B3507">xlookup($A3507,product!$A:$A,product!B:B)</f>
        <v>Alimentation Bébé</v>
      </c>
      <c r="C3507" s="24" t="str">
        <f t="array" ref="C3507">xlookup($A3507,product!$A:$A,product!C:C)</f>
        <v>Lait infantile bio</v>
      </c>
      <c r="D3507" s="24" t="str">
        <f t="array" ref="D3507">xlookup($A3507,product!$A:$A,product!D:D)</f>
        <v>Lait infantile bio 2ème âge</v>
      </c>
      <c r="E3507" s="25" t="str">
        <f t="shared" si="1"/>
        <v>116679-Lait infantile bio-Lait infantile bio 2ème âge</v>
      </c>
      <c r="F3507" s="25">
        <v>1.0</v>
      </c>
      <c r="G3507" s="25">
        <v>724.0</v>
      </c>
      <c r="H3507" s="25">
        <v>622.0</v>
      </c>
      <c r="I3507" s="26">
        <f t="array" ref="I3507">XLOOKUP($A3507,product!A:A,product!E:E)</f>
        <v>15.04</v>
      </c>
      <c r="J3507" s="25">
        <f t="shared" si="2"/>
        <v>9354.88</v>
      </c>
      <c r="K3507" s="27">
        <f t="shared" si="3"/>
        <v>1</v>
      </c>
      <c r="L3507" s="25">
        <f t="shared" si="4"/>
        <v>1</v>
      </c>
    </row>
    <row r="3508">
      <c r="A3508" s="19">
        <v>116831.0</v>
      </c>
      <c r="B3508" s="20" t="str">
        <f t="array" ref="B3508">xlookup($A3508,product!$A:$A,product!B:B)</f>
        <v>Alimentation Bébé</v>
      </c>
      <c r="C3508" s="20" t="str">
        <f t="array" ref="C3508">xlookup($A3508,product!$A:$A,product!C:C)</f>
        <v>Lait infantile bio</v>
      </c>
      <c r="D3508" s="20" t="str">
        <f t="array" ref="D3508">xlookup($A3508,product!$A:$A,product!D:D)</f>
        <v>Lait infantile bio 2ème âge</v>
      </c>
      <c r="E3508" s="4" t="str">
        <f t="shared" si="1"/>
        <v>116831-Lait infantile bio-Lait infantile bio 2ème âge</v>
      </c>
      <c r="F3508" s="4">
        <v>1.0</v>
      </c>
      <c r="G3508" s="4">
        <v>689.0</v>
      </c>
      <c r="H3508" s="4">
        <v>618.0</v>
      </c>
      <c r="I3508" s="21">
        <f t="array" ref="I3508">XLOOKUP($A3508,product!A:A,product!E:E)</f>
        <v>9.08</v>
      </c>
      <c r="J3508" s="4">
        <f t="shared" si="2"/>
        <v>5611.44</v>
      </c>
      <c r="K3508" s="22">
        <f t="shared" si="3"/>
        <v>1</v>
      </c>
      <c r="L3508" s="4">
        <f t="shared" si="4"/>
        <v>1</v>
      </c>
    </row>
    <row r="3509">
      <c r="A3509" s="23">
        <v>109577.0</v>
      </c>
      <c r="B3509" s="24" t="str">
        <f t="array" ref="B3509">xlookup($A3509,product!$A:$A,product!B:B)</f>
        <v>Alimentation Bébé</v>
      </c>
      <c r="C3509" s="24" t="str">
        <f t="array" ref="C3509">xlookup($A3509,product!$A:$A,product!C:C)</f>
        <v>Lait infantile bio</v>
      </c>
      <c r="D3509" s="24" t="str">
        <f t="array" ref="D3509">xlookup($A3509,product!$A:$A,product!D:D)</f>
        <v>Lait infantile bio 2ème âge</v>
      </c>
      <c r="E3509" s="25" t="str">
        <f t="shared" si="1"/>
        <v>109577-Lait infantile bio-Lait infantile bio 2ème âge</v>
      </c>
      <c r="F3509" s="25">
        <v>0.0</v>
      </c>
      <c r="G3509" s="25">
        <v>980.0</v>
      </c>
      <c r="H3509" s="25">
        <v>702.0</v>
      </c>
      <c r="I3509" s="26">
        <f t="array" ref="I3509">XLOOKUP($A3509,product!A:A,product!E:E)</f>
        <v>14.53</v>
      </c>
      <c r="J3509" s="25">
        <f t="shared" si="2"/>
        <v>10200.06</v>
      </c>
      <c r="K3509" s="27">
        <f t="shared" si="3"/>
        <v>1</v>
      </c>
      <c r="L3509" s="25">
        <f t="shared" si="4"/>
        <v>1</v>
      </c>
    </row>
    <row r="3510">
      <c r="A3510" s="19">
        <v>77790.0</v>
      </c>
      <c r="B3510" s="20" t="str">
        <f t="array" ref="B3510">xlookup($A3510,product!$A:$A,product!B:B)</f>
        <v>Santé &amp; Bien-être</v>
      </c>
      <c r="C3510" s="20" t="str">
        <f t="array" ref="C3510">xlookup($A3510,product!$A:$A,product!C:C)</f>
        <v>Matériel médical</v>
      </c>
      <c r="D3510" s="20" t="str">
        <f t="array" ref="D3510">xlookup($A3510,product!$A:$A,product!D:D)</f>
        <v>Lavement, irrigation du colon</v>
      </c>
      <c r="E3510" s="4" t="str">
        <f t="shared" si="1"/>
        <v>77790-Matériel médical-Lavement, irrigation du colon</v>
      </c>
      <c r="F3510" s="4">
        <v>1.0</v>
      </c>
      <c r="G3510" s="4">
        <v>42.0</v>
      </c>
      <c r="H3510" s="4">
        <v>30.0</v>
      </c>
      <c r="I3510" s="21">
        <f t="array" ref="I3510">XLOOKUP($A3510,product!A:A,product!E:E)</f>
        <v>5.12</v>
      </c>
      <c r="J3510" s="4">
        <f t="shared" si="2"/>
        <v>153.6</v>
      </c>
      <c r="K3510" s="22">
        <f t="shared" si="3"/>
        <v>1</v>
      </c>
      <c r="L3510" s="4">
        <f t="shared" si="4"/>
        <v>1</v>
      </c>
    </row>
    <row r="3511">
      <c r="A3511" s="23">
        <v>101172.0</v>
      </c>
      <c r="B3511" s="24" t="str">
        <f t="array" ref="B3511">xlookup($A3511,product!$A:$A,product!B:B)</f>
        <v>Extérieur</v>
      </c>
      <c r="C3511" s="24" t="str">
        <f t="array" ref="C3511">xlookup($A3511,product!$A:$A,product!C:C)</f>
        <v>Sport et Nutrition</v>
      </c>
      <c r="D3511" s="24" t="str">
        <f t="array" ref="D3511">xlookup($A3511,product!$A:$A,product!D:D)</f>
        <v>Energie et endurance</v>
      </c>
      <c r="E3511" s="25" t="str">
        <f t="shared" si="1"/>
        <v>101172-Sport et Nutrition-Energie et endurance</v>
      </c>
      <c r="F3511" s="25">
        <v>0.0</v>
      </c>
      <c r="G3511" s="25">
        <v>470.0</v>
      </c>
      <c r="H3511" s="25">
        <v>388.0</v>
      </c>
      <c r="I3511" s="26">
        <f t="array" ref="I3511">XLOOKUP($A3511,product!A:A,product!E:E)</f>
        <v>11.49</v>
      </c>
      <c r="J3511" s="25">
        <f t="shared" si="2"/>
        <v>4458.12</v>
      </c>
      <c r="K3511" s="27">
        <f t="shared" si="3"/>
        <v>1</v>
      </c>
      <c r="L3511" s="25">
        <f t="shared" si="4"/>
        <v>1</v>
      </c>
    </row>
    <row r="3512">
      <c r="A3512" s="19">
        <v>87023.0</v>
      </c>
      <c r="B3512" s="20" t="str">
        <f t="array" ref="B3512">xlookup($A3512,product!$A:$A,product!B:B)</f>
        <v>Extérieur</v>
      </c>
      <c r="C3512" s="20" t="str">
        <f t="array" ref="C3512">xlookup($A3512,product!$A:$A,product!C:C)</f>
        <v>Sport et Nutrition</v>
      </c>
      <c r="D3512" s="20" t="str">
        <f t="array" ref="D3512">xlookup($A3512,product!$A:$A,product!D:D)</f>
        <v>Protéines et barres protéinées</v>
      </c>
      <c r="E3512" s="4" t="str">
        <f t="shared" si="1"/>
        <v>87023-Sport et Nutrition-Protéines et barres protéinées</v>
      </c>
      <c r="F3512" s="4">
        <v>1.0</v>
      </c>
      <c r="G3512" s="4">
        <v>648.0</v>
      </c>
      <c r="H3512" s="4">
        <v>435.0</v>
      </c>
      <c r="I3512" s="21">
        <f t="array" ref="I3512">XLOOKUP($A3512,product!A:A,product!E:E)</f>
        <v>12.02</v>
      </c>
      <c r="J3512" s="4">
        <f t="shared" si="2"/>
        <v>5228.7</v>
      </c>
      <c r="K3512" s="22">
        <f t="shared" si="3"/>
        <v>1</v>
      </c>
      <c r="L3512" s="4">
        <f t="shared" si="4"/>
        <v>1</v>
      </c>
    </row>
    <row r="3513">
      <c r="A3513" s="23">
        <v>101520.0</v>
      </c>
      <c r="B3513" s="24" t="str">
        <f t="array" ref="B3513">xlookup($A3513,product!$A:$A,product!B:B)</f>
        <v>Extérieur</v>
      </c>
      <c r="C3513" s="24" t="str">
        <f t="array" ref="C3513">xlookup($A3513,product!$A:$A,product!C:C)</f>
        <v>Sport et Nutrition</v>
      </c>
      <c r="D3513" s="24" t="str">
        <f t="array" ref="D3513">xlookup($A3513,product!$A:$A,product!D:D)</f>
        <v>Protéines et barres protéinées</v>
      </c>
      <c r="E3513" s="25" t="str">
        <f t="shared" si="1"/>
        <v>101520-Sport et Nutrition-Protéines et barres protéinées</v>
      </c>
      <c r="F3513" s="25">
        <v>1.0</v>
      </c>
      <c r="G3513" s="25">
        <v>634.0</v>
      </c>
      <c r="H3513" s="25">
        <v>53.0</v>
      </c>
      <c r="I3513" s="26">
        <f t="array" ref="I3513">XLOOKUP($A3513,product!A:A,product!E:E)</f>
        <v>9.3</v>
      </c>
      <c r="J3513" s="25">
        <f t="shared" si="2"/>
        <v>492.9</v>
      </c>
      <c r="K3513" s="27">
        <f t="shared" si="3"/>
        <v>1</v>
      </c>
      <c r="L3513" s="25">
        <f t="shared" si="4"/>
        <v>1</v>
      </c>
    </row>
    <row r="3514">
      <c r="A3514" s="19">
        <v>118362.0</v>
      </c>
      <c r="B3514" s="20" t="str">
        <f t="array" ref="B3514">xlookup($A3514,product!$A:$A,product!B:B)</f>
        <v>Extérieur</v>
      </c>
      <c r="C3514" s="20" t="str">
        <f t="array" ref="C3514">xlookup($A3514,product!$A:$A,product!C:C)</f>
        <v>Sport et Nutrition</v>
      </c>
      <c r="D3514" s="20" t="str">
        <f t="array" ref="D3514">xlookup($A3514,product!$A:$A,product!D:D)</f>
        <v>Protéines et barres protéinées</v>
      </c>
      <c r="E3514" s="4" t="str">
        <f t="shared" si="1"/>
        <v>118362-Sport et Nutrition-Protéines et barres protéinées</v>
      </c>
      <c r="F3514" s="4">
        <v>0.0</v>
      </c>
      <c r="G3514" s="4">
        <v>948.0</v>
      </c>
      <c r="H3514" s="4">
        <v>156.0</v>
      </c>
      <c r="I3514" s="21">
        <f t="array" ref="I3514">XLOOKUP($A3514,product!A:A,product!E:E)</f>
        <v>10.62</v>
      </c>
      <c r="J3514" s="4">
        <f t="shared" si="2"/>
        <v>1656.72</v>
      </c>
      <c r="K3514" s="22">
        <f t="shared" si="3"/>
        <v>1</v>
      </c>
      <c r="L3514" s="4">
        <f t="shared" si="4"/>
        <v>1</v>
      </c>
    </row>
    <row r="3515">
      <c r="A3515" s="23">
        <v>87313.0</v>
      </c>
      <c r="B3515" s="24" t="str">
        <f t="array" ref="B3515">xlookup($A3515,product!$A:$A,product!B:B)</f>
        <v>Extérieur</v>
      </c>
      <c r="C3515" s="24" t="str">
        <f t="array" ref="C3515">xlookup($A3515,product!$A:$A,product!C:C)</f>
        <v>Sport et Nutrition</v>
      </c>
      <c r="D3515" s="24" t="str">
        <f t="array" ref="D3515">xlookup($A3515,product!$A:$A,product!D:D)</f>
        <v>Protéines et barres protéinées</v>
      </c>
      <c r="E3515" s="25" t="str">
        <f t="shared" si="1"/>
        <v>87313-Sport et Nutrition-Protéines et barres protéinées</v>
      </c>
      <c r="F3515" s="25">
        <v>0.0</v>
      </c>
      <c r="G3515" s="25">
        <v>399.0</v>
      </c>
      <c r="H3515" s="25">
        <v>175.0</v>
      </c>
      <c r="I3515" s="26">
        <f t="array" ref="I3515">XLOOKUP($A3515,product!A:A,product!E:E)</f>
        <v>7.64</v>
      </c>
      <c r="J3515" s="25">
        <f t="shared" si="2"/>
        <v>1337</v>
      </c>
      <c r="K3515" s="27">
        <f t="shared" si="3"/>
        <v>1</v>
      </c>
      <c r="L3515" s="25">
        <f t="shared" si="4"/>
        <v>1</v>
      </c>
    </row>
    <row r="3516">
      <c r="A3516" s="19">
        <v>111015.0</v>
      </c>
      <c r="B3516" s="20" t="str">
        <f t="array" ref="B3516">xlookup($A3516,product!$A:$A,product!B:B)</f>
        <v>Extérieur</v>
      </c>
      <c r="C3516" s="20" t="str">
        <f t="array" ref="C3516">xlookup($A3516,product!$A:$A,product!C:C)</f>
        <v>Sport et Nutrition</v>
      </c>
      <c r="D3516" s="20" t="str">
        <f t="array" ref="D3516">xlookup($A3516,product!$A:$A,product!D:D)</f>
        <v>Protéines et barres protéinées</v>
      </c>
      <c r="E3516" s="4" t="str">
        <f t="shared" si="1"/>
        <v>111015-Sport et Nutrition-Protéines et barres protéinées</v>
      </c>
      <c r="F3516" s="4">
        <v>0.0</v>
      </c>
      <c r="G3516" s="4">
        <v>967.0</v>
      </c>
      <c r="H3516" s="4">
        <v>560.0</v>
      </c>
      <c r="I3516" s="21">
        <f t="array" ref="I3516">XLOOKUP($A3516,product!A:A,product!E:E)</f>
        <v>9.8</v>
      </c>
      <c r="J3516" s="4">
        <f t="shared" si="2"/>
        <v>5488</v>
      </c>
      <c r="K3516" s="22">
        <f t="shared" si="3"/>
        <v>1</v>
      </c>
      <c r="L3516" s="4">
        <f t="shared" si="4"/>
        <v>1</v>
      </c>
    </row>
    <row r="3517">
      <c r="A3517" s="23">
        <v>87312.0</v>
      </c>
      <c r="B3517" s="24" t="str">
        <f t="array" ref="B3517">xlookup($A3517,product!$A:$A,product!B:B)</f>
        <v>Extérieur</v>
      </c>
      <c r="C3517" s="24" t="str">
        <f t="array" ref="C3517">xlookup($A3517,product!$A:$A,product!C:C)</f>
        <v>Sport et Nutrition</v>
      </c>
      <c r="D3517" s="24" t="str">
        <f t="array" ref="D3517">xlookup($A3517,product!$A:$A,product!D:D)</f>
        <v>Protéines et barres protéinées</v>
      </c>
      <c r="E3517" s="25" t="str">
        <f t="shared" si="1"/>
        <v>87312-Sport et Nutrition-Protéines et barres protéinées</v>
      </c>
      <c r="F3517" s="25">
        <v>1.0</v>
      </c>
      <c r="G3517" s="25">
        <v>188.0</v>
      </c>
      <c r="H3517" s="25">
        <v>66.0</v>
      </c>
      <c r="I3517" s="26">
        <f t="array" ref="I3517">XLOOKUP($A3517,product!A:A,product!E:E)</f>
        <v>7.93</v>
      </c>
      <c r="J3517" s="25">
        <f t="shared" si="2"/>
        <v>523.38</v>
      </c>
      <c r="K3517" s="27">
        <f t="shared" si="3"/>
        <v>1</v>
      </c>
      <c r="L3517" s="25">
        <f t="shared" si="4"/>
        <v>1</v>
      </c>
    </row>
    <row r="3518">
      <c r="A3518" s="19">
        <v>87025.0</v>
      </c>
      <c r="B3518" s="20" t="str">
        <f t="array" ref="B3518">xlookup($A3518,product!$A:$A,product!B:B)</f>
        <v>Extérieur</v>
      </c>
      <c r="C3518" s="20" t="str">
        <f t="array" ref="C3518">xlookup($A3518,product!$A:$A,product!C:C)</f>
        <v>Sport et Nutrition</v>
      </c>
      <c r="D3518" s="20" t="str">
        <f t="array" ref="D3518">xlookup($A3518,product!$A:$A,product!D:D)</f>
        <v>Protéines et barres protéinées</v>
      </c>
      <c r="E3518" s="4" t="str">
        <f t="shared" si="1"/>
        <v>87025-Sport et Nutrition-Protéines et barres protéinées</v>
      </c>
      <c r="F3518" s="4">
        <v>1.0</v>
      </c>
      <c r="G3518" s="4">
        <v>673.0</v>
      </c>
      <c r="H3518" s="4">
        <v>552.0</v>
      </c>
      <c r="I3518" s="21">
        <f t="array" ref="I3518">XLOOKUP($A3518,product!A:A,product!E:E)</f>
        <v>12.06</v>
      </c>
      <c r="J3518" s="4">
        <f t="shared" si="2"/>
        <v>6657.12</v>
      </c>
      <c r="K3518" s="22">
        <f t="shared" si="3"/>
        <v>1</v>
      </c>
      <c r="L3518" s="4">
        <f t="shared" si="4"/>
        <v>1</v>
      </c>
    </row>
    <row r="3519">
      <c r="A3519" s="23">
        <v>111587.0</v>
      </c>
      <c r="B3519" s="24" t="str">
        <f t="array" ref="B3519">xlookup($A3519,product!$A:$A,product!B:B)</f>
        <v>Extérieur</v>
      </c>
      <c r="C3519" s="24" t="str">
        <f t="array" ref="C3519">xlookup($A3519,product!$A:$A,product!C:C)</f>
        <v>Sport et Nutrition</v>
      </c>
      <c r="D3519" s="24" t="str">
        <f t="array" ref="D3519">xlookup($A3519,product!$A:$A,product!D:D)</f>
        <v>Protéines et barres protéinées</v>
      </c>
      <c r="E3519" s="25" t="str">
        <f t="shared" si="1"/>
        <v>111587-Sport et Nutrition-Protéines et barres protéinées</v>
      </c>
      <c r="F3519" s="25">
        <v>0.0</v>
      </c>
      <c r="G3519" s="25">
        <v>48.0</v>
      </c>
      <c r="H3519" s="25">
        <v>6.0</v>
      </c>
      <c r="I3519" s="26">
        <f t="array" ref="I3519">XLOOKUP($A3519,product!A:A,product!E:E)</f>
        <v>5.32</v>
      </c>
      <c r="J3519" s="25">
        <f t="shared" si="2"/>
        <v>31.92</v>
      </c>
      <c r="K3519" s="27">
        <f t="shared" si="3"/>
        <v>1</v>
      </c>
      <c r="L3519" s="25">
        <f t="shared" si="4"/>
        <v>1</v>
      </c>
    </row>
    <row r="3520">
      <c r="A3520" s="19">
        <v>114934.0</v>
      </c>
      <c r="B3520" s="20" t="str">
        <f t="array" ref="B3520">xlookup($A3520,product!$A:$A,product!B:B)</f>
        <v>Alimentation Bébé</v>
      </c>
      <c r="C3520" s="20" t="str">
        <f t="array" ref="C3520">xlookup($A3520,product!$A:$A,product!C:C)</f>
        <v>Boissons bio bébé</v>
      </c>
      <c r="D3520" s="20" t="str">
        <f t="array" ref="D3520">xlookup($A3520,product!$A:$A,product!D:D)</f>
        <v>Tisanes bébé bio</v>
      </c>
      <c r="E3520" s="4" t="str">
        <f t="shared" si="1"/>
        <v>114934-Boissons bio bébé-Tisanes bébé bio</v>
      </c>
      <c r="F3520" s="4">
        <v>1.0</v>
      </c>
      <c r="G3520" s="4">
        <v>235.0</v>
      </c>
      <c r="H3520" s="4">
        <v>165.0</v>
      </c>
      <c r="I3520" s="21">
        <f t="array" ref="I3520">XLOOKUP($A3520,product!A:A,product!E:E)</f>
        <v>1.94</v>
      </c>
      <c r="J3520" s="4">
        <f t="shared" si="2"/>
        <v>320.1</v>
      </c>
      <c r="K3520" s="22">
        <f t="shared" si="3"/>
        <v>1</v>
      </c>
      <c r="L3520" s="4">
        <f t="shared" si="4"/>
        <v>1</v>
      </c>
    </row>
    <row r="3521">
      <c r="A3521" s="23">
        <v>116519.0</v>
      </c>
      <c r="B3521" s="24" t="str">
        <f t="array" ref="B3521">xlookup($A3521,product!$A:$A,product!B:B)</f>
        <v>Alimentation Bébé</v>
      </c>
      <c r="C3521" s="24" t="str">
        <f t="array" ref="C3521">xlookup($A3521,product!$A:$A,product!C:C)</f>
        <v>Boissons bio bébé</v>
      </c>
      <c r="D3521" s="24" t="str">
        <f t="array" ref="D3521">xlookup($A3521,product!$A:$A,product!D:D)</f>
        <v>Boissons bébé lactées</v>
      </c>
      <c r="E3521" s="25" t="str">
        <f t="shared" si="1"/>
        <v>116519-Boissons bio bébé-Boissons bébé lactées</v>
      </c>
      <c r="F3521" s="25">
        <v>0.0</v>
      </c>
      <c r="G3521" s="25">
        <v>614.0</v>
      </c>
      <c r="H3521" s="25">
        <v>140.0</v>
      </c>
      <c r="I3521" s="26">
        <f t="array" ref="I3521">XLOOKUP($A3521,product!A:A,product!E:E)</f>
        <v>1.89</v>
      </c>
      <c r="J3521" s="25">
        <f t="shared" si="2"/>
        <v>264.6</v>
      </c>
      <c r="K3521" s="27">
        <f t="shared" si="3"/>
        <v>1</v>
      </c>
      <c r="L3521" s="25">
        <f t="shared" si="4"/>
        <v>1</v>
      </c>
    </row>
    <row r="3522">
      <c r="A3522" s="19">
        <v>116516.0</v>
      </c>
      <c r="B3522" s="20" t="str">
        <f t="array" ref="B3522">xlookup($A3522,product!$A:$A,product!B:B)</f>
        <v>Alimentation Bébé</v>
      </c>
      <c r="C3522" s="20" t="str">
        <f t="array" ref="C3522">xlookup($A3522,product!$A:$A,product!C:C)</f>
        <v>Boissons bio bébé</v>
      </c>
      <c r="D3522" s="20" t="str">
        <f t="array" ref="D3522">xlookup($A3522,product!$A:$A,product!D:D)</f>
        <v>Boissons bébé lactées</v>
      </c>
      <c r="E3522" s="4" t="str">
        <f t="shared" si="1"/>
        <v>116516-Boissons bio bébé-Boissons bébé lactées</v>
      </c>
      <c r="F3522" s="4">
        <v>0.0</v>
      </c>
      <c r="G3522" s="4">
        <v>791.0</v>
      </c>
      <c r="H3522" s="4">
        <v>275.0</v>
      </c>
      <c r="I3522" s="21">
        <f t="array" ref="I3522">XLOOKUP($A3522,product!A:A,product!E:E)</f>
        <v>1.89</v>
      </c>
      <c r="J3522" s="4">
        <f t="shared" si="2"/>
        <v>519.75</v>
      </c>
      <c r="K3522" s="22">
        <f t="shared" si="3"/>
        <v>1</v>
      </c>
      <c r="L3522" s="4">
        <f t="shared" si="4"/>
        <v>1</v>
      </c>
    </row>
    <row r="3523">
      <c r="A3523" s="23">
        <v>104931.0</v>
      </c>
      <c r="B3523" s="24" t="str">
        <f t="array" ref="B3523">xlookup($A3523,product!$A:$A,product!B:B)</f>
        <v>Enfant</v>
      </c>
      <c r="C3523" s="24" t="str">
        <f t="array" ref="C3523">xlookup($A3523,product!$A:$A,product!C:C)</f>
        <v>Jouets écologiques</v>
      </c>
      <c r="D3523" s="24" t="str">
        <f t="array" ref="D3523">xlookup($A3523,product!$A:$A,product!D:D)</f>
        <v>Puzzles</v>
      </c>
      <c r="E3523" s="25" t="str">
        <f t="shared" si="1"/>
        <v>104931-Jouets écologiques-Puzzles</v>
      </c>
      <c r="F3523" s="25">
        <v>0.0</v>
      </c>
      <c r="G3523" s="25">
        <v>916.0</v>
      </c>
      <c r="H3523" s="25">
        <v>629.0</v>
      </c>
      <c r="I3523" s="26">
        <f t="array" ref="I3523">XLOOKUP($A3523,product!A:A,product!E:E)</f>
        <v>7.12</v>
      </c>
      <c r="J3523" s="25">
        <f t="shared" si="2"/>
        <v>4478.48</v>
      </c>
      <c r="K3523" s="27">
        <f t="shared" si="3"/>
        <v>1</v>
      </c>
      <c r="L3523" s="25">
        <f t="shared" si="4"/>
        <v>1</v>
      </c>
    </row>
    <row r="3524">
      <c r="A3524" s="19">
        <v>105656.0</v>
      </c>
      <c r="B3524" s="20" t="str">
        <f t="array" ref="B3524">xlookup($A3524,product!$A:$A,product!B:B)</f>
        <v>Enfant</v>
      </c>
      <c r="C3524" s="20" t="str">
        <f t="array" ref="C3524">xlookup($A3524,product!$A:$A,product!C:C)</f>
        <v>Jouets écologiques</v>
      </c>
      <c r="D3524" s="20" t="str">
        <f t="array" ref="D3524">xlookup($A3524,product!$A:$A,product!D:D)</f>
        <v>Puzzles</v>
      </c>
      <c r="E3524" s="4" t="str">
        <f t="shared" si="1"/>
        <v>105656-Jouets écologiques-Puzzles</v>
      </c>
      <c r="F3524" s="4">
        <v>0.0</v>
      </c>
      <c r="G3524" s="4">
        <v>621.0</v>
      </c>
      <c r="H3524" s="4">
        <v>149.0</v>
      </c>
      <c r="I3524" s="21">
        <f t="array" ref="I3524">XLOOKUP($A3524,product!A:A,product!E:E)</f>
        <v>11.33</v>
      </c>
      <c r="J3524" s="4">
        <f t="shared" si="2"/>
        <v>1688.17</v>
      </c>
      <c r="K3524" s="22">
        <f t="shared" si="3"/>
        <v>1</v>
      </c>
      <c r="L3524" s="4">
        <f t="shared" si="4"/>
        <v>1</v>
      </c>
    </row>
    <row r="3525">
      <c r="A3525" s="23">
        <v>117702.0</v>
      </c>
      <c r="B3525" s="24" t="str">
        <f t="array" ref="B3525">xlookup($A3525,product!$A:$A,product!B:B)</f>
        <v>Enfant</v>
      </c>
      <c r="C3525" s="24" t="str">
        <f t="array" ref="C3525">xlookup($A3525,product!$A:$A,product!C:C)</f>
        <v>Jouets écologiques</v>
      </c>
      <c r="D3525" s="24" t="str">
        <f t="array" ref="D3525">xlookup($A3525,product!$A:$A,product!D:D)</f>
        <v>Draisiennes</v>
      </c>
      <c r="E3525" s="25" t="str">
        <f t="shared" si="1"/>
        <v>117702-Jouets écologiques-Draisiennes</v>
      </c>
      <c r="F3525" s="25">
        <v>1.0</v>
      </c>
      <c r="G3525" s="25">
        <v>935.0</v>
      </c>
      <c r="H3525" s="25">
        <v>914.0</v>
      </c>
      <c r="I3525" s="26">
        <f t="array" ref="I3525">XLOOKUP($A3525,product!A:A,product!E:E)</f>
        <v>42.89</v>
      </c>
      <c r="J3525" s="25">
        <f t="shared" si="2"/>
        <v>39201.46</v>
      </c>
      <c r="K3525" s="27">
        <f t="shared" si="3"/>
        <v>1</v>
      </c>
      <c r="L3525" s="25">
        <f t="shared" si="4"/>
        <v>1</v>
      </c>
    </row>
    <row r="3526">
      <c r="A3526" s="19">
        <v>88385.0</v>
      </c>
      <c r="B3526" s="20" t="str">
        <f t="array" ref="B3526">xlookup($A3526,product!$A:$A,product!B:B)</f>
        <v>Enfant</v>
      </c>
      <c r="C3526" s="20" t="str">
        <f t="array" ref="C3526">xlookup($A3526,product!$A:$A,product!C:C)</f>
        <v>Jouets écologiques</v>
      </c>
      <c r="D3526" s="20" t="str">
        <f t="array" ref="D3526">xlookup($A3526,product!$A:$A,product!D:D)</f>
        <v>Draisiennes</v>
      </c>
      <c r="E3526" s="4" t="str">
        <f t="shared" si="1"/>
        <v>88385-Jouets écologiques-Draisiennes</v>
      </c>
      <c r="F3526" s="4">
        <v>1.0</v>
      </c>
      <c r="G3526" s="4">
        <v>524.0</v>
      </c>
      <c r="H3526" s="4">
        <v>66.0</v>
      </c>
      <c r="I3526" s="21">
        <f t="array" ref="I3526">XLOOKUP($A3526,product!A:A,product!E:E)</f>
        <v>55.69</v>
      </c>
      <c r="J3526" s="4">
        <f t="shared" si="2"/>
        <v>3675.54</v>
      </c>
      <c r="K3526" s="22">
        <f t="shared" si="3"/>
        <v>1</v>
      </c>
      <c r="L3526" s="4">
        <f t="shared" si="4"/>
        <v>1</v>
      </c>
    </row>
    <row r="3527">
      <c r="A3527" s="23">
        <v>76451.0</v>
      </c>
      <c r="B3527" s="24" t="str">
        <f t="array" ref="B3527">xlookup($A3527,product!$A:$A,product!B:B)</f>
        <v>Enfant</v>
      </c>
      <c r="C3527" s="24" t="str">
        <f t="array" ref="C3527">xlookup($A3527,product!$A:$A,product!C:C)</f>
        <v>Jouets écologiques</v>
      </c>
      <c r="D3527" s="24" t="str">
        <f t="array" ref="D3527">xlookup($A3527,product!$A:$A,product!D:D)</f>
        <v>Jeux Educatifs</v>
      </c>
      <c r="E3527" s="25" t="str">
        <f t="shared" si="1"/>
        <v>76451-Jouets écologiques-Jeux Educatifs</v>
      </c>
      <c r="F3527" s="25">
        <v>1.0</v>
      </c>
      <c r="G3527" s="25">
        <v>490.0</v>
      </c>
      <c r="H3527" s="25">
        <v>212.0</v>
      </c>
      <c r="I3527" s="26">
        <f t="array" ref="I3527">XLOOKUP($A3527,product!A:A,product!E:E)</f>
        <v>5.35</v>
      </c>
      <c r="J3527" s="25">
        <f t="shared" si="2"/>
        <v>1134.2</v>
      </c>
      <c r="K3527" s="27">
        <f t="shared" si="3"/>
        <v>1</v>
      </c>
      <c r="L3527" s="25">
        <f t="shared" si="4"/>
        <v>1</v>
      </c>
    </row>
    <row r="3528">
      <c r="A3528" s="19">
        <v>199950.0</v>
      </c>
      <c r="B3528" s="20" t="str">
        <f t="array" ref="B3528">xlookup($A3528,product!$A:$A,product!B:B)</f>
        <v>Enfant</v>
      </c>
      <c r="C3528" s="20" t="str">
        <f t="array" ref="C3528">xlookup($A3528,product!$A:$A,product!C:C)</f>
        <v>Jouets écologiques</v>
      </c>
      <c r="D3528" s="20" t="str">
        <f t="array" ref="D3528">xlookup($A3528,product!$A:$A,product!D:D)</f>
        <v>Jeux Educatifs</v>
      </c>
      <c r="E3528" s="4" t="str">
        <f t="shared" si="1"/>
        <v>199950-Jouets écologiques-Jeux Educatifs</v>
      </c>
      <c r="F3528" s="4">
        <v>1.0</v>
      </c>
      <c r="G3528" s="4">
        <v>538.0</v>
      </c>
      <c r="H3528" s="4">
        <v>517.0</v>
      </c>
      <c r="I3528" s="21">
        <f t="array" ref="I3528">XLOOKUP($A3528,product!A:A,product!E:E)</f>
        <v>56.78</v>
      </c>
      <c r="J3528" s="4">
        <f t="shared" si="2"/>
        <v>29355.26</v>
      </c>
      <c r="K3528" s="22">
        <f t="shared" si="3"/>
        <v>1</v>
      </c>
      <c r="L3528" s="4">
        <f t="shared" si="4"/>
        <v>1</v>
      </c>
    </row>
    <row r="3529">
      <c r="A3529" s="23">
        <v>121167.0</v>
      </c>
      <c r="B3529" s="24" t="str">
        <f t="array" ref="B3529">xlookup($A3529,product!$A:$A,product!B:B)</f>
        <v>Enfant</v>
      </c>
      <c r="C3529" s="24" t="str">
        <f t="array" ref="C3529">xlookup($A3529,product!$A:$A,product!C:C)</f>
        <v>Jouets écologiques</v>
      </c>
      <c r="D3529" s="24" t="str">
        <f t="array" ref="D3529">xlookup($A3529,product!$A:$A,product!D:D)</f>
        <v>Jeux Educatifs</v>
      </c>
      <c r="E3529" s="25" t="str">
        <f t="shared" si="1"/>
        <v>121167-Jouets écologiques-Jeux Educatifs</v>
      </c>
      <c r="F3529" s="25">
        <v>1.0</v>
      </c>
      <c r="G3529" s="25">
        <v>922.0</v>
      </c>
      <c r="H3529" s="25">
        <v>913.0</v>
      </c>
      <c r="I3529" s="26">
        <f t="array" ref="I3529">XLOOKUP($A3529,product!A:A,product!E:E)</f>
        <v>10.76</v>
      </c>
      <c r="J3529" s="25">
        <f t="shared" si="2"/>
        <v>9823.88</v>
      </c>
      <c r="K3529" s="27">
        <f t="shared" si="3"/>
        <v>1</v>
      </c>
      <c r="L3529" s="25">
        <f t="shared" si="4"/>
        <v>1</v>
      </c>
    </row>
    <row r="3530">
      <c r="A3530" s="19">
        <v>199954.0</v>
      </c>
      <c r="B3530" s="20" t="str">
        <f t="array" ref="B3530">xlookup($A3530,product!$A:$A,product!B:B)</f>
        <v>Enfant</v>
      </c>
      <c r="C3530" s="20" t="str">
        <f t="array" ref="C3530">xlookup($A3530,product!$A:$A,product!C:C)</f>
        <v>Jouets écologiques</v>
      </c>
      <c r="D3530" s="20" t="str">
        <f t="array" ref="D3530">xlookup($A3530,product!$A:$A,product!D:D)</f>
        <v>Jeux Educatifs</v>
      </c>
      <c r="E3530" s="4" t="str">
        <f t="shared" si="1"/>
        <v>199954-Jouets écologiques-Jeux Educatifs</v>
      </c>
      <c r="F3530" s="4">
        <v>1.0</v>
      </c>
      <c r="G3530" s="4">
        <v>665.0</v>
      </c>
      <c r="H3530" s="4">
        <v>254.0</v>
      </c>
      <c r="I3530" s="21">
        <f t="array" ref="I3530">XLOOKUP($A3530,product!A:A,product!E:E)</f>
        <v>9.19</v>
      </c>
      <c r="J3530" s="4">
        <f t="shared" si="2"/>
        <v>2334.26</v>
      </c>
      <c r="K3530" s="22">
        <f t="shared" si="3"/>
        <v>1</v>
      </c>
      <c r="L3530" s="4">
        <f t="shared" si="4"/>
        <v>1</v>
      </c>
    </row>
    <row r="3531">
      <c r="A3531" s="23">
        <v>190713.0</v>
      </c>
      <c r="B3531" s="24" t="str">
        <f t="array" ref="B3531">xlookup($A3531,product!$A:$A,product!B:B)</f>
        <v>Enfant</v>
      </c>
      <c r="C3531" s="24" t="str">
        <f t="array" ref="C3531">xlookup($A3531,product!$A:$A,product!C:C)</f>
        <v>Jouets écologiques</v>
      </c>
      <c r="D3531" s="24" t="str">
        <f t="array" ref="D3531">xlookup($A3531,product!$A:$A,product!D:D)</f>
        <v>Jeux Educatifs</v>
      </c>
      <c r="E3531" s="25" t="str">
        <f t="shared" si="1"/>
        <v>190713-Jouets écologiques-Jeux Educatifs</v>
      </c>
      <c r="F3531" s="25">
        <v>0.0</v>
      </c>
      <c r="G3531" s="25">
        <v>251.0</v>
      </c>
      <c r="H3531" s="25">
        <v>14.0</v>
      </c>
      <c r="I3531" s="26">
        <f t="array" ref="I3531">XLOOKUP($A3531,product!A:A,product!E:E)</f>
        <v>8.43</v>
      </c>
      <c r="J3531" s="25">
        <f t="shared" si="2"/>
        <v>118.02</v>
      </c>
      <c r="K3531" s="27">
        <f t="shared" si="3"/>
        <v>1</v>
      </c>
      <c r="L3531" s="25">
        <f t="shared" si="4"/>
        <v>1</v>
      </c>
    </row>
    <row r="3532">
      <c r="A3532" s="19">
        <v>199951.0</v>
      </c>
      <c r="B3532" s="20" t="str">
        <f t="array" ref="B3532">xlookup($A3532,product!$A:$A,product!B:B)</f>
        <v>Enfant</v>
      </c>
      <c r="C3532" s="20" t="str">
        <f t="array" ref="C3532">xlookup($A3532,product!$A:$A,product!C:C)</f>
        <v>Jouets écologiques</v>
      </c>
      <c r="D3532" s="20" t="str">
        <f t="array" ref="D3532">xlookup($A3532,product!$A:$A,product!D:D)</f>
        <v>Jeux Educatifs</v>
      </c>
      <c r="E3532" s="4" t="str">
        <f t="shared" si="1"/>
        <v>199951-Jouets écologiques-Jeux Educatifs</v>
      </c>
      <c r="F3532" s="4">
        <v>0.0</v>
      </c>
      <c r="G3532" s="4">
        <v>592.0</v>
      </c>
      <c r="H3532" s="4">
        <v>567.0</v>
      </c>
      <c r="I3532" s="21">
        <f t="array" ref="I3532">XLOOKUP($A3532,product!A:A,product!E:E)</f>
        <v>9.19</v>
      </c>
      <c r="J3532" s="4">
        <f t="shared" si="2"/>
        <v>5210.73</v>
      </c>
      <c r="K3532" s="22">
        <f t="shared" si="3"/>
        <v>1</v>
      </c>
      <c r="L3532" s="4">
        <f t="shared" si="4"/>
        <v>1</v>
      </c>
    </row>
    <row r="3533">
      <c r="A3533" s="23">
        <v>85263.0</v>
      </c>
      <c r="B3533" s="24" t="str">
        <f t="array" ref="B3533">xlookup($A3533,product!$A:$A,product!B:B)</f>
        <v>Enfant</v>
      </c>
      <c r="C3533" s="24" t="str">
        <f t="array" ref="C3533">xlookup($A3533,product!$A:$A,product!C:C)</f>
        <v>Jouets écologiques</v>
      </c>
      <c r="D3533" s="24" t="str">
        <f t="array" ref="D3533">xlookup($A3533,product!$A:$A,product!D:D)</f>
        <v>Jeux Educatifs</v>
      </c>
      <c r="E3533" s="25" t="str">
        <f t="shared" si="1"/>
        <v>85263-Jouets écologiques-Jeux Educatifs</v>
      </c>
      <c r="F3533" s="25">
        <v>1.0</v>
      </c>
      <c r="G3533" s="25">
        <v>617.0</v>
      </c>
      <c r="H3533" s="25">
        <v>471.0</v>
      </c>
      <c r="I3533" s="26">
        <f t="array" ref="I3533">XLOOKUP($A3533,product!A:A,product!E:E)</f>
        <v>7.47</v>
      </c>
      <c r="J3533" s="25">
        <f t="shared" si="2"/>
        <v>3518.37</v>
      </c>
      <c r="K3533" s="27">
        <f t="shared" si="3"/>
        <v>1</v>
      </c>
      <c r="L3533" s="25">
        <f t="shared" si="4"/>
        <v>1</v>
      </c>
    </row>
    <row r="3534">
      <c r="A3534" s="19">
        <v>180016.0</v>
      </c>
      <c r="B3534" s="20" t="str">
        <f t="array" ref="B3534">xlookup($A3534,product!$A:$A,product!B:B)</f>
        <v>Enfant</v>
      </c>
      <c r="C3534" s="20" t="str">
        <f t="array" ref="C3534">xlookup($A3534,product!$A:$A,product!C:C)</f>
        <v>Jouets écologiques</v>
      </c>
      <c r="D3534" s="20" t="str">
        <f t="array" ref="D3534">xlookup($A3534,product!$A:$A,product!D:D)</f>
        <v>Jouets musicaux</v>
      </c>
      <c r="E3534" s="4" t="str">
        <f t="shared" si="1"/>
        <v>180016-Jouets écologiques-Jouets musicaux</v>
      </c>
      <c r="F3534" s="4">
        <v>0.0</v>
      </c>
      <c r="G3534" s="4">
        <v>710.0</v>
      </c>
      <c r="H3534" s="4">
        <v>413.0</v>
      </c>
      <c r="I3534" s="21">
        <f t="array" ref="I3534">XLOOKUP($A3534,product!A:A,product!E:E)</f>
        <v>33.63</v>
      </c>
      <c r="J3534" s="4">
        <f t="shared" si="2"/>
        <v>13889.19</v>
      </c>
      <c r="K3534" s="22">
        <f t="shared" si="3"/>
        <v>1</v>
      </c>
      <c r="L3534" s="4">
        <f t="shared" si="4"/>
        <v>1</v>
      </c>
    </row>
    <row r="3535">
      <c r="A3535" s="23">
        <v>129432.0</v>
      </c>
      <c r="B3535" s="24" t="str">
        <f t="array" ref="B3535">xlookup($A3535,product!$A:$A,product!B:B)</f>
        <v>Enfant</v>
      </c>
      <c r="C3535" s="24" t="str">
        <f t="array" ref="C3535">xlookup($A3535,product!$A:$A,product!C:C)</f>
        <v>Jouets écologiques</v>
      </c>
      <c r="D3535" s="24" t="str">
        <f t="array" ref="D3535">xlookup($A3535,product!$A:$A,product!D:D)</f>
        <v>Jouets musicaux</v>
      </c>
      <c r="E3535" s="25" t="str">
        <f t="shared" si="1"/>
        <v>129432-Jouets écologiques-Jouets musicaux</v>
      </c>
      <c r="F3535" s="25">
        <v>0.0</v>
      </c>
      <c r="G3535" s="25">
        <v>45.0</v>
      </c>
      <c r="H3535" s="25">
        <v>4.0</v>
      </c>
      <c r="I3535" s="26">
        <f t="array" ref="I3535">XLOOKUP($A3535,product!A:A,product!E:E)</f>
        <v>17.54</v>
      </c>
      <c r="J3535" s="25">
        <f t="shared" si="2"/>
        <v>70.16</v>
      </c>
      <c r="K3535" s="27">
        <f t="shared" si="3"/>
        <v>1</v>
      </c>
      <c r="L3535" s="25">
        <f t="shared" si="4"/>
        <v>1</v>
      </c>
    </row>
    <row r="3536">
      <c r="A3536" s="19">
        <v>120052.0</v>
      </c>
      <c r="B3536" s="20" t="str">
        <f t="array" ref="B3536">xlookup($A3536,product!$A:$A,product!B:B)</f>
        <v>Enfant</v>
      </c>
      <c r="C3536" s="20" t="str">
        <f t="array" ref="C3536">xlookup($A3536,product!$A:$A,product!C:C)</f>
        <v>Jouets écologiques</v>
      </c>
      <c r="D3536" s="20" t="str">
        <f t="array" ref="D3536">xlookup($A3536,product!$A:$A,product!D:D)</f>
        <v>Jouets musicaux</v>
      </c>
      <c r="E3536" s="4" t="str">
        <f t="shared" si="1"/>
        <v>120052-Jouets écologiques-Jouets musicaux</v>
      </c>
      <c r="F3536" s="4">
        <v>1.0</v>
      </c>
      <c r="G3536" s="4">
        <v>511.0</v>
      </c>
      <c r="H3536" s="4">
        <v>424.0</v>
      </c>
      <c r="I3536" s="21">
        <f t="array" ref="I3536">XLOOKUP($A3536,product!A:A,product!E:E)</f>
        <v>18.59</v>
      </c>
      <c r="J3536" s="4">
        <f t="shared" si="2"/>
        <v>7882.16</v>
      </c>
      <c r="K3536" s="22">
        <f t="shared" si="3"/>
        <v>1</v>
      </c>
      <c r="L3536" s="4">
        <f t="shared" si="4"/>
        <v>1</v>
      </c>
    </row>
    <row r="3537">
      <c r="A3537" s="23">
        <v>111876.0</v>
      </c>
      <c r="B3537" s="24" t="str">
        <f t="array" ref="B3537">xlookup($A3537,product!$A:$A,product!B:B)</f>
        <v>Enfant</v>
      </c>
      <c r="C3537" s="24" t="str">
        <f t="array" ref="C3537">xlookup($A3537,product!$A:$A,product!C:C)</f>
        <v>Jouets écologiques</v>
      </c>
      <c r="D3537" s="24" t="str">
        <f t="array" ref="D3537">xlookup($A3537,product!$A:$A,product!D:D)</f>
        <v>Jeux d'imitation</v>
      </c>
      <c r="E3537" s="25" t="str">
        <f t="shared" si="1"/>
        <v>111876-Jouets écologiques-Jeux d'imitation</v>
      </c>
      <c r="F3537" s="25">
        <v>0.0</v>
      </c>
      <c r="G3537" s="25">
        <v>712.0</v>
      </c>
      <c r="H3537" s="25">
        <v>665.0</v>
      </c>
      <c r="I3537" s="26">
        <f t="array" ref="I3537">XLOOKUP($A3537,product!A:A,product!E:E)</f>
        <v>23.48</v>
      </c>
      <c r="J3537" s="25">
        <f t="shared" si="2"/>
        <v>15614.2</v>
      </c>
      <c r="K3537" s="27">
        <f t="shared" si="3"/>
        <v>1</v>
      </c>
      <c r="L3537" s="25">
        <f t="shared" si="4"/>
        <v>1</v>
      </c>
    </row>
    <row r="3538">
      <c r="A3538" s="19">
        <v>85092.0</v>
      </c>
      <c r="B3538" s="20" t="str">
        <f t="array" ref="B3538">xlookup($A3538,product!$A:$A,product!B:B)</f>
        <v>Enfant</v>
      </c>
      <c r="C3538" s="20" t="str">
        <f t="array" ref="C3538">xlookup($A3538,product!$A:$A,product!C:C)</f>
        <v>Jouets écologiques</v>
      </c>
      <c r="D3538" s="20" t="str">
        <f t="array" ref="D3538">xlookup($A3538,product!$A:$A,product!D:D)</f>
        <v>Jeux de société</v>
      </c>
      <c r="E3538" s="4" t="str">
        <f t="shared" si="1"/>
        <v>85092-Jouets écologiques-Jeux de société</v>
      </c>
      <c r="F3538" s="4">
        <v>0.0</v>
      </c>
      <c r="G3538" s="4">
        <v>233.0</v>
      </c>
      <c r="H3538" s="4">
        <v>194.0</v>
      </c>
      <c r="I3538" s="21">
        <f t="array" ref="I3538">XLOOKUP($A3538,product!A:A,product!E:E)</f>
        <v>5.41</v>
      </c>
      <c r="J3538" s="4">
        <f t="shared" si="2"/>
        <v>1049.54</v>
      </c>
      <c r="K3538" s="22">
        <f t="shared" si="3"/>
        <v>1</v>
      </c>
      <c r="L3538" s="4">
        <f t="shared" si="4"/>
        <v>1</v>
      </c>
    </row>
    <row r="3539">
      <c r="A3539" s="23">
        <v>121046.0</v>
      </c>
      <c r="B3539" s="24" t="str">
        <f t="array" ref="B3539">xlookup($A3539,product!$A:$A,product!B:B)</f>
        <v>Enfant</v>
      </c>
      <c r="C3539" s="24" t="str">
        <f t="array" ref="C3539">xlookup($A3539,product!$A:$A,product!C:C)</f>
        <v>Jouets écologiques</v>
      </c>
      <c r="D3539" s="24" t="str">
        <f t="array" ref="D3539">xlookup($A3539,product!$A:$A,product!D:D)</f>
        <v>Jeux de société</v>
      </c>
      <c r="E3539" s="25" t="str">
        <f t="shared" si="1"/>
        <v>121046-Jouets écologiques-Jeux de société</v>
      </c>
      <c r="F3539" s="25">
        <v>1.0</v>
      </c>
      <c r="G3539" s="25">
        <v>360.0</v>
      </c>
      <c r="H3539" s="25">
        <v>359.0</v>
      </c>
      <c r="I3539" s="26">
        <f t="array" ref="I3539">XLOOKUP($A3539,product!A:A,product!E:E)</f>
        <v>10.98</v>
      </c>
      <c r="J3539" s="25">
        <f t="shared" si="2"/>
        <v>3941.82</v>
      </c>
      <c r="K3539" s="27">
        <f t="shared" si="3"/>
        <v>1</v>
      </c>
      <c r="L3539" s="25">
        <f t="shared" si="4"/>
        <v>1</v>
      </c>
    </row>
    <row r="3540">
      <c r="A3540" s="19">
        <v>849.0</v>
      </c>
      <c r="B3540" s="20" t="str">
        <f t="array" ref="B3540">xlookup($A3540,product!$A:$A,product!B:B)</f>
        <v>Enfant</v>
      </c>
      <c r="C3540" s="20" t="str">
        <f t="array" ref="C3540">xlookup($A3540,product!$A:$A,product!C:C)</f>
        <v>Jouets écologiques</v>
      </c>
      <c r="D3540" s="20" t="str">
        <f t="array" ref="D3540">xlookup($A3540,product!$A:$A,product!D:D)</f>
        <v>Jeux de société</v>
      </c>
      <c r="E3540" s="4" t="str">
        <f t="shared" si="1"/>
        <v>849-Jouets écologiques-Jeux de société</v>
      </c>
      <c r="F3540" s="4">
        <v>0.0</v>
      </c>
      <c r="G3540" s="4">
        <v>127.0</v>
      </c>
      <c r="H3540" s="4">
        <v>112.0</v>
      </c>
      <c r="I3540" s="21">
        <f t="array" ref="I3540">XLOOKUP($A3540,product!A:A,product!E:E)</f>
        <v>5.27</v>
      </c>
      <c r="J3540" s="4">
        <f t="shared" si="2"/>
        <v>590.24</v>
      </c>
      <c r="K3540" s="22">
        <f t="shared" si="3"/>
        <v>1</v>
      </c>
      <c r="L3540" s="4">
        <f t="shared" si="4"/>
        <v>1</v>
      </c>
    </row>
    <row r="3541">
      <c r="A3541" s="23">
        <v>21662.0</v>
      </c>
      <c r="B3541" s="24" t="str">
        <f t="array" ref="B3541">xlookup($A3541,product!$A:$A,product!B:B)</f>
        <v>Enfant</v>
      </c>
      <c r="C3541" s="24" t="str">
        <f t="array" ref="C3541">xlookup($A3541,product!$A:$A,product!C:C)</f>
        <v>Jouets écologiques</v>
      </c>
      <c r="D3541" s="24" t="str">
        <f t="array" ref="D3541">xlookup($A3541,product!$A:$A,product!D:D)</f>
        <v>Jeux de société</v>
      </c>
      <c r="E3541" s="25" t="str">
        <f t="shared" si="1"/>
        <v>21662-Jouets écologiques-Jeux de société</v>
      </c>
      <c r="F3541" s="25">
        <v>0.0</v>
      </c>
      <c r="G3541" s="25">
        <v>906.0</v>
      </c>
      <c r="H3541" s="25">
        <v>896.0</v>
      </c>
      <c r="I3541" s="26">
        <f t="array" ref="I3541">XLOOKUP($A3541,product!A:A,product!E:E)</f>
        <v>13.36</v>
      </c>
      <c r="J3541" s="25">
        <f t="shared" si="2"/>
        <v>11970.56</v>
      </c>
      <c r="K3541" s="27">
        <f t="shared" si="3"/>
        <v>1</v>
      </c>
      <c r="L3541" s="25">
        <f t="shared" si="4"/>
        <v>1</v>
      </c>
    </row>
    <row r="3542">
      <c r="A3542" s="19">
        <v>127038.0</v>
      </c>
      <c r="B3542" s="20" t="str">
        <f t="array" ref="B3542">xlookup($A3542,product!$A:$A,product!B:B)</f>
        <v>Enfant</v>
      </c>
      <c r="C3542" s="20" t="str">
        <f t="array" ref="C3542">xlookup($A3542,product!$A:$A,product!C:C)</f>
        <v>Jouets écologiques</v>
      </c>
      <c r="D3542" s="20" t="str">
        <f t="array" ref="D3542">xlookup($A3542,product!$A:$A,product!D:D)</f>
        <v>Jeux de société</v>
      </c>
      <c r="E3542" s="4" t="str">
        <f t="shared" si="1"/>
        <v>127038-Jouets écologiques-Jeux de société</v>
      </c>
      <c r="F3542" s="4">
        <v>0.0</v>
      </c>
      <c r="G3542" s="4">
        <v>850.0</v>
      </c>
      <c r="H3542" s="4">
        <v>561.0</v>
      </c>
      <c r="I3542" s="21">
        <f t="array" ref="I3542">XLOOKUP($A3542,product!A:A,product!E:E)</f>
        <v>21.62</v>
      </c>
      <c r="J3542" s="4">
        <f t="shared" si="2"/>
        <v>12128.82</v>
      </c>
      <c r="K3542" s="22">
        <f t="shared" si="3"/>
        <v>1</v>
      </c>
      <c r="L3542" s="4">
        <f t="shared" si="4"/>
        <v>1</v>
      </c>
    </row>
    <row r="3543">
      <c r="A3543" s="23">
        <v>91954.0</v>
      </c>
      <c r="B3543" s="24" t="str">
        <f t="array" ref="B3543">xlookup($A3543,product!$A:$A,product!B:B)</f>
        <v>Enfant</v>
      </c>
      <c r="C3543" s="24" t="str">
        <f t="array" ref="C3543">xlookup($A3543,product!$A:$A,product!C:C)</f>
        <v>Jouets écologiques</v>
      </c>
      <c r="D3543" s="24" t="str">
        <f t="array" ref="D3543">xlookup($A3543,product!$A:$A,product!D:D)</f>
        <v>Jeux de société</v>
      </c>
      <c r="E3543" s="25" t="str">
        <f t="shared" si="1"/>
        <v>91954-Jouets écologiques-Jeux de société</v>
      </c>
      <c r="F3543" s="25">
        <v>1.0</v>
      </c>
      <c r="G3543" s="25">
        <v>746.0</v>
      </c>
      <c r="H3543" s="25">
        <v>101.0</v>
      </c>
      <c r="I3543" s="26">
        <f t="array" ref="I3543">XLOOKUP($A3543,product!A:A,product!E:E)</f>
        <v>15.36</v>
      </c>
      <c r="J3543" s="25">
        <f t="shared" si="2"/>
        <v>1551.36</v>
      </c>
      <c r="K3543" s="27">
        <f t="shared" si="3"/>
        <v>1</v>
      </c>
      <c r="L3543" s="25">
        <f t="shared" si="4"/>
        <v>1</v>
      </c>
    </row>
    <row r="3544">
      <c r="A3544" s="19">
        <v>96365.0</v>
      </c>
      <c r="B3544" s="20" t="str">
        <f t="array" ref="B3544">xlookup($A3544,product!$A:$A,product!B:B)</f>
        <v>Enfant</v>
      </c>
      <c r="C3544" s="20" t="str">
        <f t="array" ref="C3544">xlookup($A3544,product!$A:$A,product!C:C)</f>
        <v>Jouets écologiques</v>
      </c>
      <c r="D3544" s="20" t="str">
        <f t="array" ref="D3544">xlookup($A3544,product!$A:$A,product!D:D)</f>
        <v>Eveil &amp; Découverte</v>
      </c>
      <c r="E3544" s="4" t="str">
        <f t="shared" si="1"/>
        <v>96365-Jouets écologiques-Eveil &amp; Découverte</v>
      </c>
      <c r="F3544" s="4">
        <v>1.0</v>
      </c>
      <c r="G3544" s="4">
        <v>190.0</v>
      </c>
      <c r="H3544" s="4">
        <v>24.0</v>
      </c>
      <c r="I3544" s="21">
        <f t="array" ref="I3544">XLOOKUP($A3544,product!A:A,product!E:E)</f>
        <v>9.2</v>
      </c>
      <c r="J3544" s="4">
        <f t="shared" si="2"/>
        <v>220.8</v>
      </c>
      <c r="K3544" s="22">
        <f t="shared" si="3"/>
        <v>1</v>
      </c>
      <c r="L3544" s="4">
        <f t="shared" si="4"/>
        <v>1</v>
      </c>
    </row>
    <row r="3545">
      <c r="A3545" s="23">
        <v>121172.0</v>
      </c>
      <c r="B3545" s="24" t="str">
        <f t="array" ref="B3545">xlookup($A3545,product!$A:$A,product!B:B)</f>
        <v>Enfant</v>
      </c>
      <c r="C3545" s="24" t="str">
        <f t="array" ref="C3545">xlookup($A3545,product!$A:$A,product!C:C)</f>
        <v>Jouets écologiques</v>
      </c>
      <c r="D3545" s="24" t="str">
        <f t="array" ref="D3545">xlookup($A3545,product!$A:$A,product!D:D)</f>
        <v>Eveil &amp; Découverte</v>
      </c>
      <c r="E3545" s="25" t="str">
        <f t="shared" si="1"/>
        <v>121172-Jouets écologiques-Eveil &amp; Découverte</v>
      </c>
      <c r="F3545" s="25">
        <v>0.0</v>
      </c>
      <c r="G3545" s="25">
        <v>562.0</v>
      </c>
      <c r="H3545" s="25">
        <v>67.0</v>
      </c>
      <c r="I3545" s="26">
        <f t="array" ref="I3545">XLOOKUP($A3545,product!A:A,product!E:E)</f>
        <v>11.33</v>
      </c>
      <c r="J3545" s="25">
        <f t="shared" si="2"/>
        <v>759.11</v>
      </c>
      <c r="K3545" s="27">
        <f t="shared" si="3"/>
        <v>1</v>
      </c>
      <c r="L3545" s="25">
        <f t="shared" si="4"/>
        <v>1</v>
      </c>
    </row>
    <row r="3546">
      <c r="A3546" s="19">
        <v>74331.0</v>
      </c>
      <c r="B3546" s="20" t="str">
        <f t="array" ref="B3546">xlookup($A3546,product!$A:$A,product!B:B)</f>
        <v>Enfant</v>
      </c>
      <c r="C3546" s="20" t="str">
        <f t="array" ref="C3546">xlookup($A3546,product!$A:$A,product!C:C)</f>
        <v>Jouets écologiques</v>
      </c>
      <c r="D3546" s="20" t="str">
        <f t="array" ref="D3546">xlookup($A3546,product!$A:$A,product!D:D)</f>
        <v>Eveil &amp; Découverte</v>
      </c>
      <c r="E3546" s="4" t="str">
        <f t="shared" si="1"/>
        <v>74331-Jouets écologiques-Eveil &amp; Découverte</v>
      </c>
      <c r="F3546" s="4">
        <v>1.0</v>
      </c>
      <c r="G3546" s="4">
        <v>24.0</v>
      </c>
      <c r="H3546" s="4">
        <v>14.0</v>
      </c>
      <c r="I3546" s="21">
        <f t="array" ref="I3546">XLOOKUP($A3546,product!A:A,product!E:E)</f>
        <v>12.2</v>
      </c>
      <c r="J3546" s="4">
        <f t="shared" si="2"/>
        <v>170.8</v>
      </c>
      <c r="K3546" s="22">
        <f t="shared" si="3"/>
        <v>1</v>
      </c>
      <c r="L3546" s="4">
        <f t="shared" si="4"/>
        <v>1</v>
      </c>
    </row>
    <row r="3547">
      <c r="A3547" s="23">
        <v>105657.0</v>
      </c>
      <c r="B3547" s="24" t="str">
        <f t="array" ref="B3547">xlookup($A3547,product!$A:$A,product!B:B)</f>
        <v>Enfant</v>
      </c>
      <c r="C3547" s="24" t="str">
        <f t="array" ref="C3547">xlookup($A3547,product!$A:$A,product!C:C)</f>
        <v>Jouets écologiques</v>
      </c>
      <c r="D3547" s="24" t="str">
        <f t="array" ref="D3547">xlookup($A3547,product!$A:$A,product!D:D)</f>
        <v>Eveil &amp; Découverte</v>
      </c>
      <c r="E3547" s="25" t="str">
        <f t="shared" si="1"/>
        <v>105657-Jouets écologiques-Eveil &amp; Découverte</v>
      </c>
      <c r="F3547" s="25">
        <v>1.0</v>
      </c>
      <c r="G3547" s="25">
        <v>199.0</v>
      </c>
      <c r="H3547" s="25">
        <v>104.0</v>
      </c>
      <c r="I3547" s="26">
        <f t="array" ref="I3547">XLOOKUP($A3547,product!A:A,product!E:E)</f>
        <v>15.42</v>
      </c>
      <c r="J3547" s="25">
        <f t="shared" si="2"/>
        <v>1603.68</v>
      </c>
      <c r="K3547" s="27">
        <f t="shared" si="3"/>
        <v>1</v>
      </c>
      <c r="L3547" s="25">
        <f t="shared" si="4"/>
        <v>1</v>
      </c>
    </row>
    <row r="3548">
      <c r="A3548" s="19">
        <v>113716.0</v>
      </c>
      <c r="B3548" s="20" t="str">
        <f t="array" ref="B3548">xlookup($A3548,product!$A:$A,product!B:B)</f>
        <v>Enfant</v>
      </c>
      <c r="C3548" s="20" t="str">
        <f t="array" ref="C3548">xlookup($A3548,product!$A:$A,product!C:C)</f>
        <v>Jouets écologiques</v>
      </c>
      <c r="D3548" s="20" t="str">
        <f t="array" ref="D3548">xlookup($A3548,product!$A:$A,product!D:D)</f>
        <v>Eveil &amp; Découverte</v>
      </c>
      <c r="E3548" s="4" t="str">
        <f t="shared" si="1"/>
        <v>113716-Jouets écologiques-Eveil &amp; Découverte</v>
      </c>
      <c r="F3548" s="4">
        <v>1.0</v>
      </c>
      <c r="G3548" s="4">
        <v>153.0</v>
      </c>
      <c r="H3548" s="4">
        <v>127.0</v>
      </c>
      <c r="I3548" s="21">
        <f t="array" ref="I3548">XLOOKUP($A3548,product!A:A,product!E:E)</f>
        <v>14.6</v>
      </c>
      <c r="J3548" s="4">
        <f t="shared" si="2"/>
        <v>1854.2</v>
      </c>
      <c r="K3548" s="22">
        <f t="shared" si="3"/>
        <v>1</v>
      </c>
      <c r="L3548" s="4">
        <f t="shared" si="4"/>
        <v>1</v>
      </c>
    </row>
    <row r="3549">
      <c r="A3549" s="23">
        <v>104510.0</v>
      </c>
      <c r="B3549" s="24" t="str">
        <f t="array" ref="B3549">xlookup($A3549,product!$A:$A,product!B:B)</f>
        <v>Enfant</v>
      </c>
      <c r="C3549" s="24" t="str">
        <f t="array" ref="C3549">xlookup($A3549,product!$A:$A,product!C:C)</f>
        <v>Jouets écologiques</v>
      </c>
      <c r="D3549" s="24" t="str">
        <f t="array" ref="D3549">xlookup($A3549,product!$A:$A,product!D:D)</f>
        <v>Eveil &amp; Découverte</v>
      </c>
      <c r="E3549" s="25" t="str">
        <f t="shared" si="1"/>
        <v>104510-Jouets écologiques-Eveil &amp; Découverte</v>
      </c>
      <c r="F3549" s="25">
        <v>0.0</v>
      </c>
      <c r="G3549" s="25">
        <v>888.0</v>
      </c>
      <c r="H3549" s="25">
        <v>460.0</v>
      </c>
      <c r="I3549" s="26">
        <f t="array" ref="I3549">XLOOKUP($A3549,product!A:A,product!E:E)</f>
        <v>5.08</v>
      </c>
      <c r="J3549" s="25">
        <f t="shared" si="2"/>
        <v>2336.8</v>
      </c>
      <c r="K3549" s="27">
        <f t="shared" si="3"/>
        <v>1</v>
      </c>
      <c r="L3549" s="25">
        <f t="shared" si="4"/>
        <v>1</v>
      </c>
    </row>
    <row r="3550">
      <c r="A3550" s="19">
        <v>105059.0</v>
      </c>
      <c r="B3550" s="20" t="str">
        <f t="array" ref="B3550">xlookup($A3550,product!$A:$A,product!B:B)</f>
        <v>Enfant</v>
      </c>
      <c r="C3550" s="20" t="str">
        <f t="array" ref="C3550">xlookup($A3550,product!$A:$A,product!C:C)</f>
        <v>Jouets écologiques</v>
      </c>
      <c r="D3550" s="20" t="str">
        <f t="array" ref="D3550">xlookup($A3550,product!$A:$A,product!D:D)</f>
        <v>Eveil &amp; Découverte</v>
      </c>
      <c r="E3550" s="4" t="str">
        <f t="shared" si="1"/>
        <v>105059-Jouets écologiques-Eveil &amp; Découverte</v>
      </c>
      <c r="F3550" s="4">
        <v>1.0</v>
      </c>
      <c r="G3550" s="4">
        <v>671.0</v>
      </c>
      <c r="H3550" s="4">
        <v>464.0</v>
      </c>
      <c r="I3550" s="21">
        <f t="array" ref="I3550">XLOOKUP($A3550,product!A:A,product!E:E)</f>
        <v>8.13</v>
      </c>
      <c r="J3550" s="4">
        <f t="shared" si="2"/>
        <v>3772.32</v>
      </c>
      <c r="K3550" s="22">
        <f t="shared" si="3"/>
        <v>1</v>
      </c>
      <c r="L3550" s="4">
        <f t="shared" si="4"/>
        <v>1</v>
      </c>
    </row>
    <row r="3551">
      <c r="A3551" s="23">
        <v>63608.0</v>
      </c>
      <c r="B3551" s="24" t="str">
        <f t="array" ref="B3551">xlookup($A3551,product!$A:$A,product!B:B)</f>
        <v>Enfant</v>
      </c>
      <c r="C3551" s="24" t="str">
        <f t="array" ref="C3551">xlookup($A3551,product!$A:$A,product!C:C)</f>
        <v>Jouets écologiques</v>
      </c>
      <c r="D3551" s="24" t="str">
        <f t="array" ref="D3551">xlookup($A3551,product!$A:$A,product!D:D)</f>
        <v>Eveil &amp; Découverte</v>
      </c>
      <c r="E3551" s="25" t="str">
        <f t="shared" si="1"/>
        <v>63608-Jouets écologiques-Eveil &amp; Découverte</v>
      </c>
      <c r="F3551" s="25">
        <v>0.0</v>
      </c>
      <c r="G3551" s="25">
        <v>293.0</v>
      </c>
      <c r="H3551" s="25">
        <v>144.0</v>
      </c>
      <c r="I3551" s="26">
        <f t="array" ref="I3551">XLOOKUP($A3551,product!A:A,product!E:E)</f>
        <v>8.38</v>
      </c>
      <c r="J3551" s="25">
        <f t="shared" si="2"/>
        <v>1206.72</v>
      </c>
      <c r="K3551" s="27">
        <f t="shared" si="3"/>
        <v>1</v>
      </c>
      <c r="L3551" s="25">
        <f t="shared" si="4"/>
        <v>1</v>
      </c>
    </row>
    <row r="3552">
      <c r="A3552" s="19">
        <v>121095.0</v>
      </c>
      <c r="B3552" s="20" t="str">
        <f t="array" ref="B3552">xlookup($A3552,product!$A:$A,product!B:B)</f>
        <v>Enfant</v>
      </c>
      <c r="C3552" s="20" t="str">
        <f t="array" ref="C3552">xlookup($A3552,product!$A:$A,product!C:C)</f>
        <v>Jouets écologiques</v>
      </c>
      <c r="D3552" s="20" t="str">
        <f t="array" ref="D3552">xlookup($A3552,product!$A:$A,product!D:D)</f>
        <v>Eveil &amp; Découverte</v>
      </c>
      <c r="E3552" s="4" t="str">
        <f t="shared" si="1"/>
        <v>121095-Jouets écologiques-Eveil &amp; Découverte</v>
      </c>
      <c r="F3552" s="4">
        <v>0.0</v>
      </c>
      <c r="G3552" s="4">
        <v>508.0</v>
      </c>
      <c r="H3552" s="4">
        <v>270.0</v>
      </c>
      <c r="I3552" s="21">
        <f t="array" ref="I3552">XLOOKUP($A3552,product!A:A,product!E:E)</f>
        <v>26.49</v>
      </c>
      <c r="J3552" s="4">
        <f t="shared" si="2"/>
        <v>7152.3</v>
      </c>
      <c r="K3552" s="22">
        <f t="shared" si="3"/>
        <v>1</v>
      </c>
      <c r="L3552" s="4">
        <f t="shared" si="4"/>
        <v>1</v>
      </c>
    </row>
    <row r="3553">
      <c r="A3553" s="23">
        <v>76450.0</v>
      </c>
      <c r="B3553" s="24" t="str">
        <f t="array" ref="B3553">xlookup($A3553,product!$A:$A,product!B:B)</f>
        <v>Enfant</v>
      </c>
      <c r="C3553" s="24" t="str">
        <f t="array" ref="C3553">xlookup($A3553,product!$A:$A,product!C:C)</f>
        <v>Jouets écologiques</v>
      </c>
      <c r="D3553" s="24" t="str">
        <f t="array" ref="D3553">xlookup($A3553,product!$A:$A,product!D:D)</f>
        <v>Eveil &amp; Découverte</v>
      </c>
      <c r="E3553" s="25" t="str">
        <f t="shared" si="1"/>
        <v>76450-Jouets écologiques-Eveil &amp; Découverte</v>
      </c>
      <c r="F3553" s="25">
        <v>0.0</v>
      </c>
      <c r="G3553" s="25">
        <v>157.0</v>
      </c>
      <c r="H3553" s="25">
        <v>7.0</v>
      </c>
      <c r="I3553" s="26">
        <f t="array" ref="I3553">XLOOKUP($A3553,product!A:A,product!E:E)</f>
        <v>11.63</v>
      </c>
      <c r="J3553" s="25">
        <f t="shared" si="2"/>
        <v>81.41</v>
      </c>
      <c r="K3553" s="27">
        <f t="shared" si="3"/>
        <v>1</v>
      </c>
      <c r="L3553" s="25">
        <f t="shared" si="4"/>
        <v>1</v>
      </c>
    </row>
    <row r="3554">
      <c r="A3554" s="19">
        <v>121012.0</v>
      </c>
      <c r="B3554" s="20" t="str">
        <f t="array" ref="B3554">xlookup($A3554,product!$A:$A,product!B:B)</f>
        <v>Enfant</v>
      </c>
      <c r="C3554" s="20" t="str">
        <f t="array" ref="C3554">xlookup($A3554,product!$A:$A,product!C:C)</f>
        <v>Jouets écologiques</v>
      </c>
      <c r="D3554" s="20" t="str">
        <f t="array" ref="D3554">xlookup($A3554,product!$A:$A,product!D:D)</f>
        <v>Eveil &amp; Découverte</v>
      </c>
      <c r="E3554" s="4" t="str">
        <f t="shared" si="1"/>
        <v>121012-Jouets écologiques-Eveil &amp; Découverte</v>
      </c>
      <c r="F3554" s="4">
        <v>0.0</v>
      </c>
      <c r="G3554" s="4">
        <v>810.0</v>
      </c>
      <c r="H3554" s="4">
        <v>85.0</v>
      </c>
      <c r="I3554" s="21">
        <f t="array" ref="I3554">XLOOKUP($A3554,product!A:A,product!E:E)</f>
        <v>11.84</v>
      </c>
      <c r="J3554" s="4">
        <f t="shared" si="2"/>
        <v>1006.4</v>
      </c>
      <c r="K3554" s="22">
        <f t="shared" si="3"/>
        <v>1</v>
      </c>
      <c r="L3554" s="4">
        <f t="shared" si="4"/>
        <v>1</v>
      </c>
    </row>
    <row r="3555">
      <c r="A3555" s="23">
        <v>113187.0</v>
      </c>
      <c r="B3555" s="24" t="str">
        <f t="array" ref="B3555">xlookup($A3555,product!$A:$A,product!B:B)</f>
        <v>Enfant</v>
      </c>
      <c r="C3555" s="24" t="str">
        <f t="array" ref="C3555">xlookup($A3555,product!$A:$A,product!C:C)</f>
        <v>Jouets écologiques</v>
      </c>
      <c r="D3555" s="24" t="str">
        <f t="array" ref="D3555">xlookup($A3555,product!$A:$A,product!D:D)</f>
        <v>Eveil &amp; Découverte</v>
      </c>
      <c r="E3555" s="25" t="str">
        <f t="shared" si="1"/>
        <v>113187-Jouets écologiques-Eveil &amp; Découverte</v>
      </c>
      <c r="F3555" s="25">
        <v>0.0</v>
      </c>
      <c r="G3555" s="25">
        <v>804.0</v>
      </c>
      <c r="H3555" s="25">
        <v>670.0</v>
      </c>
      <c r="I3555" s="26">
        <f t="array" ref="I3555">XLOOKUP($A3555,product!A:A,product!E:E)</f>
        <v>7.64</v>
      </c>
      <c r="J3555" s="25">
        <f t="shared" si="2"/>
        <v>5118.8</v>
      </c>
      <c r="K3555" s="27">
        <f t="shared" si="3"/>
        <v>1</v>
      </c>
      <c r="L3555" s="25">
        <f t="shared" si="4"/>
        <v>1</v>
      </c>
    </row>
    <row r="3556">
      <c r="A3556" s="19">
        <v>101946.0</v>
      </c>
      <c r="B3556" s="20" t="str">
        <f t="array" ref="B3556">xlookup($A3556,product!$A:$A,product!B:B)</f>
        <v>Enfant</v>
      </c>
      <c r="C3556" s="20" t="str">
        <f t="array" ref="C3556">xlookup($A3556,product!$A:$A,product!C:C)</f>
        <v>Jouets écologiques</v>
      </c>
      <c r="D3556" s="20" t="str">
        <f t="array" ref="D3556">xlookup($A3556,product!$A:$A,product!D:D)</f>
        <v>Bascules &amp; Roulettes</v>
      </c>
      <c r="E3556" s="4" t="str">
        <f t="shared" si="1"/>
        <v>101946-Jouets écologiques-Bascules &amp; Roulettes</v>
      </c>
      <c r="F3556" s="4">
        <v>0.0</v>
      </c>
      <c r="G3556" s="4">
        <v>338.0</v>
      </c>
      <c r="H3556" s="4">
        <v>39.0</v>
      </c>
      <c r="I3556" s="21">
        <f t="array" ref="I3556">XLOOKUP($A3556,product!A:A,product!E:E)</f>
        <v>24.51</v>
      </c>
      <c r="J3556" s="4">
        <f t="shared" si="2"/>
        <v>955.89</v>
      </c>
      <c r="K3556" s="22">
        <f t="shared" si="3"/>
        <v>1</v>
      </c>
      <c r="L3556" s="4">
        <f t="shared" si="4"/>
        <v>1</v>
      </c>
    </row>
    <row r="3557">
      <c r="A3557" s="23">
        <v>117275.0</v>
      </c>
      <c r="B3557" s="24" t="str">
        <f t="array" ref="B3557">xlookup($A3557,product!$A:$A,product!B:B)</f>
        <v>Enfant</v>
      </c>
      <c r="C3557" s="24" t="str">
        <f t="array" ref="C3557">xlookup($A3557,product!$A:$A,product!C:C)</f>
        <v>Jouets écologiques</v>
      </c>
      <c r="D3557" s="24" t="str">
        <f t="array" ref="D3557">xlookup($A3557,product!$A:$A,product!D:D)</f>
        <v>Bascules &amp; Roulettes</v>
      </c>
      <c r="E3557" s="25" t="str">
        <f t="shared" si="1"/>
        <v>117275-Jouets écologiques-Bascules &amp; Roulettes</v>
      </c>
      <c r="F3557" s="25">
        <v>0.0</v>
      </c>
      <c r="G3557" s="25">
        <v>580.0</v>
      </c>
      <c r="H3557" s="25">
        <v>525.0</v>
      </c>
      <c r="I3557" s="26">
        <f t="array" ref="I3557">XLOOKUP($A3557,product!A:A,product!E:E)</f>
        <v>24.51</v>
      </c>
      <c r="J3557" s="25">
        <f t="shared" si="2"/>
        <v>12867.75</v>
      </c>
      <c r="K3557" s="27">
        <f t="shared" si="3"/>
        <v>1</v>
      </c>
      <c r="L3557" s="25">
        <f t="shared" si="4"/>
        <v>1</v>
      </c>
    </row>
    <row r="3558">
      <c r="A3558" s="19">
        <v>117695.0</v>
      </c>
      <c r="B3558" s="20" t="str">
        <f t="array" ref="B3558">xlookup($A3558,product!$A:$A,product!B:B)</f>
        <v>Enfant</v>
      </c>
      <c r="C3558" s="20" t="str">
        <f t="array" ref="C3558">xlookup($A3558,product!$A:$A,product!C:C)</f>
        <v>Jouets écologiques</v>
      </c>
      <c r="D3558" s="20" t="str">
        <f t="array" ref="D3558">xlookup($A3558,product!$A:$A,product!D:D)</f>
        <v>Bascules &amp; Roulettes</v>
      </c>
      <c r="E3558" s="4" t="str">
        <f t="shared" si="1"/>
        <v>117695-Jouets écologiques-Bascules &amp; Roulettes</v>
      </c>
      <c r="F3558" s="4">
        <v>0.0</v>
      </c>
      <c r="G3558" s="4">
        <v>732.0</v>
      </c>
      <c r="H3558" s="4">
        <v>597.0</v>
      </c>
      <c r="I3558" s="21">
        <f t="array" ref="I3558">XLOOKUP($A3558,product!A:A,product!E:E)</f>
        <v>30.63</v>
      </c>
      <c r="J3558" s="4">
        <f t="shared" si="2"/>
        <v>18286.11</v>
      </c>
      <c r="K3558" s="22">
        <f t="shared" si="3"/>
        <v>1</v>
      </c>
      <c r="L3558" s="4">
        <f t="shared" si="4"/>
        <v>1</v>
      </c>
    </row>
    <row r="3559">
      <c r="A3559" s="23">
        <v>74398.0</v>
      </c>
      <c r="B3559" s="24" t="str">
        <f t="array" ref="B3559">xlookup($A3559,product!$A:$A,product!B:B)</f>
        <v>Enfant</v>
      </c>
      <c r="C3559" s="24" t="str">
        <f t="array" ref="C3559">xlookup($A3559,product!$A:$A,product!C:C)</f>
        <v>Jouets écologiques</v>
      </c>
      <c r="D3559" s="24" t="str">
        <f t="array" ref="D3559">xlookup($A3559,product!$A:$A,product!D:D)</f>
        <v>Jeux de construction</v>
      </c>
      <c r="E3559" s="25" t="str">
        <f t="shared" si="1"/>
        <v>74398-Jouets écologiques-Jeux de construction</v>
      </c>
      <c r="F3559" s="25">
        <v>1.0</v>
      </c>
      <c r="G3559" s="25">
        <v>785.0</v>
      </c>
      <c r="H3559" s="25">
        <v>725.0</v>
      </c>
      <c r="I3559" s="26">
        <f t="array" ref="I3559">XLOOKUP($A3559,product!A:A,product!E:E)</f>
        <v>15.25</v>
      </c>
      <c r="J3559" s="25">
        <f t="shared" si="2"/>
        <v>11056.25</v>
      </c>
      <c r="K3559" s="27">
        <f t="shared" si="3"/>
        <v>1</v>
      </c>
      <c r="L3559" s="25">
        <f t="shared" si="4"/>
        <v>1</v>
      </c>
    </row>
    <row r="3560">
      <c r="A3560" s="19">
        <v>105230.0</v>
      </c>
      <c r="B3560" s="20" t="str">
        <f t="array" ref="B3560">xlookup($A3560,product!$A:$A,product!B:B)</f>
        <v>Enfant</v>
      </c>
      <c r="C3560" s="20" t="str">
        <f t="array" ref="C3560">xlookup($A3560,product!$A:$A,product!C:C)</f>
        <v>Jouets écologiques</v>
      </c>
      <c r="D3560" s="20" t="str">
        <f t="array" ref="D3560">xlookup($A3560,product!$A:$A,product!D:D)</f>
        <v>Jeux de construction</v>
      </c>
      <c r="E3560" s="4" t="str">
        <f t="shared" si="1"/>
        <v>105230-Jouets écologiques-Jeux de construction</v>
      </c>
      <c r="F3560" s="4">
        <v>0.0</v>
      </c>
      <c r="G3560" s="4">
        <v>270.0</v>
      </c>
      <c r="H3560" s="4">
        <v>204.0</v>
      </c>
      <c r="I3560" s="21">
        <f t="array" ref="I3560">XLOOKUP($A3560,product!A:A,product!E:E)</f>
        <v>13.46</v>
      </c>
      <c r="J3560" s="4">
        <f t="shared" si="2"/>
        <v>2745.84</v>
      </c>
      <c r="K3560" s="22">
        <f t="shared" si="3"/>
        <v>1</v>
      </c>
      <c r="L3560" s="4">
        <f t="shared" si="4"/>
        <v>1</v>
      </c>
    </row>
    <row r="3561">
      <c r="A3561" s="23">
        <v>112776.0</v>
      </c>
      <c r="B3561" s="24" t="str">
        <f t="array" ref="B3561">xlookup($A3561,product!$A:$A,product!B:B)</f>
        <v>Enfant</v>
      </c>
      <c r="C3561" s="24" t="str">
        <f t="array" ref="C3561">xlookup($A3561,product!$A:$A,product!C:C)</f>
        <v>Jouets écologiques</v>
      </c>
      <c r="D3561" s="24" t="str">
        <f t="array" ref="D3561">xlookup($A3561,product!$A:$A,product!D:D)</f>
        <v>Jeux de construction</v>
      </c>
      <c r="E3561" s="25" t="str">
        <f t="shared" si="1"/>
        <v>112776-Jouets écologiques-Jeux de construction</v>
      </c>
      <c r="F3561" s="25">
        <v>0.0</v>
      </c>
      <c r="G3561" s="25">
        <v>263.0</v>
      </c>
      <c r="H3561" s="25">
        <v>76.0</v>
      </c>
      <c r="I3561" s="26">
        <f t="array" ref="I3561">XLOOKUP($A3561,product!A:A,product!E:E)</f>
        <v>11.46</v>
      </c>
      <c r="J3561" s="25">
        <f t="shared" si="2"/>
        <v>870.96</v>
      </c>
      <c r="K3561" s="27">
        <f t="shared" si="3"/>
        <v>1</v>
      </c>
      <c r="L3561" s="25">
        <f t="shared" si="4"/>
        <v>1</v>
      </c>
    </row>
    <row r="3562">
      <c r="A3562" s="19">
        <v>23968.0</v>
      </c>
      <c r="B3562" s="20" t="str">
        <f t="array" ref="B3562">xlookup($A3562,product!$A:$A,product!B:B)</f>
        <v>Enfant</v>
      </c>
      <c r="C3562" s="20" t="str">
        <f t="array" ref="C3562">xlookup($A3562,product!$A:$A,product!C:C)</f>
        <v>Jouets écologiques</v>
      </c>
      <c r="D3562" s="20" t="str">
        <f t="array" ref="D3562">xlookup($A3562,product!$A:$A,product!D:D)</f>
        <v>Jeux de construction</v>
      </c>
      <c r="E3562" s="4" t="str">
        <f t="shared" si="1"/>
        <v>23968-Jouets écologiques-Jeux de construction</v>
      </c>
      <c r="F3562" s="4">
        <v>0.0</v>
      </c>
      <c r="G3562" s="4">
        <v>832.0</v>
      </c>
      <c r="H3562" s="4">
        <v>610.0</v>
      </c>
      <c r="I3562" s="21">
        <f t="array" ref="I3562">XLOOKUP($A3562,product!A:A,product!E:E)</f>
        <v>18.3</v>
      </c>
      <c r="J3562" s="4">
        <f t="shared" si="2"/>
        <v>11163</v>
      </c>
      <c r="K3562" s="22">
        <f t="shared" si="3"/>
        <v>1</v>
      </c>
      <c r="L3562" s="4">
        <f t="shared" si="4"/>
        <v>1</v>
      </c>
    </row>
    <row r="3563">
      <c r="A3563" s="23">
        <v>127025.0</v>
      </c>
      <c r="B3563" s="24" t="str">
        <f t="array" ref="B3563">xlookup($A3563,product!$A:$A,product!B:B)</f>
        <v>Enfant</v>
      </c>
      <c r="C3563" s="24" t="str">
        <f t="array" ref="C3563">xlookup($A3563,product!$A:$A,product!C:C)</f>
        <v>Jouets écologiques</v>
      </c>
      <c r="D3563" s="24" t="str">
        <f t="array" ref="D3563">xlookup($A3563,product!$A:$A,product!D:D)</f>
        <v>Jeux de construction</v>
      </c>
      <c r="E3563" s="25" t="str">
        <f t="shared" si="1"/>
        <v>127025-Jouets écologiques-Jeux de construction</v>
      </c>
      <c r="F3563" s="25">
        <v>1.0</v>
      </c>
      <c r="G3563" s="25">
        <v>947.0</v>
      </c>
      <c r="H3563" s="25">
        <v>663.0</v>
      </c>
      <c r="I3563" s="26">
        <f t="array" ref="I3563">XLOOKUP($A3563,product!A:A,product!E:E)</f>
        <v>21.62</v>
      </c>
      <c r="J3563" s="25">
        <f t="shared" si="2"/>
        <v>14334.06</v>
      </c>
      <c r="K3563" s="27">
        <f t="shared" si="3"/>
        <v>1</v>
      </c>
      <c r="L3563" s="25">
        <f t="shared" si="4"/>
        <v>1</v>
      </c>
    </row>
    <row r="3564">
      <c r="A3564" s="19">
        <v>118956.0</v>
      </c>
      <c r="B3564" s="20" t="str">
        <f t="array" ref="B3564">xlookup($A3564,product!$A:$A,product!B:B)</f>
        <v>Enfant</v>
      </c>
      <c r="C3564" s="20" t="str">
        <f t="array" ref="C3564">xlookup($A3564,product!$A:$A,product!C:C)</f>
        <v>Jouets écologiques</v>
      </c>
      <c r="D3564" s="20" t="str">
        <f t="array" ref="D3564">xlookup($A3564,product!$A:$A,product!D:D)</f>
        <v>Déguisement et Maquillage</v>
      </c>
      <c r="E3564" s="4" t="str">
        <f t="shared" si="1"/>
        <v>118956-Jouets écologiques-Déguisement et Maquillage</v>
      </c>
      <c r="F3564" s="4">
        <v>0.0</v>
      </c>
      <c r="G3564" s="4">
        <v>521.0</v>
      </c>
      <c r="H3564" s="4">
        <v>256.0</v>
      </c>
      <c r="I3564" s="21">
        <f t="array" ref="I3564">XLOOKUP($A3564,product!A:A,product!E:E)</f>
        <v>13.38</v>
      </c>
      <c r="J3564" s="4">
        <f t="shared" si="2"/>
        <v>3425.28</v>
      </c>
      <c r="K3564" s="22">
        <f t="shared" si="3"/>
        <v>1</v>
      </c>
      <c r="L3564" s="4">
        <f t="shared" si="4"/>
        <v>1</v>
      </c>
    </row>
    <row r="3565">
      <c r="A3565" s="23">
        <v>118947.0</v>
      </c>
      <c r="B3565" s="24" t="str">
        <f t="array" ref="B3565">xlookup($A3565,product!$A:$A,product!B:B)</f>
        <v>Enfant</v>
      </c>
      <c r="C3565" s="24" t="str">
        <f t="array" ref="C3565">xlookup($A3565,product!$A:$A,product!C:C)</f>
        <v>Jouets écologiques</v>
      </c>
      <c r="D3565" s="24" t="str">
        <f t="array" ref="D3565">xlookup($A3565,product!$A:$A,product!D:D)</f>
        <v>Déguisement et Maquillage</v>
      </c>
      <c r="E3565" s="25" t="str">
        <f t="shared" si="1"/>
        <v>118947-Jouets écologiques-Déguisement et Maquillage</v>
      </c>
      <c r="F3565" s="25">
        <v>1.0</v>
      </c>
      <c r="G3565" s="25">
        <v>31.0</v>
      </c>
      <c r="H3565" s="25">
        <v>19.0</v>
      </c>
      <c r="I3565" s="26">
        <f t="array" ref="I3565">XLOOKUP($A3565,product!A:A,product!E:E)</f>
        <v>2.67</v>
      </c>
      <c r="J3565" s="25">
        <f t="shared" si="2"/>
        <v>50.73</v>
      </c>
      <c r="K3565" s="27">
        <f t="shared" si="3"/>
        <v>1</v>
      </c>
      <c r="L3565" s="25">
        <f t="shared" si="4"/>
        <v>1</v>
      </c>
    </row>
    <row r="3566">
      <c r="A3566" s="19">
        <v>95873.0</v>
      </c>
      <c r="B3566" s="20" t="str">
        <f t="array" ref="B3566">xlookup($A3566,product!$A:$A,product!B:B)</f>
        <v>Enfant</v>
      </c>
      <c r="C3566" s="20" t="str">
        <f t="array" ref="C3566">xlookup($A3566,product!$A:$A,product!C:C)</f>
        <v>Jouets écologiques</v>
      </c>
      <c r="D3566" s="20" t="str">
        <f t="array" ref="D3566">xlookup($A3566,product!$A:$A,product!D:D)</f>
        <v>Déguisement et Maquillage</v>
      </c>
      <c r="E3566" s="4" t="str">
        <f t="shared" si="1"/>
        <v>95873-Jouets écologiques-Déguisement et Maquillage</v>
      </c>
      <c r="F3566" s="4">
        <v>0.0</v>
      </c>
      <c r="G3566" s="4">
        <v>522.0</v>
      </c>
      <c r="H3566" s="4">
        <v>442.0</v>
      </c>
      <c r="I3566" s="21">
        <f t="array" ref="I3566">XLOOKUP($A3566,product!A:A,product!E:E)</f>
        <v>8.99</v>
      </c>
      <c r="J3566" s="4">
        <f t="shared" si="2"/>
        <v>3973.58</v>
      </c>
      <c r="K3566" s="22">
        <f t="shared" si="3"/>
        <v>1</v>
      </c>
      <c r="L3566" s="4">
        <f t="shared" si="4"/>
        <v>1</v>
      </c>
    </row>
    <row r="3567">
      <c r="A3567" s="23">
        <v>118946.0</v>
      </c>
      <c r="B3567" s="24" t="str">
        <f t="array" ref="B3567">xlookup($A3567,product!$A:$A,product!B:B)</f>
        <v>Enfant</v>
      </c>
      <c r="C3567" s="24" t="str">
        <f t="array" ref="C3567">xlookup($A3567,product!$A:$A,product!C:C)</f>
        <v>Jouets écologiques</v>
      </c>
      <c r="D3567" s="24" t="str">
        <f t="array" ref="D3567">xlookup($A3567,product!$A:$A,product!D:D)</f>
        <v>Déguisement et Maquillage</v>
      </c>
      <c r="E3567" s="25" t="str">
        <f t="shared" si="1"/>
        <v>118946-Jouets écologiques-Déguisement et Maquillage</v>
      </c>
      <c r="F3567" s="25">
        <v>0.0</v>
      </c>
      <c r="G3567" s="25">
        <v>718.0</v>
      </c>
      <c r="H3567" s="25">
        <v>54.0</v>
      </c>
      <c r="I3567" s="26">
        <f t="array" ref="I3567">XLOOKUP($A3567,product!A:A,product!E:E)</f>
        <v>2.67</v>
      </c>
      <c r="J3567" s="25">
        <f t="shared" si="2"/>
        <v>144.18</v>
      </c>
      <c r="K3567" s="27">
        <f t="shared" si="3"/>
        <v>1</v>
      </c>
      <c r="L3567" s="25">
        <f t="shared" si="4"/>
        <v>1</v>
      </c>
    </row>
    <row r="3568">
      <c r="A3568" s="19">
        <v>44991.0</v>
      </c>
      <c r="B3568" s="20" t="str">
        <f t="array" ref="B3568">xlookup($A3568,product!$A:$A,product!B:B)</f>
        <v>Enfant</v>
      </c>
      <c r="C3568" s="20" t="str">
        <f t="array" ref="C3568">xlookup($A3568,product!$A:$A,product!C:C)</f>
        <v>Jouets écologiques</v>
      </c>
      <c r="D3568" s="20" t="str">
        <f t="array" ref="D3568">xlookup($A3568,product!$A:$A,product!D:D)</f>
        <v>Déguisement et Maquillage</v>
      </c>
      <c r="E3568" s="4" t="str">
        <f t="shared" si="1"/>
        <v>44991-Jouets écologiques-Déguisement et Maquillage</v>
      </c>
      <c r="F3568" s="4">
        <v>0.0</v>
      </c>
      <c r="G3568" s="4">
        <v>602.0</v>
      </c>
      <c r="H3568" s="4">
        <v>39.0</v>
      </c>
      <c r="I3568" s="21">
        <f t="array" ref="I3568">XLOOKUP($A3568,product!A:A,product!E:E)</f>
        <v>17.97</v>
      </c>
      <c r="J3568" s="4">
        <f t="shared" si="2"/>
        <v>700.83</v>
      </c>
      <c r="K3568" s="22">
        <f t="shared" si="3"/>
        <v>1</v>
      </c>
      <c r="L3568" s="4">
        <f t="shared" si="4"/>
        <v>1</v>
      </c>
    </row>
    <row r="3569">
      <c r="A3569" s="23">
        <v>122398.0</v>
      </c>
      <c r="B3569" s="24" t="str">
        <f t="array" ref="B3569">xlookup($A3569,product!$A:$A,product!B:B)</f>
        <v>Enfant</v>
      </c>
      <c r="C3569" s="24" t="str">
        <f t="array" ref="C3569">xlookup($A3569,product!$A:$A,product!C:C)</f>
        <v>Jouets écologiques</v>
      </c>
      <c r="D3569" s="24" t="str">
        <f t="array" ref="D3569">xlookup($A3569,product!$A:$A,product!D:D)</f>
        <v>Déguisement et Maquillage</v>
      </c>
      <c r="E3569" s="25" t="str">
        <f t="shared" si="1"/>
        <v>122398-Jouets écologiques-Déguisement et Maquillage</v>
      </c>
      <c r="F3569" s="25">
        <v>1.0</v>
      </c>
      <c r="G3569" s="25">
        <v>714.0</v>
      </c>
      <c r="H3569" s="25">
        <v>689.0</v>
      </c>
      <c r="I3569" s="26">
        <f t="array" ref="I3569">XLOOKUP($A3569,product!A:A,product!E:E)</f>
        <v>17.97</v>
      </c>
      <c r="J3569" s="25">
        <f t="shared" si="2"/>
        <v>12381.33</v>
      </c>
      <c r="K3569" s="27">
        <f t="shared" si="3"/>
        <v>1</v>
      </c>
      <c r="L3569" s="25">
        <f t="shared" si="4"/>
        <v>1</v>
      </c>
    </row>
    <row r="3570">
      <c r="A3570" s="19">
        <v>108638.0</v>
      </c>
      <c r="B3570" s="20" t="str">
        <f t="array" ref="B3570">xlookup($A3570,product!$A:$A,product!B:B)</f>
        <v>Enfant</v>
      </c>
      <c r="C3570" s="20" t="str">
        <f t="array" ref="C3570">xlookup($A3570,product!$A:$A,product!C:C)</f>
        <v>Jouets écologiques</v>
      </c>
      <c r="D3570" s="20" t="str">
        <f t="array" ref="D3570">xlookup($A3570,product!$A:$A,product!D:D)</f>
        <v>Déguisement et Maquillage</v>
      </c>
      <c r="E3570" s="4" t="str">
        <f t="shared" si="1"/>
        <v>108638-Jouets écologiques-Déguisement et Maquillage</v>
      </c>
      <c r="F3570" s="4">
        <v>0.0</v>
      </c>
      <c r="G3570" s="4">
        <v>510.0</v>
      </c>
      <c r="H3570" s="4">
        <v>243.0</v>
      </c>
      <c r="I3570" s="21">
        <f t="array" ref="I3570">XLOOKUP($A3570,product!A:A,product!E:E)</f>
        <v>6.43</v>
      </c>
      <c r="J3570" s="4">
        <f t="shared" si="2"/>
        <v>1562.49</v>
      </c>
      <c r="K3570" s="22">
        <f t="shared" si="3"/>
        <v>1</v>
      </c>
      <c r="L3570" s="4">
        <f t="shared" si="4"/>
        <v>1</v>
      </c>
    </row>
    <row r="3571">
      <c r="A3571" s="23">
        <v>113633.0</v>
      </c>
      <c r="B3571" s="24" t="str">
        <f t="array" ref="B3571">xlookup($A3571,product!$A:$A,product!B:B)</f>
        <v>Enfant</v>
      </c>
      <c r="C3571" s="24" t="str">
        <f t="array" ref="C3571">xlookup($A3571,product!$A:$A,product!C:C)</f>
        <v>Jouets écologiques</v>
      </c>
      <c r="D3571" s="24" t="str">
        <f t="array" ref="D3571">xlookup($A3571,product!$A:$A,product!D:D)</f>
        <v>Livres enfants et conteuses</v>
      </c>
      <c r="E3571" s="25" t="str">
        <f t="shared" si="1"/>
        <v>113633-Jouets écologiques-Livres enfants et conteuses</v>
      </c>
      <c r="F3571" s="25">
        <v>1.0</v>
      </c>
      <c r="G3571" s="25">
        <v>421.0</v>
      </c>
      <c r="H3571" s="25">
        <v>217.0</v>
      </c>
      <c r="I3571" s="26">
        <f t="array" ref="I3571">XLOOKUP($A3571,product!A:A,product!E:E)</f>
        <v>13.85</v>
      </c>
      <c r="J3571" s="25">
        <f t="shared" si="2"/>
        <v>3005.45</v>
      </c>
      <c r="K3571" s="27">
        <f t="shared" si="3"/>
        <v>1</v>
      </c>
      <c r="L3571" s="25">
        <f t="shared" si="4"/>
        <v>1</v>
      </c>
    </row>
    <row r="3572">
      <c r="A3572" s="19">
        <v>113649.0</v>
      </c>
      <c r="B3572" s="20" t="str">
        <f t="array" ref="B3572">xlookup($A3572,product!$A:$A,product!B:B)</f>
        <v>Enfant</v>
      </c>
      <c r="C3572" s="20" t="str">
        <f t="array" ref="C3572">xlookup($A3572,product!$A:$A,product!C:C)</f>
        <v>Jouets écologiques</v>
      </c>
      <c r="D3572" s="20" t="str">
        <f t="array" ref="D3572">xlookup($A3572,product!$A:$A,product!D:D)</f>
        <v>Livres enfants et conteuses</v>
      </c>
      <c r="E3572" s="4" t="str">
        <f t="shared" si="1"/>
        <v>113649-Jouets écologiques-Livres enfants et conteuses</v>
      </c>
      <c r="F3572" s="4">
        <v>0.0</v>
      </c>
      <c r="G3572" s="4">
        <v>772.0</v>
      </c>
      <c r="H3572" s="4">
        <v>346.0</v>
      </c>
      <c r="I3572" s="21">
        <f t="array" ref="I3572">XLOOKUP($A3572,product!A:A,product!E:E)</f>
        <v>3.6</v>
      </c>
      <c r="J3572" s="4">
        <f t="shared" si="2"/>
        <v>1245.6</v>
      </c>
      <c r="K3572" s="22">
        <f t="shared" si="3"/>
        <v>1</v>
      </c>
      <c r="L3572" s="4">
        <f t="shared" si="4"/>
        <v>1</v>
      </c>
    </row>
    <row r="3573">
      <c r="A3573" s="23">
        <v>113619.0</v>
      </c>
      <c r="B3573" s="24" t="str">
        <f t="array" ref="B3573">xlookup($A3573,product!$A:$A,product!B:B)</f>
        <v>Enfant</v>
      </c>
      <c r="C3573" s="24" t="str">
        <f t="array" ref="C3573">xlookup($A3573,product!$A:$A,product!C:C)</f>
        <v>Jouets écologiques</v>
      </c>
      <c r="D3573" s="24" t="str">
        <f t="array" ref="D3573">xlookup($A3573,product!$A:$A,product!D:D)</f>
        <v>Livres enfants et conteuses</v>
      </c>
      <c r="E3573" s="25" t="str">
        <f t="shared" si="1"/>
        <v>113619-Jouets écologiques-Livres enfants et conteuses</v>
      </c>
      <c r="F3573" s="25">
        <v>0.0</v>
      </c>
      <c r="G3573" s="25">
        <v>69.0</v>
      </c>
      <c r="H3573" s="25">
        <v>2.0</v>
      </c>
      <c r="I3573" s="26">
        <f t="array" ref="I3573">XLOOKUP($A3573,product!A:A,product!E:E)</f>
        <v>6.96</v>
      </c>
      <c r="J3573" s="25">
        <f t="shared" si="2"/>
        <v>13.92</v>
      </c>
      <c r="K3573" s="27">
        <f t="shared" si="3"/>
        <v>1</v>
      </c>
      <c r="L3573" s="25">
        <f t="shared" si="4"/>
        <v>1</v>
      </c>
    </row>
    <row r="3574">
      <c r="A3574" s="19">
        <v>113648.0</v>
      </c>
      <c r="B3574" s="20" t="str">
        <f t="array" ref="B3574">xlookup($A3574,product!$A:$A,product!B:B)</f>
        <v>Enfant</v>
      </c>
      <c r="C3574" s="20" t="str">
        <f t="array" ref="C3574">xlookup($A3574,product!$A:$A,product!C:C)</f>
        <v>Jouets écologiques</v>
      </c>
      <c r="D3574" s="20" t="str">
        <f t="array" ref="D3574">xlookup($A3574,product!$A:$A,product!D:D)</f>
        <v>Livres enfants et conteuses</v>
      </c>
      <c r="E3574" s="4" t="str">
        <f t="shared" si="1"/>
        <v>113648-Jouets écologiques-Livres enfants et conteuses</v>
      </c>
      <c r="F3574" s="4">
        <v>0.0</v>
      </c>
      <c r="G3574" s="4">
        <v>245.0</v>
      </c>
      <c r="H3574" s="4">
        <v>134.0</v>
      </c>
      <c r="I3574" s="21">
        <f t="array" ref="I3574">XLOOKUP($A3574,product!A:A,product!E:E)</f>
        <v>3.6</v>
      </c>
      <c r="J3574" s="4">
        <f t="shared" si="2"/>
        <v>482.4</v>
      </c>
      <c r="K3574" s="22">
        <f t="shared" si="3"/>
        <v>1</v>
      </c>
      <c r="L3574" s="4">
        <f t="shared" si="4"/>
        <v>1</v>
      </c>
    </row>
    <row r="3575">
      <c r="A3575" s="23">
        <v>120889.0</v>
      </c>
      <c r="B3575" s="24" t="str">
        <f t="array" ref="B3575">xlookup($A3575,product!$A:$A,product!B:B)</f>
        <v>Enfant</v>
      </c>
      <c r="C3575" s="24" t="str">
        <f t="array" ref="C3575">xlookup($A3575,product!$A:$A,product!C:C)</f>
        <v>Jouets écologiques</v>
      </c>
      <c r="D3575" s="24" t="str">
        <f t="array" ref="D3575">xlookup($A3575,product!$A:$A,product!D:D)</f>
        <v>Livres enfants et conteuses</v>
      </c>
      <c r="E3575" s="25" t="str">
        <f t="shared" si="1"/>
        <v>120889-Jouets écologiques-Livres enfants et conteuses</v>
      </c>
      <c r="F3575" s="25">
        <v>0.0</v>
      </c>
      <c r="G3575" s="25">
        <v>623.0</v>
      </c>
      <c r="H3575" s="25">
        <v>51.0</v>
      </c>
      <c r="I3575" s="26">
        <f t="array" ref="I3575">XLOOKUP($A3575,product!A:A,product!E:E)</f>
        <v>45.44</v>
      </c>
      <c r="J3575" s="25">
        <f t="shared" si="2"/>
        <v>2317.44</v>
      </c>
      <c r="K3575" s="27">
        <f t="shared" si="3"/>
        <v>1</v>
      </c>
      <c r="L3575" s="25">
        <f t="shared" si="4"/>
        <v>1</v>
      </c>
    </row>
    <row r="3576">
      <c r="A3576" s="19">
        <v>113620.0</v>
      </c>
      <c r="B3576" s="20" t="str">
        <f t="array" ref="B3576">xlookup($A3576,product!$A:$A,product!B:B)</f>
        <v>Enfant</v>
      </c>
      <c r="C3576" s="20" t="str">
        <f t="array" ref="C3576">xlookup($A3576,product!$A:$A,product!C:C)</f>
        <v>Jouets écologiques</v>
      </c>
      <c r="D3576" s="20" t="str">
        <f t="array" ref="D3576">xlookup($A3576,product!$A:$A,product!D:D)</f>
        <v>Livres enfants et conteuses</v>
      </c>
      <c r="E3576" s="4" t="str">
        <f t="shared" si="1"/>
        <v>113620-Jouets écologiques-Livres enfants et conteuses</v>
      </c>
      <c r="F3576" s="4">
        <v>1.0</v>
      </c>
      <c r="G3576" s="4">
        <v>965.0</v>
      </c>
      <c r="H3576" s="4">
        <v>21.0</v>
      </c>
      <c r="I3576" s="21">
        <f t="array" ref="I3576">XLOOKUP($A3576,product!A:A,product!E:E)</f>
        <v>6.96</v>
      </c>
      <c r="J3576" s="4">
        <f t="shared" si="2"/>
        <v>146.16</v>
      </c>
      <c r="K3576" s="22">
        <f t="shared" si="3"/>
        <v>1</v>
      </c>
      <c r="L3576" s="4">
        <f t="shared" si="4"/>
        <v>1</v>
      </c>
    </row>
    <row r="3577">
      <c r="A3577" s="23">
        <v>113626.0</v>
      </c>
      <c r="B3577" s="24" t="str">
        <f t="array" ref="B3577">xlookup($A3577,product!$A:$A,product!B:B)</f>
        <v>Enfant</v>
      </c>
      <c r="C3577" s="24" t="str">
        <f t="array" ref="C3577">xlookup($A3577,product!$A:$A,product!C:C)</f>
        <v>Jouets écologiques</v>
      </c>
      <c r="D3577" s="24" t="str">
        <f t="array" ref="D3577">xlookup($A3577,product!$A:$A,product!D:D)</f>
        <v>Livres enfants et conteuses</v>
      </c>
      <c r="E3577" s="25" t="str">
        <f t="shared" si="1"/>
        <v>113626-Jouets écologiques-Livres enfants et conteuses</v>
      </c>
      <c r="F3577" s="25">
        <v>1.0</v>
      </c>
      <c r="G3577" s="25">
        <v>98.0</v>
      </c>
      <c r="H3577" s="25">
        <v>39.0</v>
      </c>
      <c r="I3577" s="26">
        <f t="array" ref="I3577">XLOOKUP($A3577,product!A:A,product!E:E)</f>
        <v>5.41</v>
      </c>
      <c r="J3577" s="25">
        <f t="shared" si="2"/>
        <v>210.99</v>
      </c>
      <c r="K3577" s="27">
        <f t="shared" si="3"/>
        <v>1</v>
      </c>
      <c r="L3577" s="25">
        <f t="shared" si="4"/>
        <v>1</v>
      </c>
    </row>
    <row r="3578">
      <c r="A3578" s="19">
        <v>113657.0</v>
      </c>
      <c r="B3578" s="20" t="str">
        <f t="array" ref="B3578">xlookup($A3578,product!$A:$A,product!B:B)</f>
        <v>Enfant</v>
      </c>
      <c r="C3578" s="20" t="str">
        <f t="array" ref="C3578">xlookup($A3578,product!$A:$A,product!C:C)</f>
        <v>Jouets écologiques</v>
      </c>
      <c r="D3578" s="20" t="str">
        <f t="array" ref="D3578">xlookup($A3578,product!$A:$A,product!D:D)</f>
        <v>Livres enfants et conteuses</v>
      </c>
      <c r="E3578" s="4" t="str">
        <f t="shared" si="1"/>
        <v>113657-Jouets écologiques-Livres enfants et conteuses</v>
      </c>
      <c r="F3578" s="4">
        <v>1.0</v>
      </c>
      <c r="G3578" s="4">
        <v>15.0</v>
      </c>
      <c r="H3578" s="4">
        <v>14.0</v>
      </c>
      <c r="I3578" s="21">
        <f t="array" ref="I3578">XLOOKUP($A3578,product!A:A,product!E:E)</f>
        <v>6.35</v>
      </c>
      <c r="J3578" s="4">
        <f t="shared" si="2"/>
        <v>88.9</v>
      </c>
      <c r="K3578" s="22">
        <f t="shared" si="3"/>
        <v>1</v>
      </c>
      <c r="L3578" s="4">
        <f t="shared" si="4"/>
        <v>1</v>
      </c>
    </row>
    <row r="3579">
      <c r="A3579" s="23">
        <v>113645.0</v>
      </c>
      <c r="B3579" s="24" t="str">
        <f t="array" ref="B3579">xlookup($A3579,product!$A:$A,product!B:B)</f>
        <v>Enfant</v>
      </c>
      <c r="C3579" s="24" t="str">
        <f t="array" ref="C3579">xlookup($A3579,product!$A:$A,product!C:C)</f>
        <v>Jouets écologiques</v>
      </c>
      <c r="D3579" s="24" t="str">
        <f t="array" ref="D3579">xlookup($A3579,product!$A:$A,product!D:D)</f>
        <v>Livres enfants et conteuses</v>
      </c>
      <c r="E3579" s="25" t="str">
        <f t="shared" si="1"/>
        <v>113645-Jouets écologiques-Livres enfants et conteuses</v>
      </c>
      <c r="F3579" s="25">
        <v>1.0</v>
      </c>
      <c r="G3579" s="25">
        <v>742.0</v>
      </c>
      <c r="H3579" s="25">
        <v>135.0</v>
      </c>
      <c r="I3579" s="26">
        <f t="array" ref="I3579">XLOOKUP($A3579,product!A:A,product!E:E)</f>
        <v>9.98</v>
      </c>
      <c r="J3579" s="25">
        <f t="shared" si="2"/>
        <v>1347.3</v>
      </c>
      <c r="K3579" s="27">
        <f t="shared" si="3"/>
        <v>1</v>
      </c>
      <c r="L3579" s="25">
        <f t="shared" si="4"/>
        <v>1</v>
      </c>
    </row>
    <row r="3580">
      <c r="A3580" s="19">
        <v>18247.0</v>
      </c>
      <c r="B3580" s="20" t="str">
        <f t="array" ref="B3580">xlookup($A3580,product!$A:$A,product!B:B)</f>
        <v>Enfant</v>
      </c>
      <c r="C3580" s="20" t="str">
        <f t="array" ref="C3580">xlookup($A3580,product!$A:$A,product!C:C)</f>
        <v>Jouets écologiques</v>
      </c>
      <c r="D3580" s="20" t="str">
        <f t="array" ref="D3580">xlookup($A3580,product!$A:$A,product!D:D)</f>
        <v>Casques &amp; accessoires Vélos</v>
      </c>
      <c r="E3580" s="4" t="str">
        <f t="shared" si="1"/>
        <v>18247-Jouets écologiques-Casques &amp; accessoires Vélos</v>
      </c>
      <c r="F3580" s="4">
        <v>1.0</v>
      </c>
      <c r="G3580" s="4">
        <v>463.0</v>
      </c>
      <c r="H3580" s="4">
        <v>172.0</v>
      </c>
      <c r="I3580" s="21">
        <f t="array" ref="I3580">XLOOKUP($A3580,product!A:A,product!E:E)</f>
        <v>14.26</v>
      </c>
      <c r="J3580" s="4">
        <f t="shared" si="2"/>
        <v>2452.72</v>
      </c>
      <c r="K3580" s="22">
        <f t="shared" si="3"/>
        <v>1</v>
      </c>
      <c r="L3580" s="4">
        <f t="shared" si="4"/>
        <v>1</v>
      </c>
    </row>
    <row r="3581">
      <c r="A3581" s="23">
        <v>121249.0</v>
      </c>
      <c r="B3581" s="24" t="str">
        <f t="array" ref="B3581">xlookup($A3581,product!$A:$A,product!B:B)</f>
        <v>Enfant</v>
      </c>
      <c r="C3581" s="24" t="str">
        <f t="array" ref="C3581">xlookup($A3581,product!$A:$A,product!C:C)</f>
        <v>Jouets écologiques</v>
      </c>
      <c r="D3581" s="24" t="str">
        <f t="array" ref="D3581">xlookup($A3581,product!$A:$A,product!D:D)</f>
        <v>Garages, circuits &amp; véhicules</v>
      </c>
      <c r="E3581" s="25" t="str">
        <f t="shared" si="1"/>
        <v>121249-Jouets écologiques-Garages, circuits &amp; véhicules</v>
      </c>
      <c r="F3581" s="25">
        <v>1.0</v>
      </c>
      <c r="G3581" s="25">
        <v>203.0</v>
      </c>
      <c r="H3581" s="25">
        <v>103.0</v>
      </c>
      <c r="I3581" s="26">
        <f t="array" ref="I3581">XLOOKUP($A3581,product!A:A,product!E:E)</f>
        <v>20.54</v>
      </c>
      <c r="J3581" s="25">
        <f t="shared" si="2"/>
        <v>2115.62</v>
      </c>
      <c r="K3581" s="27">
        <f t="shared" si="3"/>
        <v>1</v>
      </c>
      <c r="L3581" s="25">
        <f t="shared" si="4"/>
        <v>1</v>
      </c>
    </row>
    <row r="3582">
      <c r="A3582" s="19">
        <v>104912.0</v>
      </c>
      <c r="B3582" s="20" t="str">
        <f t="array" ref="B3582">xlookup($A3582,product!$A:$A,product!B:B)</f>
        <v>Enfant</v>
      </c>
      <c r="C3582" s="20" t="str">
        <f t="array" ref="C3582">xlookup($A3582,product!$A:$A,product!C:C)</f>
        <v>Jouets écologiques</v>
      </c>
      <c r="D3582" s="20" t="str">
        <f t="array" ref="D3582">xlookup($A3582,product!$A:$A,product!D:D)</f>
        <v>Garages, circuits &amp; véhicules</v>
      </c>
      <c r="E3582" s="4" t="str">
        <f t="shared" si="1"/>
        <v>104912-Jouets écologiques-Garages, circuits &amp; véhicules</v>
      </c>
      <c r="F3582" s="4">
        <v>1.0</v>
      </c>
      <c r="G3582" s="4">
        <v>138.0</v>
      </c>
      <c r="H3582" s="4">
        <v>13.0</v>
      </c>
      <c r="I3582" s="21">
        <f t="array" ref="I3582">XLOOKUP($A3582,product!A:A,product!E:E)</f>
        <v>50.83</v>
      </c>
      <c r="J3582" s="4">
        <f t="shared" si="2"/>
        <v>660.79</v>
      </c>
      <c r="K3582" s="22">
        <f t="shared" si="3"/>
        <v>1</v>
      </c>
      <c r="L3582" s="4">
        <f t="shared" si="4"/>
        <v>1</v>
      </c>
    </row>
    <row r="3583">
      <c r="A3583" s="23">
        <v>73222.0</v>
      </c>
      <c r="B3583" s="24" t="str">
        <f t="array" ref="B3583">xlookup($A3583,product!$A:$A,product!B:B)</f>
        <v>Boisson</v>
      </c>
      <c r="C3583" s="24" t="str">
        <f t="array" ref="C3583">xlookup($A3583,product!$A:$A,product!C:C)</f>
        <v>Boisson instantanée</v>
      </c>
      <c r="D3583" s="24" t="str">
        <f t="array" ref="D3583">xlookup($A3583,product!$A:$A,product!D:D)</f>
        <v>Poudre de caroube</v>
      </c>
      <c r="E3583" s="25" t="str">
        <f t="shared" si="1"/>
        <v>73222-Boisson instantanée-Poudre de caroube</v>
      </c>
      <c r="F3583" s="25">
        <v>1.0</v>
      </c>
      <c r="G3583" s="25">
        <v>34.0</v>
      </c>
      <c r="H3583" s="25">
        <v>21.0</v>
      </c>
      <c r="I3583" s="26">
        <f t="array" ref="I3583">XLOOKUP($A3583,product!A:A,product!E:E)</f>
        <v>3.18</v>
      </c>
      <c r="J3583" s="25">
        <f t="shared" si="2"/>
        <v>66.78</v>
      </c>
      <c r="K3583" s="27">
        <f t="shared" si="3"/>
        <v>1</v>
      </c>
      <c r="L3583" s="25">
        <f t="shared" si="4"/>
        <v>1</v>
      </c>
    </row>
    <row r="3584">
      <c r="A3584" s="19">
        <v>78834.0</v>
      </c>
      <c r="B3584" s="20" t="str">
        <f t="array" ref="B3584">xlookup($A3584,product!$A:$A,product!B:B)</f>
        <v>Boisson</v>
      </c>
      <c r="C3584" s="20" t="str">
        <f t="array" ref="C3584">xlookup($A3584,product!$A:$A,product!C:C)</f>
        <v>Boisson instantanée</v>
      </c>
      <c r="D3584" s="20" t="str">
        <f t="array" ref="D3584">xlookup($A3584,product!$A:$A,product!D:D)</f>
        <v>Poudre de caroube</v>
      </c>
      <c r="E3584" s="4" t="str">
        <f t="shared" si="1"/>
        <v>78834-Boisson instantanée-Poudre de caroube</v>
      </c>
      <c r="F3584" s="4">
        <v>0.0</v>
      </c>
      <c r="G3584" s="4">
        <v>465.0</v>
      </c>
      <c r="H3584" s="4">
        <v>203.0</v>
      </c>
      <c r="I3584" s="21">
        <f t="array" ref="I3584">XLOOKUP($A3584,product!A:A,product!E:E)</f>
        <v>1.94</v>
      </c>
      <c r="J3584" s="4">
        <f t="shared" si="2"/>
        <v>393.82</v>
      </c>
      <c r="K3584" s="22">
        <f t="shared" si="3"/>
        <v>1</v>
      </c>
      <c r="L3584" s="4">
        <f t="shared" si="4"/>
        <v>1</v>
      </c>
    </row>
    <row r="3585">
      <c r="A3585" s="23">
        <v>15109.0</v>
      </c>
      <c r="B3585" s="24" t="str">
        <f t="array" ref="B3585">xlookup($A3585,product!$A:$A,product!B:B)</f>
        <v>Boisson</v>
      </c>
      <c r="C3585" s="24" t="str">
        <f t="array" ref="C3585">xlookup($A3585,product!$A:$A,product!C:C)</f>
        <v>Boisson instantanée</v>
      </c>
      <c r="D3585" s="24" t="str">
        <f t="array" ref="D3585">xlookup($A3585,product!$A:$A,product!D:D)</f>
        <v>Chocolat en poudre</v>
      </c>
      <c r="E3585" s="25" t="str">
        <f t="shared" si="1"/>
        <v>15109-Boisson instantanée-Chocolat en poudre</v>
      </c>
      <c r="F3585" s="25">
        <v>0.0</v>
      </c>
      <c r="G3585" s="25">
        <v>137.0</v>
      </c>
      <c r="H3585" s="25">
        <v>78.0</v>
      </c>
      <c r="I3585" s="26">
        <f t="array" ref="I3585">XLOOKUP($A3585,product!A:A,product!E:E)</f>
        <v>4.83</v>
      </c>
      <c r="J3585" s="25">
        <f t="shared" si="2"/>
        <v>376.74</v>
      </c>
      <c r="K3585" s="27">
        <f t="shared" si="3"/>
        <v>1</v>
      </c>
      <c r="L3585" s="25">
        <f t="shared" si="4"/>
        <v>1</v>
      </c>
    </row>
    <row r="3586">
      <c r="A3586" s="19">
        <v>26126.0</v>
      </c>
      <c r="B3586" s="20" t="str">
        <f t="array" ref="B3586">xlookup($A3586,product!$A:$A,product!B:B)</f>
        <v>Boisson</v>
      </c>
      <c r="C3586" s="20" t="str">
        <f t="array" ref="C3586">xlookup($A3586,product!$A:$A,product!C:C)</f>
        <v>Boisson instantanée</v>
      </c>
      <c r="D3586" s="20" t="str">
        <f t="array" ref="D3586">xlookup($A3586,product!$A:$A,product!D:D)</f>
        <v>Chocolat en poudre</v>
      </c>
      <c r="E3586" s="4" t="str">
        <f t="shared" si="1"/>
        <v>26126-Boisson instantanée-Chocolat en poudre</v>
      </c>
      <c r="F3586" s="4">
        <v>0.0</v>
      </c>
      <c r="G3586" s="4">
        <v>808.0</v>
      </c>
      <c r="H3586" s="4">
        <v>218.0</v>
      </c>
      <c r="I3586" s="21">
        <f t="array" ref="I3586">XLOOKUP($A3586,product!A:A,product!E:E)</f>
        <v>3.48</v>
      </c>
      <c r="J3586" s="4">
        <f t="shared" si="2"/>
        <v>758.64</v>
      </c>
      <c r="K3586" s="22">
        <f t="shared" si="3"/>
        <v>1</v>
      </c>
      <c r="L3586" s="4">
        <f t="shared" si="4"/>
        <v>1</v>
      </c>
    </row>
    <row r="3587">
      <c r="A3587" s="23">
        <v>48724.0</v>
      </c>
      <c r="B3587" s="24" t="str">
        <f t="array" ref="B3587">xlookup($A3587,product!$A:$A,product!B:B)</f>
        <v>Boisson</v>
      </c>
      <c r="C3587" s="24" t="str">
        <f t="array" ref="C3587">xlookup($A3587,product!$A:$A,product!C:C)</f>
        <v>Boisson instantanée</v>
      </c>
      <c r="D3587" s="24" t="str">
        <f t="array" ref="D3587">xlookup($A3587,product!$A:$A,product!D:D)</f>
        <v>Chocolat en poudre</v>
      </c>
      <c r="E3587" s="25" t="str">
        <f t="shared" si="1"/>
        <v>48724-Boisson instantanée-Chocolat en poudre</v>
      </c>
      <c r="F3587" s="25">
        <v>0.0</v>
      </c>
      <c r="G3587" s="25">
        <v>210.0</v>
      </c>
      <c r="H3587" s="25">
        <v>62.0</v>
      </c>
      <c r="I3587" s="26">
        <f t="array" ref="I3587">XLOOKUP($A3587,product!A:A,product!E:E)</f>
        <v>4.16</v>
      </c>
      <c r="J3587" s="25">
        <f t="shared" si="2"/>
        <v>257.92</v>
      </c>
      <c r="K3587" s="27">
        <f t="shared" si="3"/>
        <v>1</v>
      </c>
      <c r="L3587" s="25">
        <f t="shared" si="4"/>
        <v>1</v>
      </c>
    </row>
    <row r="3588">
      <c r="A3588" s="19">
        <v>98888.0</v>
      </c>
      <c r="B3588" s="20" t="str">
        <f t="array" ref="B3588">xlookup($A3588,product!$A:$A,product!B:B)</f>
        <v>Boisson</v>
      </c>
      <c r="C3588" s="20" t="str">
        <f t="array" ref="C3588">xlookup($A3588,product!$A:$A,product!C:C)</f>
        <v>Boisson instantanée</v>
      </c>
      <c r="D3588" s="20" t="str">
        <f t="array" ref="D3588">xlookup($A3588,product!$A:$A,product!D:D)</f>
        <v>Chocolat en poudre</v>
      </c>
      <c r="E3588" s="4" t="str">
        <f t="shared" si="1"/>
        <v>98888-Boisson instantanée-Chocolat en poudre</v>
      </c>
      <c r="F3588" s="4">
        <v>1.0</v>
      </c>
      <c r="G3588" s="4">
        <v>919.0</v>
      </c>
      <c r="H3588" s="4">
        <v>165.0</v>
      </c>
      <c r="I3588" s="21">
        <f t="array" ref="I3588">XLOOKUP($A3588,product!A:A,product!E:E)</f>
        <v>2.94</v>
      </c>
      <c r="J3588" s="4">
        <f t="shared" si="2"/>
        <v>485.1</v>
      </c>
      <c r="K3588" s="22">
        <f t="shared" si="3"/>
        <v>1</v>
      </c>
      <c r="L3588" s="4">
        <f t="shared" si="4"/>
        <v>1</v>
      </c>
    </row>
    <row r="3589">
      <c r="A3589" s="23">
        <v>48605.0</v>
      </c>
      <c r="B3589" s="24" t="str">
        <f t="array" ref="B3589">xlookup($A3589,product!$A:$A,product!B:B)</f>
        <v>Boisson</v>
      </c>
      <c r="C3589" s="24" t="str">
        <f t="array" ref="C3589">xlookup($A3589,product!$A:$A,product!C:C)</f>
        <v>Boisson instantanée</v>
      </c>
      <c r="D3589" s="24" t="str">
        <f t="array" ref="D3589">xlookup($A3589,product!$A:$A,product!D:D)</f>
        <v>Chocolat en poudre</v>
      </c>
      <c r="E3589" s="25" t="str">
        <f t="shared" si="1"/>
        <v>48605-Boisson instantanée-Chocolat en poudre</v>
      </c>
      <c r="F3589" s="25">
        <v>0.0</v>
      </c>
      <c r="G3589" s="25">
        <v>229.0</v>
      </c>
      <c r="H3589" s="25">
        <v>32.0</v>
      </c>
      <c r="I3589" s="26">
        <f t="array" ref="I3589">XLOOKUP($A3589,product!A:A,product!E:E)</f>
        <v>1.93</v>
      </c>
      <c r="J3589" s="25">
        <f t="shared" si="2"/>
        <v>61.76</v>
      </c>
      <c r="K3589" s="27">
        <f t="shared" si="3"/>
        <v>1</v>
      </c>
      <c r="L3589" s="25">
        <f t="shared" si="4"/>
        <v>1</v>
      </c>
    </row>
    <row r="3590">
      <c r="A3590" s="19">
        <v>119243.0</v>
      </c>
      <c r="B3590" s="20" t="str">
        <f t="array" ref="B3590">xlookup($A3590,product!$A:$A,product!B:B)</f>
        <v>Boisson</v>
      </c>
      <c r="C3590" s="20" t="str">
        <f t="array" ref="C3590">xlookup($A3590,product!$A:$A,product!C:C)</f>
        <v>Boisson instantanée</v>
      </c>
      <c r="D3590" s="20" t="str">
        <f t="array" ref="D3590">xlookup($A3590,product!$A:$A,product!D:D)</f>
        <v>Chocolat en poudre</v>
      </c>
      <c r="E3590" s="4" t="str">
        <f t="shared" si="1"/>
        <v>119243-Boisson instantanée-Chocolat en poudre</v>
      </c>
      <c r="F3590" s="4">
        <v>1.0</v>
      </c>
      <c r="G3590" s="4">
        <v>212.0</v>
      </c>
      <c r="H3590" s="4">
        <v>166.0</v>
      </c>
      <c r="I3590" s="21">
        <f t="array" ref="I3590">XLOOKUP($A3590,product!A:A,product!E:E)</f>
        <v>2.52</v>
      </c>
      <c r="J3590" s="4">
        <f t="shared" si="2"/>
        <v>418.32</v>
      </c>
      <c r="K3590" s="22">
        <f t="shared" si="3"/>
        <v>1</v>
      </c>
      <c r="L3590" s="4">
        <f t="shared" si="4"/>
        <v>1</v>
      </c>
    </row>
    <row r="3591">
      <c r="A3591" s="23">
        <v>22045.0</v>
      </c>
      <c r="B3591" s="24" t="str">
        <f t="array" ref="B3591">xlookup($A3591,product!$A:$A,product!B:B)</f>
        <v>Boisson</v>
      </c>
      <c r="C3591" s="24" t="str">
        <f t="array" ref="C3591">xlookup($A3591,product!$A:$A,product!C:C)</f>
        <v>Boisson instantanée</v>
      </c>
      <c r="D3591" s="24" t="str">
        <f t="array" ref="D3591">xlookup($A3591,product!$A:$A,product!D:D)</f>
        <v>Chocolat en poudre</v>
      </c>
      <c r="E3591" s="25" t="str">
        <f t="shared" si="1"/>
        <v>22045-Boisson instantanée-Chocolat en poudre</v>
      </c>
      <c r="F3591" s="25">
        <v>0.0</v>
      </c>
      <c r="G3591" s="25">
        <v>961.0</v>
      </c>
      <c r="H3591" s="25">
        <v>301.0</v>
      </c>
      <c r="I3591" s="26">
        <f t="array" ref="I3591">XLOOKUP($A3591,product!A:A,product!E:E)</f>
        <v>2.35</v>
      </c>
      <c r="J3591" s="25">
        <f t="shared" si="2"/>
        <v>707.35</v>
      </c>
      <c r="K3591" s="27">
        <f t="shared" si="3"/>
        <v>1</v>
      </c>
      <c r="L3591" s="25">
        <f t="shared" si="4"/>
        <v>1</v>
      </c>
    </row>
    <row r="3592">
      <c r="A3592" s="19">
        <v>73221.0</v>
      </c>
      <c r="B3592" s="20" t="str">
        <f t="array" ref="B3592">xlookup($A3592,product!$A:$A,product!B:B)</f>
        <v>Boisson</v>
      </c>
      <c r="C3592" s="20" t="str">
        <f t="array" ref="C3592">xlookup($A3592,product!$A:$A,product!C:C)</f>
        <v>Boisson instantanée</v>
      </c>
      <c r="D3592" s="20" t="str">
        <f t="array" ref="D3592">xlookup($A3592,product!$A:$A,product!D:D)</f>
        <v>Chocolat en poudre</v>
      </c>
      <c r="E3592" s="4" t="str">
        <f t="shared" si="1"/>
        <v>73221-Boisson instantanée-Chocolat en poudre</v>
      </c>
      <c r="F3592" s="4">
        <v>0.0</v>
      </c>
      <c r="G3592" s="4">
        <v>827.0</v>
      </c>
      <c r="H3592" s="4">
        <v>786.0</v>
      </c>
      <c r="I3592" s="21">
        <f t="array" ref="I3592">XLOOKUP($A3592,product!A:A,product!E:E)</f>
        <v>15.04</v>
      </c>
      <c r="J3592" s="4">
        <f t="shared" si="2"/>
        <v>11821.44</v>
      </c>
      <c r="K3592" s="22">
        <f t="shared" si="3"/>
        <v>1</v>
      </c>
      <c r="L3592" s="4">
        <f t="shared" si="4"/>
        <v>1</v>
      </c>
    </row>
    <row r="3593">
      <c r="A3593" s="23">
        <v>72168.0</v>
      </c>
      <c r="B3593" s="24" t="str">
        <f t="array" ref="B3593">xlookup($A3593,product!$A:$A,product!B:B)</f>
        <v>Boisson</v>
      </c>
      <c r="C3593" s="24" t="str">
        <f t="array" ref="C3593">xlookup($A3593,product!$A:$A,product!C:C)</f>
        <v>Boisson instantanée</v>
      </c>
      <c r="D3593" s="24" t="str">
        <f t="array" ref="D3593">xlookup($A3593,product!$A:$A,product!D:D)</f>
        <v>Chocolat en poudre</v>
      </c>
      <c r="E3593" s="25" t="str">
        <f t="shared" si="1"/>
        <v>72168-Boisson instantanée-Chocolat en poudre</v>
      </c>
      <c r="F3593" s="25">
        <v>1.0</v>
      </c>
      <c r="G3593" s="25">
        <v>334.0</v>
      </c>
      <c r="H3593" s="25">
        <v>81.0</v>
      </c>
      <c r="I3593" s="26">
        <f t="array" ref="I3593">XLOOKUP($A3593,product!A:A,product!E:E)</f>
        <v>3.56</v>
      </c>
      <c r="J3593" s="25">
        <f t="shared" si="2"/>
        <v>288.36</v>
      </c>
      <c r="K3593" s="27">
        <f t="shared" si="3"/>
        <v>1</v>
      </c>
      <c r="L3593" s="25">
        <f t="shared" si="4"/>
        <v>1</v>
      </c>
    </row>
    <row r="3594">
      <c r="A3594" s="19">
        <v>127039.0</v>
      </c>
      <c r="B3594" s="20" t="str">
        <f t="array" ref="B3594">xlookup($A3594,product!$A:$A,product!B:B)</f>
        <v>Boisson</v>
      </c>
      <c r="C3594" s="20" t="str">
        <f t="array" ref="C3594">xlookup($A3594,product!$A:$A,product!C:C)</f>
        <v>Boisson instantanée</v>
      </c>
      <c r="D3594" s="20" t="str">
        <f t="array" ref="D3594">xlookup($A3594,product!$A:$A,product!D:D)</f>
        <v>Chocolat en poudre</v>
      </c>
      <c r="E3594" s="4" t="str">
        <f t="shared" si="1"/>
        <v>127039-Boisson instantanée-Chocolat en poudre</v>
      </c>
      <c r="F3594" s="4">
        <v>1.0</v>
      </c>
      <c r="G3594" s="4">
        <v>938.0</v>
      </c>
      <c r="H3594" s="4">
        <v>490.0</v>
      </c>
      <c r="I3594" s="21">
        <f t="array" ref="I3594">XLOOKUP($A3594,product!A:A,product!E:E)</f>
        <v>2.93</v>
      </c>
      <c r="J3594" s="4">
        <f t="shared" si="2"/>
        <v>1435.7</v>
      </c>
      <c r="K3594" s="22">
        <f t="shared" si="3"/>
        <v>1</v>
      </c>
      <c r="L3594" s="4">
        <f t="shared" si="4"/>
        <v>1</v>
      </c>
    </row>
    <row r="3595">
      <c r="A3595" s="23">
        <v>155861.0</v>
      </c>
      <c r="B3595" s="24" t="str">
        <f t="array" ref="B3595">xlookup($A3595,product!$A:$A,product!B:B)</f>
        <v>Boisson</v>
      </c>
      <c r="C3595" s="24" t="str">
        <f t="array" ref="C3595">xlookup($A3595,product!$A:$A,product!C:C)</f>
        <v>Boisson instantanée</v>
      </c>
      <c r="D3595" s="24" t="str">
        <f t="array" ref="D3595">xlookup($A3595,product!$A:$A,product!D:D)</f>
        <v>Préparation instantanée à boire</v>
      </c>
      <c r="E3595" s="25" t="str">
        <f t="shared" si="1"/>
        <v>155861-Boisson instantanée-Préparation instantanée à boire</v>
      </c>
      <c r="F3595" s="25">
        <v>0.0</v>
      </c>
      <c r="G3595" s="25">
        <v>104.0</v>
      </c>
      <c r="H3595" s="25">
        <v>26.0</v>
      </c>
      <c r="I3595" s="26">
        <f t="array" ref="I3595">XLOOKUP($A3595,product!A:A,product!E:E)</f>
        <v>3.51</v>
      </c>
      <c r="J3595" s="25">
        <f t="shared" si="2"/>
        <v>91.26</v>
      </c>
      <c r="K3595" s="27">
        <f t="shared" si="3"/>
        <v>1</v>
      </c>
      <c r="L3595" s="25">
        <f t="shared" si="4"/>
        <v>1</v>
      </c>
    </row>
    <row r="3596">
      <c r="A3596" s="19">
        <v>6213.0</v>
      </c>
      <c r="B3596" s="20" t="str">
        <f t="array" ref="B3596">xlookup($A3596,product!$A:$A,product!B:B)</f>
        <v>Boisson</v>
      </c>
      <c r="C3596" s="20" t="str">
        <f t="array" ref="C3596">xlookup($A3596,product!$A:$A,product!C:C)</f>
        <v>Boisson instantanée</v>
      </c>
      <c r="D3596" s="20" t="str">
        <f t="array" ref="D3596">xlookup($A3596,product!$A:$A,product!D:D)</f>
        <v>Préparation instantanée à boire</v>
      </c>
      <c r="E3596" s="4" t="str">
        <f t="shared" si="1"/>
        <v>6213-Boisson instantanée-Préparation instantanée à boire</v>
      </c>
      <c r="F3596" s="4">
        <v>0.0</v>
      </c>
      <c r="G3596" s="4">
        <v>735.0</v>
      </c>
      <c r="H3596" s="4">
        <v>350.0</v>
      </c>
      <c r="I3596" s="21">
        <f t="array" ref="I3596">XLOOKUP($A3596,product!A:A,product!E:E)</f>
        <v>9.3</v>
      </c>
      <c r="J3596" s="4">
        <f t="shared" si="2"/>
        <v>3255</v>
      </c>
      <c r="K3596" s="22">
        <f t="shared" si="3"/>
        <v>1</v>
      </c>
      <c r="L3596" s="4">
        <f t="shared" si="4"/>
        <v>1</v>
      </c>
    </row>
    <row r="3597">
      <c r="A3597" s="23">
        <v>6476.0</v>
      </c>
      <c r="B3597" s="24" t="str">
        <f t="array" ref="B3597">xlookup($A3597,product!$A:$A,product!B:B)</f>
        <v>Alimentation Bébé</v>
      </c>
      <c r="C3597" s="24" t="str">
        <f t="array" ref="C3597">xlookup($A3597,product!$A:$A,product!C:C)</f>
        <v>Bouillies bio bébé</v>
      </c>
      <c r="D3597" s="24" t="str">
        <f t="array" ref="D3597">xlookup($A3597,product!$A:$A,product!D:D)</f>
        <v>Bouillies bio bébé 4 mois</v>
      </c>
      <c r="E3597" s="25" t="str">
        <f t="shared" si="1"/>
        <v>6476-Bouillies bio bébé-Bouillies bio bébé 4 mois</v>
      </c>
      <c r="F3597" s="25">
        <v>1.0</v>
      </c>
      <c r="G3597" s="25">
        <v>571.0</v>
      </c>
      <c r="H3597" s="25">
        <v>260.0</v>
      </c>
      <c r="I3597" s="26">
        <f t="array" ref="I3597">XLOOKUP($A3597,product!A:A,product!E:E)</f>
        <v>2.34</v>
      </c>
      <c r="J3597" s="25">
        <f t="shared" si="2"/>
        <v>608.4</v>
      </c>
      <c r="K3597" s="27">
        <f t="shared" si="3"/>
        <v>1</v>
      </c>
      <c r="L3597" s="25">
        <f t="shared" si="4"/>
        <v>1</v>
      </c>
    </row>
    <row r="3598">
      <c r="A3598" s="19">
        <v>114933.0</v>
      </c>
      <c r="B3598" s="20" t="str">
        <f t="array" ref="B3598">xlookup($A3598,product!$A:$A,product!B:B)</f>
        <v>Alimentation Bébé</v>
      </c>
      <c r="C3598" s="20" t="str">
        <f t="array" ref="C3598">xlookup($A3598,product!$A:$A,product!C:C)</f>
        <v>Bouillies bio bébé</v>
      </c>
      <c r="D3598" s="20" t="str">
        <f t="array" ref="D3598">xlookup($A3598,product!$A:$A,product!D:D)</f>
        <v>Bouillies bio bébé 4 mois</v>
      </c>
      <c r="E3598" s="4" t="str">
        <f t="shared" si="1"/>
        <v>114933-Bouillies bio bébé-Bouillies bio bébé 4 mois</v>
      </c>
      <c r="F3598" s="4">
        <v>1.0</v>
      </c>
      <c r="G3598" s="4">
        <v>623.0</v>
      </c>
      <c r="H3598" s="4">
        <v>82.0</v>
      </c>
      <c r="I3598" s="21">
        <f t="array" ref="I3598">XLOOKUP($A3598,product!A:A,product!E:E)</f>
        <v>2.34</v>
      </c>
      <c r="J3598" s="4">
        <f t="shared" si="2"/>
        <v>191.88</v>
      </c>
      <c r="K3598" s="22">
        <f t="shared" si="3"/>
        <v>1</v>
      </c>
      <c r="L3598" s="4">
        <f t="shared" si="4"/>
        <v>1</v>
      </c>
    </row>
    <row r="3599">
      <c r="A3599" s="23">
        <v>6473.0</v>
      </c>
      <c r="B3599" s="24" t="str">
        <f t="array" ref="B3599">xlookup($A3599,product!$A:$A,product!B:B)</f>
        <v>Alimentation Bébé</v>
      </c>
      <c r="C3599" s="24" t="str">
        <f t="array" ref="C3599">xlookup($A3599,product!$A:$A,product!C:C)</f>
        <v>Bouillies bio bébé</v>
      </c>
      <c r="D3599" s="24" t="str">
        <f t="array" ref="D3599">xlookup($A3599,product!$A:$A,product!D:D)</f>
        <v>Bouillies bio bébé 4 mois</v>
      </c>
      <c r="E3599" s="25" t="str">
        <f t="shared" si="1"/>
        <v>6473-Bouillies bio bébé-Bouillies bio bébé 4 mois</v>
      </c>
      <c r="F3599" s="25">
        <v>0.0</v>
      </c>
      <c r="G3599" s="25">
        <v>962.0</v>
      </c>
      <c r="H3599" s="25">
        <v>109.0</v>
      </c>
      <c r="I3599" s="26">
        <f t="array" ref="I3599">XLOOKUP($A3599,product!A:A,product!E:E)</f>
        <v>2.12</v>
      </c>
      <c r="J3599" s="25">
        <f t="shared" si="2"/>
        <v>231.08</v>
      </c>
      <c r="K3599" s="27">
        <f t="shared" si="3"/>
        <v>1</v>
      </c>
      <c r="L3599" s="25">
        <f t="shared" si="4"/>
        <v>1</v>
      </c>
    </row>
    <row r="3600">
      <c r="A3600" s="19">
        <v>99248.0</v>
      </c>
      <c r="B3600" s="20" t="str">
        <f t="array" ref="B3600">xlookup($A3600,product!$A:$A,product!B:B)</f>
        <v>Alimentation Bébé</v>
      </c>
      <c r="C3600" s="20" t="str">
        <f t="array" ref="C3600">xlookup($A3600,product!$A:$A,product!C:C)</f>
        <v>Bouillies bio bébé</v>
      </c>
      <c r="D3600" s="20" t="str">
        <f t="array" ref="D3600">xlookup($A3600,product!$A:$A,product!D:D)</f>
        <v>Bouillies bio bébé 4 mois</v>
      </c>
      <c r="E3600" s="4" t="str">
        <f t="shared" si="1"/>
        <v>99248-Bouillies bio bébé-Bouillies bio bébé 4 mois</v>
      </c>
      <c r="F3600" s="4">
        <v>1.0</v>
      </c>
      <c r="G3600" s="4">
        <v>725.0</v>
      </c>
      <c r="H3600" s="4">
        <v>573.0</v>
      </c>
      <c r="I3600" s="21">
        <f t="array" ref="I3600">XLOOKUP($A3600,product!A:A,product!E:E)</f>
        <v>2.34</v>
      </c>
      <c r="J3600" s="4">
        <f t="shared" si="2"/>
        <v>1340.82</v>
      </c>
      <c r="K3600" s="22">
        <f t="shared" si="3"/>
        <v>1</v>
      </c>
      <c r="L3600" s="4">
        <f t="shared" si="4"/>
        <v>1</v>
      </c>
    </row>
    <row r="3601">
      <c r="A3601" s="23">
        <v>6477.0</v>
      </c>
      <c r="B3601" s="24" t="str">
        <f t="array" ref="B3601">xlookup($A3601,product!$A:$A,product!B:B)</f>
        <v>Alimentation Bébé</v>
      </c>
      <c r="C3601" s="24" t="str">
        <f t="array" ref="C3601">xlookup($A3601,product!$A:$A,product!C:C)</f>
        <v>Bouillies bio bébé</v>
      </c>
      <c r="D3601" s="24" t="str">
        <f t="array" ref="D3601">xlookup($A3601,product!$A:$A,product!D:D)</f>
        <v>Bouillies bio bébé 4 mois</v>
      </c>
      <c r="E3601" s="25" t="str">
        <f t="shared" si="1"/>
        <v>6477-Bouillies bio bébé-Bouillies bio bébé 4 mois</v>
      </c>
      <c r="F3601" s="25">
        <v>0.0</v>
      </c>
      <c r="G3601" s="25">
        <v>117.0</v>
      </c>
      <c r="H3601" s="25">
        <v>99.0</v>
      </c>
      <c r="I3601" s="26">
        <f t="array" ref="I3601">XLOOKUP($A3601,product!A:A,product!E:E)</f>
        <v>2.12</v>
      </c>
      <c r="J3601" s="25">
        <f t="shared" si="2"/>
        <v>209.88</v>
      </c>
      <c r="K3601" s="27">
        <f t="shared" si="3"/>
        <v>1</v>
      </c>
      <c r="L3601" s="25">
        <f t="shared" si="4"/>
        <v>1</v>
      </c>
    </row>
    <row r="3602">
      <c r="A3602" s="19">
        <v>6478.0</v>
      </c>
      <c r="B3602" s="20" t="str">
        <f t="array" ref="B3602">xlookup($A3602,product!$A:$A,product!B:B)</f>
        <v>Alimentation Bébé</v>
      </c>
      <c r="C3602" s="20" t="str">
        <f t="array" ref="C3602">xlookup($A3602,product!$A:$A,product!C:C)</f>
        <v>Bouillies bio bébé</v>
      </c>
      <c r="D3602" s="20" t="str">
        <f t="array" ref="D3602">xlookup($A3602,product!$A:$A,product!D:D)</f>
        <v>Bouillies bio bébé 6 mois</v>
      </c>
      <c r="E3602" s="4" t="str">
        <f t="shared" si="1"/>
        <v>6478-Bouillies bio bébé-Bouillies bio bébé 6 mois</v>
      </c>
      <c r="F3602" s="4">
        <v>1.0</v>
      </c>
      <c r="G3602" s="4">
        <v>599.0</v>
      </c>
      <c r="H3602" s="4">
        <v>139.0</v>
      </c>
      <c r="I3602" s="21">
        <f t="array" ref="I3602">XLOOKUP($A3602,product!A:A,product!E:E)</f>
        <v>2.42</v>
      </c>
      <c r="J3602" s="4">
        <f t="shared" si="2"/>
        <v>336.38</v>
      </c>
      <c r="K3602" s="22">
        <f t="shared" si="3"/>
        <v>1</v>
      </c>
      <c r="L3602" s="4">
        <f t="shared" si="4"/>
        <v>1</v>
      </c>
    </row>
    <row r="3603">
      <c r="A3603" s="23">
        <v>6474.0</v>
      </c>
      <c r="B3603" s="24" t="str">
        <f t="array" ref="B3603">xlookup($A3603,product!$A:$A,product!B:B)</f>
        <v>Alimentation Bébé</v>
      </c>
      <c r="C3603" s="24" t="str">
        <f t="array" ref="C3603">xlookup($A3603,product!$A:$A,product!C:C)</f>
        <v>Bouillies bio bébé</v>
      </c>
      <c r="D3603" s="24" t="str">
        <f t="array" ref="D3603">xlookup($A3603,product!$A:$A,product!D:D)</f>
        <v>Bouillies bio bébé 6 mois</v>
      </c>
      <c r="E3603" s="25" t="str">
        <f t="shared" si="1"/>
        <v>6474-Bouillies bio bébé-Bouillies bio bébé 6 mois</v>
      </c>
      <c r="F3603" s="25">
        <v>1.0</v>
      </c>
      <c r="G3603" s="25">
        <v>791.0</v>
      </c>
      <c r="H3603" s="25">
        <v>206.0</v>
      </c>
      <c r="I3603" s="26">
        <f t="array" ref="I3603">XLOOKUP($A3603,product!A:A,product!E:E)</f>
        <v>2.34</v>
      </c>
      <c r="J3603" s="25">
        <f t="shared" si="2"/>
        <v>482.04</v>
      </c>
      <c r="K3603" s="27">
        <f t="shared" si="3"/>
        <v>1</v>
      </c>
      <c r="L3603" s="25">
        <f t="shared" si="4"/>
        <v>1</v>
      </c>
    </row>
    <row r="3604">
      <c r="A3604" s="19">
        <v>70574.0</v>
      </c>
      <c r="B3604" s="20" t="str">
        <f t="array" ref="B3604">xlookup($A3604,product!$A:$A,product!B:B)</f>
        <v>Alimentation Bébé</v>
      </c>
      <c r="C3604" s="20" t="str">
        <f t="array" ref="C3604">xlookup($A3604,product!$A:$A,product!C:C)</f>
        <v>Bouillies bio bébé</v>
      </c>
      <c r="D3604" s="20" t="str">
        <f t="array" ref="D3604">xlookup($A3604,product!$A:$A,product!D:D)</f>
        <v>Bouillies bio bébé 6 mois</v>
      </c>
      <c r="E3604" s="4" t="str">
        <f t="shared" si="1"/>
        <v>70574-Bouillies bio bébé-Bouillies bio bébé 6 mois</v>
      </c>
      <c r="F3604" s="4">
        <v>1.0</v>
      </c>
      <c r="G3604" s="4">
        <v>596.0</v>
      </c>
      <c r="H3604" s="4">
        <v>218.0</v>
      </c>
      <c r="I3604" s="21">
        <f t="array" ref="I3604">XLOOKUP($A3604,product!A:A,product!E:E)</f>
        <v>1.7</v>
      </c>
      <c r="J3604" s="4">
        <f t="shared" si="2"/>
        <v>370.6</v>
      </c>
      <c r="K3604" s="22">
        <f t="shared" si="3"/>
        <v>1</v>
      </c>
      <c r="L3604" s="4">
        <f t="shared" si="4"/>
        <v>1</v>
      </c>
    </row>
    <row r="3605">
      <c r="A3605" s="23">
        <v>101302.0</v>
      </c>
      <c r="B3605" s="24" t="str">
        <f t="array" ref="B3605">xlookup($A3605,product!$A:$A,product!B:B)</f>
        <v>Enfant</v>
      </c>
      <c r="C3605" s="24" t="str">
        <f t="array" ref="C3605">xlookup($A3605,product!$A:$A,product!C:C)</f>
        <v>Couches écologiques</v>
      </c>
      <c r="D3605" s="24" t="str">
        <f t="array" ref="D3605">xlookup($A3605,product!$A:$A,product!D:D)</f>
        <v>Couches jetables 2-6 kg</v>
      </c>
      <c r="E3605" s="25" t="str">
        <f t="shared" si="1"/>
        <v>101302-Couches écologiques-Couches jetables 2-6 kg</v>
      </c>
      <c r="F3605" s="25">
        <v>1.0</v>
      </c>
      <c r="G3605" s="25">
        <v>535.0</v>
      </c>
      <c r="H3605" s="25">
        <v>108.0</v>
      </c>
      <c r="I3605" s="26">
        <f t="array" ref="I3605">XLOOKUP($A3605,product!A:A,product!E:E)</f>
        <v>4.84</v>
      </c>
      <c r="J3605" s="25">
        <f t="shared" si="2"/>
        <v>522.72</v>
      </c>
      <c r="K3605" s="27">
        <f t="shared" si="3"/>
        <v>1</v>
      </c>
      <c r="L3605" s="25">
        <f t="shared" si="4"/>
        <v>1</v>
      </c>
    </row>
    <row r="3606">
      <c r="A3606" s="19">
        <v>104475.0</v>
      </c>
      <c r="B3606" s="20" t="str">
        <f t="array" ref="B3606">xlookup($A3606,product!$A:$A,product!B:B)</f>
        <v>Enfant</v>
      </c>
      <c r="C3606" s="20" t="str">
        <f t="array" ref="C3606">xlookup($A3606,product!$A:$A,product!C:C)</f>
        <v>Couches écologiques</v>
      </c>
      <c r="D3606" s="20" t="str">
        <f t="array" ref="D3606">xlookup($A3606,product!$A:$A,product!D:D)</f>
        <v>Couches jetables 2-6 kg</v>
      </c>
      <c r="E3606" s="4" t="str">
        <f t="shared" si="1"/>
        <v>104475-Couches écologiques-Couches jetables 2-6 kg</v>
      </c>
      <c r="F3606" s="4">
        <v>1.0</v>
      </c>
      <c r="G3606" s="4">
        <v>179.0</v>
      </c>
      <c r="H3606" s="4">
        <v>15.0</v>
      </c>
      <c r="I3606" s="21">
        <f t="array" ref="I3606">XLOOKUP($A3606,product!A:A,product!E:E)</f>
        <v>4.39</v>
      </c>
      <c r="J3606" s="4">
        <f t="shared" si="2"/>
        <v>65.85</v>
      </c>
      <c r="K3606" s="22">
        <f t="shared" si="3"/>
        <v>1</v>
      </c>
      <c r="L3606" s="4">
        <f t="shared" si="4"/>
        <v>1</v>
      </c>
    </row>
    <row r="3607">
      <c r="A3607" s="23">
        <v>101296.0</v>
      </c>
      <c r="B3607" s="24" t="str">
        <f t="array" ref="B3607">xlookup($A3607,product!$A:$A,product!B:B)</f>
        <v>Enfant</v>
      </c>
      <c r="C3607" s="24" t="str">
        <f t="array" ref="C3607">xlookup($A3607,product!$A:$A,product!C:C)</f>
        <v>Couches écologiques</v>
      </c>
      <c r="D3607" s="24" t="str">
        <f t="array" ref="D3607">xlookup($A3607,product!$A:$A,product!D:D)</f>
        <v>Couches jetables 2-6 kg</v>
      </c>
      <c r="E3607" s="25" t="str">
        <f t="shared" si="1"/>
        <v>101296-Couches écologiques-Couches jetables 2-6 kg</v>
      </c>
      <c r="F3607" s="25">
        <v>1.0</v>
      </c>
      <c r="G3607" s="25">
        <v>289.0</v>
      </c>
      <c r="H3607" s="25">
        <v>207.0</v>
      </c>
      <c r="I3607" s="26">
        <f t="array" ref="I3607">XLOOKUP($A3607,product!A:A,product!E:E)</f>
        <v>12.25</v>
      </c>
      <c r="J3607" s="25">
        <f t="shared" si="2"/>
        <v>2535.75</v>
      </c>
      <c r="K3607" s="27">
        <f t="shared" si="3"/>
        <v>1</v>
      </c>
      <c r="L3607" s="25">
        <f t="shared" si="4"/>
        <v>1</v>
      </c>
    </row>
    <row r="3608">
      <c r="A3608" s="19">
        <v>122029.0</v>
      </c>
      <c r="B3608" s="20" t="str">
        <f t="array" ref="B3608">xlookup($A3608,product!$A:$A,product!B:B)</f>
        <v>Enfant</v>
      </c>
      <c r="C3608" s="20" t="str">
        <f t="array" ref="C3608">xlookup($A3608,product!$A:$A,product!C:C)</f>
        <v>Couches écologiques</v>
      </c>
      <c r="D3608" s="20" t="str">
        <f t="array" ref="D3608">xlookup($A3608,product!$A:$A,product!D:D)</f>
        <v>Couches jetables 2-6 kg</v>
      </c>
      <c r="E3608" s="4" t="str">
        <f t="shared" si="1"/>
        <v>122029-Couches écologiques-Couches jetables 2-6 kg</v>
      </c>
      <c r="F3608" s="4">
        <v>1.0</v>
      </c>
      <c r="G3608" s="4">
        <v>879.0</v>
      </c>
      <c r="H3608" s="4">
        <v>467.0</v>
      </c>
      <c r="I3608" s="21">
        <f t="array" ref="I3608">XLOOKUP($A3608,product!A:A,product!E:E)</f>
        <v>9.36</v>
      </c>
      <c r="J3608" s="4">
        <f t="shared" si="2"/>
        <v>4371.12</v>
      </c>
      <c r="K3608" s="22">
        <f t="shared" si="3"/>
        <v>1</v>
      </c>
      <c r="L3608" s="4">
        <f t="shared" si="4"/>
        <v>1</v>
      </c>
    </row>
    <row r="3609">
      <c r="A3609" s="23">
        <v>102549.0</v>
      </c>
      <c r="B3609" s="24" t="str">
        <f t="array" ref="B3609">xlookup($A3609,product!$A:$A,product!B:B)</f>
        <v>Enfant</v>
      </c>
      <c r="C3609" s="24" t="str">
        <f t="array" ref="C3609">xlookup($A3609,product!$A:$A,product!C:C)</f>
        <v>Couches écologiques</v>
      </c>
      <c r="D3609" s="24" t="str">
        <f t="array" ref="D3609">xlookup($A3609,product!$A:$A,product!D:D)</f>
        <v>Couches jetables 2-6 kg</v>
      </c>
      <c r="E3609" s="25" t="str">
        <f t="shared" si="1"/>
        <v>102549-Couches écologiques-Couches jetables 2-6 kg</v>
      </c>
      <c r="F3609" s="25">
        <v>1.0</v>
      </c>
      <c r="G3609" s="25">
        <v>428.0</v>
      </c>
      <c r="H3609" s="25">
        <v>215.0</v>
      </c>
      <c r="I3609" s="26">
        <f t="array" ref="I3609">XLOOKUP($A3609,product!A:A,product!E:E)</f>
        <v>4</v>
      </c>
      <c r="J3609" s="25">
        <f t="shared" si="2"/>
        <v>860</v>
      </c>
      <c r="K3609" s="27">
        <f t="shared" si="3"/>
        <v>1</v>
      </c>
      <c r="L3609" s="25">
        <f t="shared" si="4"/>
        <v>1</v>
      </c>
    </row>
    <row r="3610">
      <c r="A3610" s="19">
        <v>122026.0</v>
      </c>
      <c r="B3610" s="20" t="str">
        <f t="array" ref="B3610">xlookup($A3610,product!$A:$A,product!B:B)</f>
        <v>Enfant</v>
      </c>
      <c r="C3610" s="20" t="str">
        <f t="array" ref="C3610">xlookup($A3610,product!$A:$A,product!C:C)</f>
        <v>Couches écologiques</v>
      </c>
      <c r="D3610" s="20" t="str">
        <f t="array" ref="D3610">xlookup($A3610,product!$A:$A,product!D:D)</f>
        <v>Couches jetables 2-6 kg</v>
      </c>
      <c r="E3610" s="4" t="str">
        <f t="shared" si="1"/>
        <v>122026-Couches écologiques-Couches jetables 2-6 kg</v>
      </c>
      <c r="F3610" s="4">
        <v>1.0</v>
      </c>
      <c r="G3610" s="4">
        <v>377.0</v>
      </c>
      <c r="H3610" s="4">
        <v>167.0</v>
      </c>
      <c r="I3610" s="21">
        <f t="array" ref="I3610">XLOOKUP($A3610,product!A:A,product!E:E)</f>
        <v>7.5</v>
      </c>
      <c r="J3610" s="4">
        <f t="shared" si="2"/>
        <v>1252.5</v>
      </c>
      <c r="K3610" s="22">
        <f t="shared" si="3"/>
        <v>1</v>
      </c>
      <c r="L3610" s="4">
        <f t="shared" si="4"/>
        <v>1</v>
      </c>
    </row>
    <row r="3611">
      <c r="A3611" s="23">
        <v>101303.0</v>
      </c>
      <c r="B3611" s="24" t="str">
        <f t="array" ref="B3611">xlookup($A3611,product!$A:$A,product!B:B)</f>
        <v>Enfant</v>
      </c>
      <c r="C3611" s="24" t="str">
        <f t="array" ref="C3611">xlookup($A3611,product!$A:$A,product!C:C)</f>
        <v>Couches écologiques</v>
      </c>
      <c r="D3611" s="24" t="str">
        <f t="array" ref="D3611">xlookup($A3611,product!$A:$A,product!D:D)</f>
        <v>Couches jetables 2-6 kg</v>
      </c>
      <c r="E3611" s="25" t="str">
        <f t="shared" si="1"/>
        <v>101303-Couches écologiques-Couches jetables 2-6 kg</v>
      </c>
      <c r="F3611" s="25">
        <v>0.0</v>
      </c>
      <c r="G3611" s="25">
        <v>128.0</v>
      </c>
      <c r="H3611" s="25">
        <v>48.0</v>
      </c>
      <c r="I3611" s="26">
        <f t="array" ref="I3611">XLOOKUP($A3611,product!A:A,product!E:E)</f>
        <v>6.85</v>
      </c>
      <c r="J3611" s="25">
        <f t="shared" si="2"/>
        <v>328.8</v>
      </c>
      <c r="K3611" s="27">
        <f t="shared" si="3"/>
        <v>1</v>
      </c>
      <c r="L3611" s="25">
        <f t="shared" si="4"/>
        <v>1</v>
      </c>
    </row>
    <row r="3612">
      <c r="A3612" s="19">
        <v>102548.0</v>
      </c>
      <c r="B3612" s="20" t="str">
        <f t="array" ref="B3612">xlookup($A3612,product!$A:$A,product!B:B)</f>
        <v>Enfant</v>
      </c>
      <c r="C3612" s="20" t="str">
        <f t="array" ref="C3612">xlookup($A3612,product!$A:$A,product!C:C)</f>
        <v>Couches écologiques</v>
      </c>
      <c r="D3612" s="20" t="str">
        <f t="array" ref="D3612">xlookup($A3612,product!$A:$A,product!D:D)</f>
        <v>Couches jetables 2-6 kg</v>
      </c>
      <c r="E3612" s="4" t="str">
        <f t="shared" si="1"/>
        <v>102548-Couches écologiques-Couches jetables 2-6 kg</v>
      </c>
      <c r="F3612" s="4">
        <v>0.0</v>
      </c>
      <c r="G3612" s="4">
        <v>321.0</v>
      </c>
      <c r="H3612" s="4">
        <v>139.0</v>
      </c>
      <c r="I3612" s="21">
        <f t="array" ref="I3612">XLOOKUP($A3612,product!A:A,product!E:E)</f>
        <v>5.99</v>
      </c>
      <c r="J3612" s="4">
        <f t="shared" si="2"/>
        <v>832.61</v>
      </c>
      <c r="K3612" s="22">
        <f t="shared" si="3"/>
        <v>1</v>
      </c>
      <c r="L3612" s="4">
        <f t="shared" si="4"/>
        <v>1</v>
      </c>
    </row>
    <row r="3613">
      <c r="A3613" s="23">
        <v>122027.0</v>
      </c>
      <c r="B3613" s="24" t="str">
        <f t="array" ref="B3613">xlookup($A3613,product!$A:$A,product!B:B)</f>
        <v>Enfant</v>
      </c>
      <c r="C3613" s="24" t="str">
        <f t="array" ref="C3613">xlookup($A3613,product!$A:$A,product!C:C)</f>
        <v>Couches écologiques</v>
      </c>
      <c r="D3613" s="24" t="str">
        <f t="array" ref="D3613">xlookup($A3613,product!$A:$A,product!D:D)</f>
        <v>Couches jetables 2-6 kg</v>
      </c>
      <c r="E3613" s="25" t="str">
        <f t="shared" si="1"/>
        <v>122027-Couches écologiques-Couches jetables 2-6 kg</v>
      </c>
      <c r="F3613" s="25">
        <v>1.0</v>
      </c>
      <c r="G3613" s="25">
        <v>787.0</v>
      </c>
      <c r="H3613" s="25">
        <v>382.0</v>
      </c>
      <c r="I3613" s="26">
        <f t="array" ref="I3613">XLOOKUP($A3613,product!A:A,product!E:E)</f>
        <v>6.56</v>
      </c>
      <c r="J3613" s="25">
        <f t="shared" si="2"/>
        <v>2505.92</v>
      </c>
      <c r="K3613" s="27">
        <f t="shared" si="3"/>
        <v>1</v>
      </c>
      <c r="L3613" s="25">
        <f t="shared" si="4"/>
        <v>1</v>
      </c>
    </row>
    <row r="3614">
      <c r="A3614" s="19">
        <v>46963.0</v>
      </c>
      <c r="B3614" s="20" t="str">
        <f t="array" ref="B3614">xlookup($A3614,product!$A:$A,product!B:B)</f>
        <v>Enfant</v>
      </c>
      <c r="C3614" s="20" t="str">
        <f t="array" ref="C3614">xlookup($A3614,product!$A:$A,product!C:C)</f>
        <v>Couches écologiques</v>
      </c>
      <c r="D3614" s="20" t="str">
        <f t="array" ref="D3614">xlookup($A3614,product!$A:$A,product!D:D)</f>
        <v>Couches jetables 2-6 kg</v>
      </c>
      <c r="E3614" s="4" t="str">
        <f t="shared" si="1"/>
        <v>46963-Couches écologiques-Couches jetables 2-6 kg</v>
      </c>
      <c r="F3614" s="4">
        <v>0.0</v>
      </c>
      <c r="G3614" s="4">
        <v>538.0</v>
      </c>
      <c r="H3614" s="4">
        <v>492.0</v>
      </c>
      <c r="I3614" s="21">
        <f t="array" ref="I3614">XLOOKUP($A3614,product!A:A,product!E:E)</f>
        <v>4.3</v>
      </c>
      <c r="J3614" s="4">
        <f t="shared" si="2"/>
        <v>2115.6</v>
      </c>
      <c r="K3614" s="22">
        <f t="shared" si="3"/>
        <v>1</v>
      </c>
      <c r="L3614" s="4">
        <f t="shared" si="4"/>
        <v>1</v>
      </c>
    </row>
    <row r="3615">
      <c r="A3615" s="23">
        <v>102268.0</v>
      </c>
      <c r="B3615" s="24" t="str">
        <f t="array" ref="B3615">xlookup($A3615,product!$A:$A,product!B:B)</f>
        <v>Enfant</v>
      </c>
      <c r="C3615" s="24" t="str">
        <f t="array" ref="C3615">xlookup($A3615,product!$A:$A,product!C:C)</f>
        <v>Couches écologiques</v>
      </c>
      <c r="D3615" s="24" t="str">
        <f t="array" ref="D3615">xlookup($A3615,product!$A:$A,product!D:D)</f>
        <v>Couches jetables 2-6 kg</v>
      </c>
      <c r="E3615" s="25" t="str">
        <f t="shared" si="1"/>
        <v>102268-Couches écologiques-Couches jetables 2-6 kg</v>
      </c>
      <c r="F3615" s="25">
        <v>1.0</v>
      </c>
      <c r="G3615" s="25">
        <v>819.0</v>
      </c>
      <c r="H3615" s="25">
        <v>223.0</v>
      </c>
      <c r="I3615" s="26">
        <f t="array" ref="I3615">XLOOKUP($A3615,product!A:A,product!E:E)</f>
        <v>5.06</v>
      </c>
      <c r="J3615" s="25">
        <f t="shared" si="2"/>
        <v>1128.38</v>
      </c>
      <c r="K3615" s="27">
        <f t="shared" si="3"/>
        <v>1</v>
      </c>
      <c r="L3615" s="25">
        <f t="shared" si="4"/>
        <v>1</v>
      </c>
    </row>
    <row r="3616">
      <c r="A3616" s="19">
        <v>26649.0</v>
      </c>
      <c r="B3616" s="20" t="str">
        <f t="array" ref="B3616">xlookup($A3616,product!$A:$A,product!B:B)</f>
        <v>Enfant</v>
      </c>
      <c r="C3616" s="20" t="str">
        <f t="array" ref="C3616">xlookup($A3616,product!$A:$A,product!C:C)</f>
        <v>Couches écologiques</v>
      </c>
      <c r="D3616" s="20" t="str">
        <f t="array" ref="D3616">xlookup($A3616,product!$A:$A,product!D:D)</f>
        <v>Couches jetables 2-6 kg</v>
      </c>
      <c r="E3616" s="4" t="str">
        <f t="shared" si="1"/>
        <v>26649-Couches écologiques-Couches jetables 2-6 kg</v>
      </c>
      <c r="F3616" s="4">
        <v>1.0</v>
      </c>
      <c r="G3616" s="4">
        <v>318.0</v>
      </c>
      <c r="H3616" s="4">
        <v>304.0</v>
      </c>
      <c r="I3616" s="21">
        <f t="array" ref="I3616">XLOOKUP($A3616,product!A:A,product!E:E)</f>
        <v>6.48</v>
      </c>
      <c r="J3616" s="4">
        <f t="shared" si="2"/>
        <v>1969.92</v>
      </c>
      <c r="K3616" s="22">
        <f t="shared" si="3"/>
        <v>1</v>
      </c>
      <c r="L3616" s="4">
        <f t="shared" si="4"/>
        <v>1</v>
      </c>
    </row>
    <row r="3617">
      <c r="A3617" s="23">
        <v>102275.0</v>
      </c>
      <c r="B3617" s="24" t="str">
        <f t="array" ref="B3617">xlookup($A3617,product!$A:$A,product!B:B)</f>
        <v>Enfant</v>
      </c>
      <c r="C3617" s="24" t="str">
        <f t="array" ref="C3617">xlookup($A3617,product!$A:$A,product!C:C)</f>
        <v>Couches écologiques</v>
      </c>
      <c r="D3617" s="24" t="str">
        <f t="array" ref="D3617">xlookup($A3617,product!$A:$A,product!D:D)</f>
        <v>Couches jetables 4-9 kg</v>
      </c>
      <c r="E3617" s="25" t="str">
        <f t="shared" si="1"/>
        <v>102275-Couches écologiques-Couches jetables 4-9 kg</v>
      </c>
      <c r="F3617" s="25">
        <v>1.0</v>
      </c>
      <c r="G3617" s="25">
        <v>881.0</v>
      </c>
      <c r="H3617" s="25">
        <v>763.0</v>
      </c>
      <c r="I3617" s="26">
        <f t="array" ref="I3617">XLOOKUP($A3617,product!A:A,product!E:E)</f>
        <v>7.24</v>
      </c>
      <c r="J3617" s="25">
        <f t="shared" si="2"/>
        <v>5524.12</v>
      </c>
      <c r="K3617" s="27">
        <f t="shared" si="3"/>
        <v>1</v>
      </c>
      <c r="L3617" s="25">
        <f t="shared" si="4"/>
        <v>1</v>
      </c>
    </row>
    <row r="3618">
      <c r="A3618" s="19">
        <v>43943.0</v>
      </c>
      <c r="B3618" s="20" t="str">
        <f t="array" ref="B3618">xlookup($A3618,product!$A:$A,product!B:B)</f>
        <v>Enfant</v>
      </c>
      <c r="C3618" s="20" t="str">
        <f t="array" ref="C3618">xlookup($A3618,product!$A:$A,product!C:C)</f>
        <v>Couches écologiques</v>
      </c>
      <c r="D3618" s="20" t="str">
        <f t="array" ref="D3618">xlookup($A3618,product!$A:$A,product!D:D)</f>
        <v>Couches jetables 4-9 kg</v>
      </c>
      <c r="E3618" s="4" t="str">
        <f t="shared" si="1"/>
        <v>43943-Couches écologiques-Couches jetables 4-9 kg</v>
      </c>
      <c r="F3618" s="4">
        <v>0.0</v>
      </c>
      <c r="G3618" s="4">
        <v>359.0</v>
      </c>
      <c r="H3618" s="4">
        <v>322.0</v>
      </c>
      <c r="I3618" s="21">
        <f t="array" ref="I3618">XLOOKUP($A3618,product!A:A,product!E:E)</f>
        <v>11.54</v>
      </c>
      <c r="J3618" s="4">
        <f t="shared" si="2"/>
        <v>3715.88</v>
      </c>
      <c r="K3618" s="22">
        <f t="shared" si="3"/>
        <v>1</v>
      </c>
      <c r="L3618" s="4">
        <f t="shared" si="4"/>
        <v>1</v>
      </c>
    </row>
    <row r="3619">
      <c r="A3619" s="23">
        <v>102550.0</v>
      </c>
      <c r="B3619" s="24" t="str">
        <f t="array" ref="B3619">xlookup($A3619,product!$A:$A,product!B:B)</f>
        <v>Enfant</v>
      </c>
      <c r="C3619" s="24" t="str">
        <f t="array" ref="C3619">xlookup($A3619,product!$A:$A,product!C:C)</f>
        <v>Couches écologiques</v>
      </c>
      <c r="D3619" s="24" t="str">
        <f t="array" ref="D3619">xlookup($A3619,product!$A:$A,product!D:D)</f>
        <v>Couches jetables 4-9 kg</v>
      </c>
      <c r="E3619" s="25" t="str">
        <f t="shared" si="1"/>
        <v>102550-Couches écologiques-Couches jetables 4-9 kg</v>
      </c>
      <c r="F3619" s="25">
        <v>0.0</v>
      </c>
      <c r="G3619" s="25">
        <v>872.0</v>
      </c>
      <c r="H3619" s="25">
        <v>30.0</v>
      </c>
      <c r="I3619" s="26">
        <f t="array" ref="I3619">XLOOKUP($A3619,product!A:A,product!E:E)</f>
        <v>5.99</v>
      </c>
      <c r="J3619" s="25">
        <f t="shared" si="2"/>
        <v>179.7</v>
      </c>
      <c r="K3619" s="27">
        <f t="shared" si="3"/>
        <v>1</v>
      </c>
      <c r="L3619" s="25">
        <f t="shared" si="4"/>
        <v>1</v>
      </c>
    </row>
    <row r="3620">
      <c r="A3620" s="19">
        <v>26650.0</v>
      </c>
      <c r="B3620" s="20" t="str">
        <f t="array" ref="B3620">xlookup($A3620,product!$A:$A,product!B:B)</f>
        <v>Enfant</v>
      </c>
      <c r="C3620" s="20" t="str">
        <f t="array" ref="C3620">xlookup($A3620,product!$A:$A,product!C:C)</f>
        <v>Couches écologiques</v>
      </c>
      <c r="D3620" s="20" t="str">
        <f t="array" ref="D3620">xlookup($A3620,product!$A:$A,product!D:D)</f>
        <v>Couches jetables 4-9 kg</v>
      </c>
      <c r="E3620" s="4" t="str">
        <f t="shared" si="1"/>
        <v>26650-Couches écologiques-Couches jetables 4-9 kg</v>
      </c>
      <c r="F3620" s="4">
        <v>1.0</v>
      </c>
      <c r="G3620" s="4">
        <v>531.0</v>
      </c>
      <c r="H3620" s="4">
        <v>295.0</v>
      </c>
      <c r="I3620" s="21">
        <f t="array" ref="I3620">XLOOKUP($A3620,product!A:A,product!E:E)</f>
        <v>7.96</v>
      </c>
      <c r="J3620" s="4">
        <f t="shared" si="2"/>
        <v>2348.2</v>
      </c>
      <c r="K3620" s="22">
        <f t="shared" si="3"/>
        <v>1</v>
      </c>
      <c r="L3620" s="4">
        <f t="shared" si="4"/>
        <v>1</v>
      </c>
    </row>
    <row r="3621">
      <c r="A3621" s="23">
        <v>117728.0</v>
      </c>
      <c r="B3621" s="24" t="str">
        <f t="array" ref="B3621">xlookup($A3621,product!$A:$A,product!B:B)</f>
        <v>Enfant</v>
      </c>
      <c r="C3621" s="24" t="str">
        <f t="array" ref="C3621">xlookup($A3621,product!$A:$A,product!C:C)</f>
        <v>Couches écologiques</v>
      </c>
      <c r="D3621" s="24" t="str">
        <f t="array" ref="D3621">xlookup($A3621,product!$A:$A,product!D:D)</f>
        <v>Couches jetables 4-9 kg</v>
      </c>
      <c r="E3621" s="25" t="str">
        <f t="shared" si="1"/>
        <v>117728-Couches écologiques-Couches jetables 4-9 kg</v>
      </c>
      <c r="F3621" s="25">
        <v>0.0</v>
      </c>
      <c r="G3621" s="25">
        <v>909.0</v>
      </c>
      <c r="H3621" s="25">
        <v>389.0</v>
      </c>
      <c r="I3621" s="26">
        <f t="array" ref="I3621">XLOOKUP($A3621,product!A:A,product!E:E)</f>
        <v>5.69</v>
      </c>
      <c r="J3621" s="25">
        <f t="shared" si="2"/>
        <v>2213.41</v>
      </c>
      <c r="K3621" s="27">
        <f t="shared" si="3"/>
        <v>1</v>
      </c>
      <c r="L3621" s="25">
        <f t="shared" si="4"/>
        <v>1</v>
      </c>
    </row>
    <row r="3622">
      <c r="A3622" s="19">
        <v>103588.0</v>
      </c>
      <c r="B3622" s="20" t="str">
        <f t="array" ref="B3622">xlookup($A3622,product!$A:$A,product!B:B)</f>
        <v>Enfant</v>
      </c>
      <c r="C3622" s="20" t="str">
        <f t="array" ref="C3622">xlookup($A3622,product!$A:$A,product!C:C)</f>
        <v>Couches écologiques</v>
      </c>
      <c r="D3622" s="20" t="str">
        <f t="array" ref="D3622">xlookup($A3622,product!$A:$A,product!D:D)</f>
        <v>Couches jetables 4-9 kg</v>
      </c>
      <c r="E3622" s="4" t="str">
        <f t="shared" si="1"/>
        <v>103588-Couches écologiques-Couches jetables 4-9 kg</v>
      </c>
      <c r="F3622" s="4">
        <v>1.0</v>
      </c>
      <c r="G3622" s="4">
        <v>369.0</v>
      </c>
      <c r="H3622" s="4">
        <v>338.0</v>
      </c>
      <c r="I3622" s="21">
        <f t="array" ref="I3622">XLOOKUP($A3622,product!A:A,product!E:E)</f>
        <v>11.82</v>
      </c>
      <c r="J3622" s="4">
        <f t="shared" si="2"/>
        <v>3995.16</v>
      </c>
      <c r="K3622" s="22">
        <f t="shared" si="3"/>
        <v>1</v>
      </c>
      <c r="L3622" s="4">
        <f t="shared" si="4"/>
        <v>1</v>
      </c>
    </row>
    <row r="3623">
      <c r="A3623" s="23">
        <v>101297.0</v>
      </c>
      <c r="B3623" s="24" t="str">
        <f t="array" ref="B3623">xlookup($A3623,product!$A:$A,product!B:B)</f>
        <v>Enfant</v>
      </c>
      <c r="C3623" s="24" t="str">
        <f t="array" ref="C3623">xlookup($A3623,product!$A:$A,product!C:C)</f>
        <v>Couches écologiques</v>
      </c>
      <c r="D3623" s="24" t="str">
        <f t="array" ref="D3623">xlookup($A3623,product!$A:$A,product!D:D)</f>
        <v>Couches jetables 4-9 kg</v>
      </c>
      <c r="E3623" s="25" t="str">
        <f t="shared" si="1"/>
        <v>101297-Couches écologiques-Couches jetables 4-9 kg</v>
      </c>
      <c r="F3623" s="25">
        <v>1.0</v>
      </c>
      <c r="G3623" s="25">
        <v>162.0</v>
      </c>
      <c r="H3623" s="25">
        <v>32.0</v>
      </c>
      <c r="I3623" s="26">
        <f t="array" ref="I3623">XLOOKUP($A3623,product!A:A,product!E:E)</f>
        <v>12.25</v>
      </c>
      <c r="J3623" s="25">
        <f t="shared" si="2"/>
        <v>392</v>
      </c>
      <c r="K3623" s="27">
        <f t="shared" si="3"/>
        <v>1</v>
      </c>
      <c r="L3623" s="25">
        <f t="shared" si="4"/>
        <v>1</v>
      </c>
    </row>
    <row r="3624">
      <c r="A3624" s="19">
        <v>101298.0</v>
      </c>
      <c r="B3624" s="20" t="str">
        <f t="array" ref="B3624">xlookup($A3624,product!$A:$A,product!B:B)</f>
        <v>Enfant</v>
      </c>
      <c r="C3624" s="20" t="str">
        <f t="array" ref="C3624">xlookup($A3624,product!$A:$A,product!C:C)</f>
        <v>Couches écologiques</v>
      </c>
      <c r="D3624" s="20" t="str">
        <f t="array" ref="D3624">xlookup($A3624,product!$A:$A,product!D:D)</f>
        <v>Couches jetables 7-18 kg</v>
      </c>
      <c r="E3624" s="4" t="str">
        <f t="shared" si="1"/>
        <v>101298-Couches écologiques-Couches jetables 7-18 kg</v>
      </c>
      <c r="F3624" s="4">
        <v>1.0</v>
      </c>
      <c r="G3624" s="4">
        <v>736.0</v>
      </c>
      <c r="H3624" s="4">
        <v>240.0</v>
      </c>
      <c r="I3624" s="21">
        <f t="array" ref="I3624">XLOOKUP($A3624,product!A:A,product!E:E)</f>
        <v>12.25</v>
      </c>
      <c r="J3624" s="4">
        <f t="shared" si="2"/>
        <v>2940</v>
      </c>
      <c r="K3624" s="22">
        <f t="shared" si="3"/>
        <v>1</v>
      </c>
      <c r="L3624" s="4">
        <f t="shared" si="4"/>
        <v>1</v>
      </c>
    </row>
    <row r="3625">
      <c r="A3625" s="23">
        <v>113129.0</v>
      </c>
      <c r="B3625" s="24" t="str">
        <f t="array" ref="B3625">xlookup($A3625,product!$A:$A,product!B:B)</f>
        <v>Enfant</v>
      </c>
      <c r="C3625" s="24" t="str">
        <f t="array" ref="C3625">xlookup($A3625,product!$A:$A,product!C:C)</f>
        <v>Couches écologiques</v>
      </c>
      <c r="D3625" s="24" t="str">
        <f t="array" ref="D3625">xlookup($A3625,product!$A:$A,product!D:D)</f>
        <v>Couches jetables 7-18 kg</v>
      </c>
      <c r="E3625" s="25" t="str">
        <f t="shared" si="1"/>
        <v>113129-Couches écologiques-Couches jetables 7-18 kg</v>
      </c>
      <c r="F3625" s="25">
        <v>1.0</v>
      </c>
      <c r="G3625" s="25">
        <v>636.0</v>
      </c>
      <c r="H3625" s="25">
        <v>297.0</v>
      </c>
      <c r="I3625" s="26">
        <f t="array" ref="I3625">XLOOKUP($A3625,product!A:A,product!E:E)</f>
        <v>12.25</v>
      </c>
      <c r="J3625" s="25">
        <f t="shared" si="2"/>
        <v>3638.25</v>
      </c>
      <c r="K3625" s="27">
        <f t="shared" si="3"/>
        <v>1</v>
      </c>
      <c r="L3625" s="25">
        <f t="shared" si="4"/>
        <v>1</v>
      </c>
    </row>
    <row r="3626">
      <c r="A3626" s="19">
        <v>102551.0</v>
      </c>
      <c r="B3626" s="20" t="str">
        <f t="array" ref="B3626">xlookup($A3626,product!$A:$A,product!B:B)</f>
        <v>Enfant</v>
      </c>
      <c r="C3626" s="20" t="str">
        <f t="array" ref="C3626">xlookup($A3626,product!$A:$A,product!C:C)</f>
        <v>Couches écologiques</v>
      </c>
      <c r="D3626" s="20" t="str">
        <f t="array" ref="D3626">xlookup($A3626,product!$A:$A,product!D:D)</f>
        <v>Couches jetables 7-18 kg</v>
      </c>
      <c r="E3626" s="4" t="str">
        <f t="shared" si="1"/>
        <v>102551-Couches écologiques-Couches jetables 7-18 kg</v>
      </c>
      <c r="F3626" s="4">
        <v>0.0</v>
      </c>
      <c r="G3626" s="4">
        <v>674.0</v>
      </c>
      <c r="H3626" s="4">
        <v>198.0</v>
      </c>
      <c r="I3626" s="21">
        <f t="array" ref="I3626">XLOOKUP($A3626,product!A:A,product!E:E)</f>
        <v>5.99</v>
      </c>
      <c r="J3626" s="4">
        <f t="shared" si="2"/>
        <v>1186.02</v>
      </c>
      <c r="K3626" s="22">
        <f t="shared" si="3"/>
        <v>1</v>
      </c>
      <c r="L3626" s="4">
        <f t="shared" si="4"/>
        <v>1</v>
      </c>
    </row>
    <row r="3627">
      <c r="A3627" s="23">
        <v>117735.0</v>
      </c>
      <c r="B3627" s="24" t="str">
        <f t="array" ref="B3627">xlookup($A3627,product!$A:$A,product!B:B)</f>
        <v>Enfant</v>
      </c>
      <c r="C3627" s="24" t="str">
        <f t="array" ref="C3627">xlookup($A3627,product!$A:$A,product!C:C)</f>
        <v>Couches écologiques</v>
      </c>
      <c r="D3627" s="24" t="str">
        <f t="array" ref="D3627">xlookup($A3627,product!$A:$A,product!D:D)</f>
        <v>Couches jetables 7-18 kg</v>
      </c>
      <c r="E3627" s="25" t="str">
        <f t="shared" si="1"/>
        <v>117735-Couches écologiques-Couches jetables 7-18 kg</v>
      </c>
      <c r="F3627" s="25">
        <v>1.0</v>
      </c>
      <c r="G3627" s="25">
        <v>749.0</v>
      </c>
      <c r="H3627" s="25">
        <v>538.0</v>
      </c>
      <c r="I3627" s="26">
        <f t="array" ref="I3627">XLOOKUP($A3627,product!A:A,product!E:E)</f>
        <v>5.32</v>
      </c>
      <c r="J3627" s="25">
        <f t="shared" si="2"/>
        <v>2862.16</v>
      </c>
      <c r="K3627" s="27">
        <f t="shared" si="3"/>
        <v>1</v>
      </c>
      <c r="L3627" s="25">
        <f t="shared" si="4"/>
        <v>1</v>
      </c>
    </row>
    <row r="3628">
      <c r="A3628" s="19">
        <v>101299.0</v>
      </c>
      <c r="B3628" s="20" t="str">
        <f t="array" ref="B3628">xlookup($A3628,product!$A:$A,product!B:B)</f>
        <v>Enfant</v>
      </c>
      <c r="C3628" s="20" t="str">
        <f t="array" ref="C3628">xlookup($A3628,product!$A:$A,product!C:C)</f>
        <v>Couches écologiques</v>
      </c>
      <c r="D3628" s="20" t="str">
        <f t="array" ref="D3628">xlookup($A3628,product!$A:$A,product!D:D)</f>
        <v>Couches jetables 7-18 kg</v>
      </c>
      <c r="E3628" s="4" t="str">
        <f t="shared" si="1"/>
        <v>101299-Couches écologiques-Couches jetables 7-18 kg</v>
      </c>
      <c r="F3628" s="4">
        <v>1.0</v>
      </c>
      <c r="G3628" s="4">
        <v>20.0</v>
      </c>
      <c r="H3628" s="4">
        <v>11.0</v>
      </c>
      <c r="I3628" s="21">
        <f t="array" ref="I3628">XLOOKUP($A3628,product!A:A,product!E:E)</f>
        <v>12.25</v>
      </c>
      <c r="J3628" s="4">
        <f t="shared" si="2"/>
        <v>134.75</v>
      </c>
      <c r="K3628" s="22">
        <f t="shared" si="3"/>
        <v>1</v>
      </c>
      <c r="L3628" s="4">
        <f t="shared" si="4"/>
        <v>1</v>
      </c>
    </row>
    <row r="3629">
      <c r="A3629" s="23">
        <v>103590.0</v>
      </c>
      <c r="B3629" s="24" t="str">
        <f t="array" ref="B3629">xlookup($A3629,product!$A:$A,product!B:B)</f>
        <v>Enfant</v>
      </c>
      <c r="C3629" s="24" t="str">
        <f t="array" ref="C3629">xlookup($A3629,product!$A:$A,product!C:C)</f>
        <v>Couches écologiques</v>
      </c>
      <c r="D3629" s="24" t="str">
        <f t="array" ref="D3629">xlookup($A3629,product!$A:$A,product!D:D)</f>
        <v>Couches jetables 7-18 kg</v>
      </c>
      <c r="E3629" s="25" t="str">
        <f t="shared" si="1"/>
        <v>103590-Couches écologiques-Couches jetables 7-18 kg</v>
      </c>
      <c r="F3629" s="25">
        <v>1.0</v>
      </c>
      <c r="G3629" s="25">
        <v>790.0</v>
      </c>
      <c r="H3629" s="25">
        <v>675.0</v>
      </c>
      <c r="I3629" s="26">
        <f t="array" ref="I3629">XLOOKUP($A3629,product!A:A,product!E:E)</f>
        <v>11.82</v>
      </c>
      <c r="J3629" s="25">
        <f t="shared" si="2"/>
        <v>7978.5</v>
      </c>
      <c r="K3629" s="27">
        <f t="shared" si="3"/>
        <v>1</v>
      </c>
      <c r="L3629" s="25">
        <f t="shared" si="4"/>
        <v>1</v>
      </c>
    </row>
    <row r="3630">
      <c r="A3630" s="19">
        <v>43944.0</v>
      </c>
      <c r="B3630" s="20" t="str">
        <f t="array" ref="B3630">xlookup($A3630,product!$A:$A,product!B:B)</f>
        <v>Enfant</v>
      </c>
      <c r="C3630" s="20" t="str">
        <f t="array" ref="C3630">xlookup($A3630,product!$A:$A,product!C:C)</f>
        <v>Couches écologiques</v>
      </c>
      <c r="D3630" s="20" t="str">
        <f t="array" ref="D3630">xlookup($A3630,product!$A:$A,product!D:D)</f>
        <v>Couches jetables 7-18 kg</v>
      </c>
      <c r="E3630" s="4" t="str">
        <f t="shared" si="1"/>
        <v>43944-Couches écologiques-Couches jetables 7-18 kg</v>
      </c>
      <c r="F3630" s="4">
        <v>0.0</v>
      </c>
      <c r="G3630" s="4">
        <v>269.0</v>
      </c>
      <c r="H3630" s="4">
        <v>53.0</v>
      </c>
      <c r="I3630" s="21">
        <f t="array" ref="I3630">XLOOKUP($A3630,product!A:A,product!E:E)</f>
        <v>11.54</v>
      </c>
      <c r="J3630" s="4">
        <f t="shared" si="2"/>
        <v>611.62</v>
      </c>
      <c r="K3630" s="22">
        <f t="shared" si="3"/>
        <v>1</v>
      </c>
      <c r="L3630" s="4">
        <f t="shared" si="4"/>
        <v>1</v>
      </c>
    </row>
    <row r="3631">
      <c r="A3631" s="23">
        <v>113128.0</v>
      </c>
      <c r="B3631" s="24" t="str">
        <f t="array" ref="B3631">xlookup($A3631,product!$A:$A,product!B:B)</f>
        <v>Enfant</v>
      </c>
      <c r="C3631" s="24" t="str">
        <f t="array" ref="C3631">xlookup($A3631,product!$A:$A,product!C:C)</f>
        <v>Couches écologiques</v>
      </c>
      <c r="D3631" s="24" t="str">
        <f t="array" ref="D3631">xlookup($A3631,product!$A:$A,product!D:D)</f>
        <v>Couches jetables 7-18 kg</v>
      </c>
      <c r="E3631" s="25" t="str">
        <f t="shared" si="1"/>
        <v>113128-Couches écologiques-Couches jetables 7-18 kg</v>
      </c>
      <c r="F3631" s="25">
        <v>0.0</v>
      </c>
      <c r="G3631" s="25">
        <v>327.0</v>
      </c>
      <c r="H3631" s="25">
        <v>142.0</v>
      </c>
      <c r="I3631" s="26">
        <f t="array" ref="I3631">XLOOKUP($A3631,product!A:A,product!E:E)</f>
        <v>12.25</v>
      </c>
      <c r="J3631" s="25">
        <f t="shared" si="2"/>
        <v>1739.5</v>
      </c>
      <c r="K3631" s="27">
        <f t="shared" si="3"/>
        <v>1</v>
      </c>
      <c r="L3631" s="25">
        <f t="shared" si="4"/>
        <v>1</v>
      </c>
    </row>
    <row r="3632">
      <c r="A3632" s="19">
        <v>102553.0</v>
      </c>
      <c r="B3632" s="20" t="str">
        <f t="array" ref="B3632">xlookup($A3632,product!$A:$A,product!B:B)</f>
        <v>Enfant</v>
      </c>
      <c r="C3632" s="20" t="str">
        <f t="array" ref="C3632">xlookup($A3632,product!$A:$A,product!C:C)</f>
        <v>Couches écologiques</v>
      </c>
      <c r="D3632" s="20" t="str">
        <f t="array" ref="D3632">xlookup($A3632,product!$A:$A,product!D:D)</f>
        <v>Couches jetables 7-18 kg</v>
      </c>
      <c r="E3632" s="4" t="str">
        <f t="shared" si="1"/>
        <v>102553-Couches écologiques-Couches jetables 7-18 kg</v>
      </c>
      <c r="F3632" s="4">
        <v>0.0</v>
      </c>
      <c r="G3632" s="4">
        <v>826.0</v>
      </c>
      <c r="H3632" s="4">
        <v>563.0</v>
      </c>
      <c r="I3632" s="21">
        <f t="array" ref="I3632">XLOOKUP($A3632,product!A:A,product!E:E)</f>
        <v>5.99</v>
      </c>
      <c r="J3632" s="4">
        <f t="shared" si="2"/>
        <v>3372.37</v>
      </c>
      <c r="K3632" s="22">
        <f t="shared" si="3"/>
        <v>1</v>
      </c>
      <c r="L3632" s="4">
        <f t="shared" si="4"/>
        <v>1</v>
      </c>
    </row>
    <row r="3633">
      <c r="A3633" s="23">
        <v>114230.0</v>
      </c>
      <c r="B3633" s="24" t="str">
        <f t="array" ref="B3633">xlookup($A3633,product!$A:$A,product!B:B)</f>
        <v>Enfant</v>
      </c>
      <c r="C3633" s="24" t="str">
        <f t="array" ref="C3633">xlookup($A3633,product!$A:$A,product!C:C)</f>
        <v>Couches écologiques</v>
      </c>
      <c r="D3633" s="24" t="str">
        <f t="array" ref="D3633">xlookup($A3633,product!$A:$A,product!D:D)</f>
        <v>Couches jetables 7-18 kg</v>
      </c>
      <c r="E3633" s="25" t="str">
        <f t="shared" si="1"/>
        <v>114230-Couches écologiques-Couches jetables 7-18 kg</v>
      </c>
      <c r="F3633" s="25">
        <v>0.0</v>
      </c>
      <c r="G3633" s="25">
        <v>591.0</v>
      </c>
      <c r="H3633" s="25">
        <v>521.0</v>
      </c>
      <c r="I3633" s="26">
        <f t="array" ref="I3633">XLOOKUP($A3633,product!A:A,product!E:E)</f>
        <v>12.4</v>
      </c>
      <c r="J3633" s="25">
        <f t="shared" si="2"/>
        <v>6460.4</v>
      </c>
      <c r="K3633" s="27">
        <f t="shared" si="3"/>
        <v>1</v>
      </c>
      <c r="L3633" s="25">
        <f t="shared" si="4"/>
        <v>1</v>
      </c>
    </row>
    <row r="3634">
      <c r="A3634" s="19">
        <v>122028.0</v>
      </c>
      <c r="B3634" s="20" t="str">
        <f t="array" ref="B3634">xlookup($A3634,product!$A:$A,product!B:B)</f>
        <v>Enfant</v>
      </c>
      <c r="C3634" s="20" t="str">
        <f t="array" ref="C3634">xlookup($A3634,product!$A:$A,product!C:C)</f>
        <v>Couches écologiques</v>
      </c>
      <c r="D3634" s="20" t="str">
        <f t="array" ref="D3634">xlookup($A3634,product!$A:$A,product!D:D)</f>
        <v>Couches jetables 7-18 kg</v>
      </c>
      <c r="E3634" s="4" t="str">
        <f t="shared" si="1"/>
        <v>122028-Couches écologiques-Couches jetables 7-18 kg</v>
      </c>
      <c r="F3634" s="4">
        <v>0.0</v>
      </c>
      <c r="G3634" s="4">
        <v>354.0</v>
      </c>
      <c r="H3634" s="4">
        <v>159.0</v>
      </c>
      <c r="I3634" s="21">
        <f t="array" ref="I3634">XLOOKUP($A3634,product!A:A,product!E:E)</f>
        <v>11.82</v>
      </c>
      <c r="J3634" s="4">
        <f t="shared" si="2"/>
        <v>1879.38</v>
      </c>
      <c r="K3634" s="22">
        <f t="shared" si="3"/>
        <v>1</v>
      </c>
      <c r="L3634" s="4">
        <f t="shared" si="4"/>
        <v>1</v>
      </c>
    </row>
    <row r="3635">
      <c r="A3635" s="23">
        <v>102269.0</v>
      </c>
      <c r="B3635" s="24" t="str">
        <f t="array" ref="B3635">xlookup($A3635,product!$A:$A,product!B:B)</f>
        <v>Enfant</v>
      </c>
      <c r="C3635" s="24" t="str">
        <f t="array" ref="C3635">xlookup($A3635,product!$A:$A,product!C:C)</f>
        <v>Couches écologiques</v>
      </c>
      <c r="D3635" s="24" t="str">
        <f t="array" ref="D3635">xlookup($A3635,product!$A:$A,product!D:D)</f>
        <v>Couches jetables 7-18 kg</v>
      </c>
      <c r="E3635" s="25" t="str">
        <f t="shared" si="1"/>
        <v>102269-Couches écologiques-Couches jetables 7-18 kg</v>
      </c>
      <c r="F3635" s="25">
        <v>1.0</v>
      </c>
      <c r="G3635" s="25">
        <v>826.0</v>
      </c>
      <c r="H3635" s="25">
        <v>595.0</v>
      </c>
      <c r="I3635" s="26">
        <f t="array" ref="I3635">XLOOKUP($A3635,product!A:A,product!E:E)</f>
        <v>7.24</v>
      </c>
      <c r="J3635" s="25">
        <f t="shared" si="2"/>
        <v>4307.8</v>
      </c>
      <c r="K3635" s="27">
        <f t="shared" si="3"/>
        <v>1</v>
      </c>
      <c r="L3635" s="25">
        <f t="shared" si="4"/>
        <v>1</v>
      </c>
    </row>
    <row r="3636">
      <c r="A3636" s="19">
        <v>26651.0</v>
      </c>
      <c r="B3636" s="20" t="str">
        <f t="array" ref="B3636">xlookup($A3636,product!$A:$A,product!B:B)</f>
        <v>Enfant</v>
      </c>
      <c r="C3636" s="20" t="str">
        <f t="array" ref="C3636">xlookup($A3636,product!$A:$A,product!C:C)</f>
        <v>Couches écologiques</v>
      </c>
      <c r="D3636" s="20" t="str">
        <f t="array" ref="D3636">xlookup($A3636,product!$A:$A,product!D:D)</f>
        <v>Couches jetables 7-18 kg</v>
      </c>
      <c r="E3636" s="4" t="str">
        <f t="shared" si="1"/>
        <v>26651-Couches écologiques-Couches jetables 7-18 kg</v>
      </c>
      <c r="F3636" s="4">
        <v>1.0</v>
      </c>
      <c r="G3636" s="4">
        <v>730.0</v>
      </c>
      <c r="H3636" s="4">
        <v>603.0</v>
      </c>
      <c r="I3636" s="21">
        <f t="array" ref="I3636">XLOOKUP($A3636,product!A:A,product!E:E)</f>
        <v>8.64</v>
      </c>
      <c r="J3636" s="4">
        <f t="shared" si="2"/>
        <v>5209.92</v>
      </c>
      <c r="K3636" s="22">
        <f t="shared" si="3"/>
        <v>1</v>
      </c>
      <c r="L3636" s="4">
        <f t="shared" si="4"/>
        <v>1</v>
      </c>
    </row>
    <row r="3637">
      <c r="A3637" s="23">
        <v>101316.0</v>
      </c>
      <c r="B3637" s="24" t="str">
        <f t="array" ref="B3637">xlookup($A3637,product!$A:$A,product!B:B)</f>
        <v>Enfant</v>
      </c>
      <c r="C3637" s="24" t="str">
        <f t="array" ref="C3637">xlookup($A3637,product!$A:$A,product!C:C)</f>
        <v>Couches écologiques</v>
      </c>
      <c r="D3637" s="24" t="str">
        <f t="array" ref="D3637">xlookup($A3637,product!$A:$A,product!D:D)</f>
        <v>Couches jetables 7-18 kg</v>
      </c>
      <c r="E3637" s="25" t="str">
        <f t="shared" si="1"/>
        <v>101316-Couches écologiques-Couches jetables 7-18 kg</v>
      </c>
      <c r="F3637" s="25">
        <v>1.0</v>
      </c>
      <c r="G3637" s="25">
        <v>129.0</v>
      </c>
      <c r="H3637" s="25">
        <v>92.0</v>
      </c>
      <c r="I3637" s="26">
        <f t="array" ref="I3637">XLOOKUP($A3637,product!A:A,product!E:E)</f>
        <v>6.13</v>
      </c>
      <c r="J3637" s="25">
        <f t="shared" si="2"/>
        <v>563.96</v>
      </c>
      <c r="K3637" s="27">
        <f t="shared" si="3"/>
        <v>1</v>
      </c>
      <c r="L3637" s="25">
        <f t="shared" si="4"/>
        <v>1</v>
      </c>
    </row>
    <row r="3638">
      <c r="A3638" s="19">
        <v>117742.0</v>
      </c>
      <c r="B3638" s="20" t="str">
        <f t="array" ref="B3638">xlookup($A3638,product!$A:$A,product!B:B)</f>
        <v>Enfant</v>
      </c>
      <c r="C3638" s="20" t="str">
        <f t="array" ref="C3638">xlookup($A3638,product!$A:$A,product!C:C)</f>
        <v>Couches écologiques</v>
      </c>
      <c r="D3638" s="20" t="str">
        <f t="array" ref="D3638">xlookup($A3638,product!$A:$A,product!D:D)</f>
        <v>Couches jetables 7-18 kg</v>
      </c>
      <c r="E3638" s="4" t="str">
        <f t="shared" si="1"/>
        <v>117742-Couches écologiques-Couches jetables 7-18 kg</v>
      </c>
      <c r="F3638" s="4">
        <v>1.0</v>
      </c>
      <c r="G3638" s="4">
        <v>252.0</v>
      </c>
      <c r="H3638" s="4">
        <v>252.0</v>
      </c>
      <c r="I3638" s="21">
        <f t="array" ref="I3638">XLOOKUP($A3638,product!A:A,product!E:E)</f>
        <v>10.58</v>
      </c>
      <c r="J3638" s="4">
        <f t="shared" si="2"/>
        <v>2666.16</v>
      </c>
      <c r="K3638" s="22">
        <f t="shared" si="3"/>
        <v>1</v>
      </c>
      <c r="L3638" s="4">
        <f t="shared" si="4"/>
        <v>1</v>
      </c>
    </row>
    <row r="3639">
      <c r="A3639" s="23">
        <v>101315.0</v>
      </c>
      <c r="B3639" s="24" t="str">
        <f t="array" ref="B3639">xlookup($A3639,product!$A:$A,product!B:B)</f>
        <v>Enfant</v>
      </c>
      <c r="C3639" s="24" t="str">
        <f t="array" ref="C3639">xlookup($A3639,product!$A:$A,product!C:C)</f>
        <v>Couches écologiques</v>
      </c>
      <c r="D3639" s="24" t="str">
        <f t="array" ref="D3639">xlookup($A3639,product!$A:$A,product!D:D)</f>
        <v>Couches jetables 7-18 kg</v>
      </c>
      <c r="E3639" s="25" t="str">
        <f t="shared" si="1"/>
        <v>101315-Couches écologiques-Couches jetables 7-18 kg</v>
      </c>
      <c r="F3639" s="25">
        <v>0.0</v>
      </c>
      <c r="G3639" s="25">
        <v>511.0</v>
      </c>
      <c r="H3639" s="25">
        <v>382.0</v>
      </c>
      <c r="I3639" s="26">
        <f t="array" ref="I3639">XLOOKUP($A3639,product!A:A,product!E:E)</f>
        <v>6.13</v>
      </c>
      <c r="J3639" s="25">
        <f t="shared" si="2"/>
        <v>2341.66</v>
      </c>
      <c r="K3639" s="27">
        <f t="shared" si="3"/>
        <v>1</v>
      </c>
      <c r="L3639" s="25">
        <f t="shared" si="4"/>
        <v>1</v>
      </c>
    </row>
    <row r="3640">
      <c r="A3640" s="19">
        <v>43945.0</v>
      </c>
      <c r="B3640" s="20" t="str">
        <f t="array" ref="B3640">xlookup($A3640,product!$A:$A,product!B:B)</f>
        <v>Enfant</v>
      </c>
      <c r="C3640" s="20" t="str">
        <f t="array" ref="C3640">xlookup($A3640,product!$A:$A,product!C:C)</f>
        <v>Couches écologiques</v>
      </c>
      <c r="D3640" s="20" t="str">
        <f t="array" ref="D3640">xlookup($A3640,product!$A:$A,product!D:D)</f>
        <v>Couches jetables 7-18 kg</v>
      </c>
      <c r="E3640" s="4" t="str">
        <f t="shared" si="1"/>
        <v>43945-Couches écologiques-Couches jetables 7-18 kg</v>
      </c>
      <c r="F3640" s="4">
        <v>0.0</v>
      </c>
      <c r="G3640" s="4">
        <v>969.0</v>
      </c>
      <c r="H3640" s="4">
        <v>930.0</v>
      </c>
      <c r="I3640" s="21">
        <f t="array" ref="I3640">XLOOKUP($A3640,product!A:A,product!E:E)</f>
        <v>11.54</v>
      </c>
      <c r="J3640" s="4">
        <f t="shared" si="2"/>
        <v>10732.2</v>
      </c>
      <c r="K3640" s="22">
        <f t="shared" si="3"/>
        <v>1</v>
      </c>
      <c r="L3640" s="4">
        <f t="shared" si="4"/>
        <v>1</v>
      </c>
    </row>
    <row r="3641">
      <c r="A3641" s="23">
        <v>103589.0</v>
      </c>
      <c r="B3641" s="24" t="str">
        <f t="array" ref="B3641">xlookup($A3641,product!$A:$A,product!B:B)</f>
        <v>Enfant</v>
      </c>
      <c r="C3641" s="24" t="str">
        <f t="array" ref="C3641">xlookup($A3641,product!$A:$A,product!C:C)</f>
        <v>Couches écologiques</v>
      </c>
      <c r="D3641" s="24" t="str">
        <f t="array" ref="D3641">xlookup($A3641,product!$A:$A,product!D:D)</f>
        <v>Couches jetables 7-18 kg</v>
      </c>
      <c r="E3641" s="25" t="str">
        <f t="shared" si="1"/>
        <v>103589-Couches écologiques-Couches jetables 7-18 kg</v>
      </c>
      <c r="F3641" s="25">
        <v>0.0</v>
      </c>
      <c r="G3641" s="25">
        <v>800.0</v>
      </c>
      <c r="H3641" s="25">
        <v>760.0</v>
      </c>
      <c r="I3641" s="26">
        <f t="array" ref="I3641">XLOOKUP($A3641,product!A:A,product!E:E)</f>
        <v>11.82</v>
      </c>
      <c r="J3641" s="25">
        <f t="shared" si="2"/>
        <v>8983.2</v>
      </c>
      <c r="K3641" s="27">
        <f t="shared" si="3"/>
        <v>1</v>
      </c>
      <c r="L3641" s="25">
        <f t="shared" si="4"/>
        <v>1</v>
      </c>
    </row>
    <row r="3642">
      <c r="A3642" s="19">
        <v>88896.0</v>
      </c>
      <c r="B3642" s="20" t="str">
        <f t="array" ref="B3642">xlookup($A3642,product!$A:$A,product!B:B)</f>
        <v>Enfant</v>
      </c>
      <c r="C3642" s="20" t="str">
        <f t="array" ref="C3642">xlookup($A3642,product!$A:$A,product!C:C)</f>
        <v>Couches écologiques</v>
      </c>
      <c r="D3642" s="20" t="str">
        <f t="array" ref="D3642">xlookup($A3642,product!$A:$A,product!D:D)</f>
        <v>Couches lavables 8-20 kg</v>
      </c>
      <c r="E3642" s="4" t="str">
        <f t="shared" si="1"/>
        <v>88896-Couches écologiques-Couches lavables 8-20 kg</v>
      </c>
      <c r="F3642" s="4">
        <v>1.0</v>
      </c>
      <c r="G3642" s="4">
        <v>491.0</v>
      </c>
      <c r="H3642" s="4">
        <v>248.0</v>
      </c>
      <c r="I3642" s="21">
        <f t="array" ref="I3642">XLOOKUP($A3642,product!A:A,product!E:E)</f>
        <v>16.77</v>
      </c>
      <c r="J3642" s="4">
        <f t="shared" si="2"/>
        <v>4158.96</v>
      </c>
      <c r="K3642" s="22">
        <f t="shared" si="3"/>
        <v>1</v>
      </c>
      <c r="L3642" s="4">
        <f t="shared" si="4"/>
        <v>1</v>
      </c>
    </row>
    <row r="3643">
      <c r="A3643" s="23">
        <v>103595.0</v>
      </c>
      <c r="B3643" s="24" t="str">
        <f t="array" ref="B3643">xlookup($A3643,product!$A:$A,product!B:B)</f>
        <v>Enfant</v>
      </c>
      <c r="C3643" s="24" t="str">
        <f t="array" ref="C3643">xlookup($A3643,product!$A:$A,product!C:C)</f>
        <v>Couches écologiques</v>
      </c>
      <c r="D3643" s="24" t="str">
        <f t="array" ref="D3643">xlookup($A3643,product!$A:$A,product!D:D)</f>
        <v>Couches jetables 11-30 kg</v>
      </c>
      <c r="E3643" s="25" t="str">
        <f t="shared" si="1"/>
        <v>103595-Couches écologiques-Couches jetables 11-30 kg</v>
      </c>
      <c r="F3643" s="25">
        <v>1.0</v>
      </c>
      <c r="G3643" s="25">
        <v>436.0</v>
      </c>
      <c r="H3643" s="25">
        <v>65.0</v>
      </c>
      <c r="I3643" s="26">
        <f t="array" ref="I3643">XLOOKUP($A3643,product!A:A,product!E:E)</f>
        <v>11.82</v>
      </c>
      <c r="J3643" s="25">
        <f t="shared" si="2"/>
        <v>768.3</v>
      </c>
      <c r="K3643" s="27">
        <f t="shared" si="3"/>
        <v>1</v>
      </c>
      <c r="L3643" s="25">
        <f t="shared" si="4"/>
        <v>1</v>
      </c>
    </row>
    <row r="3644">
      <c r="A3644" s="19">
        <v>101300.0</v>
      </c>
      <c r="B3644" s="20" t="str">
        <f t="array" ref="B3644">xlookup($A3644,product!$A:$A,product!B:B)</f>
        <v>Enfant</v>
      </c>
      <c r="C3644" s="20" t="str">
        <f t="array" ref="C3644">xlookup($A3644,product!$A:$A,product!C:C)</f>
        <v>Couches écologiques</v>
      </c>
      <c r="D3644" s="20" t="str">
        <f t="array" ref="D3644">xlookup($A3644,product!$A:$A,product!D:D)</f>
        <v>Couches jetables 11-30 kg</v>
      </c>
      <c r="E3644" s="4" t="str">
        <f t="shared" si="1"/>
        <v>101300-Couches écologiques-Couches jetables 11-30 kg</v>
      </c>
      <c r="F3644" s="4">
        <v>1.0</v>
      </c>
      <c r="G3644" s="4">
        <v>130.0</v>
      </c>
      <c r="H3644" s="4">
        <v>62.0</v>
      </c>
      <c r="I3644" s="21">
        <f t="array" ref="I3644">XLOOKUP($A3644,product!A:A,product!E:E)</f>
        <v>12.25</v>
      </c>
      <c r="J3644" s="4">
        <f t="shared" si="2"/>
        <v>759.5</v>
      </c>
      <c r="K3644" s="22">
        <f t="shared" si="3"/>
        <v>1</v>
      </c>
      <c r="L3644" s="4">
        <f t="shared" si="4"/>
        <v>1</v>
      </c>
    </row>
    <row r="3645">
      <c r="A3645" s="23">
        <v>113130.0</v>
      </c>
      <c r="B3645" s="24" t="str">
        <f t="array" ref="B3645">xlookup($A3645,product!$A:$A,product!B:B)</f>
        <v>Enfant</v>
      </c>
      <c r="C3645" s="24" t="str">
        <f t="array" ref="C3645">xlookup($A3645,product!$A:$A,product!C:C)</f>
        <v>Couches écologiques</v>
      </c>
      <c r="D3645" s="24" t="str">
        <f t="array" ref="D3645">xlookup($A3645,product!$A:$A,product!D:D)</f>
        <v>Couches jetables 11-30 kg</v>
      </c>
      <c r="E3645" s="25" t="str">
        <f t="shared" si="1"/>
        <v>113130-Couches écologiques-Couches jetables 11-30 kg</v>
      </c>
      <c r="F3645" s="25">
        <v>1.0</v>
      </c>
      <c r="G3645" s="25">
        <v>401.0</v>
      </c>
      <c r="H3645" s="25">
        <v>109.0</v>
      </c>
      <c r="I3645" s="26">
        <f t="array" ref="I3645">XLOOKUP($A3645,product!A:A,product!E:E)</f>
        <v>12.25</v>
      </c>
      <c r="J3645" s="25">
        <f t="shared" si="2"/>
        <v>1335.25</v>
      </c>
      <c r="K3645" s="27">
        <f t="shared" si="3"/>
        <v>1</v>
      </c>
      <c r="L3645" s="25">
        <f t="shared" si="4"/>
        <v>1</v>
      </c>
    </row>
    <row r="3646">
      <c r="A3646" s="19">
        <v>102272.0</v>
      </c>
      <c r="B3646" s="20" t="str">
        <f t="array" ref="B3646">xlookup($A3646,product!$A:$A,product!B:B)</f>
        <v>Enfant</v>
      </c>
      <c r="C3646" s="20" t="str">
        <f t="array" ref="C3646">xlookup($A3646,product!$A:$A,product!C:C)</f>
        <v>Couches écologiques</v>
      </c>
      <c r="D3646" s="20" t="str">
        <f t="array" ref="D3646">xlookup($A3646,product!$A:$A,product!D:D)</f>
        <v>Couches jetables 11-30 kg</v>
      </c>
      <c r="E3646" s="4" t="str">
        <f t="shared" si="1"/>
        <v>102272-Couches écologiques-Couches jetables 11-30 kg</v>
      </c>
      <c r="F3646" s="4">
        <v>0.0</v>
      </c>
      <c r="G3646" s="4">
        <v>315.0</v>
      </c>
      <c r="H3646" s="4">
        <v>124.0</v>
      </c>
      <c r="I3646" s="21">
        <f t="array" ref="I3646">XLOOKUP($A3646,product!A:A,product!E:E)</f>
        <v>7.24</v>
      </c>
      <c r="J3646" s="4">
        <f t="shared" si="2"/>
        <v>897.76</v>
      </c>
      <c r="K3646" s="22">
        <f t="shared" si="3"/>
        <v>1</v>
      </c>
      <c r="L3646" s="4">
        <f t="shared" si="4"/>
        <v>1</v>
      </c>
    </row>
    <row r="3647">
      <c r="A3647" s="23">
        <v>43947.0</v>
      </c>
      <c r="B3647" s="24" t="str">
        <f t="array" ref="B3647">xlookup($A3647,product!$A:$A,product!B:B)</f>
        <v>Enfant</v>
      </c>
      <c r="C3647" s="24" t="str">
        <f t="array" ref="C3647">xlookup($A3647,product!$A:$A,product!C:C)</f>
        <v>Couches écologiques</v>
      </c>
      <c r="D3647" s="24" t="str">
        <f t="array" ref="D3647">xlookup($A3647,product!$A:$A,product!D:D)</f>
        <v>Couches jetables 11-30 kg</v>
      </c>
      <c r="E3647" s="25" t="str">
        <f t="shared" si="1"/>
        <v>43947-Couches écologiques-Couches jetables 11-30 kg</v>
      </c>
      <c r="F3647" s="25">
        <v>1.0</v>
      </c>
      <c r="G3647" s="25">
        <v>742.0</v>
      </c>
      <c r="H3647" s="25">
        <v>594.0</v>
      </c>
      <c r="I3647" s="26">
        <f t="array" ref="I3647">XLOOKUP($A3647,product!A:A,product!E:E)</f>
        <v>11.54</v>
      </c>
      <c r="J3647" s="25">
        <f t="shared" si="2"/>
        <v>6854.76</v>
      </c>
      <c r="K3647" s="27">
        <f t="shared" si="3"/>
        <v>1</v>
      </c>
      <c r="L3647" s="25">
        <f t="shared" si="4"/>
        <v>1</v>
      </c>
    </row>
    <row r="3648">
      <c r="A3648" s="19">
        <v>102271.0</v>
      </c>
      <c r="B3648" s="20" t="str">
        <f t="array" ref="B3648">xlookup($A3648,product!$A:$A,product!B:B)</f>
        <v>Enfant</v>
      </c>
      <c r="C3648" s="20" t="str">
        <f t="array" ref="C3648">xlookup($A3648,product!$A:$A,product!C:C)</f>
        <v>Couches écologiques</v>
      </c>
      <c r="D3648" s="20" t="str">
        <f t="array" ref="D3648">xlookup($A3648,product!$A:$A,product!D:D)</f>
        <v>Couches jetables 11-30 kg</v>
      </c>
      <c r="E3648" s="4" t="str">
        <f t="shared" si="1"/>
        <v>102271-Couches écologiques-Couches jetables 11-30 kg</v>
      </c>
      <c r="F3648" s="4">
        <v>0.0</v>
      </c>
      <c r="G3648" s="4">
        <v>616.0</v>
      </c>
      <c r="H3648" s="4">
        <v>25.0</v>
      </c>
      <c r="I3648" s="21">
        <f t="array" ref="I3648">XLOOKUP($A3648,product!A:A,product!E:E)</f>
        <v>7.24</v>
      </c>
      <c r="J3648" s="4">
        <f t="shared" si="2"/>
        <v>181</v>
      </c>
      <c r="K3648" s="22">
        <f t="shared" si="3"/>
        <v>1</v>
      </c>
      <c r="L3648" s="4">
        <f t="shared" si="4"/>
        <v>1</v>
      </c>
    </row>
    <row r="3649">
      <c r="A3649" s="23">
        <v>103592.0</v>
      </c>
      <c r="B3649" s="24" t="str">
        <f t="array" ref="B3649">xlookup($A3649,product!$A:$A,product!B:B)</f>
        <v>Enfant</v>
      </c>
      <c r="C3649" s="24" t="str">
        <f t="array" ref="C3649">xlookup($A3649,product!$A:$A,product!C:C)</f>
        <v>Couches écologiques</v>
      </c>
      <c r="D3649" s="24" t="str">
        <f t="array" ref="D3649">xlookup($A3649,product!$A:$A,product!D:D)</f>
        <v>Couches jetables 11-30 kg</v>
      </c>
      <c r="E3649" s="25" t="str">
        <f t="shared" si="1"/>
        <v>103592-Couches écologiques-Couches jetables 11-30 kg</v>
      </c>
      <c r="F3649" s="25">
        <v>1.0</v>
      </c>
      <c r="G3649" s="25">
        <v>42.0</v>
      </c>
      <c r="H3649" s="25">
        <v>30.0</v>
      </c>
      <c r="I3649" s="26">
        <f t="array" ref="I3649">XLOOKUP($A3649,product!A:A,product!E:E)</f>
        <v>11.82</v>
      </c>
      <c r="J3649" s="25">
        <f t="shared" si="2"/>
        <v>354.6</v>
      </c>
      <c r="K3649" s="27">
        <f t="shared" si="3"/>
        <v>1</v>
      </c>
      <c r="L3649" s="25">
        <f t="shared" si="4"/>
        <v>1</v>
      </c>
    </row>
    <row r="3650">
      <c r="A3650" s="19">
        <v>26652.0</v>
      </c>
      <c r="B3650" s="20" t="str">
        <f t="array" ref="B3650">xlookup($A3650,product!$A:$A,product!B:B)</f>
        <v>Enfant</v>
      </c>
      <c r="C3650" s="20" t="str">
        <f t="array" ref="C3650">xlookup($A3650,product!$A:$A,product!C:C)</f>
        <v>Couches écologiques</v>
      </c>
      <c r="D3650" s="20" t="str">
        <f t="array" ref="D3650">xlookup($A3650,product!$A:$A,product!D:D)</f>
        <v>Couches jetables 11-30 kg</v>
      </c>
      <c r="E3650" s="4" t="str">
        <f t="shared" si="1"/>
        <v>26652-Couches écologiques-Couches jetables 11-30 kg</v>
      </c>
      <c r="F3650" s="4">
        <v>1.0</v>
      </c>
      <c r="G3650" s="4">
        <v>237.0</v>
      </c>
      <c r="H3650" s="4">
        <v>141.0</v>
      </c>
      <c r="I3650" s="21">
        <f t="array" ref="I3650">XLOOKUP($A3650,product!A:A,product!E:E)</f>
        <v>8.64</v>
      </c>
      <c r="J3650" s="4">
        <f t="shared" si="2"/>
        <v>1218.24</v>
      </c>
      <c r="K3650" s="22">
        <f t="shared" si="3"/>
        <v>1</v>
      </c>
      <c r="L3650" s="4">
        <f t="shared" si="4"/>
        <v>1</v>
      </c>
    </row>
    <row r="3651">
      <c r="A3651" s="23">
        <v>43946.0</v>
      </c>
      <c r="B3651" s="24" t="str">
        <f t="array" ref="B3651">xlookup($A3651,product!$A:$A,product!B:B)</f>
        <v>Enfant</v>
      </c>
      <c r="C3651" s="24" t="str">
        <f t="array" ref="C3651">xlookup($A3651,product!$A:$A,product!C:C)</f>
        <v>Couches écologiques</v>
      </c>
      <c r="D3651" s="24" t="str">
        <f t="array" ref="D3651">xlookup($A3651,product!$A:$A,product!D:D)</f>
        <v>Couches jetables 11-30 kg</v>
      </c>
      <c r="E3651" s="25" t="str">
        <f t="shared" si="1"/>
        <v>43946-Couches écologiques-Couches jetables 11-30 kg</v>
      </c>
      <c r="F3651" s="25">
        <v>0.0</v>
      </c>
      <c r="G3651" s="25">
        <v>94.0</v>
      </c>
      <c r="H3651" s="25">
        <v>59.0</v>
      </c>
      <c r="I3651" s="26">
        <f t="array" ref="I3651">XLOOKUP($A3651,product!A:A,product!E:E)</f>
        <v>11.54</v>
      </c>
      <c r="J3651" s="25">
        <f t="shared" si="2"/>
        <v>680.86</v>
      </c>
      <c r="K3651" s="27">
        <f t="shared" si="3"/>
        <v>1</v>
      </c>
      <c r="L3651" s="25">
        <f t="shared" si="4"/>
        <v>1</v>
      </c>
    </row>
    <row r="3652">
      <c r="A3652" s="19">
        <v>101301.0</v>
      </c>
      <c r="B3652" s="20" t="str">
        <f t="array" ref="B3652">xlookup($A3652,product!$A:$A,product!B:B)</f>
        <v>Enfant</v>
      </c>
      <c r="C3652" s="20" t="str">
        <f t="array" ref="C3652">xlookup($A3652,product!$A:$A,product!C:C)</f>
        <v>Couches écologiques</v>
      </c>
      <c r="D3652" s="20" t="str">
        <f t="array" ref="D3652">xlookup($A3652,product!$A:$A,product!D:D)</f>
        <v>Couches jetables 11-30 kg</v>
      </c>
      <c r="E3652" s="4" t="str">
        <f t="shared" si="1"/>
        <v>101301-Couches écologiques-Couches jetables 11-30 kg</v>
      </c>
      <c r="F3652" s="4">
        <v>0.0</v>
      </c>
      <c r="G3652" s="4">
        <v>62.0</v>
      </c>
      <c r="H3652" s="4">
        <v>39.0</v>
      </c>
      <c r="I3652" s="21">
        <f t="array" ref="I3652">XLOOKUP($A3652,product!A:A,product!E:E)</f>
        <v>12.25</v>
      </c>
      <c r="J3652" s="4">
        <f t="shared" si="2"/>
        <v>477.75</v>
      </c>
      <c r="K3652" s="22">
        <f t="shared" si="3"/>
        <v>1</v>
      </c>
      <c r="L3652" s="4">
        <f t="shared" si="4"/>
        <v>1</v>
      </c>
    </row>
    <row r="3653">
      <c r="A3653" s="23">
        <v>108458.0</v>
      </c>
      <c r="B3653" s="24" t="str">
        <f t="array" ref="B3653">xlookup($A3653,product!$A:$A,product!B:B)</f>
        <v>Enfant</v>
      </c>
      <c r="C3653" s="24" t="str">
        <f t="array" ref="C3653">xlookup($A3653,product!$A:$A,product!C:C)</f>
        <v>Couches écologiques</v>
      </c>
      <c r="D3653" s="24" t="str">
        <f t="array" ref="D3653">xlookup($A3653,product!$A:$A,product!D:D)</f>
        <v>Couches jetables 11-30 kg</v>
      </c>
      <c r="E3653" s="25" t="str">
        <f t="shared" si="1"/>
        <v>108458-Couches écologiques-Couches jetables 11-30 kg</v>
      </c>
      <c r="F3653" s="25">
        <v>1.0</v>
      </c>
      <c r="G3653" s="25">
        <v>142.0</v>
      </c>
      <c r="H3653" s="25">
        <v>36.0</v>
      </c>
      <c r="I3653" s="26">
        <f t="array" ref="I3653">XLOOKUP($A3653,product!A:A,product!E:E)</f>
        <v>6.53</v>
      </c>
      <c r="J3653" s="25">
        <f t="shared" si="2"/>
        <v>235.08</v>
      </c>
      <c r="K3653" s="27">
        <f t="shared" si="3"/>
        <v>1</v>
      </c>
      <c r="L3653" s="25">
        <f t="shared" si="4"/>
        <v>1</v>
      </c>
    </row>
    <row r="3654">
      <c r="A3654" s="19">
        <v>117736.0</v>
      </c>
      <c r="B3654" s="20" t="str">
        <f t="array" ref="B3654">xlookup($A3654,product!$A:$A,product!B:B)</f>
        <v>Enfant</v>
      </c>
      <c r="C3654" s="20" t="str">
        <f t="array" ref="C3654">xlookup($A3654,product!$A:$A,product!C:C)</f>
        <v>Couches écologiques</v>
      </c>
      <c r="D3654" s="20" t="str">
        <f t="array" ref="D3654">xlookup($A3654,product!$A:$A,product!D:D)</f>
        <v>Couches jetables 11-30 kg</v>
      </c>
      <c r="E3654" s="4" t="str">
        <f t="shared" si="1"/>
        <v>117736-Couches écologiques-Couches jetables 11-30 kg</v>
      </c>
      <c r="F3654" s="4">
        <v>0.0</v>
      </c>
      <c r="G3654" s="4">
        <v>106.0</v>
      </c>
      <c r="H3654" s="4">
        <v>35.0</v>
      </c>
      <c r="I3654" s="21">
        <f t="array" ref="I3654">XLOOKUP($A3654,product!A:A,product!E:E)</f>
        <v>5.18</v>
      </c>
      <c r="J3654" s="4">
        <f t="shared" si="2"/>
        <v>181.3</v>
      </c>
      <c r="K3654" s="22">
        <f t="shared" si="3"/>
        <v>1</v>
      </c>
      <c r="L3654" s="4">
        <f t="shared" si="4"/>
        <v>1</v>
      </c>
    </row>
    <row r="3655">
      <c r="A3655" s="23">
        <v>49606.0</v>
      </c>
      <c r="B3655" s="24" t="str">
        <f t="array" ref="B3655">xlookup($A3655,product!$A:$A,product!B:B)</f>
        <v>Enfant</v>
      </c>
      <c r="C3655" s="24" t="str">
        <f t="array" ref="C3655">xlookup($A3655,product!$A:$A,product!C:C)</f>
        <v>Couches écologiques</v>
      </c>
      <c r="D3655" s="24" t="str">
        <f t="array" ref="D3655">xlookup($A3655,product!$A:$A,product!D:D)</f>
        <v>Accessoires pour le change</v>
      </c>
      <c r="E3655" s="25" t="str">
        <f t="shared" si="1"/>
        <v>49606-Couches écologiques-Accessoires pour le change</v>
      </c>
      <c r="F3655" s="25">
        <v>0.0</v>
      </c>
      <c r="G3655" s="25">
        <v>172.0</v>
      </c>
      <c r="H3655" s="25">
        <v>21.0</v>
      </c>
      <c r="I3655" s="26">
        <f t="array" ref="I3655">XLOOKUP($A3655,product!A:A,product!E:E)</f>
        <v>3.49</v>
      </c>
      <c r="J3655" s="25">
        <f t="shared" si="2"/>
        <v>73.29</v>
      </c>
      <c r="K3655" s="27">
        <f t="shared" si="3"/>
        <v>1</v>
      </c>
      <c r="L3655" s="25">
        <f t="shared" si="4"/>
        <v>1</v>
      </c>
    </row>
    <row r="3656">
      <c r="A3656" s="19">
        <v>106297.0</v>
      </c>
      <c r="B3656" s="20" t="str">
        <f t="array" ref="B3656">xlookup($A3656,product!$A:$A,product!B:B)</f>
        <v>Enfant</v>
      </c>
      <c r="C3656" s="20" t="str">
        <f t="array" ref="C3656">xlookup($A3656,product!$A:$A,product!C:C)</f>
        <v>Couches écologiques</v>
      </c>
      <c r="D3656" s="20" t="str">
        <f t="array" ref="D3656">xlookup($A3656,product!$A:$A,product!D:D)</f>
        <v>Accessoires pour le change</v>
      </c>
      <c r="E3656" s="4" t="str">
        <f t="shared" si="1"/>
        <v>106297-Couches écologiques-Accessoires pour le change</v>
      </c>
      <c r="F3656" s="4">
        <v>1.0</v>
      </c>
      <c r="G3656" s="4">
        <v>434.0</v>
      </c>
      <c r="H3656" s="4">
        <v>24.0</v>
      </c>
      <c r="I3656" s="21">
        <f t="array" ref="I3656">XLOOKUP($A3656,product!A:A,product!E:E)</f>
        <v>3.48</v>
      </c>
      <c r="J3656" s="4">
        <f t="shared" si="2"/>
        <v>83.52</v>
      </c>
      <c r="K3656" s="22">
        <f t="shared" si="3"/>
        <v>1</v>
      </c>
      <c r="L3656" s="4">
        <f t="shared" si="4"/>
        <v>1</v>
      </c>
    </row>
    <row r="3657">
      <c r="A3657" s="23">
        <v>15556.0</v>
      </c>
      <c r="B3657" s="24" t="str">
        <f t="array" ref="B3657">xlookup($A3657,product!$A:$A,product!B:B)</f>
        <v>Enfant</v>
      </c>
      <c r="C3657" s="24" t="str">
        <f t="array" ref="C3657">xlookup($A3657,product!$A:$A,product!C:C)</f>
        <v>Couches écologiques</v>
      </c>
      <c r="D3657" s="24" t="str">
        <f t="array" ref="D3657">xlookup($A3657,product!$A:$A,product!D:D)</f>
        <v>Accessoires pour le change</v>
      </c>
      <c r="E3657" s="25" t="str">
        <f t="shared" si="1"/>
        <v>15556-Couches écologiques-Accessoires pour le change</v>
      </c>
      <c r="F3657" s="25">
        <v>1.0</v>
      </c>
      <c r="G3657" s="25">
        <v>770.0</v>
      </c>
      <c r="H3657" s="25">
        <v>703.0</v>
      </c>
      <c r="I3657" s="26">
        <f t="array" ref="I3657">XLOOKUP($A3657,product!A:A,product!E:E)</f>
        <v>1.73</v>
      </c>
      <c r="J3657" s="25">
        <f t="shared" si="2"/>
        <v>1216.19</v>
      </c>
      <c r="K3657" s="27">
        <f t="shared" si="3"/>
        <v>1</v>
      </c>
      <c r="L3657" s="25">
        <f t="shared" si="4"/>
        <v>1</v>
      </c>
    </row>
    <row r="3658">
      <c r="A3658" s="19">
        <v>49605.0</v>
      </c>
      <c r="B3658" s="20" t="str">
        <f t="array" ref="B3658">xlookup($A3658,product!$A:$A,product!B:B)</f>
        <v>Enfant</v>
      </c>
      <c r="C3658" s="20" t="str">
        <f t="array" ref="C3658">xlookup($A3658,product!$A:$A,product!C:C)</f>
        <v>Couches écologiques</v>
      </c>
      <c r="D3658" s="20" t="str">
        <f t="array" ref="D3658">xlookup($A3658,product!$A:$A,product!D:D)</f>
        <v>Accessoires pour le change</v>
      </c>
      <c r="E3658" s="4" t="str">
        <f t="shared" si="1"/>
        <v>49605-Couches écologiques-Accessoires pour le change</v>
      </c>
      <c r="F3658" s="4">
        <v>0.0</v>
      </c>
      <c r="G3658" s="4">
        <v>933.0</v>
      </c>
      <c r="H3658" s="4">
        <v>551.0</v>
      </c>
      <c r="I3658" s="21">
        <f t="array" ref="I3658">XLOOKUP($A3658,product!A:A,product!E:E)</f>
        <v>2.98</v>
      </c>
      <c r="J3658" s="4">
        <f t="shared" si="2"/>
        <v>1641.98</v>
      </c>
      <c r="K3658" s="22">
        <f t="shared" si="3"/>
        <v>1</v>
      </c>
      <c r="L3658" s="4">
        <f t="shared" si="4"/>
        <v>1</v>
      </c>
    </row>
    <row r="3659">
      <c r="A3659" s="23">
        <v>102312.0</v>
      </c>
      <c r="B3659" s="24" t="str">
        <f t="array" ref="B3659">xlookup($A3659,product!$A:$A,product!B:B)</f>
        <v>Enfant</v>
      </c>
      <c r="C3659" s="24" t="str">
        <f t="array" ref="C3659">xlookup($A3659,product!$A:$A,product!C:C)</f>
        <v>Couches écologiques</v>
      </c>
      <c r="D3659" s="24" t="str">
        <f t="array" ref="D3659">xlookup($A3659,product!$A:$A,product!D:D)</f>
        <v>Couches de piscine jetables</v>
      </c>
      <c r="E3659" s="25" t="str">
        <f t="shared" si="1"/>
        <v>102312-Couches écologiques-Couches de piscine jetables</v>
      </c>
      <c r="F3659" s="25">
        <v>1.0</v>
      </c>
      <c r="G3659" s="25">
        <v>745.0</v>
      </c>
      <c r="H3659" s="25">
        <v>233.0</v>
      </c>
      <c r="I3659" s="26">
        <f t="array" ref="I3659">XLOOKUP($A3659,product!A:A,product!E:E)</f>
        <v>4.95</v>
      </c>
      <c r="J3659" s="25">
        <f t="shared" si="2"/>
        <v>1153.35</v>
      </c>
      <c r="K3659" s="27">
        <f t="shared" si="3"/>
        <v>1</v>
      </c>
      <c r="L3659" s="25">
        <f t="shared" si="4"/>
        <v>1</v>
      </c>
    </row>
    <row r="3660">
      <c r="A3660" s="19">
        <v>121125.0</v>
      </c>
      <c r="B3660" s="20" t="str">
        <f t="array" ref="B3660">xlookup($A3660,product!$A:$A,product!B:B)</f>
        <v>Enfant</v>
      </c>
      <c r="C3660" s="20" t="str">
        <f t="array" ref="C3660">xlookup($A3660,product!$A:$A,product!C:C)</f>
        <v>Couches écologiques</v>
      </c>
      <c r="D3660" s="20" t="str">
        <f t="array" ref="D3660">xlookup($A3660,product!$A:$A,product!D:D)</f>
        <v>Culottes de protection 8-20 kg</v>
      </c>
      <c r="E3660" s="4" t="str">
        <f t="shared" si="1"/>
        <v>121125-Couches écologiques-Culottes de protection 8-20 kg</v>
      </c>
      <c r="F3660" s="4">
        <v>1.0</v>
      </c>
      <c r="G3660" s="4">
        <v>580.0</v>
      </c>
      <c r="H3660" s="4">
        <v>481.0</v>
      </c>
      <c r="I3660" s="21">
        <f t="array" ref="I3660">XLOOKUP($A3660,product!A:A,product!E:E)</f>
        <v>5.38</v>
      </c>
      <c r="J3660" s="4">
        <f t="shared" si="2"/>
        <v>2587.78</v>
      </c>
      <c r="K3660" s="22">
        <f t="shared" si="3"/>
        <v>1</v>
      </c>
      <c r="L3660" s="4">
        <f t="shared" si="4"/>
        <v>1</v>
      </c>
    </row>
    <row r="3661">
      <c r="A3661" s="23">
        <v>106401.0</v>
      </c>
      <c r="B3661" s="24" t="str">
        <f t="array" ref="B3661">xlookup($A3661,product!$A:$A,product!B:B)</f>
        <v>Enfant</v>
      </c>
      <c r="C3661" s="24" t="str">
        <f t="array" ref="C3661">xlookup($A3661,product!$A:$A,product!C:C)</f>
        <v>Couches écologiques</v>
      </c>
      <c r="D3661" s="24" t="str">
        <f t="array" ref="D3661">xlookup($A3661,product!$A:$A,product!D:D)</f>
        <v>Culottes de protection 8-20 kg</v>
      </c>
      <c r="E3661" s="25" t="str">
        <f t="shared" si="1"/>
        <v>106401-Couches écologiques-Culottes de protection 8-20 kg</v>
      </c>
      <c r="F3661" s="25">
        <v>0.0</v>
      </c>
      <c r="G3661" s="25">
        <v>143.0</v>
      </c>
      <c r="H3661" s="25">
        <v>68.0</v>
      </c>
      <c r="I3661" s="26">
        <f t="array" ref="I3661">XLOOKUP($A3661,product!A:A,product!E:E)</f>
        <v>5.38</v>
      </c>
      <c r="J3661" s="25">
        <f t="shared" si="2"/>
        <v>365.84</v>
      </c>
      <c r="K3661" s="27">
        <f t="shared" si="3"/>
        <v>1</v>
      </c>
      <c r="L3661" s="25">
        <f t="shared" si="4"/>
        <v>1</v>
      </c>
    </row>
    <row r="3662">
      <c r="A3662" s="19">
        <v>116834.0</v>
      </c>
      <c r="B3662" s="20" t="str">
        <f t="array" ref="B3662">xlookup($A3662,product!$A:$A,product!B:B)</f>
        <v>Enfant</v>
      </c>
      <c r="C3662" s="20" t="str">
        <f t="array" ref="C3662">xlookup($A3662,product!$A:$A,product!C:C)</f>
        <v>Couches écologiques</v>
      </c>
      <c r="D3662" s="20" t="str">
        <f t="array" ref="D3662">xlookup($A3662,product!$A:$A,product!D:D)</f>
        <v>Inserts &amp; Voiles de Protection</v>
      </c>
      <c r="E3662" s="4" t="str">
        <f t="shared" si="1"/>
        <v>116834-Couches écologiques-Inserts &amp; Voiles de Protection</v>
      </c>
      <c r="F3662" s="4">
        <v>0.0</v>
      </c>
      <c r="G3662" s="4">
        <v>852.0</v>
      </c>
      <c r="H3662" s="4">
        <v>266.0</v>
      </c>
      <c r="I3662" s="21">
        <f t="array" ref="I3662">XLOOKUP($A3662,product!A:A,product!E:E)</f>
        <v>2.98</v>
      </c>
      <c r="J3662" s="4">
        <f t="shared" si="2"/>
        <v>792.68</v>
      </c>
      <c r="K3662" s="22">
        <f t="shared" si="3"/>
        <v>1</v>
      </c>
      <c r="L3662" s="4">
        <f t="shared" si="4"/>
        <v>1</v>
      </c>
    </row>
    <row r="3663">
      <c r="A3663" s="23">
        <v>1953.0</v>
      </c>
      <c r="B3663" s="24" t="str">
        <f t="array" ref="B3663">xlookup($A3663,product!$A:$A,product!B:B)</f>
        <v>Enfant</v>
      </c>
      <c r="C3663" s="24" t="str">
        <f t="array" ref="C3663">xlookup($A3663,product!$A:$A,product!C:C)</f>
        <v>Couches écologiques</v>
      </c>
      <c r="D3663" s="24" t="str">
        <f t="array" ref="D3663">xlookup($A3663,product!$A:$A,product!D:D)</f>
        <v>Inserts &amp; Voiles de Protection</v>
      </c>
      <c r="E3663" s="25" t="str">
        <f t="shared" si="1"/>
        <v>1953-Couches écologiques-Inserts &amp; Voiles de Protection</v>
      </c>
      <c r="F3663" s="25">
        <v>0.0</v>
      </c>
      <c r="G3663" s="25">
        <v>558.0</v>
      </c>
      <c r="H3663" s="25">
        <v>132.0</v>
      </c>
      <c r="I3663" s="26">
        <f t="array" ref="I3663">XLOOKUP($A3663,product!A:A,product!E:E)</f>
        <v>3.49</v>
      </c>
      <c r="J3663" s="25">
        <f t="shared" si="2"/>
        <v>460.68</v>
      </c>
      <c r="K3663" s="27">
        <f t="shared" si="3"/>
        <v>1</v>
      </c>
      <c r="L3663" s="25">
        <f t="shared" si="4"/>
        <v>1</v>
      </c>
    </row>
    <row r="3664">
      <c r="A3664" s="19">
        <v>106305.0</v>
      </c>
      <c r="B3664" s="20" t="str">
        <f t="array" ref="B3664">xlookup($A3664,product!$A:$A,product!B:B)</f>
        <v>Enfant</v>
      </c>
      <c r="C3664" s="20" t="str">
        <f t="array" ref="C3664">xlookup($A3664,product!$A:$A,product!C:C)</f>
        <v>Couches écologiques</v>
      </c>
      <c r="D3664" s="20" t="str">
        <f t="array" ref="D3664">xlookup($A3664,product!$A:$A,product!D:D)</f>
        <v>Inserts &amp; Voiles de Protection</v>
      </c>
      <c r="E3664" s="4" t="str">
        <f t="shared" si="1"/>
        <v>106305-Couches écologiques-Inserts &amp; Voiles de Protection</v>
      </c>
      <c r="F3664" s="4">
        <v>0.0</v>
      </c>
      <c r="G3664" s="4">
        <v>865.0</v>
      </c>
      <c r="H3664" s="4">
        <v>441.0</v>
      </c>
      <c r="I3664" s="21">
        <f t="array" ref="I3664">XLOOKUP($A3664,product!A:A,product!E:E)</f>
        <v>4.42</v>
      </c>
      <c r="J3664" s="4">
        <f t="shared" si="2"/>
        <v>1949.22</v>
      </c>
      <c r="K3664" s="22">
        <f t="shared" si="3"/>
        <v>1</v>
      </c>
      <c r="L3664" s="4">
        <f t="shared" si="4"/>
        <v>1</v>
      </c>
    </row>
    <row r="3665">
      <c r="A3665" s="23">
        <v>108278.0</v>
      </c>
      <c r="B3665" s="24" t="str">
        <f t="array" ref="B3665">xlookup($A3665,product!$A:$A,product!B:B)</f>
        <v>Enfant</v>
      </c>
      <c r="C3665" s="24" t="str">
        <f t="array" ref="C3665">xlookup($A3665,product!$A:$A,product!C:C)</f>
        <v>Couches écologiques</v>
      </c>
      <c r="D3665" s="24" t="str">
        <f t="array" ref="D3665">xlookup($A3665,product!$A:$A,product!D:D)</f>
        <v>Inserts &amp; Voiles de Protection</v>
      </c>
      <c r="E3665" s="25" t="str">
        <f t="shared" si="1"/>
        <v>108278-Couches écologiques-Inserts &amp; Voiles de Protection</v>
      </c>
      <c r="F3665" s="25">
        <v>0.0</v>
      </c>
      <c r="G3665" s="25">
        <v>379.0</v>
      </c>
      <c r="H3665" s="25">
        <v>72.0</v>
      </c>
      <c r="I3665" s="26">
        <f t="array" ref="I3665">XLOOKUP($A3665,product!A:A,product!E:E)</f>
        <v>5.03</v>
      </c>
      <c r="J3665" s="25">
        <f t="shared" si="2"/>
        <v>362.16</v>
      </c>
      <c r="K3665" s="27">
        <f t="shared" si="3"/>
        <v>1</v>
      </c>
      <c r="L3665" s="25">
        <f t="shared" si="4"/>
        <v>1</v>
      </c>
    </row>
    <row r="3666">
      <c r="A3666" s="19">
        <v>47660.0</v>
      </c>
      <c r="B3666" s="20" t="str">
        <f t="array" ref="B3666">xlookup($A3666,product!$A:$A,product!B:B)</f>
        <v>Enfant</v>
      </c>
      <c r="C3666" s="20" t="str">
        <f t="array" ref="C3666">xlookup($A3666,product!$A:$A,product!C:C)</f>
        <v>Couches écologiques</v>
      </c>
      <c r="D3666" s="20" t="str">
        <f t="array" ref="D3666">xlookup($A3666,product!$A:$A,product!D:D)</f>
        <v>Inserts &amp; Voiles de Protection</v>
      </c>
      <c r="E3666" s="4" t="str">
        <f t="shared" si="1"/>
        <v>47660-Couches écologiques-Inserts &amp; Voiles de Protection</v>
      </c>
      <c r="F3666" s="4">
        <v>0.0</v>
      </c>
      <c r="G3666" s="4">
        <v>545.0</v>
      </c>
      <c r="H3666" s="4">
        <v>475.0</v>
      </c>
      <c r="I3666" s="21">
        <f t="array" ref="I3666">XLOOKUP($A3666,product!A:A,product!E:E)</f>
        <v>4.57</v>
      </c>
      <c r="J3666" s="4">
        <f t="shared" si="2"/>
        <v>2170.75</v>
      </c>
      <c r="K3666" s="22">
        <f t="shared" si="3"/>
        <v>1</v>
      </c>
      <c r="L3666" s="4">
        <f t="shared" si="4"/>
        <v>1</v>
      </c>
    </row>
    <row r="3667">
      <c r="A3667" s="23">
        <v>47657.0</v>
      </c>
      <c r="B3667" s="24" t="str">
        <f t="array" ref="B3667">xlookup($A3667,product!$A:$A,product!B:B)</f>
        <v>Enfant</v>
      </c>
      <c r="C3667" s="24" t="str">
        <f t="array" ref="C3667">xlookup($A3667,product!$A:$A,product!C:C)</f>
        <v>Couches écologiques</v>
      </c>
      <c r="D3667" s="24" t="str">
        <f t="array" ref="D3667">xlookup($A3667,product!$A:$A,product!D:D)</f>
        <v>Inserts &amp; Voiles de Protection</v>
      </c>
      <c r="E3667" s="25" t="str">
        <f t="shared" si="1"/>
        <v>47657-Couches écologiques-Inserts &amp; Voiles de Protection</v>
      </c>
      <c r="F3667" s="25">
        <v>0.0</v>
      </c>
      <c r="G3667" s="25">
        <v>680.0</v>
      </c>
      <c r="H3667" s="25">
        <v>177.0</v>
      </c>
      <c r="I3667" s="26">
        <f t="array" ref="I3667">XLOOKUP($A3667,product!A:A,product!E:E)</f>
        <v>8.84</v>
      </c>
      <c r="J3667" s="25">
        <f t="shared" si="2"/>
        <v>1564.68</v>
      </c>
      <c r="K3667" s="27">
        <f t="shared" si="3"/>
        <v>1</v>
      </c>
      <c r="L3667" s="25">
        <f t="shared" si="4"/>
        <v>1</v>
      </c>
    </row>
    <row r="3668">
      <c r="A3668" s="19">
        <v>64185.0</v>
      </c>
      <c r="B3668" s="20" t="str">
        <f t="array" ref="B3668">xlookup($A3668,product!$A:$A,product!B:B)</f>
        <v>Enfant</v>
      </c>
      <c r="C3668" s="20" t="str">
        <f t="array" ref="C3668">xlookup($A3668,product!$A:$A,product!C:C)</f>
        <v>Couches écologiques</v>
      </c>
      <c r="D3668" s="20" t="str">
        <f t="array" ref="D3668">xlookup($A3668,product!$A:$A,product!D:D)</f>
        <v>Culottes d'apprentissage 11-18kg</v>
      </c>
      <c r="E3668" s="4" t="str">
        <f t="shared" si="1"/>
        <v>64185-Couches écologiques-Culottes d'apprentissage 11-18kg</v>
      </c>
      <c r="F3668" s="4">
        <v>1.0</v>
      </c>
      <c r="G3668" s="4">
        <v>487.0</v>
      </c>
      <c r="H3668" s="4">
        <v>440.0</v>
      </c>
      <c r="I3668" s="21">
        <f t="array" ref="I3668">XLOOKUP($A3668,product!A:A,product!E:E)</f>
        <v>10.72</v>
      </c>
      <c r="J3668" s="4">
        <f t="shared" si="2"/>
        <v>4716.8</v>
      </c>
      <c r="K3668" s="22">
        <f t="shared" si="3"/>
        <v>1</v>
      </c>
      <c r="L3668" s="4">
        <f t="shared" si="4"/>
        <v>1</v>
      </c>
    </row>
    <row r="3669">
      <c r="A3669" s="23">
        <v>108256.0</v>
      </c>
      <c r="B3669" s="24" t="str">
        <f t="array" ref="B3669">xlookup($A3669,product!$A:$A,product!B:B)</f>
        <v>Enfant</v>
      </c>
      <c r="C3669" s="24" t="str">
        <f t="array" ref="C3669">xlookup($A3669,product!$A:$A,product!C:C)</f>
        <v>Couches écologiques</v>
      </c>
      <c r="D3669" s="24" t="str">
        <f t="array" ref="D3669">xlookup($A3669,product!$A:$A,product!D:D)</f>
        <v>Culottes d'apprentissage 11-18kg</v>
      </c>
      <c r="E3669" s="25" t="str">
        <f t="shared" si="1"/>
        <v>108256-Couches écologiques-Culottes d'apprentissage 11-18kg</v>
      </c>
      <c r="F3669" s="25">
        <v>1.0</v>
      </c>
      <c r="G3669" s="25">
        <v>100.0</v>
      </c>
      <c r="H3669" s="25">
        <v>70.0</v>
      </c>
      <c r="I3669" s="26">
        <f t="array" ref="I3669">XLOOKUP($A3669,product!A:A,product!E:E)</f>
        <v>7.7</v>
      </c>
      <c r="J3669" s="25">
        <f t="shared" si="2"/>
        <v>539</v>
      </c>
      <c r="K3669" s="27">
        <f t="shared" si="3"/>
        <v>1</v>
      </c>
      <c r="L3669" s="25">
        <f t="shared" si="4"/>
        <v>1</v>
      </c>
    </row>
    <row r="3670">
      <c r="A3670" s="19">
        <v>62597.0</v>
      </c>
      <c r="B3670" s="20" t="str">
        <f t="array" ref="B3670">xlookup($A3670,product!$A:$A,product!B:B)</f>
        <v>Enfant</v>
      </c>
      <c r="C3670" s="20" t="str">
        <f t="array" ref="C3670">xlookup($A3670,product!$A:$A,product!C:C)</f>
        <v>Couches écologiques</v>
      </c>
      <c r="D3670" s="20" t="str">
        <f t="array" ref="D3670">xlookup($A3670,product!$A:$A,product!D:D)</f>
        <v>Culottes d'apprentissage 11-18kg</v>
      </c>
      <c r="E3670" s="4" t="str">
        <f t="shared" si="1"/>
        <v>62597-Couches écologiques-Culottes d'apprentissage 11-18kg</v>
      </c>
      <c r="F3670" s="4">
        <v>0.0</v>
      </c>
      <c r="G3670" s="4">
        <v>175.0</v>
      </c>
      <c r="H3670" s="4">
        <v>46.0</v>
      </c>
      <c r="I3670" s="21">
        <f t="array" ref="I3670">XLOOKUP($A3670,product!A:A,product!E:E)</f>
        <v>10.72</v>
      </c>
      <c r="J3670" s="4">
        <f t="shared" si="2"/>
        <v>493.12</v>
      </c>
      <c r="K3670" s="22">
        <f t="shared" si="3"/>
        <v>1</v>
      </c>
      <c r="L3670" s="4">
        <f t="shared" si="4"/>
        <v>1</v>
      </c>
    </row>
    <row r="3671">
      <c r="A3671" s="23">
        <v>102304.0</v>
      </c>
      <c r="B3671" s="24" t="str">
        <f t="array" ref="B3671">xlookup($A3671,product!$A:$A,product!B:B)</f>
        <v>Enfant</v>
      </c>
      <c r="C3671" s="24" t="str">
        <f t="array" ref="C3671">xlookup($A3671,product!$A:$A,product!C:C)</f>
        <v>Couches écologiques</v>
      </c>
      <c r="D3671" s="24" t="str">
        <f t="array" ref="D3671">xlookup($A3671,product!$A:$A,product!D:D)</f>
        <v>Culottes d'apprentissage 11-18kg</v>
      </c>
      <c r="E3671" s="25" t="str">
        <f t="shared" si="1"/>
        <v>102304-Couches écologiques-Culottes d'apprentissage 11-18kg</v>
      </c>
      <c r="F3671" s="25">
        <v>1.0</v>
      </c>
      <c r="G3671" s="25">
        <v>200.0</v>
      </c>
      <c r="H3671" s="25">
        <v>90.0</v>
      </c>
      <c r="I3671" s="26">
        <f t="array" ref="I3671">XLOOKUP($A3671,product!A:A,product!E:E)</f>
        <v>5.97</v>
      </c>
      <c r="J3671" s="25">
        <f t="shared" si="2"/>
        <v>537.3</v>
      </c>
      <c r="K3671" s="27">
        <f t="shared" si="3"/>
        <v>1</v>
      </c>
      <c r="L3671" s="25">
        <f t="shared" si="4"/>
        <v>1</v>
      </c>
    </row>
    <row r="3672">
      <c r="A3672" s="19">
        <v>118242.0</v>
      </c>
      <c r="B3672" s="20" t="str">
        <f t="array" ref="B3672">xlookup($A3672,product!$A:$A,product!B:B)</f>
        <v>Enfant</v>
      </c>
      <c r="C3672" s="20" t="str">
        <f t="array" ref="C3672">xlookup($A3672,product!$A:$A,product!C:C)</f>
        <v>Couches écologiques</v>
      </c>
      <c r="D3672" s="20" t="str">
        <f t="array" ref="D3672">xlookup($A3672,product!$A:$A,product!D:D)</f>
        <v>Culottes d'apprentissage 11-18kg</v>
      </c>
      <c r="E3672" s="4" t="str">
        <f t="shared" si="1"/>
        <v>118242-Couches écologiques-Culottes d'apprentissage 11-18kg</v>
      </c>
      <c r="F3672" s="4">
        <v>1.0</v>
      </c>
      <c r="G3672" s="4">
        <v>819.0</v>
      </c>
      <c r="H3672" s="4">
        <v>76.0</v>
      </c>
      <c r="I3672" s="21">
        <f t="array" ref="I3672">XLOOKUP($A3672,product!A:A,product!E:E)</f>
        <v>12.25</v>
      </c>
      <c r="J3672" s="4">
        <f t="shared" si="2"/>
        <v>931</v>
      </c>
      <c r="K3672" s="22">
        <f t="shared" si="3"/>
        <v>1</v>
      </c>
      <c r="L3672" s="4">
        <f t="shared" si="4"/>
        <v>1</v>
      </c>
    </row>
    <row r="3673">
      <c r="A3673" s="23">
        <v>121743.0</v>
      </c>
      <c r="B3673" s="24" t="str">
        <f t="array" ref="B3673">xlookup($A3673,product!$A:$A,product!B:B)</f>
        <v>Enfant</v>
      </c>
      <c r="C3673" s="24" t="str">
        <f t="array" ref="C3673">xlookup($A3673,product!$A:$A,product!C:C)</f>
        <v>Couches écologiques</v>
      </c>
      <c r="D3673" s="24" t="str">
        <f t="array" ref="D3673">xlookup($A3673,product!$A:$A,product!D:D)</f>
        <v>Culottes d'apprentissage 11-18kg</v>
      </c>
      <c r="E3673" s="25" t="str">
        <f t="shared" si="1"/>
        <v>121743-Couches écologiques-Culottes d'apprentissage 11-18kg</v>
      </c>
      <c r="F3673" s="25">
        <v>0.0</v>
      </c>
      <c r="G3673" s="25">
        <v>945.0</v>
      </c>
      <c r="H3673" s="25">
        <v>288.0</v>
      </c>
      <c r="I3673" s="26">
        <f t="array" ref="I3673">XLOOKUP($A3673,product!A:A,product!E:E)</f>
        <v>8.17</v>
      </c>
      <c r="J3673" s="25">
        <f t="shared" si="2"/>
        <v>2352.96</v>
      </c>
      <c r="K3673" s="27">
        <f t="shared" si="3"/>
        <v>1</v>
      </c>
      <c r="L3673" s="25">
        <f t="shared" si="4"/>
        <v>1</v>
      </c>
    </row>
    <row r="3674">
      <c r="A3674" s="19">
        <v>108257.0</v>
      </c>
      <c r="B3674" s="20" t="str">
        <f t="array" ref="B3674">xlookup($A3674,product!$A:$A,product!B:B)</f>
        <v>Enfant</v>
      </c>
      <c r="C3674" s="20" t="str">
        <f t="array" ref="C3674">xlookup($A3674,product!$A:$A,product!C:C)</f>
        <v>Couches écologiques</v>
      </c>
      <c r="D3674" s="20" t="str">
        <f t="array" ref="D3674">xlookup($A3674,product!$A:$A,product!D:D)</f>
        <v>Culottes d'apprentissage 11-18kg</v>
      </c>
      <c r="E3674" s="4" t="str">
        <f t="shared" si="1"/>
        <v>108257-Couches écologiques-Culottes d'apprentissage 11-18kg</v>
      </c>
      <c r="F3674" s="4">
        <v>0.0</v>
      </c>
      <c r="G3674" s="4">
        <v>74.0</v>
      </c>
      <c r="H3674" s="4">
        <v>13.0</v>
      </c>
      <c r="I3674" s="21">
        <f t="array" ref="I3674">XLOOKUP($A3674,product!A:A,product!E:E)</f>
        <v>7.7</v>
      </c>
      <c r="J3674" s="4">
        <f t="shared" si="2"/>
        <v>100.1</v>
      </c>
      <c r="K3674" s="22">
        <f t="shared" si="3"/>
        <v>1</v>
      </c>
      <c r="L3674" s="4">
        <f t="shared" si="4"/>
        <v>1</v>
      </c>
    </row>
    <row r="3675">
      <c r="A3675" s="23">
        <v>117756.0</v>
      </c>
      <c r="B3675" s="24" t="str">
        <f t="array" ref="B3675">xlookup($A3675,product!$A:$A,product!B:B)</f>
        <v>Enfant</v>
      </c>
      <c r="C3675" s="24" t="str">
        <f t="array" ref="C3675">xlookup($A3675,product!$A:$A,product!C:C)</f>
        <v>Couches écologiques</v>
      </c>
      <c r="D3675" s="24" t="str">
        <f t="array" ref="D3675">xlookup($A3675,product!$A:$A,product!D:D)</f>
        <v>Culottes d'apprentissage 11-18kg</v>
      </c>
      <c r="E3675" s="25" t="str">
        <f t="shared" si="1"/>
        <v>117756-Couches écologiques-Culottes d'apprentissage 11-18kg</v>
      </c>
      <c r="F3675" s="25">
        <v>1.0</v>
      </c>
      <c r="G3675" s="25">
        <v>535.0</v>
      </c>
      <c r="H3675" s="25">
        <v>95.0</v>
      </c>
      <c r="I3675" s="26">
        <f t="array" ref="I3675">XLOOKUP($A3675,product!A:A,product!E:E)</f>
        <v>6.27</v>
      </c>
      <c r="J3675" s="25">
        <f t="shared" si="2"/>
        <v>595.65</v>
      </c>
      <c r="K3675" s="27">
        <f t="shared" si="3"/>
        <v>1</v>
      </c>
      <c r="L3675" s="25">
        <f t="shared" si="4"/>
        <v>1</v>
      </c>
    </row>
    <row r="3676">
      <c r="A3676" s="19">
        <v>110334.0</v>
      </c>
      <c r="B3676" s="20" t="str">
        <f t="array" ref="B3676">xlookup($A3676,product!$A:$A,product!B:B)</f>
        <v>Enfant</v>
      </c>
      <c r="C3676" s="20" t="str">
        <f t="array" ref="C3676">xlookup($A3676,product!$A:$A,product!C:C)</f>
        <v>Couches écologiques</v>
      </c>
      <c r="D3676" s="20" t="str">
        <f t="array" ref="D3676">xlookup($A3676,product!$A:$A,product!D:D)</f>
        <v>Culottes d'apprentissage 11-18kg</v>
      </c>
      <c r="E3676" s="4" t="str">
        <f t="shared" si="1"/>
        <v>110334-Couches écologiques-Culottes d'apprentissage 11-18kg</v>
      </c>
      <c r="F3676" s="4">
        <v>1.0</v>
      </c>
      <c r="G3676" s="4">
        <v>62.0</v>
      </c>
      <c r="H3676" s="4">
        <v>29.0</v>
      </c>
      <c r="I3676" s="21">
        <f t="array" ref="I3676">XLOOKUP($A3676,product!A:A,product!E:E)</f>
        <v>7.66</v>
      </c>
      <c r="J3676" s="4">
        <f t="shared" si="2"/>
        <v>222.14</v>
      </c>
      <c r="K3676" s="22">
        <f t="shared" si="3"/>
        <v>1</v>
      </c>
      <c r="L3676" s="4">
        <f t="shared" si="4"/>
        <v>1</v>
      </c>
    </row>
    <row r="3677">
      <c r="A3677" s="23">
        <v>102307.0</v>
      </c>
      <c r="B3677" s="24" t="str">
        <f t="array" ref="B3677">xlookup($A3677,product!$A:$A,product!B:B)</f>
        <v>Enfant</v>
      </c>
      <c r="C3677" s="24" t="str">
        <f t="array" ref="C3677">xlookup($A3677,product!$A:$A,product!C:C)</f>
        <v>Couches écologiques</v>
      </c>
      <c r="D3677" s="24" t="str">
        <f t="array" ref="D3677">xlookup($A3677,product!$A:$A,product!D:D)</f>
        <v>Culottes d'apprentissage 11-18kg</v>
      </c>
      <c r="E3677" s="25" t="str">
        <f t="shared" si="1"/>
        <v>102307-Couches écologiques-Culottes d'apprentissage 11-18kg</v>
      </c>
      <c r="F3677" s="25">
        <v>1.0</v>
      </c>
      <c r="G3677" s="25">
        <v>867.0</v>
      </c>
      <c r="H3677" s="25">
        <v>539.0</v>
      </c>
      <c r="I3677" s="26">
        <f t="array" ref="I3677">XLOOKUP($A3677,product!A:A,product!E:E)</f>
        <v>5.97</v>
      </c>
      <c r="J3677" s="25">
        <f t="shared" si="2"/>
        <v>3217.83</v>
      </c>
      <c r="K3677" s="27">
        <f t="shared" si="3"/>
        <v>1</v>
      </c>
      <c r="L3677" s="25">
        <f t="shared" si="4"/>
        <v>1</v>
      </c>
    </row>
    <row r="3678">
      <c r="A3678" s="19">
        <v>117750.0</v>
      </c>
      <c r="B3678" s="20" t="str">
        <f t="array" ref="B3678">xlookup($A3678,product!$A:$A,product!B:B)</f>
        <v>Enfant</v>
      </c>
      <c r="C3678" s="20" t="str">
        <f t="array" ref="C3678">xlookup($A3678,product!$A:$A,product!C:C)</f>
        <v>Couches écologiques</v>
      </c>
      <c r="D3678" s="20" t="str">
        <f t="array" ref="D3678">xlookup($A3678,product!$A:$A,product!D:D)</f>
        <v>Culottes d'apprentissage 11-18kg</v>
      </c>
      <c r="E3678" s="4" t="str">
        <f t="shared" si="1"/>
        <v>117750-Couches écologiques-Culottes d'apprentissage 11-18kg</v>
      </c>
      <c r="F3678" s="4">
        <v>1.0</v>
      </c>
      <c r="G3678" s="4">
        <v>118.0</v>
      </c>
      <c r="H3678" s="4">
        <v>30.0</v>
      </c>
      <c r="I3678" s="21">
        <f t="array" ref="I3678">XLOOKUP($A3678,product!A:A,product!E:E)</f>
        <v>5.62</v>
      </c>
      <c r="J3678" s="4">
        <f t="shared" si="2"/>
        <v>168.6</v>
      </c>
      <c r="K3678" s="22">
        <f t="shared" si="3"/>
        <v>1</v>
      </c>
      <c r="L3678" s="4">
        <f t="shared" si="4"/>
        <v>1</v>
      </c>
    </row>
    <row r="3679">
      <c r="A3679" s="23">
        <v>181976.0</v>
      </c>
      <c r="B3679" s="24" t="str">
        <f t="array" ref="B3679">xlookup($A3679,product!$A:$A,product!B:B)</f>
        <v>Enfant</v>
      </c>
      <c r="C3679" s="24" t="str">
        <f t="array" ref="C3679">xlookup($A3679,product!$A:$A,product!C:C)</f>
        <v>Couches écologiques</v>
      </c>
      <c r="D3679" s="24" t="str">
        <f t="array" ref="D3679">xlookup($A3679,product!$A:$A,product!D:D)</f>
        <v>Culottes d'apprentissage 11-18kg</v>
      </c>
      <c r="E3679" s="25" t="str">
        <f t="shared" si="1"/>
        <v>181976-Couches écologiques-Culottes d'apprentissage 11-18kg</v>
      </c>
      <c r="F3679" s="25">
        <v>1.0</v>
      </c>
      <c r="G3679" s="25">
        <v>156.0</v>
      </c>
      <c r="H3679" s="25">
        <v>37.0</v>
      </c>
      <c r="I3679" s="26">
        <f t="array" ref="I3679">XLOOKUP($A3679,product!A:A,product!E:E)</f>
        <v>19.42</v>
      </c>
      <c r="J3679" s="25">
        <f t="shared" si="2"/>
        <v>718.54</v>
      </c>
      <c r="K3679" s="27">
        <f t="shared" si="3"/>
        <v>1</v>
      </c>
      <c r="L3679" s="25">
        <f t="shared" si="4"/>
        <v>1</v>
      </c>
    </row>
    <row r="3680">
      <c r="A3680" s="19">
        <v>108258.0</v>
      </c>
      <c r="B3680" s="20" t="str">
        <f t="array" ref="B3680">xlookup($A3680,product!$A:$A,product!B:B)</f>
        <v>Enfant</v>
      </c>
      <c r="C3680" s="20" t="str">
        <f t="array" ref="C3680">xlookup($A3680,product!$A:$A,product!C:C)</f>
        <v>Couches écologiques</v>
      </c>
      <c r="D3680" s="20" t="str">
        <f t="array" ref="D3680">xlookup($A3680,product!$A:$A,product!D:D)</f>
        <v>Culottes d'apprentissage 13-25kg</v>
      </c>
      <c r="E3680" s="4" t="str">
        <f t="shared" si="1"/>
        <v>108258-Couches écologiques-Culottes d'apprentissage 13-25kg</v>
      </c>
      <c r="F3680" s="4">
        <v>1.0</v>
      </c>
      <c r="G3680" s="4">
        <v>423.0</v>
      </c>
      <c r="H3680" s="4">
        <v>95.0</v>
      </c>
      <c r="I3680" s="21">
        <f t="array" ref="I3680">XLOOKUP($A3680,product!A:A,product!E:E)</f>
        <v>7.7</v>
      </c>
      <c r="J3680" s="4">
        <f t="shared" si="2"/>
        <v>731.5</v>
      </c>
      <c r="K3680" s="22">
        <f t="shared" si="3"/>
        <v>1</v>
      </c>
      <c r="L3680" s="4">
        <f t="shared" si="4"/>
        <v>1</v>
      </c>
    </row>
    <row r="3681">
      <c r="A3681" s="23">
        <v>110241.0</v>
      </c>
      <c r="B3681" s="24" t="str">
        <f t="array" ref="B3681">xlookup($A3681,product!$A:$A,product!B:B)</f>
        <v>Enfant</v>
      </c>
      <c r="C3681" s="24" t="str">
        <f t="array" ref="C3681">xlookup($A3681,product!$A:$A,product!C:C)</f>
        <v>Couches écologiques</v>
      </c>
      <c r="D3681" s="24" t="str">
        <f t="array" ref="D3681">xlookup($A3681,product!$A:$A,product!D:D)</f>
        <v>Culottes d'apprentissage 13-25kg</v>
      </c>
      <c r="E3681" s="25" t="str">
        <f t="shared" si="1"/>
        <v>110241-Couches écologiques-Culottes d'apprentissage 13-25kg</v>
      </c>
      <c r="F3681" s="25">
        <v>1.0</v>
      </c>
      <c r="G3681" s="25">
        <v>230.0</v>
      </c>
      <c r="H3681" s="25">
        <v>8.0</v>
      </c>
      <c r="I3681" s="26">
        <f t="array" ref="I3681">XLOOKUP($A3681,product!A:A,product!E:E)</f>
        <v>6.01</v>
      </c>
      <c r="J3681" s="25">
        <f t="shared" si="2"/>
        <v>48.08</v>
      </c>
      <c r="K3681" s="27">
        <f t="shared" si="3"/>
        <v>1</v>
      </c>
      <c r="L3681" s="25">
        <f t="shared" si="4"/>
        <v>1</v>
      </c>
    </row>
    <row r="3682">
      <c r="A3682" s="19">
        <v>110337.0</v>
      </c>
      <c r="B3682" s="20" t="str">
        <f t="array" ref="B3682">xlookup($A3682,product!$A:$A,product!B:B)</f>
        <v>Enfant</v>
      </c>
      <c r="C3682" s="20" t="str">
        <f t="array" ref="C3682">xlookup($A3682,product!$A:$A,product!C:C)</f>
        <v>Couches écologiques</v>
      </c>
      <c r="D3682" s="20" t="str">
        <f t="array" ref="D3682">xlookup($A3682,product!$A:$A,product!D:D)</f>
        <v>Culottes d'apprentissage 13-25kg</v>
      </c>
      <c r="E3682" s="4" t="str">
        <f t="shared" si="1"/>
        <v>110337-Couches écologiques-Culottes d'apprentissage 13-25kg</v>
      </c>
      <c r="F3682" s="4">
        <v>1.0</v>
      </c>
      <c r="G3682" s="4">
        <v>678.0</v>
      </c>
      <c r="H3682" s="4">
        <v>9.0</v>
      </c>
      <c r="I3682" s="21">
        <f t="array" ref="I3682">XLOOKUP($A3682,product!A:A,product!E:E)</f>
        <v>7.66</v>
      </c>
      <c r="J3682" s="4">
        <f t="shared" si="2"/>
        <v>68.94</v>
      </c>
      <c r="K3682" s="22">
        <f t="shared" si="3"/>
        <v>1</v>
      </c>
      <c r="L3682" s="4">
        <f t="shared" si="4"/>
        <v>1</v>
      </c>
    </row>
    <row r="3683">
      <c r="A3683" s="23">
        <v>118243.0</v>
      </c>
      <c r="B3683" s="24" t="str">
        <f t="array" ref="B3683">xlookup($A3683,product!$A:$A,product!B:B)</f>
        <v>Enfant</v>
      </c>
      <c r="C3683" s="24" t="str">
        <f t="array" ref="C3683">xlookup($A3683,product!$A:$A,product!C:C)</f>
        <v>Couches écologiques</v>
      </c>
      <c r="D3683" s="24" t="str">
        <f t="array" ref="D3683">xlookup($A3683,product!$A:$A,product!D:D)</f>
        <v>Culottes d'apprentissage 13-25kg</v>
      </c>
      <c r="E3683" s="25" t="str">
        <f t="shared" si="1"/>
        <v>118243-Couches écologiques-Culottes d'apprentissage 13-25kg</v>
      </c>
      <c r="F3683" s="25">
        <v>1.0</v>
      </c>
      <c r="G3683" s="25">
        <v>540.0</v>
      </c>
      <c r="H3683" s="25">
        <v>56.0</v>
      </c>
      <c r="I3683" s="26">
        <f t="array" ref="I3683">XLOOKUP($A3683,product!A:A,product!E:E)</f>
        <v>12.25</v>
      </c>
      <c r="J3683" s="25">
        <f t="shared" si="2"/>
        <v>686</v>
      </c>
      <c r="K3683" s="27">
        <f t="shared" si="3"/>
        <v>1</v>
      </c>
      <c r="L3683" s="25">
        <f t="shared" si="4"/>
        <v>1</v>
      </c>
    </row>
    <row r="3684">
      <c r="A3684" s="19">
        <v>102305.0</v>
      </c>
      <c r="B3684" s="20" t="str">
        <f t="array" ref="B3684">xlookup($A3684,product!$A:$A,product!B:B)</f>
        <v>Enfant</v>
      </c>
      <c r="C3684" s="20" t="str">
        <f t="array" ref="C3684">xlookup($A3684,product!$A:$A,product!C:C)</f>
        <v>Couches écologiques</v>
      </c>
      <c r="D3684" s="20" t="str">
        <f t="array" ref="D3684">xlookup($A3684,product!$A:$A,product!D:D)</f>
        <v>Culottes d'apprentissage 13-25kg</v>
      </c>
      <c r="E3684" s="4" t="str">
        <f t="shared" si="1"/>
        <v>102305-Couches écologiques-Culottes d'apprentissage 13-25kg</v>
      </c>
      <c r="F3684" s="4">
        <v>0.0</v>
      </c>
      <c r="G3684" s="4">
        <v>727.0</v>
      </c>
      <c r="H3684" s="4">
        <v>57.0</v>
      </c>
      <c r="I3684" s="21">
        <f t="array" ref="I3684">XLOOKUP($A3684,product!A:A,product!E:E)</f>
        <v>10.72</v>
      </c>
      <c r="J3684" s="4">
        <f t="shared" si="2"/>
        <v>611.04</v>
      </c>
      <c r="K3684" s="22">
        <f t="shared" si="3"/>
        <v>1</v>
      </c>
      <c r="L3684" s="4">
        <f t="shared" si="4"/>
        <v>1</v>
      </c>
    </row>
    <row r="3685">
      <c r="A3685" s="23">
        <v>110342.0</v>
      </c>
      <c r="B3685" s="24" t="str">
        <f t="array" ref="B3685">xlookup($A3685,product!$A:$A,product!B:B)</f>
        <v>Enfant</v>
      </c>
      <c r="C3685" s="24" t="str">
        <f t="array" ref="C3685">xlookup($A3685,product!$A:$A,product!C:C)</f>
        <v>Couches écologiques</v>
      </c>
      <c r="D3685" s="24" t="str">
        <f t="array" ref="D3685">xlookup($A3685,product!$A:$A,product!D:D)</f>
        <v>Culottes d'apprentissage 13-25kg</v>
      </c>
      <c r="E3685" s="25" t="str">
        <f t="shared" si="1"/>
        <v>110342-Couches écologiques-Culottes d'apprentissage 13-25kg</v>
      </c>
      <c r="F3685" s="25">
        <v>1.0</v>
      </c>
      <c r="G3685" s="25">
        <v>220.0</v>
      </c>
      <c r="H3685" s="25">
        <v>90.0</v>
      </c>
      <c r="I3685" s="26">
        <f t="array" ref="I3685">XLOOKUP($A3685,product!A:A,product!E:E)</f>
        <v>7.66</v>
      </c>
      <c r="J3685" s="25">
        <f t="shared" si="2"/>
        <v>689.4</v>
      </c>
      <c r="K3685" s="27">
        <f t="shared" si="3"/>
        <v>1</v>
      </c>
      <c r="L3685" s="25">
        <f t="shared" si="4"/>
        <v>1</v>
      </c>
    </row>
    <row r="3686">
      <c r="A3686" s="19">
        <v>102306.0</v>
      </c>
      <c r="B3686" s="20" t="str">
        <f t="array" ref="B3686">xlookup($A3686,product!$A:$A,product!B:B)</f>
        <v>Enfant</v>
      </c>
      <c r="C3686" s="20" t="str">
        <f t="array" ref="C3686">xlookup($A3686,product!$A:$A,product!C:C)</f>
        <v>Couches écologiques</v>
      </c>
      <c r="D3686" s="20" t="str">
        <f t="array" ref="D3686">xlookup($A3686,product!$A:$A,product!D:D)</f>
        <v>Culottes d'apprentissage 13-25kg</v>
      </c>
      <c r="E3686" s="4" t="str">
        <f t="shared" si="1"/>
        <v>102306-Couches écologiques-Culottes d'apprentissage 13-25kg</v>
      </c>
      <c r="F3686" s="4">
        <v>1.0</v>
      </c>
      <c r="G3686" s="4">
        <v>860.0</v>
      </c>
      <c r="H3686" s="4">
        <v>210.0</v>
      </c>
      <c r="I3686" s="21">
        <f t="array" ref="I3686">XLOOKUP($A3686,product!A:A,product!E:E)</f>
        <v>5.97</v>
      </c>
      <c r="J3686" s="4">
        <f t="shared" si="2"/>
        <v>1253.7</v>
      </c>
      <c r="K3686" s="22">
        <f t="shared" si="3"/>
        <v>1</v>
      </c>
      <c r="L3686" s="4">
        <f t="shared" si="4"/>
        <v>1</v>
      </c>
    </row>
    <row r="3687">
      <c r="A3687" s="23">
        <v>194045.0</v>
      </c>
      <c r="B3687" s="24" t="str">
        <f t="array" ref="B3687">xlookup($A3687,product!$A:$A,product!B:B)</f>
        <v>Epicerie salée</v>
      </c>
      <c r="C3687" s="24" t="str">
        <f t="array" ref="C3687">xlookup($A3687,product!$A:$A,product!C:C)</f>
        <v>Farine, son, fécule</v>
      </c>
      <c r="D3687" s="24" t="str">
        <f t="array" ref="D3687">xlookup($A3687,product!$A:$A,product!D:D)</f>
        <v>Chapelure</v>
      </c>
      <c r="E3687" s="25" t="str">
        <f t="shared" si="1"/>
        <v>194045-Farine, son, fécule-Chapelure</v>
      </c>
      <c r="F3687" s="25">
        <v>1.0</v>
      </c>
      <c r="G3687" s="25">
        <v>645.0</v>
      </c>
      <c r="H3687" s="25">
        <v>90.0</v>
      </c>
      <c r="I3687" s="26">
        <f t="array" ref="I3687">XLOOKUP($A3687,product!A:A,product!E:E)</f>
        <v>1.66</v>
      </c>
      <c r="J3687" s="25">
        <f t="shared" si="2"/>
        <v>149.4</v>
      </c>
      <c r="K3687" s="27">
        <f t="shared" si="3"/>
        <v>1</v>
      </c>
      <c r="L3687" s="25">
        <f t="shared" si="4"/>
        <v>1</v>
      </c>
    </row>
    <row r="3688">
      <c r="A3688" s="19">
        <v>96009.0</v>
      </c>
      <c r="B3688" s="20" t="str">
        <f t="array" ref="B3688">xlookup($A3688,product!$A:$A,product!B:B)</f>
        <v>Epicerie salée</v>
      </c>
      <c r="C3688" s="20" t="str">
        <f t="array" ref="C3688">xlookup($A3688,product!$A:$A,product!C:C)</f>
        <v>Farine, son, fécule</v>
      </c>
      <c r="D3688" s="20" t="str">
        <f t="array" ref="D3688">xlookup($A3688,product!$A:$A,product!D:D)</f>
        <v>Chapelure</v>
      </c>
      <c r="E3688" s="4" t="str">
        <f t="shared" si="1"/>
        <v>96009-Farine, son, fécule-Chapelure</v>
      </c>
      <c r="F3688" s="4">
        <v>0.0</v>
      </c>
      <c r="G3688" s="4">
        <v>269.0</v>
      </c>
      <c r="H3688" s="4">
        <v>185.0</v>
      </c>
      <c r="I3688" s="21">
        <f t="array" ref="I3688">XLOOKUP($A3688,product!A:A,product!E:E)</f>
        <v>2.23</v>
      </c>
      <c r="J3688" s="4">
        <f t="shared" si="2"/>
        <v>412.55</v>
      </c>
      <c r="K3688" s="22">
        <f t="shared" si="3"/>
        <v>1</v>
      </c>
      <c r="L3688" s="4">
        <f t="shared" si="4"/>
        <v>1</v>
      </c>
    </row>
    <row r="3689">
      <c r="A3689" s="23">
        <v>104087.0</v>
      </c>
      <c r="B3689" s="24" t="str">
        <f t="array" ref="B3689">xlookup($A3689,product!$A:$A,product!B:B)</f>
        <v>Epicerie salée</v>
      </c>
      <c r="C3689" s="24" t="str">
        <f t="array" ref="C3689">xlookup($A3689,product!$A:$A,product!C:C)</f>
        <v>Farine, son, fécule</v>
      </c>
      <c r="D3689" s="24" t="str">
        <f t="array" ref="D3689">xlookup($A3689,product!$A:$A,product!D:D)</f>
        <v>Son de blé</v>
      </c>
      <c r="E3689" s="25" t="str">
        <f t="shared" si="1"/>
        <v>104087-Farine, son, fécule-Son de blé</v>
      </c>
      <c r="F3689" s="25">
        <v>0.0</v>
      </c>
      <c r="G3689" s="25">
        <v>525.0</v>
      </c>
      <c r="H3689" s="25">
        <v>315.0</v>
      </c>
      <c r="I3689" s="26">
        <f t="array" ref="I3689">XLOOKUP($A3689,product!A:A,product!E:E)</f>
        <v>1.64</v>
      </c>
      <c r="J3689" s="25">
        <f t="shared" si="2"/>
        <v>516.6</v>
      </c>
      <c r="K3689" s="27">
        <f t="shared" si="3"/>
        <v>1</v>
      </c>
      <c r="L3689" s="25">
        <f t="shared" si="4"/>
        <v>1</v>
      </c>
    </row>
    <row r="3690">
      <c r="A3690" s="19">
        <v>77448.0</v>
      </c>
      <c r="B3690" s="20" t="str">
        <f t="array" ref="B3690">xlookup($A3690,product!$A:$A,product!B:B)</f>
        <v>Epicerie salée</v>
      </c>
      <c r="C3690" s="20" t="str">
        <f t="array" ref="C3690">xlookup($A3690,product!$A:$A,product!C:C)</f>
        <v>Farine, son, fécule</v>
      </c>
      <c r="D3690" s="20" t="str">
        <f t="array" ref="D3690">xlookup($A3690,product!$A:$A,product!D:D)</f>
        <v>Son de blé</v>
      </c>
      <c r="E3690" s="4" t="str">
        <f t="shared" si="1"/>
        <v>77448-Farine, son, fécule-Son de blé</v>
      </c>
      <c r="F3690" s="4">
        <v>1.0</v>
      </c>
      <c r="G3690" s="4">
        <v>905.0</v>
      </c>
      <c r="H3690" s="4">
        <v>230.0</v>
      </c>
      <c r="I3690" s="21">
        <f t="array" ref="I3690">XLOOKUP($A3690,product!A:A,product!E:E)</f>
        <v>0.57</v>
      </c>
      <c r="J3690" s="4">
        <f t="shared" si="2"/>
        <v>131.1</v>
      </c>
      <c r="K3690" s="22">
        <f t="shared" si="3"/>
        <v>1</v>
      </c>
      <c r="L3690" s="4">
        <f t="shared" si="4"/>
        <v>1</v>
      </c>
    </row>
    <row r="3691">
      <c r="A3691" s="23">
        <v>5801.0</v>
      </c>
      <c r="B3691" s="24" t="str">
        <f t="array" ref="B3691">xlookup($A3691,product!$A:$A,product!B:B)</f>
        <v>Epicerie salée</v>
      </c>
      <c r="C3691" s="24" t="str">
        <f t="array" ref="C3691">xlookup($A3691,product!$A:$A,product!C:C)</f>
        <v>Farine, son, fécule</v>
      </c>
      <c r="D3691" s="24" t="str">
        <f t="array" ref="D3691">xlookup($A3691,product!$A:$A,product!D:D)</f>
        <v>Son de blé</v>
      </c>
      <c r="E3691" s="25" t="str">
        <f t="shared" si="1"/>
        <v>5801-Farine, son, fécule-Son de blé</v>
      </c>
      <c r="F3691" s="25">
        <v>0.0</v>
      </c>
      <c r="G3691" s="25">
        <v>925.0</v>
      </c>
      <c r="H3691" s="25">
        <v>588.0</v>
      </c>
      <c r="I3691" s="26">
        <f t="array" ref="I3691">XLOOKUP($A3691,product!A:A,product!E:E)</f>
        <v>0.55</v>
      </c>
      <c r="J3691" s="25">
        <f t="shared" si="2"/>
        <v>323.4</v>
      </c>
      <c r="K3691" s="27">
        <f t="shared" si="3"/>
        <v>1</v>
      </c>
      <c r="L3691" s="25">
        <f t="shared" si="4"/>
        <v>1</v>
      </c>
    </row>
    <row r="3692">
      <c r="A3692" s="19">
        <v>90650.0</v>
      </c>
      <c r="B3692" s="20" t="str">
        <f t="array" ref="B3692">xlookup($A3692,product!$A:$A,product!B:B)</f>
        <v>Epicerie salée</v>
      </c>
      <c r="C3692" s="20" t="str">
        <f t="array" ref="C3692">xlookup($A3692,product!$A:$A,product!C:C)</f>
        <v>Farine, son, fécule</v>
      </c>
      <c r="D3692" s="20" t="str">
        <f t="array" ref="D3692">xlookup($A3692,product!$A:$A,product!D:D)</f>
        <v>Son d'avoine</v>
      </c>
      <c r="E3692" s="4" t="str">
        <f t="shared" si="1"/>
        <v>90650-Farine, son, fécule-Son d'avoine</v>
      </c>
      <c r="F3692" s="4">
        <v>0.0</v>
      </c>
      <c r="G3692" s="4">
        <v>551.0</v>
      </c>
      <c r="H3692" s="4">
        <v>419.0</v>
      </c>
      <c r="I3692" s="21">
        <f t="array" ref="I3692">XLOOKUP($A3692,product!A:A,product!E:E)</f>
        <v>7.04</v>
      </c>
      <c r="J3692" s="4">
        <f t="shared" si="2"/>
        <v>2949.76</v>
      </c>
      <c r="K3692" s="22">
        <f t="shared" si="3"/>
        <v>1</v>
      </c>
      <c r="L3692" s="4">
        <f t="shared" si="4"/>
        <v>1</v>
      </c>
    </row>
    <row r="3693">
      <c r="A3693" s="23">
        <v>6395.0</v>
      </c>
      <c r="B3693" s="24" t="str">
        <f t="array" ref="B3693">xlookup($A3693,product!$A:$A,product!B:B)</f>
        <v>Epicerie salée</v>
      </c>
      <c r="C3693" s="24" t="str">
        <f t="array" ref="C3693">xlookup($A3693,product!$A:$A,product!C:C)</f>
        <v>Farine, son, fécule</v>
      </c>
      <c r="D3693" s="24" t="str">
        <f t="array" ref="D3693">xlookup($A3693,product!$A:$A,product!D:D)</f>
        <v>Son d'avoine</v>
      </c>
      <c r="E3693" s="25" t="str">
        <f t="shared" si="1"/>
        <v>6395-Farine, son, fécule-Son d'avoine</v>
      </c>
      <c r="F3693" s="25">
        <v>1.0</v>
      </c>
      <c r="G3693" s="25">
        <v>698.0</v>
      </c>
      <c r="H3693" s="25">
        <v>18.0</v>
      </c>
      <c r="I3693" s="26">
        <f t="array" ref="I3693">XLOOKUP($A3693,product!A:A,product!E:E)</f>
        <v>3.61</v>
      </c>
      <c r="J3693" s="25">
        <f t="shared" si="2"/>
        <v>64.98</v>
      </c>
      <c r="K3693" s="27">
        <f t="shared" si="3"/>
        <v>1</v>
      </c>
      <c r="L3693" s="25">
        <f t="shared" si="4"/>
        <v>1</v>
      </c>
    </row>
    <row r="3694">
      <c r="A3694" s="19">
        <v>77444.0</v>
      </c>
      <c r="B3694" s="20" t="str">
        <f t="array" ref="B3694">xlookup($A3694,product!$A:$A,product!B:B)</f>
        <v>Epicerie salée</v>
      </c>
      <c r="C3694" s="20" t="str">
        <f t="array" ref="C3694">xlookup($A3694,product!$A:$A,product!C:C)</f>
        <v>Farine, son, fécule</v>
      </c>
      <c r="D3694" s="20" t="str">
        <f t="array" ref="D3694">xlookup($A3694,product!$A:$A,product!D:D)</f>
        <v>Son d'avoine</v>
      </c>
      <c r="E3694" s="4" t="str">
        <f t="shared" si="1"/>
        <v>77444-Farine, son, fécule-Son d'avoine</v>
      </c>
      <c r="F3694" s="4">
        <v>1.0</v>
      </c>
      <c r="G3694" s="4">
        <v>943.0</v>
      </c>
      <c r="H3694" s="4">
        <v>920.0</v>
      </c>
      <c r="I3694" s="21">
        <f t="array" ref="I3694">XLOOKUP($A3694,product!A:A,product!E:E)</f>
        <v>1.36</v>
      </c>
      <c r="J3694" s="4">
        <f t="shared" si="2"/>
        <v>1251.2</v>
      </c>
      <c r="K3694" s="22">
        <f t="shared" si="3"/>
        <v>1</v>
      </c>
      <c r="L3694" s="4">
        <f t="shared" si="4"/>
        <v>1</v>
      </c>
    </row>
    <row r="3695">
      <c r="A3695" s="23">
        <v>20389.0</v>
      </c>
      <c r="B3695" s="24" t="str">
        <f t="array" ref="B3695">xlookup($A3695,product!$A:$A,product!B:B)</f>
        <v>Epicerie salée</v>
      </c>
      <c r="C3695" s="24" t="str">
        <f t="array" ref="C3695">xlookup($A3695,product!$A:$A,product!C:C)</f>
        <v>Farine, son, fécule</v>
      </c>
      <c r="D3695" s="24" t="str">
        <f t="array" ref="D3695">xlookup($A3695,product!$A:$A,product!D:D)</f>
        <v>Son d'avoine</v>
      </c>
      <c r="E3695" s="25" t="str">
        <f t="shared" si="1"/>
        <v>20389-Farine, son, fécule-Son d'avoine</v>
      </c>
      <c r="F3695" s="25">
        <v>0.0</v>
      </c>
      <c r="G3695" s="25">
        <v>144.0</v>
      </c>
      <c r="H3695" s="25">
        <v>77.0</v>
      </c>
      <c r="I3695" s="26">
        <f t="array" ref="I3695">XLOOKUP($A3695,product!A:A,product!E:E)</f>
        <v>1.7</v>
      </c>
      <c r="J3695" s="25">
        <f t="shared" si="2"/>
        <v>130.9</v>
      </c>
      <c r="K3695" s="27">
        <f t="shared" si="3"/>
        <v>1</v>
      </c>
      <c r="L3695" s="25">
        <f t="shared" si="4"/>
        <v>1</v>
      </c>
    </row>
    <row r="3696">
      <c r="A3696" s="19">
        <v>68293.0</v>
      </c>
      <c r="B3696" s="20" t="str">
        <f t="array" ref="B3696">xlookup($A3696,product!$A:$A,product!B:B)</f>
        <v>Epicerie salée</v>
      </c>
      <c r="C3696" s="20" t="str">
        <f t="array" ref="C3696">xlookup($A3696,product!$A:$A,product!C:C)</f>
        <v>Farine, son, fécule</v>
      </c>
      <c r="D3696" s="20" t="str">
        <f t="array" ref="D3696">xlookup($A3696,product!$A:$A,product!D:D)</f>
        <v>Son d'avoine</v>
      </c>
      <c r="E3696" s="4" t="str">
        <f t="shared" si="1"/>
        <v>68293-Farine, son, fécule-Son d'avoine</v>
      </c>
      <c r="F3696" s="4">
        <v>0.0</v>
      </c>
      <c r="G3696" s="4">
        <v>584.0</v>
      </c>
      <c r="H3696" s="4">
        <v>538.0</v>
      </c>
      <c r="I3696" s="21">
        <f t="array" ref="I3696">XLOOKUP($A3696,product!A:A,product!E:E)</f>
        <v>0.88</v>
      </c>
      <c r="J3696" s="4">
        <f t="shared" si="2"/>
        <v>473.44</v>
      </c>
      <c r="K3696" s="22">
        <f t="shared" si="3"/>
        <v>1</v>
      </c>
      <c r="L3696" s="4">
        <f t="shared" si="4"/>
        <v>1</v>
      </c>
    </row>
    <row r="3697">
      <c r="A3697" s="23">
        <v>90982.0</v>
      </c>
      <c r="B3697" s="24" t="str">
        <f t="array" ref="B3697">xlookup($A3697,product!$A:$A,product!B:B)</f>
        <v>Epicerie salée</v>
      </c>
      <c r="C3697" s="24" t="str">
        <f t="array" ref="C3697">xlookup($A3697,product!$A:$A,product!C:C)</f>
        <v>Farine, son, fécule</v>
      </c>
      <c r="D3697" s="24" t="str">
        <f t="array" ref="D3697">xlookup($A3697,product!$A:$A,product!D:D)</f>
        <v>Son d'avoine</v>
      </c>
      <c r="E3697" s="25" t="str">
        <f t="shared" si="1"/>
        <v>90982-Farine, son, fécule-Son d'avoine</v>
      </c>
      <c r="F3697" s="25">
        <v>1.0</v>
      </c>
      <c r="G3697" s="25">
        <v>578.0</v>
      </c>
      <c r="H3697" s="25">
        <v>398.0</v>
      </c>
      <c r="I3697" s="26">
        <f t="array" ref="I3697">XLOOKUP($A3697,product!A:A,product!E:E)</f>
        <v>1.75</v>
      </c>
      <c r="J3697" s="25">
        <f t="shared" si="2"/>
        <v>696.5</v>
      </c>
      <c r="K3697" s="27">
        <f t="shared" si="3"/>
        <v>1</v>
      </c>
      <c r="L3697" s="25">
        <f t="shared" si="4"/>
        <v>1</v>
      </c>
    </row>
    <row r="3698">
      <c r="A3698" s="19">
        <v>48279.0</v>
      </c>
      <c r="B3698" s="20" t="str">
        <f t="array" ref="B3698">xlookup($A3698,product!$A:$A,product!B:B)</f>
        <v>Epicerie salée</v>
      </c>
      <c r="C3698" s="20" t="str">
        <f t="array" ref="C3698">xlookup($A3698,product!$A:$A,product!C:C)</f>
        <v>Farine, son, fécule</v>
      </c>
      <c r="D3698" s="20" t="str">
        <f t="array" ref="D3698">xlookup($A3698,product!$A:$A,product!D:D)</f>
        <v>Son d'avoine</v>
      </c>
      <c r="E3698" s="4" t="str">
        <f t="shared" si="1"/>
        <v>48279-Farine, son, fécule-Son d'avoine</v>
      </c>
      <c r="F3698" s="4">
        <v>1.0</v>
      </c>
      <c r="G3698" s="4">
        <v>743.0</v>
      </c>
      <c r="H3698" s="4">
        <v>556.0</v>
      </c>
      <c r="I3698" s="21">
        <f t="array" ref="I3698">XLOOKUP($A3698,product!A:A,product!E:E)</f>
        <v>1.46</v>
      </c>
      <c r="J3698" s="4">
        <f t="shared" si="2"/>
        <v>811.76</v>
      </c>
      <c r="K3698" s="22">
        <f t="shared" si="3"/>
        <v>1</v>
      </c>
      <c r="L3698" s="4">
        <f t="shared" si="4"/>
        <v>1</v>
      </c>
    </row>
    <row r="3699">
      <c r="A3699" s="23">
        <v>77447.0</v>
      </c>
      <c r="B3699" s="24" t="str">
        <f t="array" ref="B3699">xlookup($A3699,product!$A:$A,product!B:B)</f>
        <v>Epicerie salée</v>
      </c>
      <c r="C3699" s="24" t="str">
        <f t="array" ref="C3699">xlookup($A3699,product!$A:$A,product!C:C)</f>
        <v>Farine, son, fécule</v>
      </c>
      <c r="D3699" s="24" t="str">
        <f t="array" ref="D3699">xlookup($A3699,product!$A:$A,product!D:D)</f>
        <v>Son d'avoine</v>
      </c>
      <c r="E3699" s="25" t="str">
        <f t="shared" si="1"/>
        <v>77447-Farine, son, fécule-Son d'avoine</v>
      </c>
      <c r="F3699" s="25">
        <v>1.0</v>
      </c>
      <c r="G3699" s="25">
        <v>922.0</v>
      </c>
      <c r="H3699" s="25">
        <v>583.0</v>
      </c>
      <c r="I3699" s="26">
        <f t="array" ref="I3699">XLOOKUP($A3699,product!A:A,product!E:E)</f>
        <v>6.74</v>
      </c>
      <c r="J3699" s="25">
        <f t="shared" si="2"/>
        <v>3929.42</v>
      </c>
      <c r="K3699" s="27">
        <f t="shared" si="3"/>
        <v>1</v>
      </c>
      <c r="L3699" s="25">
        <f t="shared" si="4"/>
        <v>1</v>
      </c>
    </row>
    <row r="3700">
      <c r="A3700" s="19">
        <v>5710.0</v>
      </c>
      <c r="B3700" s="20" t="str">
        <f t="array" ref="B3700">xlookup($A3700,product!$A:$A,product!B:B)</f>
        <v>Epicerie salée</v>
      </c>
      <c r="C3700" s="20" t="str">
        <f t="array" ref="C3700">xlookup($A3700,product!$A:$A,product!C:C)</f>
        <v>Farine, son, fécule</v>
      </c>
      <c r="D3700" s="20" t="str">
        <f t="array" ref="D3700">xlookup($A3700,product!$A:$A,product!D:D)</f>
        <v>Farine de blé</v>
      </c>
      <c r="E3700" s="4" t="str">
        <f t="shared" si="1"/>
        <v>5710-Farine, son, fécule-Farine de blé</v>
      </c>
      <c r="F3700" s="4">
        <v>1.0</v>
      </c>
      <c r="G3700" s="4">
        <v>477.0</v>
      </c>
      <c r="H3700" s="4">
        <v>122.0</v>
      </c>
      <c r="I3700" s="21">
        <f t="array" ref="I3700">XLOOKUP($A3700,product!A:A,product!E:E)</f>
        <v>1.62</v>
      </c>
      <c r="J3700" s="4">
        <f t="shared" si="2"/>
        <v>197.64</v>
      </c>
      <c r="K3700" s="22">
        <f t="shared" si="3"/>
        <v>1</v>
      </c>
      <c r="L3700" s="4">
        <f t="shared" si="4"/>
        <v>1</v>
      </c>
    </row>
    <row r="3701">
      <c r="A3701" s="23">
        <v>90906.0</v>
      </c>
      <c r="B3701" s="24" t="str">
        <f t="array" ref="B3701">xlookup($A3701,product!$A:$A,product!B:B)</f>
        <v>Epicerie salée</v>
      </c>
      <c r="C3701" s="24" t="str">
        <f t="array" ref="C3701">xlookup($A3701,product!$A:$A,product!C:C)</f>
        <v>Farine, son, fécule</v>
      </c>
      <c r="D3701" s="24" t="str">
        <f t="array" ref="D3701">xlookup($A3701,product!$A:$A,product!D:D)</f>
        <v>Farine de blé</v>
      </c>
      <c r="E3701" s="25" t="str">
        <f t="shared" si="1"/>
        <v>90906-Farine, son, fécule-Farine de blé</v>
      </c>
      <c r="F3701" s="25">
        <v>0.0</v>
      </c>
      <c r="G3701" s="25">
        <v>272.0</v>
      </c>
      <c r="H3701" s="25">
        <v>88.0</v>
      </c>
      <c r="I3701" s="26">
        <f t="array" ref="I3701">XLOOKUP($A3701,product!A:A,product!E:E)</f>
        <v>1.94</v>
      </c>
      <c r="J3701" s="25">
        <f t="shared" si="2"/>
        <v>170.72</v>
      </c>
      <c r="K3701" s="27">
        <f t="shared" si="3"/>
        <v>1</v>
      </c>
      <c r="L3701" s="25">
        <f t="shared" si="4"/>
        <v>1</v>
      </c>
    </row>
    <row r="3702">
      <c r="A3702" s="19">
        <v>90883.0</v>
      </c>
      <c r="B3702" s="20" t="str">
        <f t="array" ref="B3702">xlookup($A3702,product!$A:$A,product!B:B)</f>
        <v>Epicerie salée</v>
      </c>
      <c r="C3702" s="20" t="str">
        <f t="array" ref="C3702">xlookup($A3702,product!$A:$A,product!C:C)</f>
        <v>Farine, son, fécule</v>
      </c>
      <c r="D3702" s="20" t="str">
        <f t="array" ref="D3702">xlookup($A3702,product!$A:$A,product!D:D)</f>
        <v>Farine de blé</v>
      </c>
      <c r="E3702" s="4" t="str">
        <f t="shared" si="1"/>
        <v>90883-Farine, son, fécule-Farine de blé</v>
      </c>
      <c r="F3702" s="4">
        <v>1.0</v>
      </c>
      <c r="G3702" s="4">
        <v>506.0</v>
      </c>
      <c r="H3702" s="4">
        <v>322.0</v>
      </c>
      <c r="I3702" s="21">
        <f t="array" ref="I3702">XLOOKUP($A3702,product!A:A,product!E:E)</f>
        <v>2.07</v>
      </c>
      <c r="J3702" s="4">
        <f t="shared" si="2"/>
        <v>666.54</v>
      </c>
      <c r="K3702" s="22">
        <f t="shared" si="3"/>
        <v>1</v>
      </c>
      <c r="L3702" s="4">
        <f t="shared" si="4"/>
        <v>1</v>
      </c>
    </row>
    <row r="3703">
      <c r="A3703" s="23">
        <v>113093.0</v>
      </c>
      <c r="B3703" s="24" t="str">
        <f t="array" ref="B3703">xlookup($A3703,product!$A:$A,product!B:B)</f>
        <v>Epicerie salée</v>
      </c>
      <c r="C3703" s="24" t="str">
        <f t="array" ref="C3703">xlookup($A3703,product!$A:$A,product!C:C)</f>
        <v>Farine, son, fécule</v>
      </c>
      <c r="D3703" s="24" t="str">
        <f t="array" ref="D3703">xlookup($A3703,product!$A:$A,product!D:D)</f>
        <v>Farine de blé</v>
      </c>
      <c r="E3703" s="25" t="str">
        <f t="shared" si="1"/>
        <v>113093-Farine, son, fécule-Farine de blé</v>
      </c>
      <c r="F3703" s="25">
        <v>0.0</v>
      </c>
      <c r="G3703" s="25">
        <v>96.0</v>
      </c>
      <c r="H3703" s="25">
        <v>79.0</v>
      </c>
      <c r="I3703" s="26">
        <f t="array" ref="I3703">XLOOKUP($A3703,product!A:A,product!E:E)</f>
        <v>1.17</v>
      </c>
      <c r="J3703" s="25">
        <f t="shared" si="2"/>
        <v>92.43</v>
      </c>
      <c r="K3703" s="27">
        <f t="shared" si="3"/>
        <v>1</v>
      </c>
      <c r="L3703" s="25">
        <f t="shared" si="4"/>
        <v>1</v>
      </c>
    </row>
    <row r="3704">
      <c r="A3704" s="19">
        <v>73926.0</v>
      </c>
      <c r="B3704" s="20" t="str">
        <f t="array" ref="B3704">xlookup($A3704,product!$A:$A,product!B:B)</f>
        <v>Epicerie salée</v>
      </c>
      <c r="C3704" s="20" t="str">
        <f t="array" ref="C3704">xlookup($A3704,product!$A:$A,product!C:C)</f>
        <v>Farine, son, fécule</v>
      </c>
      <c r="D3704" s="20" t="str">
        <f t="array" ref="D3704">xlookup($A3704,product!$A:$A,product!D:D)</f>
        <v>Farine de blé</v>
      </c>
      <c r="E3704" s="4" t="str">
        <f t="shared" si="1"/>
        <v>73926-Farine, son, fécule-Farine de blé</v>
      </c>
      <c r="F3704" s="4">
        <v>0.0</v>
      </c>
      <c r="G3704" s="4">
        <v>119.0</v>
      </c>
      <c r="H3704" s="4">
        <v>96.0</v>
      </c>
      <c r="I3704" s="21">
        <f t="array" ref="I3704">XLOOKUP($A3704,product!A:A,product!E:E)</f>
        <v>1.3</v>
      </c>
      <c r="J3704" s="4">
        <f t="shared" si="2"/>
        <v>124.8</v>
      </c>
      <c r="K3704" s="22">
        <f t="shared" si="3"/>
        <v>1</v>
      </c>
      <c r="L3704" s="4">
        <f t="shared" si="4"/>
        <v>1</v>
      </c>
    </row>
    <row r="3705">
      <c r="A3705" s="23">
        <v>110083.0</v>
      </c>
      <c r="B3705" s="24" t="str">
        <f t="array" ref="B3705">xlookup($A3705,product!$A:$A,product!B:B)</f>
        <v>Epicerie salée</v>
      </c>
      <c r="C3705" s="24" t="str">
        <f t="array" ref="C3705">xlookup($A3705,product!$A:$A,product!C:C)</f>
        <v>Farine, son, fécule</v>
      </c>
      <c r="D3705" s="24" t="str">
        <f t="array" ref="D3705">xlookup($A3705,product!$A:$A,product!D:D)</f>
        <v>Farine de blé</v>
      </c>
      <c r="E3705" s="25" t="str">
        <f t="shared" si="1"/>
        <v>110083-Farine, son, fécule-Farine de blé</v>
      </c>
      <c r="F3705" s="25">
        <v>0.0</v>
      </c>
      <c r="G3705" s="25">
        <v>795.0</v>
      </c>
      <c r="H3705" s="25">
        <v>428.0</v>
      </c>
      <c r="I3705" s="26">
        <f t="array" ref="I3705">XLOOKUP($A3705,product!A:A,product!E:E)</f>
        <v>1.12</v>
      </c>
      <c r="J3705" s="25">
        <f t="shared" si="2"/>
        <v>479.36</v>
      </c>
      <c r="K3705" s="27">
        <f t="shared" si="3"/>
        <v>1</v>
      </c>
      <c r="L3705" s="25">
        <f t="shared" si="4"/>
        <v>1</v>
      </c>
    </row>
    <row r="3706">
      <c r="A3706" s="19">
        <v>76313.0</v>
      </c>
      <c r="B3706" s="20" t="str">
        <f t="array" ref="B3706">xlookup($A3706,product!$A:$A,product!B:B)</f>
        <v>Epicerie salée</v>
      </c>
      <c r="C3706" s="20" t="str">
        <f t="array" ref="C3706">xlookup($A3706,product!$A:$A,product!C:C)</f>
        <v>Farine, son, fécule</v>
      </c>
      <c r="D3706" s="20" t="str">
        <f t="array" ref="D3706">xlookup($A3706,product!$A:$A,product!D:D)</f>
        <v>Farine de blé</v>
      </c>
      <c r="E3706" s="4" t="str">
        <f t="shared" si="1"/>
        <v>76313-Farine, son, fécule-Farine de blé</v>
      </c>
      <c r="F3706" s="4">
        <v>0.0</v>
      </c>
      <c r="G3706" s="4">
        <v>803.0</v>
      </c>
      <c r="H3706" s="4">
        <v>158.0</v>
      </c>
      <c r="I3706" s="21">
        <f t="array" ref="I3706">XLOOKUP($A3706,product!A:A,product!E:E)</f>
        <v>1.39</v>
      </c>
      <c r="J3706" s="4">
        <f t="shared" si="2"/>
        <v>219.62</v>
      </c>
      <c r="K3706" s="22">
        <f t="shared" si="3"/>
        <v>1</v>
      </c>
      <c r="L3706" s="4">
        <f t="shared" si="4"/>
        <v>1</v>
      </c>
    </row>
    <row r="3707">
      <c r="A3707" s="23">
        <v>68404.0</v>
      </c>
      <c r="B3707" s="24" t="str">
        <f t="array" ref="B3707">xlookup($A3707,product!$A:$A,product!B:B)</f>
        <v>Epicerie salée</v>
      </c>
      <c r="C3707" s="24" t="str">
        <f t="array" ref="C3707">xlookup($A3707,product!$A:$A,product!C:C)</f>
        <v>Farine, son, fécule</v>
      </c>
      <c r="D3707" s="24" t="str">
        <f t="array" ref="D3707">xlookup($A3707,product!$A:$A,product!D:D)</f>
        <v>Farine de blé</v>
      </c>
      <c r="E3707" s="25" t="str">
        <f t="shared" si="1"/>
        <v>68404-Farine, son, fécule-Farine de blé</v>
      </c>
      <c r="F3707" s="25">
        <v>1.0</v>
      </c>
      <c r="G3707" s="25">
        <v>903.0</v>
      </c>
      <c r="H3707" s="25">
        <v>537.0</v>
      </c>
      <c r="I3707" s="26">
        <f t="array" ref="I3707">XLOOKUP($A3707,product!A:A,product!E:E)</f>
        <v>1.39</v>
      </c>
      <c r="J3707" s="25">
        <f t="shared" si="2"/>
        <v>746.43</v>
      </c>
      <c r="K3707" s="27">
        <f t="shared" si="3"/>
        <v>1</v>
      </c>
      <c r="L3707" s="25">
        <f t="shared" si="4"/>
        <v>1</v>
      </c>
    </row>
    <row r="3708">
      <c r="A3708" s="19">
        <v>68322.0</v>
      </c>
      <c r="B3708" s="20" t="str">
        <f t="array" ref="B3708">xlookup($A3708,product!$A:$A,product!B:B)</f>
        <v>Epicerie salée</v>
      </c>
      <c r="C3708" s="20" t="str">
        <f t="array" ref="C3708">xlookup($A3708,product!$A:$A,product!C:C)</f>
        <v>Farine, son, fécule</v>
      </c>
      <c r="D3708" s="20" t="str">
        <f t="array" ref="D3708">xlookup($A3708,product!$A:$A,product!D:D)</f>
        <v>Farine de blé</v>
      </c>
      <c r="E3708" s="4" t="str">
        <f t="shared" si="1"/>
        <v>68322-Farine, son, fécule-Farine de blé</v>
      </c>
      <c r="F3708" s="4">
        <v>1.0</v>
      </c>
      <c r="G3708" s="4">
        <v>43.0</v>
      </c>
      <c r="H3708" s="4">
        <v>17.0</v>
      </c>
      <c r="I3708" s="21">
        <f t="array" ref="I3708">XLOOKUP($A3708,product!A:A,product!E:E)</f>
        <v>1.4</v>
      </c>
      <c r="J3708" s="4">
        <f t="shared" si="2"/>
        <v>23.8</v>
      </c>
      <c r="K3708" s="22">
        <f t="shared" si="3"/>
        <v>1</v>
      </c>
      <c r="L3708" s="4">
        <f t="shared" si="4"/>
        <v>1</v>
      </c>
    </row>
    <row r="3709">
      <c r="A3709" s="23">
        <v>73947.0</v>
      </c>
      <c r="B3709" s="24" t="str">
        <f t="array" ref="B3709">xlookup($A3709,product!$A:$A,product!B:B)</f>
        <v>Epicerie salée</v>
      </c>
      <c r="C3709" s="24" t="str">
        <f t="array" ref="C3709">xlookup($A3709,product!$A:$A,product!C:C)</f>
        <v>Farine, son, fécule</v>
      </c>
      <c r="D3709" s="24" t="str">
        <f t="array" ref="D3709">xlookup($A3709,product!$A:$A,product!D:D)</f>
        <v>Farine de blé</v>
      </c>
      <c r="E3709" s="25" t="str">
        <f t="shared" si="1"/>
        <v>73947-Farine, son, fécule-Farine de blé</v>
      </c>
      <c r="F3709" s="25">
        <v>0.0</v>
      </c>
      <c r="G3709" s="25">
        <v>580.0</v>
      </c>
      <c r="H3709" s="25">
        <v>421.0</v>
      </c>
      <c r="I3709" s="26">
        <f t="array" ref="I3709">XLOOKUP($A3709,product!A:A,product!E:E)</f>
        <v>2.12</v>
      </c>
      <c r="J3709" s="25">
        <f t="shared" si="2"/>
        <v>892.52</v>
      </c>
      <c r="K3709" s="27">
        <f t="shared" si="3"/>
        <v>1</v>
      </c>
      <c r="L3709" s="25">
        <f t="shared" si="4"/>
        <v>1</v>
      </c>
    </row>
    <row r="3710">
      <c r="A3710" s="19">
        <v>29116.0</v>
      </c>
      <c r="B3710" s="20" t="str">
        <f t="array" ref="B3710">xlookup($A3710,product!$A:$A,product!B:B)</f>
        <v>Epicerie salée</v>
      </c>
      <c r="C3710" s="20" t="str">
        <f t="array" ref="C3710">xlookup($A3710,product!$A:$A,product!C:C)</f>
        <v>Farine, son, fécule</v>
      </c>
      <c r="D3710" s="20" t="str">
        <f t="array" ref="D3710">xlookup($A3710,product!$A:$A,product!D:D)</f>
        <v>Farine de blé</v>
      </c>
      <c r="E3710" s="4" t="str">
        <f t="shared" si="1"/>
        <v>29116-Farine, son, fécule-Farine de blé</v>
      </c>
      <c r="F3710" s="4">
        <v>1.0</v>
      </c>
      <c r="G3710" s="4">
        <v>408.0</v>
      </c>
      <c r="H3710" s="4">
        <v>3.0</v>
      </c>
      <c r="I3710" s="21">
        <f t="array" ref="I3710">XLOOKUP($A3710,product!A:A,product!E:E)</f>
        <v>1.64</v>
      </c>
      <c r="J3710" s="4">
        <f t="shared" si="2"/>
        <v>4.92</v>
      </c>
      <c r="K3710" s="22">
        <f t="shared" si="3"/>
        <v>1</v>
      </c>
      <c r="L3710" s="4">
        <f t="shared" si="4"/>
        <v>1</v>
      </c>
    </row>
    <row r="3711">
      <c r="A3711" s="23">
        <v>90846.0</v>
      </c>
      <c r="B3711" s="24" t="str">
        <f t="array" ref="B3711">xlookup($A3711,product!$A:$A,product!B:B)</f>
        <v>Epicerie salée</v>
      </c>
      <c r="C3711" s="24" t="str">
        <f t="array" ref="C3711">xlookup($A3711,product!$A:$A,product!C:C)</f>
        <v>Farine, son, fécule</v>
      </c>
      <c r="D3711" s="24" t="str">
        <f t="array" ref="D3711">xlookup($A3711,product!$A:$A,product!D:D)</f>
        <v>Farine de blé</v>
      </c>
      <c r="E3711" s="25" t="str">
        <f t="shared" si="1"/>
        <v>90846-Farine, son, fécule-Farine de blé</v>
      </c>
      <c r="F3711" s="25">
        <v>0.0</v>
      </c>
      <c r="G3711" s="25">
        <v>765.0</v>
      </c>
      <c r="H3711" s="25">
        <v>637.0</v>
      </c>
      <c r="I3711" s="26">
        <f t="array" ref="I3711">XLOOKUP($A3711,product!A:A,product!E:E)</f>
        <v>6.01</v>
      </c>
      <c r="J3711" s="25">
        <f t="shared" si="2"/>
        <v>3828.37</v>
      </c>
      <c r="K3711" s="27">
        <f t="shared" si="3"/>
        <v>1</v>
      </c>
      <c r="L3711" s="25">
        <f t="shared" si="4"/>
        <v>1</v>
      </c>
    </row>
    <row r="3712">
      <c r="A3712" s="19">
        <v>110084.0</v>
      </c>
      <c r="B3712" s="20" t="str">
        <f t="array" ref="B3712">xlookup($A3712,product!$A:$A,product!B:B)</f>
        <v>Epicerie salée</v>
      </c>
      <c r="C3712" s="20" t="str">
        <f t="array" ref="C3712">xlookup($A3712,product!$A:$A,product!C:C)</f>
        <v>Farine, son, fécule</v>
      </c>
      <c r="D3712" s="20" t="str">
        <f t="array" ref="D3712">xlookup($A3712,product!$A:$A,product!D:D)</f>
        <v>Farine de blé</v>
      </c>
      <c r="E3712" s="4" t="str">
        <f t="shared" si="1"/>
        <v>110084-Farine, son, fécule-Farine de blé</v>
      </c>
      <c r="F3712" s="4">
        <v>0.0</v>
      </c>
      <c r="G3712" s="4">
        <v>655.0</v>
      </c>
      <c r="H3712" s="4">
        <v>17.0</v>
      </c>
      <c r="I3712" s="21">
        <f t="array" ref="I3712">XLOOKUP($A3712,product!A:A,product!E:E)</f>
        <v>1.17</v>
      </c>
      <c r="J3712" s="4">
        <f t="shared" si="2"/>
        <v>19.89</v>
      </c>
      <c r="K3712" s="22">
        <f t="shared" si="3"/>
        <v>1</v>
      </c>
      <c r="L3712" s="4">
        <f t="shared" si="4"/>
        <v>1</v>
      </c>
    </row>
    <row r="3713">
      <c r="A3713" s="23">
        <v>73925.0</v>
      </c>
      <c r="B3713" s="24" t="str">
        <f t="array" ref="B3713">xlookup($A3713,product!$A:$A,product!B:B)</f>
        <v>Epicerie salée</v>
      </c>
      <c r="C3713" s="24" t="str">
        <f t="array" ref="C3713">xlookup($A3713,product!$A:$A,product!C:C)</f>
        <v>Farine, son, fécule</v>
      </c>
      <c r="D3713" s="24" t="str">
        <f t="array" ref="D3713">xlookup($A3713,product!$A:$A,product!D:D)</f>
        <v>Farine de blé</v>
      </c>
      <c r="E3713" s="25" t="str">
        <f t="shared" si="1"/>
        <v>73925-Farine, son, fécule-Farine de blé</v>
      </c>
      <c r="F3713" s="25">
        <v>1.0</v>
      </c>
      <c r="G3713" s="25">
        <v>210.0</v>
      </c>
      <c r="H3713" s="25">
        <v>122.0</v>
      </c>
      <c r="I3713" s="26">
        <f t="array" ref="I3713">XLOOKUP($A3713,product!A:A,product!E:E)</f>
        <v>1.55</v>
      </c>
      <c r="J3713" s="25">
        <f t="shared" si="2"/>
        <v>189.1</v>
      </c>
      <c r="K3713" s="27">
        <f t="shared" si="3"/>
        <v>1</v>
      </c>
      <c r="L3713" s="25">
        <f t="shared" si="4"/>
        <v>1</v>
      </c>
    </row>
    <row r="3714">
      <c r="A3714" s="19">
        <v>68296.0</v>
      </c>
      <c r="B3714" s="20" t="str">
        <f t="array" ref="B3714">xlookup($A3714,product!$A:$A,product!B:B)</f>
        <v>Epicerie salée</v>
      </c>
      <c r="C3714" s="20" t="str">
        <f t="array" ref="C3714">xlookup($A3714,product!$A:$A,product!C:C)</f>
        <v>Farine, son, fécule</v>
      </c>
      <c r="D3714" s="20" t="str">
        <f t="array" ref="D3714">xlookup($A3714,product!$A:$A,product!D:D)</f>
        <v>Farine de blé</v>
      </c>
      <c r="E3714" s="4" t="str">
        <f t="shared" si="1"/>
        <v>68296-Farine, son, fécule-Farine de blé</v>
      </c>
      <c r="F3714" s="4">
        <v>0.0</v>
      </c>
      <c r="G3714" s="4">
        <v>861.0</v>
      </c>
      <c r="H3714" s="4">
        <v>519.0</v>
      </c>
      <c r="I3714" s="21">
        <f t="array" ref="I3714">XLOOKUP($A3714,product!A:A,product!E:E)</f>
        <v>1.44</v>
      </c>
      <c r="J3714" s="4">
        <f t="shared" si="2"/>
        <v>747.36</v>
      </c>
      <c r="K3714" s="22">
        <f t="shared" si="3"/>
        <v>1</v>
      </c>
      <c r="L3714" s="4">
        <f t="shared" si="4"/>
        <v>1</v>
      </c>
    </row>
    <row r="3715">
      <c r="A3715" s="23">
        <v>90873.0</v>
      </c>
      <c r="B3715" s="24" t="str">
        <f t="array" ref="B3715">xlookup($A3715,product!$A:$A,product!B:B)</f>
        <v>Epicerie salée</v>
      </c>
      <c r="C3715" s="24" t="str">
        <f t="array" ref="C3715">xlookup($A3715,product!$A:$A,product!C:C)</f>
        <v>Farine, son, fécule</v>
      </c>
      <c r="D3715" s="24" t="str">
        <f t="array" ref="D3715">xlookup($A3715,product!$A:$A,product!D:D)</f>
        <v>Farine de blé</v>
      </c>
      <c r="E3715" s="25" t="str">
        <f t="shared" si="1"/>
        <v>90873-Farine, son, fécule-Farine de blé</v>
      </c>
      <c r="F3715" s="25">
        <v>0.0</v>
      </c>
      <c r="G3715" s="25">
        <v>650.0</v>
      </c>
      <c r="H3715" s="25">
        <v>76.0</v>
      </c>
      <c r="I3715" s="26">
        <f t="array" ref="I3715">XLOOKUP($A3715,product!A:A,product!E:E)</f>
        <v>2.01</v>
      </c>
      <c r="J3715" s="25">
        <f t="shared" si="2"/>
        <v>152.76</v>
      </c>
      <c r="K3715" s="27">
        <f t="shared" si="3"/>
        <v>1</v>
      </c>
      <c r="L3715" s="25">
        <f t="shared" si="4"/>
        <v>1</v>
      </c>
    </row>
    <row r="3716">
      <c r="A3716" s="19">
        <v>90874.0</v>
      </c>
      <c r="B3716" s="20" t="str">
        <f t="array" ref="B3716">xlookup($A3716,product!$A:$A,product!B:B)</f>
        <v>Epicerie salée</v>
      </c>
      <c r="C3716" s="20" t="str">
        <f t="array" ref="C3716">xlookup($A3716,product!$A:$A,product!C:C)</f>
        <v>Farine, son, fécule</v>
      </c>
      <c r="D3716" s="20" t="str">
        <f t="array" ref="D3716">xlookup($A3716,product!$A:$A,product!D:D)</f>
        <v>Farine de blé</v>
      </c>
      <c r="E3716" s="4" t="str">
        <f t="shared" si="1"/>
        <v>90874-Farine, son, fécule-Farine de blé</v>
      </c>
      <c r="F3716" s="4">
        <v>0.0</v>
      </c>
      <c r="G3716" s="4">
        <v>921.0</v>
      </c>
      <c r="H3716" s="4">
        <v>253.0</v>
      </c>
      <c r="I3716" s="21">
        <f t="array" ref="I3716">XLOOKUP($A3716,product!A:A,product!E:E)</f>
        <v>2.05</v>
      </c>
      <c r="J3716" s="4">
        <f t="shared" si="2"/>
        <v>518.65</v>
      </c>
      <c r="K3716" s="22">
        <f t="shared" si="3"/>
        <v>1</v>
      </c>
      <c r="L3716" s="4">
        <f t="shared" si="4"/>
        <v>1</v>
      </c>
    </row>
    <row r="3717">
      <c r="A3717" s="23">
        <v>90842.0</v>
      </c>
      <c r="B3717" s="24" t="str">
        <f t="array" ref="B3717">xlookup($A3717,product!$A:$A,product!B:B)</f>
        <v>Epicerie salée</v>
      </c>
      <c r="C3717" s="24" t="str">
        <f t="array" ref="C3717">xlookup($A3717,product!$A:$A,product!C:C)</f>
        <v>Farine, son, fécule</v>
      </c>
      <c r="D3717" s="24" t="str">
        <f t="array" ref="D3717">xlookup($A3717,product!$A:$A,product!D:D)</f>
        <v>Farine de blé</v>
      </c>
      <c r="E3717" s="25" t="str">
        <f t="shared" si="1"/>
        <v>90842-Farine, son, fécule-Farine de blé</v>
      </c>
      <c r="F3717" s="25">
        <v>0.0</v>
      </c>
      <c r="G3717" s="25">
        <v>48.0</v>
      </c>
      <c r="H3717" s="25">
        <v>40.0</v>
      </c>
      <c r="I3717" s="26">
        <f t="array" ref="I3717">XLOOKUP($A3717,product!A:A,product!E:E)</f>
        <v>6.11</v>
      </c>
      <c r="J3717" s="25">
        <f t="shared" si="2"/>
        <v>244.4</v>
      </c>
      <c r="K3717" s="27">
        <f t="shared" si="3"/>
        <v>1</v>
      </c>
      <c r="L3717" s="25">
        <f t="shared" si="4"/>
        <v>1</v>
      </c>
    </row>
    <row r="3718">
      <c r="A3718" s="19">
        <v>5709.0</v>
      </c>
      <c r="B3718" s="20" t="str">
        <f t="array" ref="B3718">xlookup($A3718,product!$A:$A,product!B:B)</f>
        <v>Epicerie salée</v>
      </c>
      <c r="C3718" s="20" t="str">
        <f t="array" ref="C3718">xlookup($A3718,product!$A:$A,product!C:C)</f>
        <v>Farine, son, fécule</v>
      </c>
      <c r="D3718" s="20" t="str">
        <f t="array" ref="D3718">xlookup($A3718,product!$A:$A,product!D:D)</f>
        <v>Farine de blé</v>
      </c>
      <c r="E3718" s="4" t="str">
        <f t="shared" si="1"/>
        <v>5709-Farine, son, fécule-Farine de blé</v>
      </c>
      <c r="F3718" s="4">
        <v>0.0</v>
      </c>
      <c r="G3718" s="4">
        <v>105.0</v>
      </c>
      <c r="H3718" s="4">
        <v>16.0</v>
      </c>
      <c r="I3718" s="21">
        <f t="array" ref="I3718">XLOOKUP($A3718,product!A:A,product!E:E)</f>
        <v>1.64</v>
      </c>
      <c r="J3718" s="4">
        <f t="shared" si="2"/>
        <v>26.24</v>
      </c>
      <c r="K3718" s="22">
        <f t="shared" si="3"/>
        <v>1</v>
      </c>
      <c r="L3718" s="4">
        <f t="shared" si="4"/>
        <v>1</v>
      </c>
    </row>
    <row r="3719">
      <c r="A3719" s="23">
        <v>76341.0</v>
      </c>
      <c r="B3719" s="24" t="str">
        <f t="array" ref="B3719">xlookup($A3719,product!$A:$A,product!B:B)</f>
        <v>Epicerie salée</v>
      </c>
      <c r="C3719" s="24" t="str">
        <f t="array" ref="C3719">xlookup($A3719,product!$A:$A,product!C:C)</f>
        <v>Farine, son, fécule</v>
      </c>
      <c r="D3719" s="24" t="str">
        <f t="array" ref="D3719">xlookup($A3719,product!$A:$A,product!D:D)</f>
        <v>Farine de blé</v>
      </c>
      <c r="E3719" s="25" t="str">
        <f t="shared" si="1"/>
        <v>76341-Farine, son, fécule-Farine de blé</v>
      </c>
      <c r="F3719" s="25">
        <v>0.0</v>
      </c>
      <c r="G3719" s="25">
        <v>468.0</v>
      </c>
      <c r="H3719" s="25">
        <v>251.0</v>
      </c>
      <c r="I3719" s="26">
        <f t="array" ref="I3719">XLOOKUP($A3719,product!A:A,product!E:E)</f>
        <v>1.38</v>
      </c>
      <c r="J3719" s="25">
        <f t="shared" si="2"/>
        <v>346.38</v>
      </c>
      <c r="K3719" s="27">
        <f t="shared" si="3"/>
        <v>1</v>
      </c>
      <c r="L3719" s="25">
        <f t="shared" si="4"/>
        <v>1</v>
      </c>
    </row>
    <row r="3720">
      <c r="A3720" s="19">
        <v>113094.0</v>
      </c>
      <c r="B3720" s="20" t="str">
        <f t="array" ref="B3720">xlookup($A3720,product!$A:$A,product!B:B)</f>
        <v>Epicerie salée</v>
      </c>
      <c r="C3720" s="20" t="str">
        <f t="array" ref="C3720">xlookup($A3720,product!$A:$A,product!C:C)</f>
        <v>Farine, son, fécule</v>
      </c>
      <c r="D3720" s="20" t="str">
        <f t="array" ref="D3720">xlookup($A3720,product!$A:$A,product!D:D)</f>
        <v>Farine de blé</v>
      </c>
      <c r="E3720" s="4" t="str">
        <f t="shared" si="1"/>
        <v>113094-Farine, son, fécule-Farine de blé</v>
      </c>
      <c r="F3720" s="4">
        <v>0.0</v>
      </c>
      <c r="G3720" s="4">
        <v>703.0</v>
      </c>
      <c r="H3720" s="4">
        <v>261.0</v>
      </c>
      <c r="I3720" s="21">
        <f t="array" ref="I3720">XLOOKUP($A3720,product!A:A,product!E:E)</f>
        <v>1.16</v>
      </c>
      <c r="J3720" s="4">
        <f t="shared" si="2"/>
        <v>302.76</v>
      </c>
      <c r="K3720" s="22">
        <f t="shared" si="3"/>
        <v>1</v>
      </c>
      <c r="L3720" s="4">
        <f t="shared" si="4"/>
        <v>1</v>
      </c>
    </row>
    <row r="3721">
      <c r="A3721" s="23">
        <v>76301.0</v>
      </c>
      <c r="B3721" s="24" t="str">
        <f t="array" ref="B3721">xlookup($A3721,product!$A:$A,product!B:B)</f>
        <v>Epicerie salée</v>
      </c>
      <c r="C3721" s="24" t="str">
        <f t="array" ref="C3721">xlookup($A3721,product!$A:$A,product!C:C)</f>
        <v>Farine, son, fécule</v>
      </c>
      <c r="D3721" s="24" t="str">
        <f t="array" ref="D3721">xlookup($A3721,product!$A:$A,product!D:D)</f>
        <v>Farine de blé</v>
      </c>
      <c r="E3721" s="25" t="str">
        <f t="shared" si="1"/>
        <v>76301-Farine, son, fécule-Farine de blé</v>
      </c>
      <c r="F3721" s="25">
        <v>0.0</v>
      </c>
      <c r="G3721" s="25">
        <v>215.0</v>
      </c>
      <c r="H3721" s="25">
        <v>127.0</v>
      </c>
      <c r="I3721" s="26">
        <f t="array" ref="I3721">XLOOKUP($A3721,product!A:A,product!E:E)</f>
        <v>1.38</v>
      </c>
      <c r="J3721" s="25">
        <f t="shared" si="2"/>
        <v>175.26</v>
      </c>
      <c r="K3721" s="27">
        <f t="shared" si="3"/>
        <v>1</v>
      </c>
      <c r="L3721" s="25">
        <f t="shared" si="4"/>
        <v>1</v>
      </c>
    </row>
    <row r="3722">
      <c r="A3722" s="19">
        <v>90844.0</v>
      </c>
      <c r="B3722" s="20" t="str">
        <f t="array" ref="B3722">xlookup($A3722,product!$A:$A,product!B:B)</f>
        <v>Epicerie salée</v>
      </c>
      <c r="C3722" s="20" t="str">
        <f t="array" ref="C3722">xlookup($A3722,product!$A:$A,product!C:C)</f>
        <v>Farine, son, fécule</v>
      </c>
      <c r="D3722" s="20" t="str">
        <f t="array" ref="D3722">xlookup($A3722,product!$A:$A,product!D:D)</f>
        <v>Farine de blé</v>
      </c>
      <c r="E3722" s="4" t="str">
        <f t="shared" si="1"/>
        <v>90844-Farine, son, fécule-Farine de blé</v>
      </c>
      <c r="F3722" s="4">
        <v>1.0</v>
      </c>
      <c r="G3722" s="4">
        <v>318.0</v>
      </c>
      <c r="H3722" s="4">
        <v>312.0</v>
      </c>
      <c r="I3722" s="21">
        <f t="array" ref="I3722">XLOOKUP($A3722,product!A:A,product!E:E)</f>
        <v>6.26</v>
      </c>
      <c r="J3722" s="4">
        <f t="shared" si="2"/>
        <v>1953.12</v>
      </c>
      <c r="K3722" s="22">
        <f t="shared" si="3"/>
        <v>1</v>
      </c>
      <c r="L3722" s="4">
        <f t="shared" si="4"/>
        <v>1</v>
      </c>
    </row>
    <row r="3723">
      <c r="A3723" s="23">
        <v>90848.0</v>
      </c>
      <c r="B3723" s="24" t="str">
        <f t="array" ref="B3723">xlookup($A3723,product!$A:$A,product!B:B)</f>
        <v>Epicerie salée</v>
      </c>
      <c r="C3723" s="24" t="str">
        <f t="array" ref="C3723">xlookup($A3723,product!$A:$A,product!C:C)</f>
        <v>Farine, son, fécule</v>
      </c>
      <c r="D3723" s="24" t="str">
        <f t="array" ref="D3723">xlookup($A3723,product!$A:$A,product!D:D)</f>
        <v>Farine de blé</v>
      </c>
      <c r="E3723" s="25" t="str">
        <f t="shared" si="1"/>
        <v>90848-Farine, son, fécule-Farine de blé</v>
      </c>
      <c r="F3723" s="25">
        <v>0.0</v>
      </c>
      <c r="G3723" s="25">
        <v>722.0</v>
      </c>
      <c r="H3723" s="25">
        <v>81.0</v>
      </c>
      <c r="I3723" s="26">
        <f t="array" ref="I3723">XLOOKUP($A3723,product!A:A,product!E:E)</f>
        <v>5.94</v>
      </c>
      <c r="J3723" s="25">
        <f t="shared" si="2"/>
        <v>481.14</v>
      </c>
      <c r="K3723" s="27">
        <f t="shared" si="3"/>
        <v>1</v>
      </c>
      <c r="L3723" s="25">
        <f t="shared" si="4"/>
        <v>1</v>
      </c>
    </row>
    <row r="3724">
      <c r="A3724" s="19">
        <v>76318.0</v>
      </c>
      <c r="B3724" s="20" t="str">
        <f t="array" ref="B3724">xlookup($A3724,product!$A:$A,product!B:B)</f>
        <v>Epicerie salée</v>
      </c>
      <c r="C3724" s="20" t="str">
        <f t="array" ref="C3724">xlookup($A3724,product!$A:$A,product!C:C)</f>
        <v>Farine, son, fécule</v>
      </c>
      <c r="D3724" s="20" t="str">
        <f t="array" ref="D3724">xlookup($A3724,product!$A:$A,product!D:D)</f>
        <v>Farine de blé</v>
      </c>
      <c r="E3724" s="4" t="str">
        <f t="shared" si="1"/>
        <v>76318-Farine, son, fécule-Farine de blé</v>
      </c>
      <c r="F3724" s="4">
        <v>0.0</v>
      </c>
      <c r="G3724" s="4">
        <v>483.0</v>
      </c>
      <c r="H3724" s="4">
        <v>136.0</v>
      </c>
      <c r="I3724" s="21">
        <f t="array" ref="I3724">XLOOKUP($A3724,product!A:A,product!E:E)</f>
        <v>1.4</v>
      </c>
      <c r="J3724" s="4">
        <f t="shared" si="2"/>
        <v>190.4</v>
      </c>
      <c r="K3724" s="22">
        <f t="shared" si="3"/>
        <v>1</v>
      </c>
      <c r="L3724" s="4">
        <f t="shared" si="4"/>
        <v>1</v>
      </c>
    </row>
    <row r="3725">
      <c r="A3725" s="23">
        <v>118885.0</v>
      </c>
      <c r="B3725" s="24" t="str">
        <f t="array" ref="B3725">xlookup($A3725,product!$A:$A,product!B:B)</f>
        <v>Epicerie salée</v>
      </c>
      <c r="C3725" s="24" t="str">
        <f t="array" ref="C3725">xlookup($A3725,product!$A:$A,product!C:C)</f>
        <v>Farine, son, fécule</v>
      </c>
      <c r="D3725" s="24" t="str">
        <f t="array" ref="D3725">xlookup($A3725,product!$A:$A,product!D:D)</f>
        <v>Farine de fruits</v>
      </c>
      <c r="E3725" s="25" t="str">
        <f t="shared" si="1"/>
        <v>118885-Farine, son, fécule-Farine de fruits</v>
      </c>
      <c r="F3725" s="25">
        <v>1.0</v>
      </c>
      <c r="G3725" s="25">
        <v>274.0</v>
      </c>
      <c r="H3725" s="25">
        <v>103.0</v>
      </c>
      <c r="I3725" s="26">
        <f t="array" ref="I3725">XLOOKUP($A3725,product!A:A,product!E:E)</f>
        <v>1.48</v>
      </c>
      <c r="J3725" s="25">
        <f t="shared" si="2"/>
        <v>152.44</v>
      </c>
      <c r="K3725" s="27">
        <f t="shared" si="3"/>
        <v>1</v>
      </c>
      <c r="L3725" s="25">
        <f t="shared" si="4"/>
        <v>1</v>
      </c>
    </row>
    <row r="3726">
      <c r="A3726" s="19">
        <v>76349.0</v>
      </c>
      <c r="B3726" s="20" t="str">
        <f t="array" ref="B3726">xlookup($A3726,product!$A:$A,product!B:B)</f>
        <v>Epicerie salée</v>
      </c>
      <c r="C3726" s="20" t="str">
        <f t="array" ref="C3726">xlookup($A3726,product!$A:$A,product!C:C)</f>
        <v>Farine, son, fécule</v>
      </c>
      <c r="D3726" s="20" t="str">
        <f t="array" ref="D3726">xlookup($A3726,product!$A:$A,product!D:D)</f>
        <v>Farine de fruits</v>
      </c>
      <c r="E3726" s="4" t="str">
        <f t="shared" si="1"/>
        <v>76349-Farine, son, fécule-Farine de fruits</v>
      </c>
      <c r="F3726" s="4">
        <v>1.0</v>
      </c>
      <c r="G3726" s="4">
        <v>398.0</v>
      </c>
      <c r="H3726" s="4">
        <v>343.0</v>
      </c>
      <c r="I3726" s="21">
        <f t="array" ref="I3726">XLOOKUP($A3726,product!A:A,product!E:E)</f>
        <v>4.77</v>
      </c>
      <c r="J3726" s="4">
        <f t="shared" si="2"/>
        <v>1636.11</v>
      </c>
      <c r="K3726" s="22">
        <f t="shared" si="3"/>
        <v>1</v>
      </c>
      <c r="L3726" s="4">
        <f t="shared" si="4"/>
        <v>1</v>
      </c>
    </row>
    <row r="3727">
      <c r="A3727" s="23">
        <v>30878.0</v>
      </c>
      <c r="B3727" s="24" t="str">
        <f t="array" ref="B3727">xlookup($A3727,product!$A:$A,product!B:B)</f>
        <v>Epicerie salée</v>
      </c>
      <c r="C3727" s="24" t="str">
        <f t="array" ref="C3727">xlookup($A3727,product!$A:$A,product!C:C)</f>
        <v>Farine, son, fécule</v>
      </c>
      <c r="D3727" s="24" t="str">
        <f t="array" ref="D3727">xlookup($A3727,product!$A:$A,product!D:D)</f>
        <v>Farine de fruits</v>
      </c>
      <c r="E3727" s="25" t="str">
        <f t="shared" si="1"/>
        <v>30878-Farine, son, fécule-Farine de fruits</v>
      </c>
      <c r="F3727" s="25">
        <v>1.0</v>
      </c>
      <c r="G3727" s="25">
        <v>895.0</v>
      </c>
      <c r="H3727" s="25">
        <v>210.0</v>
      </c>
      <c r="I3727" s="26">
        <f t="array" ref="I3727">XLOOKUP($A3727,product!A:A,product!E:E)</f>
        <v>4.25</v>
      </c>
      <c r="J3727" s="25">
        <f t="shared" si="2"/>
        <v>892.5</v>
      </c>
      <c r="K3727" s="27">
        <f t="shared" si="3"/>
        <v>1</v>
      </c>
      <c r="L3727" s="25">
        <f t="shared" si="4"/>
        <v>1</v>
      </c>
    </row>
    <row r="3728">
      <c r="A3728" s="19">
        <v>104176.0</v>
      </c>
      <c r="B3728" s="20" t="str">
        <f t="array" ref="B3728">xlookup($A3728,product!$A:$A,product!B:B)</f>
        <v>Epicerie salée</v>
      </c>
      <c r="C3728" s="20" t="str">
        <f t="array" ref="C3728">xlookup($A3728,product!$A:$A,product!C:C)</f>
        <v>Farine, son, fécule</v>
      </c>
      <c r="D3728" s="20" t="str">
        <f t="array" ref="D3728">xlookup($A3728,product!$A:$A,product!D:D)</f>
        <v>Farine de fruits</v>
      </c>
      <c r="E3728" s="4" t="str">
        <f t="shared" si="1"/>
        <v>104176-Farine, son, fécule-Farine de fruits</v>
      </c>
      <c r="F3728" s="4">
        <v>0.0</v>
      </c>
      <c r="G3728" s="4">
        <v>509.0</v>
      </c>
      <c r="H3728" s="4">
        <v>237.0</v>
      </c>
      <c r="I3728" s="21">
        <f t="array" ref="I3728">XLOOKUP($A3728,product!A:A,product!E:E)</f>
        <v>3.78</v>
      </c>
      <c r="J3728" s="4">
        <f t="shared" si="2"/>
        <v>895.86</v>
      </c>
      <c r="K3728" s="22">
        <f t="shared" si="3"/>
        <v>1</v>
      </c>
      <c r="L3728" s="4">
        <f t="shared" si="4"/>
        <v>1</v>
      </c>
    </row>
    <row r="3729">
      <c r="A3729" s="23">
        <v>78516.0</v>
      </c>
      <c r="B3729" s="24" t="str">
        <f t="array" ref="B3729">xlookup($A3729,product!$A:$A,product!B:B)</f>
        <v>Epicerie salée</v>
      </c>
      <c r="C3729" s="24" t="str">
        <f t="array" ref="C3729">xlookup($A3729,product!$A:$A,product!C:C)</f>
        <v>Farine, son, fécule</v>
      </c>
      <c r="D3729" s="24" t="str">
        <f t="array" ref="D3729">xlookup($A3729,product!$A:$A,product!D:D)</f>
        <v>Farine de fruits</v>
      </c>
      <c r="E3729" s="25" t="str">
        <f t="shared" si="1"/>
        <v>78516-Farine, son, fécule-Farine de fruits</v>
      </c>
      <c r="F3729" s="25">
        <v>1.0</v>
      </c>
      <c r="G3729" s="25">
        <v>877.0</v>
      </c>
      <c r="H3729" s="25">
        <v>359.0</v>
      </c>
      <c r="I3729" s="26">
        <f t="array" ref="I3729">XLOOKUP($A3729,product!A:A,product!E:E)</f>
        <v>1.95</v>
      </c>
      <c r="J3729" s="25">
        <f t="shared" si="2"/>
        <v>700.05</v>
      </c>
      <c r="K3729" s="27">
        <f t="shared" si="3"/>
        <v>1</v>
      </c>
      <c r="L3729" s="25">
        <f t="shared" si="4"/>
        <v>1</v>
      </c>
    </row>
    <row r="3730">
      <c r="A3730" s="19">
        <v>118884.0</v>
      </c>
      <c r="B3730" s="20" t="str">
        <f t="array" ref="B3730">xlookup($A3730,product!$A:$A,product!B:B)</f>
        <v>Epicerie salée</v>
      </c>
      <c r="C3730" s="20" t="str">
        <f t="array" ref="C3730">xlookup($A3730,product!$A:$A,product!C:C)</f>
        <v>Farine, son, fécule</v>
      </c>
      <c r="D3730" s="20" t="str">
        <f t="array" ref="D3730">xlookup($A3730,product!$A:$A,product!D:D)</f>
        <v>Farine de fruits</v>
      </c>
      <c r="E3730" s="4" t="str">
        <f t="shared" si="1"/>
        <v>118884-Farine, son, fécule-Farine de fruits</v>
      </c>
      <c r="F3730" s="4">
        <v>0.0</v>
      </c>
      <c r="G3730" s="4">
        <v>403.0</v>
      </c>
      <c r="H3730" s="4">
        <v>83.0</v>
      </c>
      <c r="I3730" s="21">
        <f t="array" ref="I3730">XLOOKUP($A3730,product!A:A,product!E:E)</f>
        <v>2.28</v>
      </c>
      <c r="J3730" s="4">
        <f t="shared" si="2"/>
        <v>189.24</v>
      </c>
      <c r="K3730" s="22">
        <f t="shared" si="3"/>
        <v>1</v>
      </c>
      <c r="L3730" s="4">
        <f t="shared" si="4"/>
        <v>1</v>
      </c>
    </row>
    <row r="3731">
      <c r="A3731" s="23">
        <v>119239.0</v>
      </c>
      <c r="B3731" s="24" t="str">
        <f t="array" ref="B3731">xlookup($A3731,product!$A:$A,product!B:B)</f>
        <v>Epicerie salée</v>
      </c>
      <c r="C3731" s="24" t="str">
        <f t="array" ref="C3731">xlookup($A3731,product!$A:$A,product!C:C)</f>
        <v>Farine, son, fécule</v>
      </c>
      <c r="D3731" s="24" t="str">
        <f t="array" ref="D3731">xlookup($A3731,product!$A:$A,product!D:D)</f>
        <v>Farine de fruits</v>
      </c>
      <c r="E3731" s="25" t="str">
        <f t="shared" si="1"/>
        <v>119239-Farine, son, fécule-Farine de fruits</v>
      </c>
      <c r="F3731" s="25">
        <v>1.0</v>
      </c>
      <c r="G3731" s="25">
        <v>433.0</v>
      </c>
      <c r="H3731" s="25">
        <v>308.0</v>
      </c>
      <c r="I3731" s="26">
        <f t="array" ref="I3731">XLOOKUP($A3731,product!A:A,product!E:E)</f>
        <v>1.46</v>
      </c>
      <c r="J3731" s="25">
        <f t="shared" si="2"/>
        <v>449.68</v>
      </c>
      <c r="K3731" s="27">
        <f t="shared" si="3"/>
        <v>1</v>
      </c>
      <c r="L3731" s="25">
        <f t="shared" si="4"/>
        <v>1</v>
      </c>
    </row>
    <row r="3732">
      <c r="A3732" s="19">
        <v>30875.0</v>
      </c>
      <c r="B3732" s="20" t="str">
        <f t="array" ref="B3732">xlookup($A3732,product!$A:$A,product!B:B)</f>
        <v>Epicerie salée</v>
      </c>
      <c r="C3732" s="20" t="str">
        <f t="array" ref="C3732">xlookup($A3732,product!$A:$A,product!C:C)</f>
        <v>Farine, son, fécule</v>
      </c>
      <c r="D3732" s="20" t="str">
        <f t="array" ref="D3732">xlookup($A3732,product!$A:$A,product!D:D)</f>
        <v>Farine de fruits</v>
      </c>
      <c r="E3732" s="4" t="str">
        <f t="shared" si="1"/>
        <v>30875-Farine, son, fécule-Farine de fruits</v>
      </c>
      <c r="F3732" s="4">
        <v>1.0</v>
      </c>
      <c r="G3732" s="4">
        <v>86.0</v>
      </c>
      <c r="H3732" s="4">
        <v>5.0</v>
      </c>
      <c r="I3732" s="21">
        <f t="array" ref="I3732">XLOOKUP($A3732,product!A:A,product!E:E)</f>
        <v>3.86</v>
      </c>
      <c r="J3732" s="4">
        <f t="shared" si="2"/>
        <v>19.3</v>
      </c>
      <c r="K3732" s="22">
        <f t="shared" si="3"/>
        <v>1</v>
      </c>
      <c r="L3732" s="4">
        <f t="shared" si="4"/>
        <v>1</v>
      </c>
    </row>
    <row r="3733">
      <c r="A3733" s="23">
        <v>73946.0</v>
      </c>
      <c r="B3733" s="24" t="str">
        <f t="array" ref="B3733">xlookup($A3733,product!$A:$A,product!B:B)</f>
        <v>Epicerie salée</v>
      </c>
      <c r="C3733" s="24" t="str">
        <f t="array" ref="C3733">xlookup($A3733,product!$A:$A,product!C:C)</f>
        <v>Farine, son, fécule</v>
      </c>
      <c r="D3733" s="24" t="str">
        <f t="array" ref="D3733">xlookup($A3733,product!$A:$A,product!D:D)</f>
        <v>Farine de fruits</v>
      </c>
      <c r="E3733" s="25" t="str">
        <f t="shared" si="1"/>
        <v>73946-Farine, son, fécule-Farine de fruits</v>
      </c>
      <c r="F3733" s="25">
        <v>1.0</v>
      </c>
      <c r="G3733" s="25">
        <v>333.0</v>
      </c>
      <c r="H3733" s="25">
        <v>102.0</v>
      </c>
      <c r="I3733" s="26">
        <f t="array" ref="I3733">XLOOKUP($A3733,product!A:A,product!E:E)</f>
        <v>3.9</v>
      </c>
      <c r="J3733" s="25">
        <f t="shared" si="2"/>
        <v>397.8</v>
      </c>
      <c r="K3733" s="27">
        <f t="shared" si="3"/>
        <v>1</v>
      </c>
      <c r="L3733" s="25">
        <f t="shared" si="4"/>
        <v>1</v>
      </c>
    </row>
    <row r="3734">
      <c r="A3734" s="19">
        <v>90690.0</v>
      </c>
      <c r="B3734" s="20" t="str">
        <f t="array" ref="B3734">xlookup($A3734,product!$A:$A,product!B:B)</f>
        <v>Epicerie salée</v>
      </c>
      <c r="C3734" s="20" t="str">
        <f t="array" ref="C3734">xlookup($A3734,product!$A:$A,product!C:C)</f>
        <v>Farine, son, fécule</v>
      </c>
      <c r="D3734" s="20" t="str">
        <f t="array" ref="D3734">xlookup($A3734,product!$A:$A,product!D:D)</f>
        <v>Farine précuite</v>
      </c>
      <c r="E3734" s="4" t="str">
        <f t="shared" si="1"/>
        <v>90690-Farine, son, fécule-Farine précuite</v>
      </c>
      <c r="F3734" s="4">
        <v>0.0</v>
      </c>
      <c r="G3734" s="4">
        <v>693.0</v>
      </c>
      <c r="H3734" s="4">
        <v>301.0</v>
      </c>
      <c r="I3734" s="21">
        <f t="array" ref="I3734">XLOOKUP($A3734,product!A:A,product!E:E)</f>
        <v>0.88</v>
      </c>
      <c r="J3734" s="4">
        <f t="shared" si="2"/>
        <v>264.88</v>
      </c>
      <c r="K3734" s="22">
        <f t="shared" si="3"/>
        <v>1</v>
      </c>
      <c r="L3734" s="4">
        <f t="shared" si="4"/>
        <v>1</v>
      </c>
    </row>
    <row r="3735">
      <c r="A3735" s="23">
        <v>101380.0</v>
      </c>
      <c r="B3735" s="24" t="str">
        <f t="array" ref="B3735">xlookup($A3735,product!$A:$A,product!B:B)</f>
        <v>Epicerie salée</v>
      </c>
      <c r="C3735" s="24" t="str">
        <f t="array" ref="C3735">xlookup($A3735,product!$A:$A,product!C:C)</f>
        <v>Farine, son, fécule</v>
      </c>
      <c r="D3735" s="24" t="str">
        <f t="array" ref="D3735">xlookup($A3735,product!$A:$A,product!D:D)</f>
        <v>Farine précuite</v>
      </c>
      <c r="E3735" s="25" t="str">
        <f t="shared" si="1"/>
        <v>101380-Farine, son, fécule-Farine précuite</v>
      </c>
      <c r="F3735" s="25">
        <v>0.0</v>
      </c>
      <c r="G3735" s="25">
        <v>823.0</v>
      </c>
      <c r="H3735" s="25">
        <v>792.0</v>
      </c>
      <c r="I3735" s="26">
        <f t="array" ref="I3735">XLOOKUP($A3735,product!A:A,product!E:E)</f>
        <v>1.03</v>
      </c>
      <c r="J3735" s="25">
        <f t="shared" si="2"/>
        <v>815.76</v>
      </c>
      <c r="K3735" s="27">
        <f t="shared" si="3"/>
        <v>1</v>
      </c>
      <c r="L3735" s="25">
        <f t="shared" si="4"/>
        <v>1</v>
      </c>
    </row>
    <row r="3736">
      <c r="A3736" s="19">
        <v>5804.0</v>
      </c>
      <c r="B3736" s="20" t="str">
        <f t="array" ref="B3736">xlookup($A3736,product!$A:$A,product!B:B)</f>
        <v>Epicerie salée</v>
      </c>
      <c r="C3736" s="20" t="str">
        <f t="array" ref="C3736">xlookup($A3736,product!$A:$A,product!C:C)</f>
        <v>Farine, son, fécule</v>
      </c>
      <c r="D3736" s="20" t="str">
        <f t="array" ref="D3736">xlookup($A3736,product!$A:$A,product!D:D)</f>
        <v>Fécule, tapioca</v>
      </c>
      <c r="E3736" s="4" t="str">
        <f t="shared" si="1"/>
        <v>5804-Farine, son, fécule-Fécule, tapioca</v>
      </c>
      <c r="F3736" s="4">
        <v>0.0</v>
      </c>
      <c r="G3736" s="4">
        <v>461.0</v>
      </c>
      <c r="H3736" s="4">
        <v>405.0</v>
      </c>
      <c r="I3736" s="21">
        <f t="array" ref="I3736">XLOOKUP($A3736,product!A:A,product!E:E)</f>
        <v>1.37</v>
      </c>
      <c r="J3736" s="4">
        <f t="shared" si="2"/>
        <v>554.85</v>
      </c>
      <c r="K3736" s="22">
        <f t="shared" si="3"/>
        <v>1</v>
      </c>
      <c r="L3736" s="4">
        <f t="shared" si="4"/>
        <v>1</v>
      </c>
    </row>
    <row r="3737">
      <c r="A3737" s="23">
        <v>82372.0</v>
      </c>
      <c r="B3737" s="24" t="str">
        <f t="array" ref="B3737">xlookup($A3737,product!$A:$A,product!B:B)</f>
        <v>Epicerie salée</v>
      </c>
      <c r="C3737" s="24" t="str">
        <f t="array" ref="C3737">xlookup($A3737,product!$A:$A,product!C:C)</f>
        <v>Farine, son, fécule</v>
      </c>
      <c r="D3737" s="24" t="str">
        <f t="array" ref="D3737">xlookup($A3737,product!$A:$A,product!D:D)</f>
        <v>Fécule, tapioca</v>
      </c>
      <c r="E3737" s="25" t="str">
        <f t="shared" si="1"/>
        <v>82372-Farine, son, fécule-Fécule, tapioca</v>
      </c>
      <c r="F3737" s="25">
        <v>1.0</v>
      </c>
      <c r="G3737" s="25">
        <v>451.0</v>
      </c>
      <c r="H3737" s="25">
        <v>280.0</v>
      </c>
      <c r="I3737" s="26">
        <f t="array" ref="I3737">XLOOKUP($A3737,product!A:A,product!E:E)</f>
        <v>2.66</v>
      </c>
      <c r="J3737" s="25">
        <f t="shared" si="2"/>
        <v>744.8</v>
      </c>
      <c r="K3737" s="27">
        <f t="shared" si="3"/>
        <v>1</v>
      </c>
      <c r="L3737" s="25">
        <f t="shared" si="4"/>
        <v>1</v>
      </c>
    </row>
    <row r="3738">
      <c r="A3738" s="19">
        <v>90643.0</v>
      </c>
      <c r="B3738" s="20" t="str">
        <f t="array" ref="B3738">xlookup($A3738,product!$A:$A,product!B:B)</f>
        <v>Epicerie salée</v>
      </c>
      <c r="C3738" s="20" t="str">
        <f t="array" ref="C3738">xlookup($A3738,product!$A:$A,product!C:C)</f>
        <v>Farine, son, fécule</v>
      </c>
      <c r="D3738" s="20" t="str">
        <f t="array" ref="D3738">xlookup($A3738,product!$A:$A,product!D:D)</f>
        <v>Fécule, tapioca</v>
      </c>
      <c r="E3738" s="4" t="str">
        <f t="shared" si="1"/>
        <v>90643-Farine, son, fécule-Fécule, tapioca</v>
      </c>
      <c r="F3738" s="4">
        <v>0.0</v>
      </c>
      <c r="G3738" s="4">
        <v>344.0</v>
      </c>
      <c r="H3738" s="4">
        <v>57.0</v>
      </c>
      <c r="I3738" s="21">
        <f t="array" ref="I3738">XLOOKUP($A3738,product!A:A,product!E:E)</f>
        <v>3.43</v>
      </c>
      <c r="J3738" s="4">
        <f t="shared" si="2"/>
        <v>195.51</v>
      </c>
      <c r="K3738" s="22">
        <f t="shared" si="3"/>
        <v>1</v>
      </c>
      <c r="L3738" s="4">
        <f t="shared" si="4"/>
        <v>1</v>
      </c>
    </row>
    <row r="3739">
      <c r="A3739" s="23">
        <v>68412.0</v>
      </c>
      <c r="B3739" s="24" t="str">
        <f t="array" ref="B3739">xlookup($A3739,product!$A:$A,product!B:B)</f>
        <v>Epicerie salée</v>
      </c>
      <c r="C3739" s="24" t="str">
        <f t="array" ref="C3739">xlookup($A3739,product!$A:$A,product!C:C)</f>
        <v>Farine, son, fécule</v>
      </c>
      <c r="D3739" s="24" t="str">
        <f t="array" ref="D3739">xlookup($A3739,product!$A:$A,product!D:D)</f>
        <v>Fécule, tapioca</v>
      </c>
      <c r="E3739" s="25" t="str">
        <f t="shared" si="1"/>
        <v>68412-Farine, son, fécule-Fécule, tapioca</v>
      </c>
      <c r="F3739" s="25">
        <v>0.0</v>
      </c>
      <c r="G3739" s="25">
        <v>857.0</v>
      </c>
      <c r="H3739" s="25">
        <v>32.0</v>
      </c>
      <c r="I3739" s="26">
        <f t="array" ref="I3739">XLOOKUP($A3739,product!A:A,product!E:E)</f>
        <v>1.34</v>
      </c>
      <c r="J3739" s="25">
        <f t="shared" si="2"/>
        <v>42.88</v>
      </c>
      <c r="K3739" s="27">
        <f t="shared" si="3"/>
        <v>1</v>
      </c>
      <c r="L3739" s="25">
        <f t="shared" si="4"/>
        <v>1</v>
      </c>
    </row>
    <row r="3740">
      <c r="A3740" s="19">
        <v>82393.0</v>
      </c>
      <c r="B3740" s="20" t="str">
        <f t="array" ref="B3740">xlookup($A3740,product!$A:$A,product!B:B)</f>
        <v>Epicerie salée</v>
      </c>
      <c r="C3740" s="20" t="str">
        <f t="array" ref="C3740">xlookup($A3740,product!$A:$A,product!C:C)</f>
        <v>Farine, son, fécule</v>
      </c>
      <c r="D3740" s="20" t="str">
        <f t="array" ref="D3740">xlookup($A3740,product!$A:$A,product!D:D)</f>
        <v>Fécule, tapioca</v>
      </c>
      <c r="E3740" s="4" t="str">
        <f t="shared" si="1"/>
        <v>82393-Farine, son, fécule-Fécule, tapioca</v>
      </c>
      <c r="F3740" s="4">
        <v>1.0</v>
      </c>
      <c r="G3740" s="4">
        <v>971.0</v>
      </c>
      <c r="H3740" s="4">
        <v>956.0</v>
      </c>
      <c r="I3740" s="21">
        <f t="array" ref="I3740">XLOOKUP($A3740,product!A:A,product!E:E)</f>
        <v>2.61</v>
      </c>
      <c r="J3740" s="4">
        <f t="shared" si="2"/>
        <v>2495.16</v>
      </c>
      <c r="K3740" s="22">
        <f t="shared" si="3"/>
        <v>1</v>
      </c>
      <c r="L3740" s="4">
        <f t="shared" si="4"/>
        <v>1</v>
      </c>
    </row>
    <row r="3741">
      <c r="A3741" s="23">
        <v>5803.0</v>
      </c>
      <c r="B3741" s="24" t="str">
        <f t="array" ref="B3741">xlookup($A3741,product!$A:$A,product!B:B)</f>
        <v>Epicerie salée</v>
      </c>
      <c r="C3741" s="24" t="str">
        <f t="array" ref="C3741">xlookup($A3741,product!$A:$A,product!C:C)</f>
        <v>Farine, son, fécule</v>
      </c>
      <c r="D3741" s="24" t="str">
        <f t="array" ref="D3741">xlookup($A3741,product!$A:$A,product!D:D)</f>
        <v>Fécule, tapioca</v>
      </c>
      <c r="E3741" s="25" t="str">
        <f t="shared" si="1"/>
        <v>5803-Farine, son, fécule-Fécule, tapioca</v>
      </c>
      <c r="F3741" s="25">
        <v>0.0</v>
      </c>
      <c r="G3741" s="25">
        <v>25.0</v>
      </c>
      <c r="H3741" s="25">
        <v>25.0</v>
      </c>
      <c r="I3741" s="26">
        <f t="array" ref="I3741">XLOOKUP($A3741,product!A:A,product!E:E)</f>
        <v>1.65</v>
      </c>
      <c r="J3741" s="25">
        <f t="shared" si="2"/>
        <v>41.25</v>
      </c>
      <c r="K3741" s="27">
        <f t="shared" si="3"/>
        <v>1</v>
      </c>
      <c r="L3741" s="25">
        <f t="shared" si="4"/>
        <v>1</v>
      </c>
    </row>
    <row r="3742">
      <c r="A3742" s="19">
        <v>121706.0</v>
      </c>
      <c r="B3742" s="20" t="str">
        <f t="array" ref="B3742">xlookup($A3742,product!$A:$A,product!B:B)</f>
        <v>Epicerie salée</v>
      </c>
      <c r="C3742" s="20" t="str">
        <f t="array" ref="C3742">xlookup($A3742,product!$A:$A,product!C:C)</f>
        <v>Farine, son, fécule</v>
      </c>
      <c r="D3742" s="20" t="str">
        <f t="array" ref="D3742">xlookup($A3742,product!$A:$A,product!D:D)</f>
        <v>Fécule, tapioca</v>
      </c>
      <c r="E3742" s="4" t="str">
        <f t="shared" si="1"/>
        <v>121706-Farine, son, fécule-Fécule, tapioca</v>
      </c>
      <c r="F3742" s="4">
        <v>1.0</v>
      </c>
      <c r="G3742" s="4">
        <v>301.0</v>
      </c>
      <c r="H3742" s="4">
        <v>165.0</v>
      </c>
      <c r="I3742" s="21">
        <f t="array" ref="I3742">XLOOKUP($A3742,product!A:A,product!E:E)</f>
        <v>1.77</v>
      </c>
      <c r="J3742" s="4">
        <f t="shared" si="2"/>
        <v>292.05</v>
      </c>
      <c r="K3742" s="22">
        <f t="shared" si="3"/>
        <v>1</v>
      </c>
      <c r="L3742" s="4">
        <f t="shared" si="4"/>
        <v>1</v>
      </c>
    </row>
    <row r="3743">
      <c r="A3743" s="23">
        <v>68374.0</v>
      </c>
      <c r="B3743" s="24" t="str">
        <f t="array" ref="B3743">xlookup($A3743,product!$A:$A,product!B:B)</f>
        <v>Epicerie salée</v>
      </c>
      <c r="C3743" s="24" t="str">
        <f t="array" ref="C3743">xlookup($A3743,product!$A:$A,product!C:C)</f>
        <v>Farine, son, fécule</v>
      </c>
      <c r="D3743" s="24" t="str">
        <f t="array" ref="D3743">xlookup($A3743,product!$A:$A,product!D:D)</f>
        <v>Fécule, tapioca</v>
      </c>
      <c r="E3743" s="25" t="str">
        <f t="shared" si="1"/>
        <v>68374-Farine, son, fécule-Fécule, tapioca</v>
      </c>
      <c r="F3743" s="25">
        <v>0.0</v>
      </c>
      <c r="G3743" s="25">
        <v>60.0</v>
      </c>
      <c r="H3743" s="25">
        <v>45.0</v>
      </c>
      <c r="I3743" s="26">
        <f t="array" ref="I3743">XLOOKUP($A3743,product!A:A,product!E:E)</f>
        <v>1.31</v>
      </c>
      <c r="J3743" s="25">
        <f t="shared" si="2"/>
        <v>58.95</v>
      </c>
      <c r="K3743" s="27">
        <f t="shared" si="3"/>
        <v>1</v>
      </c>
      <c r="L3743" s="25">
        <f t="shared" si="4"/>
        <v>1</v>
      </c>
    </row>
    <row r="3744">
      <c r="A3744" s="19">
        <v>90946.0</v>
      </c>
      <c r="B3744" s="20" t="str">
        <f t="array" ref="B3744">xlookup($A3744,product!$A:$A,product!B:B)</f>
        <v>Epicerie salée</v>
      </c>
      <c r="C3744" s="20" t="str">
        <f t="array" ref="C3744">xlookup($A3744,product!$A:$A,product!C:C)</f>
        <v>Farine, son, fécule</v>
      </c>
      <c r="D3744" s="20" t="str">
        <f t="array" ref="D3744">xlookup($A3744,product!$A:$A,product!D:D)</f>
        <v>Fécule, tapioca</v>
      </c>
      <c r="E3744" s="4" t="str">
        <f t="shared" si="1"/>
        <v>90946-Farine, son, fécule-Fécule, tapioca</v>
      </c>
      <c r="F3744" s="4">
        <v>0.0</v>
      </c>
      <c r="G3744" s="4">
        <v>783.0</v>
      </c>
      <c r="H3744" s="4">
        <v>476.0</v>
      </c>
      <c r="I3744" s="21">
        <f t="array" ref="I3744">XLOOKUP($A3744,product!A:A,product!E:E)</f>
        <v>3.27</v>
      </c>
      <c r="J3744" s="4">
        <f t="shared" si="2"/>
        <v>1556.52</v>
      </c>
      <c r="K3744" s="22">
        <f t="shared" si="3"/>
        <v>1</v>
      </c>
      <c r="L3744" s="4">
        <f t="shared" si="4"/>
        <v>1</v>
      </c>
    </row>
    <row r="3745">
      <c r="A3745" s="23">
        <v>69312.0</v>
      </c>
      <c r="B3745" s="24" t="str">
        <f t="array" ref="B3745">xlookup($A3745,product!$A:$A,product!B:B)</f>
        <v>Epicerie salée</v>
      </c>
      <c r="C3745" s="24" t="str">
        <f t="array" ref="C3745">xlookup($A3745,product!$A:$A,product!C:C)</f>
        <v>Farine, son, fécule</v>
      </c>
      <c r="D3745" s="24" t="str">
        <f t="array" ref="D3745">xlookup($A3745,product!$A:$A,product!D:D)</f>
        <v>Fécule, tapioca</v>
      </c>
      <c r="E3745" s="25" t="str">
        <f t="shared" si="1"/>
        <v>69312-Farine, son, fécule-Fécule, tapioca</v>
      </c>
      <c r="F3745" s="25">
        <v>1.0</v>
      </c>
      <c r="G3745" s="25">
        <v>81.0</v>
      </c>
      <c r="H3745" s="25">
        <v>66.0</v>
      </c>
      <c r="I3745" s="26">
        <f t="array" ref="I3745">XLOOKUP($A3745,product!A:A,product!E:E)</f>
        <v>2.07</v>
      </c>
      <c r="J3745" s="25">
        <f t="shared" si="2"/>
        <v>136.62</v>
      </c>
      <c r="K3745" s="27">
        <f t="shared" si="3"/>
        <v>1</v>
      </c>
      <c r="L3745" s="25">
        <f t="shared" si="4"/>
        <v>1</v>
      </c>
    </row>
    <row r="3746">
      <c r="A3746" s="19">
        <v>87128.0</v>
      </c>
      <c r="B3746" s="20" t="str">
        <f t="array" ref="B3746">xlookup($A3746,product!$A:$A,product!B:B)</f>
        <v>Epicerie salée</v>
      </c>
      <c r="C3746" s="20" t="str">
        <f t="array" ref="C3746">xlookup($A3746,product!$A:$A,product!C:C)</f>
        <v>Farine, son, fécule</v>
      </c>
      <c r="D3746" s="20" t="str">
        <f t="array" ref="D3746">xlookup($A3746,product!$A:$A,product!D:D)</f>
        <v>Fécule, tapioca</v>
      </c>
      <c r="E3746" s="4" t="str">
        <f t="shared" si="1"/>
        <v>87128-Farine, son, fécule-Fécule, tapioca</v>
      </c>
      <c r="F3746" s="4">
        <v>0.0</v>
      </c>
      <c r="G3746" s="4">
        <v>597.0</v>
      </c>
      <c r="H3746" s="4">
        <v>341.0</v>
      </c>
      <c r="I3746" s="21">
        <f t="array" ref="I3746">XLOOKUP($A3746,product!A:A,product!E:E)</f>
        <v>1.6</v>
      </c>
      <c r="J3746" s="4">
        <f t="shared" si="2"/>
        <v>545.6</v>
      </c>
      <c r="K3746" s="22">
        <f t="shared" si="3"/>
        <v>1</v>
      </c>
      <c r="L3746" s="4">
        <f t="shared" si="4"/>
        <v>1</v>
      </c>
    </row>
    <row r="3747">
      <c r="A3747" s="23">
        <v>149506.0</v>
      </c>
      <c r="B3747" s="24" t="str">
        <f t="array" ref="B3747">xlookup($A3747,product!$A:$A,product!B:B)</f>
        <v>Epicerie salée</v>
      </c>
      <c r="C3747" s="24" t="str">
        <f t="array" ref="C3747">xlookup($A3747,product!$A:$A,product!C:C)</f>
        <v>Farine, son, fécule</v>
      </c>
      <c r="D3747" s="24" t="str">
        <f t="array" ref="D3747">xlookup($A3747,product!$A:$A,product!D:D)</f>
        <v>Farine de graines</v>
      </c>
      <c r="E3747" s="25" t="str">
        <f t="shared" si="1"/>
        <v>149506-Farine, son, fécule-Farine de graines</v>
      </c>
      <c r="F3747" s="25">
        <v>0.0</v>
      </c>
      <c r="G3747" s="25">
        <v>15.0</v>
      </c>
      <c r="H3747" s="25">
        <v>4.0</v>
      </c>
      <c r="I3747" s="26">
        <f t="array" ref="I3747">XLOOKUP($A3747,product!A:A,product!E:E)</f>
        <v>2.1</v>
      </c>
      <c r="J3747" s="25">
        <f t="shared" si="2"/>
        <v>8.4</v>
      </c>
      <c r="K3747" s="27">
        <f t="shared" si="3"/>
        <v>1</v>
      </c>
      <c r="L3747" s="25">
        <f t="shared" si="4"/>
        <v>1</v>
      </c>
    </row>
    <row r="3748">
      <c r="A3748" s="19">
        <v>5722.0</v>
      </c>
      <c r="B3748" s="20" t="str">
        <f t="array" ref="B3748">xlookup($A3748,product!$A:$A,product!B:B)</f>
        <v>Epicerie salée</v>
      </c>
      <c r="C3748" s="20" t="str">
        <f t="array" ref="C3748">xlookup($A3748,product!$A:$A,product!C:C)</f>
        <v>Farine, son, fécule</v>
      </c>
      <c r="D3748" s="20" t="str">
        <f t="array" ref="D3748">xlookup($A3748,product!$A:$A,product!D:D)</f>
        <v>Farine de céréales</v>
      </c>
      <c r="E3748" s="4" t="str">
        <f t="shared" si="1"/>
        <v>5722-Farine, son, fécule-Farine de céréales</v>
      </c>
      <c r="F3748" s="4">
        <v>0.0</v>
      </c>
      <c r="G3748" s="4">
        <v>203.0</v>
      </c>
      <c r="H3748" s="4">
        <v>155.0</v>
      </c>
      <c r="I3748" s="21">
        <f t="array" ref="I3748">XLOOKUP($A3748,product!A:A,product!E:E)</f>
        <v>2.94</v>
      </c>
      <c r="J3748" s="4">
        <f t="shared" si="2"/>
        <v>455.7</v>
      </c>
      <c r="K3748" s="22">
        <f t="shared" si="3"/>
        <v>1</v>
      </c>
      <c r="L3748" s="4">
        <f t="shared" si="4"/>
        <v>1</v>
      </c>
    </row>
    <row r="3749">
      <c r="A3749" s="23">
        <v>5697.0</v>
      </c>
      <c r="B3749" s="24" t="str">
        <f t="array" ref="B3749">xlookup($A3749,product!$A:$A,product!B:B)</f>
        <v>Epicerie salée</v>
      </c>
      <c r="C3749" s="24" t="str">
        <f t="array" ref="C3749">xlookup($A3749,product!$A:$A,product!C:C)</f>
        <v>Farine, son, fécule</v>
      </c>
      <c r="D3749" s="24" t="str">
        <f t="array" ref="D3749">xlookup($A3749,product!$A:$A,product!D:D)</f>
        <v>Farine de céréales</v>
      </c>
      <c r="E3749" s="25" t="str">
        <f t="shared" si="1"/>
        <v>5697-Farine, son, fécule-Farine de céréales</v>
      </c>
      <c r="F3749" s="25">
        <v>0.0</v>
      </c>
      <c r="G3749" s="25">
        <v>965.0</v>
      </c>
      <c r="H3749" s="25">
        <v>650.0</v>
      </c>
      <c r="I3749" s="26">
        <f t="array" ref="I3749">XLOOKUP($A3749,product!A:A,product!E:E)</f>
        <v>2.27</v>
      </c>
      <c r="J3749" s="25">
        <f t="shared" si="2"/>
        <v>1475.5</v>
      </c>
      <c r="K3749" s="27">
        <f t="shared" si="3"/>
        <v>1</v>
      </c>
      <c r="L3749" s="25">
        <f t="shared" si="4"/>
        <v>1</v>
      </c>
    </row>
    <row r="3750">
      <c r="A3750" s="19">
        <v>29117.0</v>
      </c>
      <c r="B3750" s="20" t="str">
        <f t="array" ref="B3750">xlookup($A3750,product!$A:$A,product!B:B)</f>
        <v>Epicerie salée</v>
      </c>
      <c r="C3750" s="20" t="str">
        <f t="array" ref="C3750">xlookup($A3750,product!$A:$A,product!C:C)</f>
        <v>Farine, son, fécule</v>
      </c>
      <c r="D3750" s="20" t="str">
        <f t="array" ref="D3750">xlookup($A3750,product!$A:$A,product!D:D)</f>
        <v>Farine de céréales</v>
      </c>
      <c r="E3750" s="4" t="str">
        <f t="shared" si="1"/>
        <v>29117-Farine, son, fécule-Farine de céréales</v>
      </c>
      <c r="F3750" s="4">
        <v>1.0</v>
      </c>
      <c r="G3750" s="4">
        <v>797.0</v>
      </c>
      <c r="H3750" s="4">
        <v>160.0</v>
      </c>
      <c r="I3750" s="21">
        <f t="array" ref="I3750">XLOOKUP($A3750,product!A:A,product!E:E)</f>
        <v>1.38</v>
      </c>
      <c r="J3750" s="4">
        <f t="shared" si="2"/>
        <v>220.8</v>
      </c>
      <c r="K3750" s="22">
        <f t="shared" si="3"/>
        <v>1</v>
      </c>
      <c r="L3750" s="4">
        <f t="shared" si="4"/>
        <v>1</v>
      </c>
    </row>
    <row r="3751">
      <c r="A3751" s="23">
        <v>68305.0</v>
      </c>
      <c r="B3751" s="24" t="str">
        <f t="array" ref="B3751">xlookup($A3751,product!$A:$A,product!B:B)</f>
        <v>Epicerie salée</v>
      </c>
      <c r="C3751" s="24" t="str">
        <f t="array" ref="C3751">xlookup($A3751,product!$A:$A,product!C:C)</f>
        <v>Farine, son, fécule</v>
      </c>
      <c r="D3751" s="24" t="str">
        <f t="array" ref="D3751">xlookup($A3751,product!$A:$A,product!D:D)</f>
        <v>Farine de céréales</v>
      </c>
      <c r="E3751" s="25" t="str">
        <f t="shared" si="1"/>
        <v>68305-Farine, son, fécule-Farine de céréales</v>
      </c>
      <c r="F3751" s="25">
        <v>1.0</v>
      </c>
      <c r="G3751" s="25">
        <v>350.0</v>
      </c>
      <c r="H3751" s="25">
        <v>318.0</v>
      </c>
      <c r="I3751" s="26">
        <f t="array" ref="I3751">XLOOKUP($A3751,product!A:A,product!E:E)</f>
        <v>1.67</v>
      </c>
      <c r="J3751" s="25">
        <f t="shared" si="2"/>
        <v>531.06</v>
      </c>
      <c r="K3751" s="27">
        <f t="shared" si="3"/>
        <v>1</v>
      </c>
      <c r="L3751" s="25">
        <f t="shared" si="4"/>
        <v>1</v>
      </c>
    </row>
    <row r="3752">
      <c r="A3752" s="19">
        <v>5714.0</v>
      </c>
      <c r="B3752" s="20" t="str">
        <f t="array" ref="B3752">xlookup($A3752,product!$A:$A,product!B:B)</f>
        <v>Epicerie salée</v>
      </c>
      <c r="C3752" s="20" t="str">
        <f t="array" ref="C3752">xlookup($A3752,product!$A:$A,product!C:C)</f>
        <v>Farine, son, fécule</v>
      </c>
      <c r="D3752" s="20" t="str">
        <f t="array" ref="D3752">xlookup($A3752,product!$A:$A,product!D:D)</f>
        <v>Farine de céréales</v>
      </c>
      <c r="E3752" s="4" t="str">
        <f t="shared" si="1"/>
        <v>5714-Farine, son, fécule-Farine de céréales</v>
      </c>
      <c r="F3752" s="4">
        <v>1.0</v>
      </c>
      <c r="G3752" s="4">
        <v>799.0</v>
      </c>
      <c r="H3752" s="4">
        <v>257.0</v>
      </c>
      <c r="I3752" s="21">
        <f t="array" ref="I3752">XLOOKUP($A3752,product!A:A,product!E:E)</f>
        <v>3.57</v>
      </c>
      <c r="J3752" s="4">
        <f t="shared" si="2"/>
        <v>917.49</v>
      </c>
      <c r="K3752" s="22">
        <f t="shared" si="3"/>
        <v>1</v>
      </c>
      <c r="L3752" s="4">
        <f t="shared" si="4"/>
        <v>1</v>
      </c>
    </row>
    <row r="3753">
      <c r="A3753" s="23">
        <v>73951.0</v>
      </c>
      <c r="B3753" s="24" t="str">
        <f t="array" ref="B3753">xlookup($A3753,product!$A:$A,product!B:B)</f>
        <v>Epicerie salée</v>
      </c>
      <c r="C3753" s="24" t="str">
        <f t="array" ref="C3753">xlookup($A3753,product!$A:$A,product!C:C)</f>
        <v>Farine, son, fécule</v>
      </c>
      <c r="D3753" s="24" t="str">
        <f t="array" ref="D3753">xlookup($A3753,product!$A:$A,product!D:D)</f>
        <v>Farine de céréales</v>
      </c>
      <c r="E3753" s="25" t="str">
        <f t="shared" si="1"/>
        <v>73951-Farine, son, fécule-Farine de céréales</v>
      </c>
      <c r="F3753" s="25">
        <v>1.0</v>
      </c>
      <c r="G3753" s="25">
        <v>272.0</v>
      </c>
      <c r="H3753" s="25">
        <v>65.0</v>
      </c>
      <c r="I3753" s="26">
        <f t="array" ref="I3753">XLOOKUP($A3753,product!A:A,product!E:E)</f>
        <v>1.3</v>
      </c>
      <c r="J3753" s="25">
        <f t="shared" si="2"/>
        <v>84.5</v>
      </c>
      <c r="K3753" s="27">
        <f t="shared" si="3"/>
        <v>1</v>
      </c>
      <c r="L3753" s="25">
        <f t="shared" si="4"/>
        <v>1</v>
      </c>
    </row>
    <row r="3754">
      <c r="A3754" s="19">
        <v>68337.0</v>
      </c>
      <c r="B3754" s="20" t="str">
        <f t="array" ref="B3754">xlookup($A3754,product!$A:$A,product!B:B)</f>
        <v>Epicerie salée</v>
      </c>
      <c r="C3754" s="20" t="str">
        <f t="array" ref="C3754">xlookup($A3754,product!$A:$A,product!C:C)</f>
        <v>Farine, son, fécule</v>
      </c>
      <c r="D3754" s="20" t="str">
        <f t="array" ref="D3754">xlookup($A3754,product!$A:$A,product!D:D)</f>
        <v>Farine de céréales</v>
      </c>
      <c r="E3754" s="4" t="str">
        <f t="shared" si="1"/>
        <v>68337-Farine, son, fécule-Farine de céréales</v>
      </c>
      <c r="F3754" s="4">
        <v>0.0</v>
      </c>
      <c r="G3754" s="4">
        <v>947.0</v>
      </c>
      <c r="H3754" s="4">
        <v>112.0</v>
      </c>
      <c r="I3754" s="21">
        <f t="array" ref="I3754">XLOOKUP($A3754,product!A:A,product!E:E)</f>
        <v>1.57</v>
      </c>
      <c r="J3754" s="4">
        <f t="shared" si="2"/>
        <v>175.84</v>
      </c>
      <c r="K3754" s="22">
        <f t="shared" si="3"/>
        <v>1</v>
      </c>
      <c r="L3754" s="4">
        <f t="shared" si="4"/>
        <v>1</v>
      </c>
    </row>
    <row r="3755">
      <c r="A3755" s="23">
        <v>76338.0</v>
      </c>
      <c r="B3755" s="24" t="str">
        <f t="array" ref="B3755">xlookup($A3755,product!$A:$A,product!B:B)</f>
        <v>Epicerie salée</v>
      </c>
      <c r="C3755" s="24" t="str">
        <f t="array" ref="C3755">xlookup($A3755,product!$A:$A,product!C:C)</f>
        <v>Farine, son, fécule</v>
      </c>
      <c r="D3755" s="24" t="str">
        <f t="array" ref="D3755">xlookup($A3755,product!$A:$A,product!D:D)</f>
        <v>Farine de céréales</v>
      </c>
      <c r="E3755" s="25" t="str">
        <f t="shared" si="1"/>
        <v>76338-Farine, son, fécule-Farine de céréales</v>
      </c>
      <c r="F3755" s="25">
        <v>0.0</v>
      </c>
      <c r="G3755" s="25">
        <v>909.0</v>
      </c>
      <c r="H3755" s="25">
        <v>614.0</v>
      </c>
      <c r="I3755" s="26">
        <f t="array" ref="I3755">XLOOKUP($A3755,product!A:A,product!E:E)</f>
        <v>2.21</v>
      </c>
      <c r="J3755" s="25">
        <f t="shared" si="2"/>
        <v>1356.94</v>
      </c>
      <c r="K3755" s="27">
        <f t="shared" si="3"/>
        <v>1</v>
      </c>
      <c r="L3755" s="25">
        <f t="shared" si="4"/>
        <v>1</v>
      </c>
    </row>
    <row r="3756">
      <c r="A3756" s="19">
        <v>202592.0</v>
      </c>
      <c r="B3756" s="20" t="str">
        <f t="array" ref="B3756">xlookup($A3756,product!$A:$A,product!B:B)</f>
        <v>Epicerie salée</v>
      </c>
      <c r="C3756" s="20" t="str">
        <f t="array" ref="C3756">xlookup($A3756,product!$A:$A,product!C:C)</f>
        <v>Farine, son, fécule</v>
      </c>
      <c r="D3756" s="20" t="str">
        <f t="array" ref="D3756">xlookup($A3756,product!$A:$A,product!D:D)</f>
        <v>Farine de céréales</v>
      </c>
      <c r="E3756" s="4" t="str">
        <f t="shared" si="1"/>
        <v>202592-Farine, son, fécule-Farine de céréales</v>
      </c>
      <c r="F3756" s="4">
        <v>1.0</v>
      </c>
      <c r="G3756" s="4">
        <v>269.0</v>
      </c>
      <c r="H3756" s="4">
        <v>51.0</v>
      </c>
      <c r="I3756" s="21">
        <f t="array" ref="I3756">XLOOKUP($A3756,product!A:A,product!E:E)</f>
        <v>4.08</v>
      </c>
      <c r="J3756" s="4">
        <f t="shared" si="2"/>
        <v>208.08</v>
      </c>
      <c r="K3756" s="22">
        <f t="shared" si="3"/>
        <v>1</v>
      </c>
      <c r="L3756" s="4">
        <f t="shared" si="4"/>
        <v>1</v>
      </c>
    </row>
    <row r="3757">
      <c r="A3757" s="23">
        <v>69578.0</v>
      </c>
      <c r="B3757" s="24" t="str">
        <f t="array" ref="B3757">xlookup($A3757,product!$A:$A,product!B:B)</f>
        <v>Epicerie salée</v>
      </c>
      <c r="C3757" s="24" t="str">
        <f t="array" ref="C3757">xlookup($A3757,product!$A:$A,product!C:C)</f>
        <v>Farine, son, fécule</v>
      </c>
      <c r="D3757" s="24" t="str">
        <f t="array" ref="D3757">xlookup($A3757,product!$A:$A,product!D:D)</f>
        <v>Farine de céréales</v>
      </c>
      <c r="E3757" s="25" t="str">
        <f t="shared" si="1"/>
        <v>69578-Farine, son, fécule-Farine de céréales</v>
      </c>
      <c r="F3757" s="25">
        <v>0.0</v>
      </c>
      <c r="G3757" s="25">
        <v>522.0</v>
      </c>
      <c r="H3757" s="25">
        <v>496.0</v>
      </c>
      <c r="I3757" s="26">
        <f t="array" ref="I3757">XLOOKUP($A3757,product!A:A,product!E:E)</f>
        <v>2.47</v>
      </c>
      <c r="J3757" s="25">
        <f t="shared" si="2"/>
        <v>1225.12</v>
      </c>
      <c r="K3757" s="27">
        <f t="shared" si="3"/>
        <v>1</v>
      </c>
      <c r="L3757" s="25">
        <f t="shared" si="4"/>
        <v>1</v>
      </c>
    </row>
    <row r="3758">
      <c r="A3758" s="19">
        <v>76383.0</v>
      </c>
      <c r="B3758" s="20" t="str">
        <f t="array" ref="B3758">xlookup($A3758,product!$A:$A,product!B:B)</f>
        <v>Epicerie salée</v>
      </c>
      <c r="C3758" s="20" t="str">
        <f t="array" ref="C3758">xlookup($A3758,product!$A:$A,product!C:C)</f>
        <v>Farine, son, fécule</v>
      </c>
      <c r="D3758" s="20" t="str">
        <f t="array" ref="D3758">xlookup($A3758,product!$A:$A,product!D:D)</f>
        <v>Farine de céréales</v>
      </c>
      <c r="E3758" s="4" t="str">
        <f t="shared" si="1"/>
        <v>76383-Farine, son, fécule-Farine de céréales</v>
      </c>
      <c r="F3758" s="4">
        <v>0.0</v>
      </c>
      <c r="G3758" s="4">
        <v>797.0</v>
      </c>
      <c r="H3758" s="4">
        <v>26.0</v>
      </c>
      <c r="I3758" s="21">
        <f t="array" ref="I3758">XLOOKUP($A3758,product!A:A,product!E:E)</f>
        <v>1.39</v>
      </c>
      <c r="J3758" s="4">
        <f t="shared" si="2"/>
        <v>36.14</v>
      </c>
      <c r="K3758" s="22">
        <f t="shared" si="3"/>
        <v>1</v>
      </c>
      <c r="L3758" s="4">
        <f t="shared" si="4"/>
        <v>1</v>
      </c>
    </row>
    <row r="3759">
      <c r="A3759" s="23">
        <v>5696.0</v>
      </c>
      <c r="B3759" s="24" t="str">
        <f t="array" ref="B3759">xlookup($A3759,product!$A:$A,product!B:B)</f>
        <v>Epicerie salée</v>
      </c>
      <c r="C3759" s="24" t="str">
        <f t="array" ref="C3759">xlookup($A3759,product!$A:$A,product!C:C)</f>
        <v>Farine, son, fécule</v>
      </c>
      <c r="D3759" s="24" t="str">
        <f t="array" ref="D3759">xlookup($A3759,product!$A:$A,product!D:D)</f>
        <v>Farine de céréales</v>
      </c>
      <c r="E3759" s="25" t="str">
        <f t="shared" si="1"/>
        <v>5696-Farine, son, fécule-Farine de céréales</v>
      </c>
      <c r="F3759" s="25">
        <v>0.0</v>
      </c>
      <c r="G3759" s="25">
        <v>47.0</v>
      </c>
      <c r="H3759" s="25">
        <v>24.0</v>
      </c>
      <c r="I3759" s="26">
        <f t="array" ref="I3759">XLOOKUP($A3759,product!A:A,product!E:E)</f>
        <v>2.32</v>
      </c>
      <c r="J3759" s="25">
        <f t="shared" si="2"/>
        <v>55.68</v>
      </c>
      <c r="K3759" s="27">
        <f t="shared" si="3"/>
        <v>1</v>
      </c>
      <c r="L3759" s="25">
        <f t="shared" si="4"/>
        <v>1</v>
      </c>
    </row>
    <row r="3760">
      <c r="A3760" s="19">
        <v>90929.0</v>
      </c>
      <c r="B3760" s="20" t="str">
        <f t="array" ref="B3760">xlookup($A3760,product!$A:$A,product!B:B)</f>
        <v>Epicerie salée</v>
      </c>
      <c r="C3760" s="20" t="str">
        <f t="array" ref="C3760">xlookup($A3760,product!$A:$A,product!C:C)</f>
        <v>Farine, son, fécule</v>
      </c>
      <c r="D3760" s="20" t="str">
        <f t="array" ref="D3760">xlookup($A3760,product!$A:$A,product!D:D)</f>
        <v>Farine de céréales</v>
      </c>
      <c r="E3760" s="4" t="str">
        <f t="shared" si="1"/>
        <v>90929-Farine, son, fécule-Farine de céréales</v>
      </c>
      <c r="F3760" s="4">
        <v>0.0</v>
      </c>
      <c r="G3760" s="4">
        <v>258.0</v>
      </c>
      <c r="H3760" s="4">
        <v>233.0</v>
      </c>
      <c r="I3760" s="21">
        <f t="array" ref="I3760">XLOOKUP($A3760,product!A:A,product!E:E)</f>
        <v>1.49</v>
      </c>
      <c r="J3760" s="4">
        <f t="shared" si="2"/>
        <v>347.17</v>
      </c>
      <c r="K3760" s="22">
        <f t="shared" si="3"/>
        <v>1</v>
      </c>
      <c r="L3760" s="4">
        <f t="shared" si="4"/>
        <v>1</v>
      </c>
    </row>
    <row r="3761">
      <c r="A3761" s="23">
        <v>90926.0</v>
      </c>
      <c r="B3761" s="24" t="str">
        <f t="array" ref="B3761">xlookup($A3761,product!$A:$A,product!B:B)</f>
        <v>Epicerie salée</v>
      </c>
      <c r="C3761" s="24" t="str">
        <f t="array" ref="C3761">xlookup($A3761,product!$A:$A,product!C:C)</f>
        <v>Farine, son, fécule</v>
      </c>
      <c r="D3761" s="24" t="str">
        <f t="array" ref="D3761">xlookup($A3761,product!$A:$A,product!D:D)</f>
        <v>Farine de céréales</v>
      </c>
      <c r="E3761" s="25" t="str">
        <f t="shared" si="1"/>
        <v>90926-Farine, son, fécule-Farine de céréales</v>
      </c>
      <c r="F3761" s="25">
        <v>1.0</v>
      </c>
      <c r="G3761" s="25">
        <v>442.0</v>
      </c>
      <c r="H3761" s="25">
        <v>21.0</v>
      </c>
      <c r="I3761" s="26">
        <f t="array" ref="I3761">XLOOKUP($A3761,product!A:A,product!E:E)</f>
        <v>6.46</v>
      </c>
      <c r="J3761" s="25">
        <f t="shared" si="2"/>
        <v>135.66</v>
      </c>
      <c r="K3761" s="27">
        <f t="shared" si="3"/>
        <v>1</v>
      </c>
      <c r="L3761" s="25">
        <f t="shared" si="4"/>
        <v>1</v>
      </c>
    </row>
    <row r="3762">
      <c r="A3762" s="19">
        <v>76364.0</v>
      </c>
      <c r="B3762" s="20" t="str">
        <f t="array" ref="B3762">xlookup($A3762,product!$A:$A,product!B:B)</f>
        <v>Epicerie salée</v>
      </c>
      <c r="C3762" s="20" t="str">
        <f t="array" ref="C3762">xlookup($A3762,product!$A:$A,product!C:C)</f>
        <v>Farine, son, fécule</v>
      </c>
      <c r="D3762" s="20" t="str">
        <f t="array" ref="D3762">xlookup($A3762,product!$A:$A,product!D:D)</f>
        <v>Farine de céréales</v>
      </c>
      <c r="E3762" s="4" t="str">
        <f t="shared" si="1"/>
        <v>76364-Farine, son, fécule-Farine de céréales</v>
      </c>
      <c r="F3762" s="4">
        <v>1.0</v>
      </c>
      <c r="G3762" s="4">
        <v>180.0</v>
      </c>
      <c r="H3762" s="4">
        <v>155.0</v>
      </c>
      <c r="I3762" s="21">
        <f t="array" ref="I3762">XLOOKUP($A3762,product!A:A,product!E:E)</f>
        <v>0.74</v>
      </c>
      <c r="J3762" s="4">
        <f t="shared" si="2"/>
        <v>114.7</v>
      </c>
      <c r="K3762" s="22">
        <f t="shared" si="3"/>
        <v>1</v>
      </c>
      <c r="L3762" s="4">
        <f t="shared" si="4"/>
        <v>1</v>
      </c>
    </row>
    <row r="3763">
      <c r="A3763" s="23">
        <v>79152.0</v>
      </c>
      <c r="B3763" s="24" t="str">
        <f t="array" ref="B3763">xlookup($A3763,product!$A:$A,product!B:B)</f>
        <v>Epicerie salée</v>
      </c>
      <c r="C3763" s="24" t="str">
        <f t="array" ref="C3763">xlookup($A3763,product!$A:$A,product!C:C)</f>
        <v>Farine, son, fécule</v>
      </c>
      <c r="D3763" s="24" t="str">
        <f t="array" ref="D3763">xlookup($A3763,product!$A:$A,product!D:D)</f>
        <v>Farine de céréales</v>
      </c>
      <c r="E3763" s="25" t="str">
        <f t="shared" si="1"/>
        <v>79152-Farine, son, fécule-Farine de céréales</v>
      </c>
      <c r="F3763" s="25">
        <v>0.0</v>
      </c>
      <c r="G3763" s="25">
        <v>432.0</v>
      </c>
      <c r="H3763" s="25">
        <v>214.0</v>
      </c>
      <c r="I3763" s="26">
        <f t="array" ref="I3763">XLOOKUP($A3763,product!A:A,product!E:E)</f>
        <v>2.71</v>
      </c>
      <c r="J3763" s="25">
        <f t="shared" si="2"/>
        <v>579.94</v>
      </c>
      <c r="K3763" s="27">
        <f t="shared" si="3"/>
        <v>1</v>
      </c>
      <c r="L3763" s="25">
        <f t="shared" si="4"/>
        <v>1</v>
      </c>
    </row>
    <row r="3764">
      <c r="A3764" s="19">
        <v>30874.0</v>
      </c>
      <c r="B3764" s="20" t="str">
        <f t="array" ref="B3764">xlookup($A3764,product!$A:$A,product!B:B)</f>
        <v>Epicerie salée</v>
      </c>
      <c r="C3764" s="20" t="str">
        <f t="array" ref="C3764">xlookup($A3764,product!$A:$A,product!C:C)</f>
        <v>Farine, son, fécule</v>
      </c>
      <c r="D3764" s="20" t="str">
        <f t="array" ref="D3764">xlookup($A3764,product!$A:$A,product!D:D)</f>
        <v>Farine de céréales</v>
      </c>
      <c r="E3764" s="4" t="str">
        <f t="shared" si="1"/>
        <v>30874-Farine, son, fécule-Farine de céréales</v>
      </c>
      <c r="F3764" s="4">
        <v>0.0</v>
      </c>
      <c r="G3764" s="4">
        <v>99.0</v>
      </c>
      <c r="H3764" s="4">
        <v>20.0</v>
      </c>
      <c r="I3764" s="21">
        <f t="array" ref="I3764">XLOOKUP($A3764,product!A:A,product!E:E)</f>
        <v>3.39</v>
      </c>
      <c r="J3764" s="4">
        <f t="shared" si="2"/>
        <v>67.8</v>
      </c>
      <c r="K3764" s="22">
        <f t="shared" si="3"/>
        <v>1</v>
      </c>
      <c r="L3764" s="4">
        <f t="shared" si="4"/>
        <v>1</v>
      </c>
    </row>
    <row r="3765">
      <c r="A3765" s="23">
        <v>5718.0</v>
      </c>
      <c r="B3765" s="24" t="str">
        <f t="array" ref="B3765">xlookup($A3765,product!$A:$A,product!B:B)</f>
        <v>Epicerie salée</v>
      </c>
      <c r="C3765" s="24" t="str">
        <f t="array" ref="C3765">xlookup($A3765,product!$A:$A,product!C:C)</f>
        <v>Farine, son, fécule</v>
      </c>
      <c r="D3765" s="24" t="str">
        <f t="array" ref="D3765">xlookup($A3765,product!$A:$A,product!D:D)</f>
        <v>Farine de céréales</v>
      </c>
      <c r="E3765" s="25" t="str">
        <f t="shared" si="1"/>
        <v>5718-Farine, son, fécule-Farine de céréales</v>
      </c>
      <c r="F3765" s="25">
        <v>1.0</v>
      </c>
      <c r="G3765" s="25">
        <v>376.0</v>
      </c>
      <c r="H3765" s="25">
        <v>216.0</v>
      </c>
      <c r="I3765" s="26">
        <f t="array" ref="I3765">XLOOKUP($A3765,product!A:A,product!E:E)</f>
        <v>3.48</v>
      </c>
      <c r="J3765" s="25">
        <f t="shared" si="2"/>
        <v>751.68</v>
      </c>
      <c r="K3765" s="27">
        <f t="shared" si="3"/>
        <v>1</v>
      </c>
      <c r="L3765" s="25">
        <f t="shared" si="4"/>
        <v>1</v>
      </c>
    </row>
    <row r="3766">
      <c r="A3766" s="19">
        <v>126542.0</v>
      </c>
      <c r="B3766" s="20" t="str">
        <f t="array" ref="B3766">xlookup($A3766,product!$A:$A,product!B:B)</f>
        <v>Epicerie salée</v>
      </c>
      <c r="C3766" s="20" t="str">
        <f t="array" ref="C3766">xlookup($A3766,product!$A:$A,product!C:C)</f>
        <v>Farine, son, fécule</v>
      </c>
      <c r="D3766" s="20" t="str">
        <f t="array" ref="D3766">xlookup($A3766,product!$A:$A,product!D:D)</f>
        <v>Farine de céréales</v>
      </c>
      <c r="E3766" s="4" t="str">
        <f t="shared" si="1"/>
        <v>126542-Farine, son, fécule-Farine de céréales</v>
      </c>
      <c r="F3766" s="4">
        <v>1.0</v>
      </c>
      <c r="G3766" s="4">
        <v>306.0</v>
      </c>
      <c r="H3766" s="4">
        <v>168.0</v>
      </c>
      <c r="I3766" s="21">
        <f t="array" ref="I3766">XLOOKUP($A3766,product!A:A,product!E:E)</f>
        <v>1.63</v>
      </c>
      <c r="J3766" s="4">
        <f t="shared" si="2"/>
        <v>273.84</v>
      </c>
      <c r="K3766" s="22">
        <f t="shared" si="3"/>
        <v>1</v>
      </c>
      <c r="L3766" s="4">
        <f t="shared" si="4"/>
        <v>1</v>
      </c>
    </row>
    <row r="3767">
      <c r="A3767" s="23">
        <v>90852.0</v>
      </c>
      <c r="B3767" s="24" t="str">
        <f t="array" ref="B3767">xlookup($A3767,product!$A:$A,product!B:B)</f>
        <v>Epicerie salée</v>
      </c>
      <c r="C3767" s="24" t="str">
        <f t="array" ref="C3767">xlookup($A3767,product!$A:$A,product!C:C)</f>
        <v>Farine, son, fécule</v>
      </c>
      <c r="D3767" s="24" t="str">
        <f t="array" ref="D3767">xlookup($A3767,product!$A:$A,product!D:D)</f>
        <v>Farine de céréales</v>
      </c>
      <c r="E3767" s="25" t="str">
        <f t="shared" si="1"/>
        <v>90852-Farine, son, fécule-Farine de céréales</v>
      </c>
      <c r="F3767" s="25">
        <v>1.0</v>
      </c>
      <c r="G3767" s="25">
        <v>200.0</v>
      </c>
      <c r="H3767" s="25">
        <v>156.0</v>
      </c>
      <c r="I3767" s="26">
        <f t="array" ref="I3767">XLOOKUP($A3767,product!A:A,product!E:E)</f>
        <v>4.45</v>
      </c>
      <c r="J3767" s="25">
        <f t="shared" si="2"/>
        <v>694.2</v>
      </c>
      <c r="K3767" s="27">
        <f t="shared" si="3"/>
        <v>1</v>
      </c>
      <c r="L3767" s="25">
        <f t="shared" si="4"/>
        <v>1</v>
      </c>
    </row>
    <row r="3768">
      <c r="A3768" s="19">
        <v>122139.0</v>
      </c>
      <c r="B3768" s="20" t="str">
        <f t="array" ref="B3768">xlookup($A3768,product!$A:$A,product!B:B)</f>
        <v>Epicerie salée</v>
      </c>
      <c r="C3768" s="20" t="str">
        <f t="array" ref="C3768">xlookup($A3768,product!$A:$A,product!C:C)</f>
        <v>Farine, son, fécule</v>
      </c>
      <c r="D3768" s="20" t="str">
        <f t="array" ref="D3768">xlookup($A3768,product!$A:$A,product!D:D)</f>
        <v>Farine de céréales</v>
      </c>
      <c r="E3768" s="4" t="str">
        <f t="shared" si="1"/>
        <v>122139-Farine, son, fécule-Farine de céréales</v>
      </c>
      <c r="F3768" s="4">
        <v>0.0</v>
      </c>
      <c r="G3768" s="4">
        <v>514.0</v>
      </c>
      <c r="H3768" s="4">
        <v>73.0</v>
      </c>
      <c r="I3768" s="21">
        <f t="array" ref="I3768">XLOOKUP($A3768,product!A:A,product!E:E)</f>
        <v>2.47</v>
      </c>
      <c r="J3768" s="4">
        <f t="shared" si="2"/>
        <v>180.31</v>
      </c>
      <c r="K3768" s="22">
        <f t="shared" si="3"/>
        <v>1</v>
      </c>
      <c r="L3768" s="4">
        <f t="shared" si="4"/>
        <v>1</v>
      </c>
    </row>
    <row r="3769">
      <c r="A3769" s="23">
        <v>126975.0</v>
      </c>
      <c r="B3769" s="24" t="str">
        <f t="array" ref="B3769">xlookup($A3769,product!$A:$A,product!B:B)</f>
        <v>Epicerie salée</v>
      </c>
      <c r="C3769" s="24" t="str">
        <f t="array" ref="C3769">xlookup($A3769,product!$A:$A,product!C:C)</f>
        <v>Farine, son, fécule</v>
      </c>
      <c r="D3769" s="24" t="str">
        <f t="array" ref="D3769">xlookup($A3769,product!$A:$A,product!D:D)</f>
        <v>Farine de céréales</v>
      </c>
      <c r="E3769" s="25" t="str">
        <f t="shared" si="1"/>
        <v>126975-Farine, son, fécule-Farine de céréales</v>
      </c>
      <c r="F3769" s="25">
        <v>1.0</v>
      </c>
      <c r="G3769" s="25">
        <v>395.0</v>
      </c>
      <c r="H3769" s="25">
        <v>157.0</v>
      </c>
      <c r="I3769" s="26">
        <f t="array" ref="I3769">XLOOKUP($A3769,product!A:A,product!E:E)</f>
        <v>5.69</v>
      </c>
      <c r="J3769" s="25">
        <f t="shared" si="2"/>
        <v>893.33</v>
      </c>
      <c r="K3769" s="27">
        <f t="shared" si="3"/>
        <v>1</v>
      </c>
      <c r="L3769" s="25">
        <f t="shared" si="4"/>
        <v>1</v>
      </c>
    </row>
    <row r="3770">
      <c r="A3770" s="19">
        <v>202593.0</v>
      </c>
      <c r="B3770" s="20" t="str">
        <f t="array" ref="B3770">xlookup($A3770,product!$A:$A,product!B:B)</f>
        <v>Epicerie salée</v>
      </c>
      <c r="C3770" s="20" t="str">
        <f t="array" ref="C3770">xlookup($A3770,product!$A:$A,product!C:C)</f>
        <v>Farine, son, fécule</v>
      </c>
      <c r="D3770" s="20" t="str">
        <f t="array" ref="D3770">xlookup($A3770,product!$A:$A,product!D:D)</f>
        <v>Farine de céréales</v>
      </c>
      <c r="E3770" s="4" t="str">
        <f t="shared" si="1"/>
        <v>202593-Farine, son, fécule-Farine de céréales</v>
      </c>
      <c r="F3770" s="4">
        <v>1.0</v>
      </c>
      <c r="G3770" s="4">
        <v>357.0</v>
      </c>
      <c r="H3770" s="4">
        <v>340.0</v>
      </c>
      <c r="I3770" s="21">
        <f t="array" ref="I3770">XLOOKUP($A3770,product!A:A,product!E:E)</f>
        <v>1.93</v>
      </c>
      <c r="J3770" s="4">
        <f t="shared" si="2"/>
        <v>656.2</v>
      </c>
      <c r="K3770" s="22">
        <f t="shared" si="3"/>
        <v>1</v>
      </c>
      <c r="L3770" s="4">
        <f t="shared" si="4"/>
        <v>1</v>
      </c>
    </row>
    <row r="3771">
      <c r="A3771" s="23">
        <v>73940.0</v>
      </c>
      <c r="B3771" s="24" t="str">
        <f t="array" ref="B3771">xlookup($A3771,product!$A:$A,product!B:B)</f>
        <v>Epicerie salée</v>
      </c>
      <c r="C3771" s="24" t="str">
        <f t="array" ref="C3771">xlookup($A3771,product!$A:$A,product!C:C)</f>
        <v>Farine, son, fécule</v>
      </c>
      <c r="D3771" s="24" t="str">
        <f t="array" ref="D3771">xlookup($A3771,product!$A:$A,product!D:D)</f>
        <v>Farine de céréales</v>
      </c>
      <c r="E3771" s="25" t="str">
        <f t="shared" si="1"/>
        <v>73940-Farine, son, fécule-Farine de céréales</v>
      </c>
      <c r="F3771" s="25">
        <v>0.0</v>
      </c>
      <c r="G3771" s="25">
        <v>922.0</v>
      </c>
      <c r="H3771" s="25">
        <v>892.0</v>
      </c>
      <c r="I3771" s="26">
        <f t="array" ref="I3771">XLOOKUP($A3771,product!A:A,product!E:E)</f>
        <v>2.17</v>
      </c>
      <c r="J3771" s="25">
        <f t="shared" si="2"/>
        <v>1935.64</v>
      </c>
      <c r="K3771" s="27">
        <f t="shared" si="3"/>
        <v>1</v>
      </c>
      <c r="L3771" s="25">
        <f t="shared" si="4"/>
        <v>1</v>
      </c>
    </row>
    <row r="3772">
      <c r="A3772" s="19">
        <v>76360.0</v>
      </c>
      <c r="B3772" s="20" t="str">
        <f t="array" ref="B3772">xlookup($A3772,product!$A:$A,product!B:B)</f>
        <v>Epicerie salée</v>
      </c>
      <c r="C3772" s="20" t="str">
        <f t="array" ref="C3772">xlookup($A3772,product!$A:$A,product!C:C)</f>
        <v>Farine, son, fécule</v>
      </c>
      <c r="D3772" s="20" t="str">
        <f t="array" ref="D3772">xlookup($A3772,product!$A:$A,product!D:D)</f>
        <v>Farine de céréales</v>
      </c>
      <c r="E3772" s="4" t="str">
        <f t="shared" si="1"/>
        <v>76360-Farine, son, fécule-Farine de céréales</v>
      </c>
      <c r="F3772" s="4">
        <v>0.0</v>
      </c>
      <c r="G3772" s="4">
        <v>288.0</v>
      </c>
      <c r="H3772" s="4">
        <v>217.0</v>
      </c>
      <c r="I3772" s="21">
        <f t="array" ref="I3772">XLOOKUP($A3772,product!A:A,product!E:E)</f>
        <v>1.33</v>
      </c>
      <c r="J3772" s="4">
        <f t="shared" si="2"/>
        <v>288.61</v>
      </c>
      <c r="K3772" s="22">
        <f t="shared" si="3"/>
        <v>1</v>
      </c>
      <c r="L3772" s="4">
        <f t="shared" si="4"/>
        <v>1</v>
      </c>
    </row>
    <row r="3773">
      <c r="A3773" s="23">
        <v>118876.0</v>
      </c>
      <c r="B3773" s="24" t="str">
        <f t="array" ref="B3773">xlookup($A3773,product!$A:$A,product!B:B)</f>
        <v>Epicerie salée</v>
      </c>
      <c r="C3773" s="24" t="str">
        <f t="array" ref="C3773">xlookup($A3773,product!$A:$A,product!C:C)</f>
        <v>Farine, son, fécule</v>
      </c>
      <c r="D3773" s="24" t="str">
        <f t="array" ref="D3773">xlookup($A3773,product!$A:$A,product!D:D)</f>
        <v>Farine de céréales</v>
      </c>
      <c r="E3773" s="25" t="str">
        <f t="shared" si="1"/>
        <v>118876-Farine, son, fécule-Farine de céréales</v>
      </c>
      <c r="F3773" s="25">
        <v>1.0</v>
      </c>
      <c r="G3773" s="25">
        <v>673.0</v>
      </c>
      <c r="H3773" s="25">
        <v>671.0</v>
      </c>
      <c r="I3773" s="26">
        <f t="array" ref="I3773">XLOOKUP($A3773,product!A:A,product!E:E)</f>
        <v>1.41</v>
      </c>
      <c r="J3773" s="25">
        <f t="shared" si="2"/>
        <v>946.11</v>
      </c>
      <c r="K3773" s="27">
        <f t="shared" si="3"/>
        <v>1</v>
      </c>
      <c r="L3773" s="25">
        <f t="shared" si="4"/>
        <v>1</v>
      </c>
    </row>
    <row r="3774">
      <c r="A3774" s="19">
        <v>76366.0</v>
      </c>
      <c r="B3774" s="20" t="str">
        <f t="array" ref="B3774">xlookup($A3774,product!$A:$A,product!B:B)</f>
        <v>Epicerie salée</v>
      </c>
      <c r="C3774" s="20" t="str">
        <f t="array" ref="C3774">xlookup($A3774,product!$A:$A,product!C:C)</f>
        <v>Farine, son, fécule</v>
      </c>
      <c r="D3774" s="20" t="str">
        <f t="array" ref="D3774">xlookup($A3774,product!$A:$A,product!D:D)</f>
        <v>Farine de céréales</v>
      </c>
      <c r="E3774" s="4" t="str">
        <f t="shared" si="1"/>
        <v>76366-Farine, son, fécule-Farine de céréales</v>
      </c>
      <c r="F3774" s="4">
        <v>1.0</v>
      </c>
      <c r="G3774" s="4">
        <v>578.0</v>
      </c>
      <c r="H3774" s="4">
        <v>566.0</v>
      </c>
      <c r="I3774" s="21">
        <f t="array" ref="I3774">XLOOKUP($A3774,product!A:A,product!E:E)</f>
        <v>1.78</v>
      </c>
      <c r="J3774" s="4">
        <f t="shared" si="2"/>
        <v>1007.48</v>
      </c>
      <c r="K3774" s="22">
        <f t="shared" si="3"/>
        <v>1</v>
      </c>
      <c r="L3774" s="4">
        <f t="shared" si="4"/>
        <v>1</v>
      </c>
    </row>
    <row r="3775">
      <c r="A3775" s="23">
        <v>122645.0</v>
      </c>
      <c r="B3775" s="24" t="str">
        <f t="array" ref="B3775">xlookup($A3775,product!$A:$A,product!B:B)</f>
        <v>Epicerie salée</v>
      </c>
      <c r="C3775" s="24" t="str">
        <f t="array" ref="C3775">xlookup($A3775,product!$A:$A,product!C:C)</f>
        <v>Farine, son, fécule</v>
      </c>
      <c r="D3775" s="24" t="str">
        <f t="array" ref="D3775">xlookup($A3775,product!$A:$A,product!D:D)</f>
        <v>Farine de céréales</v>
      </c>
      <c r="E3775" s="25" t="str">
        <f t="shared" si="1"/>
        <v>122645-Farine, son, fécule-Farine de céréales</v>
      </c>
      <c r="F3775" s="25">
        <v>0.0</v>
      </c>
      <c r="G3775" s="25">
        <v>708.0</v>
      </c>
      <c r="H3775" s="25">
        <v>34.0</v>
      </c>
      <c r="I3775" s="26">
        <f t="array" ref="I3775">XLOOKUP($A3775,product!A:A,product!E:E)</f>
        <v>5.52</v>
      </c>
      <c r="J3775" s="25">
        <f t="shared" si="2"/>
        <v>187.68</v>
      </c>
      <c r="K3775" s="27">
        <f t="shared" si="3"/>
        <v>1</v>
      </c>
      <c r="L3775" s="25">
        <f t="shared" si="4"/>
        <v>1</v>
      </c>
    </row>
    <row r="3776">
      <c r="A3776" s="19">
        <v>76372.0</v>
      </c>
      <c r="B3776" s="20" t="str">
        <f t="array" ref="B3776">xlookup($A3776,product!$A:$A,product!B:B)</f>
        <v>Epicerie salée</v>
      </c>
      <c r="C3776" s="20" t="str">
        <f t="array" ref="C3776">xlookup($A3776,product!$A:$A,product!C:C)</f>
        <v>Farine, son, fécule</v>
      </c>
      <c r="D3776" s="20" t="str">
        <f t="array" ref="D3776">xlookup($A3776,product!$A:$A,product!D:D)</f>
        <v>Farine de céréales</v>
      </c>
      <c r="E3776" s="4" t="str">
        <f t="shared" si="1"/>
        <v>76372-Farine, son, fécule-Farine de céréales</v>
      </c>
      <c r="F3776" s="4">
        <v>1.0</v>
      </c>
      <c r="G3776" s="4">
        <v>696.0</v>
      </c>
      <c r="H3776" s="4">
        <v>484.0</v>
      </c>
      <c r="I3776" s="21">
        <f t="array" ref="I3776">XLOOKUP($A3776,product!A:A,product!E:E)</f>
        <v>2.6</v>
      </c>
      <c r="J3776" s="4">
        <f t="shared" si="2"/>
        <v>1258.4</v>
      </c>
      <c r="K3776" s="22">
        <f t="shared" si="3"/>
        <v>1</v>
      </c>
      <c r="L3776" s="4">
        <f t="shared" si="4"/>
        <v>1</v>
      </c>
    </row>
    <row r="3777">
      <c r="A3777" s="23">
        <v>5720.0</v>
      </c>
      <c r="B3777" s="24" t="str">
        <f t="array" ref="B3777">xlookup($A3777,product!$A:$A,product!B:B)</f>
        <v>Epicerie salée</v>
      </c>
      <c r="C3777" s="24" t="str">
        <f t="array" ref="C3777">xlookup($A3777,product!$A:$A,product!C:C)</f>
        <v>Farine, son, fécule</v>
      </c>
      <c r="D3777" s="24" t="str">
        <f t="array" ref="D3777">xlookup($A3777,product!$A:$A,product!D:D)</f>
        <v>Farine de céréales</v>
      </c>
      <c r="E3777" s="25" t="str">
        <f t="shared" si="1"/>
        <v>5720-Farine, son, fécule-Farine de céréales</v>
      </c>
      <c r="F3777" s="25">
        <v>0.0</v>
      </c>
      <c r="G3777" s="25">
        <v>811.0</v>
      </c>
      <c r="H3777" s="25">
        <v>80.0</v>
      </c>
      <c r="I3777" s="26">
        <f t="array" ref="I3777">XLOOKUP($A3777,product!A:A,product!E:E)</f>
        <v>2.49</v>
      </c>
      <c r="J3777" s="25">
        <f t="shared" si="2"/>
        <v>199.2</v>
      </c>
      <c r="K3777" s="27">
        <f t="shared" si="3"/>
        <v>1</v>
      </c>
      <c r="L3777" s="25">
        <f t="shared" si="4"/>
        <v>1</v>
      </c>
    </row>
    <row r="3778">
      <c r="A3778" s="19">
        <v>5695.0</v>
      </c>
      <c r="B3778" s="20" t="str">
        <f t="array" ref="B3778">xlookup($A3778,product!$A:$A,product!B:B)</f>
        <v>Epicerie salée</v>
      </c>
      <c r="C3778" s="20" t="str">
        <f t="array" ref="C3778">xlookup($A3778,product!$A:$A,product!C:C)</f>
        <v>Farine, son, fécule</v>
      </c>
      <c r="D3778" s="20" t="str">
        <f t="array" ref="D3778">xlookup($A3778,product!$A:$A,product!D:D)</f>
        <v>Farine de céréales</v>
      </c>
      <c r="E3778" s="4" t="str">
        <f t="shared" si="1"/>
        <v>5695-Farine, son, fécule-Farine de céréales</v>
      </c>
      <c r="F3778" s="4">
        <v>0.0</v>
      </c>
      <c r="G3778" s="4">
        <v>309.0</v>
      </c>
      <c r="H3778" s="4">
        <v>46.0</v>
      </c>
      <c r="I3778" s="21">
        <f t="array" ref="I3778">XLOOKUP($A3778,product!A:A,product!E:E)</f>
        <v>1.53</v>
      </c>
      <c r="J3778" s="4">
        <f t="shared" si="2"/>
        <v>70.38</v>
      </c>
      <c r="K3778" s="22">
        <f t="shared" si="3"/>
        <v>1</v>
      </c>
      <c r="L3778" s="4">
        <f t="shared" si="4"/>
        <v>1</v>
      </c>
    </row>
    <row r="3779">
      <c r="A3779" s="23">
        <v>90931.0</v>
      </c>
      <c r="B3779" s="24" t="str">
        <f t="array" ref="B3779">xlookup($A3779,product!$A:$A,product!B:B)</f>
        <v>Epicerie salée</v>
      </c>
      <c r="C3779" s="24" t="str">
        <f t="array" ref="C3779">xlookup($A3779,product!$A:$A,product!C:C)</f>
        <v>Farine, son, fécule</v>
      </c>
      <c r="D3779" s="24" t="str">
        <f t="array" ref="D3779">xlookup($A3779,product!$A:$A,product!D:D)</f>
        <v>Farine de céréales</v>
      </c>
      <c r="E3779" s="25" t="str">
        <f t="shared" si="1"/>
        <v>90931-Farine, son, fécule-Farine de céréales</v>
      </c>
      <c r="F3779" s="25">
        <v>0.0</v>
      </c>
      <c r="G3779" s="25">
        <v>99.0</v>
      </c>
      <c r="H3779" s="25">
        <v>77.0</v>
      </c>
      <c r="I3779" s="26">
        <f t="array" ref="I3779">XLOOKUP($A3779,product!A:A,product!E:E)</f>
        <v>1.26</v>
      </c>
      <c r="J3779" s="25">
        <f t="shared" si="2"/>
        <v>97.02</v>
      </c>
      <c r="K3779" s="27">
        <f t="shared" si="3"/>
        <v>1</v>
      </c>
      <c r="L3779" s="25">
        <f t="shared" si="4"/>
        <v>1</v>
      </c>
    </row>
    <row r="3780">
      <c r="A3780" s="19">
        <v>110085.0</v>
      </c>
      <c r="B3780" s="20" t="str">
        <f t="array" ref="B3780">xlookup($A3780,product!$A:$A,product!B:B)</f>
        <v>Epicerie salée</v>
      </c>
      <c r="C3780" s="20" t="str">
        <f t="array" ref="C3780">xlookup($A3780,product!$A:$A,product!C:C)</f>
        <v>Farine, son, fécule</v>
      </c>
      <c r="D3780" s="20" t="str">
        <f t="array" ref="D3780">xlookup($A3780,product!$A:$A,product!D:D)</f>
        <v>Farine de céréales</v>
      </c>
      <c r="E3780" s="4" t="str">
        <f t="shared" si="1"/>
        <v>110085-Farine, son, fécule-Farine de céréales</v>
      </c>
      <c r="F3780" s="4">
        <v>1.0</v>
      </c>
      <c r="G3780" s="4">
        <v>569.0</v>
      </c>
      <c r="H3780" s="4">
        <v>71.0</v>
      </c>
      <c r="I3780" s="21">
        <f t="array" ref="I3780">XLOOKUP($A3780,product!A:A,product!E:E)</f>
        <v>1.13</v>
      </c>
      <c r="J3780" s="4">
        <f t="shared" si="2"/>
        <v>80.23</v>
      </c>
      <c r="K3780" s="22">
        <f t="shared" si="3"/>
        <v>1</v>
      </c>
      <c r="L3780" s="4">
        <f t="shared" si="4"/>
        <v>1</v>
      </c>
    </row>
    <row r="3781">
      <c r="A3781" s="23">
        <v>113096.0</v>
      </c>
      <c r="B3781" s="24" t="str">
        <f t="array" ref="B3781">xlookup($A3781,product!$A:$A,product!B:B)</f>
        <v>Epicerie salée</v>
      </c>
      <c r="C3781" s="24" t="str">
        <f t="array" ref="C3781">xlookup($A3781,product!$A:$A,product!C:C)</f>
        <v>Farine, son, fécule</v>
      </c>
      <c r="D3781" s="24" t="str">
        <f t="array" ref="D3781">xlookup($A3781,product!$A:$A,product!D:D)</f>
        <v>Farine de céréales</v>
      </c>
      <c r="E3781" s="25" t="str">
        <f t="shared" si="1"/>
        <v>113096-Farine, son, fécule-Farine de céréales</v>
      </c>
      <c r="F3781" s="25">
        <v>0.0</v>
      </c>
      <c r="G3781" s="25">
        <v>60.0</v>
      </c>
      <c r="H3781" s="25">
        <v>37.0</v>
      </c>
      <c r="I3781" s="26">
        <f t="array" ref="I3781">XLOOKUP($A3781,product!A:A,product!E:E)</f>
        <v>2.41</v>
      </c>
      <c r="J3781" s="25">
        <f t="shared" si="2"/>
        <v>89.17</v>
      </c>
      <c r="K3781" s="27">
        <f t="shared" si="3"/>
        <v>1</v>
      </c>
      <c r="L3781" s="25">
        <f t="shared" si="4"/>
        <v>1</v>
      </c>
    </row>
    <row r="3782">
      <c r="A3782" s="19">
        <v>90878.0</v>
      </c>
      <c r="B3782" s="20" t="str">
        <f t="array" ref="B3782">xlookup($A3782,product!$A:$A,product!B:B)</f>
        <v>Epicerie salée</v>
      </c>
      <c r="C3782" s="20" t="str">
        <f t="array" ref="C3782">xlookup($A3782,product!$A:$A,product!C:C)</f>
        <v>Farine, son, fécule</v>
      </c>
      <c r="D3782" s="20" t="str">
        <f t="array" ref="D3782">xlookup($A3782,product!$A:$A,product!D:D)</f>
        <v>Farine de céréales</v>
      </c>
      <c r="E3782" s="4" t="str">
        <f t="shared" si="1"/>
        <v>90878-Farine, son, fécule-Farine de céréales</v>
      </c>
      <c r="F3782" s="4">
        <v>1.0</v>
      </c>
      <c r="G3782" s="4">
        <v>469.0</v>
      </c>
      <c r="H3782" s="4">
        <v>393.0</v>
      </c>
      <c r="I3782" s="21">
        <f t="array" ref="I3782">XLOOKUP($A3782,product!A:A,product!E:E)</f>
        <v>2.28</v>
      </c>
      <c r="J3782" s="4">
        <f t="shared" si="2"/>
        <v>896.04</v>
      </c>
      <c r="K3782" s="22">
        <f t="shared" si="3"/>
        <v>1</v>
      </c>
      <c r="L3782" s="4">
        <f t="shared" si="4"/>
        <v>1</v>
      </c>
    </row>
    <row r="3783">
      <c r="A3783" s="23">
        <v>73938.0</v>
      </c>
      <c r="B3783" s="24" t="str">
        <f t="array" ref="B3783">xlookup($A3783,product!$A:$A,product!B:B)</f>
        <v>Epicerie salée</v>
      </c>
      <c r="C3783" s="24" t="str">
        <f t="array" ref="C3783">xlookup($A3783,product!$A:$A,product!C:C)</f>
        <v>Farine, son, fécule</v>
      </c>
      <c r="D3783" s="24" t="str">
        <f t="array" ref="D3783">xlookup($A3783,product!$A:$A,product!D:D)</f>
        <v>Farine de céréales</v>
      </c>
      <c r="E3783" s="25" t="str">
        <f t="shared" si="1"/>
        <v>73938-Farine, son, fécule-Farine de céréales</v>
      </c>
      <c r="F3783" s="25">
        <v>1.0</v>
      </c>
      <c r="G3783" s="25">
        <v>743.0</v>
      </c>
      <c r="H3783" s="25">
        <v>307.0</v>
      </c>
      <c r="I3783" s="26">
        <f t="array" ref="I3783">XLOOKUP($A3783,product!A:A,product!E:E)</f>
        <v>2.33</v>
      </c>
      <c r="J3783" s="25">
        <f t="shared" si="2"/>
        <v>715.31</v>
      </c>
      <c r="K3783" s="27">
        <f t="shared" si="3"/>
        <v>1</v>
      </c>
      <c r="L3783" s="25">
        <f t="shared" si="4"/>
        <v>1</v>
      </c>
    </row>
    <row r="3784">
      <c r="A3784" s="19">
        <v>5698.0</v>
      </c>
      <c r="B3784" s="20" t="str">
        <f t="array" ref="B3784">xlookup($A3784,product!$A:$A,product!B:B)</f>
        <v>Epicerie salée</v>
      </c>
      <c r="C3784" s="20" t="str">
        <f t="array" ref="C3784">xlookup($A3784,product!$A:$A,product!C:C)</f>
        <v>Farine, son, fécule</v>
      </c>
      <c r="D3784" s="20" t="str">
        <f t="array" ref="D3784">xlookup($A3784,product!$A:$A,product!D:D)</f>
        <v>Farine de céréales</v>
      </c>
      <c r="E3784" s="4" t="str">
        <f t="shared" si="1"/>
        <v>5698-Farine, son, fécule-Farine de céréales</v>
      </c>
      <c r="F3784" s="4">
        <v>0.0</v>
      </c>
      <c r="G3784" s="4">
        <v>876.0</v>
      </c>
      <c r="H3784" s="4">
        <v>485.0</v>
      </c>
      <c r="I3784" s="21">
        <f t="array" ref="I3784">XLOOKUP($A3784,product!A:A,product!E:E)</f>
        <v>3.54</v>
      </c>
      <c r="J3784" s="4">
        <f t="shared" si="2"/>
        <v>1716.9</v>
      </c>
      <c r="K3784" s="22">
        <f t="shared" si="3"/>
        <v>1</v>
      </c>
      <c r="L3784" s="4">
        <f t="shared" si="4"/>
        <v>1</v>
      </c>
    </row>
    <row r="3785">
      <c r="A3785" s="23">
        <v>76373.0</v>
      </c>
      <c r="B3785" s="24" t="str">
        <f t="array" ref="B3785">xlookup($A3785,product!$A:$A,product!B:B)</f>
        <v>Epicerie salée</v>
      </c>
      <c r="C3785" s="24" t="str">
        <f t="array" ref="C3785">xlookup($A3785,product!$A:$A,product!C:C)</f>
        <v>Farine, son, fécule</v>
      </c>
      <c r="D3785" s="24" t="str">
        <f t="array" ref="D3785">xlookup($A3785,product!$A:$A,product!D:D)</f>
        <v>Farine de céréales</v>
      </c>
      <c r="E3785" s="25" t="str">
        <f t="shared" si="1"/>
        <v>76373-Farine, son, fécule-Farine de céréales</v>
      </c>
      <c r="F3785" s="25">
        <v>1.0</v>
      </c>
      <c r="G3785" s="25">
        <v>116.0</v>
      </c>
      <c r="H3785" s="25">
        <v>76.0</v>
      </c>
      <c r="I3785" s="26">
        <f t="array" ref="I3785">XLOOKUP($A3785,product!A:A,product!E:E)</f>
        <v>1.45</v>
      </c>
      <c r="J3785" s="25">
        <f t="shared" si="2"/>
        <v>110.2</v>
      </c>
      <c r="K3785" s="27">
        <f t="shared" si="3"/>
        <v>1</v>
      </c>
      <c r="L3785" s="25">
        <f t="shared" si="4"/>
        <v>1</v>
      </c>
    </row>
    <row r="3786">
      <c r="A3786" s="19">
        <v>73945.0</v>
      </c>
      <c r="B3786" s="20" t="str">
        <f t="array" ref="B3786">xlookup($A3786,product!$A:$A,product!B:B)</f>
        <v>Epicerie salée</v>
      </c>
      <c r="C3786" s="20" t="str">
        <f t="array" ref="C3786">xlookup($A3786,product!$A:$A,product!C:C)</f>
        <v>Farine, son, fécule</v>
      </c>
      <c r="D3786" s="20" t="str">
        <f t="array" ref="D3786">xlookup($A3786,product!$A:$A,product!D:D)</f>
        <v>Farine de céréales</v>
      </c>
      <c r="E3786" s="4" t="str">
        <f t="shared" si="1"/>
        <v>73945-Farine, son, fécule-Farine de céréales</v>
      </c>
      <c r="F3786" s="4">
        <v>0.0</v>
      </c>
      <c r="G3786" s="4">
        <v>515.0</v>
      </c>
      <c r="H3786" s="4">
        <v>373.0</v>
      </c>
      <c r="I3786" s="21">
        <f t="array" ref="I3786">XLOOKUP($A3786,product!A:A,product!E:E)</f>
        <v>1.69</v>
      </c>
      <c r="J3786" s="4">
        <f t="shared" si="2"/>
        <v>630.37</v>
      </c>
      <c r="K3786" s="22">
        <f t="shared" si="3"/>
        <v>1</v>
      </c>
      <c r="L3786" s="4">
        <f t="shared" si="4"/>
        <v>1</v>
      </c>
    </row>
    <row r="3787">
      <c r="A3787" s="23">
        <v>159200.0</v>
      </c>
      <c r="B3787" s="24" t="str">
        <f t="array" ref="B3787">xlookup($A3787,product!$A:$A,product!B:B)</f>
        <v>Epicerie salée</v>
      </c>
      <c r="C3787" s="24" t="str">
        <f t="array" ref="C3787">xlookup($A3787,product!$A:$A,product!C:C)</f>
        <v>Farine, son, fécule</v>
      </c>
      <c r="D3787" s="24" t="str">
        <f t="array" ref="D3787">xlookup($A3787,product!$A:$A,product!D:D)</f>
        <v>Farine de céréales</v>
      </c>
      <c r="E3787" s="25" t="str">
        <f t="shared" si="1"/>
        <v>159200-Farine, son, fécule-Farine de céréales</v>
      </c>
      <c r="F3787" s="25">
        <v>1.0</v>
      </c>
      <c r="G3787" s="25">
        <v>699.0</v>
      </c>
      <c r="H3787" s="25">
        <v>489.0</v>
      </c>
      <c r="I3787" s="26">
        <f t="array" ref="I3787">XLOOKUP($A3787,product!A:A,product!E:E)</f>
        <v>1.38</v>
      </c>
      <c r="J3787" s="25">
        <f t="shared" si="2"/>
        <v>674.82</v>
      </c>
      <c r="K3787" s="27">
        <f t="shared" si="3"/>
        <v>1</v>
      </c>
      <c r="L3787" s="25">
        <f t="shared" si="4"/>
        <v>1</v>
      </c>
    </row>
    <row r="3788">
      <c r="A3788" s="19">
        <v>68354.0</v>
      </c>
      <c r="B3788" s="20" t="str">
        <f t="array" ref="B3788">xlookup($A3788,product!$A:$A,product!B:B)</f>
        <v>Epicerie salée</v>
      </c>
      <c r="C3788" s="20" t="str">
        <f t="array" ref="C3788">xlookup($A3788,product!$A:$A,product!C:C)</f>
        <v>Farine, son, fécule</v>
      </c>
      <c r="D3788" s="20" t="str">
        <f t="array" ref="D3788">xlookup($A3788,product!$A:$A,product!D:D)</f>
        <v>Farine de céréales</v>
      </c>
      <c r="E3788" s="4" t="str">
        <f t="shared" si="1"/>
        <v>68354-Farine, son, fécule-Farine de céréales</v>
      </c>
      <c r="F3788" s="4">
        <v>1.0</v>
      </c>
      <c r="G3788" s="4">
        <v>234.0</v>
      </c>
      <c r="H3788" s="4">
        <v>180.0</v>
      </c>
      <c r="I3788" s="21">
        <f t="array" ref="I3788">XLOOKUP($A3788,product!A:A,product!E:E)</f>
        <v>3.17</v>
      </c>
      <c r="J3788" s="4">
        <f t="shared" si="2"/>
        <v>570.6</v>
      </c>
      <c r="K3788" s="22">
        <f t="shared" si="3"/>
        <v>1</v>
      </c>
      <c r="L3788" s="4">
        <f t="shared" si="4"/>
        <v>1</v>
      </c>
    </row>
    <row r="3789">
      <c r="A3789" s="23">
        <v>5712.0</v>
      </c>
      <c r="B3789" s="24" t="str">
        <f t="array" ref="B3789">xlookup($A3789,product!$A:$A,product!B:B)</f>
        <v>Epicerie salée</v>
      </c>
      <c r="C3789" s="24" t="str">
        <f t="array" ref="C3789">xlookup($A3789,product!$A:$A,product!C:C)</f>
        <v>Farine, son, fécule</v>
      </c>
      <c r="D3789" s="24" t="str">
        <f t="array" ref="D3789">xlookup($A3789,product!$A:$A,product!D:D)</f>
        <v>Farine de céréales</v>
      </c>
      <c r="E3789" s="25" t="str">
        <f t="shared" si="1"/>
        <v>5712-Farine, son, fécule-Farine de céréales</v>
      </c>
      <c r="F3789" s="25">
        <v>1.0</v>
      </c>
      <c r="G3789" s="25">
        <v>551.0</v>
      </c>
      <c r="H3789" s="25">
        <v>199.0</v>
      </c>
      <c r="I3789" s="26">
        <f t="array" ref="I3789">XLOOKUP($A3789,product!A:A,product!E:E)</f>
        <v>3.39</v>
      </c>
      <c r="J3789" s="25">
        <f t="shared" si="2"/>
        <v>674.61</v>
      </c>
      <c r="K3789" s="27">
        <f t="shared" si="3"/>
        <v>1</v>
      </c>
      <c r="L3789" s="25">
        <f t="shared" si="4"/>
        <v>1</v>
      </c>
    </row>
    <row r="3790">
      <c r="A3790" s="19">
        <v>114471.0</v>
      </c>
      <c r="B3790" s="20" t="str">
        <f t="array" ref="B3790">xlookup($A3790,product!$A:$A,product!B:B)</f>
        <v>Epicerie salée</v>
      </c>
      <c r="C3790" s="20" t="str">
        <f t="array" ref="C3790">xlookup($A3790,product!$A:$A,product!C:C)</f>
        <v>Farine, son, fécule</v>
      </c>
      <c r="D3790" s="20" t="str">
        <f t="array" ref="D3790">xlookup($A3790,product!$A:$A,product!D:D)</f>
        <v>Farine de céréales</v>
      </c>
      <c r="E3790" s="4" t="str">
        <f t="shared" si="1"/>
        <v>114471-Farine, son, fécule-Farine de céréales</v>
      </c>
      <c r="F3790" s="4">
        <v>0.0</v>
      </c>
      <c r="G3790" s="4">
        <v>237.0</v>
      </c>
      <c r="H3790" s="4">
        <v>96.0</v>
      </c>
      <c r="I3790" s="21">
        <f t="array" ref="I3790">XLOOKUP($A3790,product!A:A,product!E:E)</f>
        <v>3.78</v>
      </c>
      <c r="J3790" s="4">
        <f t="shared" si="2"/>
        <v>362.88</v>
      </c>
      <c r="K3790" s="22">
        <f t="shared" si="3"/>
        <v>1</v>
      </c>
      <c r="L3790" s="4">
        <f t="shared" si="4"/>
        <v>1</v>
      </c>
    </row>
    <row r="3791">
      <c r="A3791" s="23">
        <v>90934.0</v>
      </c>
      <c r="B3791" s="24" t="str">
        <f t="array" ref="B3791">xlookup($A3791,product!$A:$A,product!B:B)</f>
        <v>Epicerie salée</v>
      </c>
      <c r="C3791" s="24" t="str">
        <f t="array" ref="C3791">xlookup($A3791,product!$A:$A,product!C:C)</f>
        <v>Farine, son, fécule</v>
      </c>
      <c r="D3791" s="24" t="str">
        <f t="array" ref="D3791">xlookup($A3791,product!$A:$A,product!D:D)</f>
        <v>Farine de céréales</v>
      </c>
      <c r="E3791" s="25" t="str">
        <f t="shared" si="1"/>
        <v>90934-Farine, son, fécule-Farine de céréales</v>
      </c>
      <c r="F3791" s="25">
        <v>0.0</v>
      </c>
      <c r="G3791" s="25">
        <v>262.0</v>
      </c>
      <c r="H3791" s="25">
        <v>89.0</v>
      </c>
      <c r="I3791" s="26">
        <f t="array" ref="I3791">XLOOKUP($A3791,product!A:A,product!E:E)</f>
        <v>15.04</v>
      </c>
      <c r="J3791" s="25">
        <f t="shared" si="2"/>
        <v>1338.56</v>
      </c>
      <c r="K3791" s="27">
        <f t="shared" si="3"/>
        <v>1</v>
      </c>
      <c r="L3791" s="25">
        <f t="shared" si="4"/>
        <v>1</v>
      </c>
    </row>
    <row r="3792">
      <c r="A3792" s="19">
        <v>87851.0</v>
      </c>
      <c r="B3792" s="20" t="str">
        <f t="array" ref="B3792">xlookup($A3792,product!$A:$A,product!B:B)</f>
        <v>Epicerie salée</v>
      </c>
      <c r="C3792" s="20" t="str">
        <f t="array" ref="C3792">xlookup($A3792,product!$A:$A,product!C:C)</f>
        <v>Farine, son, fécule</v>
      </c>
      <c r="D3792" s="20" t="str">
        <f t="array" ref="D3792">xlookup($A3792,product!$A:$A,product!D:D)</f>
        <v>Farine de céréales</v>
      </c>
      <c r="E3792" s="4" t="str">
        <f t="shared" si="1"/>
        <v>87851-Farine, son, fécule-Farine de céréales</v>
      </c>
      <c r="F3792" s="4">
        <v>0.0</v>
      </c>
      <c r="G3792" s="4">
        <v>26.0</v>
      </c>
      <c r="H3792" s="4">
        <v>19.0</v>
      </c>
      <c r="I3792" s="21">
        <f t="array" ref="I3792">XLOOKUP($A3792,product!A:A,product!E:E)</f>
        <v>1.75</v>
      </c>
      <c r="J3792" s="4">
        <f t="shared" si="2"/>
        <v>33.25</v>
      </c>
      <c r="K3792" s="22">
        <f t="shared" si="3"/>
        <v>1</v>
      </c>
      <c r="L3792" s="4">
        <f t="shared" si="4"/>
        <v>1</v>
      </c>
    </row>
    <row r="3793">
      <c r="A3793" s="23">
        <v>90891.0</v>
      </c>
      <c r="B3793" s="24" t="str">
        <f t="array" ref="B3793">xlookup($A3793,product!$A:$A,product!B:B)</f>
        <v>Epicerie salée</v>
      </c>
      <c r="C3793" s="24" t="str">
        <f t="array" ref="C3793">xlookup($A3793,product!$A:$A,product!C:C)</f>
        <v>Farine, son, fécule</v>
      </c>
      <c r="D3793" s="24" t="str">
        <f t="array" ref="D3793">xlookup($A3793,product!$A:$A,product!D:D)</f>
        <v>Farine de céréales</v>
      </c>
      <c r="E3793" s="25" t="str">
        <f t="shared" si="1"/>
        <v>90891-Farine, son, fécule-Farine de céréales</v>
      </c>
      <c r="F3793" s="25">
        <v>1.0</v>
      </c>
      <c r="G3793" s="25">
        <v>29.0</v>
      </c>
      <c r="H3793" s="25">
        <v>22.0</v>
      </c>
      <c r="I3793" s="26">
        <f t="array" ref="I3793">XLOOKUP($A3793,product!A:A,product!E:E)</f>
        <v>8.42</v>
      </c>
      <c r="J3793" s="25">
        <f t="shared" si="2"/>
        <v>185.24</v>
      </c>
      <c r="K3793" s="27">
        <f t="shared" si="3"/>
        <v>1</v>
      </c>
      <c r="L3793" s="25">
        <f t="shared" si="4"/>
        <v>1</v>
      </c>
    </row>
    <row r="3794">
      <c r="A3794" s="19">
        <v>69579.0</v>
      </c>
      <c r="B3794" s="20" t="str">
        <f t="array" ref="B3794">xlookup($A3794,product!$A:$A,product!B:B)</f>
        <v>Epicerie salée</v>
      </c>
      <c r="C3794" s="20" t="str">
        <f t="array" ref="C3794">xlookup($A3794,product!$A:$A,product!C:C)</f>
        <v>Farine, son, fécule</v>
      </c>
      <c r="D3794" s="20" t="str">
        <f t="array" ref="D3794">xlookup($A3794,product!$A:$A,product!D:D)</f>
        <v>Farine de céréales</v>
      </c>
      <c r="E3794" s="4" t="str">
        <f t="shared" si="1"/>
        <v>69579-Farine, son, fécule-Farine de céréales</v>
      </c>
      <c r="F3794" s="4">
        <v>1.0</v>
      </c>
      <c r="G3794" s="4">
        <v>561.0</v>
      </c>
      <c r="H3794" s="4">
        <v>377.0</v>
      </c>
      <c r="I3794" s="21">
        <f t="array" ref="I3794">XLOOKUP($A3794,product!A:A,product!E:E)</f>
        <v>2.18</v>
      </c>
      <c r="J3794" s="4">
        <f t="shared" si="2"/>
        <v>821.86</v>
      </c>
      <c r="K3794" s="22">
        <f t="shared" si="3"/>
        <v>1</v>
      </c>
      <c r="L3794" s="4">
        <f t="shared" si="4"/>
        <v>1</v>
      </c>
    </row>
    <row r="3795">
      <c r="A3795" s="23">
        <v>90924.0</v>
      </c>
      <c r="B3795" s="24" t="str">
        <f t="array" ref="B3795">xlookup($A3795,product!$A:$A,product!B:B)</f>
        <v>Epicerie salée</v>
      </c>
      <c r="C3795" s="24" t="str">
        <f t="array" ref="C3795">xlookup($A3795,product!$A:$A,product!C:C)</f>
        <v>Farine, son, fécule</v>
      </c>
      <c r="D3795" s="24" t="str">
        <f t="array" ref="D3795">xlookup($A3795,product!$A:$A,product!D:D)</f>
        <v>Farine de céréales</v>
      </c>
      <c r="E3795" s="25" t="str">
        <f t="shared" si="1"/>
        <v>90924-Farine, son, fécule-Farine de céréales</v>
      </c>
      <c r="F3795" s="25">
        <v>1.0</v>
      </c>
      <c r="G3795" s="25">
        <v>907.0</v>
      </c>
      <c r="H3795" s="25">
        <v>327.0</v>
      </c>
      <c r="I3795" s="26">
        <f t="array" ref="I3795">XLOOKUP($A3795,product!A:A,product!E:E)</f>
        <v>2.46</v>
      </c>
      <c r="J3795" s="25">
        <f t="shared" si="2"/>
        <v>804.42</v>
      </c>
      <c r="K3795" s="27">
        <f t="shared" si="3"/>
        <v>1</v>
      </c>
      <c r="L3795" s="25">
        <f t="shared" si="4"/>
        <v>1</v>
      </c>
    </row>
    <row r="3796">
      <c r="A3796" s="19">
        <v>69311.0</v>
      </c>
      <c r="B3796" s="20" t="str">
        <f t="array" ref="B3796">xlookup($A3796,product!$A:$A,product!B:B)</f>
        <v>Epicerie salée</v>
      </c>
      <c r="C3796" s="20" t="str">
        <f t="array" ref="C3796">xlookup($A3796,product!$A:$A,product!C:C)</f>
        <v>Farine, son, fécule</v>
      </c>
      <c r="D3796" s="20" t="str">
        <f t="array" ref="D3796">xlookup($A3796,product!$A:$A,product!D:D)</f>
        <v>Farine de céréales</v>
      </c>
      <c r="E3796" s="4" t="str">
        <f t="shared" si="1"/>
        <v>69311-Farine, son, fécule-Farine de céréales</v>
      </c>
      <c r="F3796" s="4">
        <v>0.0</v>
      </c>
      <c r="G3796" s="4">
        <v>668.0</v>
      </c>
      <c r="H3796" s="4">
        <v>488.0</v>
      </c>
      <c r="I3796" s="21">
        <f t="array" ref="I3796">XLOOKUP($A3796,product!A:A,product!E:E)</f>
        <v>1.73</v>
      </c>
      <c r="J3796" s="4">
        <f t="shared" si="2"/>
        <v>844.24</v>
      </c>
      <c r="K3796" s="22">
        <f t="shared" si="3"/>
        <v>1</v>
      </c>
      <c r="L3796" s="4">
        <f t="shared" si="4"/>
        <v>1</v>
      </c>
    </row>
    <row r="3797">
      <c r="A3797" s="23">
        <v>90923.0</v>
      </c>
      <c r="B3797" s="24" t="str">
        <f t="array" ref="B3797">xlookup($A3797,product!$A:$A,product!B:B)</f>
        <v>Epicerie salée</v>
      </c>
      <c r="C3797" s="24" t="str">
        <f t="array" ref="C3797">xlookup($A3797,product!$A:$A,product!C:C)</f>
        <v>Farine, son, fécule</v>
      </c>
      <c r="D3797" s="24" t="str">
        <f t="array" ref="D3797">xlookup($A3797,product!$A:$A,product!D:D)</f>
        <v>Farine de légumineuses</v>
      </c>
      <c r="E3797" s="25" t="str">
        <f t="shared" si="1"/>
        <v>90923-Farine, son, fécule-Farine de légumineuses</v>
      </c>
      <c r="F3797" s="25">
        <v>1.0</v>
      </c>
      <c r="G3797" s="25">
        <v>721.0</v>
      </c>
      <c r="H3797" s="25">
        <v>157.0</v>
      </c>
      <c r="I3797" s="26">
        <f t="array" ref="I3797">XLOOKUP($A3797,product!A:A,product!E:E)</f>
        <v>2.93</v>
      </c>
      <c r="J3797" s="25">
        <f t="shared" si="2"/>
        <v>460.01</v>
      </c>
      <c r="K3797" s="27">
        <f t="shared" si="3"/>
        <v>1</v>
      </c>
      <c r="L3797" s="25">
        <f t="shared" si="4"/>
        <v>1</v>
      </c>
    </row>
    <row r="3798">
      <c r="A3798" s="19">
        <v>159197.0</v>
      </c>
      <c r="B3798" s="20" t="str">
        <f t="array" ref="B3798">xlookup($A3798,product!$A:$A,product!B:B)</f>
        <v>Epicerie salée</v>
      </c>
      <c r="C3798" s="20" t="str">
        <f t="array" ref="C3798">xlookup($A3798,product!$A:$A,product!C:C)</f>
        <v>Farine, son, fécule</v>
      </c>
      <c r="D3798" s="20" t="str">
        <f t="array" ref="D3798">xlookup($A3798,product!$A:$A,product!D:D)</f>
        <v>Farine de légumineuses</v>
      </c>
      <c r="E3798" s="4" t="str">
        <f t="shared" si="1"/>
        <v>159197-Farine, son, fécule-Farine de légumineuses</v>
      </c>
      <c r="F3798" s="4">
        <v>0.0</v>
      </c>
      <c r="G3798" s="4">
        <v>513.0</v>
      </c>
      <c r="H3798" s="4">
        <v>364.0</v>
      </c>
      <c r="I3798" s="21">
        <f t="array" ref="I3798">XLOOKUP($A3798,product!A:A,product!E:E)</f>
        <v>2.13</v>
      </c>
      <c r="J3798" s="4">
        <f t="shared" si="2"/>
        <v>775.32</v>
      </c>
      <c r="K3798" s="22">
        <f t="shared" si="3"/>
        <v>1</v>
      </c>
      <c r="L3798" s="4">
        <f t="shared" si="4"/>
        <v>1</v>
      </c>
    </row>
    <row r="3799">
      <c r="A3799" s="23">
        <v>88268.0</v>
      </c>
      <c r="B3799" s="24" t="str">
        <f t="array" ref="B3799">xlookup($A3799,product!$A:$A,product!B:B)</f>
        <v>Epicerie salée</v>
      </c>
      <c r="C3799" s="24" t="str">
        <f t="array" ref="C3799">xlookup($A3799,product!$A:$A,product!C:C)</f>
        <v>Farine, son, fécule</v>
      </c>
      <c r="D3799" s="24" t="str">
        <f t="array" ref="D3799">xlookup($A3799,product!$A:$A,product!D:D)</f>
        <v>Farine de légumineuses</v>
      </c>
      <c r="E3799" s="25" t="str">
        <f t="shared" si="1"/>
        <v>88268-Farine, son, fécule-Farine de légumineuses</v>
      </c>
      <c r="F3799" s="25">
        <v>1.0</v>
      </c>
      <c r="G3799" s="25">
        <v>615.0</v>
      </c>
      <c r="H3799" s="25">
        <v>508.0</v>
      </c>
      <c r="I3799" s="26">
        <f t="array" ref="I3799">XLOOKUP($A3799,product!A:A,product!E:E)</f>
        <v>0.8</v>
      </c>
      <c r="J3799" s="25">
        <f t="shared" si="2"/>
        <v>406.4</v>
      </c>
      <c r="K3799" s="27">
        <f t="shared" si="3"/>
        <v>1</v>
      </c>
      <c r="L3799" s="25">
        <f t="shared" si="4"/>
        <v>1</v>
      </c>
    </row>
    <row r="3800">
      <c r="A3800" s="19">
        <v>90913.0</v>
      </c>
      <c r="B3800" s="20" t="str">
        <f t="array" ref="B3800">xlookup($A3800,product!$A:$A,product!B:B)</f>
        <v>Epicerie salée</v>
      </c>
      <c r="C3800" s="20" t="str">
        <f t="array" ref="C3800">xlookup($A3800,product!$A:$A,product!C:C)</f>
        <v>Farine, son, fécule</v>
      </c>
      <c r="D3800" s="20" t="str">
        <f t="array" ref="D3800">xlookup($A3800,product!$A:$A,product!D:D)</f>
        <v>Farine de légumineuses</v>
      </c>
      <c r="E3800" s="4" t="str">
        <f t="shared" si="1"/>
        <v>90913-Farine, son, fécule-Farine de légumineuses</v>
      </c>
      <c r="F3800" s="4">
        <v>0.0</v>
      </c>
      <c r="G3800" s="4">
        <v>276.0</v>
      </c>
      <c r="H3800" s="4">
        <v>221.0</v>
      </c>
      <c r="I3800" s="21">
        <f t="array" ref="I3800">XLOOKUP($A3800,product!A:A,product!E:E)</f>
        <v>2.88</v>
      </c>
      <c r="J3800" s="4">
        <f t="shared" si="2"/>
        <v>636.48</v>
      </c>
      <c r="K3800" s="22">
        <f t="shared" si="3"/>
        <v>1</v>
      </c>
      <c r="L3800" s="4">
        <f t="shared" si="4"/>
        <v>1</v>
      </c>
    </row>
    <row r="3801">
      <c r="A3801" s="23">
        <v>76365.0</v>
      </c>
      <c r="B3801" s="24" t="str">
        <f t="array" ref="B3801">xlookup($A3801,product!$A:$A,product!B:B)</f>
        <v>Epicerie salée</v>
      </c>
      <c r="C3801" s="24" t="str">
        <f t="array" ref="C3801">xlookup($A3801,product!$A:$A,product!C:C)</f>
        <v>Farine, son, fécule</v>
      </c>
      <c r="D3801" s="24" t="str">
        <f t="array" ref="D3801">xlookup($A3801,product!$A:$A,product!D:D)</f>
        <v>Farine de légumineuses</v>
      </c>
      <c r="E3801" s="25" t="str">
        <f t="shared" si="1"/>
        <v>76365-Farine, son, fécule-Farine de légumineuses</v>
      </c>
      <c r="F3801" s="25">
        <v>1.0</v>
      </c>
      <c r="G3801" s="25">
        <v>966.0</v>
      </c>
      <c r="H3801" s="25">
        <v>651.0</v>
      </c>
      <c r="I3801" s="26">
        <f t="array" ref="I3801">XLOOKUP($A3801,product!A:A,product!E:E)</f>
        <v>1.46</v>
      </c>
      <c r="J3801" s="25">
        <f t="shared" si="2"/>
        <v>950.46</v>
      </c>
      <c r="K3801" s="27">
        <f t="shared" si="3"/>
        <v>1</v>
      </c>
      <c r="L3801" s="25">
        <f t="shared" si="4"/>
        <v>1</v>
      </c>
    </row>
    <row r="3802">
      <c r="A3802" s="19">
        <v>9205.0</v>
      </c>
      <c r="B3802" s="20" t="str">
        <f t="array" ref="B3802">xlookup($A3802,product!$A:$A,product!B:B)</f>
        <v>Epicerie salée</v>
      </c>
      <c r="C3802" s="20" t="str">
        <f t="array" ref="C3802">xlookup($A3802,product!$A:$A,product!C:C)</f>
        <v>Farine, son, fécule</v>
      </c>
      <c r="D3802" s="20" t="str">
        <f t="array" ref="D3802">xlookup($A3802,product!$A:$A,product!D:D)</f>
        <v>Farine de légumineuses</v>
      </c>
      <c r="E3802" s="4" t="str">
        <f t="shared" si="1"/>
        <v>9205-Farine, son, fécule-Farine de légumineuses</v>
      </c>
      <c r="F3802" s="4">
        <v>0.0</v>
      </c>
      <c r="G3802" s="4">
        <v>34.0</v>
      </c>
      <c r="H3802" s="4">
        <v>12.0</v>
      </c>
      <c r="I3802" s="21">
        <f t="array" ref="I3802">XLOOKUP($A3802,product!A:A,product!E:E)</f>
        <v>1.45</v>
      </c>
      <c r="J3802" s="4">
        <f t="shared" si="2"/>
        <v>17.4</v>
      </c>
      <c r="K3802" s="22">
        <f t="shared" si="3"/>
        <v>1</v>
      </c>
      <c r="L3802" s="4">
        <f t="shared" si="4"/>
        <v>1</v>
      </c>
    </row>
    <row r="3803">
      <c r="A3803" s="23">
        <v>76363.0</v>
      </c>
      <c r="B3803" s="24" t="str">
        <f t="array" ref="B3803">xlookup($A3803,product!$A:$A,product!B:B)</f>
        <v>Epicerie salée</v>
      </c>
      <c r="C3803" s="24" t="str">
        <f t="array" ref="C3803">xlookup($A3803,product!$A:$A,product!C:C)</f>
        <v>Farine, son, fécule</v>
      </c>
      <c r="D3803" s="24" t="str">
        <f t="array" ref="D3803">xlookup($A3803,product!$A:$A,product!D:D)</f>
        <v>Farine de légumineuses</v>
      </c>
      <c r="E3803" s="25" t="str">
        <f t="shared" si="1"/>
        <v>76363-Farine, son, fécule-Farine de légumineuses</v>
      </c>
      <c r="F3803" s="25">
        <v>0.0</v>
      </c>
      <c r="G3803" s="25">
        <v>543.0</v>
      </c>
      <c r="H3803" s="25">
        <v>119.0</v>
      </c>
      <c r="I3803" s="26">
        <f t="array" ref="I3803">XLOOKUP($A3803,product!A:A,product!E:E)</f>
        <v>1.69</v>
      </c>
      <c r="J3803" s="25">
        <f t="shared" si="2"/>
        <v>201.11</v>
      </c>
      <c r="K3803" s="27">
        <f t="shared" si="3"/>
        <v>1</v>
      </c>
      <c r="L3803" s="25">
        <f t="shared" si="4"/>
        <v>1</v>
      </c>
    </row>
    <row r="3804">
      <c r="A3804" s="19">
        <v>121967.0</v>
      </c>
      <c r="B3804" s="20" t="str">
        <f t="array" ref="B3804">xlookup($A3804,product!$A:$A,product!B:B)</f>
        <v>Epicerie salée</v>
      </c>
      <c r="C3804" s="20" t="str">
        <f t="array" ref="C3804">xlookup($A3804,product!$A:$A,product!C:C)</f>
        <v>Farine, son, fécule</v>
      </c>
      <c r="D3804" s="20" t="str">
        <f t="array" ref="D3804">xlookup($A3804,product!$A:$A,product!D:D)</f>
        <v>Farine de légumineuses</v>
      </c>
      <c r="E3804" s="4" t="str">
        <f t="shared" si="1"/>
        <v>121967-Farine, son, fécule-Farine de légumineuses</v>
      </c>
      <c r="F3804" s="4">
        <v>1.0</v>
      </c>
      <c r="G3804" s="4">
        <v>559.0</v>
      </c>
      <c r="H3804" s="4">
        <v>126.0</v>
      </c>
      <c r="I3804" s="21">
        <f t="array" ref="I3804">XLOOKUP($A3804,product!A:A,product!E:E)</f>
        <v>2.79</v>
      </c>
      <c r="J3804" s="4">
        <f t="shared" si="2"/>
        <v>351.54</v>
      </c>
      <c r="K3804" s="22">
        <f t="shared" si="3"/>
        <v>1</v>
      </c>
      <c r="L3804" s="4">
        <f t="shared" si="4"/>
        <v>1</v>
      </c>
    </row>
    <row r="3805">
      <c r="A3805" s="23">
        <v>90935.0</v>
      </c>
      <c r="B3805" s="24" t="str">
        <f t="array" ref="B3805">xlookup($A3805,product!$A:$A,product!B:B)</f>
        <v>Epicerie salée</v>
      </c>
      <c r="C3805" s="24" t="str">
        <f t="array" ref="C3805">xlookup($A3805,product!$A:$A,product!C:C)</f>
        <v>Farine, son, fécule</v>
      </c>
      <c r="D3805" s="24" t="str">
        <f t="array" ref="D3805">xlookup($A3805,product!$A:$A,product!D:D)</f>
        <v>Farine de légumineuses</v>
      </c>
      <c r="E3805" s="25" t="str">
        <f t="shared" si="1"/>
        <v>90935-Farine, son, fécule-Farine de légumineuses</v>
      </c>
      <c r="F3805" s="25">
        <v>0.0</v>
      </c>
      <c r="G3805" s="25">
        <v>191.0</v>
      </c>
      <c r="H3805" s="25">
        <v>165.0</v>
      </c>
      <c r="I3805" s="26">
        <f t="array" ref="I3805">XLOOKUP($A3805,product!A:A,product!E:E)</f>
        <v>1.65</v>
      </c>
      <c r="J3805" s="25">
        <f t="shared" si="2"/>
        <v>272.25</v>
      </c>
      <c r="K3805" s="27">
        <f t="shared" si="3"/>
        <v>1</v>
      </c>
      <c r="L3805" s="25">
        <f t="shared" si="4"/>
        <v>1</v>
      </c>
    </row>
    <row r="3806">
      <c r="A3806" s="19">
        <v>87126.0</v>
      </c>
      <c r="B3806" s="20" t="str">
        <f t="array" ref="B3806">xlookup($A3806,product!$A:$A,product!B:B)</f>
        <v>Epicerie salée</v>
      </c>
      <c r="C3806" s="20" t="str">
        <f t="array" ref="C3806">xlookup($A3806,product!$A:$A,product!C:C)</f>
        <v>Farine, son, fécule</v>
      </c>
      <c r="D3806" s="20" t="str">
        <f t="array" ref="D3806">xlookup($A3806,product!$A:$A,product!D:D)</f>
        <v>Farine de légumineuses</v>
      </c>
      <c r="E3806" s="4" t="str">
        <f t="shared" si="1"/>
        <v>87126-Farine, son, fécule-Farine de légumineuses</v>
      </c>
      <c r="F3806" s="4">
        <v>0.0</v>
      </c>
      <c r="G3806" s="4">
        <v>70.0</v>
      </c>
      <c r="H3806" s="4">
        <v>49.0</v>
      </c>
      <c r="I3806" s="21">
        <f t="array" ref="I3806">XLOOKUP($A3806,product!A:A,product!E:E)</f>
        <v>1.38</v>
      </c>
      <c r="J3806" s="4">
        <f t="shared" si="2"/>
        <v>67.62</v>
      </c>
      <c r="K3806" s="22">
        <f t="shared" si="3"/>
        <v>1</v>
      </c>
      <c r="L3806" s="4">
        <f t="shared" si="4"/>
        <v>1</v>
      </c>
    </row>
    <row r="3807">
      <c r="A3807" s="23">
        <v>90928.0</v>
      </c>
      <c r="B3807" s="24" t="str">
        <f t="array" ref="B3807">xlookup($A3807,product!$A:$A,product!B:B)</f>
        <v>Epicerie salée</v>
      </c>
      <c r="C3807" s="24" t="str">
        <f t="array" ref="C3807">xlookup($A3807,product!$A:$A,product!C:C)</f>
        <v>Farine, son, fécule</v>
      </c>
      <c r="D3807" s="24" t="str">
        <f t="array" ref="D3807">xlookup($A3807,product!$A:$A,product!D:D)</f>
        <v>Farine de légumineuses</v>
      </c>
      <c r="E3807" s="25" t="str">
        <f t="shared" si="1"/>
        <v>90928-Farine, son, fécule-Farine de légumineuses</v>
      </c>
      <c r="F3807" s="25">
        <v>0.0</v>
      </c>
      <c r="G3807" s="25">
        <v>575.0</v>
      </c>
      <c r="H3807" s="25">
        <v>499.0</v>
      </c>
      <c r="I3807" s="26">
        <f t="array" ref="I3807">XLOOKUP($A3807,product!A:A,product!E:E)</f>
        <v>9.26</v>
      </c>
      <c r="J3807" s="25">
        <f t="shared" si="2"/>
        <v>4620.74</v>
      </c>
      <c r="K3807" s="27">
        <f t="shared" si="3"/>
        <v>1</v>
      </c>
      <c r="L3807" s="25">
        <f t="shared" si="4"/>
        <v>1</v>
      </c>
    </row>
    <row r="3808">
      <c r="A3808" s="19">
        <v>90912.0</v>
      </c>
      <c r="B3808" s="20" t="str">
        <f t="array" ref="B3808">xlookup($A3808,product!$A:$A,product!B:B)</f>
        <v>Epicerie salée</v>
      </c>
      <c r="C3808" s="20" t="str">
        <f t="array" ref="C3808">xlookup($A3808,product!$A:$A,product!C:C)</f>
        <v>Farine, son, fécule</v>
      </c>
      <c r="D3808" s="20" t="str">
        <f t="array" ref="D3808">xlookup($A3808,product!$A:$A,product!D:D)</f>
        <v>Farine de légumineuses</v>
      </c>
      <c r="E3808" s="4" t="str">
        <f t="shared" si="1"/>
        <v>90912-Farine, son, fécule-Farine de légumineuses</v>
      </c>
      <c r="F3808" s="4">
        <v>1.0</v>
      </c>
      <c r="G3808" s="4">
        <v>841.0</v>
      </c>
      <c r="H3808" s="4">
        <v>618.0</v>
      </c>
      <c r="I3808" s="21">
        <f t="array" ref="I3808">XLOOKUP($A3808,product!A:A,product!E:E)</f>
        <v>2.34</v>
      </c>
      <c r="J3808" s="4">
        <f t="shared" si="2"/>
        <v>1446.12</v>
      </c>
      <c r="K3808" s="22">
        <f t="shared" si="3"/>
        <v>1</v>
      </c>
      <c r="L3808" s="4">
        <f t="shared" si="4"/>
        <v>1</v>
      </c>
    </row>
    <row r="3809">
      <c r="A3809" s="23">
        <v>48508.0</v>
      </c>
      <c r="B3809" s="24" t="str">
        <f t="array" ref="B3809">xlookup($A3809,product!$A:$A,product!B:B)</f>
        <v>Epicerie salée</v>
      </c>
      <c r="C3809" s="24" t="str">
        <f t="array" ref="C3809">xlookup($A3809,product!$A:$A,product!C:C)</f>
        <v>Farine, son, fécule</v>
      </c>
      <c r="D3809" s="24" t="str">
        <f t="array" ref="D3809">xlookup($A3809,product!$A:$A,product!D:D)</f>
        <v>Farine de légumineuses</v>
      </c>
      <c r="E3809" s="25" t="str">
        <f t="shared" si="1"/>
        <v>48508-Farine, son, fécule-Farine de légumineuses</v>
      </c>
      <c r="F3809" s="25">
        <v>1.0</v>
      </c>
      <c r="G3809" s="25">
        <v>97.0</v>
      </c>
      <c r="H3809" s="25">
        <v>12.0</v>
      </c>
      <c r="I3809" s="26">
        <f t="array" ref="I3809">XLOOKUP($A3809,product!A:A,product!E:E)</f>
        <v>2.82</v>
      </c>
      <c r="J3809" s="25">
        <f t="shared" si="2"/>
        <v>33.84</v>
      </c>
      <c r="K3809" s="27">
        <f t="shared" si="3"/>
        <v>1</v>
      </c>
      <c r="L3809" s="25">
        <f t="shared" si="4"/>
        <v>1</v>
      </c>
    </row>
    <row r="3810">
      <c r="A3810" s="19">
        <v>90853.0</v>
      </c>
      <c r="B3810" s="20" t="str">
        <f t="array" ref="B3810">xlookup($A3810,product!$A:$A,product!B:B)</f>
        <v>Epicerie salée</v>
      </c>
      <c r="C3810" s="20" t="str">
        <f t="array" ref="C3810">xlookup($A3810,product!$A:$A,product!C:C)</f>
        <v>Farine, son, fécule</v>
      </c>
      <c r="D3810" s="20" t="str">
        <f t="array" ref="D3810">xlookup($A3810,product!$A:$A,product!D:D)</f>
        <v>Farine de légumineuses</v>
      </c>
      <c r="E3810" s="4" t="str">
        <f t="shared" si="1"/>
        <v>90853-Farine, son, fécule-Farine de légumineuses</v>
      </c>
      <c r="F3810" s="4">
        <v>0.0</v>
      </c>
      <c r="G3810" s="4">
        <v>264.0</v>
      </c>
      <c r="H3810" s="4">
        <v>16.0</v>
      </c>
      <c r="I3810" s="21">
        <f t="array" ref="I3810">XLOOKUP($A3810,product!A:A,product!E:E)</f>
        <v>3.28</v>
      </c>
      <c r="J3810" s="4">
        <f t="shared" si="2"/>
        <v>52.48</v>
      </c>
      <c r="K3810" s="22">
        <f t="shared" si="3"/>
        <v>1</v>
      </c>
      <c r="L3810" s="4">
        <f t="shared" si="4"/>
        <v>1</v>
      </c>
    </row>
    <row r="3811">
      <c r="A3811" s="23">
        <v>117628.0</v>
      </c>
      <c r="B3811" s="24" t="str">
        <f t="array" ref="B3811">xlookup($A3811,product!$A:$A,product!B:B)</f>
        <v>Epicerie salée</v>
      </c>
      <c r="C3811" s="24" t="str">
        <f t="array" ref="C3811">xlookup($A3811,product!$A:$A,product!C:C)</f>
        <v>Farine, son, fécule</v>
      </c>
      <c r="D3811" s="24" t="str">
        <f t="array" ref="D3811">xlookup($A3811,product!$A:$A,product!D:D)</f>
        <v>Préparations pour pain, brioche</v>
      </c>
      <c r="E3811" s="25" t="str">
        <f t="shared" si="1"/>
        <v>117628-Farine, son, fécule-Préparations pour pain, brioche</v>
      </c>
      <c r="F3811" s="25">
        <v>0.0</v>
      </c>
      <c r="G3811" s="25">
        <v>296.0</v>
      </c>
      <c r="H3811" s="25">
        <v>85.0</v>
      </c>
      <c r="I3811" s="26">
        <f t="array" ref="I3811">XLOOKUP($A3811,product!A:A,product!E:E)</f>
        <v>1.76</v>
      </c>
      <c r="J3811" s="25">
        <f t="shared" si="2"/>
        <v>149.6</v>
      </c>
      <c r="K3811" s="27">
        <f t="shared" si="3"/>
        <v>1</v>
      </c>
      <c r="L3811" s="25">
        <f t="shared" si="4"/>
        <v>1</v>
      </c>
    </row>
    <row r="3812">
      <c r="A3812" s="19">
        <v>5699.0</v>
      </c>
      <c r="B3812" s="20" t="str">
        <f t="array" ref="B3812">xlookup($A3812,product!$A:$A,product!B:B)</f>
        <v>Epicerie salée</v>
      </c>
      <c r="C3812" s="20" t="str">
        <f t="array" ref="C3812">xlookup($A3812,product!$A:$A,product!C:C)</f>
        <v>Farine, son, fécule</v>
      </c>
      <c r="D3812" s="20" t="str">
        <f t="array" ref="D3812">xlookup($A3812,product!$A:$A,product!D:D)</f>
        <v>Préparations pour pain, brioche</v>
      </c>
      <c r="E3812" s="4" t="str">
        <f t="shared" si="1"/>
        <v>5699-Farine, son, fécule-Préparations pour pain, brioche</v>
      </c>
      <c r="F3812" s="4">
        <v>0.0</v>
      </c>
      <c r="G3812" s="4">
        <v>124.0</v>
      </c>
      <c r="H3812" s="4">
        <v>4.0</v>
      </c>
      <c r="I3812" s="21">
        <f t="array" ref="I3812">XLOOKUP($A3812,product!A:A,product!E:E)</f>
        <v>3.27</v>
      </c>
      <c r="J3812" s="4">
        <f t="shared" si="2"/>
        <v>13.08</v>
      </c>
      <c r="K3812" s="22">
        <f t="shared" si="3"/>
        <v>1</v>
      </c>
      <c r="L3812" s="4">
        <f t="shared" si="4"/>
        <v>1</v>
      </c>
    </row>
    <row r="3813">
      <c r="A3813" s="23">
        <v>5735.0</v>
      </c>
      <c r="B3813" s="24" t="str">
        <f t="array" ref="B3813">xlookup($A3813,product!$A:$A,product!B:B)</f>
        <v>Epicerie salée</v>
      </c>
      <c r="C3813" s="24" t="str">
        <f t="array" ref="C3813">xlookup($A3813,product!$A:$A,product!C:C)</f>
        <v>Farine, son, fécule</v>
      </c>
      <c r="D3813" s="24" t="str">
        <f t="array" ref="D3813">xlookup($A3813,product!$A:$A,product!D:D)</f>
        <v>Préparations pour pain, brioche</v>
      </c>
      <c r="E3813" s="25" t="str">
        <f t="shared" si="1"/>
        <v>5735-Farine, son, fécule-Préparations pour pain, brioche</v>
      </c>
      <c r="F3813" s="25">
        <v>0.0</v>
      </c>
      <c r="G3813" s="25">
        <v>405.0</v>
      </c>
      <c r="H3813" s="25">
        <v>193.0</v>
      </c>
      <c r="I3813" s="26">
        <f t="array" ref="I3813">XLOOKUP($A3813,product!A:A,product!E:E)</f>
        <v>4.35</v>
      </c>
      <c r="J3813" s="25">
        <f t="shared" si="2"/>
        <v>839.55</v>
      </c>
      <c r="K3813" s="27">
        <f t="shared" si="3"/>
        <v>1</v>
      </c>
      <c r="L3813" s="25">
        <f t="shared" si="4"/>
        <v>1</v>
      </c>
    </row>
    <row r="3814">
      <c r="A3814" s="19">
        <v>109832.0</v>
      </c>
      <c r="B3814" s="20" t="str">
        <f t="array" ref="B3814">xlookup($A3814,product!$A:$A,product!B:B)</f>
        <v>Epicerie salée</v>
      </c>
      <c r="C3814" s="20" t="str">
        <f t="array" ref="C3814">xlookup($A3814,product!$A:$A,product!C:C)</f>
        <v>Farine, son, fécule</v>
      </c>
      <c r="D3814" s="20" t="str">
        <f t="array" ref="D3814">xlookup($A3814,product!$A:$A,product!D:D)</f>
        <v>Préparations pour pain, brioche</v>
      </c>
      <c r="E3814" s="4" t="str">
        <f t="shared" si="1"/>
        <v>109832-Farine, son, fécule-Préparations pour pain, brioche</v>
      </c>
      <c r="F3814" s="4">
        <v>1.0</v>
      </c>
      <c r="G3814" s="4">
        <v>188.0</v>
      </c>
      <c r="H3814" s="4">
        <v>133.0</v>
      </c>
      <c r="I3814" s="21">
        <f t="array" ref="I3814">XLOOKUP($A3814,product!A:A,product!E:E)</f>
        <v>3.21</v>
      </c>
      <c r="J3814" s="4">
        <f t="shared" si="2"/>
        <v>426.93</v>
      </c>
      <c r="K3814" s="22">
        <f t="shared" si="3"/>
        <v>1</v>
      </c>
      <c r="L3814" s="4">
        <f t="shared" si="4"/>
        <v>1</v>
      </c>
    </row>
    <row r="3815">
      <c r="A3815" s="23">
        <v>122675.0</v>
      </c>
      <c r="B3815" s="24" t="str">
        <f t="array" ref="B3815">xlookup($A3815,product!$A:$A,product!B:B)</f>
        <v>Epicerie salée</v>
      </c>
      <c r="C3815" s="24" t="str">
        <f t="array" ref="C3815">xlookup($A3815,product!$A:$A,product!C:C)</f>
        <v>Farine, son, fécule</v>
      </c>
      <c r="D3815" s="24" t="str">
        <f t="array" ref="D3815">xlookup($A3815,product!$A:$A,product!D:D)</f>
        <v>Préparations pour pain, brioche</v>
      </c>
      <c r="E3815" s="25" t="str">
        <f t="shared" si="1"/>
        <v>122675-Farine, son, fécule-Préparations pour pain, brioche</v>
      </c>
      <c r="F3815" s="25">
        <v>0.0</v>
      </c>
      <c r="G3815" s="25">
        <v>24.0</v>
      </c>
      <c r="H3815" s="25">
        <v>7.0</v>
      </c>
      <c r="I3815" s="26">
        <f t="array" ref="I3815">XLOOKUP($A3815,product!A:A,product!E:E)</f>
        <v>2.7</v>
      </c>
      <c r="J3815" s="25">
        <f t="shared" si="2"/>
        <v>18.9</v>
      </c>
      <c r="K3815" s="27">
        <f t="shared" si="3"/>
        <v>1</v>
      </c>
      <c r="L3815" s="25">
        <f t="shared" si="4"/>
        <v>1</v>
      </c>
    </row>
    <row r="3816">
      <c r="A3816" s="19">
        <v>87225.0</v>
      </c>
      <c r="B3816" s="20" t="str">
        <f t="array" ref="B3816">xlookup($A3816,product!$A:$A,product!B:B)</f>
        <v>Epicerie salée</v>
      </c>
      <c r="C3816" s="20" t="str">
        <f t="array" ref="C3816">xlookup($A3816,product!$A:$A,product!C:C)</f>
        <v>Farine, son, fécule</v>
      </c>
      <c r="D3816" s="20" t="str">
        <f t="array" ref="D3816">xlookup($A3816,product!$A:$A,product!D:D)</f>
        <v>Préparations pour pain, brioche</v>
      </c>
      <c r="E3816" s="4" t="str">
        <f t="shared" si="1"/>
        <v>87225-Farine, son, fécule-Préparations pour pain, brioche</v>
      </c>
      <c r="F3816" s="4">
        <v>0.0</v>
      </c>
      <c r="G3816" s="4">
        <v>509.0</v>
      </c>
      <c r="H3816" s="4">
        <v>432.0</v>
      </c>
      <c r="I3816" s="21">
        <f t="array" ref="I3816">XLOOKUP($A3816,product!A:A,product!E:E)</f>
        <v>2.04</v>
      </c>
      <c r="J3816" s="4">
        <f t="shared" si="2"/>
        <v>881.28</v>
      </c>
      <c r="K3816" s="22">
        <f t="shared" si="3"/>
        <v>1</v>
      </c>
      <c r="L3816" s="4">
        <f t="shared" si="4"/>
        <v>1</v>
      </c>
    </row>
    <row r="3817">
      <c r="A3817" s="23">
        <v>82373.0</v>
      </c>
      <c r="B3817" s="24" t="str">
        <f t="array" ref="B3817">xlookup($A3817,product!$A:$A,product!B:B)</f>
        <v>Epicerie salée</v>
      </c>
      <c r="C3817" s="24" t="str">
        <f t="array" ref="C3817">xlookup($A3817,product!$A:$A,product!C:C)</f>
        <v>Farine, son, fécule</v>
      </c>
      <c r="D3817" s="24" t="str">
        <f t="array" ref="D3817">xlookup($A3817,product!$A:$A,product!D:D)</f>
        <v>Préparations pour pain, brioche</v>
      </c>
      <c r="E3817" s="25" t="str">
        <f t="shared" si="1"/>
        <v>82373-Farine, son, fécule-Préparations pour pain, brioche</v>
      </c>
      <c r="F3817" s="25">
        <v>1.0</v>
      </c>
      <c r="G3817" s="25">
        <v>199.0</v>
      </c>
      <c r="H3817" s="25">
        <v>85.0</v>
      </c>
      <c r="I3817" s="26">
        <f t="array" ref="I3817">XLOOKUP($A3817,product!A:A,product!E:E)</f>
        <v>2.27</v>
      </c>
      <c r="J3817" s="25">
        <f t="shared" si="2"/>
        <v>192.95</v>
      </c>
      <c r="K3817" s="27">
        <f t="shared" si="3"/>
        <v>1</v>
      </c>
      <c r="L3817" s="25">
        <f t="shared" si="4"/>
        <v>1</v>
      </c>
    </row>
    <row r="3818">
      <c r="A3818" s="19">
        <v>77254.0</v>
      </c>
      <c r="B3818" s="20" t="str">
        <f t="array" ref="B3818">xlookup($A3818,product!$A:$A,product!B:B)</f>
        <v>Epicerie salée</v>
      </c>
      <c r="C3818" s="20" t="str">
        <f t="array" ref="C3818">xlookup($A3818,product!$A:$A,product!C:C)</f>
        <v>Farine, son, fécule</v>
      </c>
      <c r="D3818" s="20" t="str">
        <f t="array" ref="D3818">xlookup($A3818,product!$A:$A,product!D:D)</f>
        <v>Préparations pour pain, brioche</v>
      </c>
      <c r="E3818" s="4" t="str">
        <f t="shared" si="1"/>
        <v>77254-Farine, son, fécule-Préparations pour pain, brioche</v>
      </c>
      <c r="F3818" s="4">
        <v>1.0</v>
      </c>
      <c r="G3818" s="4">
        <v>581.0</v>
      </c>
      <c r="H3818" s="4">
        <v>500.0</v>
      </c>
      <c r="I3818" s="21">
        <f t="array" ref="I3818">XLOOKUP($A3818,product!A:A,product!E:E)</f>
        <v>2.02</v>
      </c>
      <c r="J3818" s="4">
        <f t="shared" si="2"/>
        <v>1010</v>
      </c>
      <c r="K3818" s="22">
        <f t="shared" si="3"/>
        <v>1</v>
      </c>
      <c r="L3818" s="4">
        <f t="shared" si="4"/>
        <v>1</v>
      </c>
    </row>
    <row r="3819">
      <c r="A3819" s="23">
        <v>5742.0</v>
      </c>
      <c r="B3819" s="24" t="str">
        <f t="array" ref="B3819">xlookup($A3819,product!$A:$A,product!B:B)</f>
        <v>Epicerie salée</v>
      </c>
      <c r="C3819" s="24" t="str">
        <f t="array" ref="C3819">xlookup($A3819,product!$A:$A,product!C:C)</f>
        <v>Farine, son, fécule</v>
      </c>
      <c r="D3819" s="24" t="str">
        <f t="array" ref="D3819">xlookup($A3819,product!$A:$A,product!D:D)</f>
        <v>Préparations pour pain, brioche</v>
      </c>
      <c r="E3819" s="25" t="str">
        <f t="shared" si="1"/>
        <v>5742-Farine, son, fécule-Préparations pour pain, brioche</v>
      </c>
      <c r="F3819" s="25">
        <v>1.0</v>
      </c>
      <c r="G3819" s="25">
        <v>978.0</v>
      </c>
      <c r="H3819" s="25">
        <v>183.0</v>
      </c>
      <c r="I3819" s="26">
        <f t="array" ref="I3819">XLOOKUP($A3819,product!A:A,product!E:E)</f>
        <v>2.29</v>
      </c>
      <c r="J3819" s="25">
        <f t="shared" si="2"/>
        <v>419.07</v>
      </c>
      <c r="K3819" s="27">
        <f t="shared" si="3"/>
        <v>1</v>
      </c>
      <c r="L3819" s="25">
        <f t="shared" si="4"/>
        <v>1</v>
      </c>
    </row>
    <row r="3820">
      <c r="A3820" s="19">
        <v>117622.0</v>
      </c>
      <c r="B3820" s="20" t="str">
        <f t="array" ref="B3820">xlookup($A3820,product!$A:$A,product!B:B)</f>
        <v>Epicerie salée</v>
      </c>
      <c r="C3820" s="20" t="str">
        <f t="array" ref="C3820">xlookup($A3820,product!$A:$A,product!C:C)</f>
        <v>Farine, son, fécule</v>
      </c>
      <c r="D3820" s="20" t="str">
        <f t="array" ref="D3820">xlookup($A3820,product!$A:$A,product!D:D)</f>
        <v>Préparations pour pain, brioche</v>
      </c>
      <c r="E3820" s="4" t="str">
        <f t="shared" si="1"/>
        <v>117622-Farine, son, fécule-Préparations pour pain, brioche</v>
      </c>
      <c r="F3820" s="4">
        <v>1.0</v>
      </c>
      <c r="G3820" s="4">
        <v>517.0</v>
      </c>
      <c r="H3820" s="4">
        <v>348.0</v>
      </c>
      <c r="I3820" s="21">
        <f t="array" ref="I3820">XLOOKUP($A3820,product!A:A,product!E:E)</f>
        <v>3.46</v>
      </c>
      <c r="J3820" s="4">
        <f t="shared" si="2"/>
        <v>1204.08</v>
      </c>
      <c r="K3820" s="22">
        <f t="shared" si="3"/>
        <v>1</v>
      </c>
      <c r="L3820" s="4">
        <f t="shared" si="4"/>
        <v>1</v>
      </c>
    </row>
    <row r="3821">
      <c r="A3821" s="23">
        <v>77255.0</v>
      </c>
      <c r="B3821" s="24" t="str">
        <f t="array" ref="B3821">xlookup($A3821,product!$A:$A,product!B:B)</f>
        <v>Epicerie salée</v>
      </c>
      <c r="C3821" s="24" t="str">
        <f t="array" ref="C3821">xlookup($A3821,product!$A:$A,product!C:C)</f>
        <v>Farine, son, fécule</v>
      </c>
      <c r="D3821" s="24" t="str">
        <f t="array" ref="D3821">xlookup($A3821,product!$A:$A,product!D:D)</f>
        <v>Préparations pour pain, brioche</v>
      </c>
      <c r="E3821" s="25" t="str">
        <f t="shared" si="1"/>
        <v>77255-Farine, son, fécule-Préparations pour pain, brioche</v>
      </c>
      <c r="F3821" s="25">
        <v>1.0</v>
      </c>
      <c r="G3821" s="25">
        <v>605.0</v>
      </c>
      <c r="H3821" s="25">
        <v>183.0</v>
      </c>
      <c r="I3821" s="26">
        <f t="array" ref="I3821">XLOOKUP($A3821,product!A:A,product!E:E)</f>
        <v>2.11</v>
      </c>
      <c r="J3821" s="25">
        <f t="shared" si="2"/>
        <v>386.13</v>
      </c>
      <c r="K3821" s="27">
        <f t="shared" si="3"/>
        <v>1</v>
      </c>
      <c r="L3821" s="25">
        <f t="shared" si="4"/>
        <v>1</v>
      </c>
    </row>
    <row r="3822">
      <c r="A3822" s="19">
        <v>101964.0</v>
      </c>
      <c r="B3822" s="20" t="str">
        <f t="array" ref="B3822">xlookup($A3822,product!$A:$A,product!B:B)</f>
        <v>Epicerie salée</v>
      </c>
      <c r="C3822" s="20" t="str">
        <f t="array" ref="C3822">xlookup($A3822,product!$A:$A,product!C:C)</f>
        <v>Farine, son, fécule</v>
      </c>
      <c r="D3822" s="20" t="str">
        <f t="array" ref="D3822">xlookup($A3822,product!$A:$A,product!D:D)</f>
        <v>Préparations pour pain, brioche</v>
      </c>
      <c r="E3822" s="4" t="str">
        <f t="shared" si="1"/>
        <v>101964-Farine, son, fécule-Préparations pour pain, brioche</v>
      </c>
      <c r="F3822" s="4">
        <v>1.0</v>
      </c>
      <c r="G3822" s="4">
        <v>139.0</v>
      </c>
      <c r="H3822" s="4">
        <v>62.0</v>
      </c>
      <c r="I3822" s="21">
        <f t="array" ref="I3822">XLOOKUP($A3822,product!A:A,product!E:E)</f>
        <v>2.39</v>
      </c>
      <c r="J3822" s="4">
        <f t="shared" si="2"/>
        <v>148.18</v>
      </c>
      <c r="K3822" s="22">
        <f t="shared" si="3"/>
        <v>1</v>
      </c>
      <c r="L3822" s="4">
        <f t="shared" si="4"/>
        <v>1</v>
      </c>
    </row>
    <row r="3823">
      <c r="A3823" s="23">
        <v>48491.0</v>
      </c>
      <c r="B3823" s="24" t="str">
        <f t="array" ref="B3823">xlookup($A3823,product!$A:$A,product!B:B)</f>
        <v>Epicerie salée</v>
      </c>
      <c r="C3823" s="24" t="str">
        <f t="array" ref="C3823">xlookup($A3823,product!$A:$A,product!C:C)</f>
        <v>Farine, son, fécule</v>
      </c>
      <c r="D3823" s="24" t="str">
        <f t="array" ref="D3823">xlookup($A3823,product!$A:$A,product!D:D)</f>
        <v>Préparations pour pain, brioche</v>
      </c>
      <c r="E3823" s="25" t="str">
        <f t="shared" si="1"/>
        <v>48491-Farine, son, fécule-Préparations pour pain, brioche</v>
      </c>
      <c r="F3823" s="25">
        <v>1.0</v>
      </c>
      <c r="G3823" s="25">
        <v>266.0</v>
      </c>
      <c r="H3823" s="25">
        <v>108.0</v>
      </c>
      <c r="I3823" s="26">
        <f t="array" ref="I3823">XLOOKUP($A3823,product!A:A,product!E:E)</f>
        <v>4.19</v>
      </c>
      <c r="J3823" s="25">
        <f t="shared" si="2"/>
        <v>452.52</v>
      </c>
      <c r="K3823" s="27">
        <f t="shared" si="3"/>
        <v>1</v>
      </c>
      <c r="L3823" s="25">
        <f t="shared" si="4"/>
        <v>1</v>
      </c>
    </row>
    <row r="3824">
      <c r="A3824" s="19">
        <v>82368.0</v>
      </c>
      <c r="B3824" s="20" t="str">
        <f t="array" ref="B3824">xlookup($A3824,product!$A:$A,product!B:B)</f>
        <v>Epicerie salée</v>
      </c>
      <c r="C3824" s="20" t="str">
        <f t="array" ref="C3824">xlookup($A3824,product!$A:$A,product!C:C)</f>
        <v>Farine, son, fécule</v>
      </c>
      <c r="D3824" s="20" t="str">
        <f t="array" ref="D3824">xlookup($A3824,product!$A:$A,product!D:D)</f>
        <v>Préparations pour pain, brioche</v>
      </c>
      <c r="E3824" s="4" t="str">
        <f t="shared" si="1"/>
        <v>82368-Farine, son, fécule-Préparations pour pain, brioche</v>
      </c>
      <c r="F3824" s="4">
        <v>0.0</v>
      </c>
      <c r="G3824" s="4">
        <v>367.0</v>
      </c>
      <c r="H3824" s="4">
        <v>335.0</v>
      </c>
      <c r="I3824" s="21">
        <f t="array" ref="I3824">XLOOKUP($A3824,product!A:A,product!E:E)</f>
        <v>1.58</v>
      </c>
      <c r="J3824" s="4">
        <f t="shared" si="2"/>
        <v>529.3</v>
      </c>
      <c r="K3824" s="22">
        <f t="shared" si="3"/>
        <v>1</v>
      </c>
      <c r="L3824" s="4">
        <f t="shared" si="4"/>
        <v>1</v>
      </c>
    </row>
    <row r="3825">
      <c r="A3825" s="23">
        <v>82367.0</v>
      </c>
      <c r="B3825" s="24" t="str">
        <f t="array" ref="B3825">xlookup($A3825,product!$A:$A,product!B:B)</f>
        <v>Epicerie salée</v>
      </c>
      <c r="C3825" s="24" t="str">
        <f t="array" ref="C3825">xlookup($A3825,product!$A:$A,product!C:C)</f>
        <v>Farine, son, fécule</v>
      </c>
      <c r="D3825" s="24" t="str">
        <f t="array" ref="D3825">xlookup($A3825,product!$A:$A,product!D:D)</f>
        <v>Préparations pour pain, brioche</v>
      </c>
      <c r="E3825" s="25" t="str">
        <f t="shared" si="1"/>
        <v>82367-Farine, son, fécule-Préparations pour pain, brioche</v>
      </c>
      <c r="F3825" s="25">
        <v>1.0</v>
      </c>
      <c r="G3825" s="25">
        <v>414.0</v>
      </c>
      <c r="H3825" s="25">
        <v>66.0</v>
      </c>
      <c r="I3825" s="26">
        <f t="array" ref="I3825">XLOOKUP($A3825,product!A:A,product!E:E)</f>
        <v>1.58</v>
      </c>
      <c r="J3825" s="25">
        <f t="shared" si="2"/>
        <v>104.28</v>
      </c>
      <c r="K3825" s="27">
        <f t="shared" si="3"/>
        <v>1</v>
      </c>
      <c r="L3825" s="25">
        <f t="shared" si="4"/>
        <v>1</v>
      </c>
    </row>
    <row r="3826">
      <c r="A3826" s="19">
        <v>118426.0</v>
      </c>
      <c r="B3826" s="20" t="str">
        <f t="array" ref="B3826">xlookup($A3826,product!$A:$A,product!B:B)</f>
        <v>Epicerie salée</v>
      </c>
      <c r="C3826" s="20" t="str">
        <f t="array" ref="C3826">xlookup($A3826,product!$A:$A,product!C:C)</f>
        <v>Farine, son, fécule</v>
      </c>
      <c r="D3826" s="20" t="str">
        <f t="array" ref="D3826">xlookup($A3826,product!$A:$A,product!D:D)</f>
        <v>Préparations pour pain, brioche</v>
      </c>
      <c r="E3826" s="4" t="str">
        <f t="shared" si="1"/>
        <v>118426-Farine, son, fécule-Préparations pour pain, brioche</v>
      </c>
      <c r="F3826" s="4">
        <v>1.0</v>
      </c>
      <c r="G3826" s="4">
        <v>730.0</v>
      </c>
      <c r="H3826" s="4">
        <v>54.0</v>
      </c>
      <c r="I3826" s="21">
        <f t="array" ref="I3826">XLOOKUP($A3826,product!A:A,product!E:E)</f>
        <v>3.3</v>
      </c>
      <c r="J3826" s="4">
        <f t="shared" si="2"/>
        <v>178.2</v>
      </c>
      <c r="K3826" s="22">
        <f t="shared" si="3"/>
        <v>1</v>
      </c>
      <c r="L3826" s="4">
        <f t="shared" si="4"/>
        <v>1</v>
      </c>
    </row>
    <row r="3827">
      <c r="A3827" s="23">
        <v>5068.0</v>
      </c>
      <c r="B3827" s="24" t="str">
        <f t="array" ref="B3827">xlookup($A3827,product!$A:$A,product!B:B)</f>
        <v>Extérieur</v>
      </c>
      <c r="C3827" s="24" t="str">
        <f t="array" ref="C3827">xlookup($A3827,product!$A:$A,product!C:C)</f>
        <v>Graines à semer Bio</v>
      </c>
      <c r="D3827" s="24" t="str">
        <f t="array" ref="D3827">xlookup($A3827,product!$A:$A,product!D:D)</f>
        <v>Fleurs Bio</v>
      </c>
      <c r="E3827" s="25" t="str">
        <f t="shared" si="1"/>
        <v>5068-Graines à semer Bio-Fleurs Bio</v>
      </c>
      <c r="F3827" s="25">
        <v>0.0</v>
      </c>
      <c r="G3827" s="25">
        <v>221.0</v>
      </c>
      <c r="H3827" s="25">
        <v>121.0</v>
      </c>
      <c r="I3827" s="26">
        <f t="array" ref="I3827">XLOOKUP($A3827,product!A:A,product!E:E)</f>
        <v>1.45</v>
      </c>
      <c r="J3827" s="25">
        <f t="shared" si="2"/>
        <v>175.45</v>
      </c>
      <c r="K3827" s="27">
        <f t="shared" si="3"/>
        <v>1</v>
      </c>
      <c r="L3827" s="25">
        <f t="shared" si="4"/>
        <v>1</v>
      </c>
    </row>
    <row r="3828">
      <c r="A3828" s="19">
        <v>84660.0</v>
      </c>
      <c r="B3828" s="20" t="str">
        <f t="array" ref="B3828">xlookup($A3828,product!$A:$A,product!B:B)</f>
        <v>Extérieur</v>
      </c>
      <c r="C3828" s="20" t="str">
        <f t="array" ref="C3828">xlookup($A3828,product!$A:$A,product!C:C)</f>
        <v>Graines à semer Bio</v>
      </c>
      <c r="D3828" s="20" t="str">
        <f t="array" ref="D3828">xlookup($A3828,product!$A:$A,product!D:D)</f>
        <v>Fleurs Bio</v>
      </c>
      <c r="E3828" s="4" t="str">
        <f t="shared" si="1"/>
        <v>84660-Graines à semer Bio-Fleurs Bio</v>
      </c>
      <c r="F3828" s="4">
        <v>1.0</v>
      </c>
      <c r="G3828" s="4">
        <v>504.0</v>
      </c>
      <c r="H3828" s="4">
        <v>265.0</v>
      </c>
      <c r="I3828" s="21">
        <f t="array" ref="I3828">XLOOKUP($A3828,product!A:A,product!E:E)</f>
        <v>1.45</v>
      </c>
      <c r="J3828" s="4">
        <f t="shared" si="2"/>
        <v>384.25</v>
      </c>
      <c r="K3828" s="22">
        <f t="shared" si="3"/>
        <v>1</v>
      </c>
      <c r="L3828" s="4">
        <f t="shared" si="4"/>
        <v>1</v>
      </c>
    </row>
    <row r="3829">
      <c r="A3829" s="23">
        <v>5070.0</v>
      </c>
      <c r="B3829" s="24" t="str">
        <f t="array" ref="B3829">xlookup($A3829,product!$A:$A,product!B:B)</f>
        <v>Extérieur</v>
      </c>
      <c r="C3829" s="24" t="str">
        <f t="array" ref="C3829">xlookup($A3829,product!$A:$A,product!C:C)</f>
        <v>Graines à semer Bio</v>
      </c>
      <c r="D3829" s="24" t="str">
        <f t="array" ref="D3829">xlookup($A3829,product!$A:$A,product!D:D)</f>
        <v>Fleurs Bio</v>
      </c>
      <c r="E3829" s="25" t="str">
        <f t="shared" si="1"/>
        <v>5070-Graines à semer Bio-Fleurs Bio</v>
      </c>
      <c r="F3829" s="25">
        <v>0.0</v>
      </c>
      <c r="G3829" s="25">
        <v>5.0</v>
      </c>
      <c r="H3829" s="25">
        <v>4.0</v>
      </c>
      <c r="I3829" s="26">
        <f t="array" ref="I3829">XLOOKUP($A3829,product!A:A,product!E:E)</f>
        <v>1.45</v>
      </c>
      <c r="J3829" s="25">
        <f t="shared" si="2"/>
        <v>5.8</v>
      </c>
      <c r="K3829" s="27">
        <f t="shared" si="3"/>
        <v>1</v>
      </c>
      <c r="L3829" s="25">
        <f t="shared" si="4"/>
        <v>1</v>
      </c>
    </row>
    <row r="3830">
      <c r="A3830" s="19">
        <v>84681.0</v>
      </c>
      <c r="B3830" s="20" t="str">
        <f t="array" ref="B3830">xlookup($A3830,product!$A:$A,product!B:B)</f>
        <v>Extérieur</v>
      </c>
      <c r="C3830" s="20" t="str">
        <f t="array" ref="C3830">xlookup($A3830,product!$A:$A,product!C:C)</f>
        <v>Graines à semer Bio</v>
      </c>
      <c r="D3830" s="20" t="str">
        <f t="array" ref="D3830">xlookup($A3830,product!$A:$A,product!D:D)</f>
        <v>Légumes racines Bio</v>
      </c>
      <c r="E3830" s="4" t="str">
        <f t="shared" si="1"/>
        <v>84681-Graines à semer Bio-Légumes racines Bio</v>
      </c>
      <c r="F3830" s="4">
        <v>1.0</v>
      </c>
      <c r="G3830" s="4">
        <v>899.0</v>
      </c>
      <c r="H3830" s="4">
        <v>13.0</v>
      </c>
      <c r="I3830" s="21">
        <f t="array" ref="I3830">XLOOKUP($A3830,product!A:A,product!E:E)</f>
        <v>1.45</v>
      </c>
      <c r="J3830" s="4">
        <f t="shared" si="2"/>
        <v>18.85</v>
      </c>
      <c r="K3830" s="22">
        <f t="shared" si="3"/>
        <v>1</v>
      </c>
      <c r="L3830" s="4">
        <f t="shared" si="4"/>
        <v>1</v>
      </c>
    </row>
    <row r="3831">
      <c r="A3831" s="23">
        <v>102596.0</v>
      </c>
      <c r="B3831" s="24" t="str">
        <f t="array" ref="B3831">xlookup($A3831,product!$A:$A,product!B:B)</f>
        <v>Extérieur</v>
      </c>
      <c r="C3831" s="24" t="str">
        <f t="array" ref="C3831">xlookup($A3831,product!$A:$A,product!C:C)</f>
        <v>Graines à semer Bio</v>
      </c>
      <c r="D3831" s="24" t="str">
        <f t="array" ref="D3831">xlookup($A3831,product!$A:$A,product!D:D)</f>
        <v>Légumes racines Bio</v>
      </c>
      <c r="E3831" s="25" t="str">
        <f t="shared" si="1"/>
        <v>102596-Graines à semer Bio-Légumes racines Bio</v>
      </c>
      <c r="F3831" s="25">
        <v>1.0</v>
      </c>
      <c r="G3831" s="25">
        <v>940.0</v>
      </c>
      <c r="H3831" s="25">
        <v>477.0</v>
      </c>
      <c r="I3831" s="26">
        <f t="array" ref="I3831">XLOOKUP($A3831,product!A:A,product!E:E)</f>
        <v>1.45</v>
      </c>
      <c r="J3831" s="25">
        <f t="shared" si="2"/>
        <v>691.65</v>
      </c>
      <c r="K3831" s="27">
        <f t="shared" si="3"/>
        <v>1</v>
      </c>
      <c r="L3831" s="25">
        <f t="shared" si="4"/>
        <v>1</v>
      </c>
    </row>
    <row r="3832">
      <c r="A3832" s="19">
        <v>5037.0</v>
      </c>
      <c r="B3832" s="20" t="str">
        <f t="array" ref="B3832">xlookup($A3832,product!$A:$A,product!B:B)</f>
        <v>Extérieur</v>
      </c>
      <c r="C3832" s="20" t="str">
        <f t="array" ref="C3832">xlookup($A3832,product!$A:$A,product!C:C)</f>
        <v>Graines à semer Bio</v>
      </c>
      <c r="D3832" s="20" t="str">
        <f t="array" ref="D3832">xlookup($A3832,product!$A:$A,product!D:D)</f>
        <v>Herbes et aromates Bio</v>
      </c>
      <c r="E3832" s="4" t="str">
        <f t="shared" si="1"/>
        <v>5037-Graines à semer Bio-Herbes et aromates Bio</v>
      </c>
      <c r="F3832" s="4">
        <v>0.0</v>
      </c>
      <c r="G3832" s="4">
        <v>665.0</v>
      </c>
      <c r="H3832" s="4">
        <v>8.0</v>
      </c>
      <c r="I3832" s="21">
        <f t="array" ref="I3832">XLOOKUP($A3832,product!A:A,product!E:E)</f>
        <v>1.45</v>
      </c>
      <c r="J3832" s="4">
        <f t="shared" si="2"/>
        <v>11.6</v>
      </c>
      <c r="K3832" s="22">
        <f t="shared" si="3"/>
        <v>1</v>
      </c>
      <c r="L3832" s="4">
        <f t="shared" si="4"/>
        <v>1</v>
      </c>
    </row>
    <row r="3833">
      <c r="A3833" s="23">
        <v>5052.0</v>
      </c>
      <c r="B3833" s="24" t="str">
        <f t="array" ref="B3833">xlookup($A3833,product!$A:$A,product!B:B)</f>
        <v>Extérieur</v>
      </c>
      <c r="C3833" s="24" t="str">
        <f t="array" ref="C3833">xlookup($A3833,product!$A:$A,product!C:C)</f>
        <v>Graines à semer Bio</v>
      </c>
      <c r="D3833" s="24" t="str">
        <f t="array" ref="D3833">xlookup($A3833,product!$A:$A,product!D:D)</f>
        <v>Herbes et aromates Bio</v>
      </c>
      <c r="E3833" s="25" t="str">
        <f t="shared" si="1"/>
        <v>5052-Graines à semer Bio-Herbes et aromates Bio</v>
      </c>
      <c r="F3833" s="25">
        <v>1.0</v>
      </c>
      <c r="G3833" s="25">
        <v>118.0</v>
      </c>
      <c r="H3833" s="25">
        <v>70.0</v>
      </c>
      <c r="I3833" s="26">
        <f t="array" ref="I3833">XLOOKUP($A3833,product!A:A,product!E:E)</f>
        <v>1.45</v>
      </c>
      <c r="J3833" s="25">
        <f t="shared" si="2"/>
        <v>101.5</v>
      </c>
      <c r="K3833" s="27">
        <f t="shared" si="3"/>
        <v>1</v>
      </c>
      <c r="L3833" s="25">
        <f t="shared" si="4"/>
        <v>1</v>
      </c>
    </row>
    <row r="3834">
      <c r="A3834" s="19">
        <v>5051.0</v>
      </c>
      <c r="B3834" s="20" t="str">
        <f t="array" ref="B3834">xlookup($A3834,product!$A:$A,product!B:B)</f>
        <v>Extérieur</v>
      </c>
      <c r="C3834" s="20" t="str">
        <f t="array" ref="C3834">xlookup($A3834,product!$A:$A,product!C:C)</f>
        <v>Graines à semer Bio</v>
      </c>
      <c r="D3834" s="20" t="str">
        <f t="array" ref="D3834">xlookup($A3834,product!$A:$A,product!D:D)</f>
        <v>Herbes et aromates Bio</v>
      </c>
      <c r="E3834" s="4" t="str">
        <f t="shared" si="1"/>
        <v>5051-Graines à semer Bio-Herbes et aromates Bio</v>
      </c>
      <c r="F3834" s="4">
        <v>0.0</v>
      </c>
      <c r="G3834" s="4">
        <v>672.0</v>
      </c>
      <c r="H3834" s="4">
        <v>78.0</v>
      </c>
      <c r="I3834" s="21">
        <f t="array" ref="I3834">XLOOKUP($A3834,product!A:A,product!E:E)</f>
        <v>1.45</v>
      </c>
      <c r="J3834" s="4">
        <f t="shared" si="2"/>
        <v>113.1</v>
      </c>
      <c r="K3834" s="22">
        <f t="shared" si="3"/>
        <v>1</v>
      </c>
      <c r="L3834" s="4">
        <f t="shared" si="4"/>
        <v>1</v>
      </c>
    </row>
    <row r="3835">
      <c r="A3835" s="23">
        <v>102647.0</v>
      </c>
      <c r="B3835" s="24" t="str">
        <f t="array" ref="B3835">xlookup($A3835,product!$A:$A,product!B:B)</f>
        <v>Extérieur</v>
      </c>
      <c r="C3835" s="24" t="str">
        <f t="array" ref="C3835">xlookup($A3835,product!$A:$A,product!C:C)</f>
        <v>Graines à semer Bio</v>
      </c>
      <c r="D3835" s="24" t="str">
        <f t="array" ref="D3835">xlookup($A3835,product!$A:$A,product!D:D)</f>
        <v>Légumes fruits, tomates Bio</v>
      </c>
      <c r="E3835" s="25" t="str">
        <f t="shared" si="1"/>
        <v>102647-Graines à semer Bio-Légumes fruits, tomates Bio</v>
      </c>
      <c r="F3835" s="25">
        <v>0.0</v>
      </c>
      <c r="G3835" s="25">
        <v>953.0</v>
      </c>
      <c r="H3835" s="25">
        <v>785.0</v>
      </c>
      <c r="I3835" s="26">
        <f t="array" ref="I3835">XLOOKUP($A3835,product!A:A,product!E:E)</f>
        <v>1.45</v>
      </c>
      <c r="J3835" s="25">
        <f t="shared" si="2"/>
        <v>1138.25</v>
      </c>
      <c r="K3835" s="27">
        <f t="shared" si="3"/>
        <v>1</v>
      </c>
      <c r="L3835" s="25">
        <f t="shared" si="4"/>
        <v>1</v>
      </c>
    </row>
    <row r="3836">
      <c r="A3836" s="19">
        <v>5061.0</v>
      </c>
      <c r="B3836" s="20" t="str">
        <f t="array" ref="B3836">xlookup($A3836,product!$A:$A,product!B:B)</f>
        <v>Extérieur</v>
      </c>
      <c r="C3836" s="20" t="str">
        <f t="array" ref="C3836">xlookup($A3836,product!$A:$A,product!C:C)</f>
        <v>Graines à semer Bio</v>
      </c>
      <c r="D3836" s="20" t="str">
        <f t="array" ref="D3836">xlookup($A3836,product!$A:$A,product!D:D)</f>
        <v>Légumes fruits, tomates Bio</v>
      </c>
      <c r="E3836" s="4" t="str">
        <f t="shared" si="1"/>
        <v>5061-Graines à semer Bio-Légumes fruits, tomates Bio</v>
      </c>
      <c r="F3836" s="4">
        <v>0.0</v>
      </c>
      <c r="G3836" s="4">
        <v>624.0</v>
      </c>
      <c r="H3836" s="4">
        <v>291.0</v>
      </c>
      <c r="I3836" s="21">
        <f t="array" ref="I3836">XLOOKUP($A3836,product!A:A,product!E:E)</f>
        <v>1.45</v>
      </c>
      <c r="J3836" s="4">
        <f t="shared" si="2"/>
        <v>421.95</v>
      </c>
      <c r="K3836" s="22">
        <f t="shared" si="3"/>
        <v>1</v>
      </c>
      <c r="L3836" s="4">
        <f t="shared" si="4"/>
        <v>1</v>
      </c>
    </row>
    <row r="3837">
      <c r="A3837" s="23">
        <v>102649.0</v>
      </c>
      <c r="B3837" s="24" t="str">
        <f t="array" ref="B3837">xlookup($A3837,product!$A:$A,product!B:B)</f>
        <v>Extérieur</v>
      </c>
      <c r="C3837" s="24" t="str">
        <f t="array" ref="C3837">xlookup($A3837,product!$A:$A,product!C:C)</f>
        <v>Graines à semer Bio</v>
      </c>
      <c r="D3837" s="24" t="str">
        <f t="array" ref="D3837">xlookup($A3837,product!$A:$A,product!D:D)</f>
        <v>Légumes fruits, tomates Bio</v>
      </c>
      <c r="E3837" s="25" t="str">
        <f t="shared" si="1"/>
        <v>102649-Graines à semer Bio-Légumes fruits, tomates Bio</v>
      </c>
      <c r="F3837" s="25">
        <v>1.0</v>
      </c>
      <c r="G3837" s="25">
        <v>660.0</v>
      </c>
      <c r="H3837" s="25">
        <v>439.0</v>
      </c>
      <c r="I3837" s="26">
        <f t="array" ref="I3837">XLOOKUP($A3837,product!A:A,product!E:E)</f>
        <v>1.45</v>
      </c>
      <c r="J3837" s="25">
        <f t="shared" si="2"/>
        <v>636.55</v>
      </c>
      <c r="K3837" s="27">
        <f t="shared" si="3"/>
        <v>1</v>
      </c>
      <c r="L3837" s="25">
        <f t="shared" si="4"/>
        <v>1</v>
      </c>
    </row>
    <row r="3838">
      <c r="A3838" s="19">
        <v>102662.0</v>
      </c>
      <c r="B3838" s="20" t="str">
        <f t="array" ref="B3838">xlookup($A3838,product!$A:$A,product!B:B)</f>
        <v>Extérieur</v>
      </c>
      <c r="C3838" s="20" t="str">
        <f t="array" ref="C3838">xlookup($A3838,product!$A:$A,product!C:C)</f>
        <v>Graines à semer Bio</v>
      </c>
      <c r="D3838" s="20" t="str">
        <f t="array" ref="D3838">xlookup($A3838,product!$A:$A,product!D:D)</f>
        <v>Légumes grains, gousses Bio</v>
      </c>
      <c r="E3838" s="4" t="str">
        <f t="shared" si="1"/>
        <v>102662-Graines à semer Bio-Légumes grains, gousses Bio</v>
      </c>
      <c r="F3838" s="4">
        <v>0.0</v>
      </c>
      <c r="G3838" s="4">
        <v>138.0</v>
      </c>
      <c r="H3838" s="4">
        <v>101.0</v>
      </c>
      <c r="I3838" s="21">
        <f t="array" ref="I3838">XLOOKUP($A3838,product!A:A,product!E:E)</f>
        <v>1.45</v>
      </c>
      <c r="J3838" s="4">
        <f t="shared" si="2"/>
        <v>146.45</v>
      </c>
      <c r="K3838" s="22">
        <f t="shared" si="3"/>
        <v>1</v>
      </c>
      <c r="L3838" s="4">
        <f t="shared" si="4"/>
        <v>1</v>
      </c>
    </row>
    <row r="3839">
      <c r="A3839" s="23">
        <v>108337.0</v>
      </c>
      <c r="B3839" s="24" t="str">
        <f t="array" ref="B3839">xlookup($A3839,product!$A:$A,product!B:B)</f>
        <v>Extérieur</v>
      </c>
      <c r="C3839" s="24" t="str">
        <f t="array" ref="C3839">xlookup($A3839,product!$A:$A,product!C:C)</f>
        <v>Graines à semer Bio</v>
      </c>
      <c r="D3839" s="24" t="str">
        <f t="array" ref="D3839">xlookup($A3839,product!$A:$A,product!D:D)</f>
        <v>Légumes feuilles, salades Bio</v>
      </c>
      <c r="E3839" s="25" t="str">
        <f t="shared" si="1"/>
        <v>108337-Graines à semer Bio-Légumes feuilles, salades Bio</v>
      </c>
      <c r="F3839" s="25">
        <v>1.0</v>
      </c>
      <c r="G3839" s="25">
        <v>643.0</v>
      </c>
      <c r="H3839" s="25">
        <v>595.0</v>
      </c>
      <c r="I3839" s="26">
        <f t="array" ref="I3839">XLOOKUP($A3839,product!A:A,product!E:E)</f>
        <v>0.76</v>
      </c>
      <c r="J3839" s="25">
        <f t="shared" si="2"/>
        <v>452.2</v>
      </c>
      <c r="K3839" s="27">
        <f t="shared" si="3"/>
        <v>1</v>
      </c>
      <c r="L3839" s="25">
        <f t="shared" si="4"/>
        <v>1</v>
      </c>
    </row>
    <row r="3840">
      <c r="A3840" s="19">
        <v>188352.0</v>
      </c>
      <c r="B3840" s="20" t="str">
        <f t="array" ref="B3840">xlookup($A3840,product!$A:$A,product!B:B)</f>
        <v>Santé &amp; Bien-être</v>
      </c>
      <c r="C3840" s="20" t="str">
        <f t="array" ref="C3840">xlookup($A3840,product!$A:$A,product!C:C)</f>
        <v>Produits de la ruche</v>
      </c>
      <c r="D3840" s="20" t="str">
        <f t="array" ref="D3840">xlookup($A3840,product!$A:$A,product!D:D)</f>
        <v/>
      </c>
      <c r="E3840" s="4" t="str">
        <f t="shared" si="1"/>
        <v>188352-Produits de la ruche-</v>
      </c>
      <c r="F3840" s="4">
        <v>1.0</v>
      </c>
      <c r="G3840" s="4">
        <v>654.0</v>
      </c>
      <c r="H3840" s="4">
        <v>198.0</v>
      </c>
      <c r="I3840" s="21">
        <f t="array" ref="I3840">XLOOKUP($A3840,product!A:A,product!E:E)</f>
        <v>4.93</v>
      </c>
      <c r="J3840" s="4">
        <f t="shared" si="2"/>
        <v>976.14</v>
      </c>
      <c r="K3840" s="22">
        <f t="shared" si="3"/>
        <v>1</v>
      </c>
      <c r="L3840" s="4">
        <f t="shared" si="4"/>
        <v>1</v>
      </c>
    </row>
    <row r="3841">
      <c r="A3841" s="23">
        <v>11459.0</v>
      </c>
      <c r="B3841" s="24" t="str">
        <f t="array" ref="B3841">xlookup($A3841,product!$A:$A,product!B:B)</f>
        <v>Santé &amp; Bien-être</v>
      </c>
      <c r="C3841" s="24" t="str">
        <f t="array" ref="C3841">xlookup($A3841,product!$A:$A,product!C:C)</f>
        <v>Produits de la ruche</v>
      </c>
      <c r="D3841" s="24" t="str">
        <f t="array" ref="D3841">xlookup($A3841,product!$A:$A,product!D:D)</f>
        <v/>
      </c>
      <c r="E3841" s="25" t="str">
        <f t="shared" si="1"/>
        <v>11459-Produits de la ruche-</v>
      </c>
      <c r="F3841" s="25">
        <v>1.0</v>
      </c>
      <c r="G3841" s="25">
        <v>242.0</v>
      </c>
      <c r="H3841" s="25">
        <v>136.0</v>
      </c>
      <c r="I3841" s="26">
        <f t="array" ref="I3841">XLOOKUP($A3841,product!A:A,product!E:E)</f>
        <v>7.79</v>
      </c>
      <c r="J3841" s="25">
        <f t="shared" si="2"/>
        <v>1059.44</v>
      </c>
      <c r="K3841" s="27">
        <f t="shared" si="3"/>
        <v>1</v>
      </c>
      <c r="L3841" s="25">
        <f t="shared" si="4"/>
        <v>1</v>
      </c>
    </row>
    <row r="3842">
      <c r="A3842" s="19">
        <v>11443.0</v>
      </c>
      <c r="B3842" s="20" t="str">
        <f t="array" ref="B3842">xlookup($A3842,product!$A:$A,product!B:B)</f>
        <v>Santé &amp; Bien-être</v>
      </c>
      <c r="C3842" s="20" t="str">
        <f t="array" ref="C3842">xlookup($A3842,product!$A:$A,product!C:C)</f>
        <v>Produits de la ruche</v>
      </c>
      <c r="D3842" s="20" t="str">
        <f t="array" ref="D3842">xlookup($A3842,product!$A:$A,product!D:D)</f>
        <v>Pollen</v>
      </c>
      <c r="E3842" s="4" t="str">
        <f t="shared" si="1"/>
        <v>11443-Produits de la ruche-Pollen</v>
      </c>
      <c r="F3842" s="4">
        <v>1.0</v>
      </c>
      <c r="G3842" s="4">
        <v>61.0</v>
      </c>
      <c r="H3842" s="4">
        <v>17.0</v>
      </c>
      <c r="I3842" s="21">
        <f t="array" ref="I3842">XLOOKUP($A3842,product!A:A,product!E:E)</f>
        <v>9.58</v>
      </c>
      <c r="J3842" s="4">
        <f t="shared" si="2"/>
        <v>162.86</v>
      </c>
      <c r="K3842" s="22">
        <f t="shared" si="3"/>
        <v>1</v>
      </c>
      <c r="L3842" s="4">
        <f t="shared" si="4"/>
        <v>1</v>
      </c>
    </row>
    <row r="3843">
      <c r="A3843" s="23">
        <v>70560.0</v>
      </c>
      <c r="B3843" s="24" t="str">
        <f t="array" ref="B3843">xlookup($A3843,product!$A:$A,product!B:B)</f>
        <v>Santé &amp; Bien-être</v>
      </c>
      <c r="C3843" s="24" t="str">
        <f t="array" ref="C3843">xlookup($A3843,product!$A:$A,product!C:C)</f>
        <v>Produits de la ruche</v>
      </c>
      <c r="D3843" s="24" t="str">
        <f t="array" ref="D3843">xlookup($A3843,product!$A:$A,product!D:D)</f>
        <v>Pollen</v>
      </c>
      <c r="E3843" s="25" t="str">
        <f t="shared" si="1"/>
        <v>70560-Produits de la ruche-Pollen</v>
      </c>
      <c r="F3843" s="25">
        <v>0.0</v>
      </c>
      <c r="G3843" s="25">
        <v>115.0</v>
      </c>
      <c r="H3843" s="25">
        <v>7.0</v>
      </c>
      <c r="I3843" s="26">
        <f t="array" ref="I3843">XLOOKUP($A3843,product!A:A,product!E:E)</f>
        <v>6.59</v>
      </c>
      <c r="J3843" s="25">
        <f t="shared" si="2"/>
        <v>46.13</v>
      </c>
      <c r="K3843" s="27">
        <f t="shared" si="3"/>
        <v>1</v>
      </c>
      <c r="L3843" s="25">
        <f t="shared" si="4"/>
        <v>1</v>
      </c>
    </row>
    <row r="3844">
      <c r="A3844" s="19">
        <v>110363.0</v>
      </c>
      <c r="B3844" s="20" t="str">
        <f t="array" ref="B3844">xlookup($A3844,product!$A:$A,product!B:B)</f>
        <v>Santé &amp; Bien-être</v>
      </c>
      <c r="C3844" s="20" t="str">
        <f t="array" ref="C3844">xlookup($A3844,product!$A:$A,product!C:C)</f>
        <v>Produits de la ruche</v>
      </c>
      <c r="D3844" s="20" t="str">
        <f t="array" ref="D3844">xlookup($A3844,product!$A:$A,product!D:D)</f>
        <v>Gelée royale</v>
      </c>
      <c r="E3844" s="4" t="str">
        <f t="shared" si="1"/>
        <v>110363-Produits de la ruche-Gelée royale</v>
      </c>
      <c r="F3844" s="4">
        <v>0.0</v>
      </c>
      <c r="G3844" s="4">
        <v>739.0</v>
      </c>
      <c r="H3844" s="4">
        <v>433.0</v>
      </c>
      <c r="I3844" s="21">
        <f t="array" ref="I3844">XLOOKUP($A3844,product!A:A,product!E:E)</f>
        <v>7.23</v>
      </c>
      <c r="J3844" s="4">
        <f t="shared" si="2"/>
        <v>3130.59</v>
      </c>
      <c r="K3844" s="22">
        <f t="shared" si="3"/>
        <v>1</v>
      </c>
      <c r="L3844" s="4">
        <f t="shared" si="4"/>
        <v>1</v>
      </c>
    </row>
    <row r="3845">
      <c r="A3845" s="23">
        <v>11449.0</v>
      </c>
      <c r="B3845" s="24" t="str">
        <f t="array" ref="B3845">xlookup($A3845,product!$A:$A,product!B:B)</f>
        <v>Santé &amp; Bien-être</v>
      </c>
      <c r="C3845" s="24" t="str">
        <f t="array" ref="C3845">xlookup($A3845,product!$A:$A,product!C:C)</f>
        <v>Produits de la ruche</v>
      </c>
      <c r="D3845" s="24" t="str">
        <f t="array" ref="D3845">xlookup($A3845,product!$A:$A,product!D:D)</f>
        <v>Gelée royale</v>
      </c>
      <c r="E3845" s="25" t="str">
        <f t="shared" si="1"/>
        <v>11449-Produits de la ruche-Gelée royale</v>
      </c>
      <c r="F3845" s="25">
        <v>1.0</v>
      </c>
      <c r="G3845" s="25">
        <v>939.0</v>
      </c>
      <c r="H3845" s="25">
        <v>925.0</v>
      </c>
      <c r="I3845" s="26">
        <f t="array" ref="I3845">XLOOKUP($A3845,product!A:A,product!E:E)</f>
        <v>10.28</v>
      </c>
      <c r="J3845" s="25">
        <f t="shared" si="2"/>
        <v>9509</v>
      </c>
      <c r="K3845" s="27">
        <f t="shared" si="3"/>
        <v>1</v>
      </c>
      <c r="L3845" s="25">
        <f t="shared" si="4"/>
        <v>1</v>
      </c>
    </row>
    <row r="3846">
      <c r="A3846" s="19">
        <v>119793.0</v>
      </c>
      <c r="B3846" s="20" t="str">
        <f t="array" ref="B3846">xlookup($A3846,product!$A:$A,product!B:B)</f>
        <v>Santé &amp; Bien-être</v>
      </c>
      <c r="C3846" s="20" t="str">
        <f t="array" ref="C3846">xlookup($A3846,product!$A:$A,product!C:C)</f>
        <v>Produits de la ruche</v>
      </c>
      <c r="D3846" s="20" t="str">
        <f t="array" ref="D3846">xlookup($A3846,product!$A:$A,product!D:D)</f>
        <v>Gelée royale</v>
      </c>
      <c r="E3846" s="4" t="str">
        <f t="shared" si="1"/>
        <v>119793-Produits de la ruche-Gelée royale</v>
      </c>
      <c r="F3846" s="4">
        <v>1.0</v>
      </c>
      <c r="G3846" s="4">
        <v>17.0</v>
      </c>
      <c r="H3846" s="4">
        <v>14.0</v>
      </c>
      <c r="I3846" s="21">
        <f t="array" ref="I3846">XLOOKUP($A3846,product!A:A,product!E:E)</f>
        <v>10.3</v>
      </c>
      <c r="J3846" s="4">
        <f t="shared" si="2"/>
        <v>144.2</v>
      </c>
      <c r="K3846" s="22">
        <f t="shared" si="3"/>
        <v>1</v>
      </c>
      <c r="L3846" s="4">
        <f t="shared" si="4"/>
        <v>1</v>
      </c>
    </row>
    <row r="3847">
      <c r="A3847" s="23">
        <v>41107.0</v>
      </c>
      <c r="B3847" s="24" t="str">
        <f t="array" ref="B3847">xlookup($A3847,product!$A:$A,product!B:B)</f>
        <v>Santé &amp; Bien-être</v>
      </c>
      <c r="C3847" s="24" t="str">
        <f t="array" ref="C3847">xlookup($A3847,product!$A:$A,product!C:C)</f>
        <v>Produits de la ruche</v>
      </c>
      <c r="D3847" s="24" t="str">
        <f t="array" ref="D3847">xlookup($A3847,product!$A:$A,product!D:D)</f>
        <v>Gelée royale</v>
      </c>
      <c r="E3847" s="25" t="str">
        <f t="shared" si="1"/>
        <v>41107-Produits de la ruche-Gelée royale</v>
      </c>
      <c r="F3847" s="25">
        <v>1.0</v>
      </c>
      <c r="G3847" s="25">
        <v>753.0</v>
      </c>
      <c r="H3847" s="25">
        <v>568.0</v>
      </c>
      <c r="I3847" s="26">
        <f t="array" ref="I3847">XLOOKUP($A3847,product!A:A,product!E:E)</f>
        <v>5.8</v>
      </c>
      <c r="J3847" s="25">
        <f t="shared" si="2"/>
        <v>3294.4</v>
      </c>
      <c r="K3847" s="27">
        <f t="shared" si="3"/>
        <v>1</v>
      </c>
      <c r="L3847" s="25">
        <f t="shared" si="4"/>
        <v>1</v>
      </c>
    </row>
    <row r="3848">
      <c r="A3848" s="19">
        <v>78358.0</v>
      </c>
      <c r="B3848" s="20" t="str">
        <f t="array" ref="B3848">xlookup($A3848,product!$A:$A,product!B:B)</f>
        <v>Santé &amp; Bien-être</v>
      </c>
      <c r="C3848" s="20" t="str">
        <f t="array" ref="C3848">xlookup($A3848,product!$A:$A,product!C:C)</f>
        <v>Produits de la ruche</v>
      </c>
      <c r="D3848" s="20" t="str">
        <f t="array" ref="D3848">xlookup($A3848,product!$A:$A,product!D:D)</f>
        <v>Gelée royale</v>
      </c>
      <c r="E3848" s="4" t="str">
        <f t="shared" si="1"/>
        <v>78358-Produits de la ruche-Gelée royale</v>
      </c>
      <c r="F3848" s="4">
        <v>0.0</v>
      </c>
      <c r="G3848" s="4">
        <v>691.0</v>
      </c>
      <c r="H3848" s="4">
        <v>677.0</v>
      </c>
      <c r="I3848" s="21">
        <f t="array" ref="I3848">XLOOKUP($A3848,product!A:A,product!E:E)</f>
        <v>12.92</v>
      </c>
      <c r="J3848" s="4">
        <f t="shared" si="2"/>
        <v>8746.84</v>
      </c>
      <c r="K3848" s="22">
        <f t="shared" si="3"/>
        <v>1</v>
      </c>
      <c r="L3848" s="4">
        <f t="shared" si="4"/>
        <v>1</v>
      </c>
    </row>
    <row r="3849">
      <c r="A3849" s="23">
        <v>77048.0</v>
      </c>
      <c r="B3849" s="24" t="str">
        <f t="array" ref="B3849">xlookup($A3849,product!$A:$A,product!B:B)</f>
        <v>Santé &amp; Bien-être</v>
      </c>
      <c r="C3849" s="24" t="str">
        <f t="array" ref="C3849">xlookup($A3849,product!$A:$A,product!C:C)</f>
        <v>Produits de la ruche</v>
      </c>
      <c r="D3849" s="24" t="str">
        <f t="array" ref="D3849">xlookup($A3849,product!$A:$A,product!D:D)</f>
        <v>Gelée royale</v>
      </c>
      <c r="E3849" s="25" t="str">
        <f t="shared" si="1"/>
        <v>77048-Produits de la ruche-Gelée royale</v>
      </c>
      <c r="F3849" s="25">
        <v>1.0</v>
      </c>
      <c r="G3849" s="25">
        <v>383.0</v>
      </c>
      <c r="H3849" s="25">
        <v>249.0</v>
      </c>
      <c r="I3849" s="26">
        <f t="array" ref="I3849">XLOOKUP($A3849,product!A:A,product!E:E)</f>
        <v>7.3</v>
      </c>
      <c r="J3849" s="25">
        <f t="shared" si="2"/>
        <v>1817.7</v>
      </c>
      <c r="K3849" s="27">
        <f t="shared" si="3"/>
        <v>1</v>
      </c>
      <c r="L3849" s="25">
        <f t="shared" si="4"/>
        <v>1</v>
      </c>
    </row>
    <row r="3850">
      <c r="A3850" s="19">
        <v>27428.0</v>
      </c>
      <c r="B3850" s="20" t="str">
        <f t="array" ref="B3850">xlookup($A3850,product!$A:$A,product!B:B)</f>
        <v>Santé &amp; Bien-être</v>
      </c>
      <c r="C3850" s="20" t="str">
        <f t="array" ref="C3850">xlookup($A3850,product!$A:$A,product!C:C)</f>
        <v>Produits de la ruche</v>
      </c>
      <c r="D3850" s="20" t="str">
        <f t="array" ref="D3850">xlookup($A3850,product!$A:$A,product!D:D)</f>
        <v>Miel de Manuka</v>
      </c>
      <c r="E3850" s="4" t="str">
        <f t="shared" si="1"/>
        <v>27428-Produits de la ruche-Miel de Manuka</v>
      </c>
      <c r="F3850" s="4">
        <v>0.0</v>
      </c>
      <c r="G3850" s="4">
        <v>929.0</v>
      </c>
      <c r="H3850" s="4">
        <v>139.0</v>
      </c>
      <c r="I3850" s="21">
        <f t="array" ref="I3850">XLOOKUP($A3850,product!A:A,product!E:E)</f>
        <v>20.19</v>
      </c>
      <c r="J3850" s="4">
        <f t="shared" si="2"/>
        <v>2806.41</v>
      </c>
      <c r="K3850" s="22">
        <f t="shared" si="3"/>
        <v>1</v>
      </c>
      <c r="L3850" s="4">
        <f t="shared" si="4"/>
        <v>1</v>
      </c>
    </row>
    <row r="3851">
      <c r="A3851" s="23">
        <v>8530.0</v>
      </c>
      <c r="B3851" s="24" t="str">
        <f t="array" ref="B3851">xlookup($A3851,product!$A:$A,product!B:B)</f>
        <v>Santé &amp; Bien-être</v>
      </c>
      <c r="C3851" s="24" t="str">
        <f t="array" ref="C3851">xlookup($A3851,product!$A:$A,product!C:C)</f>
        <v>Produits de la ruche</v>
      </c>
      <c r="D3851" s="24" t="str">
        <f t="array" ref="D3851">xlookup($A3851,product!$A:$A,product!D:D)</f>
        <v>Miel de Manuka</v>
      </c>
      <c r="E3851" s="25" t="str">
        <f t="shared" si="1"/>
        <v>8530-Produits de la ruche-Miel de Manuka</v>
      </c>
      <c r="F3851" s="25">
        <v>1.0</v>
      </c>
      <c r="G3851" s="25">
        <v>912.0</v>
      </c>
      <c r="H3851" s="25">
        <v>185.0</v>
      </c>
      <c r="I3851" s="26">
        <f t="array" ref="I3851">XLOOKUP($A3851,product!A:A,product!E:E)</f>
        <v>32.71</v>
      </c>
      <c r="J3851" s="25">
        <f t="shared" si="2"/>
        <v>6051.35</v>
      </c>
      <c r="K3851" s="27">
        <f t="shared" si="3"/>
        <v>1</v>
      </c>
      <c r="L3851" s="25">
        <f t="shared" si="4"/>
        <v>1</v>
      </c>
    </row>
    <row r="3852">
      <c r="A3852" s="19">
        <v>14281.0</v>
      </c>
      <c r="B3852" s="20" t="str">
        <f t="array" ref="B3852">xlookup($A3852,product!$A:$A,product!B:B)</f>
        <v>Santé &amp; Bien-être</v>
      </c>
      <c r="C3852" s="20" t="str">
        <f t="array" ref="C3852">xlookup($A3852,product!$A:$A,product!C:C)</f>
        <v>Produits de la ruche</v>
      </c>
      <c r="D3852" s="20" t="str">
        <f t="array" ref="D3852">xlookup($A3852,product!$A:$A,product!D:D)</f>
        <v>Miel de Manuka</v>
      </c>
      <c r="E3852" s="4" t="str">
        <f t="shared" si="1"/>
        <v>14281-Produits de la ruche-Miel de Manuka</v>
      </c>
      <c r="F3852" s="4">
        <v>1.0</v>
      </c>
      <c r="G3852" s="4">
        <v>684.0</v>
      </c>
      <c r="H3852" s="4">
        <v>36.0</v>
      </c>
      <c r="I3852" s="21">
        <f t="array" ref="I3852">XLOOKUP($A3852,product!A:A,product!E:E)</f>
        <v>45.21</v>
      </c>
      <c r="J3852" s="4">
        <f t="shared" si="2"/>
        <v>1627.56</v>
      </c>
      <c r="K3852" s="22">
        <f t="shared" si="3"/>
        <v>1</v>
      </c>
      <c r="L3852" s="4">
        <f t="shared" si="4"/>
        <v>1</v>
      </c>
    </row>
    <row r="3853">
      <c r="A3853" s="23">
        <v>140582.0</v>
      </c>
      <c r="B3853" s="24" t="str">
        <f t="array" ref="B3853">xlookup($A3853,product!$A:$A,product!B:B)</f>
        <v>Santé &amp; Bien-être</v>
      </c>
      <c r="C3853" s="24" t="str">
        <f t="array" ref="C3853">xlookup($A3853,product!$A:$A,product!C:C)</f>
        <v>Produits de la ruche</v>
      </c>
      <c r="D3853" s="24" t="str">
        <f t="array" ref="D3853">xlookup($A3853,product!$A:$A,product!D:D)</f>
        <v>Miel de Manuka</v>
      </c>
      <c r="E3853" s="25" t="str">
        <f t="shared" si="1"/>
        <v>140582-Produits de la ruche-Miel de Manuka</v>
      </c>
      <c r="F3853" s="25">
        <v>0.0</v>
      </c>
      <c r="G3853" s="25">
        <v>94.0</v>
      </c>
      <c r="H3853" s="25">
        <v>65.0</v>
      </c>
      <c r="I3853" s="26">
        <f t="array" ref="I3853">XLOOKUP($A3853,product!A:A,product!E:E)</f>
        <v>32.36</v>
      </c>
      <c r="J3853" s="25">
        <f t="shared" si="2"/>
        <v>2103.4</v>
      </c>
      <c r="K3853" s="27">
        <f t="shared" si="3"/>
        <v>1</v>
      </c>
      <c r="L3853" s="25">
        <f t="shared" si="4"/>
        <v>1</v>
      </c>
    </row>
    <row r="3854">
      <c r="A3854" s="19">
        <v>98895.0</v>
      </c>
      <c r="B3854" s="20" t="str">
        <f t="array" ref="B3854">xlookup($A3854,product!$A:$A,product!B:B)</f>
        <v>Santé &amp; Bien-être</v>
      </c>
      <c r="C3854" s="20" t="str">
        <f t="array" ref="C3854">xlookup($A3854,product!$A:$A,product!C:C)</f>
        <v>Produits de la ruche</v>
      </c>
      <c r="D3854" s="20" t="str">
        <f t="array" ref="D3854">xlookup($A3854,product!$A:$A,product!D:D)</f>
        <v>Propolis liquide et à mâcher</v>
      </c>
      <c r="E3854" s="4" t="str">
        <f t="shared" si="1"/>
        <v>98895-Produits de la ruche-Propolis liquide et à mâcher</v>
      </c>
      <c r="F3854" s="4">
        <v>1.0</v>
      </c>
      <c r="G3854" s="4">
        <v>534.0</v>
      </c>
      <c r="H3854" s="4">
        <v>75.0</v>
      </c>
      <c r="I3854" s="21">
        <f t="array" ref="I3854">XLOOKUP($A3854,product!A:A,product!E:E)</f>
        <v>7.54</v>
      </c>
      <c r="J3854" s="4">
        <f t="shared" si="2"/>
        <v>565.5</v>
      </c>
      <c r="K3854" s="22">
        <f t="shared" si="3"/>
        <v>1</v>
      </c>
      <c r="L3854" s="4">
        <f t="shared" si="4"/>
        <v>1</v>
      </c>
    </row>
    <row r="3855">
      <c r="A3855" s="23">
        <v>77491.0</v>
      </c>
      <c r="B3855" s="24" t="str">
        <f t="array" ref="B3855">xlookup($A3855,product!$A:$A,product!B:B)</f>
        <v>Epicerie sucrée</v>
      </c>
      <c r="C3855" s="24" t="str">
        <f t="array" ref="C3855">xlookup($A3855,product!$A:$A,product!C:C)</f>
        <v>Sucre et édulcorant</v>
      </c>
      <c r="D3855" s="24" t="str">
        <f t="array" ref="D3855">xlookup($A3855,product!$A:$A,product!D:D)</f>
        <v>Sucre</v>
      </c>
      <c r="E3855" s="25" t="str">
        <f t="shared" si="1"/>
        <v>77491-Sucre et édulcorant-Sucre</v>
      </c>
      <c r="F3855" s="25">
        <v>0.0</v>
      </c>
      <c r="G3855" s="25">
        <v>437.0</v>
      </c>
      <c r="H3855" s="25">
        <v>61.0</v>
      </c>
      <c r="I3855" s="26">
        <f t="array" ref="I3855">XLOOKUP($A3855,product!A:A,product!E:E)</f>
        <v>10.68</v>
      </c>
      <c r="J3855" s="25">
        <f t="shared" si="2"/>
        <v>651.48</v>
      </c>
      <c r="K3855" s="27">
        <f t="shared" si="3"/>
        <v>1</v>
      </c>
      <c r="L3855" s="25">
        <f t="shared" si="4"/>
        <v>1</v>
      </c>
    </row>
    <row r="3856">
      <c r="A3856" s="19">
        <v>81704.0</v>
      </c>
      <c r="B3856" s="20" t="str">
        <f t="array" ref="B3856">xlookup($A3856,product!$A:$A,product!B:B)</f>
        <v>Epicerie sucrée</v>
      </c>
      <c r="C3856" s="20" t="str">
        <f t="array" ref="C3856">xlookup($A3856,product!$A:$A,product!C:C)</f>
        <v>Sucre et édulcorant</v>
      </c>
      <c r="D3856" s="20" t="str">
        <f t="array" ref="D3856">xlookup($A3856,product!$A:$A,product!D:D)</f>
        <v>Sucre</v>
      </c>
      <c r="E3856" s="4" t="str">
        <f t="shared" si="1"/>
        <v>81704-Sucre et édulcorant-Sucre</v>
      </c>
      <c r="F3856" s="4">
        <v>0.0</v>
      </c>
      <c r="G3856" s="4">
        <v>245.0</v>
      </c>
      <c r="H3856" s="4">
        <v>13.0</v>
      </c>
      <c r="I3856" s="21">
        <f t="array" ref="I3856">XLOOKUP($A3856,product!A:A,product!E:E)</f>
        <v>11.87</v>
      </c>
      <c r="J3856" s="4">
        <f t="shared" si="2"/>
        <v>154.31</v>
      </c>
      <c r="K3856" s="22">
        <f t="shared" si="3"/>
        <v>1</v>
      </c>
      <c r="L3856" s="4">
        <f t="shared" si="4"/>
        <v>1</v>
      </c>
    </row>
    <row r="3857">
      <c r="A3857" s="23">
        <v>111565.0</v>
      </c>
      <c r="B3857" s="24" t="str">
        <f t="array" ref="B3857">xlookup($A3857,product!$A:$A,product!B:B)</f>
        <v>Epicerie sucrée</v>
      </c>
      <c r="C3857" s="24" t="str">
        <f t="array" ref="C3857">xlookup($A3857,product!$A:$A,product!C:C)</f>
        <v>Sucre et édulcorant</v>
      </c>
      <c r="D3857" s="24" t="str">
        <f t="array" ref="D3857">xlookup($A3857,product!$A:$A,product!D:D)</f>
        <v>Sucre</v>
      </c>
      <c r="E3857" s="25" t="str">
        <f t="shared" si="1"/>
        <v>111565-Sucre et édulcorant-Sucre</v>
      </c>
      <c r="F3857" s="25">
        <v>1.0</v>
      </c>
      <c r="G3857" s="25">
        <v>98.0</v>
      </c>
      <c r="H3857" s="25">
        <v>70.0</v>
      </c>
      <c r="I3857" s="26">
        <f t="array" ref="I3857">XLOOKUP($A3857,product!A:A,product!E:E)</f>
        <v>2.61</v>
      </c>
      <c r="J3857" s="25">
        <f t="shared" si="2"/>
        <v>182.7</v>
      </c>
      <c r="K3857" s="27">
        <f t="shared" si="3"/>
        <v>1</v>
      </c>
      <c r="L3857" s="25">
        <f t="shared" si="4"/>
        <v>1</v>
      </c>
    </row>
    <row r="3858">
      <c r="A3858" s="19">
        <v>5774.0</v>
      </c>
      <c r="B3858" s="20" t="str">
        <f t="array" ref="B3858">xlookup($A3858,product!$A:$A,product!B:B)</f>
        <v>Epicerie sucrée</v>
      </c>
      <c r="C3858" s="20" t="str">
        <f t="array" ref="C3858">xlookup($A3858,product!$A:$A,product!C:C)</f>
        <v>Sucre et édulcorant</v>
      </c>
      <c r="D3858" s="20" t="str">
        <f t="array" ref="D3858">xlookup($A3858,product!$A:$A,product!D:D)</f>
        <v>Sucre</v>
      </c>
      <c r="E3858" s="4" t="str">
        <f t="shared" si="1"/>
        <v>5774-Sucre et édulcorant-Sucre</v>
      </c>
      <c r="F3858" s="4">
        <v>1.0</v>
      </c>
      <c r="G3858" s="4">
        <v>633.0</v>
      </c>
      <c r="H3858" s="4">
        <v>207.0</v>
      </c>
      <c r="I3858" s="21">
        <f t="array" ref="I3858">XLOOKUP($A3858,product!A:A,product!E:E)</f>
        <v>3.1</v>
      </c>
      <c r="J3858" s="4">
        <f t="shared" si="2"/>
        <v>641.7</v>
      </c>
      <c r="K3858" s="22">
        <f t="shared" si="3"/>
        <v>1</v>
      </c>
      <c r="L3858" s="4">
        <f t="shared" si="4"/>
        <v>1</v>
      </c>
    </row>
    <row r="3859">
      <c r="A3859" s="23">
        <v>112075.0</v>
      </c>
      <c r="B3859" s="24" t="str">
        <f t="array" ref="B3859">xlookup($A3859,product!$A:$A,product!B:B)</f>
        <v>Epicerie sucrée</v>
      </c>
      <c r="C3859" s="24" t="str">
        <f t="array" ref="C3859">xlookup($A3859,product!$A:$A,product!C:C)</f>
        <v>Sucre et édulcorant</v>
      </c>
      <c r="D3859" s="24" t="str">
        <f t="array" ref="D3859">xlookup($A3859,product!$A:$A,product!D:D)</f>
        <v>Sucre</v>
      </c>
      <c r="E3859" s="25" t="str">
        <f t="shared" si="1"/>
        <v>112075-Sucre et édulcorant-Sucre</v>
      </c>
      <c r="F3859" s="25">
        <v>0.0</v>
      </c>
      <c r="G3859" s="25">
        <v>865.0</v>
      </c>
      <c r="H3859" s="25">
        <v>786.0</v>
      </c>
      <c r="I3859" s="26">
        <f t="array" ref="I3859">XLOOKUP($A3859,product!A:A,product!E:E)</f>
        <v>2.5</v>
      </c>
      <c r="J3859" s="25">
        <f t="shared" si="2"/>
        <v>1965</v>
      </c>
      <c r="K3859" s="27">
        <f t="shared" si="3"/>
        <v>1</v>
      </c>
      <c r="L3859" s="25">
        <f t="shared" si="4"/>
        <v>1</v>
      </c>
    </row>
    <row r="3860">
      <c r="A3860" s="19">
        <v>88469.0</v>
      </c>
      <c r="B3860" s="20" t="str">
        <f t="array" ref="B3860">xlookup($A3860,product!$A:$A,product!B:B)</f>
        <v>Epicerie sucrée</v>
      </c>
      <c r="C3860" s="20" t="str">
        <f t="array" ref="C3860">xlookup($A3860,product!$A:$A,product!C:C)</f>
        <v>Sucre et édulcorant</v>
      </c>
      <c r="D3860" s="20" t="str">
        <f t="array" ref="D3860">xlookup($A3860,product!$A:$A,product!D:D)</f>
        <v>Sucre</v>
      </c>
      <c r="E3860" s="4" t="str">
        <f t="shared" si="1"/>
        <v>88469-Sucre et édulcorant-Sucre</v>
      </c>
      <c r="F3860" s="4">
        <v>0.0</v>
      </c>
      <c r="G3860" s="4">
        <v>236.0</v>
      </c>
      <c r="H3860" s="4">
        <v>63.0</v>
      </c>
      <c r="I3860" s="21">
        <f t="array" ref="I3860">XLOOKUP($A3860,product!A:A,product!E:E)</f>
        <v>2.24</v>
      </c>
      <c r="J3860" s="4">
        <f t="shared" si="2"/>
        <v>141.12</v>
      </c>
      <c r="K3860" s="22">
        <f t="shared" si="3"/>
        <v>1</v>
      </c>
      <c r="L3860" s="4">
        <f t="shared" si="4"/>
        <v>1</v>
      </c>
    </row>
    <row r="3861">
      <c r="A3861" s="23">
        <v>112249.0</v>
      </c>
      <c r="B3861" s="24" t="str">
        <f t="array" ref="B3861">xlookup($A3861,product!$A:$A,product!B:B)</f>
        <v>Epicerie sucrée</v>
      </c>
      <c r="C3861" s="24" t="str">
        <f t="array" ref="C3861">xlookup($A3861,product!$A:$A,product!C:C)</f>
        <v>Sucre et édulcorant</v>
      </c>
      <c r="D3861" s="24" t="str">
        <f t="array" ref="D3861">xlookup($A3861,product!$A:$A,product!D:D)</f>
        <v>Sucre</v>
      </c>
      <c r="E3861" s="25" t="str">
        <f t="shared" si="1"/>
        <v>112249-Sucre et édulcorant-Sucre</v>
      </c>
      <c r="F3861" s="25">
        <v>1.0</v>
      </c>
      <c r="G3861" s="25">
        <v>394.0</v>
      </c>
      <c r="H3861" s="25">
        <v>128.0</v>
      </c>
      <c r="I3861" s="26">
        <f t="array" ref="I3861">XLOOKUP($A3861,product!A:A,product!E:E)</f>
        <v>2.43</v>
      </c>
      <c r="J3861" s="25">
        <f t="shared" si="2"/>
        <v>311.04</v>
      </c>
      <c r="K3861" s="27">
        <f t="shared" si="3"/>
        <v>1</v>
      </c>
      <c r="L3861" s="25">
        <f t="shared" si="4"/>
        <v>1</v>
      </c>
    </row>
    <row r="3862">
      <c r="A3862" s="19">
        <v>5775.0</v>
      </c>
      <c r="B3862" s="20" t="str">
        <f t="array" ref="B3862">xlookup($A3862,product!$A:$A,product!B:B)</f>
        <v>Epicerie sucrée</v>
      </c>
      <c r="C3862" s="20" t="str">
        <f t="array" ref="C3862">xlookup($A3862,product!$A:$A,product!C:C)</f>
        <v>Sucre et édulcorant</v>
      </c>
      <c r="D3862" s="20" t="str">
        <f t="array" ref="D3862">xlookup($A3862,product!$A:$A,product!D:D)</f>
        <v>Sucre</v>
      </c>
      <c r="E3862" s="4" t="str">
        <f t="shared" si="1"/>
        <v>5775-Sucre et édulcorant-Sucre</v>
      </c>
      <c r="F3862" s="4">
        <v>1.0</v>
      </c>
      <c r="G3862" s="4">
        <v>446.0</v>
      </c>
      <c r="H3862" s="4">
        <v>313.0</v>
      </c>
      <c r="I3862" s="21">
        <f t="array" ref="I3862">XLOOKUP($A3862,product!A:A,product!E:E)</f>
        <v>2.74</v>
      </c>
      <c r="J3862" s="4">
        <f t="shared" si="2"/>
        <v>857.62</v>
      </c>
      <c r="K3862" s="22">
        <f t="shared" si="3"/>
        <v>1</v>
      </c>
      <c r="L3862" s="4">
        <f t="shared" si="4"/>
        <v>1</v>
      </c>
    </row>
    <row r="3863">
      <c r="A3863" s="23">
        <v>77506.0</v>
      </c>
      <c r="B3863" s="24" t="str">
        <f t="array" ref="B3863">xlookup($A3863,product!$A:$A,product!B:B)</f>
        <v>Epicerie sucrée</v>
      </c>
      <c r="C3863" s="24" t="str">
        <f t="array" ref="C3863">xlookup($A3863,product!$A:$A,product!C:C)</f>
        <v>Sucre et édulcorant</v>
      </c>
      <c r="D3863" s="24" t="str">
        <f t="array" ref="D3863">xlookup($A3863,product!$A:$A,product!D:D)</f>
        <v>Sucre</v>
      </c>
      <c r="E3863" s="25" t="str">
        <f t="shared" si="1"/>
        <v>77506-Sucre et édulcorant-Sucre</v>
      </c>
      <c r="F3863" s="25">
        <v>0.0</v>
      </c>
      <c r="G3863" s="25">
        <v>471.0</v>
      </c>
      <c r="H3863" s="25">
        <v>214.0</v>
      </c>
      <c r="I3863" s="26">
        <f t="array" ref="I3863">XLOOKUP($A3863,product!A:A,product!E:E)</f>
        <v>1.65</v>
      </c>
      <c r="J3863" s="25">
        <f t="shared" si="2"/>
        <v>353.1</v>
      </c>
      <c r="K3863" s="27">
        <f t="shared" si="3"/>
        <v>1</v>
      </c>
      <c r="L3863" s="25">
        <f t="shared" si="4"/>
        <v>1</v>
      </c>
    </row>
    <row r="3864">
      <c r="A3864" s="19">
        <v>83646.0</v>
      </c>
      <c r="B3864" s="20" t="str">
        <f t="array" ref="B3864">xlookup($A3864,product!$A:$A,product!B:B)</f>
        <v>Epicerie sucrée</v>
      </c>
      <c r="C3864" s="20" t="str">
        <f t="array" ref="C3864">xlookup($A3864,product!$A:$A,product!C:C)</f>
        <v>Sucre et édulcorant</v>
      </c>
      <c r="D3864" s="20" t="str">
        <f t="array" ref="D3864">xlookup($A3864,product!$A:$A,product!D:D)</f>
        <v>Sucre</v>
      </c>
      <c r="E3864" s="4" t="str">
        <f t="shared" si="1"/>
        <v>83646-Sucre et édulcorant-Sucre</v>
      </c>
      <c r="F3864" s="4">
        <v>1.0</v>
      </c>
      <c r="G3864" s="4">
        <v>411.0</v>
      </c>
      <c r="H3864" s="4">
        <v>321.0</v>
      </c>
      <c r="I3864" s="21">
        <f t="array" ref="I3864">XLOOKUP($A3864,product!A:A,product!E:E)</f>
        <v>2.02</v>
      </c>
      <c r="J3864" s="4">
        <f t="shared" si="2"/>
        <v>648.42</v>
      </c>
      <c r="K3864" s="22">
        <f t="shared" si="3"/>
        <v>1</v>
      </c>
      <c r="L3864" s="4">
        <f t="shared" si="4"/>
        <v>1</v>
      </c>
    </row>
    <row r="3865">
      <c r="A3865" s="23">
        <v>77484.0</v>
      </c>
      <c r="B3865" s="24" t="str">
        <f t="array" ref="B3865">xlookup($A3865,product!$A:$A,product!B:B)</f>
        <v>Epicerie sucrée</v>
      </c>
      <c r="C3865" s="24" t="str">
        <f t="array" ref="C3865">xlookup($A3865,product!$A:$A,product!C:C)</f>
        <v>Sucre et édulcorant</v>
      </c>
      <c r="D3865" s="24" t="str">
        <f t="array" ref="D3865">xlookup($A3865,product!$A:$A,product!D:D)</f>
        <v>Sucre</v>
      </c>
      <c r="E3865" s="25" t="str">
        <f t="shared" si="1"/>
        <v>77484-Sucre et édulcorant-Sucre</v>
      </c>
      <c r="F3865" s="25">
        <v>0.0</v>
      </c>
      <c r="G3865" s="25">
        <v>256.0</v>
      </c>
      <c r="H3865" s="25">
        <v>57.0</v>
      </c>
      <c r="I3865" s="26">
        <f t="array" ref="I3865">XLOOKUP($A3865,product!A:A,product!E:E)</f>
        <v>8.46</v>
      </c>
      <c r="J3865" s="25">
        <f t="shared" si="2"/>
        <v>482.22</v>
      </c>
      <c r="K3865" s="27">
        <f t="shared" si="3"/>
        <v>1</v>
      </c>
      <c r="L3865" s="25">
        <f t="shared" si="4"/>
        <v>1</v>
      </c>
    </row>
    <row r="3866">
      <c r="A3866" s="19">
        <v>77481.0</v>
      </c>
      <c r="B3866" s="20" t="str">
        <f t="array" ref="B3866">xlookup($A3866,product!$A:$A,product!B:B)</f>
        <v>Epicerie sucrée</v>
      </c>
      <c r="C3866" s="20" t="str">
        <f t="array" ref="C3866">xlookup($A3866,product!$A:$A,product!C:C)</f>
        <v>Sucre et édulcorant</v>
      </c>
      <c r="D3866" s="20" t="str">
        <f t="array" ref="D3866">xlookup($A3866,product!$A:$A,product!D:D)</f>
        <v>Sucre</v>
      </c>
      <c r="E3866" s="4" t="str">
        <f t="shared" si="1"/>
        <v>77481-Sucre et édulcorant-Sucre</v>
      </c>
      <c r="F3866" s="4">
        <v>0.0</v>
      </c>
      <c r="G3866" s="4">
        <v>676.0</v>
      </c>
      <c r="H3866" s="4">
        <v>638.0</v>
      </c>
      <c r="I3866" s="21">
        <f t="array" ref="I3866">XLOOKUP($A3866,product!A:A,product!E:E)</f>
        <v>2</v>
      </c>
      <c r="J3866" s="4">
        <f t="shared" si="2"/>
        <v>1276</v>
      </c>
      <c r="K3866" s="22">
        <f t="shared" si="3"/>
        <v>1</v>
      </c>
      <c r="L3866" s="4">
        <f t="shared" si="4"/>
        <v>1</v>
      </c>
    </row>
    <row r="3867">
      <c r="A3867" s="23">
        <v>17075.0</v>
      </c>
      <c r="B3867" s="24" t="str">
        <f t="array" ref="B3867">xlookup($A3867,product!$A:$A,product!B:B)</f>
        <v>Epicerie sucrée</v>
      </c>
      <c r="C3867" s="24" t="str">
        <f t="array" ref="C3867">xlookup($A3867,product!$A:$A,product!C:C)</f>
        <v>Sucre et édulcorant</v>
      </c>
      <c r="D3867" s="24" t="str">
        <f t="array" ref="D3867">xlookup($A3867,product!$A:$A,product!D:D)</f>
        <v>Sucre</v>
      </c>
      <c r="E3867" s="25" t="str">
        <f t="shared" si="1"/>
        <v>17075-Sucre et édulcorant-Sucre</v>
      </c>
      <c r="F3867" s="25">
        <v>0.0</v>
      </c>
      <c r="G3867" s="25">
        <v>428.0</v>
      </c>
      <c r="H3867" s="25">
        <v>21.0</v>
      </c>
      <c r="I3867" s="26">
        <f t="array" ref="I3867">XLOOKUP($A3867,product!A:A,product!E:E)</f>
        <v>4.89</v>
      </c>
      <c r="J3867" s="25">
        <f t="shared" si="2"/>
        <v>102.69</v>
      </c>
      <c r="K3867" s="27">
        <f t="shared" si="3"/>
        <v>1</v>
      </c>
      <c r="L3867" s="25">
        <f t="shared" si="4"/>
        <v>1</v>
      </c>
    </row>
    <row r="3868">
      <c r="A3868" s="19">
        <v>77492.0</v>
      </c>
      <c r="B3868" s="20" t="str">
        <f t="array" ref="B3868">xlookup($A3868,product!$A:$A,product!B:B)</f>
        <v>Epicerie sucrée</v>
      </c>
      <c r="C3868" s="20" t="str">
        <f t="array" ref="C3868">xlookup($A3868,product!$A:$A,product!C:C)</f>
        <v>Sucre et édulcorant</v>
      </c>
      <c r="D3868" s="20" t="str">
        <f t="array" ref="D3868">xlookup($A3868,product!$A:$A,product!D:D)</f>
        <v>Sucre</v>
      </c>
      <c r="E3868" s="4" t="str">
        <f t="shared" si="1"/>
        <v>77492-Sucre et édulcorant-Sucre</v>
      </c>
      <c r="F3868" s="4">
        <v>0.0</v>
      </c>
      <c r="G3868" s="4">
        <v>747.0</v>
      </c>
      <c r="H3868" s="4">
        <v>607.0</v>
      </c>
      <c r="I3868" s="21">
        <f t="array" ref="I3868">XLOOKUP($A3868,product!A:A,product!E:E)</f>
        <v>2.27</v>
      </c>
      <c r="J3868" s="4">
        <f t="shared" si="2"/>
        <v>1377.89</v>
      </c>
      <c r="K3868" s="22">
        <f t="shared" si="3"/>
        <v>1</v>
      </c>
      <c r="L3868" s="4">
        <f t="shared" si="4"/>
        <v>1</v>
      </c>
    </row>
    <row r="3869">
      <c r="A3869" s="23">
        <v>112084.0</v>
      </c>
      <c r="B3869" s="24" t="str">
        <f t="array" ref="B3869">xlookup($A3869,product!$A:$A,product!B:B)</f>
        <v>Epicerie sucrée</v>
      </c>
      <c r="C3869" s="24" t="str">
        <f t="array" ref="C3869">xlookup($A3869,product!$A:$A,product!C:C)</f>
        <v>Sucre et édulcorant</v>
      </c>
      <c r="D3869" s="24" t="str">
        <f t="array" ref="D3869">xlookup($A3869,product!$A:$A,product!D:D)</f>
        <v>Sucre</v>
      </c>
      <c r="E3869" s="25" t="str">
        <f t="shared" si="1"/>
        <v>112084-Sucre et édulcorant-Sucre</v>
      </c>
      <c r="F3869" s="25">
        <v>0.0</v>
      </c>
      <c r="G3869" s="25">
        <v>352.0</v>
      </c>
      <c r="H3869" s="25">
        <v>82.0</v>
      </c>
      <c r="I3869" s="26">
        <f t="array" ref="I3869">XLOOKUP($A3869,product!A:A,product!E:E)</f>
        <v>3.68</v>
      </c>
      <c r="J3869" s="25">
        <f t="shared" si="2"/>
        <v>301.76</v>
      </c>
      <c r="K3869" s="27">
        <f t="shared" si="3"/>
        <v>1</v>
      </c>
      <c r="L3869" s="25">
        <f t="shared" si="4"/>
        <v>1</v>
      </c>
    </row>
    <row r="3870">
      <c r="A3870" s="19">
        <v>12041.0</v>
      </c>
      <c r="B3870" s="20" t="str">
        <f t="array" ref="B3870">xlookup($A3870,product!$A:$A,product!B:B)</f>
        <v>Epicerie sucrée</v>
      </c>
      <c r="C3870" s="20" t="str">
        <f t="array" ref="C3870">xlookup($A3870,product!$A:$A,product!C:C)</f>
        <v>Sucre et édulcorant</v>
      </c>
      <c r="D3870" s="20" t="str">
        <f t="array" ref="D3870">xlookup($A3870,product!$A:$A,product!D:D)</f>
        <v>Sucre</v>
      </c>
      <c r="E3870" s="4" t="str">
        <f t="shared" si="1"/>
        <v>12041-Sucre et édulcorant-Sucre</v>
      </c>
      <c r="F3870" s="4">
        <v>0.0</v>
      </c>
      <c r="G3870" s="4">
        <v>573.0</v>
      </c>
      <c r="H3870" s="4">
        <v>178.0</v>
      </c>
      <c r="I3870" s="21">
        <f t="array" ref="I3870">XLOOKUP($A3870,product!A:A,product!E:E)</f>
        <v>3.83</v>
      </c>
      <c r="J3870" s="4">
        <f t="shared" si="2"/>
        <v>681.74</v>
      </c>
      <c r="K3870" s="22">
        <f t="shared" si="3"/>
        <v>1</v>
      </c>
      <c r="L3870" s="4">
        <f t="shared" si="4"/>
        <v>1</v>
      </c>
    </row>
    <row r="3871">
      <c r="A3871" s="23">
        <v>83042.0</v>
      </c>
      <c r="B3871" s="24" t="str">
        <f t="array" ref="B3871">xlookup($A3871,product!$A:$A,product!B:B)</f>
        <v>Epicerie sucrée</v>
      </c>
      <c r="C3871" s="24" t="str">
        <f t="array" ref="C3871">xlookup($A3871,product!$A:$A,product!C:C)</f>
        <v>Sucre et édulcorant</v>
      </c>
      <c r="D3871" s="24" t="str">
        <f t="array" ref="D3871">xlookup($A3871,product!$A:$A,product!D:D)</f>
        <v>Sucre</v>
      </c>
      <c r="E3871" s="25" t="str">
        <f t="shared" si="1"/>
        <v>83042-Sucre et édulcorant-Sucre</v>
      </c>
      <c r="F3871" s="25">
        <v>1.0</v>
      </c>
      <c r="G3871" s="25">
        <v>429.0</v>
      </c>
      <c r="H3871" s="25">
        <v>91.0</v>
      </c>
      <c r="I3871" s="26">
        <f t="array" ref="I3871">XLOOKUP($A3871,product!A:A,product!E:E)</f>
        <v>2.7</v>
      </c>
      <c r="J3871" s="25">
        <f t="shared" si="2"/>
        <v>245.7</v>
      </c>
      <c r="K3871" s="27">
        <f t="shared" si="3"/>
        <v>1</v>
      </c>
      <c r="L3871" s="25">
        <f t="shared" si="4"/>
        <v>1</v>
      </c>
    </row>
    <row r="3872">
      <c r="A3872" s="19">
        <v>77490.0</v>
      </c>
      <c r="B3872" s="20" t="str">
        <f t="array" ref="B3872">xlookup($A3872,product!$A:$A,product!B:B)</f>
        <v>Epicerie sucrée</v>
      </c>
      <c r="C3872" s="20" t="str">
        <f t="array" ref="C3872">xlookup($A3872,product!$A:$A,product!C:C)</f>
        <v>Sucre et édulcorant</v>
      </c>
      <c r="D3872" s="20" t="str">
        <f t="array" ref="D3872">xlookup($A3872,product!$A:$A,product!D:D)</f>
        <v>Sucre</v>
      </c>
      <c r="E3872" s="4" t="str">
        <f t="shared" si="1"/>
        <v>77490-Sucre et édulcorant-Sucre</v>
      </c>
      <c r="F3872" s="4">
        <v>1.0</v>
      </c>
      <c r="G3872" s="4">
        <v>168.0</v>
      </c>
      <c r="H3872" s="4">
        <v>130.0</v>
      </c>
      <c r="I3872" s="21">
        <f t="array" ref="I3872">XLOOKUP($A3872,product!A:A,product!E:E)</f>
        <v>2.41</v>
      </c>
      <c r="J3872" s="4">
        <f t="shared" si="2"/>
        <v>313.3</v>
      </c>
      <c r="K3872" s="22">
        <f t="shared" si="3"/>
        <v>1</v>
      </c>
      <c r="L3872" s="4">
        <f t="shared" si="4"/>
        <v>1</v>
      </c>
    </row>
    <row r="3873">
      <c r="A3873" s="23">
        <v>43336.0</v>
      </c>
      <c r="B3873" s="24" t="str">
        <f t="array" ref="B3873">xlookup($A3873,product!$A:$A,product!B:B)</f>
        <v>Epicerie sucrée</v>
      </c>
      <c r="C3873" s="24" t="str">
        <f t="array" ref="C3873">xlookup($A3873,product!$A:$A,product!C:C)</f>
        <v>Sucre et édulcorant</v>
      </c>
      <c r="D3873" s="24" t="str">
        <f t="array" ref="D3873">xlookup($A3873,product!$A:$A,product!D:D)</f>
        <v>Sucre</v>
      </c>
      <c r="E3873" s="25" t="str">
        <f t="shared" si="1"/>
        <v>43336-Sucre et édulcorant-Sucre</v>
      </c>
      <c r="F3873" s="25">
        <v>0.0</v>
      </c>
      <c r="G3873" s="25">
        <v>578.0</v>
      </c>
      <c r="H3873" s="25">
        <v>575.0</v>
      </c>
      <c r="I3873" s="26">
        <f t="array" ref="I3873">XLOOKUP($A3873,product!A:A,product!E:E)</f>
        <v>3.98</v>
      </c>
      <c r="J3873" s="25">
        <f t="shared" si="2"/>
        <v>2288.5</v>
      </c>
      <c r="K3873" s="27">
        <f t="shared" si="3"/>
        <v>1</v>
      </c>
      <c r="L3873" s="25">
        <f t="shared" si="4"/>
        <v>1</v>
      </c>
    </row>
    <row r="3874">
      <c r="A3874" s="19">
        <v>48609.0</v>
      </c>
      <c r="B3874" s="20" t="str">
        <f t="array" ref="B3874">xlookup($A3874,product!$A:$A,product!B:B)</f>
        <v>Epicerie sucrée</v>
      </c>
      <c r="C3874" s="20" t="str">
        <f t="array" ref="C3874">xlookup($A3874,product!$A:$A,product!C:C)</f>
        <v>Sucre et édulcorant</v>
      </c>
      <c r="D3874" s="20" t="str">
        <f t="array" ref="D3874">xlookup($A3874,product!$A:$A,product!D:D)</f>
        <v>Sucre</v>
      </c>
      <c r="E3874" s="4" t="str">
        <f t="shared" si="1"/>
        <v>48609-Sucre et édulcorant-Sucre</v>
      </c>
      <c r="F3874" s="4">
        <v>0.0</v>
      </c>
      <c r="G3874" s="4">
        <v>321.0</v>
      </c>
      <c r="H3874" s="4">
        <v>9.0</v>
      </c>
      <c r="I3874" s="21">
        <f t="array" ref="I3874">XLOOKUP($A3874,product!A:A,product!E:E)</f>
        <v>2.49</v>
      </c>
      <c r="J3874" s="4">
        <f t="shared" si="2"/>
        <v>22.41</v>
      </c>
      <c r="K3874" s="22">
        <f t="shared" si="3"/>
        <v>1</v>
      </c>
      <c r="L3874" s="4">
        <f t="shared" si="4"/>
        <v>1</v>
      </c>
    </row>
    <row r="3875">
      <c r="A3875" s="23">
        <v>117074.0</v>
      </c>
      <c r="B3875" s="24" t="str">
        <f t="array" ref="B3875">xlookup($A3875,product!$A:$A,product!B:B)</f>
        <v>Epicerie sucrée</v>
      </c>
      <c r="C3875" s="24" t="str">
        <f t="array" ref="C3875">xlookup($A3875,product!$A:$A,product!C:C)</f>
        <v>Sucre et édulcorant</v>
      </c>
      <c r="D3875" s="24" t="str">
        <f t="array" ref="D3875">xlookup($A3875,product!$A:$A,product!D:D)</f>
        <v>Sucre</v>
      </c>
      <c r="E3875" s="25" t="str">
        <f t="shared" si="1"/>
        <v>117074-Sucre et édulcorant-Sucre</v>
      </c>
      <c r="F3875" s="25">
        <v>0.0</v>
      </c>
      <c r="G3875" s="25">
        <v>638.0</v>
      </c>
      <c r="H3875" s="25">
        <v>198.0</v>
      </c>
      <c r="I3875" s="26">
        <f t="array" ref="I3875">XLOOKUP($A3875,product!A:A,product!E:E)</f>
        <v>1.8</v>
      </c>
      <c r="J3875" s="25">
        <f t="shared" si="2"/>
        <v>356.4</v>
      </c>
      <c r="K3875" s="27">
        <f t="shared" si="3"/>
        <v>1</v>
      </c>
      <c r="L3875" s="25">
        <f t="shared" si="4"/>
        <v>1</v>
      </c>
    </row>
    <row r="3876">
      <c r="A3876" s="19">
        <v>112085.0</v>
      </c>
      <c r="B3876" s="20" t="str">
        <f t="array" ref="B3876">xlookup($A3876,product!$A:$A,product!B:B)</f>
        <v>Epicerie sucrée</v>
      </c>
      <c r="C3876" s="20" t="str">
        <f t="array" ref="C3876">xlookup($A3876,product!$A:$A,product!C:C)</f>
        <v>Sucre et édulcorant</v>
      </c>
      <c r="D3876" s="20" t="str">
        <f t="array" ref="D3876">xlookup($A3876,product!$A:$A,product!D:D)</f>
        <v>Sucre</v>
      </c>
      <c r="E3876" s="4" t="str">
        <f t="shared" si="1"/>
        <v>112085-Sucre et édulcorant-Sucre</v>
      </c>
      <c r="F3876" s="4">
        <v>1.0</v>
      </c>
      <c r="G3876" s="4">
        <v>255.0</v>
      </c>
      <c r="H3876" s="4">
        <v>214.0</v>
      </c>
      <c r="I3876" s="21">
        <f t="array" ref="I3876">XLOOKUP($A3876,product!A:A,product!E:E)</f>
        <v>1.52</v>
      </c>
      <c r="J3876" s="4">
        <f t="shared" si="2"/>
        <v>325.28</v>
      </c>
      <c r="K3876" s="22">
        <f t="shared" si="3"/>
        <v>1</v>
      </c>
      <c r="L3876" s="4">
        <f t="shared" si="4"/>
        <v>1</v>
      </c>
    </row>
    <row r="3877">
      <c r="A3877" s="23">
        <v>106656.0</v>
      </c>
      <c r="B3877" s="24" t="str">
        <f t="array" ref="B3877">xlookup($A3877,product!$A:$A,product!B:B)</f>
        <v>Epicerie sucrée</v>
      </c>
      <c r="C3877" s="24" t="str">
        <f t="array" ref="C3877">xlookup($A3877,product!$A:$A,product!C:C)</f>
        <v>Sucre et édulcorant</v>
      </c>
      <c r="D3877" s="24" t="str">
        <f t="array" ref="D3877">xlookup($A3877,product!$A:$A,product!D:D)</f>
        <v>Sucre</v>
      </c>
      <c r="E3877" s="25" t="str">
        <f t="shared" si="1"/>
        <v>106656-Sucre et édulcorant-Sucre</v>
      </c>
      <c r="F3877" s="25">
        <v>1.0</v>
      </c>
      <c r="G3877" s="25">
        <v>325.0</v>
      </c>
      <c r="H3877" s="25">
        <v>294.0</v>
      </c>
      <c r="I3877" s="26">
        <f t="array" ref="I3877">XLOOKUP($A3877,product!A:A,product!E:E)</f>
        <v>2.69</v>
      </c>
      <c r="J3877" s="25">
        <f t="shared" si="2"/>
        <v>790.86</v>
      </c>
      <c r="K3877" s="27">
        <f t="shared" si="3"/>
        <v>1</v>
      </c>
      <c r="L3877" s="25">
        <f t="shared" si="4"/>
        <v>1</v>
      </c>
    </row>
    <row r="3878">
      <c r="A3878" s="19">
        <v>119244.0</v>
      </c>
      <c r="B3878" s="20" t="str">
        <f t="array" ref="B3878">xlookup($A3878,product!$A:$A,product!B:B)</f>
        <v>Epicerie sucrée</v>
      </c>
      <c r="C3878" s="20" t="str">
        <f t="array" ref="C3878">xlookup($A3878,product!$A:$A,product!C:C)</f>
        <v>Sucre et édulcorant</v>
      </c>
      <c r="D3878" s="20" t="str">
        <f t="array" ref="D3878">xlookup($A3878,product!$A:$A,product!D:D)</f>
        <v>Édulcorant naturel</v>
      </c>
      <c r="E3878" s="4" t="str">
        <f t="shared" si="1"/>
        <v>119244-Sucre et édulcorant-Édulcorant naturel</v>
      </c>
      <c r="F3878" s="4">
        <v>0.0</v>
      </c>
      <c r="G3878" s="4">
        <v>620.0</v>
      </c>
      <c r="H3878" s="4">
        <v>534.0</v>
      </c>
      <c r="I3878" s="21">
        <f t="array" ref="I3878">XLOOKUP($A3878,product!A:A,product!E:E)</f>
        <v>2.52</v>
      </c>
      <c r="J3878" s="4">
        <f t="shared" si="2"/>
        <v>1345.68</v>
      </c>
      <c r="K3878" s="22">
        <f t="shared" si="3"/>
        <v>1</v>
      </c>
      <c r="L3878" s="4">
        <f t="shared" si="4"/>
        <v>1</v>
      </c>
    </row>
    <row r="3879">
      <c r="A3879" s="23">
        <v>73236.0</v>
      </c>
      <c r="B3879" s="24" t="str">
        <f t="array" ref="B3879">xlookup($A3879,product!$A:$A,product!B:B)</f>
        <v>Epicerie sucrée</v>
      </c>
      <c r="C3879" s="24" t="str">
        <f t="array" ref="C3879">xlookup($A3879,product!$A:$A,product!C:C)</f>
        <v>Sucre et édulcorant</v>
      </c>
      <c r="D3879" s="24" t="str">
        <f t="array" ref="D3879">xlookup($A3879,product!$A:$A,product!D:D)</f>
        <v>Édulcorant naturel</v>
      </c>
      <c r="E3879" s="25" t="str">
        <f t="shared" si="1"/>
        <v>73236-Sucre et édulcorant-Édulcorant naturel</v>
      </c>
      <c r="F3879" s="25">
        <v>1.0</v>
      </c>
      <c r="G3879" s="25">
        <v>497.0</v>
      </c>
      <c r="H3879" s="25">
        <v>380.0</v>
      </c>
      <c r="I3879" s="26">
        <f t="array" ref="I3879">XLOOKUP($A3879,product!A:A,product!E:E)</f>
        <v>4.43</v>
      </c>
      <c r="J3879" s="25">
        <f t="shared" si="2"/>
        <v>1683.4</v>
      </c>
      <c r="K3879" s="27">
        <f t="shared" si="3"/>
        <v>1</v>
      </c>
      <c r="L3879" s="25">
        <f t="shared" si="4"/>
        <v>1</v>
      </c>
    </row>
    <row r="3880">
      <c r="A3880" s="19">
        <v>127582.0</v>
      </c>
      <c r="B3880" s="20" t="str">
        <f t="array" ref="B3880">xlookup($A3880,product!$A:$A,product!B:B)</f>
        <v>Epicerie sucrée</v>
      </c>
      <c r="C3880" s="20" t="str">
        <f t="array" ref="C3880">xlookup($A3880,product!$A:$A,product!C:C)</f>
        <v>Sucre et édulcorant</v>
      </c>
      <c r="D3880" s="20" t="str">
        <f t="array" ref="D3880">xlookup($A3880,product!$A:$A,product!D:D)</f>
        <v>Édulcorant naturel</v>
      </c>
      <c r="E3880" s="4" t="str">
        <f t="shared" si="1"/>
        <v>127582-Sucre et édulcorant-Édulcorant naturel</v>
      </c>
      <c r="F3880" s="4">
        <v>0.0</v>
      </c>
      <c r="G3880" s="4">
        <v>364.0</v>
      </c>
      <c r="H3880" s="4">
        <v>68.0</v>
      </c>
      <c r="I3880" s="21">
        <f t="array" ref="I3880">XLOOKUP($A3880,product!A:A,product!E:E)</f>
        <v>8.08</v>
      </c>
      <c r="J3880" s="4">
        <f t="shared" si="2"/>
        <v>549.44</v>
      </c>
      <c r="K3880" s="22">
        <f t="shared" si="3"/>
        <v>1</v>
      </c>
      <c r="L3880" s="4">
        <f t="shared" si="4"/>
        <v>1</v>
      </c>
    </row>
    <row r="3881">
      <c r="A3881" s="23">
        <v>128210.0</v>
      </c>
      <c r="B3881" s="24" t="str">
        <f t="array" ref="B3881">xlookup($A3881,product!$A:$A,product!B:B)</f>
        <v>Epicerie sucrée</v>
      </c>
      <c r="C3881" s="24" t="str">
        <f t="array" ref="C3881">xlookup($A3881,product!$A:$A,product!C:C)</f>
        <v>Sucre et édulcorant</v>
      </c>
      <c r="D3881" s="24" t="str">
        <f t="array" ref="D3881">xlookup($A3881,product!$A:$A,product!D:D)</f>
        <v>Édulcorant naturel</v>
      </c>
      <c r="E3881" s="25" t="str">
        <f t="shared" si="1"/>
        <v>128210-Sucre et édulcorant-Édulcorant naturel</v>
      </c>
      <c r="F3881" s="25">
        <v>1.0</v>
      </c>
      <c r="G3881" s="25">
        <v>517.0</v>
      </c>
      <c r="H3881" s="25">
        <v>47.0</v>
      </c>
      <c r="I3881" s="26">
        <f t="array" ref="I3881">XLOOKUP($A3881,product!A:A,product!E:E)</f>
        <v>2.82</v>
      </c>
      <c r="J3881" s="25">
        <f t="shared" si="2"/>
        <v>132.54</v>
      </c>
      <c r="K3881" s="27">
        <f t="shared" si="3"/>
        <v>1</v>
      </c>
      <c r="L3881" s="25">
        <f t="shared" si="4"/>
        <v>1</v>
      </c>
    </row>
    <row r="3882">
      <c r="A3882" s="19">
        <v>73187.0</v>
      </c>
      <c r="B3882" s="20" t="str">
        <f t="array" ref="B3882">xlookup($A3882,product!$A:$A,product!B:B)</f>
        <v>Epicerie sucrée</v>
      </c>
      <c r="C3882" s="20" t="str">
        <f t="array" ref="C3882">xlookup($A3882,product!$A:$A,product!C:C)</f>
        <v>Sucre et édulcorant</v>
      </c>
      <c r="D3882" s="20" t="str">
        <f t="array" ref="D3882">xlookup($A3882,product!$A:$A,product!D:D)</f>
        <v>Édulcorant naturel</v>
      </c>
      <c r="E3882" s="4" t="str">
        <f t="shared" si="1"/>
        <v>73187-Sucre et édulcorant-Édulcorant naturel</v>
      </c>
      <c r="F3882" s="4">
        <v>1.0</v>
      </c>
      <c r="G3882" s="4">
        <v>99.0</v>
      </c>
      <c r="H3882" s="4">
        <v>57.0</v>
      </c>
      <c r="I3882" s="21">
        <f t="array" ref="I3882">XLOOKUP($A3882,product!A:A,product!E:E)</f>
        <v>16.91</v>
      </c>
      <c r="J3882" s="4">
        <f t="shared" si="2"/>
        <v>963.87</v>
      </c>
      <c r="K3882" s="22">
        <f t="shared" si="3"/>
        <v>1</v>
      </c>
      <c r="L3882" s="4">
        <f t="shared" si="4"/>
        <v>1</v>
      </c>
    </row>
    <row r="3883">
      <c r="A3883" s="23">
        <v>41681.0</v>
      </c>
      <c r="B3883" s="24" t="str">
        <f t="array" ref="B3883">xlookup($A3883,product!$A:$A,product!B:B)</f>
        <v>Epicerie sucrée</v>
      </c>
      <c r="C3883" s="24" t="str">
        <f t="array" ref="C3883">xlookup($A3883,product!$A:$A,product!C:C)</f>
        <v>Sucre et édulcorant</v>
      </c>
      <c r="D3883" s="24" t="str">
        <f t="array" ref="D3883">xlookup($A3883,product!$A:$A,product!D:D)</f>
        <v>Édulcorant naturel</v>
      </c>
      <c r="E3883" s="25" t="str">
        <f t="shared" si="1"/>
        <v>41681-Sucre et édulcorant-Édulcorant naturel</v>
      </c>
      <c r="F3883" s="25">
        <v>0.0</v>
      </c>
      <c r="G3883" s="25">
        <v>692.0</v>
      </c>
      <c r="H3883" s="25">
        <v>386.0</v>
      </c>
      <c r="I3883" s="26">
        <f t="array" ref="I3883">XLOOKUP($A3883,product!A:A,product!E:E)</f>
        <v>2.54</v>
      </c>
      <c r="J3883" s="25">
        <f t="shared" si="2"/>
        <v>980.44</v>
      </c>
      <c r="K3883" s="27">
        <f t="shared" si="3"/>
        <v>1</v>
      </c>
      <c r="L3883" s="25">
        <f t="shared" si="4"/>
        <v>1</v>
      </c>
    </row>
    <row r="3884">
      <c r="A3884" s="19">
        <v>30624.0</v>
      </c>
      <c r="B3884" s="20" t="str">
        <f t="array" ref="B3884">xlookup($A3884,product!$A:$A,product!B:B)</f>
        <v>Epicerie sucrée</v>
      </c>
      <c r="C3884" s="20" t="str">
        <f t="array" ref="C3884">xlookup($A3884,product!$A:$A,product!C:C)</f>
        <v>Sucre et édulcorant</v>
      </c>
      <c r="D3884" s="20" t="str">
        <f t="array" ref="D3884">xlookup($A3884,product!$A:$A,product!D:D)</f>
        <v>Édulcorant naturel</v>
      </c>
      <c r="E3884" s="4" t="str">
        <f t="shared" si="1"/>
        <v>30624-Sucre et édulcorant-Édulcorant naturel</v>
      </c>
      <c r="F3884" s="4">
        <v>0.0</v>
      </c>
      <c r="G3884" s="4">
        <v>587.0</v>
      </c>
      <c r="H3884" s="4">
        <v>552.0</v>
      </c>
      <c r="I3884" s="21">
        <f t="array" ref="I3884">XLOOKUP($A3884,product!A:A,product!E:E)</f>
        <v>7.78</v>
      </c>
      <c r="J3884" s="4">
        <f t="shared" si="2"/>
        <v>4294.56</v>
      </c>
      <c r="K3884" s="22">
        <f t="shared" si="3"/>
        <v>1</v>
      </c>
      <c r="L3884" s="4">
        <f t="shared" si="4"/>
        <v>1</v>
      </c>
    </row>
    <row r="3885">
      <c r="A3885" s="23">
        <v>114267.0</v>
      </c>
      <c r="B3885" s="24" t="str">
        <f t="array" ref="B3885">xlookup($A3885,product!$A:$A,product!B:B)</f>
        <v>Epicerie sucrée</v>
      </c>
      <c r="C3885" s="24" t="str">
        <f t="array" ref="C3885">xlookup($A3885,product!$A:$A,product!C:C)</f>
        <v>Sucre et édulcorant</v>
      </c>
      <c r="D3885" s="24" t="str">
        <f t="array" ref="D3885">xlookup($A3885,product!$A:$A,product!D:D)</f>
        <v>Édulcorant naturel</v>
      </c>
      <c r="E3885" s="25" t="str">
        <f t="shared" si="1"/>
        <v>114267-Sucre et édulcorant-Édulcorant naturel</v>
      </c>
      <c r="F3885" s="25">
        <v>0.0</v>
      </c>
      <c r="G3885" s="25">
        <v>780.0</v>
      </c>
      <c r="H3885" s="25">
        <v>17.0</v>
      </c>
      <c r="I3885" s="26">
        <f t="array" ref="I3885">XLOOKUP($A3885,product!A:A,product!E:E)</f>
        <v>4.56</v>
      </c>
      <c r="J3885" s="25">
        <f t="shared" si="2"/>
        <v>77.52</v>
      </c>
      <c r="K3885" s="27">
        <f t="shared" si="3"/>
        <v>1</v>
      </c>
      <c r="L3885" s="25">
        <f t="shared" si="4"/>
        <v>1</v>
      </c>
    </row>
    <row r="3886">
      <c r="A3886" s="19">
        <v>77441.0</v>
      </c>
      <c r="B3886" s="20" t="str">
        <f t="array" ref="B3886">xlookup($A3886,product!$A:$A,product!B:B)</f>
        <v>Epicerie sucrée</v>
      </c>
      <c r="C3886" s="20" t="str">
        <f t="array" ref="C3886">xlookup($A3886,product!$A:$A,product!C:C)</f>
        <v>Sucre et édulcorant</v>
      </c>
      <c r="D3886" s="20" t="str">
        <f t="array" ref="D3886">xlookup($A3886,product!$A:$A,product!D:D)</f>
        <v>Édulcorant naturel</v>
      </c>
      <c r="E3886" s="4" t="str">
        <f t="shared" si="1"/>
        <v>77441-Sucre et édulcorant-Édulcorant naturel</v>
      </c>
      <c r="F3886" s="4">
        <v>1.0</v>
      </c>
      <c r="G3886" s="4">
        <v>499.0</v>
      </c>
      <c r="H3886" s="4">
        <v>93.0</v>
      </c>
      <c r="I3886" s="21">
        <f t="array" ref="I3886">XLOOKUP($A3886,product!A:A,product!E:E)</f>
        <v>1.87</v>
      </c>
      <c r="J3886" s="4">
        <f t="shared" si="2"/>
        <v>173.91</v>
      </c>
      <c r="K3886" s="22">
        <f t="shared" si="3"/>
        <v>1</v>
      </c>
      <c r="L3886" s="4">
        <f t="shared" si="4"/>
        <v>1</v>
      </c>
    </row>
    <row r="3887">
      <c r="A3887" s="23">
        <v>116636.0</v>
      </c>
      <c r="B3887" s="24" t="str">
        <f t="array" ref="B3887">xlookup($A3887,product!$A:$A,product!B:B)</f>
        <v>Epicerie sucrée</v>
      </c>
      <c r="C3887" s="24" t="str">
        <f t="array" ref="C3887">xlookup($A3887,product!$A:$A,product!C:C)</f>
        <v>Sucre et édulcorant</v>
      </c>
      <c r="D3887" s="24" t="str">
        <f t="array" ref="D3887">xlookup($A3887,product!$A:$A,product!D:D)</f>
        <v>Édulcorant naturel</v>
      </c>
      <c r="E3887" s="25" t="str">
        <f t="shared" si="1"/>
        <v>116636-Sucre et édulcorant-Édulcorant naturel</v>
      </c>
      <c r="F3887" s="25">
        <v>0.0</v>
      </c>
      <c r="G3887" s="25">
        <v>797.0</v>
      </c>
      <c r="H3887" s="25">
        <v>67.0</v>
      </c>
      <c r="I3887" s="26">
        <f t="array" ref="I3887">XLOOKUP($A3887,product!A:A,product!E:E)</f>
        <v>3.81</v>
      </c>
      <c r="J3887" s="25">
        <f t="shared" si="2"/>
        <v>255.27</v>
      </c>
      <c r="K3887" s="27">
        <f t="shared" si="3"/>
        <v>1</v>
      </c>
      <c r="L3887" s="25">
        <f t="shared" si="4"/>
        <v>1</v>
      </c>
    </row>
    <row r="3888">
      <c r="A3888" s="19">
        <v>115198.0</v>
      </c>
      <c r="B3888" s="20" t="str">
        <f t="array" ref="B3888">xlookup($A3888,product!$A:$A,product!B:B)</f>
        <v>Epicerie sucrée</v>
      </c>
      <c r="C3888" s="20" t="str">
        <f t="array" ref="C3888">xlookup($A3888,product!$A:$A,product!C:C)</f>
        <v>Sucre et édulcorant</v>
      </c>
      <c r="D3888" s="20" t="str">
        <f t="array" ref="D3888">xlookup($A3888,product!$A:$A,product!D:D)</f>
        <v>Édulcorant naturel</v>
      </c>
      <c r="E3888" s="4" t="str">
        <f t="shared" si="1"/>
        <v>115198-Sucre et édulcorant-Édulcorant naturel</v>
      </c>
      <c r="F3888" s="4">
        <v>1.0</v>
      </c>
      <c r="G3888" s="4">
        <v>246.0</v>
      </c>
      <c r="H3888" s="4">
        <v>136.0</v>
      </c>
      <c r="I3888" s="21">
        <f t="array" ref="I3888">XLOOKUP($A3888,product!A:A,product!E:E)</f>
        <v>4.7</v>
      </c>
      <c r="J3888" s="4">
        <f t="shared" si="2"/>
        <v>639.2</v>
      </c>
      <c r="K3888" s="22">
        <f t="shared" si="3"/>
        <v>1</v>
      </c>
      <c r="L3888" s="4">
        <f t="shared" si="4"/>
        <v>1</v>
      </c>
    </row>
    <row r="3889">
      <c r="A3889" s="23">
        <v>89845.0</v>
      </c>
      <c r="B3889" s="24" t="str">
        <f t="array" ref="B3889">xlookup($A3889,product!$A:$A,product!B:B)</f>
        <v>Epicerie sucrée</v>
      </c>
      <c r="C3889" s="24" t="str">
        <f t="array" ref="C3889">xlookup($A3889,product!$A:$A,product!C:C)</f>
        <v>Sucre et édulcorant</v>
      </c>
      <c r="D3889" s="24" t="str">
        <f t="array" ref="D3889">xlookup($A3889,product!$A:$A,product!D:D)</f>
        <v>Édulcorant naturel</v>
      </c>
      <c r="E3889" s="25" t="str">
        <f t="shared" si="1"/>
        <v>89845-Sucre et édulcorant-Édulcorant naturel</v>
      </c>
      <c r="F3889" s="25">
        <v>0.0</v>
      </c>
      <c r="G3889" s="25">
        <v>110.0</v>
      </c>
      <c r="H3889" s="25">
        <v>17.0</v>
      </c>
      <c r="I3889" s="26">
        <f t="array" ref="I3889">XLOOKUP($A3889,product!A:A,product!E:E)</f>
        <v>4.71</v>
      </c>
      <c r="J3889" s="25">
        <f t="shared" si="2"/>
        <v>80.07</v>
      </c>
      <c r="K3889" s="27">
        <f t="shared" si="3"/>
        <v>1</v>
      </c>
      <c r="L3889" s="25">
        <f t="shared" si="4"/>
        <v>1</v>
      </c>
    </row>
    <row r="3890">
      <c r="A3890" s="19">
        <v>112248.0</v>
      </c>
      <c r="B3890" s="20" t="str">
        <f t="array" ref="B3890">xlookup($A3890,product!$A:$A,product!B:B)</f>
        <v>Epicerie sucrée</v>
      </c>
      <c r="C3890" s="20" t="str">
        <f t="array" ref="C3890">xlookup($A3890,product!$A:$A,product!C:C)</f>
        <v>Sucre et édulcorant</v>
      </c>
      <c r="D3890" s="20" t="str">
        <f t="array" ref="D3890">xlookup($A3890,product!$A:$A,product!D:D)</f>
        <v>Édulcorant naturel</v>
      </c>
      <c r="E3890" s="4" t="str">
        <f t="shared" si="1"/>
        <v>112248-Sucre et édulcorant-Édulcorant naturel</v>
      </c>
      <c r="F3890" s="4">
        <v>0.0</v>
      </c>
      <c r="G3890" s="4">
        <v>331.0</v>
      </c>
      <c r="H3890" s="4">
        <v>45.0</v>
      </c>
      <c r="I3890" s="21">
        <f t="array" ref="I3890">XLOOKUP($A3890,product!A:A,product!E:E)</f>
        <v>2.47</v>
      </c>
      <c r="J3890" s="4">
        <f t="shared" si="2"/>
        <v>111.15</v>
      </c>
      <c r="K3890" s="22">
        <f t="shared" si="3"/>
        <v>1</v>
      </c>
      <c r="L3890" s="4">
        <f t="shared" si="4"/>
        <v>1</v>
      </c>
    </row>
    <row r="3891">
      <c r="A3891" s="23">
        <v>89849.0</v>
      </c>
      <c r="B3891" s="24" t="str">
        <f t="array" ref="B3891">xlookup($A3891,product!$A:$A,product!B:B)</f>
        <v>Epicerie sucrée</v>
      </c>
      <c r="C3891" s="24" t="str">
        <f t="array" ref="C3891">xlookup($A3891,product!$A:$A,product!C:C)</f>
        <v>Sucre et édulcorant</v>
      </c>
      <c r="D3891" s="24" t="str">
        <f t="array" ref="D3891">xlookup($A3891,product!$A:$A,product!D:D)</f>
        <v>Édulcorant naturel</v>
      </c>
      <c r="E3891" s="25" t="str">
        <f t="shared" si="1"/>
        <v>89849-Sucre et édulcorant-Édulcorant naturel</v>
      </c>
      <c r="F3891" s="25">
        <v>1.0</v>
      </c>
      <c r="G3891" s="25">
        <v>729.0</v>
      </c>
      <c r="H3891" s="25">
        <v>668.0</v>
      </c>
      <c r="I3891" s="26">
        <f t="array" ref="I3891">XLOOKUP($A3891,product!A:A,product!E:E)</f>
        <v>5.76</v>
      </c>
      <c r="J3891" s="25">
        <f t="shared" si="2"/>
        <v>3847.68</v>
      </c>
      <c r="K3891" s="27">
        <f t="shared" si="3"/>
        <v>1</v>
      </c>
      <c r="L3891" s="25">
        <f t="shared" si="4"/>
        <v>1</v>
      </c>
    </row>
    <row r="3892">
      <c r="A3892" s="19">
        <v>121709.0</v>
      </c>
      <c r="B3892" s="20" t="str">
        <f t="array" ref="B3892">xlookup($A3892,product!$A:$A,product!B:B)</f>
        <v>Epicerie sucrée</v>
      </c>
      <c r="C3892" s="20" t="str">
        <f t="array" ref="C3892">xlookup($A3892,product!$A:$A,product!C:C)</f>
        <v>Sucre et édulcorant</v>
      </c>
      <c r="D3892" s="20" t="str">
        <f t="array" ref="D3892">xlookup($A3892,product!$A:$A,product!D:D)</f>
        <v>Édulcorant naturel</v>
      </c>
      <c r="E3892" s="4" t="str">
        <f t="shared" si="1"/>
        <v>121709-Sucre et édulcorant-Édulcorant naturel</v>
      </c>
      <c r="F3892" s="4">
        <v>0.0</v>
      </c>
      <c r="G3892" s="4">
        <v>136.0</v>
      </c>
      <c r="H3892" s="4">
        <v>85.0</v>
      </c>
      <c r="I3892" s="21">
        <f t="array" ref="I3892">XLOOKUP($A3892,product!A:A,product!E:E)</f>
        <v>4.45</v>
      </c>
      <c r="J3892" s="4">
        <f t="shared" si="2"/>
        <v>378.25</v>
      </c>
      <c r="K3892" s="22">
        <f t="shared" si="3"/>
        <v>1</v>
      </c>
      <c r="L3892" s="4">
        <f t="shared" si="4"/>
        <v>1</v>
      </c>
    </row>
    <row r="3893">
      <c r="A3893" s="23">
        <v>122653.0</v>
      </c>
      <c r="B3893" s="24" t="str">
        <f t="array" ref="B3893">xlookup($A3893,product!$A:$A,product!B:B)</f>
        <v>Epicerie sucrée</v>
      </c>
      <c r="C3893" s="24" t="str">
        <f t="array" ref="C3893">xlookup($A3893,product!$A:$A,product!C:C)</f>
        <v>Sucre et édulcorant</v>
      </c>
      <c r="D3893" s="24" t="str">
        <f t="array" ref="D3893">xlookup($A3893,product!$A:$A,product!D:D)</f>
        <v>Édulcorant naturel</v>
      </c>
      <c r="E3893" s="25" t="str">
        <f t="shared" si="1"/>
        <v>122653-Sucre et édulcorant-Édulcorant naturel</v>
      </c>
      <c r="F3893" s="25">
        <v>1.0</v>
      </c>
      <c r="G3893" s="25">
        <v>283.0</v>
      </c>
      <c r="H3893" s="25">
        <v>251.0</v>
      </c>
      <c r="I3893" s="26">
        <f t="array" ref="I3893">XLOOKUP($A3893,product!A:A,product!E:E)</f>
        <v>8.16</v>
      </c>
      <c r="J3893" s="25">
        <f t="shared" si="2"/>
        <v>2048.16</v>
      </c>
      <c r="K3893" s="27">
        <f t="shared" si="3"/>
        <v>1</v>
      </c>
      <c r="L3893" s="25">
        <f t="shared" si="4"/>
        <v>1</v>
      </c>
    </row>
    <row r="3894">
      <c r="A3894" s="19">
        <v>9759.0</v>
      </c>
      <c r="B3894" s="20" t="str">
        <f t="array" ref="B3894">xlookup($A3894,product!$A:$A,product!B:B)</f>
        <v>Epicerie sucrée</v>
      </c>
      <c r="C3894" s="20" t="str">
        <f t="array" ref="C3894">xlookup($A3894,product!$A:$A,product!C:C)</f>
        <v>Sucre et édulcorant</v>
      </c>
      <c r="D3894" s="20" t="str">
        <f t="array" ref="D3894">xlookup($A3894,product!$A:$A,product!D:D)</f>
        <v>Édulcorant naturel</v>
      </c>
      <c r="E3894" s="4" t="str">
        <f t="shared" si="1"/>
        <v>9759-Sucre et édulcorant-Édulcorant naturel</v>
      </c>
      <c r="F3894" s="4">
        <v>0.0</v>
      </c>
      <c r="G3894" s="4">
        <v>733.0</v>
      </c>
      <c r="H3894" s="4">
        <v>115.0</v>
      </c>
      <c r="I3894" s="21">
        <f t="array" ref="I3894">XLOOKUP($A3894,product!A:A,product!E:E)</f>
        <v>2.3</v>
      </c>
      <c r="J3894" s="4">
        <f t="shared" si="2"/>
        <v>264.5</v>
      </c>
      <c r="K3894" s="22">
        <f t="shared" si="3"/>
        <v>1</v>
      </c>
      <c r="L3894" s="4">
        <f t="shared" si="4"/>
        <v>1</v>
      </c>
    </row>
    <row r="3895">
      <c r="A3895" s="23">
        <v>86782.0</v>
      </c>
      <c r="B3895" s="24" t="str">
        <f t="array" ref="B3895">xlookup($A3895,product!$A:$A,product!B:B)</f>
        <v>Epicerie sucrée</v>
      </c>
      <c r="C3895" s="24" t="str">
        <f t="array" ref="C3895">xlookup($A3895,product!$A:$A,product!C:C)</f>
        <v>Sucre et édulcorant</v>
      </c>
      <c r="D3895" s="24" t="str">
        <f t="array" ref="D3895">xlookup($A3895,product!$A:$A,product!D:D)</f>
        <v>Édulcorant naturel</v>
      </c>
      <c r="E3895" s="25" t="str">
        <f t="shared" si="1"/>
        <v>86782-Sucre et édulcorant-Édulcorant naturel</v>
      </c>
      <c r="F3895" s="25">
        <v>0.0</v>
      </c>
      <c r="G3895" s="25">
        <v>165.0</v>
      </c>
      <c r="H3895" s="25">
        <v>30.0</v>
      </c>
      <c r="I3895" s="26">
        <f t="array" ref="I3895">XLOOKUP($A3895,product!A:A,product!E:E)</f>
        <v>6.98</v>
      </c>
      <c r="J3895" s="25">
        <f t="shared" si="2"/>
        <v>209.4</v>
      </c>
      <c r="K3895" s="27">
        <f t="shared" si="3"/>
        <v>1</v>
      </c>
      <c r="L3895" s="25">
        <f t="shared" si="4"/>
        <v>1</v>
      </c>
    </row>
    <row r="3896">
      <c r="A3896" s="19">
        <v>119246.0</v>
      </c>
      <c r="B3896" s="20" t="str">
        <f t="array" ref="B3896">xlookup($A3896,product!$A:$A,product!B:B)</f>
        <v>Epicerie sucrée</v>
      </c>
      <c r="C3896" s="20" t="str">
        <f t="array" ref="C3896">xlookup($A3896,product!$A:$A,product!C:C)</f>
        <v>Sucre et édulcorant</v>
      </c>
      <c r="D3896" s="20" t="str">
        <f t="array" ref="D3896">xlookup($A3896,product!$A:$A,product!D:D)</f>
        <v>Édulcorant naturel</v>
      </c>
      <c r="E3896" s="4" t="str">
        <f t="shared" si="1"/>
        <v>119246-Sucre et édulcorant-Édulcorant naturel</v>
      </c>
      <c r="F3896" s="4">
        <v>0.0</v>
      </c>
      <c r="G3896" s="4">
        <v>64.0</v>
      </c>
      <c r="H3896" s="4">
        <v>1.0</v>
      </c>
      <c r="I3896" s="21">
        <f t="array" ref="I3896">XLOOKUP($A3896,product!A:A,product!E:E)</f>
        <v>6.04</v>
      </c>
      <c r="J3896" s="4">
        <f t="shared" si="2"/>
        <v>6.04</v>
      </c>
      <c r="K3896" s="22">
        <f t="shared" si="3"/>
        <v>1</v>
      </c>
      <c r="L3896" s="4">
        <f t="shared" si="4"/>
        <v>1</v>
      </c>
    </row>
    <row r="3897">
      <c r="A3897" s="23">
        <v>6047.0</v>
      </c>
      <c r="B3897" s="24" t="str">
        <f t="array" ref="B3897">xlookup($A3897,product!$A:$A,product!B:B)</f>
        <v>Epicerie sucrée</v>
      </c>
      <c r="C3897" s="24" t="str">
        <f t="array" ref="C3897">xlookup($A3897,product!$A:$A,product!C:C)</f>
        <v>Sucre et édulcorant</v>
      </c>
      <c r="D3897" s="24" t="str">
        <f t="array" ref="D3897">xlookup($A3897,product!$A:$A,product!D:D)</f>
        <v>Édulcorant naturel</v>
      </c>
      <c r="E3897" s="25" t="str">
        <f t="shared" si="1"/>
        <v>6047-Sucre et édulcorant-Édulcorant naturel</v>
      </c>
      <c r="F3897" s="25">
        <v>0.0</v>
      </c>
      <c r="G3897" s="25">
        <v>596.0</v>
      </c>
      <c r="H3897" s="25">
        <v>256.0</v>
      </c>
      <c r="I3897" s="26">
        <f t="array" ref="I3897">XLOOKUP($A3897,product!A:A,product!E:E)</f>
        <v>7.12</v>
      </c>
      <c r="J3897" s="25">
        <f t="shared" si="2"/>
        <v>1822.72</v>
      </c>
      <c r="K3897" s="27">
        <f t="shared" si="3"/>
        <v>1</v>
      </c>
      <c r="L3897" s="25">
        <f t="shared" si="4"/>
        <v>1</v>
      </c>
    </row>
    <row r="3898">
      <c r="A3898" s="19">
        <v>117526.0</v>
      </c>
      <c r="B3898" s="20" t="str">
        <f t="array" ref="B3898">xlookup($A3898,product!$A:$A,product!B:B)</f>
        <v>Epicerie sucrée</v>
      </c>
      <c r="C3898" s="20" t="str">
        <f t="array" ref="C3898">xlookup($A3898,product!$A:$A,product!C:C)</f>
        <v>Sucre et édulcorant</v>
      </c>
      <c r="D3898" s="20" t="str">
        <f t="array" ref="D3898">xlookup($A3898,product!$A:$A,product!D:D)</f>
        <v>Édulcorant naturel</v>
      </c>
      <c r="E3898" s="4" t="str">
        <f t="shared" si="1"/>
        <v>117526-Sucre et édulcorant-Édulcorant naturel</v>
      </c>
      <c r="F3898" s="4">
        <v>0.0</v>
      </c>
      <c r="G3898" s="4">
        <v>628.0</v>
      </c>
      <c r="H3898" s="4">
        <v>51.0</v>
      </c>
      <c r="I3898" s="21">
        <f t="array" ref="I3898">XLOOKUP($A3898,product!A:A,product!E:E)</f>
        <v>6.93</v>
      </c>
      <c r="J3898" s="4">
        <f t="shared" si="2"/>
        <v>353.43</v>
      </c>
      <c r="K3898" s="22">
        <f t="shared" si="3"/>
        <v>1</v>
      </c>
      <c r="L3898" s="4">
        <f t="shared" si="4"/>
        <v>1</v>
      </c>
    </row>
    <row r="3899">
      <c r="A3899" s="23">
        <v>106671.0</v>
      </c>
      <c r="B3899" s="24" t="str">
        <f t="array" ref="B3899">xlookup($A3899,product!$A:$A,product!B:B)</f>
        <v>Epicerie sucrée</v>
      </c>
      <c r="C3899" s="24" t="str">
        <f t="array" ref="C3899">xlookup($A3899,product!$A:$A,product!C:C)</f>
        <v>Sucre et édulcorant</v>
      </c>
      <c r="D3899" s="24" t="str">
        <f t="array" ref="D3899">xlookup($A3899,product!$A:$A,product!D:D)</f>
        <v>Édulcorant naturel</v>
      </c>
      <c r="E3899" s="25" t="str">
        <f t="shared" si="1"/>
        <v>106671-Sucre et édulcorant-Édulcorant naturel</v>
      </c>
      <c r="F3899" s="25">
        <v>0.0</v>
      </c>
      <c r="G3899" s="25">
        <v>591.0</v>
      </c>
      <c r="H3899" s="25">
        <v>432.0</v>
      </c>
      <c r="I3899" s="26">
        <f t="array" ref="I3899">XLOOKUP($A3899,product!A:A,product!E:E)</f>
        <v>7.32</v>
      </c>
      <c r="J3899" s="25">
        <f t="shared" si="2"/>
        <v>3162.24</v>
      </c>
      <c r="K3899" s="27">
        <f t="shared" si="3"/>
        <v>1</v>
      </c>
      <c r="L3899" s="25">
        <f t="shared" si="4"/>
        <v>1</v>
      </c>
    </row>
    <row r="3900">
      <c r="A3900" s="19">
        <v>30889.0</v>
      </c>
      <c r="B3900" s="20" t="str">
        <f t="array" ref="B3900">xlookup($A3900,product!$A:$A,product!B:B)</f>
        <v>Epicerie sucrée</v>
      </c>
      <c r="C3900" s="20" t="str">
        <f t="array" ref="C3900">xlookup($A3900,product!$A:$A,product!C:C)</f>
        <v>Sucre et édulcorant</v>
      </c>
      <c r="D3900" s="20" t="str">
        <f t="array" ref="D3900">xlookup($A3900,product!$A:$A,product!D:D)</f>
        <v>Édulcorant naturel</v>
      </c>
      <c r="E3900" s="4" t="str">
        <f t="shared" si="1"/>
        <v>30889-Sucre et édulcorant-Édulcorant naturel</v>
      </c>
      <c r="F3900" s="4">
        <v>1.0</v>
      </c>
      <c r="G3900" s="4">
        <v>146.0</v>
      </c>
      <c r="H3900" s="4">
        <v>131.0</v>
      </c>
      <c r="I3900" s="21">
        <f t="array" ref="I3900">XLOOKUP($A3900,product!A:A,product!E:E)</f>
        <v>3.95</v>
      </c>
      <c r="J3900" s="4">
        <f t="shared" si="2"/>
        <v>517.45</v>
      </c>
      <c r="K3900" s="22">
        <f t="shared" si="3"/>
        <v>1</v>
      </c>
      <c r="L3900" s="4">
        <f t="shared" si="4"/>
        <v>1</v>
      </c>
    </row>
    <row r="3901">
      <c r="A3901" s="23">
        <v>80634.0</v>
      </c>
      <c r="B3901" s="24" t="str">
        <f t="array" ref="B3901">xlookup($A3901,product!$A:$A,product!B:B)</f>
        <v>Epicerie sucrée</v>
      </c>
      <c r="C3901" s="24" t="str">
        <f t="array" ref="C3901">xlookup($A3901,product!$A:$A,product!C:C)</f>
        <v>Sucre et édulcorant</v>
      </c>
      <c r="D3901" s="24" t="str">
        <f t="array" ref="D3901">xlookup($A3901,product!$A:$A,product!D:D)</f>
        <v>Édulcorant naturel</v>
      </c>
      <c r="E3901" s="25" t="str">
        <f t="shared" si="1"/>
        <v>80634-Sucre et édulcorant-Édulcorant naturel</v>
      </c>
      <c r="F3901" s="25">
        <v>1.0</v>
      </c>
      <c r="G3901" s="25">
        <v>474.0</v>
      </c>
      <c r="H3901" s="25">
        <v>80.0</v>
      </c>
      <c r="I3901" s="26">
        <f t="array" ref="I3901">XLOOKUP($A3901,product!A:A,product!E:E)</f>
        <v>3.61</v>
      </c>
      <c r="J3901" s="25">
        <f t="shared" si="2"/>
        <v>288.8</v>
      </c>
      <c r="K3901" s="27">
        <f t="shared" si="3"/>
        <v>1</v>
      </c>
      <c r="L3901" s="25">
        <f t="shared" si="4"/>
        <v>1</v>
      </c>
    </row>
    <row r="3902">
      <c r="A3902" s="19">
        <v>114269.0</v>
      </c>
      <c r="B3902" s="20" t="str">
        <f t="array" ref="B3902">xlookup($A3902,product!$A:$A,product!B:B)</f>
        <v>Epicerie sucrée</v>
      </c>
      <c r="C3902" s="20" t="str">
        <f t="array" ref="C3902">xlookup($A3902,product!$A:$A,product!C:C)</f>
        <v>Sucre et édulcorant</v>
      </c>
      <c r="D3902" s="20" t="str">
        <f t="array" ref="D3902">xlookup($A3902,product!$A:$A,product!D:D)</f>
        <v>Édulcorant naturel</v>
      </c>
      <c r="E3902" s="4" t="str">
        <f t="shared" si="1"/>
        <v>114269-Sucre et édulcorant-Édulcorant naturel</v>
      </c>
      <c r="F3902" s="4">
        <v>1.0</v>
      </c>
      <c r="G3902" s="4">
        <v>642.0</v>
      </c>
      <c r="H3902" s="4">
        <v>469.0</v>
      </c>
      <c r="I3902" s="21">
        <f t="array" ref="I3902">XLOOKUP($A3902,product!A:A,product!E:E)</f>
        <v>3.02</v>
      </c>
      <c r="J3902" s="4">
        <f t="shared" si="2"/>
        <v>1416.38</v>
      </c>
      <c r="K3902" s="22">
        <f t="shared" si="3"/>
        <v>1</v>
      </c>
      <c r="L3902" s="4">
        <f t="shared" si="4"/>
        <v>1</v>
      </c>
    </row>
    <row r="3903">
      <c r="A3903" s="23">
        <v>84034.0</v>
      </c>
      <c r="B3903" s="24" t="str">
        <f t="array" ref="B3903">xlookup($A3903,product!$A:$A,product!B:B)</f>
        <v>Epicerie sucrée</v>
      </c>
      <c r="C3903" s="24" t="str">
        <f t="array" ref="C3903">xlookup($A3903,product!$A:$A,product!C:C)</f>
        <v>Sucre et édulcorant</v>
      </c>
      <c r="D3903" s="24" t="str">
        <f t="array" ref="D3903">xlookup($A3903,product!$A:$A,product!D:D)</f>
        <v>Édulcorant naturel</v>
      </c>
      <c r="E3903" s="25" t="str">
        <f t="shared" si="1"/>
        <v>84034-Sucre et édulcorant-Édulcorant naturel</v>
      </c>
      <c r="F3903" s="25">
        <v>1.0</v>
      </c>
      <c r="G3903" s="25">
        <v>508.0</v>
      </c>
      <c r="H3903" s="25">
        <v>494.0</v>
      </c>
      <c r="I3903" s="26">
        <f t="array" ref="I3903">XLOOKUP($A3903,product!A:A,product!E:E)</f>
        <v>3.91</v>
      </c>
      <c r="J3903" s="25">
        <f t="shared" si="2"/>
        <v>1931.54</v>
      </c>
      <c r="K3903" s="27">
        <f t="shared" si="3"/>
        <v>1</v>
      </c>
      <c r="L3903" s="25">
        <f t="shared" si="4"/>
        <v>1</v>
      </c>
    </row>
    <row r="3904">
      <c r="A3904" s="19">
        <v>103271.0</v>
      </c>
      <c r="B3904" s="20" t="str">
        <f t="array" ref="B3904">xlookup($A3904,product!$A:$A,product!B:B)</f>
        <v>Epicerie sucrée</v>
      </c>
      <c r="C3904" s="20" t="str">
        <f t="array" ref="C3904">xlookup($A3904,product!$A:$A,product!C:C)</f>
        <v>Sucre et édulcorant</v>
      </c>
      <c r="D3904" s="20" t="str">
        <f t="array" ref="D3904">xlookup($A3904,product!$A:$A,product!D:D)</f>
        <v>Édulcorant naturel</v>
      </c>
      <c r="E3904" s="4" t="str">
        <f t="shared" si="1"/>
        <v>103271-Sucre et édulcorant-Édulcorant naturel</v>
      </c>
      <c r="F3904" s="4">
        <v>1.0</v>
      </c>
      <c r="G3904" s="4">
        <v>897.0</v>
      </c>
      <c r="H3904" s="4">
        <v>191.0</v>
      </c>
      <c r="I3904" s="21">
        <f t="array" ref="I3904">XLOOKUP($A3904,product!A:A,product!E:E)</f>
        <v>4.05</v>
      </c>
      <c r="J3904" s="4">
        <f t="shared" si="2"/>
        <v>773.55</v>
      </c>
      <c r="K3904" s="22">
        <f t="shared" si="3"/>
        <v>1</v>
      </c>
      <c r="L3904" s="4">
        <f t="shared" si="4"/>
        <v>1</v>
      </c>
    </row>
    <row r="3905">
      <c r="A3905" s="23">
        <v>72248.0</v>
      </c>
      <c r="B3905" s="24" t="str">
        <f t="array" ref="B3905">xlookup($A3905,product!$A:$A,product!B:B)</f>
        <v>Epicerie sucrée</v>
      </c>
      <c r="C3905" s="24" t="str">
        <f t="array" ref="C3905">xlookup($A3905,product!$A:$A,product!C:C)</f>
        <v>Sucre et édulcorant</v>
      </c>
      <c r="D3905" s="24" t="str">
        <f t="array" ref="D3905">xlookup($A3905,product!$A:$A,product!D:D)</f>
        <v>Édulcorant naturel</v>
      </c>
      <c r="E3905" s="25" t="str">
        <f t="shared" si="1"/>
        <v>72248-Sucre et édulcorant-Édulcorant naturel</v>
      </c>
      <c r="F3905" s="25">
        <v>1.0</v>
      </c>
      <c r="G3905" s="25">
        <v>928.0</v>
      </c>
      <c r="H3905" s="25">
        <v>62.0</v>
      </c>
      <c r="I3905" s="26">
        <f t="array" ref="I3905">XLOOKUP($A3905,product!A:A,product!E:E)</f>
        <v>8.12</v>
      </c>
      <c r="J3905" s="25">
        <f t="shared" si="2"/>
        <v>503.44</v>
      </c>
      <c r="K3905" s="27">
        <f t="shared" si="3"/>
        <v>1</v>
      </c>
      <c r="L3905" s="25">
        <f t="shared" si="4"/>
        <v>1</v>
      </c>
    </row>
    <row r="3906">
      <c r="A3906" s="19">
        <v>7672.0</v>
      </c>
      <c r="B3906" s="20" t="str">
        <f t="array" ref="B3906">xlookup($A3906,product!$A:$A,product!B:B)</f>
        <v>Santé &amp; Bien-être</v>
      </c>
      <c r="C3906" s="20" t="str">
        <f t="array" ref="C3906">xlookup($A3906,product!$A:$A,product!C:C)</f>
        <v>Vitamines, minéraux</v>
      </c>
      <c r="D3906" s="20" t="str">
        <f t="array" ref="D3906">xlookup($A3906,product!$A:$A,product!D:D)</f>
        <v>Fer</v>
      </c>
      <c r="E3906" s="4" t="str">
        <f t="shared" si="1"/>
        <v>7672-Vitamines, minéraux-Fer</v>
      </c>
      <c r="F3906" s="4">
        <v>0.0</v>
      </c>
      <c r="G3906" s="4">
        <v>696.0</v>
      </c>
      <c r="H3906" s="4">
        <v>666.0</v>
      </c>
      <c r="I3906" s="21">
        <f t="array" ref="I3906">XLOOKUP($A3906,product!A:A,product!E:E)</f>
        <v>13.95</v>
      </c>
      <c r="J3906" s="4">
        <f t="shared" si="2"/>
        <v>9290.7</v>
      </c>
      <c r="K3906" s="22">
        <f t="shared" si="3"/>
        <v>1</v>
      </c>
      <c r="L3906" s="4">
        <f t="shared" si="4"/>
        <v>1</v>
      </c>
    </row>
    <row r="3907">
      <c r="A3907" s="23">
        <v>82844.0</v>
      </c>
      <c r="B3907" s="24" t="str">
        <f t="array" ref="B3907">xlookup($A3907,product!$A:$A,product!B:B)</f>
        <v>Santé &amp; Bien-être</v>
      </c>
      <c r="C3907" s="24" t="str">
        <f t="array" ref="C3907">xlookup($A3907,product!$A:$A,product!C:C)</f>
        <v>Vitamines, minéraux</v>
      </c>
      <c r="D3907" s="24" t="str">
        <f t="array" ref="D3907">xlookup($A3907,product!$A:$A,product!D:D)</f>
        <v>Fer</v>
      </c>
      <c r="E3907" s="25" t="str">
        <f t="shared" si="1"/>
        <v>82844-Vitamines, minéraux-Fer</v>
      </c>
      <c r="F3907" s="25">
        <v>1.0</v>
      </c>
      <c r="G3907" s="25">
        <v>328.0</v>
      </c>
      <c r="H3907" s="25">
        <v>270.0</v>
      </c>
      <c r="I3907" s="26">
        <f t="array" ref="I3907">XLOOKUP($A3907,product!A:A,product!E:E)</f>
        <v>4.92</v>
      </c>
      <c r="J3907" s="25">
        <f t="shared" si="2"/>
        <v>1328.4</v>
      </c>
      <c r="K3907" s="27">
        <f t="shared" si="3"/>
        <v>1</v>
      </c>
      <c r="L3907" s="25">
        <f t="shared" si="4"/>
        <v>1</v>
      </c>
    </row>
    <row r="3908">
      <c r="A3908" s="19">
        <v>7685.0</v>
      </c>
      <c r="B3908" s="20" t="str">
        <f t="array" ref="B3908">xlookup($A3908,product!$A:$A,product!B:B)</f>
        <v>Santé &amp; Bien-être</v>
      </c>
      <c r="C3908" s="20" t="str">
        <f t="array" ref="C3908">xlookup($A3908,product!$A:$A,product!C:C)</f>
        <v>Vitamines, minéraux</v>
      </c>
      <c r="D3908" s="20" t="str">
        <f t="array" ref="D3908">xlookup($A3908,product!$A:$A,product!D:D)</f>
        <v>Fer</v>
      </c>
      <c r="E3908" s="4" t="str">
        <f t="shared" si="1"/>
        <v>7685-Vitamines, minéraux-Fer</v>
      </c>
      <c r="F3908" s="4">
        <v>1.0</v>
      </c>
      <c r="G3908" s="4">
        <v>620.0</v>
      </c>
      <c r="H3908" s="4">
        <v>408.0</v>
      </c>
      <c r="I3908" s="21">
        <f t="array" ref="I3908">XLOOKUP($A3908,product!A:A,product!E:E)</f>
        <v>8.21</v>
      </c>
      <c r="J3908" s="4">
        <f t="shared" si="2"/>
        <v>3349.68</v>
      </c>
      <c r="K3908" s="22">
        <f t="shared" si="3"/>
        <v>1</v>
      </c>
      <c r="L3908" s="4">
        <f t="shared" si="4"/>
        <v>1</v>
      </c>
    </row>
    <row r="3909">
      <c r="A3909" s="23">
        <v>7673.0</v>
      </c>
      <c r="B3909" s="24" t="str">
        <f t="array" ref="B3909">xlookup($A3909,product!$A:$A,product!B:B)</f>
        <v>Santé &amp; Bien-être</v>
      </c>
      <c r="C3909" s="24" t="str">
        <f t="array" ref="C3909">xlookup($A3909,product!$A:$A,product!C:C)</f>
        <v>Vitamines, minéraux</v>
      </c>
      <c r="D3909" s="24" t="str">
        <f t="array" ref="D3909">xlookup($A3909,product!$A:$A,product!D:D)</f>
        <v>Fer</v>
      </c>
      <c r="E3909" s="25" t="str">
        <f t="shared" si="1"/>
        <v>7673-Vitamines, minéraux-Fer</v>
      </c>
      <c r="F3909" s="25">
        <v>0.0</v>
      </c>
      <c r="G3909" s="25">
        <v>76.0</v>
      </c>
      <c r="H3909" s="25">
        <v>25.0</v>
      </c>
      <c r="I3909" s="26">
        <f t="array" ref="I3909">XLOOKUP($A3909,product!A:A,product!E:E)</f>
        <v>8.1</v>
      </c>
      <c r="J3909" s="25">
        <f t="shared" si="2"/>
        <v>202.5</v>
      </c>
      <c r="K3909" s="27">
        <f t="shared" si="3"/>
        <v>1</v>
      </c>
      <c r="L3909" s="25">
        <f t="shared" si="4"/>
        <v>1</v>
      </c>
    </row>
    <row r="3910">
      <c r="A3910" s="19">
        <v>72328.0</v>
      </c>
      <c r="B3910" s="20" t="str">
        <f t="array" ref="B3910">xlookup($A3910,product!$A:$A,product!B:B)</f>
        <v>Santé &amp; Bien-être</v>
      </c>
      <c r="C3910" s="20" t="str">
        <f t="array" ref="C3910">xlookup($A3910,product!$A:$A,product!C:C)</f>
        <v>Vitamines, minéraux</v>
      </c>
      <c r="D3910" s="20" t="str">
        <f t="array" ref="D3910">xlookup($A3910,product!$A:$A,product!D:D)</f>
        <v>Vitamine D</v>
      </c>
      <c r="E3910" s="4" t="str">
        <f t="shared" si="1"/>
        <v>72328-Vitamines, minéraux-Vitamine D</v>
      </c>
      <c r="F3910" s="4">
        <v>1.0</v>
      </c>
      <c r="G3910" s="4">
        <v>197.0</v>
      </c>
      <c r="H3910" s="4">
        <v>196.0</v>
      </c>
      <c r="I3910" s="21">
        <f t="array" ref="I3910">XLOOKUP($A3910,product!A:A,product!E:E)</f>
        <v>11.6</v>
      </c>
      <c r="J3910" s="4">
        <f t="shared" si="2"/>
        <v>2273.6</v>
      </c>
      <c r="K3910" s="22">
        <f t="shared" si="3"/>
        <v>1</v>
      </c>
      <c r="L3910" s="4">
        <f t="shared" si="4"/>
        <v>1</v>
      </c>
    </row>
    <row r="3911">
      <c r="A3911" s="23">
        <v>87967.0</v>
      </c>
      <c r="B3911" s="24" t="str">
        <f t="array" ref="B3911">xlookup($A3911,product!$A:$A,product!B:B)</f>
        <v>Santé &amp; Bien-être</v>
      </c>
      <c r="C3911" s="24" t="str">
        <f t="array" ref="C3911">xlookup($A3911,product!$A:$A,product!C:C)</f>
        <v>Vitamines, minéraux</v>
      </c>
      <c r="D3911" s="24" t="str">
        <f t="array" ref="D3911">xlookup($A3911,product!$A:$A,product!D:D)</f>
        <v>Vitamine D</v>
      </c>
      <c r="E3911" s="25" t="str">
        <f t="shared" si="1"/>
        <v>87967-Vitamines, minéraux-Vitamine D</v>
      </c>
      <c r="F3911" s="25">
        <v>1.0</v>
      </c>
      <c r="G3911" s="25">
        <v>541.0</v>
      </c>
      <c r="H3911" s="25">
        <v>310.0</v>
      </c>
      <c r="I3911" s="26">
        <f t="array" ref="I3911">XLOOKUP($A3911,product!A:A,product!E:E)</f>
        <v>12</v>
      </c>
      <c r="J3911" s="25">
        <f t="shared" si="2"/>
        <v>3720</v>
      </c>
      <c r="K3911" s="27">
        <f t="shared" si="3"/>
        <v>1</v>
      </c>
      <c r="L3911" s="25">
        <f t="shared" si="4"/>
        <v>1</v>
      </c>
    </row>
    <row r="3912">
      <c r="A3912" s="19">
        <v>113193.0</v>
      </c>
      <c r="B3912" s="20" t="str">
        <f t="array" ref="B3912">xlookup($A3912,product!$A:$A,product!B:B)</f>
        <v>Santé &amp; Bien-être</v>
      </c>
      <c r="C3912" s="20" t="str">
        <f t="array" ref="C3912">xlookup($A3912,product!$A:$A,product!C:C)</f>
        <v>Vitamines, minéraux</v>
      </c>
      <c r="D3912" s="20" t="str">
        <f t="array" ref="D3912">xlookup($A3912,product!$A:$A,product!D:D)</f>
        <v>Vitamine D</v>
      </c>
      <c r="E3912" s="4" t="str">
        <f t="shared" si="1"/>
        <v>113193-Vitamines, minéraux-Vitamine D</v>
      </c>
      <c r="F3912" s="4">
        <v>0.0</v>
      </c>
      <c r="G3912" s="4">
        <v>49.0</v>
      </c>
      <c r="H3912" s="4">
        <v>45.0</v>
      </c>
      <c r="I3912" s="21">
        <f t="array" ref="I3912">XLOOKUP($A3912,product!A:A,product!E:E)</f>
        <v>10.34</v>
      </c>
      <c r="J3912" s="4">
        <f t="shared" si="2"/>
        <v>465.3</v>
      </c>
      <c r="K3912" s="22">
        <f t="shared" si="3"/>
        <v>1</v>
      </c>
      <c r="L3912" s="4">
        <f t="shared" si="4"/>
        <v>1</v>
      </c>
    </row>
    <row r="3913">
      <c r="A3913" s="23">
        <v>82821.0</v>
      </c>
      <c r="B3913" s="24" t="str">
        <f t="array" ref="B3913">xlookup($A3913,product!$A:$A,product!B:B)</f>
        <v>Santé &amp; Bien-être</v>
      </c>
      <c r="C3913" s="24" t="str">
        <f t="array" ref="C3913">xlookup($A3913,product!$A:$A,product!C:C)</f>
        <v>Vitamines, minéraux</v>
      </c>
      <c r="D3913" s="24" t="str">
        <f t="array" ref="D3913">xlookup($A3913,product!$A:$A,product!D:D)</f>
        <v>Vitamine D</v>
      </c>
      <c r="E3913" s="25" t="str">
        <f t="shared" si="1"/>
        <v>82821-Vitamines, minéraux-Vitamine D</v>
      </c>
      <c r="F3913" s="25">
        <v>0.0</v>
      </c>
      <c r="G3913" s="25">
        <v>280.0</v>
      </c>
      <c r="H3913" s="25">
        <v>205.0</v>
      </c>
      <c r="I3913" s="26">
        <f t="array" ref="I3913">XLOOKUP($A3913,product!A:A,product!E:E)</f>
        <v>4.66</v>
      </c>
      <c r="J3913" s="25">
        <f t="shared" si="2"/>
        <v>955.3</v>
      </c>
      <c r="K3913" s="27">
        <f t="shared" si="3"/>
        <v>1</v>
      </c>
      <c r="L3913" s="25">
        <f t="shared" si="4"/>
        <v>1</v>
      </c>
    </row>
    <row r="3914">
      <c r="A3914" s="19">
        <v>87964.0</v>
      </c>
      <c r="B3914" s="20" t="str">
        <f t="array" ref="B3914">xlookup($A3914,product!$A:$A,product!B:B)</f>
        <v>Santé &amp; Bien-être</v>
      </c>
      <c r="C3914" s="20" t="str">
        <f t="array" ref="C3914">xlookup($A3914,product!$A:$A,product!C:C)</f>
        <v>Vitamines, minéraux</v>
      </c>
      <c r="D3914" s="20" t="str">
        <f t="array" ref="D3914">xlookup($A3914,product!$A:$A,product!D:D)</f>
        <v>Vitamine D</v>
      </c>
      <c r="E3914" s="4" t="str">
        <f t="shared" si="1"/>
        <v>87964-Vitamines, minéraux-Vitamine D</v>
      </c>
      <c r="F3914" s="4">
        <v>1.0</v>
      </c>
      <c r="G3914" s="4">
        <v>80.0</v>
      </c>
      <c r="H3914" s="4">
        <v>43.0</v>
      </c>
      <c r="I3914" s="21">
        <f t="array" ref="I3914">XLOOKUP($A3914,product!A:A,product!E:E)</f>
        <v>10.34</v>
      </c>
      <c r="J3914" s="4">
        <f t="shared" si="2"/>
        <v>444.62</v>
      </c>
      <c r="K3914" s="22">
        <f t="shared" si="3"/>
        <v>1</v>
      </c>
      <c r="L3914" s="4">
        <f t="shared" si="4"/>
        <v>1</v>
      </c>
    </row>
    <row r="3915">
      <c r="A3915" s="23">
        <v>201751.0</v>
      </c>
      <c r="B3915" s="24" t="str">
        <f t="array" ref="B3915">xlookup($A3915,product!$A:$A,product!B:B)</f>
        <v>Santé &amp; Bien-être</v>
      </c>
      <c r="C3915" s="24" t="str">
        <f t="array" ref="C3915">xlookup($A3915,product!$A:$A,product!C:C)</f>
        <v>Vitamines, minéraux</v>
      </c>
      <c r="D3915" s="24" t="str">
        <f t="array" ref="D3915">xlookup($A3915,product!$A:$A,product!D:D)</f>
        <v>Vitamine D</v>
      </c>
      <c r="E3915" s="25" t="str">
        <f t="shared" si="1"/>
        <v>201751-Vitamines, minéraux-Vitamine D</v>
      </c>
      <c r="F3915" s="25">
        <v>1.0</v>
      </c>
      <c r="G3915" s="25">
        <v>590.0</v>
      </c>
      <c r="H3915" s="25">
        <v>438.0</v>
      </c>
      <c r="I3915" s="26">
        <f t="array" ref="I3915">XLOOKUP($A3915,product!A:A,product!E:E)</f>
        <v>4.71</v>
      </c>
      <c r="J3915" s="25">
        <f t="shared" si="2"/>
        <v>2062.98</v>
      </c>
      <c r="K3915" s="27">
        <f t="shared" si="3"/>
        <v>1</v>
      </c>
      <c r="L3915" s="25">
        <f t="shared" si="4"/>
        <v>1</v>
      </c>
    </row>
    <row r="3916">
      <c r="A3916" s="19">
        <v>79057.0</v>
      </c>
      <c r="B3916" s="20" t="str">
        <f t="array" ref="B3916">xlookup($A3916,product!$A:$A,product!B:B)</f>
        <v>Santé &amp; Bien-être</v>
      </c>
      <c r="C3916" s="20" t="str">
        <f t="array" ref="C3916">xlookup($A3916,product!$A:$A,product!C:C)</f>
        <v>Vitamines, minéraux</v>
      </c>
      <c r="D3916" s="20" t="str">
        <f t="array" ref="D3916">xlookup($A3916,product!$A:$A,product!D:D)</f>
        <v>Vitamine D</v>
      </c>
      <c r="E3916" s="4" t="str">
        <f t="shared" si="1"/>
        <v>79057-Vitamines, minéraux-Vitamine D</v>
      </c>
      <c r="F3916" s="4">
        <v>1.0</v>
      </c>
      <c r="G3916" s="4">
        <v>464.0</v>
      </c>
      <c r="H3916" s="4">
        <v>405.0</v>
      </c>
      <c r="I3916" s="21">
        <f t="array" ref="I3916">XLOOKUP($A3916,product!A:A,product!E:E)</f>
        <v>10.53</v>
      </c>
      <c r="J3916" s="4">
        <f t="shared" si="2"/>
        <v>4264.65</v>
      </c>
      <c r="K3916" s="22">
        <f t="shared" si="3"/>
        <v>1</v>
      </c>
      <c r="L3916" s="4">
        <f t="shared" si="4"/>
        <v>1</v>
      </c>
    </row>
    <row r="3917">
      <c r="A3917" s="23">
        <v>41225.0</v>
      </c>
      <c r="B3917" s="24" t="str">
        <f t="array" ref="B3917">xlookup($A3917,product!$A:$A,product!B:B)</f>
        <v>Santé &amp; Bien-être</v>
      </c>
      <c r="C3917" s="24" t="str">
        <f t="array" ref="C3917">xlookup($A3917,product!$A:$A,product!C:C)</f>
        <v>Vitamines, minéraux</v>
      </c>
      <c r="D3917" s="24" t="str">
        <f t="array" ref="D3917">xlookup($A3917,product!$A:$A,product!D:D)</f>
        <v>Vitamine D</v>
      </c>
      <c r="E3917" s="25" t="str">
        <f t="shared" si="1"/>
        <v>41225-Vitamines, minéraux-Vitamine D</v>
      </c>
      <c r="F3917" s="25">
        <v>1.0</v>
      </c>
      <c r="G3917" s="25">
        <v>402.0</v>
      </c>
      <c r="H3917" s="25">
        <v>28.0</v>
      </c>
      <c r="I3917" s="26">
        <f t="array" ref="I3917">XLOOKUP($A3917,product!A:A,product!E:E)</f>
        <v>9.68</v>
      </c>
      <c r="J3917" s="25">
        <f t="shared" si="2"/>
        <v>271.04</v>
      </c>
      <c r="K3917" s="27">
        <f t="shared" si="3"/>
        <v>1</v>
      </c>
      <c r="L3917" s="25">
        <f t="shared" si="4"/>
        <v>1</v>
      </c>
    </row>
    <row r="3918">
      <c r="A3918" s="19">
        <v>113300.0</v>
      </c>
      <c r="B3918" s="20" t="str">
        <f t="array" ref="B3918">xlookup($A3918,product!$A:$A,product!B:B)</f>
        <v>Santé &amp; Bien-être</v>
      </c>
      <c r="C3918" s="20" t="str">
        <f t="array" ref="C3918">xlookup($A3918,product!$A:$A,product!C:C)</f>
        <v>Vitamines, minéraux</v>
      </c>
      <c r="D3918" s="20" t="str">
        <f t="array" ref="D3918">xlookup($A3918,product!$A:$A,product!D:D)</f>
        <v>Vitamine D</v>
      </c>
      <c r="E3918" s="4" t="str">
        <f t="shared" si="1"/>
        <v>113300-Vitamines, minéraux-Vitamine D</v>
      </c>
      <c r="F3918" s="4">
        <v>1.0</v>
      </c>
      <c r="G3918" s="4">
        <v>795.0</v>
      </c>
      <c r="H3918" s="4">
        <v>370.0</v>
      </c>
      <c r="I3918" s="21">
        <f t="array" ref="I3918">XLOOKUP($A3918,product!A:A,product!E:E)</f>
        <v>12.58</v>
      </c>
      <c r="J3918" s="4">
        <f t="shared" si="2"/>
        <v>4654.6</v>
      </c>
      <c r="K3918" s="22">
        <f t="shared" si="3"/>
        <v>1</v>
      </c>
      <c r="L3918" s="4">
        <f t="shared" si="4"/>
        <v>1</v>
      </c>
    </row>
    <row r="3919">
      <c r="A3919" s="23">
        <v>113299.0</v>
      </c>
      <c r="B3919" s="24" t="str">
        <f t="array" ref="B3919">xlookup($A3919,product!$A:$A,product!B:B)</f>
        <v>Santé &amp; Bien-être</v>
      </c>
      <c r="C3919" s="24" t="str">
        <f t="array" ref="C3919">xlookup($A3919,product!$A:$A,product!C:C)</f>
        <v>Vitamines, minéraux</v>
      </c>
      <c r="D3919" s="24" t="str">
        <f t="array" ref="D3919">xlookup($A3919,product!$A:$A,product!D:D)</f>
        <v>Vitamine B12</v>
      </c>
      <c r="E3919" s="25" t="str">
        <f t="shared" si="1"/>
        <v>113299-Vitamines, minéraux-Vitamine B12</v>
      </c>
      <c r="F3919" s="25">
        <v>1.0</v>
      </c>
      <c r="G3919" s="25">
        <v>224.0</v>
      </c>
      <c r="H3919" s="25">
        <v>108.0</v>
      </c>
      <c r="I3919" s="26">
        <f t="array" ref="I3919">XLOOKUP($A3919,product!A:A,product!E:E)</f>
        <v>12.58</v>
      </c>
      <c r="J3919" s="25">
        <f t="shared" si="2"/>
        <v>1358.64</v>
      </c>
      <c r="K3919" s="27">
        <f t="shared" si="3"/>
        <v>1</v>
      </c>
      <c r="L3919" s="25">
        <f t="shared" si="4"/>
        <v>1</v>
      </c>
    </row>
    <row r="3920">
      <c r="A3920" s="19">
        <v>105475.0</v>
      </c>
      <c r="B3920" s="20" t="str">
        <f t="array" ref="B3920">xlookup($A3920,product!$A:$A,product!B:B)</f>
        <v>Santé &amp; Bien-être</v>
      </c>
      <c r="C3920" s="20" t="str">
        <f t="array" ref="C3920">xlookup($A3920,product!$A:$A,product!C:C)</f>
        <v>Vitamines, minéraux</v>
      </c>
      <c r="D3920" s="20" t="str">
        <f t="array" ref="D3920">xlookup($A3920,product!$A:$A,product!D:D)</f>
        <v>Vitamine B12</v>
      </c>
      <c r="E3920" s="4" t="str">
        <f t="shared" si="1"/>
        <v>105475-Vitamines, minéraux-Vitamine B12</v>
      </c>
      <c r="F3920" s="4">
        <v>0.0</v>
      </c>
      <c r="G3920" s="4">
        <v>149.0</v>
      </c>
      <c r="H3920" s="4">
        <v>27.0</v>
      </c>
      <c r="I3920" s="21">
        <f t="array" ref="I3920">XLOOKUP($A3920,product!A:A,product!E:E)</f>
        <v>5.76</v>
      </c>
      <c r="J3920" s="4">
        <f t="shared" si="2"/>
        <v>155.52</v>
      </c>
      <c r="K3920" s="22">
        <f t="shared" si="3"/>
        <v>1</v>
      </c>
      <c r="L3920" s="4">
        <f t="shared" si="4"/>
        <v>1</v>
      </c>
    </row>
    <row r="3921">
      <c r="A3921" s="23">
        <v>114724.0</v>
      </c>
      <c r="B3921" s="24" t="str">
        <f t="array" ref="B3921">xlookup($A3921,product!$A:$A,product!B:B)</f>
        <v>Santé &amp; Bien-être</v>
      </c>
      <c r="C3921" s="24" t="str">
        <f t="array" ref="C3921">xlookup($A3921,product!$A:$A,product!C:C)</f>
        <v>Vitamines, minéraux</v>
      </c>
      <c r="D3921" s="24" t="str">
        <f t="array" ref="D3921">xlookup($A3921,product!$A:$A,product!D:D)</f>
        <v>Vitamine B12</v>
      </c>
      <c r="E3921" s="25" t="str">
        <f t="shared" si="1"/>
        <v>114724-Vitamines, minéraux-Vitamine B12</v>
      </c>
      <c r="F3921" s="25">
        <v>0.0</v>
      </c>
      <c r="G3921" s="25">
        <v>238.0</v>
      </c>
      <c r="H3921" s="25">
        <v>98.0</v>
      </c>
      <c r="I3921" s="26">
        <f t="array" ref="I3921">XLOOKUP($A3921,product!A:A,product!E:E)</f>
        <v>8.08</v>
      </c>
      <c r="J3921" s="25">
        <f t="shared" si="2"/>
        <v>791.84</v>
      </c>
      <c r="K3921" s="27">
        <f t="shared" si="3"/>
        <v>1</v>
      </c>
      <c r="L3921" s="25">
        <f t="shared" si="4"/>
        <v>1</v>
      </c>
    </row>
    <row r="3922">
      <c r="A3922" s="19">
        <v>113298.0</v>
      </c>
      <c r="B3922" s="20" t="str">
        <f t="array" ref="B3922">xlookup($A3922,product!$A:$A,product!B:B)</f>
        <v>Santé &amp; Bien-être</v>
      </c>
      <c r="C3922" s="20" t="str">
        <f t="array" ref="C3922">xlookup($A3922,product!$A:$A,product!C:C)</f>
        <v>Vitamines, minéraux</v>
      </c>
      <c r="D3922" s="20" t="str">
        <f t="array" ref="D3922">xlookup($A3922,product!$A:$A,product!D:D)</f>
        <v>Vitamine B12</v>
      </c>
      <c r="E3922" s="4" t="str">
        <f t="shared" si="1"/>
        <v>113298-Vitamines, minéraux-Vitamine B12</v>
      </c>
      <c r="F3922" s="4">
        <v>1.0</v>
      </c>
      <c r="G3922" s="4">
        <v>596.0</v>
      </c>
      <c r="H3922" s="4">
        <v>307.0</v>
      </c>
      <c r="I3922" s="21">
        <f t="array" ref="I3922">XLOOKUP($A3922,product!A:A,product!E:E)</f>
        <v>12.58</v>
      </c>
      <c r="J3922" s="4">
        <f t="shared" si="2"/>
        <v>3862.06</v>
      </c>
      <c r="K3922" s="22">
        <f t="shared" si="3"/>
        <v>1</v>
      </c>
      <c r="L3922" s="4">
        <f t="shared" si="4"/>
        <v>1</v>
      </c>
    </row>
    <row r="3923">
      <c r="A3923" s="23">
        <v>82838.0</v>
      </c>
      <c r="B3923" s="24" t="str">
        <f t="array" ref="B3923">xlookup($A3923,product!$A:$A,product!B:B)</f>
        <v>Santé &amp; Bien-être</v>
      </c>
      <c r="C3923" s="24" t="str">
        <f t="array" ref="C3923">xlookup($A3923,product!$A:$A,product!C:C)</f>
        <v>Vitamines, minéraux</v>
      </c>
      <c r="D3923" s="24" t="str">
        <f t="array" ref="D3923">xlookup($A3923,product!$A:$A,product!D:D)</f>
        <v>Multivitamines</v>
      </c>
      <c r="E3923" s="25" t="str">
        <f t="shared" si="1"/>
        <v>82838-Vitamines, minéraux-Multivitamines</v>
      </c>
      <c r="F3923" s="25">
        <v>0.0</v>
      </c>
      <c r="G3923" s="25">
        <v>319.0</v>
      </c>
      <c r="H3923" s="25">
        <v>287.0</v>
      </c>
      <c r="I3923" s="26">
        <f t="array" ref="I3923">XLOOKUP($A3923,product!A:A,product!E:E)</f>
        <v>7.99</v>
      </c>
      <c r="J3923" s="25">
        <f t="shared" si="2"/>
        <v>2293.13</v>
      </c>
      <c r="K3923" s="27">
        <f t="shared" si="3"/>
        <v>1</v>
      </c>
      <c r="L3923" s="25">
        <f t="shared" si="4"/>
        <v>1</v>
      </c>
    </row>
    <row r="3924">
      <c r="A3924" s="19">
        <v>111960.0</v>
      </c>
      <c r="B3924" s="20" t="str">
        <f t="array" ref="B3924">xlookup($A3924,product!$A:$A,product!B:B)</f>
        <v>Santé &amp; Bien-être</v>
      </c>
      <c r="C3924" s="20" t="str">
        <f t="array" ref="C3924">xlookup($A3924,product!$A:$A,product!C:C)</f>
        <v>Vitamines, minéraux</v>
      </c>
      <c r="D3924" s="20" t="str">
        <f t="array" ref="D3924">xlookup($A3924,product!$A:$A,product!D:D)</f>
        <v>Multivitamines</v>
      </c>
      <c r="E3924" s="4" t="str">
        <f t="shared" si="1"/>
        <v>111960-Vitamines, minéraux-Multivitamines</v>
      </c>
      <c r="F3924" s="4">
        <v>0.0</v>
      </c>
      <c r="G3924" s="4">
        <v>45.0</v>
      </c>
      <c r="H3924" s="4">
        <v>30.0</v>
      </c>
      <c r="I3924" s="21">
        <f t="array" ref="I3924">XLOOKUP($A3924,product!A:A,product!E:E)</f>
        <v>7.6</v>
      </c>
      <c r="J3924" s="4">
        <f t="shared" si="2"/>
        <v>228</v>
      </c>
      <c r="K3924" s="22">
        <f t="shared" si="3"/>
        <v>1</v>
      </c>
      <c r="L3924" s="4">
        <f t="shared" si="4"/>
        <v>1</v>
      </c>
    </row>
    <row r="3925">
      <c r="A3925" s="23">
        <v>108840.0</v>
      </c>
      <c r="B3925" s="24" t="str">
        <f t="array" ref="B3925">xlookup($A3925,product!$A:$A,product!B:B)</f>
        <v>Santé &amp; Bien-être</v>
      </c>
      <c r="C3925" s="24" t="str">
        <f t="array" ref="C3925">xlookup($A3925,product!$A:$A,product!C:C)</f>
        <v>Vitamines, minéraux</v>
      </c>
      <c r="D3925" s="24" t="str">
        <f t="array" ref="D3925">xlookup($A3925,product!$A:$A,product!D:D)</f>
        <v>Multivitamines</v>
      </c>
      <c r="E3925" s="25" t="str">
        <f t="shared" si="1"/>
        <v>108840-Vitamines, minéraux-Multivitamines</v>
      </c>
      <c r="F3925" s="25">
        <v>0.0</v>
      </c>
      <c r="G3925" s="25">
        <v>976.0</v>
      </c>
      <c r="H3925" s="25">
        <v>653.0</v>
      </c>
      <c r="I3925" s="26">
        <f t="array" ref="I3925">XLOOKUP($A3925,product!A:A,product!E:E)</f>
        <v>3.43</v>
      </c>
      <c r="J3925" s="25">
        <f t="shared" si="2"/>
        <v>2239.79</v>
      </c>
      <c r="K3925" s="27">
        <f t="shared" si="3"/>
        <v>1</v>
      </c>
      <c r="L3925" s="25">
        <f t="shared" si="4"/>
        <v>1</v>
      </c>
    </row>
    <row r="3926">
      <c r="A3926" s="19">
        <v>201044.0</v>
      </c>
      <c r="B3926" s="20" t="str">
        <f t="array" ref="B3926">xlookup($A3926,product!$A:$A,product!B:B)</f>
        <v>Santé &amp; Bien-être</v>
      </c>
      <c r="C3926" s="20" t="str">
        <f t="array" ref="C3926">xlookup($A3926,product!$A:$A,product!C:C)</f>
        <v>Vitamines, minéraux</v>
      </c>
      <c r="D3926" s="20" t="str">
        <f t="array" ref="D3926">xlookup($A3926,product!$A:$A,product!D:D)</f>
        <v>Multivitamines</v>
      </c>
      <c r="E3926" s="4" t="str">
        <f t="shared" si="1"/>
        <v>201044-Vitamines, minéraux-Multivitamines</v>
      </c>
      <c r="F3926" s="4">
        <v>1.0</v>
      </c>
      <c r="G3926" s="4">
        <v>539.0</v>
      </c>
      <c r="H3926" s="4">
        <v>107.0</v>
      </c>
      <c r="I3926" s="21">
        <f t="array" ref="I3926">XLOOKUP($A3926,product!A:A,product!E:E)</f>
        <v>6.16</v>
      </c>
      <c r="J3926" s="4">
        <f t="shared" si="2"/>
        <v>659.12</v>
      </c>
      <c r="K3926" s="22">
        <f t="shared" si="3"/>
        <v>1</v>
      </c>
      <c r="L3926" s="4">
        <f t="shared" si="4"/>
        <v>1</v>
      </c>
    </row>
    <row r="3927">
      <c r="A3927" s="23">
        <v>81880.0</v>
      </c>
      <c r="B3927" s="24" t="str">
        <f t="array" ref="B3927">xlookup($A3927,product!$A:$A,product!B:B)</f>
        <v>Santé &amp; Bien-être</v>
      </c>
      <c r="C3927" s="24" t="str">
        <f t="array" ref="C3927">xlookup($A3927,product!$A:$A,product!C:C)</f>
        <v>Vitamines, minéraux</v>
      </c>
      <c r="D3927" s="24" t="str">
        <f t="array" ref="D3927">xlookup($A3927,product!$A:$A,product!D:D)</f>
        <v>Multivitamines</v>
      </c>
      <c r="E3927" s="25" t="str">
        <f t="shared" si="1"/>
        <v>81880-Vitamines, minéraux-Multivitamines</v>
      </c>
      <c r="F3927" s="25">
        <v>0.0</v>
      </c>
      <c r="G3927" s="25">
        <v>198.0</v>
      </c>
      <c r="H3927" s="25">
        <v>2.0</v>
      </c>
      <c r="I3927" s="26">
        <f t="array" ref="I3927">XLOOKUP($A3927,product!A:A,product!E:E)</f>
        <v>12.14</v>
      </c>
      <c r="J3927" s="25">
        <f t="shared" si="2"/>
        <v>24.28</v>
      </c>
      <c r="K3927" s="27">
        <f t="shared" si="3"/>
        <v>1</v>
      </c>
      <c r="L3927" s="25">
        <f t="shared" si="4"/>
        <v>1</v>
      </c>
    </row>
    <row r="3928">
      <c r="A3928" s="19">
        <v>81873.0</v>
      </c>
      <c r="B3928" s="20" t="str">
        <f t="array" ref="B3928">xlookup($A3928,product!$A:$A,product!B:B)</f>
        <v>Santé &amp; Bien-être</v>
      </c>
      <c r="C3928" s="20" t="str">
        <f t="array" ref="C3928">xlookup($A3928,product!$A:$A,product!C:C)</f>
        <v>Vitamines, minéraux</v>
      </c>
      <c r="D3928" s="20" t="str">
        <f t="array" ref="D3928">xlookup($A3928,product!$A:$A,product!D:D)</f>
        <v>Multivitamines</v>
      </c>
      <c r="E3928" s="4" t="str">
        <f t="shared" si="1"/>
        <v>81873-Vitamines, minéraux-Multivitamines</v>
      </c>
      <c r="F3928" s="4">
        <v>1.0</v>
      </c>
      <c r="G3928" s="4">
        <v>356.0</v>
      </c>
      <c r="H3928" s="4">
        <v>328.0</v>
      </c>
      <c r="I3928" s="21">
        <f t="array" ref="I3928">XLOOKUP($A3928,product!A:A,product!E:E)</f>
        <v>11.92</v>
      </c>
      <c r="J3928" s="4">
        <f t="shared" si="2"/>
        <v>3909.76</v>
      </c>
      <c r="K3928" s="22">
        <f t="shared" si="3"/>
        <v>1</v>
      </c>
      <c r="L3928" s="4">
        <f t="shared" si="4"/>
        <v>1</v>
      </c>
    </row>
    <row r="3929">
      <c r="A3929" s="23">
        <v>117613.0</v>
      </c>
      <c r="B3929" s="24" t="str">
        <f t="array" ref="B3929">xlookup($A3929,product!$A:$A,product!B:B)</f>
        <v>Santé &amp; Bien-être</v>
      </c>
      <c r="C3929" s="24" t="str">
        <f t="array" ref="C3929">xlookup($A3929,product!$A:$A,product!C:C)</f>
        <v>Vitamines, minéraux</v>
      </c>
      <c r="D3929" s="24" t="str">
        <f t="array" ref="D3929">xlookup($A3929,product!$A:$A,product!D:D)</f>
        <v>Multivitamines</v>
      </c>
      <c r="E3929" s="25" t="str">
        <f t="shared" si="1"/>
        <v>117613-Vitamines, minéraux-Multivitamines</v>
      </c>
      <c r="F3929" s="25">
        <v>0.0</v>
      </c>
      <c r="G3929" s="25">
        <v>568.0</v>
      </c>
      <c r="H3929" s="25">
        <v>552.0</v>
      </c>
      <c r="I3929" s="26">
        <f t="array" ref="I3929">XLOOKUP($A3929,product!A:A,product!E:E)</f>
        <v>4.66</v>
      </c>
      <c r="J3929" s="25">
        <f t="shared" si="2"/>
        <v>2572.32</v>
      </c>
      <c r="K3929" s="27">
        <f t="shared" si="3"/>
        <v>1</v>
      </c>
      <c r="L3929" s="25">
        <f t="shared" si="4"/>
        <v>1</v>
      </c>
    </row>
    <row r="3930">
      <c r="A3930" s="19">
        <v>81876.0</v>
      </c>
      <c r="B3930" s="20" t="str">
        <f t="array" ref="B3930">xlookup($A3930,product!$A:$A,product!B:B)</f>
        <v>Santé &amp; Bien-être</v>
      </c>
      <c r="C3930" s="20" t="str">
        <f t="array" ref="C3930">xlookup($A3930,product!$A:$A,product!C:C)</f>
        <v>Vitamines, minéraux</v>
      </c>
      <c r="D3930" s="20" t="str">
        <f t="array" ref="D3930">xlookup($A3930,product!$A:$A,product!D:D)</f>
        <v>Multivitamines</v>
      </c>
      <c r="E3930" s="4" t="str">
        <f t="shared" si="1"/>
        <v>81876-Vitamines, minéraux-Multivitamines</v>
      </c>
      <c r="F3930" s="4">
        <v>0.0</v>
      </c>
      <c r="G3930" s="4">
        <v>744.0</v>
      </c>
      <c r="H3930" s="4">
        <v>683.0</v>
      </c>
      <c r="I3930" s="21">
        <f t="array" ref="I3930">XLOOKUP($A3930,product!A:A,product!E:E)</f>
        <v>9.22</v>
      </c>
      <c r="J3930" s="4">
        <f t="shared" si="2"/>
        <v>6297.26</v>
      </c>
      <c r="K3930" s="22">
        <f t="shared" si="3"/>
        <v>1</v>
      </c>
      <c r="L3930" s="4">
        <f t="shared" si="4"/>
        <v>1</v>
      </c>
    </row>
    <row r="3931">
      <c r="A3931" s="23">
        <v>104050.0</v>
      </c>
      <c r="B3931" s="24" t="str">
        <f t="array" ref="B3931">xlookup($A3931,product!$A:$A,product!B:B)</f>
        <v>Santé &amp; Bien-être</v>
      </c>
      <c r="C3931" s="24" t="str">
        <f t="array" ref="C3931">xlookup($A3931,product!$A:$A,product!C:C)</f>
        <v>Vitamines, minéraux</v>
      </c>
      <c r="D3931" s="24" t="str">
        <f t="array" ref="D3931">xlookup($A3931,product!$A:$A,product!D:D)</f>
        <v>Multivitamines</v>
      </c>
      <c r="E3931" s="25" t="str">
        <f t="shared" si="1"/>
        <v>104050-Vitamines, minéraux-Multivitamines</v>
      </c>
      <c r="F3931" s="25">
        <v>1.0</v>
      </c>
      <c r="G3931" s="25">
        <v>194.0</v>
      </c>
      <c r="H3931" s="25">
        <v>158.0</v>
      </c>
      <c r="I3931" s="26">
        <f t="array" ref="I3931">XLOOKUP($A3931,product!A:A,product!E:E)</f>
        <v>7.44</v>
      </c>
      <c r="J3931" s="25">
        <f t="shared" si="2"/>
        <v>1175.52</v>
      </c>
      <c r="K3931" s="27">
        <f t="shared" si="3"/>
        <v>1</v>
      </c>
      <c r="L3931" s="25">
        <f t="shared" si="4"/>
        <v>1</v>
      </c>
    </row>
    <row r="3932">
      <c r="A3932" s="19">
        <v>111934.0</v>
      </c>
      <c r="B3932" s="20" t="str">
        <f t="array" ref="B3932">xlookup($A3932,product!$A:$A,product!B:B)</f>
        <v>Santé &amp; Bien-être</v>
      </c>
      <c r="C3932" s="20" t="str">
        <f t="array" ref="C3932">xlookup($A3932,product!$A:$A,product!C:C)</f>
        <v>Vitamines, minéraux</v>
      </c>
      <c r="D3932" s="20" t="str">
        <f t="array" ref="D3932">xlookup($A3932,product!$A:$A,product!D:D)</f>
        <v>Quinton, eau de mer</v>
      </c>
      <c r="E3932" s="4" t="str">
        <f t="shared" si="1"/>
        <v>111934-Vitamines, minéraux-Quinton, eau de mer</v>
      </c>
      <c r="F3932" s="4">
        <v>0.0</v>
      </c>
      <c r="G3932" s="4">
        <v>664.0</v>
      </c>
      <c r="H3932" s="4">
        <v>582.0</v>
      </c>
      <c r="I3932" s="21">
        <f t="array" ref="I3932">XLOOKUP($A3932,product!A:A,product!E:E)</f>
        <v>10.36</v>
      </c>
      <c r="J3932" s="4">
        <f t="shared" si="2"/>
        <v>6029.52</v>
      </c>
      <c r="K3932" s="22">
        <f t="shared" si="3"/>
        <v>1</v>
      </c>
      <c r="L3932" s="4">
        <f t="shared" si="4"/>
        <v>1</v>
      </c>
    </row>
    <row r="3933">
      <c r="A3933" s="23">
        <v>29819.0</v>
      </c>
      <c r="B3933" s="24" t="str">
        <f t="array" ref="B3933">xlookup($A3933,product!$A:$A,product!B:B)</f>
        <v>Santé &amp; Bien-être</v>
      </c>
      <c r="C3933" s="24" t="str">
        <f t="array" ref="C3933">xlookup($A3933,product!$A:$A,product!C:C)</f>
        <v>Vitamines, minéraux</v>
      </c>
      <c r="D3933" s="24" t="str">
        <f t="array" ref="D3933">xlookup($A3933,product!$A:$A,product!D:D)</f>
        <v>Quinton, eau de mer</v>
      </c>
      <c r="E3933" s="25" t="str">
        <f t="shared" si="1"/>
        <v>29819-Vitamines, minéraux-Quinton, eau de mer</v>
      </c>
      <c r="F3933" s="25">
        <v>0.0</v>
      </c>
      <c r="G3933" s="25">
        <v>383.0</v>
      </c>
      <c r="H3933" s="25">
        <v>41.0</v>
      </c>
      <c r="I3933" s="26">
        <f t="array" ref="I3933">XLOOKUP($A3933,product!A:A,product!E:E)</f>
        <v>12.96</v>
      </c>
      <c r="J3933" s="25">
        <f t="shared" si="2"/>
        <v>531.36</v>
      </c>
      <c r="K3933" s="27">
        <f t="shared" si="3"/>
        <v>1</v>
      </c>
      <c r="L3933" s="25">
        <f t="shared" si="4"/>
        <v>1</v>
      </c>
    </row>
    <row r="3934">
      <c r="A3934" s="19">
        <v>120392.0</v>
      </c>
      <c r="B3934" s="20" t="str">
        <f t="array" ref="B3934">xlookup($A3934,product!$A:$A,product!B:B)</f>
        <v>Santé &amp; Bien-être</v>
      </c>
      <c r="C3934" s="20" t="str">
        <f t="array" ref="C3934">xlookup($A3934,product!$A:$A,product!C:C)</f>
        <v>Vitamines, minéraux</v>
      </c>
      <c r="D3934" s="20" t="str">
        <f t="array" ref="D3934">xlookup($A3934,product!$A:$A,product!D:D)</f>
        <v>Quinton, eau de mer</v>
      </c>
      <c r="E3934" s="4" t="str">
        <f t="shared" si="1"/>
        <v>120392-Vitamines, minéraux-Quinton, eau de mer</v>
      </c>
      <c r="F3934" s="4">
        <v>0.0</v>
      </c>
      <c r="G3934" s="4">
        <v>379.0</v>
      </c>
      <c r="H3934" s="4">
        <v>148.0</v>
      </c>
      <c r="I3934" s="21">
        <f t="array" ref="I3934">XLOOKUP($A3934,product!A:A,product!E:E)</f>
        <v>6.42</v>
      </c>
      <c r="J3934" s="4">
        <f t="shared" si="2"/>
        <v>950.16</v>
      </c>
      <c r="K3934" s="22">
        <f t="shared" si="3"/>
        <v>1</v>
      </c>
      <c r="L3934" s="4">
        <f t="shared" si="4"/>
        <v>1</v>
      </c>
    </row>
    <row r="3935">
      <c r="A3935" s="23">
        <v>29820.0</v>
      </c>
      <c r="B3935" s="24" t="str">
        <f t="array" ref="B3935">xlookup($A3935,product!$A:$A,product!B:B)</f>
        <v>Santé &amp; Bien-être</v>
      </c>
      <c r="C3935" s="24" t="str">
        <f t="array" ref="C3935">xlookup($A3935,product!$A:$A,product!C:C)</f>
        <v>Vitamines, minéraux</v>
      </c>
      <c r="D3935" s="24" t="str">
        <f t="array" ref="D3935">xlookup($A3935,product!$A:$A,product!D:D)</f>
        <v>Quinton, eau de mer</v>
      </c>
      <c r="E3935" s="25" t="str">
        <f t="shared" si="1"/>
        <v>29820-Vitamines, minéraux-Quinton, eau de mer</v>
      </c>
      <c r="F3935" s="25">
        <v>1.0</v>
      </c>
      <c r="G3935" s="25">
        <v>380.0</v>
      </c>
      <c r="H3935" s="25">
        <v>344.0</v>
      </c>
      <c r="I3935" s="26">
        <f t="array" ref="I3935">XLOOKUP($A3935,product!A:A,product!E:E)</f>
        <v>13.75</v>
      </c>
      <c r="J3935" s="25">
        <f t="shared" si="2"/>
        <v>4730</v>
      </c>
      <c r="K3935" s="27">
        <f t="shared" si="3"/>
        <v>1</v>
      </c>
      <c r="L3935" s="25">
        <f t="shared" si="4"/>
        <v>1</v>
      </c>
    </row>
    <row r="3936">
      <c r="A3936" s="19">
        <v>83755.0</v>
      </c>
      <c r="B3936" s="20" t="str">
        <f t="array" ref="B3936">xlookup($A3936,product!$A:$A,product!B:B)</f>
        <v>Santé &amp; Bien-être</v>
      </c>
      <c r="C3936" s="20" t="str">
        <f t="array" ref="C3936">xlookup($A3936,product!$A:$A,product!C:C)</f>
        <v>Vitamines, minéraux</v>
      </c>
      <c r="D3936" s="20" t="str">
        <f t="array" ref="D3936">xlookup($A3936,product!$A:$A,product!D:D)</f>
        <v>Acérola, Vitamine C</v>
      </c>
      <c r="E3936" s="4" t="str">
        <f t="shared" si="1"/>
        <v>83755-Vitamines, minéraux-Acérola, Vitamine C</v>
      </c>
      <c r="F3936" s="4">
        <v>0.0</v>
      </c>
      <c r="G3936" s="4">
        <v>87.0</v>
      </c>
      <c r="H3936" s="4">
        <v>50.0</v>
      </c>
      <c r="I3936" s="21">
        <f t="array" ref="I3936">XLOOKUP($A3936,product!A:A,product!E:E)</f>
        <v>11.26</v>
      </c>
      <c r="J3936" s="4">
        <f t="shared" si="2"/>
        <v>563</v>
      </c>
      <c r="K3936" s="22">
        <f t="shared" si="3"/>
        <v>1</v>
      </c>
      <c r="L3936" s="4">
        <f t="shared" si="4"/>
        <v>1</v>
      </c>
    </row>
    <row r="3937">
      <c r="A3937" s="23">
        <v>111941.0</v>
      </c>
      <c r="B3937" s="24" t="str">
        <f t="array" ref="B3937">xlookup($A3937,product!$A:$A,product!B:B)</f>
        <v>Santé &amp; Bien-être</v>
      </c>
      <c r="C3937" s="24" t="str">
        <f t="array" ref="C3937">xlookup($A3937,product!$A:$A,product!C:C)</f>
        <v>Vitamines, minéraux</v>
      </c>
      <c r="D3937" s="24" t="str">
        <f t="array" ref="D3937">xlookup($A3937,product!$A:$A,product!D:D)</f>
        <v>Acérola, Vitamine C</v>
      </c>
      <c r="E3937" s="25" t="str">
        <f t="shared" si="1"/>
        <v>111941-Vitamines, minéraux-Acérola, Vitamine C</v>
      </c>
      <c r="F3937" s="25">
        <v>0.0</v>
      </c>
      <c r="G3937" s="25">
        <v>407.0</v>
      </c>
      <c r="H3937" s="25">
        <v>380.0</v>
      </c>
      <c r="I3937" s="26">
        <f t="array" ref="I3937">XLOOKUP($A3937,product!A:A,product!E:E)</f>
        <v>7.66</v>
      </c>
      <c r="J3937" s="25">
        <f t="shared" si="2"/>
        <v>2910.8</v>
      </c>
      <c r="K3937" s="27">
        <f t="shared" si="3"/>
        <v>1</v>
      </c>
      <c r="L3937" s="25">
        <f t="shared" si="4"/>
        <v>1</v>
      </c>
    </row>
    <row r="3938">
      <c r="A3938" s="19">
        <v>80858.0</v>
      </c>
      <c r="B3938" s="20" t="str">
        <f t="array" ref="B3938">xlookup($A3938,product!$A:$A,product!B:B)</f>
        <v>Santé &amp; Bien-être</v>
      </c>
      <c r="C3938" s="20" t="str">
        <f t="array" ref="C3938">xlookup($A3938,product!$A:$A,product!C:C)</f>
        <v>Vitamines, minéraux</v>
      </c>
      <c r="D3938" s="20" t="str">
        <f t="array" ref="D3938">xlookup($A3938,product!$A:$A,product!D:D)</f>
        <v>Acérola, Vitamine C</v>
      </c>
      <c r="E3938" s="4" t="str">
        <f t="shared" si="1"/>
        <v>80858-Vitamines, minéraux-Acérola, Vitamine C</v>
      </c>
      <c r="F3938" s="4">
        <v>1.0</v>
      </c>
      <c r="G3938" s="4">
        <v>93.0</v>
      </c>
      <c r="H3938" s="4">
        <v>66.0</v>
      </c>
      <c r="I3938" s="21">
        <f t="array" ref="I3938">XLOOKUP($A3938,product!A:A,product!E:E)</f>
        <v>9.12</v>
      </c>
      <c r="J3938" s="4">
        <f t="shared" si="2"/>
        <v>601.92</v>
      </c>
      <c r="K3938" s="22">
        <f t="shared" si="3"/>
        <v>1</v>
      </c>
      <c r="L3938" s="4">
        <f t="shared" si="4"/>
        <v>1</v>
      </c>
    </row>
    <row r="3939">
      <c r="A3939" s="23">
        <v>81902.0</v>
      </c>
      <c r="B3939" s="24" t="str">
        <f t="array" ref="B3939">xlookup($A3939,product!$A:$A,product!B:B)</f>
        <v>Santé &amp; Bien-être</v>
      </c>
      <c r="C3939" s="24" t="str">
        <f t="array" ref="C3939">xlookup($A3939,product!$A:$A,product!C:C)</f>
        <v>Vitamines, minéraux</v>
      </c>
      <c r="D3939" s="24" t="str">
        <f t="array" ref="D3939">xlookup($A3939,product!$A:$A,product!D:D)</f>
        <v>Acérola, Vitamine C</v>
      </c>
      <c r="E3939" s="25" t="str">
        <f t="shared" si="1"/>
        <v>81902-Vitamines, minéraux-Acérola, Vitamine C</v>
      </c>
      <c r="F3939" s="25">
        <v>0.0</v>
      </c>
      <c r="G3939" s="25">
        <v>903.0</v>
      </c>
      <c r="H3939" s="25">
        <v>761.0</v>
      </c>
      <c r="I3939" s="26">
        <f t="array" ref="I3939">XLOOKUP($A3939,product!A:A,product!E:E)</f>
        <v>6.74</v>
      </c>
      <c r="J3939" s="25">
        <f t="shared" si="2"/>
        <v>5129.14</v>
      </c>
      <c r="K3939" s="27">
        <f t="shared" si="3"/>
        <v>1</v>
      </c>
      <c r="L3939" s="25">
        <f t="shared" si="4"/>
        <v>1</v>
      </c>
    </row>
    <row r="3940">
      <c r="A3940" s="19">
        <v>83754.0</v>
      </c>
      <c r="B3940" s="20" t="str">
        <f t="array" ref="B3940">xlookup($A3940,product!$A:$A,product!B:B)</f>
        <v>Santé &amp; Bien-être</v>
      </c>
      <c r="C3940" s="20" t="str">
        <f t="array" ref="C3940">xlookup($A3940,product!$A:$A,product!C:C)</f>
        <v>Vitamines, minéraux</v>
      </c>
      <c r="D3940" s="20" t="str">
        <f t="array" ref="D3940">xlookup($A3940,product!$A:$A,product!D:D)</f>
        <v>Acérola, Vitamine C</v>
      </c>
      <c r="E3940" s="4" t="str">
        <f t="shared" si="1"/>
        <v>83754-Vitamines, minéraux-Acérola, Vitamine C</v>
      </c>
      <c r="F3940" s="4">
        <v>1.0</v>
      </c>
      <c r="G3940" s="4">
        <v>591.0</v>
      </c>
      <c r="H3940" s="4">
        <v>455.0</v>
      </c>
      <c r="I3940" s="21">
        <f t="array" ref="I3940">XLOOKUP($A3940,product!A:A,product!E:E)</f>
        <v>5.4</v>
      </c>
      <c r="J3940" s="4">
        <f t="shared" si="2"/>
        <v>2457</v>
      </c>
      <c r="K3940" s="22">
        <f t="shared" si="3"/>
        <v>1</v>
      </c>
      <c r="L3940" s="4">
        <f t="shared" si="4"/>
        <v>1</v>
      </c>
    </row>
    <row r="3941">
      <c r="A3941" s="23">
        <v>116233.0</v>
      </c>
      <c r="B3941" s="24" t="str">
        <f t="array" ref="B3941">xlookup($A3941,product!$A:$A,product!B:B)</f>
        <v>Santé &amp; Bien-être</v>
      </c>
      <c r="C3941" s="24" t="str">
        <f t="array" ref="C3941">xlookup($A3941,product!$A:$A,product!C:C)</f>
        <v>Vitamines, minéraux</v>
      </c>
      <c r="D3941" s="24" t="str">
        <f t="array" ref="D3941">xlookup($A3941,product!$A:$A,product!D:D)</f>
        <v>Acérola, Vitamine C</v>
      </c>
      <c r="E3941" s="25" t="str">
        <f t="shared" si="1"/>
        <v>116233-Vitamines, minéraux-Acérola, Vitamine C</v>
      </c>
      <c r="F3941" s="25">
        <v>0.0</v>
      </c>
      <c r="G3941" s="25">
        <v>76.0</v>
      </c>
      <c r="H3941" s="25">
        <v>21.0</v>
      </c>
      <c r="I3941" s="26">
        <f t="array" ref="I3941">XLOOKUP($A3941,product!A:A,product!E:E)</f>
        <v>12.14</v>
      </c>
      <c r="J3941" s="25">
        <f t="shared" si="2"/>
        <v>254.94</v>
      </c>
      <c r="K3941" s="27">
        <f t="shared" si="3"/>
        <v>1</v>
      </c>
      <c r="L3941" s="25">
        <f t="shared" si="4"/>
        <v>1</v>
      </c>
    </row>
    <row r="3942">
      <c r="A3942" s="19">
        <v>112192.0</v>
      </c>
      <c r="B3942" s="20" t="str">
        <f t="array" ref="B3942">xlookup($A3942,product!$A:$A,product!B:B)</f>
        <v>Santé &amp; Bien-être</v>
      </c>
      <c r="C3942" s="20" t="str">
        <f t="array" ref="C3942">xlookup($A3942,product!$A:$A,product!C:C)</f>
        <v>Vitamines, minéraux</v>
      </c>
      <c r="D3942" s="20" t="str">
        <f t="array" ref="D3942">xlookup($A3942,product!$A:$A,product!D:D)</f>
        <v>Acérola, Vitamine C</v>
      </c>
      <c r="E3942" s="4" t="str">
        <f t="shared" si="1"/>
        <v>112192-Vitamines, minéraux-Acérola, Vitamine C</v>
      </c>
      <c r="F3942" s="4">
        <v>0.0</v>
      </c>
      <c r="G3942" s="4">
        <v>500.0</v>
      </c>
      <c r="H3942" s="4">
        <v>296.0</v>
      </c>
      <c r="I3942" s="21">
        <f t="array" ref="I3942">XLOOKUP($A3942,product!A:A,product!E:E)</f>
        <v>10.09</v>
      </c>
      <c r="J3942" s="4">
        <f t="shared" si="2"/>
        <v>2986.64</v>
      </c>
      <c r="K3942" s="22">
        <f t="shared" si="3"/>
        <v>1</v>
      </c>
      <c r="L3942" s="4">
        <f t="shared" si="4"/>
        <v>1</v>
      </c>
    </row>
    <row r="3943">
      <c r="A3943" s="23">
        <v>119728.0</v>
      </c>
      <c r="B3943" s="24" t="str">
        <f t="array" ref="B3943">xlookup($A3943,product!$A:$A,product!B:B)</f>
        <v>Santé &amp; Bien-être</v>
      </c>
      <c r="C3943" s="24" t="str">
        <f t="array" ref="C3943">xlookup($A3943,product!$A:$A,product!C:C)</f>
        <v>Vitamines, minéraux</v>
      </c>
      <c r="D3943" s="24" t="str">
        <f t="array" ref="D3943">xlookup($A3943,product!$A:$A,product!D:D)</f>
        <v>Acérola, Vitamine C</v>
      </c>
      <c r="E3943" s="25" t="str">
        <f t="shared" si="1"/>
        <v>119728-Vitamines, minéraux-Acérola, Vitamine C</v>
      </c>
      <c r="F3943" s="25">
        <v>1.0</v>
      </c>
      <c r="G3943" s="25">
        <v>141.0</v>
      </c>
      <c r="H3943" s="25">
        <v>16.0</v>
      </c>
      <c r="I3943" s="26">
        <f t="array" ref="I3943">XLOOKUP($A3943,product!A:A,product!E:E)</f>
        <v>9.55</v>
      </c>
      <c r="J3943" s="25">
        <f t="shared" si="2"/>
        <v>152.8</v>
      </c>
      <c r="K3943" s="27">
        <f t="shared" si="3"/>
        <v>1</v>
      </c>
      <c r="L3943" s="25">
        <f t="shared" si="4"/>
        <v>1</v>
      </c>
    </row>
    <row r="3944">
      <c r="A3944" s="19">
        <v>81901.0</v>
      </c>
      <c r="B3944" s="20" t="str">
        <f t="array" ref="B3944">xlookup($A3944,product!$A:$A,product!B:B)</f>
        <v>Santé &amp; Bien-être</v>
      </c>
      <c r="C3944" s="20" t="str">
        <f t="array" ref="C3944">xlookup($A3944,product!$A:$A,product!C:C)</f>
        <v>Vitamines, minéraux</v>
      </c>
      <c r="D3944" s="20" t="str">
        <f t="array" ref="D3944">xlookup($A3944,product!$A:$A,product!D:D)</f>
        <v>Acérola, Vitamine C</v>
      </c>
      <c r="E3944" s="4" t="str">
        <f t="shared" si="1"/>
        <v>81901-Vitamines, minéraux-Acérola, Vitamine C</v>
      </c>
      <c r="F3944" s="4">
        <v>0.0</v>
      </c>
      <c r="G3944" s="4">
        <v>831.0</v>
      </c>
      <c r="H3944" s="4">
        <v>597.0</v>
      </c>
      <c r="I3944" s="21">
        <f t="array" ref="I3944">XLOOKUP($A3944,product!A:A,product!E:E)</f>
        <v>11.54</v>
      </c>
      <c r="J3944" s="4">
        <f t="shared" si="2"/>
        <v>6889.38</v>
      </c>
      <c r="K3944" s="22">
        <f t="shared" si="3"/>
        <v>1</v>
      </c>
      <c r="L3944" s="4">
        <f t="shared" si="4"/>
        <v>1</v>
      </c>
    </row>
    <row r="3945">
      <c r="A3945" s="23">
        <v>141878.0</v>
      </c>
      <c r="B3945" s="24" t="str">
        <f t="array" ref="B3945">xlookup($A3945,product!$A:$A,product!B:B)</f>
        <v>Santé &amp; Bien-être</v>
      </c>
      <c r="C3945" s="24" t="str">
        <f t="array" ref="C3945">xlookup($A3945,product!$A:$A,product!C:C)</f>
        <v>Vitamines, minéraux</v>
      </c>
      <c r="D3945" s="24" t="str">
        <f t="array" ref="D3945">xlookup($A3945,product!$A:$A,product!D:D)</f>
        <v>Acérola, Vitamine C</v>
      </c>
      <c r="E3945" s="25" t="str">
        <f t="shared" si="1"/>
        <v>141878-Vitamines, minéraux-Acérola, Vitamine C</v>
      </c>
      <c r="F3945" s="25">
        <v>0.0</v>
      </c>
      <c r="G3945" s="25">
        <v>255.0</v>
      </c>
      <c r="H3945" s="25">
        <v>115.0</v>
      </c>
      <c r="I3945" s="26">
        <f t="array" ref="I3945">XLOOKUP($A3945,product!A:A,product!E:E)</f>
        <v>8.09</v>
      </c>
      <c r="J3945" s="25">
        <f t="shared" si="2"/>
        <v>930.35</v>
      </c>
      <c r="K3945" s="27">
        <f t="shared" si="3"/>
        <v>1</v>
      </c>
      <c r="L3945" s="25">
        <f t="shared" si="4"/>
        <v>1</v>
      </c>
    </row>
    <row r="3946">
      <c r="A3946" s="19">
        <v>116236.0</v>
      </c>
      <c r="B3946" s="20" t="str">
        <f t="array" ref="B3946">xlookup($A3946,product!$A:$A,product!B:B)</f>
        <v>Santé &amp; Bien-être</v>
      </c>
      <c r="C3946" s="20" t="str">
        <f t="array" ref="C3946">xlookup($A3946,product!$A:$A,product!C:C)</f>
        <v>Vitamines, minéraux</v>
      </c>
      <c r="D3946" s="20" t="str">
        <f t="array" ref="D3946">xlookup($A3946,product!$A:$A,product!D:D)</f>
        <v>Acérola, Vitamine C</v>
      </c>
      <c r="E3946" s="4" t="str">
        <f t="shared" si="1"/>
        <v>116236-Vitamines, minéraux-Acérola, Vitamine C</v>
      </c>
      <c r="F3946" s="4">
        <v>0.0</v>
      </c>
      <c r="G3946" s="4">
        <v>459.0</v>
      </c>
      <c r="H3946" s="4">
        <v>67.0</v>
      </c>
      <c r="I3946" s="21">
        <f t="array" ref="I3946">XLOOKUP($A3946,product!A:A,product!E:E)</f>
        <v>11.54</v>
      </c>
      <c r="J3946" s="4">
        <f t="shared" si="2"/>
        <v>773.18</v>
      </c>
      <c r="K3946" s="22">
        <f t="shared" si="3"/>
        <v>1</v>
      </c>
      <c r="L3946" s="4">
        <f t="shared" si="4"/>
        <v>1</v>
      </c>
    </row>
    <row r="3947">
      <c r="A3947" s="23">
        <v>120751.0</v>
      </c>
      <c r="B3947" s="24" t="str">
        <f t="array" ref="B3947">xlookup($A3947,product!$A:$A,product!B:B)</f>
        <v>Santé &amp; Bien-être</v>
      </c>
      <c r="C3947" s="24" t="str">
        <f t="array" ref="C3947">xlookup($A3947,product!$A:$A,product!C:C)</f>
        <v>Vitamines, minéraux</v>
      </c>
      <c r="D3947" s="24" t="str">
        <f t="array" ref="D3947">xlookup($A3947,product!$A:$A,product!D:D)</f>
        <v>Acérola, Vitamine C</v>
      </c>
      <c r="E3947" s="25" t="str">
        <f t="shared" si="1"/>
        <v>120751-Vitamines, minéraux-Acérola, Vitamine C</v>
      </c>
      <c r="F3947" s="25">
        <v>0.0</v>
      </c>
      <c r="G3947" s="25">
        <v>272.0</v>
      </c>
      <c r="H3947" s="25">
        <v>30.0</v>
      </c>
      <c r="I3947" s="26">
        <f t="array" ref="I3947">XLOOKUP($A3947,product!A:A,product!E:E)</f>
        <v>4.97</v>
      </c>
      <c r="J3947" s="25">
        <f t="shared" si="2"/>
        <v>149.1</v>
      </c>
      <c r="K3947" s="27">
        <f t="shared" si="3"/>
        <v>1</v>
      </c>
      <c r="L3947" s="25">
        <f t="shared" si="4"/>
        <v>1</v>
      </c>
    </row>
    <row r="3948">
      <c r="A3948" s="19">
        <v>80756.0</v>
      </c>
      <c r="B3948" s="20" t="str">
        <f t="array" ref="B3948">xlookup($A3948,product!$A:$A,product!B:B)</f>
        <v>Santé &amp; Bien-être</v>
      </c>
      <c r="C3948" s="20" t="str">
        <f t="array" ref="C3948">xlookup($A3948,product!$A:$A,product!C:C)</f>
        <v>Vitamines, minéraux</v>
      </c>
      <c r="D3948" s="20" t="str">
        <f t="array" ref="D3948">xlookup($A3948,product!$A:$A,product!D:D)</f>
        <v>Acérola, Vitamine C</v>
      </c>
      <c r="E3948" s="4" t="str">
        <f t="shared" si="1"/>
        <v>80756-Vitamines, minéraux-Acérola, Vitamine C</v>
      </c>
      <c r="F3948" s="4">
        <v>1.0</v>
      </c>
      <c r="G3948" s="4">
        <v>326.0</v>
      </c>
      <c r="H3948" s="4">
        <v>254.0</v>
      </c>
      <c r="I3948" s="21">
        <f t="array" ref="I3948">XLOOKUP($A3948,product!A:A,product!E:E)</f>
        <v>13.15</v>
      </c>
      <c r="J3948" s="4">
        <f t="shared" si="2"/>
        <v>3340.1</v>
      </c>
      <c r="K3948" s="22">
        <f t="shared" si="3"/>
        <v>1</v>
      </c>
      <c r="L3948" s="4">
        <f t="shared" si="4"/>
        <v>1</v>
      </c>
    </row>
    <row r="3949">
      <c r="A3949" s="23">
        <v>119729.0</v>
      </c>
      <c r="B3949" s="24" t="str">
        <f t="array" ref="B3949">xlookup($A3949,product!$A:$A,product!B:B)</f>
        <v>Santé &amp; Bien-être</v>
      </c>
      <c r="C3949" s="24" t="str">
        <f t="array" ref="C3949">xlookup($A3949,product!$A:$A,product!C:C)</f>
        <v>Vitamines, minéraux</v>
      </c>
      <c r="D3949" s="24" t="str">
        <f t="array" ref="D3949">xlookup($A3949,product!$A:$A,product!D:D)</f>
        <v>Acérola, Vitamine C</v>
      </c>
      <c r="E3949" s="25" t="str">
        <f t="shared" si="1"/>
        <v>119729-Vitamines, minéraux-Acérola, Vitamine C</v>
      </c>
      <c r="F3949" s="25">
        <v>1.0</v>
      </c>
      <c r="G3949" s="25">
        <v>270.0</v>
      </c>
      <c r="H3949" s="25">
        <v>192.0</v>
      </c>
      <c r="I3949" s="26">
        <f t="array" ref="I3949">XLOOKUP($A3949,product!A:A,product!E:E)</f>
        <v>5.78</v>
      </c>
      <c r="J3949" s="25">
        <f t="shared" si="2"/>
        <v>1109.76</v>
      </c>
      <c r="K3949" s="27">
        <f t="shared" si="3"/>
        <v>1</v>
      </c>
      <c r="L3949" s="25">
        <f t="shared" si="4"/>
        <v>1</v>
      </c>
    </row>
    <row r="3950">
      <c r="A3950" s="19">
        <v>119028.0</v>
      </c>
      <c r="B3950" s="20" t="str">
        <f t="array" ref="B3950">xlookup($A3950,product!$A:$A,product!B:B)</f>
        <v>Santé &amp; Bien-être</v>
      </c>
      <c r="C3950" s="20" t="str">
        <f t="array" ref="C3950">xlookup($A3950,product!$A:$A,product!C:C)</f>
        <v>Vitamines, minéraux</v>
      </c>
      <c r="D3950" s="20" t="str">
        <f t="array" ref="D3950">xlookup($A3950,product!$A:$A,product!D:D)</f>
        <v>Acérola, Vitamine C</v>
      </c>
      <c r="E3950" s="4" t="str">
        <f t="shared" si="1"/>
        <v>119028-Vitamines, minéraux-Acérola, Vitamine C</v>
      </c>
      <c r="F3950" s="4">
        <v>1.0</v>
      </c>
      <c r="G3950" s="4">
        <v>867.0</v>
      </c>
      <c r="H3950" s="4">
        <v>649.0</v>
      </c>
      <c r="I3950" s="21">
        <f t="array" ref="I3950">XLOOKUP($A3950,product!A:A,product!E:E)</f>
        <v>8.08</v>
      </c>
      <c r="J3950" s="4">
        <f t="shared" si="2"/>
        <v>5243.92</v>
      </c>
      <c r="K3950" s="22">
        <f t="shared" si="3"/>
        <v>1</v>
      </c>
      <c r="L3950" s="4">
        <f t="shared" si="4"/>
        <v>1</v>
      </c>
    </row>
    <row r="3951">
      <c r="A3951" s="23">
        <v>116957.0</v>
      </c>
      <c r="B3951" s="24" t="str">
        <f t="array" ref="B3951">xlookup($A3951,product!$A:$A,product!B:B)</f>
        <v>Santé &amp; Bien-être</v>
      </c>
      <c r="C3951" s="24" t="str">
        <f t="array" ref="C3951">xlookup($A3951,product!$A:$A,product!C:C)</f>
        <v>Vitamines, minéraux</v>
      </c>
      <c r="D3951" s="24" t="str">
        <f t="array" ref="D3951">xlookup($A3951,product!$A:$A,product!D:D)</f>
        <v>Magnésium, Potassium</v>
      </c>
      <c r="E3951" s="25" t="str">
        <f t="shared" si="1"/>
        <v>116957-Vitamines, minéraux-Magnésium, Potassium</v>
      </c>
      <c r="F3951" s="25">
        <v>0.0</v>
      </c>
      <c r="G3951" s="25">
        <v>820.0</v>
      </c>
      <c r="H3951" s="25">
        <v>92.0</v>
      </c>
      <c r="I3951" s="26">
        <f t="array" ref="I3951">XLOOKUP($A3951,product!A:A,product!E:E)</f>
        <v>5.75</v>
      </c>
      <c r="J3951" s="25">
        <f t="shared" si="2"/>
        <v>529</v>
      </c>
      <c r="K3951" s="27">
        <f t="shared" si="3"/>
        <v>1</v>
      </c>
      <c r="L3951" s="25">
        <f t="shared" si="4"/>
        <v>1</v>
      </c>
    </row>
    <row r="3952">
      <c r="A3952" s="19">
        <v>78235.0</v>
      </c>
      <c r="B3952" s="20" t="str">
        <f t="array" ref="B3952">xlookup($A3952,product!$A:$A,product!B:B)</f>
        <v>Santé &amp; Bien-être</v>
      </c>
      <c r="C3952" s="20" t="str">
        <f t="array" ref="C3952">xlookup($A3952,product!$A:$A,product!C:C)</f>
        <v>Vitamines, minéraux</v>
      </c>
      <c r="D3952" s="20" t="str">
        <f t="array" ref="D3952">xlookup($A3952,product!$A:$A,product!D:D)</f>
        <v>Magnésium, Potassium</v>
      </c>
      <c r="E3952" s="4" t="str">
        <f t="shared" si="1"/>
        <v>78235-Vitamines, minéraux-Magnésium, Potassium</v>
      </c>
      <c r="F3952" s="4">
        <v>0.0</v>
      </c>
      <c r="G3952" s="4">
        <v>654.0</v>
      </c>
      <c r="H3952" s="4">
        <v>588.0</v>
      </c>
      <c r="I3952" s="21">
        <f t="array" ref="I3952">XLOOKUP($A3952,product!A:A,product!E:E)</f>
        <v>6.41</v>
      </c>
      <c r="J3952" s="4">
        <f t="shared" si="2"/>
        <v>3769.08</v>
      </c>
      <c r="K3952" s="22">
        <f t="shared" si="3"/>
        <v>1</v>
      </c>
      <c r="L3952" s="4">
        <f t="shared" si="4"/>
        <v>1</v>
      </c>
    </row>
    <row r="3953">
      <c r="A3953" s="23">
        <v>119803.0</v>
      </c>
      <c r="B3953" s="24" t="str">
        <f t="array" ref="B3953">xlookup($A3953,product!$A:$A,product!B:B)</f>
        <v>Santé &amp; Bien-être</v>
      </c>
      <c r="C3953" s="24" t="str">
        <f t="array" ref="C3953">xlookup($A3953,product!$A:$A,product!C:C)</f>
        <v>Vitamines, minéraux</v>
      </c>
      <c r="D3953" s="24" t="str">
        <f t="array" ref="D3953">xlookup($A3953,product!$A:$A,product!D:D)</f>
        <v>Magnésium, Potassium</v>
      </c>
      <c r="E3953" s="25" t="str">
        <f t="shared" si="1"/>
        <v>119803-Vitamines, minéraux-Magnésium, Potassium</v>
      </c>
      <c r="F3953" s="25">
        <v>0.0</v>
      </c>
      <c r="G3953" s="25">
        <v>405.0</v>
      </c>
      <c r="H3953" s="25">
        <v>216.0</v>
      </c>
      <c r="I3953" s="26">
        <f t="array" ref="I3953">XLOOKUP($A3953,product!A:A,product!E:E)</f>
        <v>7.73</v>
      </c>
      <c r="J3953" s="25">
        <f t="shared" si="2"/>
        <v>1669.68</v>
      </c>
      <c r="K3953" s="27">
        <f t="shared" si="3"/>
        <v>1</v>
      </c>
      <c r="L3953" s="25">
        <f t="shared" si="4"/>
        <v>1</v>
      </c>
    </row>
    <row r="3954">
      <c r="A3954" s="19">
        <v>7669.0</v>
      </c>
      <c r="B3954" s="20" t="str">
        <f t="array" ref="B3954">xlookup($A3954,product!$A:$A,product!B:B)</f>
        <v>Santé &amp; Bien-être</v>
      </c>
      <c r="C3954" s="20" t="str">
        <f t="array" ref="C3954">xlookup($A3954,product!$A:$A,product!C:C)</f>
        <v>Vitamines, minéraux</v>
      </c>
      <c r="D3954" s="20" t="str">
        <f t="array" ref="D3954">xlookup($A3954,product!$A:$A,product!D:D)</f>
        <v>Magnésium, Potassium</v>
      </c>
      <c r="E3954" s="4" t="str">
        <f t="shared" si="1"/>
        <v>7669-Vitamines, minéraux-Magnésium, Potassium</v>
      </c>
      <c r="F3954" s="4">
        <v>0.0</v>
      </c>
      <c r="G3954" s="4">
        <v>793.0</v>
      </c>
      <c r="H3954" s="4">
        <v>716.0</v>
      </c>
      <c r="I3954" s="21">
        <f t="array" ref="I3954">XLOOKUP($A3954,product!A:A,product!E:E)</f>
        <v>7.68</v>
      </c>
      <c r="J3954" s="4">
        <f t="shared" si="2"/>
        <v>5498.88</v>
      </c>
      <c r="K3954" s="22">
        <f t="shared" si="3"/>
        <v>1</v>
      </c>
      <c r="L3954" s="4">
        <f t="shared" si="4"/>
        <v>1</v>
      </c>
    </row>
    <row r="3955">
      <c r="A3955" s="23">
        <v>139312.0</v>
      </c>
      <c r="B3955" s="24" t="str">
        <f t="array" ref="B3955">xlookup($A3955,product!$A:$A,product!B:B)</f>
        <v>Santé &amp; Bien-être</v>
      </c>
      <c r="C3955" s="24" t="str">
        <f t="array" ref="C3955">xlookup($A3955,product!$A:$A,product!C:C)</f>
        <v>Vitamines, minéraux</v>
      </c>
      <c r="D3955" s="24" t="str">
        <f t="array" ref="D3955">xlookup($A3955,product!$A:$A,product!D:D)</f>
        <v>Magnésium, Potassium</v>
      </c>
      <c r="E3955" s="25" t="str">
        <f t="shared" si="1"/>
        <v>139312-Vitamines, minéraux-Magnésium, Potassium</v>
      </c>
      <c r="F3955" s="25">
        <v>0.0</v>
      </c>
      <c r="G3955" s="25">
        <v>410.0</v>
      </c>
      <c r="H3955" s="25">
        <v>222.0</v>
      </c>
      <c r="I3955" s="26">
        <f t="array" ref="I3955">XLOOKUP($A3955,product!A:A,product!E:E)</f>
        <v>17.08</v>
      </c>
      <c r="J3955" s="25">
        <f t="shared" si="2"/>
        <v>3791.76</v>
      </c>
      <c r="K3955" s="27">
        <f t="shared" si="3"/>
        <v>1</v>
      </c>
      <c r="L3955" s="25">
        <f t="shared" si="4"/>
        <v>1</v>
      </c>
    </row>
    <row r="3956">
      <c r="A3956" s="19">
        <v>77773.0</v>
      </c>
      <c r="B3956" s="20" t="str">
        <f t="array" ref="B3956">xlookup($A3956,product!$A:$A,product!B:B)</f>
        <v>Santé &amp; Bien-être</v>
      </c>
      <c r="C3956" s="20" t="str">
        <f t="array" ref="C3956">xlookup($A3956,product!$A:$A,product!C:C)</f>
        <v>Vitamines, minéraux</v>
      </c>
      <c r="D3956" s="20" t="str">
        <f t="array" ref="D3956">xlookup($A3956,product!$A:$A,product!D:D)</f>
        <v>Magnésium, Potassium</v>
      </c>
      <c r="E3956" s="4" t="str">
        <f t="shared" si="1"/>
        <v>77773-Vitamines, minéraux-Magnésium, Potassium</v>
      </c>
      <c r="F3956" s="4">
        <v>1.0</v>
      </c>
      <c r="G3956" s="4">
        <v>529.0</v>
      </c>
      <c r="H3956" s="4">
        <v>314.0</v>
      </c>
      <c r="I3956" s="21">
        <f t="array" ref="I3956">XLOOKUP($A3956,product!A:A,product!E:E)</f>
        <v>2.07</v>
      </c>
      <c r="J3956" s="4">
        <f t="shared" si="2"/>
        <v>649.98</v>
      </c>
      <c r="K3956" s="22">
        <f t="shared" si="3"/>
        <v>1</v>
      </c>
      <c r="L3956" s="4">
        <f t="shared" si="4"/>
        <v>1</v>
      </c>
    </row>
    <row r="3957">
      <c r="A3957" s="23">
        <v>73442.0</v>
      </c>
      <c r="B3957" s="24" t="str">
        <f t="array" ref="B3957">xlookup($A3957,product!$A:$A,product!B:B)</f>
        <v>Santé &amp; Bien-être</v>
      </c>
      <c r="C3957" s="24" t="str">
        <f t="array" ref="C3957">xlookup($A3957,product!$A:$A,product!C:C)</f>
        <v>Vitamines, minéraux</v>
      </c>
      <c r="D3957" s="24" t="str">
        <f t="array" ref="D3957">xlookup($A3957,product!$A:$A,product!D:D)</f>
        <v>Magnésium, Potassium</v>
      </c>
      <c r="E3957" s="25" t="str">
        <f t="shared" si="1"/>
        <v>73442-Vitamines, minéraux-Magnésium, Potassium</v>
      </c>
      <c r="F3957" s="25">
        <v>0.0</v>
      </c>
      <c r="G3957" s="25">
        <v>858.0</v>
      </c>
      <c r="H3957" s="25">
        <v>537.0</v>
      </c>
      <c r="I3957" s="26">
        <f t="array" ref="I3957">XLOOKUP($A3957,product!A:A,product!E:E)</f>
        <v>2.04</v>
      </c>
      <c r="J3957" s="25">
        <f t="shared" si="2"/>
        <v>1095.48</v>
      </c>
      <c r="K3957" s="27">
        <f t="shared" si="3"/>
        <v>1</v>
      </c>
      <c r="L3957" s="25">
        <f t="shared" si="4"/>
        <v>1</v>
      </c>
    </row>
    <row r="3958">
      <c r="A3958" s="19">
        <v>3974.0</v>
      </c>
      <c r="B3958" s="20" t="str">
        <f t="array" ref="B3958">xlookup($A3958,product!$A:$A,product!B:B)</f>
        <v>Santé &amp; Bien-être</v>
      </c>
      <c r="C3958" s="20" t="str">
        <f t="array" ref="C3958">xlookup($A3958,product!$A:$A,product!C:C)</f>
        <v>Vitamines, minéraux</v>
      </c>
      <c r="D3958" s="20" t="str">
        <f t="array" ref="D3958">xlookup($A3958,product!$A:$A,product!D:D)</f>
        <v>Magnésium, Potassium</v>
      </c>
      <c r="E3958" s="4" t="str">
        <f t="shared" si="1"/>
        <v>3974-Vitamines, minéraux-Magnésium, Potassium</v>
      </c>
      <c r="F3958" s="4">
        <v>0.0</v>
      </c>
      <c r="G3958" s="4">
        <v>511.0</v>
      </c>
      <c r="H3958" s="4">
        <v>302.0</v>
      </c>
      <c r="I3958" s="21">
        <f t="array" ref="I3958">XLOOKUP($A3958,product!A:A,product!E:E)</f>
        <v>10.57</v>
      </c>
      <c r="J3958" s="4">
        <f t="shared" si="2"/>
        <v>3192.14</v>
      </c>
      <c r="K3958" s="22">
        <f t="shared" si="3"/>
        <v>1</v>
      </c>
      <c r="L3958" s="4">
        <f t="shared" si="4"/>
        <v>1</v>
      </c>
    </row>
    <row r="3959">
      <c r="A3959" s="23">
        <v>104032.0</v>
      </c>
      <c r="B3959" s="24" t="str">
        <f t="array" ref="B3959">xlookup($A3959,product!$A:$A,product!B:B)</f>
        <v>Santé &amp; Bien-être</v>
      </c>
      <c r="C3959" s="24" t="str">
        <f t="array" ref="C3959">xlookup($A3959,product!$A:$A,product!C:C)</f>
        <v>Vitamines, minéraux</v>
      </c>
      <c r="D3959" s="24" t="str">
        <f t="array" ref="D3959">xlookup($A3959,product!$A:$A,product!D:D)</f>
        <v>Oligo éléments, acides aminés</v>
      </c>
      <c r="E3959" s="25" t="str">
        <f t="shared" si="1"/>
        <v>104032-Vitamines, minéraux-Oligo éléments, acides aminés</v>
      </c>
      <c r="F3959" s="25">
        <v>0.0</v>
      </c>
      <c r="G3959" s="25">
        <v>720.0</v>
      </c>
      <c r="H3959" s="25">
        <v>137.0</v>
      </c>
      <c r="I3959" s="26">
        <f t="array" ref="I3959">XLOOKUP($A3959,product!A:A,product!E:E)</f>
        <v>8.26</v>
      </c>
      <c r="J3959" s="25">
        <f t="shared" si="2"/>
        <v>1131.62</v>
      </c>
      <c r="K3959" s="27">
        <f t="shared" si="3"/>
        <v>1</v>
      </c>
      <c r="L3959" s="25">
        <f t="shared" si="4"/>
        <v>1</v>
      </c>
    </row>
    <row r="3960">
      <c r="A3960" s="19">
        <v>24162.0</v>
      </c>
      <c r="B3960" s="20" t="str">
        <f t="array" ref="B3960">xlookup($A3960,product!$A:$A,product!B:B)</f>
        <v>Epicerie salée</v>
      </c>
      <c r="C3960" s="20" t="str">
        <f t="array" ref="C3960">xlookup($A3960,product!$A:$A,product!C:C)</f>
        <v>Condiments, vinaigres</v>
      </c>
      <c r="D3960" s="20" t="str">
        <f t="array" ref="D3960">xlookup($A3960,product!$A:$A,product!D:D)</f>
        <v>Moutarde</v>
      </c>
      <c r="E3960" s="4" t="str">
        <f t="shared" si="1"/>
        <v>24162-Condiments, vinaigres-Moutarde</v>
      </c>
      <c r="F3960" s="4">
        <v>1.0</v>
      </c>
      <c r="G3960" s="4">
        <v>811.0</v>
      </c>
      <c r="H3960" s="4">
        <v>429.0</v>
      </c>
      <c r="I3960" s="21">
        <f t="array" ref="I3960">XLOOKUP($A3960,product!A:A,product!E:E)</f>
        <v>3.9</v>
      </c>
      <c r="J3960" s="4">
        <f t="shared" si="2"/>
        <v>1673.1</v>
      </c>
      <c r="K3960" s="22">
        <f t="shared" si="3"/>
        <v>1</v>
      </c>
      <c r="L3960" s="4">
        <f t="shared" si="4"/>
        <v>1</v>
      </c>
    </row>
    <row r="3961">
      <c r="A3961" s="23">
        <v>24167.0</v>
      </c>
      <c r="B3961" s="24" t="str">
        <f t="array" ref="B3961">xlookup($A3961,product!$A:$A,product!B:B)</f>
        <v>Epicerie salée</v>
      </c>
      <c r="C3961" s="24" t="str">
        <f t="array" ref="C3961">xlookup($A3961,product!$A:$A,product!C:C)</f>
        <v>Condiments, vinaigres</v>
      </c>
      <c r="D3961" s="24" t="str">
        <f t="array" ref="D3961">xlookup($A3961,product!$A:$A,product!D:D)</f>
        <v>Moutarde</v>
      </c>
      <c r="E3961" s="25" t="str">
        <f t="shared" si="1"/>
        <v>24167-Condiments, vinaigres-Moutarde</v>
      </c>
      <c r="F3961" s="25">
        <v>1.0</v>
      </c>
      <c r="G3961" s="25">
        <v>516.0</v>
      </c>
      <c r="H3961" s="25">
        <v>445.0</v>
      </c>
      <c r="I3961" s="26">
        <f t="array" ref="I3961">XLOOKUP($A3961,product!A:A,product!E:E)</f>
        <v>1.72</v>
      </c>
      <c r="J3961" s="25">
        <f t="shared" si="2"/>
        <v>765.4</v>
      </c>
      <c r="K3961" s="27">
        <f t="shared" si="3"/>
        <v>1</v>
      </c>
      <c r="L3961" s="25">
        <f t="shared" si="4"/>
        <v>1</v>
      </c>
    </row>
    <row r="3962">
      <c r="A3962" s="19">
        <v>24174.0</v>
      </c>
      <c r="B3962" s="20" t="str">
        <f t="array" ref="B3962">xlookup($A3962,product!$A:$A,product!B:B)</f>
        <v>Epicerie salée</v>
      </c>
      <c r="C3962" s="20" t="str">
        <f t="array" ref="C3962">xlookup($A3962,product!$A:$A,product!C:C)</f>
        <v>Condiments, vinaigres</v>
      </c>
      <c r="D3962" s="20" t="str">
        <f t="array" ref="D3962">xlookup($A3962,product!$A:$A,product!D:D)</f>
        <v>Moutarde</v>
      </c>
      <c r="E3962" s="4" t="str">
        <f t="shared" si="1"/>
        <v>24174-Condiments, vinaigres-Moutarde</v>
      </c>
      <c r="F3962" s="4">
        <v>0.0</v>
      </c>
      <c r="G3962" s="4">
        <v>545.0</v>
      </c>
      <c r="H3962" s="4">
        <v>505.0</v>
      </c>
      <c r="I3962" s="21">
        <f t="array" ref="I3962">XLOOKUP($A3962,product!A:A,product!E:E)</f>
        <v>1.75</v>
      </c>
      <c r="J3962" s="4">
        <f t="shared" si="2"/>
        <v>883.75</v>
      </c>
      <c r="K3962" s="22">
        <f t="shared" si="3"/>
        <v>1</v>
      </c>
      <c r="L3962" s="4">
        <f t="shared" si="4"/>
        <v>1</v>
      </c>
    </row>
    <row r="3963">
      <c r="A3963" s="23">
        <v>24161.0</v>
      </c>
      <c r="B3963" s="24" t="str">
        <f t="array" ref="B3963">xlookup($A3963,product!$A:$A,product!B:B)</f>
        <v>Epicerie salée</v>
      </c>
      <c r="C3963" s="24" t="str">
        <f t="array" ref="C3963">xlookup($A3963,product!$A:$A,product!C:C)</f>
        <v>Condiments, vinaigres</v>
      </c>
      <c r="D3963" s="24" t="str">
        <f t="array" ref="D3963">xlookup($A3963,product!$A:$A,product!D:D)</f>
        <v>Moutarde</v>
      </c>
      <c r="E3963" s="25" t="str">
        <f t="shared" si="1"/>
        <v>24161-Condiments, vinaigres-Moutarde</v>
      </c>
      <c r="F3963" s="25">
        <v>0.0</v>
      </c>
      <c r="G3963" s="25">
        <v>929.0</v>
      </c>
      <c r="H3963" s="25">
        <v>159.0</v>
      </c>
      <c r="I3963" s="26">
        <f t="array" ref="I3963">XLOOKUP($A3963,product!A:A,product!E:E)</f>
        <v>2.05</v>
      </c>
      <c r="J3963" s="25">
        <f t="shared" si="2"/>
        <v>325.95</v>
      </c>
      <c r="K3963" s="27">
        <f t="shared" si="3"/>
        <v>1</v>
      </c>
      <c r="L3963" s="25">
        <f t="shared" si="4"/>
        <v>1</v>
      </c>
    </row>
    <row r="3964">
      <c r="A3964" s="19">
        <v>88594.0</v>
      </c>
      <c r="B3964" s="20" t="str">
        <f t="array" ref="B3964">xlookup($A3964,product!$A:$A,product!B:B)</f>
        <v>Epicerie salée</v>
      </c>
      <c r="C3964" s="20" t="str">
        <f t="array" ref="C3964">xlookup($A3964,product!$A:$A,product!C:C)</f>
        <v>Condiments, vinaigres</v>
      </c>
      <c r="D3964" s="20" t="str">
        <f t="array" ref="D3964">xlookup($A3964,product!$A:$A,product!D:D)</f>
        <v>Moutarde</v>
      </c>
      <c r="E3964" s="4" t="str">
        <f t="shared" si="1"/>
        <v>88594-Condiments, vinaigres-Moutarde</v>
      </c>
      <c r="F3964" s="4">
        <v>0.0</v>
      </c>
      <c r="G3964" s="4">
        <v>871.0</v>
      </c>
      <c r="H3964" s="4">
        <v>855.0</v>
      </c>
      <c r="I3964" s="21">
        <f t="array" ref="I3964">XLOOKUP($A3964,product!A:A,product!E:E)</f>
        <v>1.65</v>
      </c>
      <c r="J3964" s="4">
        <f t="shared" si="2"/>
        <v>1410.75</v>
      </c>
      <c r="K3964" s="22">
        <f t="shared" si="3"/>
        <v>1</v>
      </c>
      <c r="L3964" s="4">
        <f t="shared" si="4"/>
        <v>1</v>
      </c>
    </row>
    <row r="3965">
      <c r="A3965" s="23">
        <v>118818.0</v>
      </c>
      <c r="B3965" s="24" t="str">
        <f t="array" ref="B3965">xlookup($A3965,product!$A:$A,product!B:B)</f>
        <v>Epicerie salée</v>
      </c>
      <c r="C3965" s="24" t="str">
        <f t="array" ref="C3965">xlookup($A3965,product!$A:$A,product!C:C)</f>
        <v>Condiments, vinaigres</v>
      </c>
      <c r="D3965" s="24" t="str">
        <f t="array" ref="D3965">xlookup($A3965,product!$A:$A,product!D:D)</f>
        <v>Moutarde</v>
      </c>
      <c r="E3965" s="25" t="str">
        <f t="shared" si="1"/>
        <v>118818-Condiments, vinaigres-Moutarde</v>
      </c>
      <c r="F3965" s="25">
        <v>1.0</v>
      </c>
      <c r="G3965" s="25">
        <v>891.0</v>
      </c>
      <c r="H3965" s="25">
        <v>196.0</v>
      </c>
      <c r="I3965" s="26">
        <f t="array" ref="I3965">XLOOKUP($A3965,product!A:A,product!E:E)</f>
        <v>1.79</v>
      </c>
      <c r="J3965" s="25">
        <f t="shared" si="2"/>
        <v>350.84</v>
      </c>
      <c r="K3965" s="27">
        <f t="shared" si="3"/>
        <v>1</v>
      </c>
      <c r="L3965" s="25">
        <f t="shared" si="4"/>
        <v>1</v>
      </c>
    </row>
    <row r="3966">
      <c r="A3966" s="19">
        <v>24166.0</v>
      </c>
      <c r="B3966" s="20" t="str">
        <f t="array" ref="B3966">xlookup($A3966,product!$A:$A,product!B:B)</f>
        <v>Epicerie salée</v>
      </c>
      <c r="C3966" s="20" t="str">
        <f t="array" ref="C3966">xlookup($A3966,product!$A:$A,product!C:C)</f>
        <v>Condiments, vinaigres</v>
      </c>
      <c r="D3966" s="20" t="str">
        <f t="array" ref="D3966">xlookup($A3966,product!$A:$A,product!D:D)</f>
        <v>Moutarde</v>
      </c>
      <c r="E3966" s="4" t="str">
        <f t="shared" si="1"/>
        <v>24166-Condiments, vinaigres-Moutarde</v>
      </c>
      <c r="F3966" s="4">
        <v>1.0</v>
      </c>
      <c r="G3966" s="4">
        <v>161.0</v>
      </c>
      <c r="H3966" s="4">
        <v>26.0</v>
      </c>
      <c r="I3966" s="21">
        <f t="array" ref="I3966">XLOOKUP($A3966,product!A:A,product!E:E)</f>
        <v>1.25</v>
      </c>
      <c r="J3966" s="4">
        <f t="shared" si="2"/>
        <v>32.5</v>
      </c>
      <c r="K3966" s="22">
        <f t="shared" si="3"/>
        <v>1</v>
      </c>
      <c r="L3966" s="4">
        <f t="shared" si="4"/>
        <v>1</v>
      </c>
    </row>
    <row r="3967">
      <c r="A3967" s="23">
        <v>118828.0</v>
      </c>
      <c r="B3967" s="24" t="str">
        <f t="array" ref="B3967">xlookup($A3967,product!$A:$A,product!B:B)</f>
        <v>Epicerie salée</v>
      </c>
      <c r="C3967" s="24" t="str">
        <f t="array" ref="C3967">xlookup($A3967,product!$A:$A,product!C:C)</f>
        <v>Condiments, vinaigres</v>
      </c>
      <c r="D3967" s="24" t="str">
        <f t="array" ref="D3967">xlookup($A3967,product!$A:$A,product!D:D)</f>
        <v>Moutarde</v>
      </c>
      <c r="E3967" s="25" t="str">
        <f t="shared" si="1"/>
        <v>118828-Condiments, vinaigres-Moutarde</v>
      </c>
      <c r="F3967" s="25">
        <v>0.0</v>
      </c>
      <c r="G3967" s="25">
        <v>506.0</v>
      </c>
      <c r="H3967" s="25">
        <v>325.0</v>
      </c>
      <c r="I3967" s="26">
        <f t="array" ref="I3967">XLOOKUP($A3967,product!A:A,product!E:E)</f>
        <v>2.03</v>
      </c>
      <c r="J3967" s="25">
        <f t="shared" si="2"/>
        <v>659.75</v>
      </c>
      <c r="K3967" s="27">
        <f t="shared" si="3"/>
        <v>1</v>
      </c>
      <c r="L3967" s="25">
        <f t="shared" si="4"/>
        <v>1</v>
      </c>
    </row>
    <row r="3968">
      <c r="A3968" s="19">
        <v>86169.0</v>
      </c>
      <c r="B3968" s="20" t="str">
        <f t="array" ref="B3968">xlookup($A3968,product!$A:$A,product!B:B)</f>
        <v>Epicerie salée</v>
      </c>
      <c r="C3968" s="20" t="str">
        <f t="array" ref="C3968">xlookup($A3968,product!$A:$A,product!C:C)</f>
        <v>Condiments, vinaigres</v>
      </c>
      <c r="D3968" s="20" t="str">
        <f t="array" ref="D3968">xlookup($A3968,product!$A:$A,product!D:D)</f>
        <v>Moutarde</v>
      </c>
      <c r="E3968" s="4" t="str">
        <f t="shared" si="1"/>
        <v>86169-Condiments, vinaigres-Moutarde</v>
      </c>
      <c r="F3968" s="4">
        <v>1.0</v>
      </c>
      <c r="G3968" s="4">
        <v>921.0</v>
      </c>
      <c r="H3968" s="4">
        <v>48.0</v>
      </c>
      <c r="I3968" s="21">
        <f t="array" ref="I3968">XLOOKUP($A3968,product!A:A,product!E:E)</f>
        <v>3.91</v>
      </c>
      <c r="J3968" s="4">
        <f t="shared" si="2"/>
        <v>187.68</v>
      </c>
      <c r="K3968" s="22">
        <f t="shared" si="3"/>
        <v>1</v>
      </c>
      <c r="L3968" s="4">
        <f t="shared" si="4"/>
        <v>1</v>
      </c>
    </row>
    <row r="3969">
      <c r="A3969" s="23">
        <v>118851.0</v>
      </c>
      <c r="B3969" s="24" t="str">
        <f t="array" ref="B3969">xlookup($A3969,product!$A:$A,product!B:B)</f>
        <v>Epicerie salée</v>
      </c>
      <c r="C3969" s="24" t="str">
        <f t="array" ref="C3969">xlookup($A3969,product!$A:$A,product!C:C)</f>
        <v>Condiments, vinaigres</v>
      </c>
      <c r="D3969" s="24" t="str">
        <f t="array" ref="D3969">xlookup($A3969,product!$A:$A,product!D:D)</f>
        <v>Moutarde</v>
      </c>
      <c r="E3969" s="25" t="str">
        <f t="shared" si="1"/>
        <v>118851-Condiments, vinaigres-Moutarde</v>
      </c>
      <c r="F3969" s="25">
        <v>0.0</v>
      </c>
      <c r="G3969" s="25">
        <v>395.0</v>
      </c>
      <c r="H3969" s="25">
        <v>355.0</v>
      </c>
      <c r="I3969" s="26">
        <f t="array" ref="I3969">XLOOKUP($A3969,product!A:A,product!E:E)</f>
        <v>1.23</v>
      </c>
      <c r="J3969" s="25">
        <f t="shared" si="2"/>
        <v>436.65</v>
      </c>
      <c r="K3969" s="27">
        <f t="shared" si="3"/>
        <v>1</v>
      </c>
      <c r="L3969" s="25">
        <f t="shared" si="4"/>
        <v>1</v>
      </c>
    </row>
    <row r="3970">
      <c r="A3970" s="19">
        <v>118824.0</v>
      </c>
      <c r="B3970" s="20" t="str">
        <f t="array" ref="B3970">xlookup($A3970,product!$A:$A,product!B:B)</f>
        <v>Epicerie salée</v>
      </c>
      <c r="C3970" s="20" t="str">
        <f t="array" ref="C3970">xlookup($A3970,product!$A:$A,product!C:C)</f>
        <v>Condiments, vinaigres</v>
      </c>
      <c r="D3970" s="20" t="str">
        <f t="array" ref="D3970">xlookup($A3970,product!$A:$A,product!D:D)</f>
        <v>Moutarde</v>
      </c>
      <c r="E3970" s="4" t="str">
        <f t="shared" si="1"/>
        <v>118824-Condiments, vinaigres-Moutarde</v>
      </c>
      <c r="F3970" s="4">
        <v>1.0</v>
      </c>
      <c r="G3970" s="4">
        <v>78.0</v>
      </c>
      <c r="H3970" s="4">
        <v>47.0</v>
      </c>
      <c r="I3970" s="21">
        <f t="array" ref="I3970">XLOOKUP($A3970,product!A:A,product!E:E)</f>
        <v>3.29</v>
      </c>
      <c r="J3970" s="4">
        <f t="shared" si="2"/>
        <v>154.63</v>
      </c>
      <c r="K3970" s="22">
        <f t="shared" si="3"/>
        <v>1</v>
      </c>
      <c r="L3970" s="4">
        <f t="shared" si="4"/>
        <v>1</v>
      </c>
    </row>
    <row r="3971">
      <c r="A3971" s="23">
        <v>122728.0</v>
      </c>
      <c r="B3971" s="24" t="str">
        <f t="array" ref="B3971">xlookup($A3971,product!$A:$A,product!B:B)</f>
        <v>Epicerie salée</v>
      </c>
      <c r="C3971" s="24" t="str">
        <f t="array" ref="C3971">xlookup($A3971,product!$A:$A,product!C:C)</f>
        <v>Condiments, vinaigres</v>
      </c>
      <c r="D3971" s="24" t="str">
        <f t="array" ref="D3971">xlookup($A3971,product!$A:$A,product!D:D)</f>
        <v>Moutarde</v>
      </c>
      <c r="E3971" s="25" t="str">
        <f t="shared" si="1"/>
        <v>122728-Condiments, vinaigres-Moutarde</v>
      </c>
      <c r="F3971" s="25">
        <v>0.0</v>
      </c>
      <c r="G3971" s="25">
        <v>689.0</v>
      </c>
      <c r="H3971" s="25">
        <v>126.0</v>
      </c>
      <c r="I3971" s="26">
        <f t="array" ref="I3971">XLOOKUP($A3971,product!A:A,product!E:E)</f>
        <v>1.06</v>
      </c>
      <c r="J3971" s="25">
        <f t="shared" si="2"/>
        <v>133.56</v>
      </c>
      <c r="K3971" s="27">
        <f t="shared" si="3"/>
        <v>1</v>
      </c>
      <c r="L3971" s="25">
        <f t="shared" si="4"/>
        <v>1</v>
      </c>
    </row>
    <row r="3972">
      <c r="A3972" s="19">
        <v>103474.0</v>
      </c>
      <c r="B3972" s="20" t="str">
        <f t="array" ref="B3972">xlookup($A3972,product!$A:$A,product!B:B)</f>
        <v>Epicerie salée</v>
      </c>
      <c r="C3972" s="20" t="str">
        <f t="array" ref="C3972">xlookup($A3972,product!$A:$A,product!C:C)</f>
        <v>Condiments, vinaigres</v>
      </c>
      <c r="D3972" s="20" t="str">
        <f t="array" ref="D3972">xlookup($A3972,product!$A:$A,product!D:D)</f>
        <v>Ketchup et sauce BBQ</v>
      </c>
      <c r="E3972" s="4" t="str">
        <f t="shared" si="1"/>
        <v>103474-Condiments, vinaigres-Ketchup et sauce BBQ</v>
      </c>
      <c r="F3972" s="4">
        <v>0.0</v>
      </c>
      <c r="G3972" s="4">
        <v>439.0</v>
      </c>
      <c r="H3972" s="4">
        <v>35.0</v>
      </c>
      <c r="I3972" s="21">
        <f t="array" ref="I3972">XLOOKUP($A3972,product!A:A,product!E:E)</f>
        <v>3.12</v>
      </c>
      <c r="J3972" s="4">
        <f t="shared" si="2"/>
        <v>109.2</v>
      </c>
      <c r="K3972" s="22">
        <f t="shared" si="3"/>
        <v>1</v>
      </c>
      <c r="L3972" s="4">
        <f t="shared" si="4"/>
        <v>1</v>
      </c>
    </row>
    <row r="3973">
      <c r="A3973" s="23">
        <v>120635.0</v>
      </c>
      <c r="B3973" s="24" t="str">
        <f t="array" ref="B3973">xlookup($A3973,product!$A:$A,product!B:B)</f>
        <v>Epicerie salée</v>
      </c>
      <c r="C3973" s="24" t="str">
        <f t="array" ref="C3973">xlookup($A3973,product!$A:$A,product!C:C)</f>
        <v>Condiments, vinaigres</v>
      </c>
      <c r="D3973" s="24" t="str">
        <f t="array" ref="D3973">xlookup($A3973,product!$A:$A,product!D:D)</f>
        <v>Ketchup et sauce BBQ</v>
      </c>
      <c r="E3973" s="25" t="str">
        <f t="shared" si="1"/>
        <v>120635-Condiments, vinaigres-Ketchup et sauce BBQ</v>
      </c>
      <c r="F3973" s="25">
        <v>0.0</v>
      </c>
      <c r="G3973" s="25">
        <v>231.0</v>
      </c>
      <c r="H3973" s="25">
        <v>116.0</v>
      </c>
      <c r="I3973" s="26">
        <f t="array" ref="I3973">XLOOKUP($A3973,product!A:A,product!E:E)</f>
        <v>2.78</v>
      </c>
      <c r="J3973" s="25">
        <f t="shared" si="2"/>
        <v>322.48</v>
      </c>
      <c r="K3973" s="27">
        <f t="shared" si="3"/>
        <v>1</v>
      </c>
      <c r="L3973" s="25">
        <f t="shared" si="4"/>
        <v>1</v>
      </c>
    </row>
    <row r="3974">
      <c r="A3974" s="19">
        <v>120633.0</v>
      </c>
      <c r="B3974" s="20" t="str">
        <f t="array" ref="B3974">xlookup($A3974,product!$A:$A,product!B:B)</f>
        <v>Epicerie salée</v>
      </c>
      <c r="C3974" s="20" t="str">
        <f t="array" ref="C3974">xlookup($A3974,product!$A:$A,product!C:C)</f>
        <v>Condiments, vinaigres</v>
      </c>
      <c r="D3974" s="20" t="str">
        <f t="array" ref="D3974">xlookup($A3974,product!$A:$A,product!D:D)</f>
        <v>Ketchup et sauce BBQ</v>
      </c>
      <c r="E3974" s="4" t="str">
        <f t="shared" si="1"/>
        <v>120633-Condiments, vinaigres-Ketchup et sauce BBQ</v>
      </c>
      <c r="F3974" s="4">
        <v>1.0</v>
      </c>
      <c r="G3974" s="4">
        <v>339.0</v>
      </c>
      <c r="H3974" s="4">
        <v>165.0</v>
      </c>
      <c r="I3974" s="21">
        <f t="array" ref="I3974">XLOOKUP($A3974,product!A:A,product!E:E)</f>
        <v>2.59</v>
      </c>
      <c r="J3974" s="4">
        <f t="shared" si="2"/>
        <v>427.35</v>
      </c>
      <c r="K3974" s="22">
        <f t="shared" si="3"/>
        <v>1</v>
      </c>
      <c r="L3974" s="4">
        <f t="shared" si="4"/>
        <v>1</v>
      </c>
    </row>
    <row r="3975">
      <c r="A3975" s="23">
        <v>121477.0</v>
      </c>
      <c r="B3975" s="24" t="str">
        <f t="array" ref="B3975">xlookup($A3975,product!$A:$A,product!B:B)</f>
        <v>Epicerie salée</v>
      </c>
      <c r="C3975" s="24" t="str">
        <f t="array" ref="C3975">xlookup($A3975,product!$A:$A,product!C:C)</f>
        <v>Condiments, vinaigres</v>
      </c>
      <c r="D3975" s="24" t="str">
        <f t="array" ref="D3975">xlookup($A3975,product!$A:$A,product!D:D)</f>
        <v>Ketchup et sauce BBQ</v>
      </c>
      <c r="E3975" s="25" t="str">
        <f t="shared" si="1"/>
        <v>121477-Condiments, vinaigres-Ketchup et sauce BBQ</v>
      </c>
      <c r="F3975" s="25">
        <v>1.0</v>
      </c>
      <c r="G3975" s="25">
        <v>830.0</v>
      </c>
      <c r="H3975" s="25">
        <v>681.0</v>
      </c>
      <c r="I3975" s="26">
        <f t="array" ref="I3975">XLOOKUP($A3975,product!A:A,product!E:E)</f>
        <v>1.58</v>
      </c>
      <c r="J3975" s="25">
        <f t="shared" si="2"/>
        <v>1075.98</v>
      </c>
      <c r="K3975" s="27">
        <f t="shared" si="3"/>
        <v>1</v>
      </c>
      <c r="L3975" s="25">
        <f t="shared" si="4"/>
        <v>1</v>
      </c>
    </row>
    <row r="3976">
      <c r="A3976" s="19">
        <v>156024.0</v>
      </c>
      <c r="B3976" s="20" t="str">
        <f t="array" ref="B3976">xlookup($A3976,product!$A:$A,product!B:B)</f>
        <v>Epicerie salée</v>
      </c>
      <c r="C3976" s="20" t="str">
        <f t="array" ref="C3976">xlookup($A3976,product!$A:$A,product!C:C)</f>
        <v>Condiments, vinaigres</v>
      </c>
      <c r="D3976" s="20" t="str">
        <f t="array" ref="D3976">xlookup($A3976,product!$A:$A,product!D:D)</f>
        <v>Ketchup et sauce BBQ</v>
      </c>
      <c r="E3976" s="4" t="str">
        <f t="shared" si="1"/>
        <v>156024-Condiments, vinaigres-Ketchup et sauce BBQ</v>
      </c>
      <c r="F3976" s="4">
        <v>1.0</v>
      </c>
      <c r="G3976" s="4">
        <v>635.0</v>
      </c>
      <c r="H3976" s="4">
        <v>389.0</v>
      </c>
      <c r="I3976" s="21">
        <f t="array" ref="I3976">XLOOKUP($A3976,product!A:A,product!E:E)</f>
        <v>2.53</v>
      </c>
      <c r="J3976" s="4">
        <f t="shared" si="2"/>
        <v>984.17</v>
      </c>
      <c r="K3976" s="22">
        <f t="shared" si="3"/>
        <v>1</v>
      </c>
      <c r="L3976" s="4">
        <f t="shared" si="4"/>
        <v>1</v>
      </c>
    </row>
    <row r="3977">
      <c r="A3977" s="23">
        <v>70191.0</v>
      </c>
      <c r="B3977" s="24" t="str">
        <f t="array" ref="B3977">xlookup($A3977,product!$A:$A,product!B:B)</f>
        <v>Epicerie salée</v>
      </c>
      <c r="C3977" s="24" t="str">
        <f t="array" ref="C3977">xlookup($A3977,product!$A:$A,product!C:C)</f>
        <v>Condiments, vinaigres</v>
      </c>
      <c r="D3977" s="24" t="str">
        <f t="array" ref="D3977">xlookup($A3977,product!$A:$A,product!D:D)</f>
        <v>Ketchup et sauce BBQ</v>
      </c>
      <c r="E3977" s="25" t="str">
        <f t="shared" si="1"/>
        <v>70191-Condiments, vinaigres-Ketchup et sauce BBQ</v>
      </c>
      <c r="F3977" s="25">
        <v>0.0</v>
      </c>
      <c r="G3977" s="25">
        <v>297.0</v>
      </c>
      <c r="H3977" s="25">
        <v>13.0</v>
      </c>
      <c r="I3977" s="26">
        <f t="array" ref="I3977">XLOOKUP($A3977,product!A:A,product!E:E)</f>
        <v>2.4</v>
      </c>
      <c r="J3977" s="25">
        <f t="shared" si="2"/>
        <v>31.2</v>
      </c>
      <c r="K3977" s="27">
        <f t="shared" si="3"/>
        <v>1</v>
      </c>
      <c r="L3977" s="25">
        <f t="shared" si="4"/>
        <v>1</v>
      </c>
    </row>
    <row r="3978">
      <c r="A3978" s="19">
        <v>19822.0</v>
      </c>
      <c r="B3978" s="20" t="str">
        <f t="array" ref="B3978">xlookup($A3978,product!$A:$A,product!B:B)</f>
        <v>Epicerie salée</v>
      </c>
      <c r="C3978" s="20" t="str">
        <f t="array" ref="C3978">xlookup($A3978,product!$A:$A,product!C:C)</f>
        <v>Condiments, vinaigres</v>
      </c>
      <c r="D3978" s="20" t="str">
        <f t="array" ref="D3978">xlookup($A3978,product!$A:$A,product!D:D)</f>
        <v>Ketchup et sauce BBQ</v>
      </c>
      <c r="E3978" s="4" t="str">
        <f t="shared" si="1"/>
        <v>19822-Condiments, vinaigres-Ketchup et sauce BBQ</v>
      </c>
      <c r="F3978" s="4">
        <v>0.0</v>
      </c>
      <c r="G3978" s="4">
        <v>664.0</v>
      </c>
      <c r="H3978" s="4">
        <v>517.0</v>
      </c>
      <c r="I3978" s="21">
        <f t="array" ref="I3978">XLOOKUP($A3978,product!A:A,product!E:E)</f>
        <v>1.86</v>
      </c>
      <c r="J3978" s="4">
        <f t="shared" si="2"/>
        <v>961.62</v>
      </c>
      <c r="K3978" s="22">
        <f t="shared" si="3"/>
        <v>1</v>
      </c>
      <c r="L3978" s="4">
        <f t="shared" si="4"/>
        <v>1</v>
      </c>
    </row>
    <row r="3979">
      <c r="A3979" s="23">
        <v>156023.0</v>
      </c>
      <c r="B3979" s="24" t="str">
        <f t="array" ref="B3979">xlookup($A3979,product!$A:$A,product!B:B)</f>
        <v>Epicerie salée</v>
      </c>
      <c r="C3979" s="24" t="str">
        <f t="array" ref="C3979">xlookup($A3979,product!$A:$A,product!C:C)</f>
        <v>Condiments, vinaigres</v>
      </c>
      <c r="D3979" s="24" t="str">
        <f t="array" ref="D3979">xlookup($A3979,product!$A:$A,product!D:D)</f>
        <v>Ketchup et sauce BBQ</v>
      </c>
      <c r="E3979" s="25" t="str">
        <f t="shared" si="1"/>
        <v>156023-Condiments, vinaigres-Ketchup et sauce BBQ</v>
      </c>
      <c r="F3979" s="25">
        <v>1.0</v>
      </c>
      <c r="G3979" s="25">
        <v>311.0</v>
      </c>
      <c r="H3979" s="25">
        <v>101.0</v>
      </c>
      <c r="I3979" s="26">
        <f t="array" ref="I3979">XLOOKUP($A3979,product!A:A,product!E:E)</f>
        <v>2.87</v>
      </c>
      <c r="J3979" s="25">
        <f t="shared" si="2"/>
        <v>289.87</v>
      </c>
      <c r="K3979" s="27">
        <f t="shared" si="3"/>
        <v>1</v>
      </c>
      <c r="L3979" s="25">
        <f t="shared" si="4"/>
        <v>1</v>
      </c>
    </row>
    <row r="3980">
      <c r="A3980" s="19">
        <v>120628.0</v>
      </c>
      <c r="B3980" s="20" t="str">
        <f t="array" ref="B3980">xlookup($A3980,product!$A:$A,product!B:B)</f>
        <v>Epicerie salée</v>
      </c>
      <c r="C3980" s="20" t="str">
        <f t="array" ref="C3980">xlookup($A3980,product!$A:$A,product!C:C)</f>
        <v>Condiments, vinaigres</v>
      </c>
      <c r="D3980" s="20" t="str">
        <f t="array" ref="D3980">xlookup($A3980,product!$A:$A,product!D:D)</f>
        <v>Ketchup et sauce BBQ</v>
      </c>
      <c r="E3980" s="4" t="str">
        <f t="shared" si="1"/>
        <v>120628-Condiments, vinaigres-Ketchup et sauce BBQ</v>
      </c>
      <c r="F3980" s="4">
        <v>0.0</v>
      </c>
      <c r="G3980" s="4">
        <v>553.0</v>
      </c>
      <c r="H3980" s="4">
        <v>57.0</v>
      </c>
      <c r="I3980" s="21">
        <f t="array" ref="I3980">XLOOKUP($A3980,product!A:A,product!E:E)</f>
        <v>2.55</v>
      </c>
      <c r="J3980" s="4">
        <f t="shared" si="2"/>
        <v>145.35</v>
      </c>
      <c r="K3980" s="22">
        <f t="shared" si="3"/>
        <v>1</v>
      </c>
      <c r="L3980" s="4">
        <f t="shared" si="4"/>
        <v>1</v>
      </c>
    </row>
    <row r="3981">
      <c r="A3981" s="23">
        <v>45830.0</v>
      </c>
      <c r="B3981" s="24" t="str">
        <f t="array" ref="B3981">xlookup($A3981,product!$A:$A,product!B:B)</f>
        <v>Epicerie salée</v>
      </c>
      <c r="C3981" s="24" t="str">
        <f t="array" ref="C3981">xlookup($A3981,product!$A:$A,product!C:C)</f>
        <v>Condiments, vinaigres</v>
      </c>
      <c r="D3981" s="24" t="str">
        <f t="array" ref="D3981">xlookup($A3981,product!$A:$A,product!D:D)</f>
        <v>Mayonnaise et aïoli</v>
      </c>
      <c r="E3981" s="25" t="str">
        <f t="shared" si="1"/>
        <v>45830-Condiments, vinaigres-Mayonnaise et aïoli</v>
      </c>
      <c r="F3981" s="25">
        <v>0.0</v>
      </c>
      <c r="G3981" s="25">
        <v>362.0</v>
      </c>
      <c r="H3981" s="25">
        <v>36.0</v>
      </c>
      <c r="I3981" s="26">
        <f t="array" ref="I3981">XLOOKUP($A3981,product!A:A,product!E:E)</f>
        <v>2.18</v>
      </c>
      <c r="J3981" s="25">
        <f t="shared" si="2"/>
        <v>78.48</v>
      </c>
      <c r="K3981" s="27">
        <f t="shared" si="3"/>
        <v>1</v>
      </c>
      <c r="L3981" s="25">
        <f t="shared" si="4"/>
        <v>1</v>
      </c>
    </row>
    <row r="3982">
      <c r="A3982" s="19">
        <v>86192.0</v>
      </c>
      <c r="B3982" s="20" t="str">
        <f t="array" ref="B3982">xlookup($A3982,product!$A:$A,product!B:B)</f>
        <v>Epicerie salée</v>
      </c>
      <c r="C3982" s="20" t="str">
        <f t="array" ref="C3982">xlookup($A3982,product!$A:$A,product!C:C)</f>
        <v>Condiments, vinaigres</v>
      </c>
      <c r="D3982" s="20" t="str">
        <f t="array" ref="D3982">xlookup($A3982,product!$A:$A,product!D:D)</f>
        <v>Mayonnaise et aïoli</v>
      </c>
      <c r="E3982" s="4" t="str">
        <f t="shared" si="1"/>
        <v>86192-Condiments, vinaigres-Mayonnaise et aïoli</v>
      </c>
      <c r="F3982" s="4">
        <v>0.0</v>
      </c>
      <c r="G3982" s="4">
        <v>18.0</v>
      </c>
      <c r="H3982" s="4">
        <v>12.0</v>
      </c>
      <c r="I3982" s="21">
        <f t="array" ref="I3982">XLOOKUP($A3982,product!A:A,product!E:E)</f>
        <v>1.84</v>
      </c>
      <c r="J3982" s="4">
        <f t="shared" si="2"/>
        <v>22.08</v>
      </c>
      <c r="K3982" s="22">
        <f t="shared" si="3"/>
        <v>1</v>
      </c>
      <c r="L3982" s="4">
        <f t="shared" si="4"/>
        <v>1</v>
      </c>
    </row>
    <row r="3983">
      <c r="A3983" s="23">
        <v>127372.0</v>
      </c>
      <c r="B3983" s="24" t="str">
        <f t="array" ref="B3983">xlookup($A3983,product!$A:$A,product!B:B)</f>
        <v>Epicerie salée</v>
      </c>
      <c r="C3983" s="24" t="str">
        <f t="array" ref="C3983">xlookup($A3983,product!$A:$A,product!C:C)</f>
        <v>Condiments, vinaigres</v>
      </c>
      <c r="D3983" s="24" t="str">
        <f t="array" ref="D3983">xlookup($A3983,product!$A:$A,product!D:D)</f>
        <v>Mayonnaise et aïoli</v>
      </c>
      <c r="E3983" s="25" t="str">
        <f t="shared" si="1"/>
        <v>127372-Condiments, vinaigres-Mayonnaise et aïoli</v>
      </c>
      <c r="F3983" s="25">
        <v>0.0</v>
      </c>
      <c r="G3983" s="25">
        <v>750.0</v>
      </c>
      <c r="H3983" s="25">
        <v>291.0</v>
      </c>
      <c r="I3983" s="26">
        <f t="array" ref="I3983">XLOOKUP($A3983,product!A:A,product!E:E)</f>
        <v>3.35</v>
      </c>
      <c r="J3983" s="25">
        <f t="shared" si="2"/>
        <v>974.85</v>
      </c>
      <c r="K3983" s="27">
        <f t="shared" si="3"/>
        <v>1</v>
      </c>
      <c r="L3983" s="25">
        <f t="shared" si="4"/>
        <v>1</v>
      </c>
    </row>
    <row r="3984">
      <c r="A3984" s="19">
        <v>113902.0</v>
      </c>
      <c r="B3984" s="20" t="str">
        <f t="array" ref="B3984">xlookup($A3984,product!$A:$A,product!B:B)</f>
        <v>Epicerie salée</v>
      </c>
      <c r="C3984" s="20" t="str">
        <f t="array" ref="C3984">xlookup($A3984,product!$A:$A,product!C:C)</f>
        <v>Condiments, vinaigres</v>
      </c>
      <c r="D3984" s="20" t="str">
        <f t="array" ref="D3984">xlookup($A3984,product!$A:$A,product!D:D)</f>
        <v>Mayonnaise et aïoli</v>
      </c>
      <c r="E3984" s="4" t="str">
        <f t="shared" si="1"/>
        <v>113902-Condiments, vinaigres-Mayonnaise et aïoli</v>
      </c>
      <c r="F3984" s="4">
        <v>0.0</v>
      </c>
      <c r="G3984" s="4">
        <v>468.0</v>
      </c>
      <c r="H3984" s="4">
        <v>397.0</v>
      </c>
      <c r="I3984" s="21">
        <f t="array" ref="I3984">XLOOKUP($A3984,product!A:A,product!E:E)</f>
        <v>2.05</v>
      </c>
      <c r="J3984" s="4">
        <f t="shared" si="2"/>
        <v>813.85</v>
      </c>
      <c r="K3984" s="22">
        <f t="shared" si="3"/>
        <v>1</v>
      </c>
      <c r="L3984" s="4">
        <f t="shared" si="4"/>
        <v>1</v>
      </c>
    </row>
    <row r="3985">
      <c r="A3985" s="23">
        <v>119133.0</v>
      </c>
      <c r="B3985" s="24" t="str">
        <f t="array" ref="B3985">xlookup($A3985,product!$A:$A,product!B:B)</f>
        <v>Epicerie salée</v>
      </c>
      <c r="C3985" s="24" t="str">
        <f t="array" ref="C3985">xlookup($A3985,product!$A:$A,product!C:C)</f>
        <v>Condiments, vinaigres</v>
      </c>
      <c r="D3985" s="24" t="str">
        <f t="array" ref="D3985">xlookup($A3985,product!$A:$A,product!D:D)</f>
        <v>Mayonnaise et aïoli</v>
      </c>
      <c r="E3985" s="25" t="str">
        <f t="shared" si="1"/>
        <v>119133-Condiments, vinaigres-Mayonnaise et aïoli</v>
      </c>
      <c r="F3985" s="25">
        <v>0.0</v>
      </c>
      <c r="G3985" s="25">
        <v>326.0</v>
      </c>
      <c r="H3985" s="25">
        <v>16.0</v>
      </c>
      <c r="I3985" s="26">
        <f t="array" ref="I3985">XLOOKUP($A3985,product!A:A,product!E:E)</f>
        <v>2.24</v>
      </c>
      <c r="J3985" s="25">
        <f t="shared" si="2"/>
        <v>35.84</v>
      </c>
      <c r="K3985" s="27">
        <f t="shared" si="3"/>
        <v>1</v>
      </c>
      <c r="L3985" s="25">
        <f t="shared" si="4"/>
        <v>1</v>
      </c>
    </row>
    <row r="3986">
      <c r="A3986" s="19">
        <v>114946.0</v>
      </c>
      <c r="B3986" s="20" t="str">
        <f t="array" ref="B3986">xlookup($A3986,product!$A:$A,product!B:B)</f>
        <v>Epicerie salée</v>
      </c>
      <c r="C3986" s="20" t="str">
        <f t="array" ref="C3986">xlookup($A3986,product!$A:$A,product!C:C)</f>
        <v>Condiments, vinaigres</v>
      </c>
      <c r="D3986" s="20" t="str">
        <f t="array" ref="D3986">xlookup($A3986,product!$A:$A,product!D:D)</f>
        <v>Mayonnaise et aïoli</v>
      </c>
      <c r="E3986" s="4" t="str">
        <f t="shared" si="1"/>
        <v>114946-Condiments, vinaigres-Mayonnaise et aïoli</v>
      </c>
      <c r="F3986" s="4">
        <v>0.0</v>
      </c>
      <c r="G3986" s="4">
        <v>943.0</v>
      </c>
      <c r="H3986" s="4">
        <v>492.0</v>
      </c>
      <c r="I3986" s="21">
        <f t="array" ref="I3986">XLOOKUP($A3986,product!A:A,product!E:E)</f>
        <v>1.74</v>
      </c>
      <c r="J3986" s="4">
        <f t="shared" si="2"/>
        <v>856.08</v>
      </c>
      <c r="K3986" s="22">
        <f t="shared" si="3"/>
        <v>1</v>
      </c>
      <c r="L3986" s="4">
        <f t="shared" si="4"/>
        <v>1</v>
      </c>
    </row>
    <row r="3987">
      <c r="A3987" s="23">
        <v>118832.0</v>
      </c>
      <c r="B3987" s="24" t="str">
        <f t="array" ref="B3987">xlookup($A3987,product!$A:$A,product!B:B)</f>
        <v>Epicerie salée</v>
      </c>
      <c r="C3987" s="24" t="str">
        <f t="array" ref="C3987">xlookup($A3987,product!$A:$A,product!C:C)</f>
        <v>Condiments, vinaigres</v>
      </c>
      <c r="D3987" s="24" t="str">
        <f t="array" ref="D3987">xlookup($A3987,product!$A:$A,product!D:D)</f>
        <v>Mayonnaise et aïoli</v>
      </c>
      <c r="E3987" s="25" t="str">
        <f t="shared" si="1"/>
        <v>118832-Condiments, vinaigres-Mayonnaise et aïoli</v>
      </c>
      <c r="F3987" s="25">
        <v>1.0</v>
      </c>
      <c r="G3987" s="25">
        <v>925.0</v>
      </c>
      <c r="H3987" s="25">
        <v>589.0</v>
      </c>
      <c r="I3987" s="26">
        <f t="array" ref="I3987">XLOOKUP($A3987,product!A:A,product!E:E)</f>
        <v>2.14</v>
      </c>
      <c r="J3987" s="25">
        <f t="shared" si="2"/>
        <v>1260.46</v>
      </c>
      <c r="K3987" s="27">
        <f t="shared" si="3"/>
        <v>1</v>
      </c>
      <c r="L3987" s="25">
        <f t="shared" si="4"/>
        <v>1</v>
      </c>
    </row>
    <row r="3988">
      <c r="A3988" s="19">
        <v>86499.0</v>
      </c>
      <c r="B3988" s="20" t="str">
        <f t="array" ref="B3988">xlookup($A3988,product!$A:$A,product!B:B)</f>
        <v>Epicerie salée</v>
      </c>
      <c r="C3988" s="20" t="str">
        <f t="array" ref="C3988">xlookup($A3988,product!$A:$A,product!C:C)</f>
        <v>Condiments, vinaigres</v>
      </c>
      <c r="D3988" s="20" t="str">
        <f t="array" ref="D3988">xlookup($A3988,product!$A:$A,product!D:D)</f>
        <v>Vinaigres, vinaigrettes</v>
      </c>
      <c r="E3988" s="4" t="str">
        <f t="shared" si="1"/>
        <v>86499-Condiments, vinaigres-Vinaigres, vinaigrettes</v>
      </c>
      <c r="F3988" s="4">
        <v>0.0</v>
      </c>
      <c r="G3988" s="4">
        <v>349.0</v>
      </c>
      <c r="H3988" s="4">
        <v>234.0</v>
      </c>
      <c r="I3988" s="21">
        <f t="array" ref="I3988">XLOOKUP($A3988,product!A:A,product!E:E)</f>
        <v>2.97</v>
      </c>
      <c r="J3988" s="4">
        <f t="shared" si="2"/>
        <v>694.98</v>
      </c>
      <c r="K3988" s="22">
        <f t="shared" si="3"/>
        <v>1</v>
      </c>
      <c r="L3988" s="4">
        <f t="shared" si="4"/>
        <v>1</v>
      </c>
    </row>
    <row r="3989">
      <c r="A3989" s="23">
        <v>81790.0</v>
      </c>
      <c r="B3989" s="24" t="str">
        <f t="array" ref="B3989">xlookup($A3989,product!$A:$A,product!B:B)</f>
        <v>Epicerie salée</v>
      </c>
      <c r="C3989" s="24" t="str">
        <f t="array" ref="C3989">xlookup($A3989,product!$A:$A,product!C:C)</f>
        <v>Condiments, vinaigres</v>
      </c>
      <c r="D3989" s="24" t="str">
        <f t="array" ref="D3989">xlookup($A3989,product!$A:$A,product!D:D)</f>
        <v>Vinaigres, vinaigrettes</v>
      </c>
      <c r="E3989" s="25" t="str">
        <f t="shared" si="1"/>
        <v>81790-Condiments, vinaigres-Vinaigres, vinaigrettes</v>
      </c>
      <c r="F3989" s="25">
        <v>0.0</v>
      </c>
      <c r="G3989" s="25">
        <v>606.0</v>
      </c>
      <c r="H3989" s="25">
        <v>504.0</v>
      </c>
      <c r="I3989" s="26">
        <f t="array" ref="I3989">XLOOKUP($A3989,product!A:A,product!E:E)</f>
        <v>1.85</v>
      </c>
      <c r="J3989" s="25">
        <f t="shared" si="2"/>
        <v>932.4</v>
      </c>
      <c r="K3989" s="27">
        <f t="shared" si="3"/>
        <v>1</v>
      </c>
      <c r="L3989" s="25">
        <f t="shared" si="4"/>
        <v>1</v>
      </c>
    </row>
    <row r="3990">
      <c r="A3990" s="19">
        <v>45898.0</v>
      </c>
      <c r="B3990" s="20" t="str">
        <f t="array" ref="B3990">xlookup($A3990,product!$A:$A,product!B:B)</f>
        <v>Epicerie salée</v>
      </c>
      <c r="C3990" s="20" t="str">
        <f t="array" ref="C3990">xlookup($A3990,product!$A:$A,product!C:C)</f>
        <v>Condiments, vinaigres</v>
      </c>
      <c r="D3990" s="20" t="str">
        <f t="array" ref="D3990">xlookup($A3990,product!$A:$A,product!D:D)</f>
        <v>Vinaigres, vinaigrettes</v>
      </c>
      <c r="E3990" s="4" t="str">
        <f t="shared" si="1"/>
        <v>45898-Condiments, vinaigres-Vinaigres, vinaigrettes</v>
      </c>
      <c r="F3990" s="4">
        <v>0.0</v>
      </c>
      <c r="G3990" s="4">
        <v>228.0</v>
      </c>
      <c r="H3990" s="4">
        <v>186.0</v>
      </c>
      <c r="I3990" s="21">
        <f t="array" ref="I3990">XLOOKUP($A3990,product!A:A,product!E:E)</f>
        <v>3.47</v>
      </c>
      <c r="J3990" s="4">
        <f t="shared" si="2"/>
        <v>645.42</v>
      </c>
      <c r="K3990" s="22">
        <f t="shared" si="3"/>
        <v>1</v>
      </c>
      <c r="L3990" s="4">
        <f t="shared" si="4"/>
        <v>1</v>
      </c>
    </row>
    <row r="3991">
      <c r="A3991" s="23">
        <v>24144.0</v>
      </c>
      <c r="B3991" s="24" t="str">
        <f t="array" ref="B3991">xlookup($A3991,product!$A:$A,product!B:B)</f>
        <v>Epicerie salée</v>
      </c>
      <c r="C3991" s="24" t="str">
        <f t="array" ref="C3991">xlookup($A3991,product!$A:$A,product!C:C)</f>
        <v>Condiments, vinaigres</v>
      </c>
      <c r="D3991" s="24" t="str">
        <f t="array" ref="D3991">xlookup($A3991,product!$A:$A,product!D:D)</f>
        <v>Vinaigres, vinaigrettes</v>
      </c>
      <c r="E3991" s="25" t="str">
        <f t="shared" si="1"/>
        <v>24144-Condiments, vinaigres-Vinaigres, vinaigrettes</v>
      </c>
      <c r="F3991" s="25">
        <v>1.0</v>
      </c>
      <c r="G3991" s="25">
        <v>876.0</v>
      </c>
      <c r="H3991" s="25">
        <v>283.0</v>
      </c>
      <c r="I3991" s="26">
        <f t="array" ref="I3991">XLOOKUP($A3991,product!A:A,product!E:E)</f>
        <v>2.83</v>
      </c>
      <c r="J3991" s="25">
        <f t="shared" si="2"/>
        <v>800.89</v>
      </c>
      <c r="K3991" s="27">
        <f t="shared" si="3"/>
        <v>1</v>
      </c>
      <c r="L3991" s="25">
        <f t="shared" si="4"/>
        <v>1</v>
      </c>
    </row>
    <row r="3992">
      <c r="A3992" s="19">
        <v>98351.0</v>
      </c>
      <c r="B3992" s="20" t="str">
        <f t="array" ref="B3992">xlookup($A3992,product!$A:$A,product!B:B)</f>
        <v>Epicerie salée</v>
      </c>
      <c r="C3992" s="20" t="str">
        <f t="array" ref="C3992">xlookup($A3992,product!$A:$A,product!C:C)</f>
        <v>Condiments, vinaigres</v>
      </c>
      <c r="D3992" s="20" t="str">
        <f t="array" ref="D3992">xlookup($A3992,product!$A:$A,product!D:D)</f>
        <v>Vinaigres, vinaigrettes</v>
      </c>
      <c r="E3992" s="4" t="str">
        <f t="shared" si="1"/>
        <v>98351-Condiments, vinaigres-Vinaigres, vinaigrettes</v>
      </c>
      <c r="F3992" s="4">
        <v>1.0</v>
      </c>
      <c r="G3992" s="4">
        <v>566.0</v>
      </c>
      <c r="H3992" s="4">
        <v>354.0</v>
      </c>
      <c r="I3992" s="21">
        <f t="array" ref="I3992">XLOOKUP($A3992,product!A:A,product!E:E)</f>
        <v>4.29</v>
      </c>
      <c r="J3992" s="4">
        <f t="shared" si="2"/>
        <v>1518.66</v>
      </c>
      <c r="K3992" s="22">
        <f t="shared" si="3"/>
        <v>1</v>
      </c>
      <c r="L3992" s="4">
        <f t="shared" si="4"/>
        <v>1</v>
      </c>
    </row>
    <row r="3993">
      <c r="A3993" s="23">
        <v>86481.0</v>
      </c>
      <c r="B3993" s="24" t="str">
        <f t="array" ref="B3993">xlookup($A3993,product!$A:$A,product!B:B)</f>
        <v>Epicerie salée</v>
      </c>
      <c r="C3993" s="24" t="str">
        <f t="array" ref="C3993">xlookup($A3993,product!$A:$A,product!C:C)</f>
        <v>Condiments, vinaigres</v>
      </c>
      <c r="D3993" s="24" t="str">
        <f t="array" ref="D3993">xlookup($A3993,product!$A:$A,product!D:D)</f>
        <v>Vinaigres, vinaigrettes</v>
      </c>
      <c r="E3993" s="25" t="str">
        <f t="shared" si="1"/>
        <v>86481-Condiments, vinaigres-Vinaigres, vinaigrettes</v>
      </c>
      <c r="F3993" s="25">
        <v>0.0</v>
      </c>
      <c r="G3993" s="25">
        <v>687.0</v>
      </c>
      <c r="H3993" s="25">
        <v>670.0</v>
      </c>
      <c r="I3993" s="26">
        <f t="array" ref="I3993">XLOOKUP($A3993,product!A:A,product!E:E)</f>
        <v>3.82</v>
      </c>
      <c r="J3993" s="25">
        <f t="shared" si="2"/>
        <v>2559.4</v>
      </c>
      <c r="K3993" s="27">
        <f t="shared" si="3"/>
        <v>1</v>
      </c>
      <c r="L3993" s="25">
        <f t="shared" si="4"/>
        <v>1</v>
      </c>
    </row>
    <row r="3994">
      <c r="A3994" s="19">
        <v>115747.0</v>
      </c>
      <c r="B3994" s="20" t="str">
        <f t="array" ref="B3994">xlookup($A3994,product!$A:$A,product!B:B)</f>
        <v>Epicerie salée</v>
      </c>
      <c r="C3994" s="20" t="str">
        <f t="array" ref="C3994">xlookup($A3994,product!$A:$A,product!C:C)</f>
        <v>Condiments, vinaigres</v>
      </c>
      <c r="D3994" s="20" t="str">
        <f t="array" ref="D3994">xlookup($A3994,product!$A:$A,product!D:D)</f>
        <v>Vinaigres, vinaigrettes</v>
      </c>
      <c r="E3994" s="4" t="str">
        <f t="shared" si="1"/>
        <v>115747-Condiments, vinaigres-Vinaigres, vinaigrettes</v>
      </c>
      <c r="F3994" s="4">
        <v>0.0</v>
      </c>
      <c r="G3994" s="4">
        <v>724.0</v>
      </c>
      <c r="H3994" s="4">
        <v>609.0</v>
      </c>
      <c r="I3994" s="21">
        <f t="array" ref="I3994">XLOOKUP($A3994,product!A:A,product!E:E)</f>
        <v>2.66</v>
      </c>
      <c r="J3994" s="4">
        <f t="shared" si="2"/>
        <v>1619.94</v>
      </c>
      <c r="K3994" s="22">
        <f t="shared" si="3"/>
        <v>1</v>
      </c>
      <c r="L3994" s="4">
        <f t="shared" si="4"/>
        <v>1</v>
      </c>
    </row>
    <row r="3995">
      <c r="A3995" s="23">
        <v>116187.0</v>
      </c>
      <c r="B3995" s="24" t="str">
        <f t="array" ref="B3995">xlookup($A3995,product!$A:$A,product!B:B)</f>
        <v>Epicerie salée</v>
      </c>
      <c r="C3995" s="24" t="str">
        <f t="array" ref="C3995">xlookup($A3995,product!$A:$A,product!C:C)</f>
        <v>Condiments, vinaigres</v>
      </c>
      <c r="D3995" s="24" t="str">
        <f t="array" ref="D3995">xlookup($A3995,product!$A:$A,product!D:D)</f>
        <v>Vinaigres, vinaigrettes</v>
      </c>
      <c r="E3995" s="25" t="str">
        <f t="shared" si="1"/>
        <v>116187-Condiments, vinaigres-Vinaigres, vinaigrettes</v>
      </c>
      <c r="F3995" s="25">
        <v>0.0</v>
      </c>
      <c r="G3995" s="25">
        <v>727.0</v>
      </c>
      <c r="H3995" s="25">
        <v>485.0</v>
      </c>
      <c r="I3995" s="26">
        <f t="array" ref="I3995">XLOOKUP($A3995,product!A:A,product!E:E)</f>
        <v>1.98</v>
      </c>
      <c r="J3995" s="25">
        <f t="shared" si="2"/>
        <v>960.3</v>
      </c>
      <c r="K3995" s="27">
        <f t="shared" si="3"/>
        <v>1</v>
      </c>
      <c r="L3995" s="25">
        <f t="shared" si="4"/>
        <v>1</v>
      </c>
    </row>
    <row r="3996">
      <c r="A3996" s="19">
        <v>86162.0</v>
      </c>
      <c r="B3996" s="20" t="str">
        <f t="array" ref="B3996">xlookup($A3996,product!$A:$A,product!B:B)</f>
        <v>Epicerie salée</v>
      </c>
      <c r="C3996" s="20" t="str">
        <f t="array" ref="C3996">xlookup($A3996,product!$A:$A,product!C:C)</f>
        <v>Condiments, vinaigres</v>
      </c>
      <c r="D3996" s="20" t="str">
        <f t="array" ref="D3996">xlookup($A3996,product!$A:$A,product!D:D)</f>
        <v>Vinaigres, vinaigrettes</v>
      </c>
      <c r="E3996" s="4" t="str">
        <f t="shared" si="1"/>
        <v>86162-Condiments, vinaigres-Vinaigres, vinaigrettes</v>
      </c>
      <c r="F3996" s="4">
        <v>1.0</v>
      </c>
      <c r="G3996" s="4">
        <v>227.0</v>
      </c>
      <c r="H3996" s="4">
        <v>51.0</v>
      </c>
      <c r="I3996" s="21">
        <f t="array" ref="I3996">XLOOKUP($A3996,product!A:A,product!E:E)</f>
        <v>4.22</v>
      </c>
      <c r="J3996" s="4">
        <f t="shared" si="2"/>
        <v>215.22</v>
      </c>
      <c r="K3996" s="22">
        <f t="shared" si="3"/>
        <v>1</v>
      </c>
      <c r="L3996" s="4">
        <f t="shared" si="4"/>
        <v>1</v>
      </c>
    </row>
    <row r="3997">
      <c r="A3997" s="23">
        <v>90654.0</v>
      </c>
      <c r="B3997" s="24" t="str">
        <f t="array" ref="B3997">xlookup($A3997,product!$A:$A,product!B:B)</f>
        <v>Epicerie salée</v>
      </c>
      <c r="C3997" s="24" t="str">
        <f t="array" ref="C3997">xlookup($A3997,product!$A:$A,product!C:C)</f>
        <v>Condiments, vinaigres</v>
      </c>
      <c r="D3997" s="24" t="str">
        <f t="array" ref="D3997">xlookup($A3997,product!$A:$A,product!D:D)</f>
        <v>Vinaigres, vinaigrettes</v>
      </c>
      <c r="E3997" s="25" t="str">
        <f t="shared" si="1"/>
        <v>90654-Condiments, vinaigres-Vinaigres, vinaigrettes</v>
      </c>
      <c r="F3997" s="25">
        <v>1.0</v>
      </c>
      <c r="G3997" s="25">
        <v>956.0</v>
      </c>
      <c r="H3997" s="25">
        <v>941.0</v>
      </c>
      <c r="I3997" s="26">
        <f t="array" ref="I3997">XLOOKUP($A3997,product!A:A,product!E:E)</f>
        <v>2.14</v>
      </c>
      <c r="J3997" s="25">
        <f t="shared" si="2"/>
        <v>2013.74</v>
      </c>
      <c r="K3997" s="27">
        <f t="shared" si="3"/>
        <v>1</v>
      </c>
      <c r="L3997" s="25">
        <f t="shared" si="4"/>
        <v>1</v>
      </c>
    </row>
    <row r="3998">
      <c r="A3998" s="19">
        <v>71743.0</v>
      </c>
      <c r="B3998" s="20" t="str">
        <f t="array" ref="B3998">xlookup($A3998,product!$A:$A,product!B:B)</f>
        <v>Epicerie salée</v>
      </c>
      <c r="C3998" s="20" t="str">
        <f t="array" ref="C3998">xlookup($A3998,product!$A:$A,product!C:C)</f>
        <v>Condiments, vinaigres</v>
      </c>
      <c r="D3998" s="20" t="str">
        <f t="array" ref="D3998">xlookup($A3998,product!$A:$A,product!D:D)</f>
        <v>Vinaigres, vinaigrettes</v>
      </c>
      <c r="E3998" s="4" t="str">
        <f t="shared" si="1"/>
        <v>71743-Condiments, vinaigres-Vinaigres, vinaigrettes</v>
      </c>
      <c r="F3998" s="4">
        <v>1.0</v>
      </c>
      <c r="G3998" s="4">
        <v>530.0</v>
      </c>
      <c r="H3998" s="4">
        <v>509.0</v>
      </c>
      <c r="I3998" s="21">
        <f t="array" ref="I3998">XLOOKUP($A3998,product!A:A,product!E:E)</f>
        <v>2.05</v>
      </c>
      <c r="J3998" s="4">
        <f t="shared" si="2"/>
        <v>1043.45</v>
      </c>
      <c r="K3998" s="22">
        <f t="shared" si="3"/>
        <v>1</v>
      </c>
      <c r="L3998" s="4">
        <f t="shared" si="4"/>
        <v>1</v>
      </c>
    </row>
    <row r="3999">
      <c r="A3999" s="23">
        <v>71744.0</v>
      </c>
      <c r="B3999" s="24" t="str">
        <f t="array" ref="B3999">xlookup($A3999,product!$A:$A,product!B:B)</f>
        <v>Epicerie salée</v>
      </c>
      <c r="C3999" s="24" t="str">
        <f t="array" ref="C3999">xlookup($A3999,product!$A:$A,product!C:C)</f>
        <v>Condiments, vinaigres</v>
      </c>
      <c r="D3999" s="24" t="str">
        <f t="array" ref="D3999">xlookup($A3999,product!$A:$A,product!D:D)</f>
        <v>Vinaigres, vinaigrettes</v>
      </c>
      <c r="E3999" s="25" t="str">
        <f t="shared" si="1"/>
        <v>71744-Condiments, vinaigres-Vinaigres, vinaigrettes</v>
      </c>
      <c r="F3999" s="25">
        <v>1.0</v>
      </c>
      <c r="G3999" s="25">
        <v>667.0</v>
      </c>
      <c r="H3999" s="25">
        <v>307.0</v>
      </c>
      <c r="I3999" s="26">
        <f t="array" ref="I3999">XLOOKUP($A3999,product!A:A,product!E:E)</f>
        <v>1.74</v>
      </c>
      <c r="J3999" s="25">
        <f t="shared" si="2"/>
        <v>534.18</v>
      </c>
      <c r="K3999" s="27">
        <f t="shared" si="3"/>
        <v>1</v>
      </c>
      <c r="L3999" s="25">
        <f t="shared" si="4"/>
        <v>1</v>
      </c>
    </row>
    <row r="4000">
      <c r="A4000" s="19">
        <v>88590.0</v>
      </c>
      <c r="B4000" s="20" t="str">
        <f t="array" ref="B4000">xlookup($A4000,product!$A:$A,product!B:B)</f>
        <v>Epicerie salée</v>
      </c>
      <c r="C4000" s="20" t="str">
        <f t="array" ref="C4000">xlookup($A4000,product!$A:$A,product!C:C)</f>
        <v>Condiments, vinaigres</v>
      </c>
      <c r="D4000" s="20" t="str">
        <f t="array" ref="D4000">xlookup($A4000,product!$A:$A,product!D:D)</f>
        <v>Vinaigres, vinaigrettes</v>
      </c>
      <c r="E4000" s="4" t="str">
        <f t="shared" si="1"/>
        <v>88590-Condiments, vinaigres-Vinaigres, vinaigrettes</v>
      </c>
      <c r="F4000" s="4">
        <v>1.0</v>
      </c>
      <c r="G4000" s="4">
        <v>392.0</v>
      </c>
      <c r="H4000" s="4">
        <v>321.0</v>
      </c>
      <c r="I4000" s="21">
        <f t="array" ref="I4000">XLOOKUP($A4000,product!A:A,product!E:E)</f>
        <v>1.96</v>
      </c>
      <c r="J4000" s="4">
        <f t="shared" si="2"/>
        <v>629.16</v>
      </c>
      <c r="K4000" s="22">
        <f t="shared" si="3"/>
        <v>1</v>
      </c>
      <c r="L4000" s="4">
        <f t="shared" si="4"/>
        <v>1</v>
      </c>
    </row>
    <row r="4001">
      <c r="A4001" s="23">
        <v>78940.0</v>
      </c>
      <c r="B4001" s="24" t="str">
        <f t="array" ref="B4001">xlookup($A4001,product!$A:$A,product!B:B)</f>
        <v>Epicerie salée</v>
      </c>
      <c r="C4001" s="24" t="str">
        <f t="array" ref="C4001">xlookup($A4001,product!$A:$A,product!C:C)</f>
        <v>Condiments, vinaigres</v>
      </c>
      <c r="D4001" s="24" t="str">
        <f t="array" ref="D4001">xlookup($A4001,product!$A:$A,product!D:D)</f>
        <v>Vinaigres, vinaigrettes</v>
      </c>
      <c r="E4001" s="25" t="str">
        <f t="shared" si="1"/>
        <v>78940-Condiments, vinaigres-Vinaigres, vinaigrettes</v>
      </c>
      <c r="F4001" s="25">
        <v>1.0</v>
      </c>
      <c r="G4001" s="25">
        <v>883.0</v>
      </c>
      <c r="H4001" s="25">
        <v>315.0</v>
      </c>
      <c r="I4001" s="26">
        <f t="array" ref="I4001">XLOOKUP($A4001,product!A:A,product!E:E)</f>
        <v>2.68</v>
      </c>
      <c r="J4001" s="25">
        <f t="shared" si="2"/>
        <v>844.2</v>
      </c>
      <c r="K4001" s="27">
        <f t="shared" si="3"/>
        <v>1</v>
      </c>
      <c r="L4001" s="25">
        <f t="shared" si="4"/>
        <v>1</v>
      </c>
    </row>
    <row r="4002">
      <c r="A4002" s="19">
        <v>194752.0</v>
      </c>
      <c r="B4002" s="20" t="str">
        <f t="array" ref="B4002">xlookup($A4002,product!$A:$A,product!B:B)</f>
        <v>Epicerie salée</v>
      </c>
      <c r="C4002" s="20" t="str">
        <f t="array" ref="C4002">xlookup($A4002,product!$A:$A,product!C:C)</f>
        <v>Condiments, vinaigres</v>
      </c>
      <c r="D4002" s="20" t="str">
        <f t="array" ref="D4002">xlookup($A4002,product!$A:$A,product!D:D)</f>
        <v>Wasabi et pâte de curry</v>
      </c>
      <c r="E4002" s="4" t="str">
        <f t="shared" si="1"/>
        <v>194752-Condiments, vinaigres-Wasabi et pâte de curry</v>
      </c>
      <c r="F4002" s="4">
        <v>0.0</v>
      </c>
      <c r="G4002" s="4">
        <v>684.0</v>
      </c>
      <c r="H4002" s="4">
        <v>465.0</v>
      </c>
      <c r="I4002" s="21">
        <f t="array" ref="I4002">XLOOKUP($A4002,product!A:A,product!E:E)</f>
        <v>2.16</v>
      </c>
      <c r="J4002" s="4">
        <f t="shared" si="2"/>
        <v>1004.4</v>
      </c>
      <c r="K4002" s="22">
        <f t="shared" si="3"/>
        <v>1</v>
      </c>
      <c r="L4002" s="4">
        <f t="shared" si="4"/>
        <v>1</v>
      </c>
    </row>
    <row r="4003">
      <c r="A4003" s="23">
        <v>194748.0</v>
      </c>
      <c r="B4003" s="24" t="str">
        <f t="array" ref="B4003">xlookup($A4003,product!$A:$A,product!B:B)</f>
        <v>Epicerie salée</v>
      </c>
      <c r="C4003" s="24" t="str">
        <f t="array" ref="C4003">xlookup($A4003,product!$A:$A,product!C:C)</f>
        <v>Condiments, vinaigres</v>
      </c>
      <c r="D4003" s="24" t="str">
        <f t="array" ref="D4003">xlookup($A4003,product!$A:$A,product!D:D)</f>
        <v>Wasabi et pâte de curry</v>
      </c>
      <c r="E4003" s="25" t="str">
        <f t="shared" si="1"/>
        <v>194748-Condiments, vinaigres-Wasabi et pâte de curry</v>
      </c>
      <c r="F4003" s="25">
        <v>0.0</v>
      </c>
      <c r="G4003" s="25">
        <v>3.0</v>
      </c>
      <c r="H4003" s="25">
        <v>2.0</v>
      </c>
      <c r="I4003" s="26">
        <f t="array" ref="I4003">XLOOKUP($A4003,product!A:A,product!E:E)</f>
        <v>2.16</v>
      </c>
      <c r="J4003" s="25">
        <f t="shared" si="2"/>
        <v>4.32</v>
      </c>
      <c r="K4003" s="27">
        <f t="shared" si="3"/>
        <v>1</v>
      </c>
      <c r="L4003" s="25">
        <f t="shared" si="4"/>
        <v>1</v>
      </c>
    </row>
    <row r="4004">
      <c r="A4004" s="19">
        <v>111580.0</v>
      </c>
      <c r="B4004" s="20" t="str">
        <f t="array" ref="B4004">xlookup($A4004,product!$A:$A,product!B:B)</f>
        <v>Epicerie salée</v>
      </c>
      <c r="C4004" s="20" t="str">
        <f t="array" ref="C4004">xlookup($A4004,product!$A:$A,product!C:C)</f>
        <v>Condiments, vinaigres</v>
      </c>
      <c r="D4004" s="20" t="str">
        <f t="array" ref="D4004">xlookup($A4004,product!$A:$A,product!D:D)</f>
        <v>Wasabi et pâte de curry</v>
      </c>
      <c r="E4004" s="4" t="str">
        <f t="shared" si="1"/>
        <v>111580-Condiments, vinaigres-Wasabi et pâte de curry</v>
      </c>
      <c r="F4004" s="4">
        <v>1.0</v>
      </c>
      <c r="G4004" s="4">
        <v>40.0</v>
      </c>
      <c r="H4004" s="4">
        <v>10.0</v>
      </c>
      <c r="I4004" s="21">
        <f t="array" ref="I4004">XLOOKUP($A4004,product!A:A,product!E:E)</f>
        <v>1.97</v>
      </c>
      <c r="J4004" s="4">
        <f t="shared" si="2"/>
        <v>19.7</v>
      </c>
      <c r="K4004" s="22">
        <f t="shared" si="3"/>
        <v>1</v>
      </c>
      <c r="L4004" s="4">
        <f t="shared" si="4"/>
        <v>1</v>
      </c>
    </row>
    <row r="4005">
      <c r="A4005" s="23">
        <v>194741.0</v>
      </c>
      <c r="B4005" s="24" t="str">
        <f t="array" ref="B4005">xlookup($A4005,product!$A:$A,product!B:B)</f>
        <v>Epicerie salée</v>
      </c>
      <c r="C4005" s="24" t="str">
        <f t="array" ref="C4005">xlookup($A4005,product!$A:$A,product!C:C)</f>
        <v>Condiments, vinaigres</v>
      </c>
      <c r="D4005" s="24" t="str">
        <f t="array" ref="D4005">xlookup($A4005,product!$A:$A,product!D:D)</f>
        <v>Wasabi et pâte de curry</v>
      </c>
      <c r="E4005" s="25" t="str">
        <f t="shared" si="1"/>
        <v>194741-Condiments, vinaigres-Wasabi et pâte de curry</v>
      </c>
      <c r="F4005" s="25">
        <v>1.0</v>
      </c>
      <c r="G4005" s="25">
        <v>408.0</v>
      </c>
      <c r="H4005" s="25">
        <v>233.0</v>
      </c>
      <c r="I4005" s="26">
        <f t="array" ref="I4005">XLOOKUP($A4005,product!A:A,product!E:E)</f>
        <v>2.16</v>
      </c>
      <c r="J4005" s="25">
        <f t="shared" si="2"/>
        <v>503.28</v>
      </c>
      <c r="K4005" s="27">
        <f t="shared" si="3"/>
        <v>1</v>
      </c>
      <c r="L4005" s="25">
        <f t="shared" si="4"/>
        <v>1</v>
      </c>
    </row>
    <row r="4006">
      <c r="A4006" s="19">
        <v>107082.0</v>
      </c>
      <c r="B4006" s="20" t="str">
        <f t="array" ref="B4006">xlookup($A4006,product!$A:$A,product!B:B)</f>
        <v>Epicerie salée</v>
      </c>
      <c r="C4006" s="20" t="str">
        <f t="array" ref="C4006">xlookup($A4006,product!$A:$A,product!C:C)</f>
        <v>Condiments, vinaigres</v>
      </c>
      <c r="D4006" s="20" t="str">
        <f t="array" ref="D4006">xlookup($A4006,product!$A:$A,product!D:D)</f>
        <v>Wasabi et pâte de curry</v>
      </c>
      <c r="E4006" s="4" t="str">
        <f t="shared" si="1"/>
        <v>107082-Condiments, vinaigres-Wasabi et pâte de curry</v>
      </c>
      <c r="F4006" s="4">
        <v>0.0</v>
      </c>
      <c r="G4006" s="4">
        <v>120.0</v>
      </c>
      <c r="H4006" s="4">
        <v>38.0</v>
      </c>
      <c r="I4006" s="21">
        <f t="array" ref="I4006">XLOOKUP($A4006,product!A:A,product!E:E)</f>
        <v>2.63</v>
      </c>
      <c r="J4006" s="4">
        <f t="shared" si="2"/>
        <v>99.94</v>
      </c>
      <c r="K4006" s="22">
        <f t="shared" si="3"/>
        <v>1</v>
      </c>
      <c r="L4006" s="4">
        <f t="shared" si="4"/>
        <v>1</v>
      </c>
    </row>
    <row r="4007">
      <c r="A4007" s="23">
        <v>83092.0</v>
      </c>
      <c r="B4007" s="24" t="str">
        <f t="array" ref="B4007">xlookup($A4007,product!$A:$A,product!B:B)</f>
        <v>Epicerie salée</v>
      </c>
      <c r="C4007" s="24" t="str">
        <f t="array" ref="C4007">xlookup($A4007,product!$A:$A,product!C:C)</f>
        <v>Condiments, vinaigres</v>
      </c>
      <c r="D4007" s="24" t="str">
        <f t="array" ref="D4007">xlookup($A4007,product!$A:$A,product!D:D)</f>
        <v>Wasabi et pâte de curry</v>
      </c>
      <c r="E4007" s="25" t="str">
        <f t="shared" si="1"/>
        <v>83092-Condiments, vinaigres-Wasabi et pâte de curry</v>
      </c>
      <c r="F4007" s="25">
        <v>0.0</v>
      </c>
      <c r="G4007" s="25">
        <v>171.0</v>
      </c>
      <c r="H4007" s="25">
        <v>107.0</v>
      </c>
      <c r="I4007" s="26">
        <f t="array" ref="I4007">XLOOKUP($A4007,product!A:A,product!E:E)</f>
        <v>2.04</v>
      </c>
      <c r="J4007" s="25">
        <f t="shared" si="2"/>
        <v>218.28</v>
      </c>
      <c r="K4007" s="27">
        <f t="shared" si="3"/>
        <v>1</v>
      </c>
      <c r="L4007" s="25">
        <f t="shared" si="4"/>
        <v>1</v>
      </c>
    </row>
    <row r="4008">
      <c r="A4008" s="19">
        <v>111581.0</v>
      </c>
      <c r="B4008" s="20" t="str">
        <f t="array" ref="B4008">xlookup($A4008,product!$A:$A,product!B:B)</f>
        <v>Epicerie salée</v>
      </c>
      <c r="C4008" s="20" t="str">
        <f t="array" ref="C4008">xlookup($A4008,product!$A:$A,product!C:C)</f>
        <v>Condiments, vinaigres</v>
      </c>
      <c r="D4008" s="20" t="str">
        <f t="array" ref="D4008">xlookup($A4008,product!$A:$A,product!D:D)</f>
        <v>Wasabi et pâte de curry</v>
      </c>
      <c r="E4008" s="4" t="str">
        <f t="shared" si="1"/>
        <v>111581-Condiments, vinaigres-Wasabi et pâte de curry</v>
      </c>
      <c r="F4008" s="4">
        <v>0.0</v>
      </c>
      <c r="G4008" s="4">
        <v>563.0</v>
      </c>
      <c r="H4008" s="4">
        <v>240.0</v>
      </c>
      <c r="I4008" s="21">
        <f t="array" ref="I4008">XLOOKUP($A4008,product!A:A,product!E:E)</f>
        <v>1.97</v>
      </c>
      <c r="J4008" s="4">
        <f t="shared" si="2"/>
        <v>472.8</v>
      </c>
      <c r="K4008" s="22">
        <f t="shared" si="3"/>
        <v>1</v>
      </c>
      <c r="L4008" s="4">
        <f t="shared" si="4"/>
        <v>1</v>
      </c>
    </row>
    <row r="4009">
      <c r="A4009" s="23">
        <v>88402.0</v>
      </c>
      <c r="B4009" s="24" t="str">
        <f t="array" ref="B4009">xlookup($A4009,product!$A:$A,product!B:B)</f>
        <v>Epicerie salée</v>
      </c>
      <c r="C4009" s="24" t="str">
        <f t="array" ref="C4009">xlookup($A4009,product!$A:$A,product!C:C)</f>
        <v>Condiments, vinaigres</v>
      </c>
      <c r="D4009" s="24" t="str">
        <f t="array" ref="D4009">xlookup($A4009,product!$A:$A,product!D:D)</f>
        <v>Wasabi et pâte de curry</v>
      </c>
      <c r="E4009" s="25" t="str">
        <f t="shared" si="1"/>
        <v>88402-Condiments, vinaigres-Wasabi et pâte de curry</v>
      </c>
      <c r="F4009" s="25">
        <v>0.0</v>
      </c>
      <c r="G4009" s="25">
        <v>113.0</v>
      </c>
      <c r="H4009" s="25">
        <v>49.0</v>
      </c>
      <c r="I4009" s="26">
        <f t="array" ref="I4009">XLOOKUP($A4009,product!A:A,product!E:E)</f>
        <v>3.47</v>
      </c>
      <c r="J4009" s="25">
        <f t="shared" si="2"/>
        <v>170.03</v>
      </c>
      <c r="K4009" s="27">
        <f t="shared" si="3"/>
        <v>1</v>
      </c>
      <c r="L4009" s="25">
        <f t="shared" si="4"/>
        <v>1</v>
      </c>
    </row>
    <row r="4010">
      <c r="A4010" s="19">
        <v>88413.0</v>
      </c>
      <c r="B4010" s="20" t="str">
        <f t="array" ref="B4010">xlookup($A4010,product!$A:$A,product!B:B)</f>
        <v>Epicerie salée</v>
      </c>
      <c r="C4010" s="20" t="str">
        <f t="array" ref="C4010">xlookup($A4010,product!$A:$A,product!C:C)</f>
        <v>Condiments, vinaigres</v>
      </c>
      <c r="D4010" s="20" t="str">
        <f t="array" ref="D4010">xlookup($A4010,product!$A:$A,product!D:D)</f>
        <v>Wasabi et pâte de curry</v>
      </c>
      <c r="E4010" s="4" t="str">
        <f t="shared" si="1"/>
        <v>88413-Condiments, vinaigres-Wasabi et pâte de curry</v>
      </c>
      <c r="F4010" s="4">
        <v>0.0</v>
      </c>
      <c r="G4010" s="4">
        <v>492.0</v>
      </c>
      <c r="H4010" s="4">
        <v>435.0</v>
      </c>
      <c r="I4010" s="21">
        <f t="array" ref="I4010">XLOOKUP($A4010,product!A:A,product!E:E)</f>
        <v>3.44</v>
      </c>
      <c r="J4010" s="4">
        <f t="shared" si="2"/>
        <v>1496.4</v>
      </c>
      <c r="K4010" s="22">
        <f t="shared" si="3"/>
        <v>1</v>
      </c>
      <c r="L4010" s="4">
        <f t="shared" si="4"/>
        <v>1</v>
      </c>
    </row>
    <row r="4011">
      <c r="A4011" s="23">
        <v>86560.0</v>
      </c>
      <c r="B4011" s="24" t="str">
        <f t="array" ref="B4011">xlookup($A4011,product!$A:$A,product!B:B)</f>
        <v>Epicerie salée</v>
      </c>
      <c r="C4011" s="24" t="str">
        <f t="array" ref="C4011">xlookup($A4011,product!$A:$A,product!C:C)</f>
        <v>Condiments, vinaigres</v>
      </c>
      <c r="D4011" s="24" t="str">
        <f t="array" ref="D4011">xlookup($A4011,product!$A:$A,product!D:D)</f>
        <v>Cornichon, câpre et pickle</v>
      </c>
      <c r="E4011" s="25" t="str">
        <f t="shared" si="1"/>
        <v>86560-Condiments, vinaigres-Cornichon, câpre et pickle</v>
      </c>
      <c r="F4011" s="25">
        <v>0.0</v>
      </c>
      <c r="G4011" s="25">
        <v>19.0</v>
      </c>
      <c r="H4011" s="25">
        <v>0.0</v>
      </c>
      <c r="I4011" s="26">
        <f t="array" ref="I4011">XLOOKUP($A4011,product!A:A,product!E:E)</f>
        <v>1.88</v>
      </c>
      <c r="J4011" s="25">
        <f t="shared" si="2"/>
        <v>0</v>
      </c>
      <c r="K4011" s="27">
        <f t="shared" si="3"/>
        <v>0</v>
      </c>
      <c r="L4011" s="25">
        <f t="shared" si="4"/>
        <v>1</v>
      </c>
    </row>
    <row r="4012">
      <c r="A4012" s="19">
        <v>127584.0</v>
      </c>
      <c r="B4012" s="20" t="str">
        <f t="array" ref="B4012">xlookup($A4012,product!$A:$A,product!B:B)</f>
        <v>Epicerie salée</v>
      </c>
      <c r="C4012" s="20" t="str">
        <f t="array" ref="C4012">xlookup($A4012,product!$A:$A,product!C:C)</f>
        <v>Condiments, vinaigres</v>
      </c>
      <c r="D4012" s="20" t="str">
        <f t="array" ref="D4012">xlookup($A4012,product!$A:$A,product!D:D)</f>
        <v>Cornichon, câpre et pickle</v>
      </c>
      <c r="E4012" s="4" t="str">
        <f t="shared" si="1"/>
        <v>127584-Condiments, vinaigres-Cornichon, câpre et pickle</v>
      </c>
      <c r="F4012" s="4">
        <v>0.0</v>
      </c>
      <c r="G4012" s="4">
        <v>780.0</v>
      </c>
      <c r="H4012" s="4">
        <v>149.0</v>
      </c>
      <c r="I4012" s="21">
        <f t="array" ref="I4012">XLOOKUP($A4012,product!A:A,product!E:E)</f>
        <v>1.84</v>
      </c>
      <c r="J4012" s="4">
        <f t="shared" si="2"/>
        <v>274.16</v>
      </c>
      <c r="K4012" s="22">
        <f t="shared" si="3"/>
        <v>1</v>
      </c>
      <c r="L4012" s="4">
        <f t="shared" si="4"/>
        <v>1</v>
      </c>
    </row>
    <row r="4013">
      <c r="A4013" s="23">
        <v>122254.0</v>
      </c>
      <c r="B4013" s="24" t="str">
        <f t="array" ref="B4013">xlookup($A4013,product!$A:$A,product!B:B)</f>
        <v>Epicerie salée</v>
      </c>
      <c r="C4013" s="24" t="str">
        <f t="array" ref="C4013">xlookup($A4013,product!$A:$A,product!C:C)</f>
        <v>Condiments, vinaigres</v>
      </c>
      <c r="D4013" s="24" t="str">
        <f t="array" ref="D4013">xlookup($A4013,product!$A:$A,product!D:D)</f>
        <v>Cornichon, câpre et pickle</v>
      </c>
      <c r="E4013" s="25" t="str">
        <f t="shared" si="1"/>
        <v>122254-Condiments, vinaigres-Cornichon, câpre et pickle</v>
      </c>
      <c r="F4013" s="25">
        <v>1.0</v>
      </c>
      <c r="G4013" s="25">
        <v>545.0</v>
      </c>
      <c r="H4013" s="25">
        <v>23.0</v>
      </c>
      <c r="I4013" s="26">
        <f t="array" ref="I4013">XLOOKUP($A4013,product!A:A,product!E:E)</f>
        <v>2.46</v>
      </c>
      <c r="J4013" s="25">
        <f t="shared" si="2"/>
        <v>56.58</v>
      </c>
      <c r="K4013" s="27">
        <f t="shared" si="3"/>
        <v>1</v>
      </c>
      <c r="L4013" s="25">
        <f t="shared" si="4"/>
        <v>1</v>
      </c>
    </row>
    <row r="4014">
      <c r="A4014" s="19">
        <v>118849.0</v>
      </c>
      <c r="B4014" s="20" t="str">
        <f t="array" ref="B4014">xlookup($A4014,product!$A:$A,product!B:B)</f>
        <v>Epicerie salée</v>
      </c>
      <c r="C4014" s="20" t="str">
        <f t="array" ref="C4014">xlookup($A4014,product!$A:$A,product!C:C)</f>
        <v>Condiments, vinaigres</v>
      </c>
      <c r="D4014" s="20" t="str">
        <f t="array" ref="D4014">xlookup($A4014,product!$A:$A,product!D:D)</f>
        <v>Cornichon, câpre et pickle</v>
      </c>
      <c r="E4014" s="4" t="str">
        <f t="shared" si="1"/>
        <v>118849-Condiments, vinaigres-Cornichon, câpre et pickle</v>
      </c>
      <c r="F4014" s="4">
        <v>0.0</v>
      </c>
      <c r="G4014" s="4">
        <v>782.0</v>
      </c>
      <c r="H4014" s="4">
        <v>652.0</v>
      </c>
      <c r="I4014" s="21">
        <f t="array" ref="I4014">XLOOKUP($A4014,product!A:A,product!E:E)</f>
        <v>2.72</v>
      </c>
      <c r="J4014" s="4">
        <f t="shared" si="2"/>
        <v>1773.44</v>
      </c>
      <c r="K4014" s="22">
        <f t="shared" si="3"/>
        <v>1</v>
      </c>
      <c r="L4014" s="4">
        <f t="shared" si="4"/>
        <v>1</v>
      </c>
    </row>
    <row r="4015">
      <c r="A4015" s="23">
        <v>107187.0</v>
      </c>
      <c r="B4015" s="24" t="str">
        <f t="array" ref="B4015">xlookup($A4015,product!$A:$A,product!B:B)</f>
        <v>Epicerie salée</v>
      </c>
      <c r="C4015" s="24" t="str">
        <f t="array" ref="C4015">xlookup($A4015,product!$A:$A,product!C:C)</f>
        <v>Condiments, vinaigres</v>
      </c>
      <c r="D4015" s="24" t="str">
        <f t="array" ref="D4015">xlookup($A4015,product!$A:$A,product!D:D)</f>
        <v>Cornichon, câpre et pickle</v>
      </c>
      <c r="E4015" s="25" t="str">
        <f t="shared" si="1"/>
        <v>107187-Condiments, vinaigres-Cornichon, câpre et pickle</v>
      </c>
      <c r="F4015" s="25">
        <v>1.0</v>
      </c>
      <c r="G4015" s="25">
        <v>78.0</v>
      </c>
      <c r="H4015" s="25">
        <v>54.0</v>
      </c>
      <c r="I4015" s="26">
        <f t="array" ref="I4015">XLOOKUP($A4015,product!A:A,product!E:E)</f>
        <v>2.99</v>
      </c>
      <c r="J4015" s="25">
        <f t="shared" si="2"/>
        <v>161.46</v>
      </c>
      <c r="K4015" s="27">
        <f t="shared" si="3"/>
        <v>1</v>
      </c>
      <c r="L4015" s="25">
        <f t="shared" si="4"/>
        <v>1</v>
      </c>
    </row>
    <row r="4016">
      <c r="A4016" s="19">
        <v>119932.0</v>
      </c>
      <c r="B4016" s="20" t="str">
        <f t="array" ref="B4016">xlookup($A4016,product!$A:$A,product!B:B)</f>
        <v>Epicerie salée</v>
      </c>
      <c r="C4016" s="20" t="str">
        <f t="array" ref="C4016">xlookup($A4016,product!$A:$A,product!C:C)</f>
        <v>Condiments, vinaigres</v>
      </c>
      <c r="D4016" s="20" t="str">
        <f t="array" ref="D4016">xlookup($A4016,product!$A:$A,product!D:D)</f>
        <v>Cornichon, câpre et pickle</v>
      </c>
      <c r="E4016" s="4" t="str">
        <f t="shared" si="1"/>
        <v>119932-Condiments, vinaigres-Cornichon, câpre et pickle</v>
      </c>
      <c r="F4016" s="4">
        <v>1.0</v>
      </c>
      <c r="G4016" s="4">
        <v>490.0</v>
      </c>
      <c r="H4016" s="4">
        <v>324.0</v>
      </c>
      <c r="I4016" s="21">
        <f t="array" ref="I4016">XLOOKUP($A4016,product!A:A,product!E:E)</f>
        <v>2.37</v>
      </c>
      <c r="J4016" s="4">
        <f t="shared" si="2"/>
        <v>767.88</v>
      </c>
      <c r="K4016" s="22">
        <f t="shared" si="3"/>
        <v>1</v>
      </c>
      <c r="L4016" s="4">
        <f t="shared" si="4"/>
        <v>1</v>
      </c>
    </row>
    <row r="4017">
      <c r="A4017" s="23">
        <v>92045.0</v>
      </c>
      <c r="B4017" s="24" t="str">
        <f t="array" ref="B4017">xlookup($A4017,product!$A:$A,product!B:B)</f>
        <v>Alimentation Bébé</v>
      </c>
      <c r="C4017" s="24" t="str">
        <f t="array" ref="C4017">xlookup($A4017,product!$A:$A,product!C:C)</f>
        <v>Céréales bio bébé</v>
      </c>
      <c r="D4017" s="24" t="str">
        <f t="array" ref="D4017">xlookup($A4017,product!$A:$A,product!D:D)</f>
        <v>Céréales bio bébé 8 mois</v>
      </c>
      <c r="E4017" s="25" t="str">
        <f t="shared" si="1"/>
        <v>92045-Céréales bio bébé-Céréales bio bébé 8 mois</v>
      </c>
      <c r="F4017" s="25">
        <v>1.0</v>
      </c>
      <c r="G4017" s="25">
        <v>398.0</v>
      </c>
      <c r="H4017" s="25">
        <v>203.0</v>
      </c>
      <c r="I4017" s="26">
        <f t="array" ref="I4017">XLOOKUP($A4017,product!A:A,product!E:E)</f>
        <v>2.2</v>
      </c>
      <c r="J4017" s="25">
        <f t="shared" si="2"/>
        <v>446.6</v>
      </c>
      <c r="K4017" s="27">
        <f t="shared" si="3"/>
        <v>1</v>
      </c>
      <c r="L4017" s="25">
        <f t="shared" si="4"/>
        <v>1</v>
      </c>
    </row>
    <row r="4018">
      <c r="A4018" s="19">
        <v>82168.0</v>
      </c>
      <c r="B4018" s="20" t="str">
        <f t="array" ref="B4018">xlookup($A4018,product!$A:$A,product!B:B)</f>
        <v>Alimentation Bébé</v>
      </c>
      <c r="C4018" s="20" t="str">
        <f t="array" ref="C4018">xlookup($A4018,product!$A:$A,product!C:C)</f>
        <v>Céréales bio bébé</v>
      </c>
      <c r="D4018" s="20" t="str">
        <f t="array" ref="D4018">xlookup($A4018,product!$A:$A,product!D:D)</f>
        <v>Céréales bio bébé 8 mois</v>
      </c>
      <c r="E4018" s="4" t="str">
        <f t="shared" si="1"/>
        <v>82168-Céréales bio bébé-Céréales bio bébé 8 mois</v>
      </c>
      <c r="F4018" s="4">
        <v>0.0</v>
      </c>
      <c r="G4018" s="4">
        <v>102.0</v>
      </c>
      <c r="H4018" s="4">
        <v>102.0</v>
      </c>
      <c r="I4018" s="21">
        <f t="array" ref="I4018">XLOOKUP($A4018,product!A:A,product!E:E)</f>
        <v>3.12</v>
      </c>
      <c r="J4018" s="4">
        <f t="shared" si="2"/>
        <v>318.24</v>
      </c>
      <c r="K4018" s="22">
        <f t="shared" si="3"/>
        <v>1</v>
      </c>
      <c r="L4018" s="4">
        <f t="shared" si="4"/>
        <v>1</v>
      </c>
    </row>
    <row r="4019">
      <c r="A4019" s="23">
        <v>79263.0</v>
      </c>
      <c r="B4019" s="24" t="str">
        <f t="array" ref="B4019">xlookup($A4019,product!$A:$A,product!B:B)</f>
        <v>Alimentation Bébé</v>
      </c>
      <c r="C4019" s="24" t="str">
        <f t="array" ref="C4019">xlookup($A4019,product!$A:$A,product!C:C)</f>
        <v>Céréales bio bébé</v>
      </c>
      <c r="D4019" s="24" t="str">
        <f t="array" ref="D4019">xlookup($A4019,product!$A:$A,product!D:D)</f>
        <v>Céréales bio bébé 8 mois</v>
      </c>
      <c r="E4019" s="25" t="str">
        <f t="shared" si="1"/>
        <v>79263-Céréales bio bébé-Céréales bio bébé 8 mois</v>
      </c>
      <c r="F4019" s="25">
        <v>0.0</v>
      </c>
      <c r="G4019" s="25">
        <v>55.0</v>
      </c>
      <c r="H4019" s="25">
        <v>4.0</v>
      </c>
      <c r="I4019" s="26">
        <f t="array" ref="I4019">XLOOKUP($A4019,product!A:A,product!E:E)</f>
        <v>2.2</v>
      </c>
      <c r="J4019" s="25">
        <f t="shared" si="2"/>
        <v>8.8</v>
      </c>
      <c r="K4019" s="27">
        <f t="shared" si="3"/>
        <v>1</v>
      </c>
      <c r="L4019" s="25">
        <f t="shared" si="4"/>
        <v>1</v>
      </c>
    </row>
    <row r="4020">
      <c r="A4020" s="19">
        <v>92044.0</v>
      </c>
      <c r="B4020" s="20" t="str">
        <f t="array" ref="B4020">xlookup($A4020,product!$A:$A,product!B:B)</f>
        <v>Alimentation Bébé</v>
      </c>
      <c r="C4020" s="20" t="str">
        <f t="array" ref="C4020">xlookup($A4020,product!$A:$A,product!C:C)</f>
        <v>Céréales bio bébé</v>
      </c>
      <c r="D4020" s="20" t="str">
        <f t="array" ref="D4020">xlookup($A4020,product!$A:$A,product!D:D)</f>
        <v>Céréales bio bébé 8 mois</v>
      </c>
      <c r="E4020" s="4" t="str">
        <f t="shared" si="1"/>
        <v>92044-Céréales bio bébé-Céréales bio bébé 8 mois</v>
      </c>
      <c r="F4020" s="4">
        <v>1.0</v>
      </c>
      <c r="G4020" s="4">
        <v>78.0</v>
      </c>
      <c r="H4020" s="4">
        <v>31.0</v>
      </c>
      <c r="I4020" s="21">
        <f t="array" ref="I4020">XLOOKUP($A4020,product!A:A,product!E:E)</f>
        <v>2.2</v>
      </c>
      <c r="J4020" s="4">
        <f t="shared" si="2"/>
        <v>68.2</v>
      </c>
      <c r="K4020" s="22">
        <f t="shared" si="3"/>
        <v>1</v>
      </c>
      <c r="L4020" s="4">
        <f t="shared" si="4"/>
        <v>1</v>
      </c>
    </row>
    <row r="4021">
      <c r="A4021" s="23">
        <v>114725.0</v>
      </c>
      <c r="B4021" s="24" t="str">
        <f t="array" ref="B4021">xlookup($A4021,product!$A:$A,product!B:B)</f>
        <v>Alimentation Bébé</v>
      </c>
      <c r="C4021" s="24" t="str">
        <f t="array" ref="C4021">xlookup($A4021,product!$A:$A,product!C:C)</f>
        <v>Céréales bio bébé</v>
      </c>
      <c r="D4021" s="24" t="str">
        <f t="array" ref="D4021">xlookup($A4021,product!$A:$A,product!D:D)</f>
        <v>Céréales bio bébé 8 mois</v>
      </c>
      <c r="E4021" s="25" t="str">
        <f t="shared" si="1"/>
        <v>114725-Céréales bio bébé-Céréales bio bébé 8 mois</v>
      </c>
      <c r="F4021" s="25">
        <v>1.0</v>
      </c>
      <c r="G4021" s="25">
        <v>792.0</v>
      </c>
      <c r="H4021" s="25">
        <v>144.0</v>
      </c>
      <c r="I4021" s="26">
        <f t="array" ref="I4021">XLOOKUP($A4021,product!A:A,product!E:E)</f>
        <v>6.2</v>
      </c>
      <c r="J4021" s="25">
        <f t="shared" si="2"/>
        <v>892.8</v>
      </c>
      <c r="K4021" s="27">
        <f t="shared" si="3"/>
        <v>1</v>
      </c>
      <c r="L4021" s="25">
        <f t="shared" si="4"/>
        <v>1</v>
      </c>
    </row>
    <row r="4022">
      <c r="A4022" s="19">
        <v>50684.0</v>
      </c>
      <c r="B4022" s="20" t="str">
        <f t="array" ref="B4022">xlookup($A4022,product!$A:$A,product!B:B)</f>
        <v>Alimentation Bébé</v>
      </c>
      <c r="C4022" s="20" t="str">
        <f t="array" ref="C4022">xlookup($A4022,product!$A:$A,product!C:C)</f>
        <v>Céréales bio bébé</v>
      </c>
      <c r="D4022" s="20" t="str">
        <f t="array" ref="D4022">xlookup($A4022,product!$A:$A,product!D:D)</f>
        <v>Céréales bio bébé 4-6 mois</v>
      </c>
      <c r="E4022" s="4" t="str">
        <f t="shared" si="1"/>
        <v>50684-Céréales bio bébé-Céréales bio bébé 4-6 mois</v>
      </c>
      <c r="F4022" s="4">
        <v>0.0</v>
      </c>
      <c r="G4022" s="4">
        <v>405.0</v>
      </c>
      <c r="H4022" s="4">
        <v>34.0</v>
      </c>
      <c r="I4022" s="21">
        <f t="array" ref="I4022">XLOOKUP($A4022,product!A:A,product!E:E)</f>
        <v>2.42</v>
      </c>
      <c r="J4022" s="4">
        <f t="shared" si="2"/>
        <v>82.28</v>
      </c>
      <c r="K4022" s="22">
        <f t="shared" si="3"/>
        <v>1</v>
      </c>
      <c r="L4022" s="4">
        <f t="shared" si="4"/>
        <v>1</v>
      </c>
    </row>
    <row r="4023">
      <c r="A4023" s="23">
        <v>82167.0</v>
      </c>
      <c r="B4023" s="24" t="str">
        <f t="array" ref="B4023">xlookup($A4023,product!$A:$A,product!B:B)</f>
        <v>Alimentation Bébé</v>
      </c>
      <c r="C4023" s="24" t="str">
        <f t="array" ref="C4023">xlookup($A4023,product!$A:$A,product!C:C)</f>
        <v>Céréales bio bébé</v>
      </c>
      <c r="D4023" s="24" t="str">
        <f t="array" ref="D4023">xlookup($A4023,product!$A:$A,product!D:D)</f>
        <v>Céréales bio bébé 4-6 mois</v>
      </c>
      <c r="E4023" s="25" t="str">
        <f t="shared" si="1"/>
        <v>82167-Céréales bio bébé-Céréales bio bébé 4-6 mois</v>
      </c>
      <c r="F4023" s="25">
        <v>1.0</v>
      </c>
      <c r="G4023" s="25">
        <v>56.0</v>
      </c>
      <c r="H4023" s="25">
        <v>0.0</v>
      </c>
      <c r="I4023" s="26">
        <f t="array" ref="I4023">XLOOKUP($A4023,product!A:A,product!E:E)</f>
        <v>3.12</v>
      </c>
      <c r="J4023" s="25">
        <f t="shared" si="2"/>
        <v>0</v>
      </c>
      <c r="K4023" s="27">
        <f t="shared" si="3"/>
        <v>0</v>
      </c>
      <c r="L4023" s="25">
        <f t="shared" si="4"/>
        <v>1</v>
      </c>
    </row>
    <row r="4024">
      <c r="A4024" s="19">
        <v>68513.0</v>
      </c>
      <c r="B4024" s="20" t="str">
        <f t="array" ref="B4024">xlookup($A4024,product!$A:$A,product!B:B)</f>
        <v>Alimentation Bébé</v>
      </c>
      <c r="C4024" s="20" t="str">
        <f t="array" ref="C4024">xlookup($A4024,product!$A:$A,product!C:C)</f>
        <v>Céréales bio bébé</v>
      </c>
      <c r="D4024" s="20" t="str">
        <f t="array" ref="D4024">xlookup($A4024,product!$A:$A,product!D:D)</f>
        <v>Céréales bio bébé 4-6 mois</v>
      </c>
      <c r="E4024" s="4" t="str">
        <f t="shared" si="1"/>
        <v>68513-Céréales bio bébé-Céréales bio bébé 4-6 mois</v>
      </c>
      <c r="F4024" s="4">
        <v>0.0</v>
      </c>
      <c r="G4024" s="4">
        <v>409.0</v>
      </c>
      <c r="H4024" s="4">
        <v>325.0</v>
      </c>
      <c r="I4024" s="21">
        <f t="array" ref="I4024">XLOOKUP($A4024,product!A:A,product!E:E)</f>
        <v>2.2</v>
      </c>
      <c r="J4024" s="4">
        <f t="shared" si="2"/>
        <v>715</v>
      </c>
      <c r="K4024" s="22">
        <f t="shared" si="3"/>
        <v>1</v>
      </c>
      <c r="L4024" s="4">
        <f t="shared" si="4"/>
        <v>1</v>
      </c>
    </row>
    <row r="4025">
      <c r="A4025" s="23">
        <v>76566.0</v>
      </c>
      <c r="B4025" s="24" t="str">
        <f t="array" ref="B4025">xlookup($A4025,product!$A:$A,product!B:B)</f>
        <v>Alimentation Bébé</v>
      </c>
      <c r="C4025" s="24" t="str">
        <f t="array" ref="C4025">xlookup($A4025,product!$A:$A,product!C:C)</f>
        <v>Céréales bio bébé</v>
      </c>
      <c r="D4025" s="24" t="str">
        <f t="array" ref="D4025">xlookup($A4025,product!$A:$A,product!D:D)</f>
        <v>Céréales bio bébé 4-6 mois</v>
      </c>
      <c r="E4025" s="25" t="str">
        <f t="shared" si="1"/>
        <v>76566-Céréales bio bébé-Céréales bio bébé 4-6 mois</v>
      </c>
      <c r="F4025" s="25">
        <v>1.0</v>
      </c>
      <c r="G4025" s="25">
        <v>458.0</v>
      </c>
      <c r="H4025" s="25">
        <v>411.0</v>
      </c>
      <c r="I4025" s="26">
        <f t="array" ref="I4025">XLOOKUP($A4025,product!A:A,product!E:E)</f>
        <v>6.01</v>
      </c>
      <c r="J4025" s="25">
        <f t="shared" si="2"/>
        <v>2470.11</v>
      </c>
      <c r="K4025" s="27">
        <f t="shared" si="3"/>
        <v>1</v>
      </c>
      <c r="L4025" s="25">
        <f t="shared" si="4"/>
        <v>1</v>
      </c>
    </row>
    <row r="4026">
      <c r="A4026" s="19">
        <v>119088.0</v>
      </c>
      <c r="B4026" s="20" t="str">
        <f t="array" ref="B4026">xlookup($A4026,product!$A:$A,product!B:B)</f>
        <v>Alimentation Bébé</v>
      </c>
      <c r="C4026" s="20" t="str">
        <f t="array" ref="C4026">xlookup($A4026,product!$A:$A,product!C:C)</f>
        <v>Céréales bio bébé</v>
      </c>
      <c r="D4026" s="20" t="str">
        <f t="array" ref="D4026">xlookup($A4026,product!$A:$A,product!D:D)</f>
        <v>Céréales bio bébé 4-6 mois</v>
      </c>
      <c r="E4026" s="4" t="str">
        <f t="shared" si="1"/>
        <v>119088-Céréales bio bébé-Céréales bio bébé 4-6 mois</v>
      </c>
      <c r="F4026" s="4">
        <v>1.0</v>
      </c>
      <c r="G4026" s="4">
        <v>371.0</v>
      </c>
      <c r="H4026" s="4">
        <v>30.0</v>
      </c>
      <c r="I4026" s="21">
        <f t="array" ref="I4026">XLOOKUP($A4026,product!A:A,product!E:E)</f>
        <v>3.35</v>
      </c>
      <c r="J4026" s="4">
        <f t="shared" si="2"/>
        <v>100.5</v>
      </c>
      <c r="K4026" s="22">
        <f t="shared" si="3"/>
        <v>1</v>
      </c>
      <c r="L4026" s="4">
        <f t="shared" si="4"/>
        <v>1</v>
      </c>
    </row>
    <row r="4027">
      <c r="A4027" s="23">
        <v>119431.0</v>
      </c>
      <c r="B4027" s="24" t="str">
        <f t="array" ref="B4027">xlookup($A4027,product!$A:$A,product!B:B)</f>
        <v>Alimentation Bébé</v>
      </c>
      <c r="C4027" s="24" t="str">
        <f t="array" ref="C4027">xlookup($A4027,product!$A:$A,product!C:C)</f>
        <v>Céréales bio bébé</v>
      </c>
      <c r="D4027" s="24" t="str">
        <f t="array" ref="D4027">xlookup($A4027,product!$A:$A,product!D:D)</f>
        <v>Céréales bio bébé 4-6 mois</v>
      </c>
      <c r="E4027" s="25" t="str">
        <f t="shared" si="1"/>
        <v>119431-Céréales bio bébé-Céréales bio bébé 4-6 mois</v>
      </c>
      <c r="F4027" s="25">
        <v>0.0</v>
      </c>
      <c r="G4027" s="25">
        <v>51.0</v>
      </c>
      <c r="H4027" s="25">
        <v>23.0</v>
      </c>
      <c r="I4027" s="26">
        <f t="array" ref="I4027">XLOOKUP($A4027,product!A:A,product!E:E)</f>
        <v>2.31</v>
      </c>
      <c r="J4027" s="25">
        <f t="shared" si="2"/>
        <v>53.13</v>
      </c>
      <c r="K4027" s="27">
        <f t="shared" si="3"/>
        <v>1</v>
      </c>
      <c r="L4027" s="25">
        <f t="shared" si="4"/>
        <v>1</v>
      </c>
    </row>
    <row r="4028">
      <c r="A4028" s="19">
        <v>101279.0</v>
      </c>
      <c r="B4028" s="20" t="str">
        <f t="array" ref="B4028">xlookup($A4028,product!$A:$A,product!B:B)</f>
        <v>Alimentation Bébé</v>
      </c>
      <c r="C4028" s="20" t="str">
        <f t="array" ref="C4028">xlookup($A4028,product!$A:$A,product!C:C)</f>
        <v>Céréales bio bébé</v>
      </c>
      <c r="D4028" s="20" t="str">
        <f t="array" ref="D4028">xlookup($A4028,product!$A:$A,product!D:D)</f>
        <v>Gourdes petit déjeuner bébé</v>
      </c>
      <c r="E4028" s="4" t="str">
        <f t="shared" si="1"/>
        <v>101279-Céréales bio bébé-Gourdes petit déjeuner bébé</v>
      </c>
      <c r="F4028" s="4">
        <v>1.0</v>
      </c>
      <c r="G4028" s="4">
        <v>536.0</v>
      </c>
      <c r="H4028" s="4">
        <v>236.0</v>
      </c>
      <c r="I4028" s="21">
        <f t="array" ref="I4028">XLOOKUP($A4028,product!A:A,product!E:E)</f>
        <v>0.9</v>
      </c>
      <c r="J4028" s="4">
        <f t="shared" si="2"/>
        <v>212.4</v>
      </c>
      <c r="K4028" s="22">
        <f t="shared" si="3"/>
        <v>1</v>
      </c>
      <c r="L4028" s="4">
        <f t="shared" si="4"/>
        <v>1</v>
      </c>
    </row>
    <row r="4029">
      <c r="A4029" s="23">
        <v>101270.0</v>
      </c>
      <c r="B4029" s="24" t="str">
        <f t="array" ref="B4029">xlookup($A4029,product!$A:$A,product!B:B)</f>
        <v>Alimentation Bébé</v>
      </c>
      <c r="C4029" s="24" t="str">
        <f t="array" ref="C4029">xlookup($A4029,product!$A:$A,product!C:C)</f>
        <v>Céréales bio bébé</v>
      </c>
      <c r="D4029" s="24" t="str">
        <f t="array" ref="D4029">xlookup($A4029,product!$A:$A,product!D:D)</f>
        <v>Gourdes petit déjeuner bébé</v>
      </c>
      <c r="E4029" s="25" t="str">
        <f t="shared" si="1"/>
        <v>101270-Céréales bio bébé-Gourdes petit déjeuner bébé</v>
      </c>
      <c r="F4029" s="25">
        <v>0.0</v>
      </c>
      <c r="G4029" s="25">
        <v>494.0</v>
      </c>
      <c r="H4029" s="25">
        <v>95.0</v>
      </c>
      <c r="I4029" s="26">
        <f t="array" ref="I4029">XLOOKUP($A4029,product!A:A,product!E:E)</f>
        <v>0.9</v>
      </c>
      <c r="J4029" s="25">
        <f t="shared" si="2"/>
        <v>85.5</v>
      </c>
      <c r="K4029" s="27">
        <f t="shared" si="3"/>
        <v>1</v>
      </c>
      <c r="L4029" s="25">
        <f t="shared" si="4"/>
        <v>1</v>
      </c>
    </row>
    <row r="4030">
      <c r="A4030" s="19">
        <v>101282.0</v>
      </c>
      <c r="B4030" s="20" t="str">
        <f t="array" ref="B4030">xlookup($A4030,product!$A:$A,product!B:B)</f>
        <v>Alimentation Bébé</v>
      </c>
      <c r="C4030" s="20" t="str">
        <f t="array" ref="C4030">xlookup($A4030,product!$A:$A,product!C:C)</f>
        <v>Céréales bio bébé</v>
      </c>
      <c r="D4030" s="20" t="str">
        <f t="array" ref="D4030">xlookup($A4030,product!$A:$A,product!D:D)</f>
        <v>Gourdes petit déjeuner bébé</v>
      </c>
      <c r="E4030" s="4" t="str">
        <f t="shared" si="1"/>
        <v>101282-Céréales bio bébé-Gourdes petit déjeuner bébé</v>
      </c>
      <c r="F4030" s="4">
        <v>0.0</v>
      </c>
      <c r="G4030" s="4">
        <v>297.0</v>
      </c>
      <c r="H4030" s="4">
        <v>169.0</v>
      </c>
      <c r="I4030" s="21">
        <f t="array" ref="I4030">XLOOKUP($A4030,product!A:A,product!E:E)</f>
        <v>0.9</v>
      </c>
      <c r="J4030" s="4">
        <f t="shared" si="2"/>
        <v>152.1</v>
      </c>
      <c r="K4030" s="22">
        <f t="shared" si="3"/>
        <v>1</v>
      </c>
      <c r="L4030" s="4">
        <f t="shared" si="4"/>
        <v>1</v>
      </c>
    </row>
    <row r="4031">
      <c r="A4031" s="23">
        <v>70291.0</v>
      </c>
      <c r="B4031" s="24" t="str">
        <f t="array" ref="B4031">xlookup($A4031,product!$A:$A,product!B:B)</f>
        <v>Maison</v>
      </c>
      <c r="C4031" s="24" t="str">
        <f t="array" ref="C4031">xlookup($A4031,product!$A:$A,product!C:C)</f>
        <v>Mobilier d'intérieur</v>
      </c>
      <c r="D4031" s="24" t="str">
        <f t="array" ref="D4031">xlookup($A4031,product!$A:$A,product!D:D)</f>
        <v>Meubles de rangement</v>
      </c>
      <c r="E4031" s="25" t="str">
        <f t="shared" si="1"/>
        <v>70291-Mobilier d'intérieur-Meubles de rangement</v>
      </c>
      <c r="F4031" s="25">
        <v>1.0</v>
      </c>
      <c r="G4031" s="25">
        <v>524.0</v>
      </c>
      <c r="H4031" s="25">
        <v>127.0</v>
      </c>
      <c r="I4031" s="26">
        <f t="array" ref="I4031">XLOOKUP($A4031,product!A:A,product!E:E)</f>
        <v>16.14</v>
      </c>
      <c r="J4031" s="25">
        <f t="shared" si="2"/>
        <v>2049.78</v>
      </c>
      <c r="K4031" s="27">
        <f t="shared" si="3"/>
        <v>1</v>
      </c>
      <c r="L4031" s="25">
        <f t="shared" si="4"/>
        <v>1</v>
      </c>
    </row>
    <row r="4032">
      <c r="A4032" s="19">
        <v>70290.0</v>
      </c>
      <c r="B4032" s="20" t="str">
        <f t="array" ref="B4032">xlookup($A4032,product!$A:$A,product!B:B)</f>
        <v>Maison</v>
      </c>
      <c r="C4032" s="20" t="str">
        <f t="array" ref="C4032">xlookup($A4032,product!$A:$A,product!C:C)</f>
        <v>Mobilier d'intérieur</v>
      </c>
      <c r="D4032" s="20" t="str">
        <f t="array" ref="D4032">xlookup($A4032,product!$A:$A,product!D:D)</f>
        <v>Meubles de rangement</v>
      </c>
      <c r="E4032" s="4" t="str">
        <f t="shared" si="1"/>
        <v>70290-Mobilier d'intérieur-Meubles de rangement</v>
      </c>
      <c r="F4032" s="4">
        <v>1.0</v>
      </c>
      <c r="G4032" s="4">
        <v>978.0</v>
      </c>
      <c r="H4032" s="4">
        <v>846.0</v>
      </c>
      <c r="I4032" s="21">
        <f t="array" ref="I4032">XLOOKUP($A4032,product!A:A,product!E:E)</f>
        <v>6.93</v>
      </c>
      <c r="J4032" s="4">
        <f t="shared" si="2"/>
        <v>5862.78</v>
      </c>
      <c r="K4032" s="22">
        <f t="shared" si="3"/>
        <v>1</v>
      </c>
      <c r="L4032" s="4">
        <f t="shared" si="4"/>
        <v>1</v>
      </c>
    </row>
    <row r="4033">
      <c r="A4033" s="23">
        <v>19188.0</v>
      </c>
      <c r="B4033" s="24" t="str">
        <f t="array" ref="B4033">xlookup($A4033,product!$A:$A,product!B:B)</f>
        <v>Maison</v>
      </c>
      <c r="C4033" s="24" t="str">
        <f t="array" ref="C4033">xlookup($A4033,product!$A:$A,product!C:C)</f>
        <v>Mobilier d'intérieur</v>
      </c>
      <c r="D4033" s="24" t="str">
        <f t="array" ref="D4033">xlookup($A4033,product!$A:$A,product!D:D)</f>
        <v>Mobilier chambre enfant</v>
      </c>
      <c r="E4033" s="25" t="str">
        <f t="shared" si="1"/>
        <v>19188-Mobilier d'intérieur-Mobilier chambre enfant</v>
      </c>
      <c r="F4033" s="25">
        <v>1.0</v>
      </c>
      <c r="G4033" s="25">
        <v>12.0</v>
      </c>
      <c r="H4033" s="25">
        <v>12.0</v>
      </c>
      <c r="I4033" s="26">
        <f t="array" ref="I4033">XLOOKUP($A4033,product!A:A,product!E:E)</f>
        <v>14.95</v>
      </c>
      <c r="J4033" s="25">
        <f t="shared" si="2"/>
        <v>179.4</v>
      </c>
      <c r="K4033" s="27">
        <f t="shared" si="3"/>
        <v>1</v>
      </c>
      <c r="L4033" s="25">
        <f t="shared" si="4"/>
        <v>1</v>
      </c>
    </row>
    <row r="4034">
      <c r="A4034" s="19">
        <v>41117.0</v>
      </c>
      <c r="B4034" s="20" t="str">
        <f t="array" ref="B4034">xlookup($A4034,product!$A:$A,product!B:B)</f>
        <v>Santé &amp; Bien-être</v>
      </c>
      <c r="C4034" s="20" t="str">
        <f t="array" ref="C4034">xlookup($A4034,product!$A:$A,product!C:C)</f>
        <v>Nez - Gorge - Oreille</v>
      </c>
      <c r="D4034" s="20" t="str">
        <f t="array" ref="D4034">xlookup($A4034,product!$A:$A,product!D:D)</f>
        <v>Respiration</v>
      </c>
      <c r="E4034" s="4" t="str">
        <f t="shared" si="1"/>
        <v>41117-Nez - Gorge - Oreille-Respiration</v>
      </c>
      <c r="F4034" s="4">
        <v>0.0</v>
      </c>
      <c r="G4034" s="4">
        <v>382.0</v>
      </c>
      <c r="H4034" s="4">
        <v>334.0</v>
      </c>
      <c r="I4034" s="21">
        <f t="array" ref="I4034">XLOOKUP($A4034,product!A:A,product!E:E)</f>
        <v>5.05</v>
      </c>
      <c r="J4034" s="4">
        <f t="shared" si="2"/>
        <v>1686.7</v>
      </c>
      <c r="K4034" s="22">
        <f t="shared" si="3"/>
        <v>1</v>
      </c>
      <c r="L4034" s="4">
        <f t="shared" si="4"/>
        <v>1</v>
      </c>
    </row>
    <row r="4035">
      <c r="A4035" s="23">
        <v>30625.0</v>
      </c>
      <c r="B4035" s="24" t="str">
        <f t="array" ref="B4035">xlookup($A4035,product!$A:$A,product!B:B)</f>
        <v>Santé &amp; Bien-être</v>
      </c>
      <c r="C4035" s="24" t="str">
        <f t="array" ref="C4035">xlookup($A4035,product!$A:$A,product!C:C)</f>
        <v>Nez - Gorge - Oreille</v>
      </c>
      <c r="D4035" s="24" t="str">
        <f t="array" ref="D4035">xlookup($A4035,product!$A:$A,product!D:D)</f>
        <v>Respiration</v>
      </c>
      <c r="E4035" s="25" t="str">
        <f t="shared" si="1"/>
        <v>30625-Nez - Gorge - Oreille-Respiration</v>
      </c>
      <c r="F4035" s="25">
        <v>0.0</v>
      </c>
      <c r="G4035" s="25">
        <v>887.0</v>
      </c>
      <c r="H4035" s="25">
        <v>400.0</v>
      </c>
      <c r="I4035" s="26">
        <f t="array" ref="I4035">XLOOKUP($A4035,product!A:A,product!E:E)</f>
        <v>4.66</v>
      </c>
      <c r="J4035" s="25">
        <f t="shared" si="2"/>
        <v>1864</v>
      </c>
      <c r="K4035" s="27">
        <f t="shared" si="3"/>
        <v>1</v>
      </c>
      <c r="L4035" s="25">
        <f t="shared" si="4"/>
        <v>1</v>
      </c>
    </row>
    <row r="4036">
      <c r="A4036" s="19">
        <v>11462.0</v>
      </c>
      <c r="B4036" s="20" t="str">
        <f t="array" ref="B4036">xlookup($A4036,product!$A:$A,product!B:B)</f>
        <v>Santé &amp; Bien-être</v>
      </c>
      <c r="C4036" s="20" t="str">
        <f t="array" ref="C4036">xlookup($A4036,product!$A:$A,product!C:C)</f>
        <v>Nez - Gorge - Oreille</v>
      </c>
      <c r="D4036" s="20" t="str">
        <f t="array" ref="D4036">xlookup($A4036,product!$A:$A,product!D:D)</f>
        <v>Respiration</v>
      </c>
      <c r="E4036" s="4" t="str">
        <f t="shared" si="1"/>
        <v>11462-Nez - Gorge - Oreille-Respiration</v>
      </c>
      <c r="F4036" s="4">
        <v>0.0</v>
      </c>
      <c r="G4036" s="4">
        <v>149.0</v>
      </c>
      <c r="H4036" s="4">
        <v>74.0</v>
      </c>
      <c r="I4036" s="21">
        <f t="array" ref="I4036">XLOOKUP($A4036,product!A:A,product!E:E)</f>
        <v>2.92</v>
      </c>
      <c r="J4036" s="4">
        <f t="shared" si="2"/>
        <v>216.08</v>
      </c>
      <c r="K4036" s="22">
        <f t="shared" si="3"/>
        <v>1</v>
      </c>
      <c r="L4036" s="4">
        <f t="shared" si="4"/>
        <v>1</v>
      </c>
    </row>
    <row r="4037">
      <c r="A4037" s="23">
        <v>120733.0</v>
      </c>
      <c r="B4037" s="24" t="str">
        <f t="array" ref="B4037">xlookup($A4037,product!$A:$A,product!B:B)</f>
        <v>Santé &amp; Bien-être</v>
      </c>
      <c r="C4037" s="24" t="str">
        <f t="array" ref="C4037">xlookup($A4037,product!$A:$A,product!C:C)</f>
        <v>Nez - Gorge - Oreille</v>
      </c>
      <c r="D4037" s="24" t="str">
        <f t="array" ref="D4037">xlookup($A4037,product!$A:$A,product!D:D)</f>
        <v>Respiration</v>
      </c>
      <c r="E4037" s="25" t="str">
        <f t="shared" si="1"/>
        <v>120733-Nez - Gorge - Oreille-Respiration</v>
      </c>
      <c r="F4037" s="25">
        <v>0.0</v>
      </c>
      <c r="G4037" s="25">
        <v>611.0</v>
      </c>
      <c r="H4037" s="25">
        <v>119.0</v>
      </c>
      <c r="I4037" s="26">
        <f t="array" ref="I4037">XLOOKUP($A4037,product!A:A,product!E:E)</f>
        <v>3.95</v>
      </c>
      <c r="J4037" s="25">
        <f t="shared" si="2"/>
        <v>470.05</v>
      </c>
      <c r="K4037" s="27">
        <f t="shared" si="3"/>
        <v>1</v>
      </c>
      <c r="L4037" s="25">
        <f t="shared" si="4"/>
        <v>1</v>
      </c>
    </row>
    <row r="4038">
      <c r="A4038" s="19">
        <v>83487.0</v>
      </c>
      <c r="B4038" s="20" t="str">
        <f t="array" ref="B4038">xlookup($A4038,product!$A:$A,product!B:B)</f>
        <v>Santé &amp; Bien-être</v>
      </c>
      <c r="C4038" s="20" t="str">
        <f t="array" ref="C4038">xlookup($A4038,product!$A:$A,product!C:C)</f>
        <v>Nez - Gorge - Oreille</v>
      </c>
      <c r="D4038" s="20" t="str">
        <f t="array" ref="D4038">xlookup($A4038,product!$A:$A,product!D:D)</f>
        <v>Respiration</v>
      </c>
      <c r="E4038" s="4" t="str">
        <f t="shared" si="1"/>
        <v>83487-Nez - Gorge - Oreille-Respiration</v>
      </c>
      <c r="F4038" s="4">
        <v>1.0</v>
      </c>
      <c r="G4038" s="4">
        <v>751.0</v>
      </c>
      <c r="H4038" s="4">
        <v>154.0</v>
      </c>
      <c r="I4038" s="21">
        <f t="array" ref="I4038">XLOOKUP($A4038,product!A:A,product!E:E)</f>
        <v>4.06</v>
      </c>
      <c r="J4038" s="4">
        <f t="shared" si="2"/>
        <v>625.24</v>
      </c>
      <c r="K4038" s="22">
        <f t="shared" si="3"/>
        <v>1</v>
      </c>
      <c r="L4038" s="4">
        <f t="shared" si="4"/>
        <v>1</v>
      </c>
    </row>
    <row r="4039">
      <c r="A4039" s="23">
        <v>117610.0</v>
      </c>
      <c r="B4039" s="24" t="str">
        <f t="array" ref="B4039">xlookup($A4039,product!$A:$A,product!B:B)</f>
        <v>Santé &amp; Bien-être</v>
      </c>
      <c r="C4039" s="24" t="str">
        <f t="array" ref="C4039">xlookup($A4039,product!$A:$A,product!C:C)</f>
        <v>Nez - Gorge - Oreille</v>
      </c>
      <c r="D4039" s="24" t="str">
        <f t="array" ref="D4039">xlookup($A4039,product!$A:$A,product!D:D)</f>
        <v>Respiration</v>
      </c>
      <c r="E4039" s="25" t="str">
        <f t="shared" si="1"/>
        <v>117610-Nez - Gorge - Oreille-Respiration</v>
      </c>
      <c r="F4039" s="25">
        <v>0.0</v>
      </c>
      <c r="G4039" s="25">
        <v>482.0</v>
      </c>
      <c r="H4039" s="25">
        <v>135.0</v>
      </c>
      <c r="I4039" s="26">
        <f t="array" ref="I4039">XLOOKUP($A4039,product!A:A,product!E:E)</f>
        <v>4.92</v>
      </c>
      <c r="J4039" s="25">
        <f t="shared" si="2"/>
        <v>664.2</v>
      </c>
      <c r="K4039" s="27">
        <f t="shared" si="3"/>
        <v>1</v>
      </c>
      <c r="L4039" s="25">
        <f t="shared" si="4"/>
        <v>1</v>
      </c>
    </row>
    <row r="4040">
      <c r="A4040" s="19">
        <v>112177.0</v>
      </c>
      <c r="B4040" s="20" t="str">
        <f t="array" ref="B4040">xlookup($A4040,product!$A:$A,product!B:B)</f>
        <v>Santé &amp; Bien-être</v>
      </c>
      <c r="C4040" s="20" t="str">
        <f t="array" ref="C4040">xlookup($A4040,product!$A:$A,product!C:C)</f>
        <v>Nez - Gorge - Oreille</v>
      </c>
      <c r="D4040" s="20" t="str">
        <f t="array" ref="D4040">xlookup($A4040,product!$A:$A,product!D:D)</f>
        <v>Respiration</v>
      </c>
      <c r="E4040" s="4" t="str">
        <f t="shared" si="1"/>
        <v>112177-Nez - Gorge - Oreille-Respiration</v>
      </c>
      <c r="F4040" s="4">
        <v>1.0</v>
      </c>
      <c r="G4040" s="4">
        <v>682.0</v>
      </c>
      <c r="H4040" s="4">
        <v>398.0</v>
      </c>
      <c r="I4040" s="21">
        <f t="array" ref="I4040">XLOOKUP($A4040,product!A:A,product!E:E)</f>
        <v>4.66</v>
      </c>
      <c r="J4040" s="4">
        <f t="shared" si="2"/>
        <v>1854.68</v>
      </c>
      <c r="K4040" s="22">
        <f t="shared" si="3"/>
        <v>1</v>
      </c>
      <c r="L4040" s="4">
        <f t="shared" si="4"/>
        <v>1</v>
      </c>
    </row>
    <row r="4041">
      <c r="A4041" s="23">
        <v>11412.0</v>
      </c>
      <c r="B4041" s="24" t="str">
        <f t="array" ref="B4041">xlookup($A4041,product!$A:$A,product!B:B)</f>
        <v>Santé &amp; Bien-être</v>
      </c>
      <c r="C4041" s="24" t="str">
        <f t="array" ref="C4041">xlookup($A4041,product!$A:$A,product!C:C)</f>
        <v>Nez - Gorge - Oreille</v>
      </c>
      <c r="D4041" s="24" t="str">
        <f t="array" ref="D4041">xlookup($A4041,product!$A:$A,product!D:D)</f>
        <v>Respiration</v>
      </c>
      <c r="E4041" s="25" t="str">
        <f t="shared" si="1"/>
        <v>11412-Nez - Gorge - Oreille-Respiration</v>
      </c>
      <c r="F4041" s="25">
        <v>0.0</v>
      </c>
      <c r="G4041" s="25">
        <v>90.0</v>
      </c>
      <c r="H4041" s="25">
        <v>13.0</v>
      </c>
      <c r="I4041" s="26">
        <f t="array" ref="I4041">XLOOKUP($A4041,product!A:A,product!E:E)</f>
        <v>4.44</v>
      </c>
      <c r="J4041" s="25">
        <f t="shared" si="2"/>
        <v>57.72</v>
      </c>
      <c r="K4041" s="27">
        <f t="shared" si="3"/>
        <v>1</v>
      </c>
      <c r="L4041" s="25">
        <f t="shared" si="4"/>
        <v>1</v>
      </c>
    </row>
    <row r="4042">
      <c r="A4042" s="19">
        <v>76842.0</v>
      </c>
      <c r="B4042" s="20" t="str">
        <f t="array" ref="B4042">xlookup($A4042,product!$A:$A,product!B:B)</f>
        <v>Santé &amp; Bien-être</v>
      </c>
      <c r="C4042" s="20" t="str">
        <f t="array" ref="C4042">xlookup($A4042,product!$A:$A,product!C:C)</f>
        <v>Nez - Gorge - Oreille</v>
      </c>
      <c r="D4042" s="20" t="str">
        <f t="array" ref="D4042">xlookup($A4042,product!$A:$A,product!D:D)</f>
        <v>Gorge irritée</v>
      </c>
      <c r="E4042" s="4" t="str">
        <f t="shared" si="1"/>
        <v>76842-Nez - Gorge - Oreille-Gorge irritée</v>
      </c>
      <c r="F4042" s="4">
        <v>1.0</v>
      </c>
      <c r="G4042" s="4">
        <v>876.0</v>
      </c>
      <c r="H4042" s="4">
        <v>20.0</v>
      </c>
      <c r="I4042" s="21">
        <f t="array" ref="I4042">XLOOKUP($A4042,product!A:A,product!E:E)</f>
        <v>4.69</v>
      </c>
      <c r="J4042" s="4">
        <f t="shared" si="2"/>
        <v>93.8</v>
      </c>
      <c r="K4042" s="22">
        <f t="shared" si="3"/>
        <v>1</v>
      </c>
      <c r="L4042" s="4">
        <f t="shared" si="4"/>
        <v>1</v>
      </c>
    </row>
    <row r="4043">
      <c r="A4043" s="23">
        <v>78366.0</v>
      </c>
      <c r="B4043" s="24" t="str">
        <f t="array" ref="B4043">xlookup($A4043,product!$A:$A,product!B:B)</f>
        <v>Santé &amp; Bien-être</v>
      </c>
      <c r="C4043" s="24" t="str">
        <f t="array" ref="C4043">xlookup($A4043,product!$A:$A,product!C:C)</f>
        <v>Nez - Gorge - Oreille</v>
      </c>
      <c r="D4043" s="24" t="str">
        <f t="array" ref="D4043">xlookup($A4043,product!$A:$A,product!D:D)</f>
        <v>Gorge irritée</v>
      </c>
      <c r="E4043" s="25" t="str">
        <f t="shared" si="1"/>
        <v>78366-Nez - Gorge - Oreille-Gorge irritée</v>
      </c>
      <c r="F4043" s="25">
        <v>0.0</v>
      </c>
      <c r="G4043" s="25">
        <v>441.0</v>
      </c>
      <c r="H4043" s="25">
        <v>338.0</v>
      </c>
      <c r="I4043" s="26">
        <f t="array" ref="I4043">XLOOKUP($A4043,product!A:A,product!E:E)</f>
        <v>1.96</v>
      </c>
      <c r="J4043" s="25">
        <f t="shared" si="2"/>
        <v>662.48</v>
      </c>
      <c r="K4043" s="27">
        <f t="shared" si="3"/>
        <v>1</v>
      </c>
      <c r="L4043" s="25">
        <f t="shared" si="4"/>
        <v>1</v>
      </c>
    </row>
    <row r="4044">
      <c r="A4044" s="19">
        <v>98984.0</v>
      </c>
      <c r="B4044" s="20" t="str">
        <f t="array" ref="B4044">xlookup($A4044,product!$A:$A,product!B:B)</f>
        <v>Santé &amp; Bien-être</v>
      </c>
      <c r="C4044" s="20" t="str">
        <f t="array" ref="C4044">xlookup($A4044,product!$A:$A,product!C:C)</f>
        <v>Nez - Gorge - Oreille</v>
      </c>
      <c r="D4044" s="20" t="str">
        <f t="array" ref="D4044">xlookup($A4044,product!$A:$A,product!D:D)</f>
        <v>Gorge irritée</v>
      </c>
      <c r="E4044" s="4" t="str">
        <f t="shared" si="1"/>
        <v>98984-Nez - Gorge - Oreille-Gorge irritée</v>
      </c>
      <c r="F4044" s="4">
        <v>0.0</v>
      </c>
      <c r="G4044" s="4">
        <v>15.0</v>
      </c>
      <c r="H4044" s="4">
        <v>14.0</v>
      </c>
      <c r="I4044" s="21">
        <f t="array" ref="I4044">XLOOKUP($A4044,product!A:A,product!E:E)</f>
        <v>5.35</v>
      </c>
      <c r="J4044" s="4">
        <f t="shared" si="2"/>
        <v>74.9</v>
      </c>
      <c r="K4044" s="22">
        <f t="shared" si="3"/>
        <v>1</v>
      </c>
      <c r="L4044" s="4">
        <f t="shared" si="4"/>
        <v>1</v>
      </c>
    </row>
    <row r="4045">
      <c r="A4045" s="23">
        <v>120310.0</v>
      </c>
      <c r="B4045" s="24" t="str">
        <f t="array" ref="B4045">xlookup($A4045,product!$A:$A,product!B:B)</f>
        <v>Santé &amp; Bien-être</v>
      </c>
      <c r="C4045" s="24" t="str">
        <f t="array" ref="C4045">xlookup($A4045,product!$A:$A,product!C:C)</f>
        <v>Nez - Gorge - Oreille</v>
      </c>
      <c r="D4045" s="24" t="str">
        <f t="array" ref="D4045">xlookup($A4045,product!$A:$A,product!D:D)</f>
        <v>Gorge irritée</v>
      </c>
      <c r="E4045" s="25" t="str">
        <f t="shared" si="1"/>
        <v>120310-Nez - Gorge - Oreille-Gorge irritée</v>
      </c>
      <c r="F4045" s="25">
        <v>0.0</v>
      </c>
      <c r="G4045" s="25">
        <v>80.0</v>
      </c>
      <c r="H4045" s="25">
        <v>51.0</v>
      </c>
      <c r="I4045" s="26">
        <f t="array" ref="I4045">XLOOKUP($A4045,product!A:A,product!E:E)</f>
        <v>2.88</v>
      </c>
      <c r="J4045" s="25">
        <f t="shared" si="2"/>
        <v>146.88</v>
      </c>
      <c r="K4045" s="27">
        <f t="shared" si="3"/>
        <v>1</v>
      </c>
      <c r="L4045" s="25">
        <f t="shared" si="4"/>
        <v>1</v>
      </c>
    </row>
    <row r="4046">
      <c r="A4046" s="19">
        <v>116277.0</v>
      </c>
      <c r="B4046" s="20" t="str">
        <f t="array" ref="B4046">xlookup($A4046,product!$A:$A,product!B:B)</f>
        <v>Santé &amp; Bien-être</v>
      </c>
      <c r="C4046" s="20" t="str">
        <f t="array" ref="C4046">xlookup($A4046,product!$A:$A,product!C:C)</f>
        <v>Nez - Gorge - Oreille</v>
      </c>
      <c r="D4046" s="20" t="str">
        <f t="array" ref="D4046">xlookup($A4046,product!$A:$A,product!D:D)</f>
        <v>Gorge irritée</v>
      </c>
      <c r="E4046" s="4" t="str">
        <f t="shared" si="1"/>
        <v>116277-Nez - Gorge - Oreille-Gorge irritée</v>
      </c>
      <c r="F4046" s="4">
        <v>0.0</v>
      </c>
      <c r="G4046" s="4">
        <v>775.0</v>
      </c>
      <c r="H4046" s="4">
        <v>373.0</v>
      </c>
      <c r="I4046" s="21">
        <f t="array" ref="I4046">XLOOKUP($A4046,product!A:A,product!E:E)</f>
        <v>3.33</v>
      </c>
      <c r="J4046" s="4">
        <f t="shared" si="2"/>
        <v>1242.09</v>
      </c>
      <c r="K4046" s="22">
        <f t="shared" si="3"/>
        <v>1</v>
      </c>
      <c r="L4046" s="4">
        <f t="shared" si="4"/>
        <v>1</v>
      </c>
    </row>
    <row r="4047">
      <c r="A4047" s="23">
        <v>77670.0</v>
      </c>
      <c r="B4047" s="24" t="str">
        <f t="array" ref="B4047">xlookup($A4047,product!$A:$A,product!B:B)</f>
        <v>Santé &amp; Bien-être</v>
      </c>
      <c r="C4047" s="24" t="str">
        <f t="array" ref="C4047">xlookup($A4047,product!$A:$A,product!C:C)</f>
        <v>Nez - Gorge - Oreille</v>
      </c>
      <c r="D4047" s="24" t="str">
        <f t="array" ref="D4047">xlookup($A4047,product!$A:$A,product!D:D)</f>
        <v>Gorge irritée</v>
      </c>
      <c r="E4047" s="25" t="str">
        <f t="shared" si="1"/>
        <v>77670-Nez - Gorge - Oreille-Gorge irritée</v>
      </c>
      <c r="F4047" s="25">
        <v>0.0</v>
      </c>
      <c r="G4047" s="25">
        <v>964.0</v>
      </c>
      <c r="H4047" s="25">
        <v>917.0</v>
      </c>
      <c r="I4047" s="26">
        <f t="array" ref="I4047">XLOOKUP($A4047,product!A:A,product!E:E)</f>
        <v>3.06</v>
      </c>
      <c r="J4047" s="25">
        <f t="shared" si="2"/>
        <v>2806.02</v>
      </c>
      <c r="K4047" s="27">
        <f t="shared" si="3"/>
        <v>1</v>
      </c>
      <c r="L4047" s="25">
        <f t="shared" si="4"/>
        <v>1</v>
      </c>
    </row>
    <row r="4048">
      <c r="A4048" s="19">
        <v>78363.0</v>
      </c>
      <c r="B4048" s="20" t="str">
        <f t="array" ref="B4048">xlookup($A4048,product!$A:$A,product!B:B)</f>
        <v>Santé &amp; Bien-être</v>
      </c>
      <c r="C4048" s="20" t="str">
        <f t="array" ref="C4048">xlookup($A4048,product!$A:$A,product!C:C)</f>
        <v>Nez - Gorge - Oreille</v>
      </c>
      <c r="D4048" s="20" t="str">
        <f t="array" ref="D4048">xlookup($A4048,product!$A:$A,product!D:D)</f>
        <v>Gorge irritée</v>
      </c>
      <c r="E4048" s="4" t="str">
        <f t="shared" si="1"/>
        <v>78363-Nez - Gorge - Oreille-Gorge irritée</v>
      </c>
      <c r="F4048" s="4">
        <v>1.0</v>
      </c>
      <c r="G4048" s="4">
        <v>396.0</v>
      </c>
      <c r="H4048" s="4">
        <v>0.0</v>
      </c>
      <c r="I4048" s="21">
        <f t="array" ref="I4048">XLOOKUP($A4048,product!A:A,product!E:E)</f>
        <v>1.94</v>
      </c>
      <c r="J4048" s="4">
        <f t="shared" si="2"/>
        <v>0</v>
      </c>
      <c r="K4048" s="22">
        <f t="shared" si="3"/>
        <v>0</v>
      </c>
      <c r="L4048" s="4">
        <f t="shared" si="4"/>
        <v>1</v>
      </c>
    </row>
    <row r="4049">
      <c r="A4049" s="23">
        <v>11458.0</v>
      </c>
      <c r="B4049" s="24" t="str">
        <f t="array" ref="B4049">xlookup($A4049,product!$A:$A,product!B:B)</f>
        <v>Santé &amp; Bien-être</v>
      </c>
      <c r="C4049" s="24" t="str">
        <f t="array" ref="C4049">xlookup($A4049,product!$A:$A,product!C:C)</f>
        <v>Nez - Gorge - Oreille</v>
      </c>
      <c r="D4049" s="24" t="str">
        <f t="array" ref="D4049">xlookup($A4049,product!$A:$A,product!D:D)</f>
        <v>Gorge irritée</v>
      </c>
      <c r="E4049" s="25" t="str">
        <f t="shared" si="1"/>
        <v>11458-Nez - Gorge - Oreille-Gorge irritée</v>
      </c>
      <c r="F4049" s="25">
        <v>0.0</v>
      </c>
      <c r="G4049" s="25">
        <v>867.0</v>
      </c>
      <c r="H4049" s="25">
        <v>223.0</v>
      </c>
      <c r="I4049" s="26">
        <f t="array" ref="I4049">XLOOKUP($A4049,product!A:A,product!E:E)</f>
        <v>7.06</v>
      </c>
      <c r="J4049" s="25">
        <f t="shared" si="2"/>
        <v>1574.38</v>
      </c>
      <c r="K4049" s="27">
        <f t="shared" si="3"/>
        <v>1</v>
      </c>
      <c r="L4049" s="25">
        <f t="shared" si="4"/>
        <v>1</v>
      </c>
    </row>
    <row r="4050">
      <c r="A4050" s="19">
        <v>11456.0</v>
      </c>
      <c r="B4050" s="20" t="str">
        <f t="array" ref="B4050">xlookup($A4050,product!$A:$A,product!B:B)</f>
        <v>Santé &amp; Bien-être</v>
      </c>
      <c r="C4050" s="20" t="str">
        <f t="array" ref="C4050">xlookup($A4050,product!$A:$A,product!C:C)</f>
        <v>Nez - Gorge - Oreille</v>
      </c>
      <c r="D4050" s="20" t="str">
        <f t="array" ref="D4050">xlookup($A4050,product!$A:$A,product!D:D)</f>
        <v>Gorge irritée</v>
      </c>
      <c r="E4050" s="4" t="str">
        <f t="shared" si="1"/>
        <v>11456-Nez - Gorge - Oreille-Gorge irritée</v>
      </c>
      <c r="F4050" s="4">
        <v>1.0</v>
      </c>
      <c r="G4050" s="4">
        <v>872.0</v>
      </c>
      <c r="H4050" s="4">
        <v>197.0</v>
      </c>
      <c r="I4050" s="21">
        <f t="array" ref="I4050">XLOOKUP($A4050,product!A:A,product!E:E)</f>
        <v>7.06</v>
      </c>
      <c r="J4050" s="4">
        <f t="shared" si="2"/>
        <v>1390.82</v>
      </c>
      <c r="K4050" s="22">
        <f t="shared" si="3"/>
        <v>1</v>
      </c>
      <c r="L4050" s="4">
        <f t="shared" si="4"/>
        <v>1</v>
      </c>
    </row>
    <row r="4051">
      <c r="A4051" s="23">
        <v>120726.0</v>
      </c>
      <c r="B4051" s="24" t="str">
        <f t="array" ref="B4051">xlookup($A4051,product!$A:$A,product!B:B)</f>
        <v>Santé &amp; Bien-être</v>
      </c>
      <c r="C4051" s="24" t="str">
        <f t="array" ref="C4051">xlookup($A4051,product!$A:$A,product!C:C)</f>
        <v>Nez - Gorge - Oreille</v>
      </c>
      <c r="D4051" s="24" t="str">
        <f t="array" ref="D4051">xlookup($A4051,product!$A:$A,product!D:D)</f>
        <v>Gorge irritée</v>
      </c>
      <c r="E4051" s="25" t="str">
        <f t="shared" si="1"/>
        <v>120726-Nez - Gorge - Oreille-Gorge irritée</v>
      </c>
      <c r="F4051" s="25">
        <v>1.0</v>
      </c>
      <c r="G4051" s="25">
        <v>499.0</v>
      </c>
      <c r="H4051" s="25">
        <v>44.0</v>
      </c>
      <c r="I4051" s="26">
        <f t="array" ref="I4051">XLOOKUP($A4051,product!A:A,product!E:E)</f>
        <v>4.7</v>
      </c>
      <c r="J4051" s="25">
        <f t="shared" si="2"/>
        <v>206.8</v>
      </c>
      <c r="K4051" s="27">
        <f t="shared" si="3"/>
        <v>1</v>
      </c>
      <c r="L4051" s="25">
        <f t="shared" si="4"/>
        <v>1</v>
      </c>
    </row>
    <row r="4052">
      <c r="A4052" s="19">
        <v>11404.0</v>
      </c>
      <c r="B4052" s="20" t="str">
        <f t="array" ref="B4052">xlookup($A4052,product!$A:$A,product!B:B)</f>
        <v>Santé &amp; Bien-être</v>
      </c>
      <c r="C4052" s="20" t="str">
        <f t="array" ref="C4052">xlookup($A4052,product!$A:$A,product!C:C)</f>
        <v>Nez - Gorge - Oreille</v>
      </c>
      <c r="D4052" s="20" t="str">
        <f t="array" ref="D4052">xlookup($A4052,product!$A:$A,product!D:D)</f>
        <v>Gorge irritée</v>
      </c>
      <c r="E4052" s="4" t="str">
        <f t="shared" si="1"/>
        <v>11404-Nez - Gorge - Oreille-Gorge irritée</v>
      </c>
      <c r="F4052" s="4">
        <v>1.0</v>
      </c>
      <c r="G4052" s="4">
        <v>58.0</v>
      </c>
      <c r="H4052" s="4">
        <v>58.0</v>
      </c>
      <c r="I4052" s="21">
        <f t="array" ref="I4052">XLOOKUP($A4052,product!A:A,product!E:E)</f>
        <v>3.88</v>
      </c>
      <c r="J4052" s="4">
        <f t="shared" si="2"/>
        <v>225.04</v>
      </c>
      <c r="K4052" s="22">
        <f t="shared" si="3"/>
        <v>1</v>
      </c>
      <c r="L4052" s="4">
        <f t="shared" si="4"/>
        <v>1</v>
      </c>
    </row>
    <row r="4053">
      <c r="A4053" s="23">
        <v>11408.0</v>
      </c>
      <c r="B4053" s="24" t="str">
        <f t="array" ref="B4053">xlookup($A4053,product!$A:$A,product!B:B)</f>
        <v>Santé &amp; Bien-être</v>
      </c>
      <c r="C4053" s="24" t="str">
        <f t="array" ref="C4053">xlookup($A4053,product!$A:$A,product!C:C)</f>
        <v>Nez - Gorge - Oreille</v>
      </c>
      <c r="D4053" s="24" t="str">
        <f t="array" ref="D4053">xlookup($A4053,product!$A:$A,product!D:D)</f>
        <v>Gorge irritée</v>
      </c>
      <c r="E4053" s="25" t="str">
        <f t="shared" si="1"/>
        <v>11408-Nez - Gorge - Oreille-Gorge irritée</v>
      </c>
      <c r="F4053" s="25">
        <v>0.0</v>
      </c>
      <c r="G4053" s="25">
        <v>717.0</v>
      </c>
      <c r="H4053" s="25">
        <v>249.0</v>
      </c>
      <c r="I4053" s="26">
        <f t="array" ref="I4053">XLOOKUP($A4053,product!A:A,product!E:E)</f>
        <v>5.83</v>
      </c>
      <c r="J4053" s="25">
        <f t="shared" si="2"/>
        <v>1451.67</v>
      </c>
      <c r="K4053" s="27">
        <f t="shared" si="3"/>
        <v>1</v>
      </c>
      <c r="L4053" s="25">
        <f t="shared" si="4"/>
        <v>1</v>
      </c>
    </row>
    <row r="4054">
      <c r="A4054" s="19">
        <v>120708.0</v>
      </c>
      <c r="B4054" s="20" t="str">
        <f t="array" ref="B4054">xlookup($A4054,product!$A:$A,product!B:B)</f>
        <v>Santé &amp; Bien-être</v>
      </c>
      <c r="C4054" s="20" t="str">
        <f t="array" ref="C4054">xlookup($A4054,product!$A:$A,product!C:C)</f>
        <v>Nez - Gorge - Oreille</v>
      </c>
      <c r="D4054" s="20" t="str">
        <f t="array" ref="D4054">xlookup($A4054,product!$A:$A,product!D:D)</f>
        <v>Gorge irritée</v>
      </c>
      <c r="E4054" s="4" t="str">
        <f t="shared" si="1"/>
        <v>120708-Nez - Gorge - Oreille-Gorge irritée</v>
      </c>
      <c r="F4054" s="4">
        <v>1.0</v>
      </c>
      <c r="G4054" s="4">
        <v>456.0</v>
      </c>
      <c r="H4054" s="4">
        <v>290.0</v>
      </c>
      <c r="I4054" s="21">
        <f t="array" ref="I4054">XLOOKUP($A4054,product!A:A,product!E:E)</f>
        <v>2.43</v>
      </c>
      <c r="J4054" s="4">
        <f t="shared" si="2"/>
        <v>704.7</v>
      </c>
      <c r="K4054" s="22">
        <f t="shared" si="3"/>
        <v>1</v>
      </c>
      <c r="L4054" s="4">
        <f t="shared" si="4"/>
        <v>1</v>
      </c>
    </row>
    <row r="4055">
      <c r="A4055" s="23">
        <v>74419.0</v>
      </c>
      <c r="B4055" s="24" t="str">
        <f t="array" ref="B4055">xlookup($A4055,product!$A:$A,product!B:B)</f>
        <v>Santé &amp; Bien-être</v>
      </c>
      <c r="C4055" s="24" t="str">
        <f t="array" ref="C4055">xlookup($A4055,product!$A:$A,product!C:C)</f>
        <v>Nez - Gorge - Oreille</v>
      </c>
      <c r="D4055" s="24" t="str">
        <f t="array" ref="D4055">xlookup($A4055,product!$A:$A,product!D:D)</f>
        <v>Gorge irritée</v>
      </c>
      <c r="E4055" s="25" t="str">
        <f t="shared" si="1"/>
        <v>74419-Nez - Gorge - Oreille-Gorge irritée</v>
      </c>
      <c r="F4055" s="25">
        <v>0.0</v>
      </c>
      <c r="G4055" s="25">
        <v>351.0</v>
      </c>
      <c r="H4055" s="25">
        <v>272.0</v>
      </c>
      <c r="I4055" s="26">
        <f t="array" ref="I4055">XLOOKUP($A4055,product!A:A,product!E:E)</f>
        <v>8.09</v>
      </c>
      <c r="J4055" s="25">
        <f t="shared" si="2"/>
        <v>2200.48</v>
      </c>
      <c r="K4055" s="27">
        <f t="shared" si="3"/>
        <v>1</v>
      </c>
      <c r="L4055" s="25">
        <f t="shared" si="4"/>
        <v>1</v>
      </c>
    </row>
    <row r="4056">
      <c r="A4056" s="19">
        <v>113278.0</v>
      </c>
      <c r="B4056" s="20" t="str">
        <f t="array" ref="B4056">xlookup($A4056,product!$A:$A,product!B:B)</f>
        <v>Santé &amp; Bien-être</v>
      </c>
      <c r="C4056" s="20" t="str">
        <f t="array" ref="C4056">xlookup($A4056,product!$A:$A,product!C:C)</f>
        <v>Nez - Gorge - Oreille</v>
      </c>
      <c r="D4056" s="20" t="str">
        <f t="array" ref="D4056">xlookup($A4056,product!$A:$A,product!D:D)</f>
        <v>Gorge irritée</v>
      </c>
      <c r="E4056" s="4" t="str">
        <f t="shared" si="1"/>
        <v>113278-Nez - Gorge - Oreille-Gorge irritée</v>
      </c>
      <c r="F4056" s="4">
        <v>0.0</v>
      </c>
      <c r="G4056" s="4">
        <v>166.0</v>
      </c>
      <c r="H4056" s="4">
        <v>132.0</v>
      </c>
      <c r="I4056" s="21">
        <f t="array" ref="I4056">XLOOKUP($A4056,product!A:A,product!E:E)</f>
        <v>3.08</v>
      </c>
      <c r="J4056" s="4">
        <f t="shared" si="2"/>
        <v>406.56</v>
      </c>
      <c r="K4056" s="22">
        <f t="shared" si="3"/>
        <v>1</v>
      </c>
      <c r="L4056" s="4">
        <f t="shared" si="4"/>
        <v>1</v>
      </c>
    </row>
    <row r="4057">
      <c r="A4057" s="23">
        <v>83486.0</v>
      </c>
      <c r="B4057" s="24" t="str">
        <f t="array" ref="B4057">xlookup($A4057,product!$A:$A,product!B:B)</f>
        <v>Santé &amp; Bien-être</v>
      </c>
      <c r="C4057" s="24" t="str">
        <f t="array" ref="C4057">xlookup($A4057,product!$A:$A,product!C:C)</f>
        <v>Nez - Gorge - Oreille</v>
      </c>
      <c r="D4057" s="24" t="str">
        <f t="array" ref="D4057">xlookup($A4057,product!$A:$A,product!D:D)</f>
        <v>Gorge irritée</v>
      </c>
      <c r="E4057" s="25" t="str">
        <f t="shared" si="1"/>
        <v>83486-Nez - Gorge - Oreille-Gorge irritée</v>
      </c>
      <c r="F4057" s="25">
        <v>0.0</v>
      </c>
      <c r="G4057" s="25">
        <v>756.0</v>
      </c>
      <c r="H4057" s="25">
        <v>31.0</v>
      </c>
      <c r="I4057" s="26">
        <f t="array" ref="I4057">XLOOKUP($A4057,product!A:A,product!E:E)</f>
        <v>4.06</v>
      </c>
      <c r="J4057" s="25">
        <f t="shared" si="2"/>
        <v>125.86</v>
      </c>
      <c r="K4057" s="27">
        <f t="shared" si="3"/>
        <v>1</v>
      </c>
      <c r="L4057" s="25">
        <f t="shared" si="4"/>
        <v>1</v>
      </c>
    </row>
    <row r="4058">
      <c r="A4058" s="19">
        <v>11452.0</v>
      </c>
      <c r="B4058" s="20" t="str">
        <f t="array" ref="B4058">xlookup($A4058,product!$A:$A,product!B:B)</f>
        <v>Santé &amp; Bien-être</v>
      </c>
      <c r="C4058" s="20" t="str">
        <f t="array" ref="C4058">xlookup($A4058,product!$A:$A,product!C:C)</f>
        <v>Nez - Gorge - Oreille</v>
      </c>
      <c r="D4058" s="20" t="str">
        <f t="array" ref="D4058">xlookup($A4058,product!$A:$A,product!D:D)</f>
        <v>Gorge irritée</v>
      </c>
      <c r="E4058" s="4" t="str">
        <f t="shared" si="1"/>
        <v>11452-Nez - Gorge - Oreille-Gorge irritée</v>
      </c>
      <c r="F4058" s="4">
        <v>1.0</v>
      </c>
      <c r="G4058" s="4">
        <v>313.0</v>
      </c>
      <c r="H4058" s="4">
        <v>137.0</v>
      </c>
      <c r="I4058" s="21">
        <f t="array" ref="I4058">XLOOKUP($A4058,product!A:A,product!E:E)</f>
        <v>5.48</v>
      </c>
      <c r="J4058" s="4">
        <f t="shared" si="2"/>
        <v>750.76</v>
      </c>
      <c r="K4058" s="22">
        <f t="shared" si="3"/>
        <v>1</v>
      </c>
      <c r="L4058" s="4">
        <f t="shared" si="4"/>
        <v>1</v>
      </c>
    </row>
    <row r="4059">
      <c r="A4059" s="23">
        <v>116803.0</v>
      </c>
      <c r="B4059" s="24" t="str">
        <f t="array" ref="B4059">xlookup($A4059,product!$A:$A,product!B:B)</f>
        <v>Santé &amp; Bien-être</v>
      </c>
      <c r="C4059" s="24" t="str">
        <f t="array" ref="C4059">xlookup($A4059,product!$A:$A,product!C:C)</f>
        <v>Nez - Gorge - Oreille</v>
      </c>
      <c r="D4059" s="24" t="str">
        <f t="array" ref="D4059">xlookup($A4059,product!$A:$A,product!D:D)</f>
        <v>Gorge irritée</v>
      </c>
      <c r="E4059" s="25" t="str">
        <f t="shared" si="1"/>
        <v>116803-Nez - Gorge - Oreille-Gorge irritée</v>
      </c>
      <c r="F4059" s="25">
        <v>1.0</v>
      </c>
      <c r="G4059" s="25">
        <v>594.0</v>
      </c>
      <c r="H4059" s="25">
        <v>324.0</v>
      </c>
      <c r="I4059" s="26">
        <f t="array" ref="I4059">XLOOKUP($A4059,product!A:A,product!E:E)</f>
        <v>2.43</v>
      </c>
      <c r="J4059" s="25">
        <f t="shared" si="2"/>
        <v>787.32</v>
      </c>
      <c r="K4059" s="27">
        <f t="shared" si="3"/>
        <v>1</v>
      </c>
      <c r="L4059" s="25">
        <f t="shared" si="4"/>
        <v>1</v>
      </c>
    </row>
    <row r="4060">
      <c r="A4060" s="19">
        <v>77657.0</v>
      </c>
      <c r="B4060" s="20" t="str">
        <f t="array" ref="B4060">xlookup($A4060,product!$A:$A,product!B:B)</f>
        <v>Santé &amp; Bien-être</v>
      </c>
      <c r="C4060" s="20" t="str">
        <f t="array" ref="C4060">xlookup($A4060,product!$A:$A,product!C:C)</f>
        <v>Nez - Gorge - Oreille</v>
      </c>
      <c r="D4060" s="20" t="str">
        <f t="array" ref="D4060">xlookup($A4060,product!$A:$A,product!D:D)</f>
        <v>Gorge irritée</v>
      </c>
      <c r="E4060" s="4" t="str">
        <f t="shared" si="1"/>
        <v>77657-Nez - Gorge - Oreille-Gorge irritée</v>
      </c>
      <c r="F4060" s="4">
        <v>1.0</v>
      </c>
      <c r="G4060" s="4">
        <v>792.0</v>
      </c>
      <c r="H4060" s="4">
        <v>403.0</v>
      </c>
      <c r="I4060" s="21">
        <f t="array" ref="I4060">XLOOKUP($A4060,product!A:A,product!E:E)</f>
        <v>5.16</v>
      </c>
      <c r="J4060" s="4">
        <f t="shared" si="2"/>
        <v>2079.48</v>
      </c>
      <c r="K4060" s="22">
        <f t="shared" si="3"/>
        <v>1</v>
      </c>
      <c r="L4060" s="4">
        <f t="shared" si="4"/>
        <v>1</v>
      </c>
    </row>
    <row r="4061">
      <c r="A4061" s="23">
        <v>120309.0</v>
      </c>
      <c r="B4061" s="24" t="str">
        <f t="array" ref="B4061">xlookup($A4061,product!$A:$A,product!B:B)</f>
        <v>Santé &amp; Bien-être</v>
      </c>
      <c r="C4061" s="24" t="str">
        <f t="array" ref="C4061">xlookup($A4061,product!$A:$A,product!C:C)</f>
        <v>Nez - Gorge - Oreille</v>
      </c>
      <c r="D4061" s="24" t="str">
        <f t="array" ref="D4061">xlookup($A4061,product!$A:$A,product!D:D)</f>
        <v>Gorge irritée</v>
      </c>
      <c r="E4061" s="25" t="str">
        <f t="shared" si="1"/>
        <v>120309-Nez - Gorge - Oreille-Gorge irritée</v>
      </c>
      <c r="F4061" s="25">
        <v>0.0</v>
      </c>
      <c r="G4061" s="25">
        <v>503.0</v>
      </c>
      <c r="H4061" s="25">
        <v>113.0</v>
      </c>
      <c r="I4061" s="26">
        <f t="array" ref="I4061">XLOOKUP($A4061,product!A:A,product!E:E)</f>
        <v>6.08</v>
      </c>
      <c r="J4061" s="25">
        <f t="shared" si="2"/>
        <v>687.04</v>
      </c>
      <c r="K4061" s="27">
        <f t="shared" si="3"/>
        <v>1</v>
      </c>
      <c r="L4061" s="25">
        <f t="shared" si="4"/>
        <v>1</v>
      </c>
    </row>
    <row r="4062">
      <c r="A4062" s="19">
        <v>116276.0</v>
      </c>
      <c r="B4062" s="20" t="str">
        <f t="array" ref="B4062">xlookup($A4062,product!$A:$A,product!B:B)</f>
        <v>Santé &amp; Bien-être</v>
      </c>
      <c r="C4062" s="20" t="str">
        <f t="array" ref="C4062">xlookup($A4062,product!$A:$A,product!C:C)</f>
        <v>Nez - Gorge - Oreille</v>
      </c>
      <c r="D4062" s="20" t="str">
        <f t="array" ref="D4062">xlookup($A4062,product!$A:$A,product!D:D)</f>
        <v>Gorge irritée</v>
      </c>
      <c r="E4062" s="4" t="str">
        <f t="shared" si="1"/>
        <v>116276-Nez - Gorge - Oreille-Gorge irritée</v>
      </c>
      <c r="F4062" s="4">
        <v>1.0</v>
      </c>
      <c r="G4062" s="4">
        <v>774.0</v>
      </c>
      <c r="H4062" s="4">
        <v>567.0</v>
      </c>
      <c r="I4062" s="21">
        <f t="array" ref="I4062">XLOOKUP($A4062,product!A:A,product!E:E)</f>
        <v>3.08</v>
      </c>
      <c r="J4062" s="4">
        <f t="shared" si="2"/>
        <v>1746.36</v>
      </c>
      <c r="K4062" s="22">
        <f t="shared" si="3"/>
        <v>1</v>
      </c>
      <c r="L4062" s="4">
        <f t="shared" si="4"/>
        <v>1</v>
      </c>
    </row>
    <row r="4063">
      <c r="A4063" s="23">
        <v>104623.0</v>
      </c>
      <c r="B4063" s="24" t="str">
        <f t="array" ref="B4063">xlookup($A4063,product!$A:$A,product!B:B)</f>
        <v>Santé &amp; Bien-être</v>
      </c>
      <c r="C4063" s="24" t="str">
        <f t="array" ref="C4063">xlookup($A4063,product!$A:$A,product!C:C)</f>
        <v>Nez - Gorge - Oreille</v>
      </c>
      <c r="D4063" s="24" t="str">
        <f t="array" ref="D4063">xlookup($A4063,product!$A:$A,product!D:D)</f>
        <v>Gorge irritée</v>
      </c>
      <c r="E4063" s="25" t="str">
        <f t="shared" si="1"/>
        <v>104623-Nez - Gorge - Oreille-Gorge irritée</v>
      </c>
      <c r="F4063" s="25">
        <v>0.0</v>
      </c>
      <c r="G4063" s="25">
        <v>430.0</v>
      </c>
      <c r="H4063" s="25">
        <v>301.0</v>
      </c>
      <c r="I4063" s="26">
        <f t="array" ref="I4063">XLOOKUP($A4063,product!A:A,product!E:E)</f>
        <v>2.68</v>
      </c>
      <c r="J4063" s="25">
        <f t="shared" si="2"/>
        <v>806.68</v>
      </c>
      <c r="K4063" s="27">
        <f t="shared" si="3"/>
        <v>1</v>
      </c>
      <c r="L4063" s="25">
        <f t="shared" si="4"/>
        <v>1</v>
      </c>
    </row>
    <row r="4064">
      <c r="A4064" s="19">
        <v>78364.0</v>
      </c>
      <c r="B4064" s="20" t="str">
        <f t="array" ref="B4064">xlookup($A4064,product!$A:$A,product!B:B)</f>
        <v>Santé &amp; Bien-être</v>
      </c>
      <c r="C4064" s="20" t="str">
        <f t="array" ref="C4064">xlookup($A4064,product!$A:$A,product!C:C)</f>
        <v>Nez - Gorge - Oreille</v>
      </c>
      <c r="D4064" s="20" t="str">
        <f t="array" ref="D4064">xlookup($A4064,product!$A:$A,product!D:D)</f>
        <v>Gorge irritée</v>
      </c>
      <c r="E4064" s="4" t="str">
        <f t="shared" si="1"/>
        <v>78364-Nez - Gorge - Oreille-Gorge irritée</v>
      </c>
      <c r="F4064" s="4">
        <v>0.0</v>
      </c>
      <c r="G4064" s="4">
        <v>973.0</v>
      </c>
      <c r="H4064" s="4">
        <v>200.0</v>
      </c>
      <c r="I4064" s="21">
        <f t="array" ref="I4064">XLOOKUP($A4064,product!A:A,product!E:E)</f>
        <v>1.94</v>
      </c>
      <c r="J4064" s="4">
        <f t="shared" si="2"/>
        <v>388</v>
      </c>
      <c r="K4064" s="22">
        <f t="shared" si="3"/>
        <v>1</v>
      </c>
      <c r="L4064" s="4">
        <f t="shared" si="4"/>
        <v>1</v>
      </c>
    </row>
    <row r="4065">
      <c r="A4065" s="23">
        <v>76837.0</v>
      </c>
      <c r="B4065" s="24" t="str">
        <f t="array" ref="B4065">xlookup($A4065,product!$A:$A,product!B:B)</f>
        <v>Santé &amp; Bien-être</v>
      </c>
      <c r="C4065" s="24" t="str">
        <f t="array" ref="C4065">xlookup($A4065,product!$A:$A,product!C:C)</f>
        <v>Nez - Gorge - Oreille</v>
      </c>
      <c r="D4065" s="24" t="str">
        <f t="array" ref="D4065">xlookup($A4065,product!$A:$A,product!D:D)</f>
        <v>Gorge irritée</v>
      </c>
      <c r="E4065" s="25" t="str">
        <f t="shared" si="1"/>
        <v>76837-Nez - Gorge - Oreille-Gorge irritée</v>
      </c>
      <c r="F4065" s="25">
        <v>1.0</v>
      </c>
      <c r="G4065" s="25">
        <v>722.0</v>
      </c>
      <c r="H4065" s="25">
        <v>715.0</v>
      </c>
      <c r="I4065" s="26">
        <f t="array" ref="I4065">XLOOKUP($A4065,product!A:A,product!E:E)</f>
        <v>2.17</v>
      </c>
      <c r="J4065" s="25">
        <f t="shared" si="2"/>
        <v>1551.55</v>
      </c>
      <c r="K4065" s="27">
        <f t="shared" si="3"/>
        <v>1</v>
      </c>
      <c r="L4065" s="25">
        <f t="shared" si="4"/>
        <v>1</v>
      </c>
    </row>
    <row r="4066">
      <c r="A4066" s="19">
        <v>82873.0</v>
      </c>
      <c r="B4066" s="20" t="str">
        <f t="array" ref="B4066">xlookup($A4066,product!$A:$A,product!B:B)</f>
        <v>Santé &amp; Bien-être</v>
      </c>
      <c r="C4066" s="20" t="str">
        <f t="array" ref="C4066">xlookup($A4066,product!$A:$A,product!C:C)</f>
        <v>Nez - Gorge - Oreille</v>
      </c>
      <c r="D4066" s="20" t="str">
        <f t="array" ref="D4066">xlookup($A4066,product!$A:$A,product!D:D)</f>
        <v>Hygiène du nez</v>
      </c>
      <c r="E4066" s="4" t="str">
        <f t="shared" si="1"/>
        <v>82873-Nez - Gorge - Oreille-Hygiène du nez</v>
      </c>
      <c r="F4066" s="4">
        <v>1.0</v>
      </c>
      <c r="G4066" s="4">
        <v>227.0</v>
      </c>
      <c r="H4066" s="4">
        <v>126.0</v>
      </c>
      <c r="I4066" s="21">
        <f t="array" ref="I4066">XLOOKUP($A4066,product!A:A,product!E:E)</f>
        <v>5.32</v>
      </c>
      <c r="J4066" s="4">
        <f t="shared" si="2"/>
        <v>670.32</v>
      </c>
      <c r="K4066" s="22">
        <f t="shared" si="3"/>
        <v>1</v>
      </c>
      <c r="L4066" s="4">
        <f t="shared" si="4"/>
        <v>1</v>
      </c>
    </row>
    <row r="4067">
      <c r="A4067" s="23">
        <v>110341.0</v>
      </c>
      <c r="B4067" s="24" t="str">
        <f t="array" ref="B4067">xlookup($A4067,product!$A:$A,product!B:B)</f>
        <v>Santé &amp; Bien-être</v>
      </c>
      <c r="C4067" s="24" t="str">
        <f t="array" ref="C4067">xlookup($A4067,product!$A:$A,product!C:C)</f>
        <v>Nez - Gorge - Oreille</v>
      </c>
      <c r="D4067" s="24" t="str">
        <f t="array" ref="D4067">xlookup($A4067,product!$A:$A,product!D:D)</f>
        <v>Hygiène du nez</v>
      </c>
      <c r="E4067" s="25" t="str">
        <f t="shared" si="1"/>
        <v>110341-Nez - Gorge - Oreille-Hygiène du nez</v>
      </c>
      <c r="F4067" s="25">
        <v>1.0</v>
      </c>
      <c r="G4067" s="25">
        <v>221.0</v>
      </c>
      <c r="H4067" s="25">
        <v>106.0</v>
      </c>
      <c r="I4067" s="26">
        <f t="array" ref="I4067">XLOOKUP($A4067,product!A:A,product!E:E)</f>
        <v>6.4</v>
      </c>
      <c r="J4067" s="25">
        <f t="shared" si="2"/>
        <v>678.4</v>
      </c>
      <c r="K4067" s="27">
        <f t="shared" si="3"/>
        <v>1</v>
      </c>
      <c r="L4067" s="25">
        <f t="shared" si="4"/>
        <v>1</v>
      </c>
    </row>
    <row r="4068">
      <c r="A4068" s="19">
        <v>76874.0</v>
      </c>
      <c r="B4068" s="20" t="str">
        <f t="array" ref="B4068">xlookup($A4068,product!$A:$A,product!B:B)</f>
        <v>Santé &amp; Bien-être</v>
      </c>
      <c r="C4068" s="20" t="str">
        <f t="array" ref="C4068">xlookup($A4068,product!$A:$A,product!C:C)</f>
        <v>Nez - Gorge - Oreille</v>
      </c>
      <c r="D4068" s="20" t="str">
        <f t="array" ref="D4068">xlookup($A4068,product!$A:$A,product!D:D)</f>
        <v>Hygiène du nez</v>
      </c>
      <c r="E4068" s="4" t="str">
        <f t="shared" si="1"/>
        <v>76874-Nez - Gorge - Oreille-Hygiène du nez</v>
      </c>
      <c r="F4068" s="4">
        <v>1.0</v>
      </c>
      <c r="G4068" s="4">
        <v>3.0</v>
      </c>
      <c r="H4068" s="4">
        <v>2.0</v>
      </c>
      <c r="I4068" s="21">
        <f t="array" ref="I4068">XLOOKUP($A4068,product!A:A,product!E:E)</f>
        <v>3.67</v>
      </c>
      <c r="J4068" s="4">
        <f t="shared" si="2"/>
        <v>7.34</v>
      </c>
      <c r="K4068" s="22">
        <f t="shared" si="3"/>
        <v>1</v>
      </c>
      <c r="L4068" s="4">
        <f t="shared" si="4"/>
        <v>1</v>
      </c>
    </row>
    <row r="4069">
      <c r="A4069" s="23">
        <v>110340.0</v>
      </c>
      <c r="B4069" s="24" t="str">
        <f t="array" ref="B4069">xlookup($A4069,product!$A:$A,product!B:B)</f>
        <v>Santé &amp; Bien-être</v>
      </c>
      <c r="C4069" s="24" t="str">
        <f t="array" ref="C4069">xlookup($A4069,product!$A:$A,product!C:C)</f>
        <v>Nez - Gorge - Oreille</v>
      </c>
      <c r="D4069" s="24" t="str">
        <f t="array" ref="D4069">xlookup($A4069,product!$A:$A,product!D:D)</f>
        <v>Hygiène du nez</v>
      </c>
      <c r="E4069" s="25" t="str">
        <f t="shared" si="1"/>
        <v>110340-Nez - Gorge - Oreille-Hygiène du nez</v>
      </c>
      <c r="F4069" s="25">
        <v>1.0</v>
      </c>
      <c r="G4069" s="25">
        <v>433.0</v>
      </c>
      <c r="H4069" s="25">
        <v>348.0</v>
      </c>
      <c r="I4069" s="26">
        <f t="array" ref="I4069">XLOOKUP($A4069,product!A:A,product!E:E)</f>
        <v>6.4</v>
      </c>
      <c r="J4069" s="25">
        <f t="shared" si="2"/>
        <v>2227.2</v>
      </c>
      <c r="K4069" s="27">
        <f t="shared" si="3"/>
        <v>1</v>
      </c>
      <c r="L4069" s="25">
        <f t="shared" si="4"/>
        <v>1</v>
      </c>
    </row>
    <row r="4070">
      <c r="A4070" s="19">
        <v>44409.0</v>
      </c>
      <c r="B4070" s="20" t="str">
        <f t="array" ref="B4070">xlookup($A4070,product!$A:$A,product!B:B)</f>
        <v>Santé &amp; Bien-être</v>
      </c>
      <c r="C4070" s="20" t="str">
        <f t="array" ref="C4070">xlookup($A4070,product!$A:$A,product!C:C)</f>
        <v>Nez - Gorge - Oreille</v>
      </c>
      <c r="D4070" s="20" t="str">
        <f t="array" ref="D4070">xlookup($A4070,product!$A:$A,product!D:D)</f>
        <v>Hygiène du nez</v>
      </c>
      <c r="E4070" s="4" t="str">
        <f t="shared" si="1"/>
        <v>44409-Nez - Gorge - Oreille-Hygiène du nez</v>
      </c>
      <c r="F4070" s="4">
        <v>0.0</v>
      </c>
      <c r="G4070" s="4">
        <v>822.0</v>
      </c>
      <c r="H4070" s="4">
        <v>505.0</v>
      </c>
      <c r="I4070" s="21">
        <f t="array" ref="I4070">XLOOKUP($A4070,product!A:A,product!E:E)</f>
        <v>5.42</v>
      </c>
      <c r="J4070" s="4">
        <f t="shared" si="2"/>
        <v>2737.1</v>
      </c>
      <c r="K4070" s="22">
        <f t="shared" si="3"/>
        <v>1</v>
      </c>
      <c r="L4070" s="4">
        <f t="shared" si="4"/>
        <v>1</v>
      </c>
    </row>
    <row r="4071">
      <c r="A4071" s="23">
        <v>73831.0</v>
      </c>
      <c r="B4071" s="24" t="str">
        <f t="array" ref="B4071">xlookup($A4071,product!$A:$A,product!B:B)</f>
        <v>Santé &amp; Bien-être</v>
      </c>
      <c r="C4071" s="24" t="str">
        <f t="array" ref="C4071">xlookup($A4071,product!$A:$A,product!C:C)</f>
        <v>Nez - Gorge - Oreille</v>
      </c>
      <c r="D4071" s="24" t="str">
        <f t="array" ref="D4071">xlookup($A4071,product!$A:$A,product!D:D)</f>
        <v>Hygiène du nez</v>
      </c>
      <c r="E4071" s="25" t="str">
        <f t="shared" si="1"/>
        <v>73831-Nez - Gorge - Oreille-Hygiène du nez</v>
      </c>
      <c r="F4071" s="25">
        <v>1.0</v>
      </c>
      <c r="G4071" s="25">
        <v>138.0</v>
      </c>
      <c r="H4071" s="25">
        <v>117.0</v>
      </c>
      <c r="I4071" s="26">
        <f t="array" ref="I4071">XLOOKUP($A4071,product!A:A,product!E:E)</f>
        <v>6.4</v>
      </c>
      <c r="J4071" s="25">
        <f t="shared" si="2"/>
        <v>748.8</v>
      </c>
      <c r="K4071" s="27">
        <f t="shared" si="3"/>
        <v>1</v>
      </c>
      <c r="L4071" s="25">
        <f t="shared" si="4"/>
        <v>1</v>
      </c>
    </row>
    <row r="4072">
      <c r="A4072" s="19">
        <v>79035.0</v>
      </c>
      <c r="B4072" s="20" t="str">
        <f t="array" ref="B4072">xlookup($A4072,product!$A:$A,product!B:B)</f>
        <v>Santé &amp; Bien-être</v>
      </c>
      <c r="C4072" s="20" t="str">
        <f t="array" ref="C4072">xlookup($A4072,product!$A:$A,product!C:C)</f>
        <v>Nez - Gorge - Oreille</v>
      </c>
      <c r="D4072" s="20" t="str">
        <f t="array" ref="D4072">xlookup($A4072,product!$A:$A,product!D:D)</f>
        <v>Hygiène de l'oreille</v>
      </c>
      <c r="E4072" s="4" t="str">
        <f t="shared" si="1"/>
        <v>79035-Nez - Gorge - Oreille-Hygiène de l'oreille</v>
      </c>
      <c r="F4072" s="4">
        <v>0.0</v>
      </c>
      <c r="G4072" s="4">
        <v>965.0</v>
      </c>
      <c r="H4072" s="4">
        <v>63.0</v>
      </c>
      <c r="I4072" s="21">
        <f t="array" ref="I4072">XLOOKUP($A4072,product!A:A,product!E:E)</f>
        <v>11.88</v>
      </c>
      <c r="J4072" s="4">
        <f t="shared" si="2"/>
        <v>748.44</v>
      </c>
      <c r="K4072" s="22">
        <f t="shared" si="3"/>
        <v>1</v>
      </c>
      <c r="L4072" s="4">
        <f t="shared" si="4"/>
        <v>1</v>
      </c>
    </row>
    <row r="4073">
      <c r="A4073" s="23">
        <v>94951.0</v>
      </c>
      <c r="B4073" s="24" t="str">
        <f t="array" ref="B4073">xlookup($A4073,product!$A:$A,product!B:B)</f>
        <v>Santé &amp; Bien-être</v>
      </c>
      <c r="C4073" s="24" t="str">
        <f t="array" ref="C4073">xlookup($A4073,product!$A:$A,product!C:C)</f>
        <v>Nez - Gorge - Oreille</v>
      </c>
      <c r="D4073" s="24" t="str">
        <f t="array" ref="D4073">xlookup($A4073,product!$A:$A,product!D:D)</f>
        <v>Hygiène de l'oreille</v>
      </c>
      <c r="E4073" s="25" t="str">
        <f t="shared" si="1"/>
        <v>94951-Nez - Gorge - Oreille-Hygiène de l'oreille</v>
      </c>
      <c r="F4073" s="25">
        <v>1.0</v>
      </c>
      <c r="G4073" s="25">
        <v>400.0</v>
      </c>
      <c r="H4073" s="25">
        <v>25.0</v>
      </c>
      <c r="I4073" s="26">
        <f t="array" ref="I4073">XLOOKUP($A4073,product!A:A,product!E:E)</f>
        <v>3.51</v>
      </c>
      <c r="J4073" s="25">
        <f t="shared" si="2"/>
        <v>87.75</v>
      </c>
      <c r="K4073" s="27">
        <f t="shared" si="3"/>
        <v>1</v>
      </c>
      <c r="L4073" s="25">
        <f t="shared" si="4"/>
        <v>1</v>
      </c>
    </row>
    <row r="4074">
      <c r="A4074" s="19">
        <v>22248.0</v>
      </c>
      <c r="B4074" s="20" t="str">
        <f t="array" ref="B4074">xlookup($A4074,product!$A:$A,product!B:B)</f>
        <v>Extérieur</v>
      </c>
      <c r="C4074" s="20" t="str">
        <f t="array" ref="C4074">xlookup($A4074,product!$A:$A,product!C:C)</f>
        <v>Peinture et Bricolage</v>
      </c>
      <c r="D4074" s="20" t="str">
        <f t="array" ref="D4074">xlookup($A4074,product!$A:$A,product!D:D)</f>
        <v/>
      </c>
      <c r="E4074" s="4" t="str">
        <f t="shared" si="1"/>
        <v>22248-Peinture et Bricolage-</v>
      </c>
      <c r="F4074" s="4">
        <v>1.0</v>
      </c>
      <c r="G4074" s="4">
        <v>1.0</v>
      </c>
      <c r="H4074" s="4">
        <v>0.0</v>
      </c>
      <c r="I4074" s="21">
        <f t="array" ref="I4074">XLOOKUP($A4074,product!A:A,product!E:E)</f>
        <v>8.47</v>
      </c>
      <c r="J4074" s="4">
        <f t="shared" si="2"/>
        <v>0</v>
      </c>
      <c r="K4074" s="22">
        <f t="shared" si="3"/>
        <v>0</v>
      </c>
      <c r="L4074" s="4">
        <f t="shared" si="4"/>
        <v>1</v>
      </c>
    </row>
    <row r="4075">
      <c r="A4075" s="23">
        <v>16088.0</v>
      </c>
      <c r="B4075" s="24" t="str">
        <f t="array" ref="B4075">xlookup($A4075,product!$A:$A,product!B:B)</f>
        <v>Extérieur</v>
      </c>
      <c r="C4075" s="24" t="str">
        <f t="array" ref="C4075">xlookup($A4075,product!$A:$A,product!C:C)</f>
        <v>Peinture et Bricolage</v>
      </c>
      <c r="D4075" s="24" t="str">
        <f t="array" ref="D4075">xlookup($A4075,product!$A:$A,product!D:D)</f>
        <v/>
      </c>
      <c r="E4075" s="25" t="str">
        <f t="shared" si="1"/>
        <v>16088-Peinture et Bricolage-</v>
      </c>
      <c r="F4075" s="25">
        <v>1.0</v>
      </c>
      <c r="G4075" s="25">
        <v>710.0</v>
      </c>
      <c r="H4075" s="25">
        <v>155.0</v>
      </c>
      <c r="I4075" s="26">
        <f t="array" ref="I4075">XLOOKUP($A4075,product!A:A,product!E:E)</f>
        <v>9.72</v>
      </c>
      <c r="J4075" s="25">
        <f t="shared" si="2"/>
        <v>1506.6</v>
      </c>
      <c r="K4075" s="27">
        <f t="shared" si="3"/>
        <v>1</v>
      </c>
      <c r="L4075" s="25">
        <f t="shared" si="4"/>
        <v>1</v>
      </c>
    </row>
    <row r="4076">
      <c r="A4076" s="19">
        <v>10571.0</v>
      </c>
      <c r="B4076" s="20" t="str">
        <f t="array" ref="B4076">xlookup($A4076,product!$A:$A,product!B:B)</f>
        <v>Epicerie sucrée</v>
      </c>
      <c r="C4076" s="20" t="str">
        <f t="array" ref="C4076">xlookup($A4076,product!$A:$A,product!C:C)</f>
        <v>Purée de fruits secs</v>
      </c>
      <c r="D4076" s="20" t="str">
        <f t="array" ref="D4076">xlookup($A4076,product!$A:$A,product!D:D)</f>
        <v>Purée d'amande</v>
      </c>
      <c r="E4076" s="4" t="str">
        <f t="shared" si="1"/>
        <v>10571-Purée de fruits secs-Purée d'amande</v>
      </c>
      <c r="F4076" s="4">
        <v>1.0</v>
      </c>
      <c r="G4076" s="4">
        <v>913.0</v>
      </c>
      <c r="H4076" s="4">
        <v>506.0</v>
      </c>
      <c r="I4076" s="21">
        <f t="array" ref="I4076">XLOOKUP($A4076,product!A:A,product!E:E)</f>
        <v>6.65</v>
      </c>
      <c r="J4076" s="4">
        <f t="shared" si="2"/>
        <v>3364.9</v>
      </c>
      <c r="K4076" s="22">
        <f t="shared" si="3"/>
        <v>1</v>
      </c>
      <c r="L4076" s="4">
        <f t="shared" si="4"/>
        <v>1</v>
      </c>
    </row>
    <row r="4077">
      <c r="A4077" s="23">
        <v>182012.0</v>
      </c>
      <c r="B4077" s="24" t="str">
        <f t="array" ref="B4077">xlookup($A4077,product!$A:$A,product!B:B)</f>
        <v>Epicerie sucrée</v>
      </c>
      <c r="C4077" s="24" t="str">
        <f t="array" ref="C4077">xlookup($A4077,product!$A:$A,product!C:C)</f>
        <v>Purée de fruits secs</v>
      </c>
      <c r="D4077" s="24" t="str">
        <f t="array" ref="D4077">xlookup($A4077,product!$A:$A,product!D:D)</f>
        <v>Purée d'amande</v>
      </c>
      <c r="E4077" s="25" t="str">
        <f t="shared" si="1"/>
        <v>182012-Purée de fruits secs-Purée d'amande</v>
      </c>
      <c r="F4077" s="25">
        <v>1.0</v>
      </c>
      <c r="G4077" s="25">
        <v>322.0</v>
      </c>
      <c r="H4077" s="25">
        <v>52.0</v>
      </c>
      <c r="I4077" s="26">
        <f t="array" ref="I4077">XLOOKUP($A4077,product!A:A,product!E:E)</f>
        <v>5.44</v>
      </c>
      <c r="J4077" s="25">
        <f t="shared" si="2"/>
        <v>282.88</v>
      </c>
      <c r="K4077" s="27">
        <f t="shared" si="3"/>
        <v>1</v>
      </c>
      <c r="L4077" s="25">
        <f t="shared" si="4"/>
        <v>1</v>
      </c>
    </row>
    <row r="4078">
      <c r="A4078" s="19">
        <v>182013.0</v>
      </c>
      <c r="B4078" s="20" t="str">
        <f t="array" ref="B4078">xlookup($A4078,product!$A:$A,product!B:B)</f>
        <v>Epicerie sucrée</v>
      </c>
      <c r="C4078" s="20" t="str">
        <f t="array" ref="C4078">xlookup($A4078,product!$A:$A,product!C:C)</f>
        <v>Purée de fruits secs</v>
      </c>
      <c r="D4078" s="20" t="str">
        <f t="array" ref="D4078">xlookup($A4078,product!$A:$A,product!D:D)</f>
        <v>Purée d'amande</v>
      </c>
      <c r="E4078" s="4" t="str">
        <f t="shared" si="1"/>
        <v>182013-Purée de fruits secs-Purée d'amande</v>
      </c>
      <c r="F4078" s="4">
        <v>1.0</v>
      </c>
      <c r="G4078" s="4">
        <v>488.0</v>
      </c>
      <c r="H4078" s="4">
        <v>485.0</v>
      </c>
      <c r="I4078" s="21">
        <f t="array" ref="I4078">XLOOKUP($A4078,product!A:A,product!E:E)</f>
        <v>10.05</v>
      </c>
      <c r="J4078" s="4">
        <f t="shared" si="2"/>
        <v>4874.25</v>
      </c>
      <c r="K4078" s="22">
        <f t="shared" si="3"/>
        <v>1</v>
      </c>
      <c r="L4078" s="4">
        <f t="shared" si="4"/>
        <v>1</v>
      </c>
    </row>
    <row r="4079">
      <c r="A4079" s="23">
        <v>107400.0</v>
      </c>
      <c r="B4079" s="24" t="str">
        <f t="array" ref="B4079">xlookup($A4079,product!$A:$A,product!B:B)</f>
        <v>Epicerie sucrée</v>
      </c>
      <c r="C4079" s="24" t="str">
        <f t="array" ref="C4079">xlookup($A4079,product!$A:$A,product!C:C)</f>
        <v>Purée de fruits secs</v>
      </c>
      <c r="D4079" s="24" t="str">
        <f t="array" ref="D4079">xlookup($A4079,product!$A:$A,product!D:D)</f>
        <v>Purée d'amande</v>
      </c>
      <c r="E4079" s="25" t="str">
        <f t="shared" si="1"/>
        <v>107400-Purée de fruits secs-Purée d'amande</v>
      </c>
      <c r="F4079" s="25">
        <v>0.0</v>
      </c>
      <c r="G4079" s="25">
        <v>258.0</v>
      </c>
      <c r="H4079" s="25">
        <v>135.0</v>
      </c>
      <c r="I4079" s="26">
        <f t="array" ref="I4079">XLOOKUP($A4079,product!A:A,product!E:E)</f>
        <v>4.65</v>
      </c>
      <c r="J4079" s="25">
        <f t="shared" si="2"/>
        <v>627.75</v>
      </c>
      <c r="K4079" s="27">
        <f t="shared" si="3"/>
        <v>1</v>
      </c>
      <c r="L4079" s="25">
        <f t="shared" si="4"/>
        <v>1</v>
      </c>
    </row>
    <row r="4080">
      <c r="A4080" s="19">
        <v>48623.0</v>
      </c>
      <c r="B4080" s="20" t="str">
        <f t="array" ref="B4080">xlookup($A4080,product!$A:$A,product!B:B)</f>
        <v>Epicerie sucrée</v>
      </c>
      <c r="C4080" s="20" t="str">
        <f t="array" ref="C4080">xlookup($A4080,product!$A:$A,product!C:C)</f>
        <v>Purée de fruits secs</v>
      </c>
      <c r="D4080" s="20" t="str">
        <f t="array" ref="D4080">xlookup($A4080,product!$A:$A,product!D:D)</f>
        <v>Purée d'amande</v>
      </c>
      <c r="E4080" s="4" t="str">
        <f t="shared" si="1"/>
        <v>48623-Purée de fruits secs-Purée d'amande</v>
      </c>
      <c r="F4080" s="4">
        <v>0.0</v>
      </c>
      <c r="G4080" s="4">
        <v>382.0</v>
      </c>
      <c r="H4080" s="4">
        <v>127.0</v>
      </c>
      <c r="I4080" s="21">
        <f t="array" ref="I4080">XLOOKUP($A4080,product!A:A,product!E:E)</f>
        <v>13.41</v>
      </c>
      <c r="J4080" s="4">
        <f t="shared" si="2"/>
        <v>1703.07</v>
      </c>
      <c r="K4080" s="22">
        <f t="shared" si="3"/>
        <v>1</v>
      </c>
      <c r="L4080" s="4">
        <f t="shared" si="4"/>
        <v>1</v>
      </c>
    </row>
    <row r="4081">
      <c r="A4081" s="23">
        <v>48616.0</v>
      </c>
      <c r="B4081" s="24" t="str">
        <f t="array" ref="B4081">xlookup($A4081,product!$A:$A,product!B:B)</f>
        <v>Epicerie sucrée</v>
      </c>
      <c r="C4081" s="24" t="str">
        <f t="array" ref="C4081">xlookup($A4081,product!$A:$A,product!C:C)</f>
        <v>Purée de fruits secs</v>
      </c>
      <c r="D4081" s="24" t="str">
        <f t="array" ref="D4081">xlookup($A4081,product!$A:$A,product!D:D)</f>
        <v>Purée d'amande</v>
      </c>
      <c r="E4081" s="25" t="str">
        <f t="shared" si="1"/>
        <v>48616-Purée de fruits secs-Purée d'amande</v>
      </c>
      <c r="F4081" s="25">
        <v>0.0</v>
      </c>
      <c r="G4081" s="25">
        <v>262.0</v>
      </c>
      <c r="H4081" s="25">
        <v>128.0</v>
      </c>
      <c r="I4081" s="26">
        <f t="array" ref="I4081">XLOOKUP($A4081,product!A:A,product!E:E)</f>
        <v>6.83</v>
      </c>
      <c r="J4081" s="25">
        <f t="shared" si="2"/>
        <v>874.24</v>
      </c>
      <c r="K4081" s="27">
        <f t="shared" si="3"/>
        <v>1</v>
      </c>
      <c r="L4081" s="25">
        <f t="shared" si="4"/>
        <v>1</v>
      </c>
    </row>
    <row r="4082">
      <c r="A4082" s="19">
        <v>47515.0</v>
      </c>
      <c r="B4082" s="20" t="str">
        <f t="array" ref="B4082">xlookup($A4082,product!$A:$A,product!B:B)</f>
        <v>Epicerie sucrée</v>
      </c>
      <c r="C4082" s="20" t="str">
        <f t="array" ref="C4082">xlookup($A4082,product!$A:$A,product!C:C)</f>
        <v>Purée de fruits secs</v>
      </c>
      <c r="D4082" s="20" t="str">
        <f t="array" ref="D4082">xlookup($A4082,product!$A:$A,product!D:D)</f>
        <v>Purée d'amande</v>
      </c>
      <c r="E4082" s="4" t="str">
        <f t="shared" si="1"/>
        <v>47515-Purée de fruits secs-Purée d'amande</v>
      </c>
      <c r="F4082" s="4">
        <v>0.0</v>
      </c>
      <c r="G4082" s="4">
        <v>424.0</v>
      </c>
      <c r="H4082" s="4">
        <v>202.0</v>
      </c>
      <c r="I4082" s="21">
        <f t="array" ref="I4082">XLOOKUP($A4082,product!A:A,product!E:E)</f>
        <v>10.62</v>
      </c>
      <c r="J4082" s="4">
        <f t="shared" si="2"/>
        <v>2145.24</v>
      </c>
      <c r="K4082" s="22">
        <f t="shared" si="3"/>
        <v>1</v>
      </c>
      <c r="L4082" s="4">
        <f t="shared" si="4"/>
        <v>1</v>
      </c>
    </row>
    <row r="4083">
      <c r="A4083" s="23">
        <v>81915.0</v>
      </c>
      <c r="B4083" s="24" t="str">
        <f t="array" ref="B4083">xlookup($A4083,product!$A:$A,product!B:B)</f>
        <v>Epicerie sucrée</v>
      </c>
      <c r="C4083" s="24" t="str">
        <f t="array" ref="C4083">xlookup($A4083,product!$A:$A,product!C:C)</f>
        <v>Purée de fruits secs</v>
      </c>
      <c r="D4083" s="24" t="str">
        <f t="array" ref="D4083">xlookup($A4083,product!$A:$A,product!D:D)</f>
        <v>Purée d'amande</v>
      </c>
      <c r="E4083" s="25" t="str">
        <f t="shared" si="1"/>
        <v>81915-Purée de fruits secs-Purée d'amande</v>
      </c>
      <c r="F4083" s="25">
        <v>1.0</v>
      </c>
      <c r="G4083" s="25">
        <v>245.0</v>
      </c>
      <c r="H4083" s="25">
        <v>189.0</v>
      </c>
      <c r="I4083" s="26">
        <f t="array" ref="I4083">XLOOKUP($A4083,product!A:A,product!E:E)</f>
        <v>3.78</v>
      </c>
      <c r="J4083" s="25">
        <f t="shared" si="2"/>
        <v>714.42</v>
      </c>
      <c r="K4083" s="27">
        <f t="shared" si="3"/>
        <v>1</v>
      </c>
      <c r="L4083" s="25">
        <f t="shared" si="4"/>
        <v>1</v>
      </c>
    </row>
    <row r="4084">
      <c r="A4084" s="19">
        <v>108920.0</v>
      </c>
      <c r="B4084" s="20" t="str">
        <f t="array" ref="B4084">xlookup($A4084,product!$A:$A,product!B:B)</f>
        <v>Epicerie sucrée</v>
      </c>
      <c r="C4084" s="20" t="str">
        <f t="array" ref="C4084">xlookup($A4084,product!$A:$A,product!C:C)</f>
        <v>Purée de fruits secs</v>
      </c>
      <c r="D4084" s="20" t="str">
        <f t="array" ref="D4084">xlookup($A4084,product!$A:$A,product!D:D)</f>
        <v>Purée d'amande</v>
      </c>
      <c r="E4084" s="4" t="str">
        <f t="shared" si="1"/>
        <v>108920-Purée de fruits secs-Purée d'amande</v>
      </c>
      <c r="F4084" s="4">
        <v>1.0</v>
      </c>
      <c r="G4084" s="4">
        <v>577.0</v>
      </c>
      <c r="H4084" s="4">
        <v>20.0</v>
      </c>
      <c r="I4084" s="21">
        <f t="array" ref="I4084">XLOOKUP($A4084,product!A:A,product!E:E)</f>
        <v>9.48</v>
      </c>
      <c r="J4084" s="4">
        <f t="shared" si="2"/>
        <v>189.6</v>
      </c>
      <c r="K4084" s="22">
        <f t="shared" si="3"/>
        <v>1</v>
      </c>
      <c r="L4084" s="4">
        <f t="shared" si="4"/>
        <v>1</v>
      </c>
    </row>
    <row r="4085">
      <c r="A4085" s="23">
        <v>107406.0</v>
      </c>
      <c r="B4085" s="24" t="str">
        <f t="array" ref="B4085">xlookup($A4085,product!$A:$A,product!B:B)</f>
        <v>Epicerie sucrée</v>
      </c>
      <c r="C4085" s="24" t="str">
        <f t="array" ref="C4085">xlookup($A4085,product!$A:$A,product!C:C)</f>
        <v>Purée de fruits secs</v>
      </c>
      <c r="D4085" s="24" t="str">
        <f t="array" ref="D4085">xlookup($A4085,product!$A:$A,product!D:D)</f>
        <v>Purée d'amande</v>
      </c>
      <c r="E4085" s="25" t="str">
        <f t="shared" si="1"/>
        <v>107406-Purée de fruits secs-Purée d'amande</v>
      </c>
      <c r="F4085" s="25">
        <v>1.0</v>
      </c>
      <c r="G4085" s="25">
        <v>429.0</v>
      </c>
      <c r="H4085" s="25">
        <v>415.0</v>
      </c>
      <c r="I4085" s="26">
        <f t="array" ref="I4085">XLOOKUP($A4085,product!A:A,product!E:E)</f>
        <v>5.49</v>
      </c>
      <c r="J4085" s="25">
        <f t="shared" si="2"/>
        <v>2278.35</v>
      </c>
      <c r="K4085" s="27">
        <f t="shared" si="3"/>
        <v>1</v>
      </c>
      <c r="L4085" s="25">
        <f t="shared" si="4"/>
        <v>1</v>
      </c>
    </row>
    <row r="4086">
      <c r="A4086" s="19">
        <v>24074.0</v>
      </c>
      <c r="B4086" s="20" t="str">
        <f t="array" ref="B4086">xlookup($A4086,product!$A:$A,product!B:B)</f>
        <v>Epicerie sucrée</v>
      </c>
      <c r="C4086" s="20" t="str">
        <f t="array" ref="C4086">xlookup($A4086,product!$A:$A,product!C:C)</f>
        <v>Purée de fruits secs</v>
      </c>
      <c r="D4086" s="20" t="str">
        <f t="array" ref="D4086">xlookup($A4086,product!$A:$A,product!D:D)</f>
        <v>Purée d'amande</v>
      </c>
      <c r="E4086" s="4" t="str">
        <f t="shared" si="1"/>
        <v>24074-Purée de fruits secs-Purée d'amande</v>
      </c>
      <c r="F4086" s="4">
        <v>1.0</v>
      </c>
      <c r="G4086" s="4">
        <v>207.0</v>
      </c>
      <c r="H4086" s="4">
        <v>45.0</v>
      </c>
      <c r="I4086" s="21">
        <f t="array" ref="I4086">XLOOKUP($A4086,product!A:A,product!E:E)</f>
        <v>11.9</v>
      </c>
      <c r="J4086" s="4">
        <f t="shared" si="2"/>
        <v>535.5</v>
      </c>
      <c r="K4086" s="22">
        <f t="shared" si="3"/>
        <v>1</v>
      </c>
      <c r="L4086" s="4">
        <f t="shared" si="4"/>
        <v>1</v>
      </c>
    </row>
    <row r="4087">
      <c r="A4087" s="23">
        <v>107388.0</v>
      </c>
      <c r="B4087" s="24" t="str">
        <f t="array" ref="B4087">xlookup($A4087,product!$A:$A,product!B:B)</f>
        <v>Epicerie sucrée</v>
      </c>
      <c r="C4087" s="24" t="str">
        <f t="array" ref="C4087">xlookup($A4087,product!$A:$A,product!C:C)</f>
        <v>Purée de fruits secs</v>
      </c>
      <c r="D4087" s="24" t="str">
        <f t="array" ref="D4087">xlookup($A4087,product!$A:$A,product!D:D)</f>
        <v>Purée d'amande</v>
      </c>
      <c r="E4087" s="25" t="str">
        <f t="shared" si="1"/>
        <v>107388-Purée de fruits secs-Purée d'amande</v>
      </c>
      <c r="F4087" s="25">
        <v>0.0</v>
      </c>
      <c r="G4087" s="25">
        <v>438.0</v>
      </c>
      <c r="H4087" s="25">
        <v>72.0</v>
      </c>
      <c r="I4087" s="26">
        <f t="array" ref="I4087">XLOOKUP($A4087,product!A:A,product!E:E)</f>
        <v>5.07</v>
      </c>
      <c r="J4087" s="25">
        <f t="shared" si="2"/>
        <v>365.04</v>
      </c>
      <c r="K4087" s="27">
        <f t="shared" si="3"/>
        <v>1</v>
      </c>
      <c r="L4087" s="25">
        <f t="shared" si="4"/>
        <v>1</v>
      </c>
    </row>
    <row r="4088">
      <c r="A4088" s="19">
        <v>24075.0</v>
      </c>
      <c r="B4088" s="20" t="str">
        <f t="array" ref="B4088">xlookup($A4088,product!$A:$A,product!B:B)</f>
        <v>Epicerie sucrée</v>
      </c>
      <c r="C4088" s="20" t="str">
        <f t="array" ref="C4088">xlookup($A4088,product!$A:$A,product!C:C)</f>
        <v>Purée de fruits secs</v>
      </c>
      <c r="D4088" s="20" t="str">
        <f t="array" ref="D4088">xlookup($A4088,product!$A:$A,product!D:D)</f>
        <v>Purée d'amande</v>
      </c>
      <c r="E4088" s="4" t="str">
        <f t="shared" si="1"/>
        <v>24075-Purée de fruits secs-Purée d'amande</v>
      </c>
      <c r="F4088" s="4">
        <v>0.0</v>
      </c>
      <c r="G4088" s="4">
        <v>253.0</v>
      </c>
      <c r="H4088" s="4">
        <v>33.0</v>
      </c>
      <c r="I4088" s="21">
        <f t="array" ref="I4088">XLOOKUP($A4088,product!A:A,product!E:E)</f>
        <v>13.06</v>
      </c>
      <c r="J4088" s="4">
        <f t="shared" si="2"/>
        <v>430.98</v>
      </c>
      <c r="K4088" s="22">
        <f t="shared" si="3"/>
        <v>1</v>
      </c>
      <c r="L4088" s="4">
        <f t="shared" si="4"/>
        <v>1</v>
      </c>
    </row>
    <row r="4089">
      <c r="A4089" s="23">
        <v>27639.0</v>
      </c>
      <c r="B4089" s="24" t="str">
        <f t="array" ref="B4089">xlookup($A4089,product!$A:$A,product!B:B)</f>
        <v>Epicerie sucrée</v>
      </c>
      <c r="C4089" s="24" t="str">
        <f t="array" ref="C4089">xlookup($A4089,product!$A:$A,product!C:C)</f>
        <v>Purée de fruits secs</v>
      </c>
      <c r="D4089" s="24" t="str">
        <f t="array" ref="D4089">xlookup($A4089,product!$A:$A,product!D:D)</f>
        <v>Purée d'amande</v>
      </c>
      <c r="E4089" s="25" t="str">
        <f t="shared" si="1"/>
        <v>27639-Purée de fruits secs-Purée d'amande</v>
      </c>
      <c r="F4089" s="25">
        <v>0.0</v>
      </c>
      <c r="G4089" s="25">
        <v>837.0</v>
      </c>
      <c r="H4089" s="25">
        <v>837.0</v>
      </c>
      <c r="I4089" s="26">
        <f t="array" ref="I4089">XLOOKUP($A4089,product!A:A,product!E:E)</f>
        <v>16.08</v>
      </c>
      <c r="J4089" s="25">
        <f t="shared" si="2"/>
        <v>13458.96</v>
      </c>
      <c r="K4089" s="27">
        <f t="shared" si="3"/>
        <v>1</v>
      </c>
      <c r="L4089" s="25">
        <f t="shared" si="4"/>
        <v>1</v>
      </c>
    </row>
    <row r="4090">
      <c r="A4090" s="19">
        <v>103632.0</v>
      </c>
      <c r="B4090" s="20" t="str">
        <f t="array" ref="B4090">xlookup($A4090,product!$A:$A,product!B:B)</f>
        <v>Epicerie sucrée</v>
      </c>
      <c r="C4090" s="20" t="str">
        <f t="array" ref="C4090">xlookup($A4090,product!$A:$A,product!C:C)</f>
        <v>Purée de fruits secs</v>
      </c>
      <c r="D4090" s="20" t="str">
        <f t="array" ref="D4090">xlookup($A4090,product!$A:$A,product!D:D)</f>
        <v>Purée d'amande</v>
      </c>
      <c r="E4090" s="4" t="str">
        <f t="shared" si="1"/>
        <v>103632-Purée de fruits secs-Purée d'amande</v>
      </c>
      <c r="F4090" s="4">
        <v>0.0</v>
      </c>
      <c r="G4090" s="4">
        <v>822.0</v>
      </c>
      <c r="H4090" s="4">
        <v>814.0</v>
      </c>
      <c r="I4090" s="21">
        <f t="array" ref="I4090">XLOOKUP($A4090,product!A:A,product!E:E)</f>
        <v>5.47</v>
      </c>
      <c r="J4090" s="4">
        <f t="shared" si="2"/>
        <v>4452.58</v>
      </c>
      <c r="K4090" s="22">
        <f t="shared" si="3"/>
        <v>1</v>
      </c>
      <c r="L4090" s="4">
        <f t="shared" si="4"/>
        <v>1</v>
      </c>
    </row>
    <row r="4091">
      <c r="A4091" s="23">
        <v>10569.0</v>
      </c>
      <c r="B4091" s="24" t="str">
        <f t="array" ref="B4091">xlookup($A4091,product!$A:$A,product!B:B)</f>
        <v>Epicerie sucrée</v>
      </c>
      <c r="C4091" s="24" t="str">
        <f t="array" ref="C4091">xlookup($A4091,product!$A:$A,product!C:C)</f>
        <v>Purée de fruits secs</v>
      </c>
      <c r="D4091" s="24" t="str">
        <f t="array" ref="D4091">xlookup($A4091,product!$A:$A,product!D:D)</f>
        <v>Purée d'amande</v>
      </c>
      <c r="E4091" s="25" t="str">
        <f t="shared" si="1"/>
        <v>10569-Purée de fruits secs-Purée d'amande</v>
      </c>
      <c r="F4091" s="25">
        <v>1.0</v>
      </c>
      <c r="G4091" s="25">
        <v>294.0</v>
      </c>
      <c r="H4091" s="25">
        <v>182.0</v>
      </c>
      <c r="I4091" s="26">
        <f t="array" ref="I4091">XLOOKUP($A4091,product!A:A,product!E:E)</f>
        <v>6.07</v>
      </c>
      <c r="J4091" s="25">
        <f t="shared" si="2"/>
        <v>1104.74</v>
      </c>
      <c r="K4091" s="27">
        <f t="shared" si="3"/>
        <v>1</v>
      </c>
      <c r="L4091" s="25">
        <f t="shared" si="4"/>
        <v>1</v>
      </c>
    </row>
    <row r="4092">
      <c r="A4092" s="19">
        <v>182007.0</v>
      </c>
      <c r="B4092" s="20" t="str">
        <f t="array" ref="B4092">xlookup($A4092,product!$A:$A,product!B:B)</f>
        <v>Epicerie sucrée</v>
      </c>
      <c r="C4092" s="20" t="str">
        <f t="array" ref="C4092">xlookup($A4092,product!$A:$A,product!C:C)</f>
        <v>Purée de fruits secs</v>
      </c>
      <c r="D4092" s="20" t="str">
        <f t="array" ref="D4092">xlookup($A4092,product!$A:$A,product!D:D)</f>
        <v>Purée d'amande</v>
      </c>
      <c r="E4092" s="4" t="str">
        <f t="shared" si="1"/>
        <v>182007-Purée de fruits secs-Purée d'amande</v>
      </c>
      <c r="F4092" s="4">
        <v>0.0</v>
      </c>
      <c r="G4092" s="4">
        <v>106.0</v>
      </c>
      <c r="H4092" s="4">
        <v>94.0</v>
      </c>
      <c r="I4092" s="21">
        <f t="array" ref="I4092">XLOOKUP($A4092,product!A:A,product!E:E)</f>
        <v>5.89</v>
      </c>
      <c r="J4092" s="4">
        <f t="shared" si="2"/>
        <v>553.66</v>
      </c>
      <c r="K4092" s="22">
        <f t="shared" si="3"/>
        <v>1</v>
      </c>
      <c r="L4092" s="4">
        <f t="shared" si="4"/>
        <v>1</v>
      </c>
    </row>
    <row r="4093">
      <c r="A4093" s="23">
        <v>182009.0</v>
      </c>
      <c r="B4093" s="24" t="str">
        <f t="array" ref="B4093">xlookup($A4093,product!$A:$A,product!B:B)</f>
        <v>Epicerie sucrée</v>
      </c>
      <c r="C4093" s="24" t="str">
        <f t="array" ref="C4093">xlookup($A4093,product!$A:$A,product!C:C)</f>
        <v>Purée de fruits secs</v>
      </c>
      <c r="D4093" s="24" t="str">
        <f t="array" ref="D4093">xlookup($A4093,product!$A:$A,product!D:D)</f>
        <v>Purée d'amande</v>
      </c>
      <c r="E4093" s="25" t="str">
        <f t="shared" si="1"/>
        <v>182009-Purée de fruits secs-Purée d'amande</v>
      </c>
      <c r="F4093" s="25">
        <v>1.0</v>
      </c>
      <c r="G4093" s="25">
        <v>484.0</v>
      </c>
      <c r="H4093" s="25">
        <v>265.0</v>
      </c>
      <c r="I4093" s="26">
        <f t="array" ref="I4093">XLOOKUP($A4093,product!A:A,product!E:E)</f>
        <v>10.69</v>
      </c>
      <c r="J4093" s="25">
        <f t="shared" si="2"/>
        <v>2832.85</v>
      </c>
      <c r="K4093" s="27">
        <f t="shared" si="3"/>
        <v>1</v>
      </c>
      <c r="L4093" s="25">
        <f t="shared" si="4"/>
        <v>1</v>
      </c>
    </row>
    <row r="4094">
      <c r="A4094" s="19">
        <v>103630.0</v>
      </c>
      <c r="B4094" s="20" t="str">
        <f t="array" ref="B4094">xlookup($A4094,product!$A:$A,product!B:B)</f>
        <v>Epicerie sucrée</v>
      </c>
      <c r="C4094" s="20" t="str">
        <f t="array" ref="C4094">xlookup($A4094,product!$A:$A,product!C:C)</f>
        <v>Purée de fruits secs</v>
      </c>
      <c r="D4094" s="20" t="str">
        <f t="array" ref="D4094">xlookup($A4094,product!$A:$A,product!D:D)</f>
        <v>Purée d'amande</v>
      </c>
      <c r="E4094" s="4" t="str">
        <f t="shared" si="1"/>
        <v>103630-Purée de fruits secs-Purée d'amande</v>
      </c>
      <c r="F4094" s="4">
        <v>0.0</v>
      </c>
      <c r="G4094" s="4">
        <v>451.0</v>
      </c>
      <c r="H4094" s="4">
        <v>223.0</v>
      </c>
      <c r="I4094" s="21">
        <f t="array" ref="I4094">XLOOKUP($A4094,product!A:A,product!E:E)</f>
        <v>5.54</v>
      </c>
      <c r="J4094" s="4">
        <f t="shared" si="2"/>
        <v>1235.42</v>
      </c>
      <c r="K4094" s="22">
        <f t="shared" si="3"/>
        <v>1</v>
      </c>
      <c r="L4094" s="4">
        <f t="shared" si="4"/>
        <v>1</v>
      </c>
    </row>
    <row r="4095">
      <c r="A4095" s="23">
        <v>47514.0</v>
      </c>
      <c r="B4095" s="24" t="str">
        <f t="array" ref="B4095">xlookup($A4095,product!$A:$A,product!B:B)</f>
        <v>Epicerie sucrée</v>
      </c>
      <c r="C4095" s="24" t="str">
        <f t="array" ref="C4095">xlookup($A4095,product!$A:$A,product!C:C)</f>
        <v>Purée de fruits secs</v>
      </c>
      <c r="D4095" s="24" t="str">
        <f t="array" ref="D4095">xlookup($A4095,product!$A:$A,product!D:D)</f>
        <v>Purée d'amande</v>
      </c>
      <c r="E4095" s="25" t="str">
        <f t="shared" si="1"/>
        <v>47514-Purée de fruits secs-Purée d'amande</v>
      </c>
      <c r="F4095" s="25">
        <v>1.0</v>
      </c>
      <c r="G4095" s="25">
        <v>525.0</v>
      </c>
      <c r="H4095" s="25">
        <v>436.0</v>
      </c>
      <c r="I4095" s="26">
        <f t="array" ref="I4095">XLOOKUP($A4095,product!A:A,product!E:E)</f>
        <v>5.24</v>
      </c>
      <c r="J4095" s="25">
        <f t="shared" si="2"/>
        <v>2284.64</v>
      </c>
      <c r="K4095" s="27">
        <f t="shared" si="3"/>
        <v>1</v>
      </c>
      <c r="L4095" s="25">
        <f t="shared" si="4"/>
        <v>1</v>
      </c>
    </row>
    <row r="4096">
      <c r="A4096" s="19">
        <v>86370.0</v>
      </c>
      <c r="B4096" s="20" t="str">
        <f t="array" ref="B4096">xlookup($A4096,product!$A:$A,product!B:B)</f>
        <v>Epicerie sucrée</v>
      </c>
      <c r="C4096" s="20" t="str">
        <f t="array" ref="C4096">xlookup($A4096,product!$A:$A,product!C:C)</f>
        <v>Purée de fruits secs</v>
      </c>
      <c r="D4096" s="20" t="str">
        <f t="array" ref="D4096">xlookup($A4096,product!$A:$A,product!D:D)</f>
        <v>Purée de graines</v>
      </c>
      <c r="E4096" s="4" t="str">
        <f t="shared" si="1"/>
        <v>86370-Purée de fruits secs-Purée de graines</v>
      </c>
      <c r="F4096" s="4">
        <v>0.0</v>
      </c>
      <c r="G4096" s="4">
        <v>760.0</v>
      </c>
      <c r="H4096" s="4">
        <v>208.0</v>
      </c>
      <c r="I4096" s="21">
        <f t="array" ref="I4096">XLOOKUP($A4096,product!A:A,product!E:E)</f>
        <v>2.85</v>
      </c>
      <c r="J4096" s="4">
        <f t="shared" si="2"/>
        <v>592.8</v>
      </c>
      <c r="K4096" s="22">
        <f t="shared" si="3"/>
        <v>1</v>
      </c>
      <c r="L4096" s="4">
        <f t="shared" si="4"/>
        <v>1</v>
      </c>
    </row>
    <row r="4097">
      <c r="A4097" s="23">
        <v>86368.0</v>
      </c>
      <c r="B4097" s="24" t="str">
        <f t="array" ref="B4097">xlookup($A4097,product!$A:$A,product!B:B)</f>
        <v>Epicerie sucrée</v>
      </c>
      <c r="C4097" s="24" t="str">
        <f t="array" ref="C4097">xlookup($A4097,product!$A:$A,product!C:C)</f>
        <v>Purée de fruits secs</v>
      </c>
      <c r="D4097" s="24" t="str">
        <f t="array" ref="D4097">xlookup($A4097,product!$A:$A,product!D:D)</f>
        <v>Purée de graines</v>
      </c>
      <c r="E4097" s="25" t="str">
        <f t="shared" si="1"/>
        <v>86368-Purée de fruits secs-Purée de graines</v>
      </c>
      <c r="F4097" s="25">
        <v>0.0</v>
      </c>
      <c r="G4097" s="25">
        <v>972.0</v>
      </c>
      <c r="H4097" s="25">
        <v>123.0</v>
      </c>
      <c r="I4097" s="26">
        <f t="array" ref="I4097">XLOOKUP($A4097,product!A:A,product!E:E)</f>
        <v>3.1</v>
      </c>
      <c r="J4097" s="25">
        <f t="shared" si="2"/>
        <v>381.3</v>
      </c>
      <c r="K4097" s="27">
        <f t="shared" si="3"/>
        <v>1</v>
      </c>
      <c r="L4097" s="25">
        <f t="shared" si="4"/>
        <v>1</v>
      </c>
    </row>
    <row r="4098">
      <c r="A4098" s="19">
        <v>103174.0</v>
      </c>
      <c r="B4098" s="20" t="str">
        <f t="array" ref="B4098">xlookup($A4098,product!$A:$A,product!B:B)</f>
        <v>Epicerie sucrée</v>
      </c>
      <c r="C4098" s="20" t="str">
        <f t="array" ref="C4098">xlookup($A4098,product!$A:$A,product!C:C)</f>
        <v>Purée de fruits secs</v>
      </c>
      <c r="D4098" s="20" t="str">
        <f t="array" ref="D4098">xlookup($A4098,product!$A:$A,product!D:D)</f>
        <v>Purée de graines</v>
      </c>
      <c r="E4098" s="4" t="str">
        <f t="shared" si="1"/>
        <v>103174-Purée de fruits secs-Purée de graines</v>
      </c>
      <c r="F4098" s="4">
        <v>0.0</v>
      </c>
      <c r="G4098" s="4">
        <v>398.0</v>
      </c>
      <c r="H4098" s="4">
        <v>96.0</v>
      </c>
      <c r="I4098" s="21">
        <f t="array" ref="I4098">XLOOKUP($A4098,product!A:A,product!E:E)</f>
        <v>3.38</v>
      </c>
      <c r="J4098" s="4">
        <f t="shared" si="2"/>
        <v>324.48</v>
      </c>
      <c r="K4098" s="22">
        <f t="shared" si="3"/>
        <v>1</v>
      </c>
      <c r="L4098" s="4">
        <f t="shared" si="4"/>
        <v>1</v>
      </c>
    </row>
    <row r="4099">
      <c r="A4099" s="23">
        <v>48632.0</v>
      </c>
      <c r="B4099" s="24" t="str">
        <f t="array" ref="B4099">xlookup($A4099,product!$A:$A,product!B:B)</f>
        <v>Epicerie sucrée</v>
      </c>
      <c r="C4099" s="24" t="str">
        <f t="array" ref="C4099">xlookup($A4099,product!$A:$A,product!C:C)</f>
        <v>Purée de fruits secs</v>
      </c>
      <c r="D4099" s="24" t="str">
        <f t="array" ref="D4099">xlookup($A4099,product!$A:$A,product!D:D)</f>
        <v>Purée de sésame</v>
      </c>
      <c r="E4099" s="25" t="str">
        <f t="shared" si="1"/>
        <v>48632-Purée de fruits secs-Purée de sésame</v>
      </c>
      <c r="F4099" s="25">
        <v>1.0</v>
      </c>
      <c r="G4099" s="25">
        <v>747.0</v>
      </c>
      <c r="H4099" s="25">
        <v>22.0</v>
      </c>
      <c r="I4099" s="26">
        <f t="array" ref="I4099">XLOOKUP($A4099,product!A:A,product!E:E)</f>
        <v>2.99</v>
      </c>
      <c r="J4099" s="25">
        <f t="shared" si="2"/>
        <v>65.78</v>
      </c>
      <c r="K4099" s="27">
        <f t="shared" si="3"/>
        <v>1</v>
      </c>
      <c r="L4099" s="25">
        <f t="shared" si="4"/>
        <v>1</v>
      </c>
    </row>
    <row r="4100">
      <c r="A4100" s="19">
        <v>48630.0</v>
      </c>
      <c r="B4100" s="20" t="str">
        <f t="array" ref="B4100">xlookup($A4100,product!$A:$A,product!B:B)</f>
        <v>Epicerie sucrée</v>
      </c>
      <c r="C4100" s="20" t="str">
        <f t="array" ref="C4100">xlookup($A4100,product!$A:$A,product!C:C)</f>
        <v>Purée de fruits secs</v>
      </c>
      <c r="D4100" s="20" t="str">
        <f t="array" ref="D4100">xlookup($A4100,product!$A:$A,product!D:D)</f>
        <v>Purée de sésame</v>
      </c>
      <c r="E4100" s="4" t="str">
        <f t="shared" si="1"/>
        <v>48630-Purée de fruits secs-Purée de sésame</v>
      </c>
      <c r="F4100" s="4">
        <v>0.0</v>
      </c>
      <c r="G4100" s="4">
        <v>67.0</v>
      </c>
      <c r="H4100" s="4">
        <v>40.0</v>
      </c>
      <c r="I4100" s="21">
        <f t="array" ref="I4100">XLOOKUP($A4100,product!A:A,product!E:E)</f>
        <v>5.91</v>
      </c>
      <c r="J4100" s="4">
        <f t="shared" si="2"/>
        <v>236.4</v>
      </c>
      <c r="K4100" s="22">
        <f t="shared" si="3"/>
        <v>1</v>
      </c>
      <c r="L4100" s="4">
        <f t="shared" si="4"/>
        <v>1</v>
      </c>
    </row>
    <row r="4101">
      <c r="A4101" s="23">
        <v>48624.0</v>
      </c>
      <c r="B4101" s="24" t="str">
        <f t="array" ref="B4101">xlookup($A4101,product!$A:$A,product!B:B)</f>
        <v>Epicerie sucrée</v>
      </c>
      <c r="C4101" s="24" t="str">
        <f t="array" ref="C4101">xlookup($A4101,product!$A:$A,product!C:C)</f>
        <v>Purée de fruits secs</v>
      </c>
      <c r="D4101" s="24" t="str">
        <f t="array" ref="D4101">xlookup($A4101,product!$A:$A,product!D:D)</f>
        <v>Purée de sésame</v>
      </c>
      <c r="E4101" s="25" t="str">
        <f t="shared" si="1"/>
        <v>48624-Purée de fruits secs-Purée de sésame</v>
      </c>
      <c r="F4101" s="25">
        <v>1.0</v>
      </c>
      <c r="G4101" s="25">
        <v>702.0</v>
      </c>
      <c r="H4101" s="25">
        <v>252.0</v>
      </c>
      <c r="I4101" s="26">
        <f t="array" ref="I4101">XLOOKUP($A4101,product!A:A,product!E:E)</f>
        <v>5.56</v>
      </c>
      <c r="J4101" s="25">
        <f t="shared" si="2"/>
        <v>1401.12</v>
      </c>
      <c r="K4101" s="27">
        <f t="shared" si="3"/>
        <v>1</v>
      </c>
      <c r="L4101" s="25">
        <f t="shared" si="4"/>
        <v>1</v>
      </c>
    </row>
    <row r="4102">
      <c r="A4102" s="19">
        <v>10573.0</v>
      </c>
      <c r="B4102" s="20" t="str">
        <f t="array" ref="B4102">xlookup($A4102,product!$A:$A,product!B:B)</f>
        <v>Epicerie sucrée</v>
      </c>
      <c r="C4102" s="20" t="str">
        <f t="array" ref="C4102">xlookup($A4102,product!$A:$A,product!C:C)</f>
        <v>Purée de fruits secs</v>
      </c>
      <c r="D4102" s="20" t="str">
        <f t="array" ref="D4102">xlookup($A4102,product!$A:$A,product!D:D)</f>
        <v>Purée de sésame</v>
      </c>
      <c r="E4102" s="4" t="str">
        <f t="shared" si="1"/>
        <v>10573-Purée de fruits secs-Purée de sésame</v>
      </c>
      <c r="F4102" s="4">
        <v>1.0</v>
      </c>
      <c r="G4102" s="4">
        <v>907.0</v>
      </c>
      <c r="H4102" s="4">
        <v>479.0</v>
      </c>
      <c r="I4102" s="21">
        <f t="array" ref="I4102">XLOOKUP($A4102,product!A:A,product!E:E)</f>
        <v>2.96</v>
      </c>
      <c r="J4102" s="4">
        <f t="shared" si="2"/>
        <v>1417.84</v>
      </c>
      <c r="K4102" s="22">
        <f t="shared" si="3"/>
        <v>1</v>
      </c>
      <c r="L4102" s="4">
        <f t="shared" si="4"/>
        <v>1</v>
      </c>
    </row>
    <row r="4103">
      <c r="A4103" s="23">
        <v>18115.0</v>
      </c>
      <c r="B4103" s="24" t="str">
        <f t="array" ref="B4103">xlookup($A4103,product!$A:$A,product!B:B)</f>
        <v>Epicerie sucrée</v>
      </c>
      <c r="C4103" s="24" t="str">
        <f t="array" ref="C4103">xlookup($A4103,product!$A:$A,product!C:C)</f>
        <v>Purée de fruits secs</v>
      </c>
      <c r="D4103" s="24" t="str">
        <f t="array" ref="D4103">xlookup($A4103,product!$A:$A,product!D:D)</f>
        <v>Purée de sésame</v>
      </c>
      <c r="E4103" s="25" t="str">
        <f t="shared" si="1"/>
        <v>18115-Purée de fruits secs-Purée de sésame</v>
      </c>
      <c r="F4103" s="25">
        <v>0.0</v>
      </c>
      <c r="G4103" s="25">
        <v>820.0</v>
      </c>
      <c r="H4103" s="25">
        <v>396.0</v>
      </c>
      <c r="I4103" s="26">
        <f t="array" ref="I4103">XLOOKUP($A4103,product!A:A,product!E:E)</f>
        <v>3.5</v>
      </c>
      <c r="J4103" s="25">
        <f t="shared" si="2"/>
        <v>1386</v>
      </c>
      <c r="K4103" s="27">
        <f t="shared" si="3"/>
        <v>1</v>
      </c>
      <c r="L4103" s="25">
        <f t="shared" si="4"/>
        <v>1</v>
      </c>
    </row>
    <row r="4104">
      <c r="A4104" s="19">
        <v>83057.0</v>
      </c>
      <c r="B4104" s="20" t="str">
        <f t="array" ref="B4104">xlookup($A4104,product!$A:$A,product!B:B)</f>
        <v>Epicerie sucrée</v>
      </c>
      <c r="C4104" s="20" t="str">
        <f t="array" ref="C4104">xlookup($A4104,product!$A:$A,product!C:C)</f>
        <v>Purée de fruits secs</v>
      </c>
      <c r="D4104" s="20" t="str">
        <f t="array" ref="D4104">xlookup($A4104,product!$A:$A,product!D:D)</f>
        <v>Purée de sésame</v>
      </c>
      <c r="E4104" s="4" t="str">
        <f t="shared" si="1"/>
        <v>83057-Purée de fruits secs-Purée de sésame</v>
      </c>
      <c r="F4104" s="4">
        <v>0.0</v>
      </c>
      <c r="G4104" s="4">
        <v>514.0</v>
      </c>
      <c r="H4104" s="4">
        <v>328.0</v>
      </c>
      <c r="I4104" s="21">
        <f t="array" ref="I4104">XLOOKUP($A4104,product!A:A,product!E:E)</f>
        <v>1.92</v>
      </c>
      <c r="J4104" s="4">
        <f t="shared" si="2"/>
        <v>629.76</v>
      </c>
      <c r="K4104" s="22">
        <f t="shared" si="3"/>
        <v>1</v>
      </c>
      <c r="L4104" s="4">
        <f t="shared" si="4"/>
        <v>1</v>
      </c>
    </row>
    <row r="4105">
      <c r="A4105" s="23">
        <v>26727.0</v>
      </c>
      <c r="B4105" s="24" t="str">
        <f t="array" ref="B4105">xlookup($A4105,product!$A:$A,product!B:B)</f>
        <v>Epicerie sucrée</v>
      </c>
      <c r="C4105" s="24" t="str">
        <f t="array" ref="C4105">xlookup($A4105,product!$A:$A,product!C:C)</f>
        <v>Purée de fruits secs</v>
      </c>
      <c r="D4105" s="24" t="str">
        <f t="array" ref="D4105">xlookup($A4105,product!$A:$A,product!D:D)</f>
        <v>Purée de sésame</v>
      </c>
      <c r="E4105" s="25" t="str">
        <f t="shared" si="1"/>
        <v>26727-Purée de fruits secs-Purée de sésame</v>
      </c>
      <c r="F4105" s="25">
        <v>0.0</v>
      </c>
      <c r="G4105" s="25">
        <v>357.0</v>
      </c>
      <c r="H4105" s="25">
        <v>139.0</v>
      </c>
      <c r="I4105" s="26">
        <f t="array" ref="I4105">XLOOKUP($A4105,product!A:A,product!E:E)</f>
        <v>3.08</v>
      </c>
      <c r="J4105" s="25">
        <f t="shared" si="2"/>
        <v>428.12</v>
      </c>
      <c r="K4105" s="27">
        <f t="shared" si="3"/>
        <v>1</v>
      </c>
      <c r="L4105" s="25">
        <f t="shared" si="4"/>
        <v>1</v>
      </c>
    </row>
    <row r="4106">
      <c r="A4106" s="19">
        <v>85779.0</v>
      </c>
      <c r="B4106" s="20" t="str">
        <f t="array" ref="B4106">xlookup($A4106,product!$A:$A,product!B:B)</f>
        <v>Epicerie sucrée</v>
      </c>
      <c r="C4106" s="20" t="str">
        <f t="array" ref="C4106">xlookup($A4106,product!$A:$A,product!C:C)</f>
        <v>Purée de fruits secs</v>
      </c>
      <c r="D4106" s="20" t="str">
        <f t="array" ref="D4106">xlookup($A4106,product!$A:$A,product!D:D)</f>
        <v>Purée de sésame</v>
      </c>
      <c r="E4106" s="4" t="str">
        <f t="shared" si="1"/>
        <v>85779-Purée de fruits secs-Purée de sésame</v>
      </c>
      <c r="F4106" s="4">
        <v>1.0</v>
      </c>
      <c r="G4106" s="4">
        <v>448.0</v>
      </c>
      <c r="H4106" s="4">
        <v>155.0</v>
      </c>
      <c r="I4106" s="21">
        <f t="array" ref="I4106">XLOOKUP($A4106,product!A:A,product!E:E)</f>
        <v>5.3</v>
      </c>
      <c r="J4106" s="4">
        <f t="shared" si="2"/>
        <v>821.5</v>
      </c>
      <c r="K4106" s="22">
        <f t="shared" si="3"/>
        <v>1</v>
      </c>
      <c r="L4106" s="4">
        <f t="shared" si="4"/>
        <v>1</v>
      </c>
    </row>
    <row r="4107">
      <c r="A4107" s="23">
        <v>84396.0</v>
      </c>
      <c r="B4107" s="24" t="str">
        <f t="array" ref="B4107">xlookup($A4107,product!$A:$A,product!B:B)</f>
        <v>Epicerie sucrée</v>
      </c>
      <c r="C4107" s="24" t="str">
        <f t="array" ref="C4107">xlookup($A4107,product!$A:$A,product!C:C)</f>
        <v>Purée de fruits secs</v>
      </c>
      <c r="D4107" s="24" t="str">
        <f t="array" ref="D4107">xlookup($A4107,product!$A:$A,product!D:D)</f>
        <v>Purée de sésame</v>
      </c>
      <c r="E4107" s="25" t="str">
        <f t="shared" si="1"/>
        <v>84396-Purée de fruits secs-Purée de sésame</v>
      </c>
      <c r="F4107" s="25">
        <v>1.0</v>
      </c>
      <c r="G4107" s="25">
        <v>552.0</v>
      </c>
      <c r="H4107" s="25">
        <v>321.0</v>
      </c>
      <c r="I4107" s="26">
        <f t="array" ref="I4107">XLOOKUP($A4107,product!A:A,product!E:E)</f>
        <v>2.35</v>
      </c>
      <c r="J4107" s="25">
        <f t="shared" si="2"/>
        <v>754.35</v>
      </c>
      <c r="K4107" s="27">
        <f t="shared" si="3"/>
        <v>1</v>
      </c>
      <c r="L4107" s="25">
        <f t="shared" si="4"/>
        <v>1</v>
      </c>
    </row>
    <row r="4108">
      <c r="A4108" s="19">
        <v>42676.0</v>
      </c>
      <c r="B4108" s="20" t="str">
        <f t="array" ref="B4108">xlookup($A4108,product!$A:$A,product!B:B)</f>
        <v>Epicerie sucrée</v>
      </c>
      <c r="C4108" s="20" t="str">
        <f t="array" ref="C4108">xlookup($A4108,product!$A:$A,product!C:C)</f>
        <v>Purée de fruits secs</v>
      </c>
      <c r="D4108" s="20" t="str">
        <f t="array" ref="D4108">xlookup($A4108,product!$A:$A,product!D:D)</f>
        <v>Purée de noisette</v>
      </c>
      <c r="E4108" s="4" t="str">
        <f t="shared" si="1"/>
        <v>42676-Purée de fruits secs-Purée de noisette</v>
      </c>
      <c r="F4108" s="4">
        <v>1.0</v>
      </c>
      <c r="G4108" s="4">
        <v>572.0</v>
      </c>
      <c r="H4108" s="4">
        <v>531.0</v>
      </c>
      <c r="I4108" s="21">
        <f t="array" ref="I4108">XLOOKUP($A4108,product!A:A,product!E:E)</f>
        <v>4.68</v>
      </c>
      <c r="J4108" s="4">
        <f t="shared" si="2"/>
        <v>2485.08</v>
      </c>
      <c r="K4108" s="22">
        <f t="shared" si="3"/>
        <v>1</v>
      </c>
      <c r="L4108" s="4">
        <f t="shared" si="4"/>
        <v>1</v>
      </c>
    </row>
    <row r="4109">
      <c r="A4109" s="23">
        <v>108380.0</v>
      </c>
      <c r="B4109" s="24" t="str">
        <f t="array" ref="B4109">xlookup($A4109,product!$A:$A,product!B:B)</f>
        <v>Epicerie sucrée</v>
      </c>
      <c r="C4109" s="24" t="str">
        <f t="array" ref="C4109">xlookup($A4109,product!$A:$A,product!C:C)</f>
        <v>Purée de fruits secs</v>
      </c>
      <c r="D4109" s="24" t="str">
        <f t="array" ref="D4109">xlookup($A4109,product!$A:$A,product!D:D)</f>
        <v>Purée de noisette</v>
      </c>
      <c r="E4109" s="25" t="str">
        <f t="shared" si="1"/>
        <v>108380-Purée de fruits secs-Purée de noisette</v>
      </c>
      <c r="F4109" s="25">
        <v>1.0</v>
      </c>
      <c r="G4109" s="25">
        <v>787.0</v>
      </c>
      <c r="H4109" s="25">
        <v>173.0</v>
      </c>
      <c r="I4109" s="26">
        <f t="array" ref="I4109">XLOOKUP($A4109,product!A:A,product!E:E)</f>
        <v>8.76</v>
      </c>
      <c r="J4109" s="25">
        <f t="shared" si="2"/>
        <v>1515.48</v>
      </c>
      <c r="K4109" s="27">
        <f t="shared" si="3"/>
        <v>1</v>
      </c>
      <c r="L4109" s="25">
        <f t="shared" si="4"/>
        <v>1</v>
      </c>
    </row>
    <row r="4110">
      <c r="A4110" s="19">
        <v>10565.0</v>
      </c>
      <c r="B4110" s="20" t="str">
        <f t="array" ref="B4110">xlookup($A4110,product!$A:$A,product!B:B)</f>
        <v>Epicerie sucrée</v>
      </c>
      <c r="C4110" s="20" t="str">
        <f t="array" ref="C4110">xlookup($A4110,product!$A:$A,product!C:C)</f>
        <v>Purée de fruits secs</v>
      </c>
      <c r="D4110" s="20" t="str">
        <f t="array" ref="D4110">xlookup($A4110,product!$A:$A,product!D:D)</f>
        <v>Purée de noisette</v>
      </c>
      <c r="E4110" s="4" t="str">
        <f t="shared" si="1"/>
        <v>10565-Purée de fruits secs-Purée de noisette</v>
      </c>
      <c r="F4110" s="4">
        <v>0.0</v>
      </c>
      <c r="G4110" s="4">
        <v>531.0</v>
      </c>
      <c r="H4110" s="4">
        <v>500.0</v>
      </c>
      <c r="I4110" s="21">
        <f t="array" ref="I4110">XLOOKUP($A4110,product!A:A,product!E:E)</f>
        <v>7</v>
      </c>
      <c r="J4110" s="4">
        <f t="shared" si="2"/>
        <v>3500</v>
      </c>
      <c r="K4110" s="22">
        <f t="shared" si="3"/>
        <v>1</v>
      </c>
      <c r="L4110" s="4">
        <f t="shared" si="4"/>
        <v>1</v>
      </c>
    </row>
    <row r="4111">
      <c r="A4111" s="23">
        <v>107631.0</v>
      </c>
      <c r="B4111" s="24" t="str">
        <f t="array" ref="B4111">xlookup($A4111,product!$A:$A,product!B:B)</f>
        <v>Epicerie sucrée</v>
      </c>
      <c r="C4111" s="24" t="str">
        <f t="array" ref="C4111">xlookup($A4111,product!$A:$A,product!C:C)</f>
        <v>Purée de fruits secs</v>
      </c>
      <c r="D4111" s="24" t="str">
        <f t="array" ref="D4111">xlookup($A4111,product!$A:$A,product!D:D)</f>
        <v>Purée de noisette</v>
      </c>
      <c r="E4111" s="25" t="str">
        <f t="shared" si="1"/>
        <v>107631-Purée de fruits secs-Purée de noisette</v>
      </c>
      <c r="F4111" s="25">
        <v>0.0</v>
      </c>
      <c r="G4111" s="25">
        <v>977.0</v>
      </c>
      <c r="H4111" s="25">
        <v>241.0</v>
      </c>
      <c r="I4111" s="26">
        <f t="array" ref="I4111">XLOOKUP($A4111,product!A:A,product!E:E)</f>
        <v>4.86</v>
      </c>
      <c r="J4111" s="25">
        <f t="shared" si="2"/>
        <v>1171.26</v>
      </c>
      <c r="K4111" s="27">
        <f t="shared" si="3"/>
        <v>1</v>
      </c>
      <c r="L4111" s="25">
        <f t="shared" si="4"/>
        <v>1</v>
      </c>
    </row>
    <row r="4112">
      <c r="A4112" s="19">
        <v>24061.0</v>
      </c>
      <c r="B4112" s="20" t="str">
        <f t="array" ref="B4112">xlookup($A4112,product!$A:$A,product!B:B)</f>
        <v>Epicerie sucrée</v>
      </c>
      <c r="C4112" s="20" t="str">
        <f t="array" ref="C4112">xlookup($A4112,product!$A:$A,product!C:C)</f>
        <v>Purée de fruits secs</v>
      </c>
      <c r="D4112" s="20" t="str">
        <f t="array" ref="D4112">xlookup($A4112,product!$A:$A,product!D:D)</f>
        <v>Purée de noisette</v>
      </c>
      <c r="E4112" s="4" t="str">
        <f t="shared" si="1"/>
        <v>24061-Purée de fruits secs-Purée de noisette</v>
      </c>
      <c r="F4112" s="4">
        <v>1.0</v>
      </c>
      <c r="G4112" s="4">
        <v>196.0</v>
      </c>
      <c r="H4112" s="4">
        <v>190.0</v>
      </c>
      <c r="I4112" s="21">
        <f t="array" ref="I4112">XLOOKUP($A4112,product!A:A,product!E:E)</f>
        <v>13.74</v>
      </c>
      <c r="J4112" s="4">
        <f t="shared" si="2"/>
        <v>2610.6</v>
      </c>
      <c r="K4112" s="22">
        <f t="shared" si="3"/>
        <v>1</v>
      </c>
      <c r="L4112" s="4">
        <f t="shared" si="4"/>
        <v>1</v>
      </c>
    </row>
    <row r="4113">
      <c r="A4113" s="23">
        <v>182051.0</v>
      </c>
      <c r="B4113" s="24" t="str">
        <f t="array" ref="B4113">xlookup($A4113,product!$A:$A,product!B:B)</f>
        <v>Epicerie sucrée</v>
      </c>
      <c r="C4113" s="24" t="str">
        <f t="array" ref="C4113">xlookup($A4113,product!$A:$A,product!C:C)</f>
        <v>Purée de fruits secs</v>
      </c>
      <c r="D4113" s="24" t="str">
        <f t="array" ref="D4113">xlookup($A4113,product!$A:$A,product!D:D)</f>
        <v>Purée de noisette</v>
      </c>
      <c r="E4113" s="25" t="str">
        <f t="shared" si="1"/>
        <v>182051-Purée de fruits secs-Purée de noisette</v>
      </c>
      <c r="F4113" s="25">
        <v>1.0</v>
      </c>
      <c r="G4113" s="25">
        <v>943.0</v>
      </c>
      <c r="H4113" s="25">
        <v>505.0</v>
      </c>
      <c r="I4113" s="26">
        <f t="array" ref="I4113">XLOOKUP($A4113,product!A:A,product!E:E)</f>
        <v>9.5</v>
      </c>
      <c r="J4113" s="25">
        <f t="shared" si="2"/>
        <v>4797.5</v>
      </c>
      <c r="K4113" s="27">
        <f t="shared" si="3"/>
        <v>1</v>
      </c>
      <c r="L4113" s="25">
        <f t="shared" si="4"/>
        <v>1</v>
      </c>
    </row>
    <row r="4114">
      <c r="A4114" s="19">
        <v>86360.0</v>
      </c>
      <c r="B4114" s="20" t="str">
        <f t="array" ref="B4114">xlookup($A4114,product!$A:$A,product!B:B)</f>
        <v>Epicerie sucrée</v>
      </c>
      <c r="C4114" s="20" t="str">
        <f t="array" ref="C4114">xlookup($A4114,product!$A:$A,product!C:C)</f>
        <v>Purée de fruits secs</v>
      </c>
      <c r="D4114" s="20" t="str">
        <f t="array" ref="D4114">xlookup($A4114,product!$A:$A,product!D:D)</f>
        <v>Purée de pistache</v>
      </c>
      <c r="E4114" s="4" t="str">
        <f t="shared" si="1"/>
        <v>86360-Purée de fruits secs-Purée de pistache</v>
      </c>
      <c r="F4114" s="4">
        <v>0.0</v>
      </c>
      <c r="G4114" s="4">
        <v>404.0</v>
      </c>
      <c r="H4114" s="4">
        <v>309.0</v>
      </c>
      <c r="I4114" s="21">
        <f t="array" ref="I4114">XLOOKUP($A4114,product!A:A,product!E:E)</f>
        <v>4.97</v>
      </c>
      <c r="J4114" s="4">
        <f t="shared" si="2"/>
        <v>1535.73</v>
      </c>
      <c r="K4114" s="22">
        <f t="shared" si="3"/>
        <v>1</v>
      </c>
      <c r="L4114" s="4">
        <f t="shared" si="4"/>
        <v>1</v>
      </c>
    </row>
    <row r="4115">
      <c r="A4115" s="23">
        <v>10566.0</v>
      </c>
      <c r="B4115" s="24" t="str">
        <f t="array" ref="B4115">xlookup($A4115,product!$A:$A,product!B:B)</f>
        <v>Epicerie sucrée</v>
      </c>
      <c r="C4115" s="24" t="str">
        <f t="array" ref="C4115">xlookup($A4115,product!$A:$A,product!C:C)</f>
        <v>Purée de fruits secs</v>
      </c>
      <c r="D4115" s="24" t="str">
        <f t="array" ref="D4115">xlookup($A4115,product!$A:$A,product!D:D)</f>
        <v>Purée de pistache</v>
      </c>
      <c r="E4115" s="25" t="str">
        <f t="shared" si="1"/>
        <v>10566-Purée de fruits secs-Purée de pistache</v>
      </c>
      <c r="F4115" s="25">
        <v>1.0</v>
      </c>
      <c r="G4115" s="25">
        <v>281.0</v>
      </c>
      <c r="H4115" s="25">
        <v>223.0</v>
      </c>
      <c r="I4115" s="26">
        <f t="array" ref="I4115">XLOOKUP($A4115,product!A:A,product!E:E)</f>
        <v>5.66</v>
      </c>
      <c r="J4115" s="25">
        <f t="shared" si="2"/>
        <v>1262.18</v>
      </c>
      <c r="K4115" s="27">
        <f t="shared" si="3"/>
        <v>1</v>
      </c>
      <c r="L4115" s="25">
        <f t="shared" si="4"/>
        <v>1</v>
      </c>
    </row>
    <row r="4116">
      <c r="A4116" s="19">
        <v>182014.0</v>
      </c>
      <c r="B4116" s="20" t="str">
        <f t="array" ref="B4116">xlookup($A4116,product!$A:$A,product!B:B)</f>
        <v>Epicerie sucrée</v>
      </c>
      <c r="C4116" s="20" t="str">
        <f t="array" ref="C4116">xlookup($A4116,product!$A:$A,product!C:C)</f>
        <v>Purée de fruits secs</v>
      </c>
      <c r="D4116" s="20" t="str">
        <f t="array" ref="D4116">xlookup($A4116,product!$A:$A,product!D:D)</f>
        <v>Purée de cacahuète</v>
      </c>
      <c r="E4116" s="4" t="str">
        <f t="shared" si="1"/>
        <v>182014-Purée de fruits secs-Purée de cacahuète</v>
      </c>
      <c r="F4116" s="4">
        <v>1.0</v>
      </c>
      <c r="G4116" s="4">
        <v>325.0</v>
      </c>
      <c r="H4116" s="4">
        <v>141.0</v>
      </c>
      <c r="I4116" s="21">
        <f t="array" ref="I4116">XLOOKUP($A4116,product!A:A,product!E:E)</f>
        <v>3.81</v>
      </c>
      <c r="J4116" s="4">
        <f t="shared" si="2"/>
        <v>537.21</v>
      </c>
      <c r="K4116" s="22">
        <f t="shared" si="3"/>
        <v>1</v>
      </c>
      <c r="L4116" s="4">
        <f t="shared" si="4"/>
        <v>1</v>
      </c>
    </row>
    <row r="4117">
      <c r="A4117" s="23">
        <v>182010.0</v>
      </c>
      <c r="B4117" s="24" t="str">
        <f t="array" ref="B4117">xlookup($A4117,product!$A:$A,product!B:B)</f>
        <v>Epicerie sucrée</v>
      </c>
      <c r="C4117" s="24" t="str">
        <f t="array" ref="C4117">xlookup($A4117,product!$A:$A,product!C:C)</f>
        <v>Purée de fruits secs</v>
      </c>
      <c r="D4117" s="24" t="str">
        <f t="array" ref="D4117">xlookup($A4117,product!$A:$A,product!D:D)</f>
        <v>Purée de cacahuète</v>
      </c>
      <c r="E4117" s="25" t="str">
        <f t="shared" si="1"/>
        <v>182010-Purée de fruits secs-Purée de cacahuète</v>
      </c>
      <c r="F4117" s="25">
        <v>1.0</v>
      </c>
      <c r="G4117" s="25">
        <v>51.0</v>
      </c>
      <c r="H4117" s="25">
        <v>5.0</v>
      </c>
      <c r="I4117" s="26">
        <f t="array" ref="I4117">XLOOKUP($A4117,product!A:A,product!E:E)</f>
        <v>2.05</v>
      </c>
      <c r="J4117" s="25">
        <f t="shared" si="2"/>
        <v>10.25</v>
      </c>
      <c r="K4117" s="27">
        <f t="shared" si="3"/>
        <v>1</v>
      </c>
      <c r="L4117" s="25">
        <f t="shared" si="4"/>
        <v>1</v>
      </c>
    </row>
    <row r="4118">
      <c r="A4118" s="19">
        <v>24076.0</v>
      </c>
      <c r="B4118" s="20" t="str">
        <f t="array" ref="B4118">xlookup($A4118,product!$A:$A,product!B:B)</f>
        <v>Epicerie sucrée</v>
      </c>
      <c r="C4118" s="20" t="str">
        <f t="array" ref="C4118">xlookup($A4118,product!$A:$A,product!C:C)</f>
        <v>Purée de fruits secs</v>
      </c>
      <c r="D4118" s="20" t="str">
        <f t="array" ref="D4118">xlookup($A4118,product!$A:$A,product!D:D)</f>
        <v>Purée de cacahuète</v>
      </c>
      <c r="E4118" s="4" t="str">
        <f t="shared" si="1"/>
        <v>24076-Purée de fruits secs-Purée de cacahuète</v>
      </c>
      <c r="F4118" s="4">
        <v>1.0</v>
      </c>
      <c r="G4118" s="4">
        <v>884.0</v>
      </c>
      <c r="H4118" s="4">
        <v>791.0</v>
      </c>
      <c r="I4118" s="21">
        <f t="array" ref="I4118">XLOOKUP($A4118,product!A:A,product!E:E)</f>
        <v>5.17</v>
      </c>
      <c r="J4118" s="4">
        <f t="shared" si="2"/>
        <v>4089.47</v>
      </c>
      <c r="K4118" s="22">
        <f t="shared" si="3"/>
        <v>1</v>
      </c>
      <c r="L4118" s="4">
        <f t="shared" si="4"/>
        <v>1</v>
      </c>
    </row>
    <row r="4119">
      <c r="A4119" s="23">
        <v>10572.0</v>
      </c>
      <c r="B4119" s="24" t="str">
        <f t="array" ref="B4119">xlookup($A4119,product!$A:$A,product!B:B)</f>
        <v>Epicerie sucrée</v>
      </c>
      <c r="C4119" s="24" t="str">
        <f t="array" ref="C4119">xlookup($A4119,product!$A:$A,product!C:C)</f>
        <v>Purée de fruits secs</v>
      </c>
      <c r="D4119" s="24" t="str">
        <f t="array" ref="D4119">xlookup($A4119,product!$A:$A,product!D:D)</f>
        <v>Purée de cacahuète</v>
      </c>
      <c r="E4119" s="25" t="str">
        <f t="shared" si="1"/>
        <v>10572-Purée de fruits secs-Purée de cacahuète</v>
      </c>
      <c r="F4119" s="25">
        <v>1.0</v>
      </c>
      <c r="G4119" s="25">
        <v>498.0</v>
      </c>
      <c r="H4119" s="25">
        <v>109.0</v>
      </c>
      <c r="I4119" s="26">
        <f t="array" ref="I4119">XLOOKUP($A4119,product!A:A,product!E:E)</f>
        <v>2.71</v>
      </c>
      <c r="J4119" s="25">
        <f t="shared" si="2"/>
        <v>295.39</v>
      </c>
      <c r="K4119" s="27">
        <f t="shared" si="3"/>
        <v>1</v>
      </c>
      <c r="L4119" s="25">
        <f t="shared" si="4"/>
        <v>1</v>
      </c>
    </row>
    <row r="4120">
      <c r="A4120" s="19">
        <v>47527.0</v>
      </c>
      <c r="B4120" s="20" t="str">
        <f t="array" ref="B4120">xlookup($A4120,product!$A:$A,product!B:B)</f>
        <v>Epicerie sucrée</v>
      </c>
      <c r="C4120" s="20" t="str">
        <f t="array" ref="C4120">xlookup($A4120,product!$A:$A,product!C:C)</f>
        <v>Purée de fruits secs</v>
      </c>
      <c r="D4120" s="20" t="str">
        <f t="array" ref="D4120">xlookup($A4120,product!$A:$A,product!D:D)</f>
        <v>Purée de noix de cajou</v>
      </c>
      <c r="E4120" s="4" t="str">
        <f t="shared" si="1"/>
        <v>47527-Purée de fruits secs-Purée de noix de cajou</v>
      </c>
      <c r="F4120" s="4">
        <v>1.0</v>
      </c>
      <c r="G4120" s="4">
        <v>532.0</v>
      </c>
      <c r="H4120" s="4">
        <v>502.0</v>
      </c>
      <c r="I4120" s="21">
        <f t="array" ref="I4120">XLOOKUP($A4120,product!A:A,product!E:E)</f>
        <v>8.44</v>
      </c>
      <c r="J4120" s="4">
        <f t="shared" si="2"/>
        <v>4236.88</v>
      </c>
      <c r="K4120" s="22">
        <f t="shared" si="3"/>
        <v>1</v>
      </c>
      <c r="L4120" s="4">
        <f t="shared" si="4"/>
        <v>1</v>
      </c>
    </row>
    <row r="4121">
      <c r="A4121" s="23">
        <v>10577.0</v>
      </c>
      <c r="B4121" s="24" t="str">
        <f t="array" ref="B4121">xlookup($A4121,product!$A:$A,product!B:B)</f>
        <v>Epicerie sucrée</v>
      </c>
      <c r="C4121" s="24" t="str">
        <f t="array" ref="C4121">xlookup($A4121,product!$A:$A,product!C:C)</f>
        <v>Purée de fruits secs</v>
      </c>
      <c r="D4121" s="24" t="str">
        <f t="array" ref="D4121">xlookup($A4121,product!$A:$A,product!D:D)</f>
        <v>Purée de noix de cajou</v>
      </c>
      <c r="E4121" s="25" t="str">
        <f t="shared" si="1"/>
        <v>10577-Purée de fruits secs-Purée de noix de cajou</v>
      </c>
      <c r="F4121" s="25">
        <v>1.0</v>
      </c>
      <c r="G4121" s="25">
        <v>214.0</v>
      </c>
      <c r="H4121" s="25">
        <v>31.0</v>
      </c>
      <c r="I4121" s="26">
        <f t="array" ref="I4121">XLOOKUP($A4121,product!A:A,product!E:E)</f>
        <v>6.28</v>
      </c>
      <c r="J4121" s="25">
        <f t="shared" si="2"/>
        <v>194.68</v>
      </c>
      <c r="K4121" s="27">
        <f t="shared" si="3"/>
        <v>1</v>
      </c>
      <c r="L4121" s="25">
        <f t="shared" si="4"/>
        <v>1</v>
      </c>
    </row>
    <row r="4122">
      <c r="A4122" s="19">
        <v>81914.0</v>
      </c>
      <c r="B4122" s="20" t="str">
        <f t="array" ref="B4122">xlookup($A4122,product!$A:$A,product!B:B)</f>
        <v>Epicerie sucrée</v>
      </c>
      <c r="C4122" s="20" t="str">
        <f t="array" ref="C4122">xlookup($A4122,product!$A:$A,product!C:C)</f>
        <v>Purée de fruits secs</v>
      </c>
      <c r="D4122" s="20" t="str">
        <f t="array" ref="D4122">xlookup($A4122,product!$A:$A,product!D:D)</f>
        <v>Purée de noix de cajou</v>
      </c>
      <c r="E4122" s="4" t="str">
        <f t="shared" si="1"/>
        <v>81914-Purée de fruits secs-Purée de noix de cajou</v>
      </c>
      <c r="F4122" s="4">
        <v>0.0</v>
      </c>
      <c r="G4122" s="4">
        <v>543.0</v>
      </c>
      <c r="H4122" s="4">
        <v>151.0</v>
      </c>
      <c r="I4122" s="21">
        <f t="array" ref="I4122">XLOOKUP($A4122,product!A:A,product!E:E)</f>
        <v>3.32</v>
      </c>
      <c r="J4122" s="4">
        <f t="shared" si="2"/>
        <v>501.32</v>
      </c>
      <c r="K4122" s="22">
        <f t="shared" si="3"/>
        <v>1</v>
      </c>
      <c r="L4122" s="4">
        <f t="shared" si="4"/>
        <v>1</v>
      </c>
    </row>
    <row r="4123">
      <c r="A4123" s="23">
        <v>120186.0</v>
      </c>
      <c r="B4123" s="24" t="str">
        <f t="array" ref="B4123">xlookup($A4123,product!$A:$A,product!B:B)</f>
        <v>Epicerie sucrée</v>
      </c>
      <c r="C4123" s="24" t="str">
        <f t="array" ref="C4123">xlookup($A4123,product!$A:$A,product!C:C)</f>
        <v>Purée de fruits secs</v>
      </c>
      <c r="D4123" s="24" t="str">
        <f t="array" ref="D4123">xlookup($A4123,product!$A:$A,product!D:D)</f>
        <v>Purée de noix de cajou</v>
      </c>
      <c r="E4123" s="25" t="str">
        <f t="shared" si="1"/>
        <v>120186-Purée de fruits secs-Purée de noix de cajou</v>
      </c>
      <c r="F4123" s="25">
        <v>0.0</v>
      </c>
      <c r="G4123" s="25">
        <v>365.0</v>
      </c>
      <c r="H4123" s="25">
        <v>25.0</v>
      </c>
      <c r="I4123" s="26">
        <f t="array" ref="I4123">XLOOKUP($A4123,product!A:A,product!E:E)</f>
        <v>8.41</v>
      </c>
      <c r="J4123" s="25">
        <f t="shared" si="2"/>
        <v>210.25</v>
      </c>
      <c r="K4123" s="27">
        <f t="shared" si="3"/>
        <v>1</v>
      </c>
      <c r="L4123" s="25">
        <f t="shared" si="4"/>
        <v>1</v>
      </c>
    </row>
    <row r="4124">
      <c r="A4124" s="19">
        <v>182015.0</v>
      </c>
      <c r="B4124" s="20" t="str">
        <f t="array" ref="B4124">xlookup($A4124,product!$A:$A,product!B:B)</f>
        <v>Epicerie sucrée</v>
      </c>
      <c r="C4124" s="20" t="str">
        <f t="array" ref="C4124">xlookup($A4124,product!$A:$A,product!C:C)</f>
        <v>Purée de fruits secs</v>
      </c>
      <c r="D4124" s="20" t="str">
        <f t="array" ref="D4124">xlookup($A4124,product!$A:$A,product!D:D)</f>
        <v>Purée de noix de cajou</v>
      </c>
      <c r="E4124" s="4" t="str">
        <f t="shared" si="1"/>
        <v>182015-Purée de fruits secs-Purée de noix de cajou</v>
      </c>
      <c r="F4124" s="4">
        <v>1.0</v>
      </c>
      <c r="G4124" s="4">
        <v>888.0</v>
      </c>
      <c r="H4124" s="4">
        <v>310.0</v>
      </c>
      <c r="I4124" s="21">
        <f t="array" ref="I4124">XLOOKUP($A4124,product!A:A,product!E:E)</f>
        <v>4.55</v>
      </c>
      <c r="J4124" s="4">
        <f t="shared" si="2"/>
        <v>1410.5</v>
      </c>
      <c r="K4124" s="22">
        <f t="shared" si="3"/>
        <v>1</v>
      </c>
      <c r="L4124" s="4">
        <f t="shared" si="4"/>
        <v>1</v>
      </c>
    </row>
    <row r="4125">
      <c r="A4125" s="23">
        <v>117919.0</v>
      </c>
      <c r="B4125" s="24" t="str">
        <f t="array" ref="B4125">xlookup($A4125,product!$A:$A,product!B:B)</f>
        <v>Epicerie sucrée</v>
      </c>
      <c r="C4125" s="24" t="str">
        <f t="array" ref="C4125">xlookup($A4125,product!$A:$A,product!C:C)</f>
        <v>Purée de fruits secs</v>
      </c>
      <c r="D4125" s="24" t="str">
        <f t="array" ref="D4125">xlookup($A4125,product!$A:$A,product!D:D)</f>
        <v>Purée de noix de cajou</v>
      </c>
      <c r="E4125" s="25" t="str">
        <f t="shared" si="1"/>
        <v>117919-Purée de fruits secs-Purée de noix de cajou</v>
      </c>
      <c r="F4125" s="25">
        <v>0.0</v>
      </c>
      <c r="G4125" s="25">
        <v>32.0</v>
      </c>
      <c r="H4125" s="25">
        <v>15.0</v>
      </c>
      <c r="I4125" s="26">
        <f t="array" ref="I4125">XLOOKUP($A4125,product!A:A,product!E:E)</f>
        <v>4.39</v>
      </c>
      <c r="J4125" s="25">
        <f t="shared" si="2"/>
        <v>65.85</v>
      </c>
      <c r="K4125" s="27">
        <f t="shared" si="3"/>
        <v>1</v>
      </c>
      <c r="L4125" s="25">
        <f t="shared" si="4"/>
        <v>1</v>
      </c>
    </row>
    <row r="4126">
      <c r="A4126" s="19">
        <v>71228.0</v>
      </c>
      <c r="B4126" s="20" t="str">
        <f t="array" ref="B4126">xlookup($A4126,product!$A:$A,product!B:B)</f>
        <v>Epicerie sucrée</v>
      </c>
      <c r="C4126" s="20" t="str">
        <f t="array" ref="C4126">xlookup($A4126,product!$A:$A,product!C:C)</f>
        <v>Tartines et biscottes</v>
      </c>
      <c r="D4126" s="20" t="str">
        <f t="array" ref="D4126">xlookup($A4126,product!$A:$A,product!D:D)</f>
        <v>Galette riz et céréales</v>
      </c>
      <c r="E4126" s="4" t="str">
        <f t="shared" si="1"/>
        <v>71228-Tartines et biscottes-Galette riz et céréales</v>
      </c>
      <c r="F4126" s="4">
        <v>0.0</v>
      </c>
      <c r="G4126" s="4">
        <v>696.0</v>
      </c>
      <c r="H4126" s="4">
        <v>534.0</v>
      </c>
      <c r="I4126" s="21">
        <f t="array" ref="I4126">XLOOKUP($A4126,product!A:A,product!E:E)</f>
        <v>1.17</v>
      </c>
      <c r="J4126" s="4">
        <f t="shared" si="2"/>
        <v>624.78</v>
      </c>
      <c r="K4126" s="22">
        <f t="shared" si="3"/>
        <v>1</v>
      </c>
      <c r="L4126" s="4">
        <f t="shared" si="4"/>
        <v>1</v>
      </c>
    </row>
    <row r="4127">
      <c r="A4127" s="23">
        <v>67264.0</v>
      </c>
      <c r="B4127" s="24" t="str">
        <f t="array" ref="B4127">xlookup($A4127,product!$A:$A,product!B:B)</f>
        <v>Epicerie sucrée</v>
      </c>
      <c r="C4127" s="24" t="str">
        <f t="array" ref="C4127">xlookup($A4127,product!$A:$A,product!C:C)</f>
        <v>Tartines et biscottes</v>
      </c>
      <c r="D4127" s="24" t="str">
        <f t="array" ref="D4127">xlookup($A4127,product!$A:$A,product!D:D)</f>
        <v>Galette riz et céréales</v>
      </c>
      <c r="E4127" s="25" t="str">
        <f t="shared" si="1"/>
        <v>67264-Tartines et biscottes-Galette riz et céréales</v>
      </c>
      <c r="F4127" s="25">
        <v>1.0</v>
      </c>
      <c r="G4127" s="25">
        <v>71.0</v>
      </c>
      <c r="H4127" s="25">
        <v>46.0</v>
      </c>
      <c r="I4127" s="26">
        <f t="array" ref="I4127">XLOOKUP($A4127,product!A:A,product!E:E)</f>
        <v>0.83</v>
      </c>
      <c r="J4127" s="25">
        <f t="shared" si="2"/>
        <v>38.18</v>
      </c>
      <c r="K4127" s="27">
        <f t="shared" si="3"/>
        <v>1</v>
      </c>
      <c r="L4127" s="25">
        <f t="shared" si="4"/>
        <v>1</v>
      </c>
    </row>
    <row r="4128">
      <c r="A4128" s="19">
        <v>82984.0</v>
      </c>
      <c r="B4128" s="20" t="str">
        <f t="array" ref="B4128">xlookup($A4128,product!$A:$A,product!B:B)</f>
        <v>Epicerie sucrée</v>
      </c>
      <c r="C4128" s="20" t="str">
        <f t="array" ref="C4128">xlookup($A4128,product!$A:$A,product!C:C)</f>
        <v>Tartines et biscottes</v>
      </c>
      <c r="D4128" s="20" t="str">
        <f t="array" ref="D4128">xlookup($A4128,product!$A:$A,product!D:D)</f>
        <v>Galette riz et céréales</v>
      </c>
      <c r="E4128" s="4" t="str">
        <f t="shared" si="1"/>
        <v>82984-Tartines et biscottes-Galette riz et céréales</v>
      </c>
      <c r="F4128" s="4">
        <v>1.0</v>
      </c>
      <c r="G4128" s="4">
        <v>502.0</v>
      </c>
      <c r="H4128" s="4">
        <v>291.0</v>
      </c>
      <c r="I4128" s="21">
        <f t="array" ref="I4128">XLOOKUP($A4128,product!A:A,product!E:E)</f>
        <v>1.18</v>
      </c>
      <c r="J4128" s="4">
        <f t="shared" si="2"/>
        <v>343.38</v>
      </c>
      <c r="K4128" s="22">
        <f t="shared" si="3"/>
        <v>1</v>
      </c>
      <c r="L4128" s="4">
        <f t="shared" si="4"/>
        <v>1</v>
      </c>
    </row>
    <row r="4129">
      <c r="A4129" s="23">
        <v>86420.0</v>
      </c>
      <c r="B4129" s="24" t="str">
        <f t="array" ref="B4129">xlookup($A4129,product!$A:$A,product!B:B)</f>
        <v>Epicerie sucrée</v>
      </c>
      <c r="C4129" s="24" t="str">
        <f t="array" ref="C4129">xlookup($A4129,product!$A:$A,product!C:C)</f>
        <v>Tartines et biscottes</v>
      </c>
      <c r="D4129" s="24" t="str">
        <f t="array" ref="D4129">xlookup($A4129,product!$A:$A,product!D:D)</f>
        <v>Galette riz et céréales</v>
      </c>
      <c r="E4129" s="25" t="str">
        <f t="shared" si="1"/>
        <v>86420-Tartines et biscottes-Galette riz et céréales</v>
      </c>
      <c r="F4129" s="25">
        <v>0.0</v>
      </c>
      <c r="G4129" s="25">
        <v>875.0</v>
      </c>
      <c r="H4129" s="25">
        <v>234.0</v>
      </c>
      <c r="I4129" s="26">
        <f t="array" ref="I4129">XLOOKUP($A4129,product!A:A,product!E:E)</f>
        <v>1.41</v>
      </c>
      <c r="J4129" s="25">
        <f t="shared" si="2"/>
        <v>329.94</v>
      </c>
      <c r="K4129" s="27">
        <f t="shared" si="3"/>
        <v>1</v>
      </c>
      <c r="L4129" s="25">
        <f t="shared" si="4"/>
        <v>1</v>
      </c>
    </row>
    <row r="4130">
      <c r="A4130" s="19">
        <v>71227.0</v>
      </c>
      <c r="B4130" s="20" t="str">
        <f t="array" ref="B4130">xlookup($A4130,product!$A:$A,product!B:B)</f>
        <v>Epicerie sucrée</v>
      </c>
      <c r="C4130" s="20" t="str">
        <f t="array" ref="C4130">xlookup($A4130,product!$A:$A,product!C:C)</f>
        <v>Tartines et biscottes</v>
      </c>
      <c r="D4130" s="20" t="str">
        <f t="array" ref="D4130">xlookup($A4130,product!$A:$A,product!D:D)</f>
        <v>Galette riz et céréales</v>
      </c>
      <c r="E4130" s="4" t="str">
        <f t="shared" si="1"/>
        <v>71227-Tartines et biscottes-Galette riz et céréales</v>
      </c>
      <c r="F4130" s="4">
        <v>1.0</v>
      </c>
      <c r="G4130" s="4">
        <v>905.0</v>
      </c>
      <c r="H4130" s="4">
        <v>544.0</v>
      </c>
      <c r="I4130" s="21">
        <f t="array" ref="I4130">XLOOKUP($A4130,product!A:A,product!E:E)</f>
        <v>1.17</v>
      </c>
      <c r="J4130" s="4">
        <f t="shared" si="2"/>
        <v>636.48</v>
      </c>
      <c r="K4130" s="22">
        <f t="shared" si="3"/>
        <v>1</v>
      </c>
      <c r="L4130" s="4">
        <f t="shared" si="4"/>
        <v>1</v>
      </c>
    </row>
    <row r="4131">
      <c r="A4131" s="23">
        <v>18055.0</v>
      </c>
      <c r="B4131" s="24" t="str">
        <f t="array" ref="B4131">xlookup($A4131,product!$A:$A,product!B:B)</f>
        <v>Epicerie sucrée</v>
      </c>
      <c r="C4131" s="24" t="str">
        <f t="array" ref="C4131">xlookup($A4131,product!$A:$A,product!C:C)</f>
        <v>Tartines et biscottes</v>
      </c>
      <c r="D4131" s="24" t="str">
        <f t="array" ref="D4131">xlookup($A4131,product!$A:$A,product!D:D)</f>
        <v>Galette riz et céréales</v>
      </c>
      <c r="E4131" s="25" t="str">
        <f t="shared" si="1"/>
        <v>18055-Tartines et biscottes-Galette riz et céréales</v>
      </c>
      <c r="F4131" s="25">
        <v>1.0</v>
      </c>
      <c r="G4131" s="25">
        <v>743.0</v>
      </c>
      <c r="H4131" s="25">
        <v>274.0</v>
      </c>
      <c r="I4131" s="26">
        <f t="array" ref="I4131">XLOOKUP($A4131,product!A:A,product!E:E)</f>
        <v>0.6</v>
      </c>
      <c r="J4131" s="25">
        <f t="shared" si="2"/>
        <v>164.4</v>
      </c>
      <c r="K4131" s="27">
        <f t="shared" si="3"/>
        <v>1</v>
      </c>
      <c r="L4131" s="25">
        <f t="shared" si="4"/>
        <v>1</v>
      </c>
    </row>
    <row r="4132">
      <c r="A4132" s="19">
        <v>82989.0</v>
      </c>
      <c r="B4132" s="20" t="str">
        <f t="array" ref="B4132">xlookup($A4132,product!$A:$A,product!B:B)</f>
        <v>Epicerie sucrée</v>
      </c>
      <c r="C4132" s="20" t="str">
        <f t="array" ref="C4132">xlookup($A4132,product!$A:$A,product!C:C)</f>
        <v>Tartines et biscottes</v>
      </c>
      <c r="D4132" s="20" t="str">
        <f t="array" ref="D4132">xlookup($A4132,product!$A:$A,product!D:D)</f>
        <v>Galette riz et céréales</v>
      </c>
      <c r="E4132" s="4" t="str">
        <f t="shared" si="1"/>
        <v>82989-Tartines et biscottes-Galette riz et céréales</v>
      </c>
      <c r="F4132" s="4">
        <v>0.0</v>
      </c>
      <c r="G4132" s="4">
        <v>121.0</v>
      </c>
      <c r="H4132" s="4">
        <v>70.0</v>
      </c>
      <c r="I4132" s="21">
        <f t="array" ref="I4132">XLOOKUP($A4132,product!A:A,product!E:E)</f>
        <v>0.6</v>
      </c>
      <c r="J4132" s="4">
        <f t="shared" si="2"/>
        <v>42</v>
      </c>
      <c r="K4132" s="22">
        <f t="shared" si="3"/>
        <v>1</v>
      </c>
      <c r="L4132" s="4">
        <f t="shared" si="4"/>
        <v>1</v>
      </c>
    </row>
    <row r="4133">
      <c r="A4133" s="23">
        <v>86438.0</v>
      </c>
      <c r="B4133" s="24" t="str">
        <f t="array" ref="B4133">xlookup($A4133,product!$A:$A,product!B:B)</f>
        <v>Epicerie sucrée</v>
      </c>
      <c r="C4133" s="24" t="str">
        <f t="array" ref="C4133">xlookup($A4133,product!$A:$A,product!C:C)</f>
        <v>Tartines et biscottes</v>
      </c>
      <c r="D4133" s="24" t="str">
        <f t="array" ref="D4133">xlookup($A4133,product!$A:$A,product!D:D)</f>
        <v>Galette riz et céréales</v>
      </c>
      <c r="E4133" s="25" t="str">
        <f t="shared" si="1"/>
        <v>86438-Tartines et biscottes-Galette riz et céréales</v>
      </c>
      <c r="F4133" s="25">
        <v>1.0</v>
      </c>
      <c r="G4133" s="25">
        <v>477.0</v>
      </c>
      <c r="H4133" s="25">
        <v>215.0</v>
      </c>
      <c r="I4133" s="26">
        <f t="array" ref="I4133">XLOOKUP($A4133,product!A:A,product!E:E)</f>
        <v>1.41</v>
      </c>
      <c r="J4133" s="25">
        <f t="shared" si="2"/>
        <v>303.15</v>
      </c>
      <c r="K4133" s="27">
        <f t="shared" si="3"/>
        <v>1</v>
      </c>
      <c r="L4133" s="25">
        <f t="shared" si="4"/>
        <v>1</v>
      </c>
    </row>
    <row r="4134">
      <c r="A4134" s="19">
        <v>18061.0</v>
      </c>
      <c r="B4134" s="20" t="str">
        <f t="array" ref="B4134">xlookup($A4134,product!$A:$A,product!B:B)</f>
        <v>Epicerie sucrée</v>
      </c>
      <c r="C4134" s="20" t="str">
        <f t="array" ref="C4134">xlookup($A4134,product!$A:$A,product!C:C)</f>
        <v>Tartines et biscottes</v>
      </c>
      <c r="D4134" s="20" t="str">
        <f t="array" ref="D4134">xlookup($A4134,product!$A:$A,product!D:D)</f>
        <v>Galette riz et céréales</v>
      </c>
      <c r="E4134" s="4" t="str">
        <f t="shared" si="1"/>
        <v>18061-Tartines et biscottes-Galette riz et céréales</v>
      </c>
      <c r="F4134" s="4">
        <v>1.0</v>
      </c>
      <c r="G4134" s="4">
        <v>252.0</v>
      </c>
      <c r="H4134" s="4">
        <v>211.0</v>
      </c>
      <c r="I4134" s="21">
        <f t="array" ref="I4134">XLOOKUP($A4134,product!A:A,product!E:E)</f>
        <v>0.99</v>
      </c>
      <c r="J4134" s="4">
        <f t="shared" si="2"/>
        <v>208.89</v>
      </c>
      <c r="K4134" s="22">
        <f t="shared" si="3"/>
        <v>1</v>
      </c>
      <c r="L4134" s="4">
        <f t="shared" si="4"/>
        <v>1</v>
      </c>
    </row>
    <row r="4135">
      <c r="A4135" s="23">
        <v>67265.0</v>
      </c>
      <c r="B4135" s="24" t="str">
        <f t="array" ref="B4135">xlookup($A4135,product!$A:$A,product!B:B)</f>
        <v>Epicerie sucrée</v>
      </c>
      <c r="C4135" s="24" t="str">
        <f t="array" ref="C4135">xlookup($A4135,product!$A:$A,product!C:C)</f>
        <v>Tartines et biscottes</v>
      </c>
      <c r="D4135" s="24" t="str">
        <f t="array" ref="D4135">xlookup($A4135,product!$A:$A,product!D:D)</f>
        <v>Galette riz et céréales</v>
      </c>
      <c r="E4135" s="25" t="str">
        <f t="shared" si="1"/>
        <v>67265-Tartines et biscottes-Galette riz et céréales</v>
      </c>
      <c r="F4135" s="25">
        <v>1.0</v>
      </c>
      <c r="G4135" s="25">
        <v>292.0</v>
      </c>
      <c r="H4135" s="25">
        <v>146.0</v>
      </c>
      <c r="I4135" s="26">
        <f t="array" ref="I4135">XLOOKUP($A4135,product!A:A,product!E:E)</f>
        <v>0.86</v>
      </c>
      <c r="J4135" s="25">
        <f t="shared" si="2"/>
        <v>125.56</v>
      </c>
      <c r="K4135" s="27">
        <f t="shared" si="3"/>
        <v>1</v>
      </c>
      <c r="L4135" s="25">
        <f t="shared" si="4"/>
        <v>1</v>
      </c>
    </row>
    <row r="4136">
      <c r="A4136" s="19">
        <v>69552.0</v>
      </c>
      <c r="B4136" s="20" t="str">
        <f t="array" ref="B4136">xlookup($A4136,product!$A:$A,product!B:B)</f>
        <v>Epicerie sucrée</v>
      </c>
      <c r="C4136" s="20" t="str">
        <f t="array" ref="C4136">xlookup($A4136,product!$A:$A,product!C:C)</f>
        <v>Tartines et biscottes</v>
      </c>
      <c r="D4136" s="20" t="str">
        <f t="array" ref="D4136">xlookup($A4136,product!$A:$A,product!D:D)</f>
        <v>Galette riz et céréales</v>
      </c>
      <c r="E4136" s="4" t="str">
        <f t="shared" si="1"/>
        <v>69552-Tartines et biscottes-Galette riz et céréales</v>
      </c>
      <c r="F4136" s="4">
        <v>1.0</v>
      </c>
      <c r="G4136" s="4">
        <v>951.0</v>
      </c>
      <c r="H4136" s="4">
        <v>301.0</v>
      </c>
      <c r="I4136" s="21">
        <f t="array" ref="I4136">XLOOKUP($A4136,product!A:A,product!E:E)</f>
        <v>1.67</v>
      </c>
      <c r="J4136" s="4">
        <f t="shared" si="2"/>
        <v>502.67</v>
      </c>
      <c r="K4136" s="22">
        <f t="shared" si="3"/>
        <v>1</v>
      </c>
      <c r="L4136" s="4">
        <f t="shared" si="4"/>
        <v>1</v>
      </c>
    </row>
    <row r="4137">
      <c r="A4137" s="23">
        <v>110955.0</v>
      </c>
      <c r="B4137" s="24" t="str">
        <f t="array" ref="B4137">xlookup($A4137,product!$A:$A,product!B:B)</f>
        <v>Epicerie sucrée</v>
      </c>
      <c r="C4137" s="24" t="str">
        <f t="array" ref="C4137">xlookup($A4137,product!$A:$A,product!C:C)</f>
        <v>Tartines et biscottes</v>
      </c>
      <c r="D4137" s="24" t="str">
        <f t="array" ref="D4137">xlookup($A4137,product!$A:$A,product!D:D)</f>
        <v>Tartine craquante, biscotte</v>
      </c>
      <c r="E4137" s="25" t="str">
        <f t="shared" si="1"/>
        <v>110955-Tartines et biscottes-Tartine craquante, biscotte</v>
      </c>
      <c r="F4137" s="25">
        <v>1.0</v>
      </c>
      <c r="G4137" s="25">
        <v>952.0</v>
      </c>
      <c r="H4137" s="25">
        <v>848.0</v>
      </c>
      <c r="I4137" s="26">
        <f t="array" ref="I4137">XLOOKUP($A4137,product!A:A,product!E:E)</f>
        <v>1.16</v>
      </c>
      <c r="J4137" s="25">
        <f t="shared" si="2"/>
        <v>983.68</v>
      </c>
      <c r="K4137" s="27">
        <f t="shared" si="3"/>
        <v>1</v>
      </c>
      <c r="L4137" s="25">
        <f t="shared" si="4"/>
        <v>1</v>
      </c>
    </row>
    <row r="4138">
      <c r="A4138" s="19">
        <v>79505.0</v>
      </c>
      <c r="B4138" s="20" t="str">
        <f t="array" ref="B4138">xlookup($A4138,product!$A:$A,product!B:B)</f>
        <v>Epicerie sucrée</v>
      </c>
      <c r="C4138" s="20" t="str">
        <f t="array" ref="C4138">xlookup($A4138,product!$A:$A,product!C:C)</f>
        <v>Tartines et biscottes</v>
      </c>
      <c r="D4138" s="20" t="str">
        <f t="array" ref="D4138">xlookup($A4138,product!$A:$A,product!D:D)</f>
        <v>Tartine craquante, biscotte</v>
      </c>
      <c r="E4138" s="4" t="str">
        <f t="shared" si="1"/>
        <v>79505-Tartines et biscottes-Tartine craquante, biscotte</v>
      </c>
      <c r="F4138" s="4">
        <v>1.0</v>
      </c>
      <c r="G4138" s="4">
        <v>894.0</v>
      </c>
      <c r="H4138" s="4">
        <v>204.0</v>
      </c>
      <c r="I4138" s="21">
        <f t="array" ref="I4138">XLOOKUP($A4138,product!A:A,product!E:E)</f>
        <v>2.13</v>
      </c>
      <c r="J4138" s="4">
        <f t="shared" si="2"/>
        <v>434.52</v>
      </c>
      <c r="K4138" s="22">
        <f t="shared" si="3"/>
        <v>1</v>
      </c>
      <c r="L4138" s="4">
        <f t="shared" si="4"/>
        <v>1</v>
      </c>
    </row>
    <row r="4139">
      <c r="A4139" s="23">
        <v>110943.0</v>
      </c>
      <c r="B4139" s="24" t="str">
        <f t="array" ref="B4139">xlookup($A4139,product!$A:$A,product!B:B)</f>
        <v>Epicerie sucrée</v>
      </c>
      <c r="C4139" s="24" t="str">
        <f t="array" ref="C4139">xlookup($A4139,product!$A:$A,product!C:C)</f>
        <v>Tartines et biscottes</v>
      </c>
      <c r="D4139" s="24" t="str">
        <f t="array" ref="D4139">xlookup($A4139,product!$A:$A,product!D:D)</f>
        <v>Tartine craquante, biscotte</v>
      </c>
      <c r="E4139" s="25" t="str">
        <f t="shared" si="1"/>
        <v>110943-Tartines et biscottes-Tartine craquante, biscotte</v>
      </c>
      <c r="F4139" s="25">
        <v>0.0</v>
      </c>
      <c r="G4139" s="25">
        <v>75.0</v>
      </c>
      <c r="H4139" s="25">
        <v>21.0</v>
      </c>
      <c r="I4139" s="26">
        <f t="array" ref="I4139">XLOOKUP($A4139,product!A:A,product!E:E)</f>
        <v>2.87</v>
      </c>
      <c r="J4139" s="25">
        <f t="shared" si="2"/>
        <v>60.27</v>
      </c>
      <c r="K4139" s="27">
        <f t="shared" si="3"/>
        <v>1</v>
      </c>
      <c r="L4139" s="25">
        <f t="shared" si="4"/>
        <v>1</v>
      </c>
    </row>
    <row r="4140">
      <c r="A4140" s="19">
        <v>119048.0</v>
      </c>
      <c r="B4140" s="20" t="str">
        <f t="array" ref="B4140">xlookup($A4140,product!$A:$A,product!B:B)</f>
        <v>Epicerie sucrée</v>
      </c>
      <c r="C4140" s="20" t="str">
        <f t="array" ref="C4140">xlookup($A4140,product!$A:$A,product!C:C)</f>
        <v>Tartines et biscottes</v>
      </c>
      <c r="D4140" s="20" t="str">
        <f t="array" ref="D4140">xlookup($A4140,product!$A:$A,product!D:D)</f>
        <v>Tartine craquante, biscotte</v>
      </c>
      <c r="E4140" s="4" t="str">
        <f t="shared" si="1"/>
        <v>119048-Tartines et biscottes-Tartine craquante, biscotte</v>
      </c>
      <c r="F4140" s="4">
        <v>0.0</v>
      </c>
      <c r="G4140" s="4">
        <v>211.0</v>
      </c>
      <c r="H4140" s="4">
        <v>162.0</v>
      </c>
      <c r="I4140" s="21">
        <f t="array" ref="I4140">XLOOKUP($A4140,product!A:A,product!E:E)</f>
        <v>2.03</v>
      </c>
      <c r="J4140" s="4">
        <f t="shared" si="2"/>
        <v>328.86</v>
      </c>
      <c r="K4140" s="22">
        <f t="shared" si="3"/>
        <v>1</v>
      </c>
      <c r="L4140" s="4">
        <f t="shared" si="4"/>
        <v>1</v>
      </c>
    </row>
    <row r="4141">
      <c r="A4141" s="23">
        <v>42695.0</v>
      </c>
      <c r="B4141" s="24" t="str">
        <f t="array" ref="B4141">xlookup($A4141,product!$A:$A,product!B:B)</f>
        <v>Epicerie sucrée</v>
      </c>
      <c r="C4141" s="24" t="str">
        <f t="array" ref="C4141">xlookup($A4141,product!$A:$A,product!C:C)</f>
        <v>Tartines et biscottes</v>
      </c>
      <c r="D4141" s="24" t="str">
        <f t="array" ref="D4141">xlookup($A4141,product!$A:$A,product!D:D)</f>
        <v>Tartine craquante, biscotte</v>
      </c>
      <c r="E4141" s="25" t="str">
        <f t="shared" si="1"/>
        <v>42695-Tartines et biscottes-Tartine craquante, biscotte</v>
      </c>
      <c r="F4141" s="25">
        <v>1.0</v>
      </c>
      <c r="G4141" s="25">
        <v>379.0</v>
      </c>
      <c r="H4141" s="25">
        <v>41.0</v>
      </c>
      <c r="I4141" s="26">
        <f t="array" ref="I4141">XLOOKUP($A4141,product!A:A,product!E:E)</f>
        <v>1.81</v>
      </c>
      <c r="J4141" s="25">
        <f t="shared" si="2"/>
        <v>74.21</v>
      </c>
      <c r="K4141" s="27">
        <f t="shared" si="3"/>
        <v>1</v>
      </c>
      <c r="L4141" s="25">
        <f t="shared" si="4"/>
        <v>1</v>
      </c>
    </row>
    <row r="4142">
      <c r="A4142" s="19">
        <v>88980.0</v>
      </c>
      <c r="B4142" s="20" t="str">
        <f t="array" ref="B4142">xlookup($A4142,product!$A:$A,product!B:B)</f>
        <v>Epicerie sucrée</v>
      </c>
      <c r="C4142" s="20" t="str">
        <f t="array" ref="C4142">xlookup($A4142,product!$A:$A,product!C:C)</f>
        <v>Tartines et biscottes</v>
      </c>
      <c r="D4142" s="20" t="str">
        <f t="array" ref="D4142">xlookup($A4142,product!$A:$A,product!D:D)</f>
        <v>Tartine craquante, biscotte</v>
      </c>
      <c r="E4142" s="4" t="str">
        <f t="shared" si="1"/>
        <v>88980-Tartines et biscottes-Tartine craquante, biscotte</v>
      </c>
      <c r="F4142" s="4">
        <v>0.0</v>
      </c>
      <c r="G4142" s="4">
        <v>107.0</v>
      </c>
      <c r="H4142" s="4">
        <v>30.0</v>
      </c>
      <c r="I4142" s="21">
        <f t="array" ref="I4142">XLOOKUP($A4142,product!A:A,product!E:E)</f>
        <v>1.09</v>
      </c>
      <c r="J4142" s="4">
        <f t="shared" si="2"/>
        <v>32.7</v>
      </c>
      <c r="K4142" s="22">
        <f t="shared" si="3"/>
        <v>1</v>
      </c>
      <c r="L4142" s="4">
        <f t="shared" si="4"/>
        <v>1</v>
      </c>
    </row>
    <row r="4143">
      <c r="A4143" s="23">
        <v>149507.0</v>
      </c>
      <c r="B4143" s="24" t="str">
        <f t="array" ref="B4143">xlookup($A4143,product!$A:$A,product!B:B)</f>
        <v>Epicerie sucrée</v>
      </c>
      <c r="C4143" s="24" t="str">
        <f t="array" ref="C4143">xlookup($A4143,product!$A:$A,product!C:C)</f>
        <v>Tartines et biscottes</v>
      </c>
      <c r="D4143" s="24" t="str">
        <f t="array" ref="D4143">xlookup($A4143,product!$A:$A,product!D:D)</f>
        <v>Tartine craquante, biscotte</v>
      </c>
      <c r="E4143" s="25" t="str">
        <f t="shared" si="1"/>
        <v>149507-Tartines et biscottes-Tartine craquante, biscotte</v>
      </c>
      <c r="F4143" s="25">
        <v>0.0</v>
      </c>
      <c r="G4143" s="25">
        <v>484.0</v>
      </c>
      <c r="H4143" s="25">
        <v>381.0</v>
      </c>
      <c r="I4143" s="26">
        <f t="array" ref="I4143">XLOOKUP($A4143,product!A:A,product!E:E)</f>
        <v>1.88</v>
      </c>
      <c r="J4143" s="25">
        <f t="shared" si="2"/>
        <v>716.28</v>
      </c>
      <c r="K4143" s="27">
        <f t="shared" si="3"/>
        <v>1</v>
      </c>
      <c r="L4143" s="25">
        <f t="shared" si="4"/>
        <v>1</v>
      </c>
    </row>
    <row r="4144">
      <c r="A4144" s="19">
        <v>86988.0</v>
      </c>
      <c r="B4144" s="20" t="str">
        <f t="array" ref="B4144">xlookup($A4144,product!$A:$A,product!B:B)</f>
        <v>Epicerie sucrée</v>
      </c>
      <c r="C4144" s="20" t="str">
        <f t="array" ref="C4144">xlookup($A4144,product!$A:$A,product!C:C)</f>
        <v>Tartines et biscottes</v>
      </c>
      <c r="D4144" s="20" t="str">
        <f t="array" ref="D4144">xlookup($A4144,product!$A:$A,product!D:D)</f>
        <v>Tartine craquante, biscotte</v>
      </c>
      <c r="E4144" s="4" t="str">
        <f t="shared" si="1"/>
        <v>86988-Tartines et biscottes-Tartine craquante, biscotte</v>
      </c>
      <c r="F4144" s="4">
        <v>1.0</v>
      </c>
      <c r="G4144" s="4">
        <v>389.0</v>
      </c>
      <c r="H4144" s="4">
        <v>136.0</v>
      </c>
      <c r="I4144" s="21">
        <f t="array" ref="I4144">XLOOKUP($A4144,product!A:A,product!E:E)</f>
        <v>1.51</v>
      </c>
      <c r="J4144" s="4">
        <f t="shared" si="2"/>
        <v>205.36</v>
      </c>
      <c r="K4144" s="22">
        <f t="shared" si="3"/>
        <v>1</v>
      </c>
      <c r="L4144" s="4">
        <f t="shared" si="4"/>
        <v>1</v>
      </c>
    </row>
    <row r="4145">
      <c r="A4145" s="23">
        <v>73836.0</v>
      </c>
      <c r="B4145" s="24" t="str">
        <f t="array" ref="B4145">xlookup($A4145,product!$A:$A,product!B:B)</f>
        <v>Epicerie sucrée</v>
      </c>
      <c r="C4145" s="24" t="str">
        <f t="array" ref="C4145">xlookup($A4145,product!$A:$A,product!C:C)</f>
        <v>Tartines et biscottes</v>
      </c>
      <c r="D4145" s="24" t="str">
        <f t="array" ref="D4145">xlookup($A4145,product!$A:$A,product!D:D)</f>
        <v>Tartine craquante, biscotte</v>
      </c>
      <c r="E4145" s="25" t="str">
        <f t="shared" si="1"/>
        <v>73836-Tartines et biscottes-Tartine craquante, biscotte</v>
      </c>
      <c r="F4145" s="25">
        <v>1.0</v>
      </c>
      <c r="G4145" s="25">
        <v>172.0</v>
      </c>
      <c r="H4145" s="25">
        <v>73.0</v>
      </c>
      <c r="I4145" s="26">
        <f t="array" ref="I4145">XLOOKUP($A4145,product!A:A,product!E:E)</f>
        <v>1.8</v>
      </c>
      <c r="J4145" s="25">
        <f t="shared" si="2"/>
        <v>131.4</v>
      </c>
      <c r="K4145" s="27">
        <f t="shared" si="3"/>
        <v>1</v>
      </c>
      <c r="L4145" s="25">
        <f t="shared" si="4"/>
        <v>1</v>
      </c>
    </row>
    <row r="4146">
      <c r="A4146" s="19">
        <v>69322.0</v>
      </c>
      <c r="B4146" s="20" t="str">
        <f t="array" ref="B4146">xlookup($A4146,product!$A:$A,product!B:B)</f>
        <v>Epicerie sucrée</v>
      </c>
      <c r="C4146" s="20" t="str">
        <f t="array" ref="C4146">xlookup($A4146,product!$A:$A,product!C:C)</f>
        <v>Tartines et biscottes</v>
      </c>
      <c r="D4146" s="20" t="str">
        <f t="array" ref="D4146">xlookup($A4146,product!$A:$A,product!D:D)</f>
        <v>Tartine craquante, biscotte</v>
      </c>
      <c r="E4146" s="4" t="str">
        <f t="shared" si="1"/>
        <v>69322-Tartines et biscottes-Tartine craquante, biscotte</v>
      </c>
      <c r="F4146" s="4">
        <v>1.0</v>
      </c>
      <c r="G4146" s="4">
        <v>408.0</v>
      </c>
      <c r="H4146" s="4">
        <v>189.0</v>
      </c>
      <c r="I4146" s="21">
        <f t="array" ref="I4146">XLOOKUP($A4146,product!A:A,product!E:E)</f>
        <v>2.46</v>
      </c>
      <c r="J4146" s="4">
        <f t="shared" si="2"/>
        <v>464.94</v>
      </c>
      <c r="K4146" s="22">
        <f t="shared" si="3"/>
        <v>1</v>
      </c>
      <c r="L4146" s="4">
        <f t="shared" si="4"/>
        <v>1</v>
      </c>
    </row>
    <row r="4147">
      <c r="A4147" s="23">
        <v>8696.0</v>
      </c>
      <c r="B4147" s="24" t="str">
        <f t="array" ref="B4147">xlookup($A4147,product!$A:$A,product!B:B)</f>
        <v>Epicerie sucrée</v>
      </c>
      <c r="C4147" s="24" t="str">
        <f t="array" ref="C4147">xlookup($A4147,product!$A:$A,product!C:C)</f>
        <v>Tartines et biscottes</v>
      </c>
      <c r="D4147" s="24" t="str">
        <f t="array" ref="D4147">xlookup($A4147,product!$A:$A,product!D:D)</f>
        <v>Tartine craquante, biscotte</v>
      </c>
      <c r="E4147" s="25" t="str">
        <f t="shared" si="1"/>
        <v>8696-Tartines et biscottes-Tartine craquante, biscotte</v>
      </c>
      <c r="F4147" s="25">
        <v>0.0</v>
      </c>
      <c r="G4147" s="25">
        <v>771.0</v>
      </c>
      <c r="H4147" s="25">
        <v>326.0</v>
      </c>
      <c r="I4147" s="26">
        <f t="array" ref="I4147">XLOOKUP($A4147,product!A:A,product!E:E)</f>
        <v>2.93</v>
      </c>
      <c r="J4147" s="25">
        <f t="shared" si="2"/>
        <v>955.18</v>
      </c>
      <c r="K4147" s="27">
        <f t="shared" si="3"/>
        <v>1</v>
      </c>
      <c r="L4147" s="25">
        <f t="shared" si="4"/>
        <v>1</v>
      </c>
    </row>
    <row r="4148">
      <c r="A4148" s="19">
        <v>119062.0</v>
      </c>
      <c r="B4148" s="20" t="str">
        <f t="array" ref="B4148">xlookup($A4148,product!$A:$A,product!B:B)</f>
        <v>Epicerie sucrée</v>
      </c>
      <c r="C4148" s="20" t="str">
        <f t="array" ref="C4148">xlookup($A4148,product!$A:$A,product!C:C)</f>
        <v>Tartines et biscottes</v>
      </c>
      <c r="D4148" s="20" t="str">
        <f t="array" ref="D4148">xlookup($A4148,product!$A:$A,product!D:D)</f>
        <v>Tartine craquante, biscotte</v>
      </c>
      <c r="E4148" s="4" t="str">
        <f t="shared" si="1"/>
        <v>119062-Tartines et biscottes-Tartine craquante, biscotte</v>
      </c>
      <c r="F4148" s="4">
        <v>0.0</v>
      </c>
      <c r="G4148" s="4">
        <v>4.0</v>
      </c>
      <c r="H4148" s="4">
        <v>3.0</v>
      </c>
      <c r="I4148" s="21">
        <f t="array" ref="I4148">XLOOKUP($A4148,product!A:A,product!E:E)</f>
        <v>1.43</v>
      </c>
      <c r="J4148" s="4">
        <f t="shared" si="2"/>
        <v>4.29</v>
      </c>
      <c r="K4148" s="22">
        <f t="shared" si="3"/>
        <v>1</v>
      </c>
      <c r="L4148" s="4">
        <f t="shared" si="4"/>
        <v>1</v>
      </c>
    </row>
    <row r="4149">
      <c r="A4149" s="23">
        <v>188931.0</v>
      </c>
      <c r="B4149" s="24" t="str">
        <f t="array" ref="B4149">xlookup($A4149,product!$A:$A,product!B:B)</f>
        <v>Epicerie sucrée</v>
      </c>
      <c r="C4149" s="24" t="str">
        <f t="array" ref="C4149">xlookup($A4149,product!$A:$A,product!C:C)</f>
        <v>Tartines et biscottes</v>
      </c>
      <c r="D4149" s="24" t="str">
        <f t="array" ref="D4149">xlookup($A4149,product!$A:$A,product!D:D)</f>
        <v>Tartine craquante, biscotte</v>
      </c>
      <c r="E4149" s="25" t="str">
        <f t="shared" si="1"/>
        <v>188931-Tartines et biscottes-Tartine craquante, biscotte</v>
      </c>
      <c r="F4149" s="25">
        <v>1.0</v>
      </c>
      <c r="G4149" s="25">
        <v>323.0</v>
      </c>
      <c r="H4149" s="25">
        <v>305.0</v>
      </c>
      <c r="I4149" s="26">
        <f t="array" ref="I4149">XLOOKUP($A4149,product!A:A,product!E:E)</f>
        <v>1.66</v>
      </c>
      <c r="J4149" s="25">
        <f t="shared" si="2"/>
        <v>506.3</v>
      </c>
      <c r="K4149" s="27">
        <f t="shared" si="3"/>
        <v>1</v>
      </c>
      <c r="L4149" s="25">
        <f t="shared" si="4"/>
        <v>1</v>
      </c>
    </row>
    <row r="4150">
      <c r="A4150" s="19">
        <v>100238.0</v>
      </c>
      <c r="B4150" s="20" t="str">
        <f t="array" ref="B4150">xlookup($A4150,product!$A:$A,product!B:B)</f>
        <v>Epicerie sucrée</v>
      </c>
      <c r="C4150" s="20" t="str">
        <f t="array" ref="C4150">xlookup($A4150,product!$A:$A,product!C:C)</f>
        <v>Tartines et biscottes</v>
      </c>
      <c r="D4150" s="20" t="str">
        <f t="array" ref="D4150">xlookup($A4150,product!$A:$A,product!D:D)</f>
        <v>Tartine craquante, biscotte</v>
      </c>
      <c r="E4150" s="4" t="str">
        <f t="shared" si="1"/>
        <v>100238-Tartines et biscottes-Tartine craquante, biscotte</v>
      </c>
      <c r="F4150" s="4">
        <v>1.0</v>
      </c>
      <c r="G4150" s="4">
        <v>462.0</v>
      </c>
      <c r="H4150" s="4">
        <v>17.0</v>
      </c>
      <c r="I4150" s="21">
        <f t="array" ref="I4150">XLOOKUP($A4150,product!A:A,product!E:E)</f>
        <v>2.3</v>
      </c>
      <c r="J4150" s="4">
        <f t="shared" si="2"/>
        <v>39.1</v>
      </c>
      <c r="K4150" s="22">
        <f t="shared" si="3"/>
        <v>1</v>
      </c>
      <c r="L4150" s="4">
        <f t="shared" si="4"/>
        <v>1</v>
      </c>
    </row>
    <row r="4151">
      <c r="A4151" s="23">
        <v>47010.0</v>
      </c>
      <c r="B4151" s="24" t="str">
        <f t="array" ref="B4151">xlookup($A4151,product!$A:$A,product!B:B)</f>
        <v>Epicerie sucrée</v>
      </c>
      <c r="C4151" s="24" t="str">
        <f t="array" ref="C4151">xlookup($A4151,product!$A:$A,product!C:C)</f>
        <v>Tartines et biscottes</v>
      </c>
      <c r="D4151" s="24" t="str">
        <f t="array" ref="D4151">xlookup($A4151,product!$A:$A,product!D:D)</f>
        <v>Tartine craquante, biscotte</v>
      </c>
      <c r="E4151" s="25" t="str">
        <f t="shared" si="1"/>
        <v>47010-Tartines et biscottes-Tartine craquante, biscotte</v>
      </c>
      <c r="F4151" s="25">
        <v>0.0</v>
      </c>
      <c r="G4151" s="25">
        <v>512.0</v>
      </c>
      <c r="H4151" s="25">
        <v>38.0</v>
      </c>
      <c r="I4151" s="26">
        <f t="array" ref="I4151">XLOOKUP($A4151,product!A:A,product!E:E)</f>
        <v>1.83</v>
      </c>
      <c r="J4151" s="25">
        <f t="shared" si="2"/>
        <v>69.54</v>
      </c>
      <c r="K4151" s="27">
        <f t="shared" si="3"/>
        <v>1</v>
      </c>
      <c r="L4151" s="25">
        <f t="shared" si="4"/>
        <v>1</v>
      </c>
    </row>
    <row r="4152">
      <c r="A4152" s="19">
        <v>104605.0</v>
      </c>
      <c r="B4152" s="20" t="str">
        <f t="array" ref="B4152">xlookup($A4152,product!$A:$A,product!B:B)</f>
        <v>Epicerie sucrée</v>
      </c>
      <c r="C4152" s="20" t="str">
        <f t="array" ref="C4152">xlookup($A4152,product!$A:$A,product!C:C)</f>
        <v>Tartines et biscottes</v>
      </c>
      <c r="D4152" s="20" t="str">
        <f t="array" ref="D4152">xlookup($A4152,product!$A:$A,product!D:D)</f>
        <v>Tartine craquante, biscotte</v>
      </c>
      <c r="E4152" s="4" t="str">
        <f t="shared" si="1"/>
        <v>104605-Tartines et biscottes-Tartine craquante, biscotte</v>
      </c>
      <c r="F4152" s="4">
        <v>0.0</v>
      </c>
      <c r="G4152" s="4">
        <v>391.0</v>
      </c>
      <c r="H4152" s="4">
        <v>25.0</v>
      </c>
      <c r="I4152" s="21">
        <f t="array" ref="I4152">XLOOKUP($A4152,product!A:A,product!E:E)</f>
        <v>2.14</v>
      </c>
      <c r="J4152" s="4">
        <f t="shared" si="2"/>
        <v>53.5</v>
      </c>
      <c r="K4152" s="22">
        <f t="shared" si="3"/>
        <v>1</v>
      </c>
      <c r="L4152" s="4">
        <f t="shared" si="4"/>
        <v>1</v>
      </c>
    </row>
    <row r="4153">
      <c r="A4153" s="23">
        <v>42694.0</v>
      </c>
      <c r="B4153" s="24" t="str">
        <f t="array" ref="B4153">xlookup($A4153,product!$A:$A,product!B:B)</f>
        <v>Epicerie sucrée</v>
      </c>
      <c r="C4153" s="24" t="str">
        <f t="array" ref="C4153">xlookup($A4153,product!$A:$A,product!C:C)</f>
        <v>Tartines et biscottes</v>
      </c>
      <c r="D4153" s="24" t="str">
        <f t="array" ref="D4153">xlookup($A4153,product!$A:$A,product!D:D)</f>
        <v>Tartine craquante, biscotte</v>
      </c>
      <c r="E4153" s="25" t="str">
        <f t="shared" si="1"/>
        <v>42694-Tartines et biscottes-Tartine craquante, biscotte</v>
      </c>
      <c r="F4153" s="25">
        <v>0.0</v>
      </c>
      <c r="G4153" s="25">
        <v>832.0</v>
      </c>
      <c r="H4153" s="25">
        <v>417.0</v>
      </c>
      <c r="I4153" s="26">
        <f t="array" ref="I4153">XLOOKUP($A4153,product!A:A,product!E:E)</f>
        <v>4.12</v>
      </c>
      <c r="J4153" s="25">
        <f t="shared" si="2"/>
        <v>1718.04</v>
      </c>
      <c r="K4153" s="27">
        <f t="shared" si="3"/>
        <v>1</v>
      </c>
      <c r="L4153" s="25">
        <f t="shared" si="4"/>
        <v>1</v>
      </c>
    </row>
    <row r="4154">
      <c r="A4154" s="19">
        <v>8697.0</v>
      </c>
      <c r="B4154" s="20" t="str">
        <f t="array" ref="B4154">xlookup($A4154,product!$A:$A,product!B:B)</f>
        <v>Epicerie sucrée</v>
      </c>
      <c r="C4154" s="20" t="str">
        <f t="array" ref="C4154">xlookup($A4154,product!$A:$A,product!C:C)</f>
        <v>Tartines et biscottes</v>
      </c>
      <c r="D4154" s="20" t="str">
        <f t="array" ref="D4154">xlookup($A4154,product!$A:$A,product!D:D)</f>
        <v>Tartine craquante, biscotte</v>
      </c>
      <c r="E4154" s="4" t="str">
        <f t="shared" si="1"/>
        <v>8697-Tartines et biscottes-Tartine craquante, biscotte</v>
      </c>
      <c r="F4154" s="4">
        <v>1.0</v>
      </c>
      <c r="G4154" s="4">
        <v>584.0</v>
      </c>
      <c r="H4154" s="4">
        <v>437.0</v>
      </c>
      <c r="I4154" s="21">
        <f t="array" ref="I4154">XLOOKUP($A4154,product!A:A,product!E:E)</f>
        <v>1.69</v>
      </c>
      <c r="J4154" s="4">
        <f t="shared" si="2"/>
        <v>738.53</v>
      </c>
      <c r="K4154" s="22">
        <f t="shared" si="3"/>
        <v>1</v>
      </c>
      <c r="L4154" s="4">
        <f t="shared" si="4"/>
        <v>1</v>
      </c>
    </row>
    <row r="4155">
      <c r="A4155" s="23">
        <v>110957.0</v>
      </c>
      <c r="B4155" s="24" t="str">
        <f t="array" ref="B4155">xlookup($A4155,product!$A:$A,product!B:B)</f>
        <v>Epicerie sucrée</v>
      </c>
      <c r="C4155" s="24" t="str">
        <f t="array" ref="C4155">xlookup($A4155,product!$A:$A,product!C:C)</f>
        <v>Tartines et biscottes</v>
      </c>
      <c r="D4155" s="24" t="str">
        <f t="array" ref="D4155">xlookup($A4155,product!$A:$A,product!D:D)</f>
        <v>Tartine craquante, biscotte</v>
      </c>
      <c r="E4155" s="25" t="str">
        <f t="shared" si="1"/>
        <v>110957-Tartines et biscottes-Tartine craquante, biscotte</v>
      </c>
      <c r="F4155" s="25">
        <v>0.0</v>
      </c>
      <c r="G4155" s="25">
        <v>804.0</v>
      </c>
      <c r="H4155" s="25">
        <v>268.0</v>
      </c>
      <c r="I4155" s="26">
        <f t="array" ref="I4155">XLOOKUP($A4155,product!A:A,product!E:E)</f>
        <v>1.69</v>
      </c>
      <c r="J4155" s="25">
        <f t="shared" si="2"/>
        <v>452.92</v>
      </c>
      <c r="K4155" s="27">
        <f t="shared" si="3"/>
        <v>1</v>
      </c>
      <c r="L4155" s="25">
        <f t="shared" si="4"/>
        <v>1</v>
      </c>
    </row>
    <row r="4156">
      <c r="A4156" s="19">
        <v>86989.0</v>
      </c>
      <c r="B4156" s="20" t="str">
        <f t="array" ref="B4156">xlookup($A4156,product!$A:$A,product!B:B)</f>
        <v>Epicerie sucrée</v>
      </c>
      <c r="C4156" s="20" t="str">
        <f t="array" ref="C4156">xlookup($A4156,product!$A:$A,product!C:C)</f>
        <v>Tartines et biscottes</v>
      </c>
      <c r="D4156" s="20" t="str">
        <f t="array" ref="D4156">xlookup($A4156,product!$A:$A,product!D:D)</f>
        <v>Tartine craquante, biscotte</v>
      </c>
      <c r="E4156" s="4" t="str">
        <f t="shared" si="1"/>
        <v>86989-Tartines et biscottes-Tartine craquante, biscotte</v>
      </c>
      <c r="F4156" s="4">
        <v>0.0</v>
      </c>
      <c r="G4156" s="4">
        <v>495.0</v>
      </c>
      <c r="H4156" s="4">
        <v>0.0</v>
      </c>
      <c r="I4156" s="21">
        <f t="array" ref="I4156">XLOOKUP($A4156,product!A:A,product!E:E)</f>
        <v>1.48</v>
      </c>
      <c r="J4156" s="4">
        <f t="shared" si="2"/>
        <v>0</v>
      </c>
      <c r="K4156" s="22">
        <f t="shared" si="3"/>
        <v>0</v>
      </c>
      <c r="L4156" s="4">
        <f t="shared" si="4"/>
        <v>1</v>
      </c>
    </row>
    <row r="4157">
      <c r="A4157" s="23">
        <v>8695.0</v>
      </c>
      <c r="B4157" s="24" t="str">
        <f t="array" ref="B4157">xlookup($A4157,product!$A:$A,product!B:B)</f>
        <v>Epicerie sucrée</v>
      </c>
      <c r="C4157" s="24" t="str">
        <f t="array" ref="C4157">xlookup($A4157,product!$A:$A,product!C:C)</f>
        <v>Tartines et biscottes</v>
      </c>
      <c r="D4157" s="24" t="str">
        <f t="array" ref="D4157">xlookup($A4157,product!$A:$A,product!D:D)</f>
        <v>Tartine craquante, biscotte</v>
      </c>
      <c r="E4157" s="25" t="str">
        <f t="shared" si="1"/>
        <v>8695-Tartines et biscottes-Tartine craquante, biscotte</v>
      </c>
      <c r="F4157" s="25">
        <v>1.0</v>
      </c>
      <c r="G4157" s="25">
        <v>671.0</v>
      </c>
      <c r="H4157" s="25">
        <v>148.0</v>
      </c>
      <c r="I4157" s="26">
        <f t="array" ref="I4157">XLOOKUP($A4157,product!A:A,product!E:E)</f>
        <v>1.61</v>
      </c>
      <c r="J4157" s="25">
        <f t="shared" si="2"/>
        <v>238.28</v>
      </c>
      <c r="K4157" s="27">
        <f t="shared" si="3"/>
        <v>1</v>
      </c>
      <c r="L4157" s="25">
        <f t="shared" si="4"/>
        <v>1</v>
      </c>
    </row>
    <row r="4158">
      <c r="A4158" s="19">
        <v>122792.0</v>
      </c>
      <c r="B4158" s="20" t="str">
        <f t="array" ref="B4158">xlookup($A4158,product!$A:$A,product!B:B)</f>
        <v>Epicerie sucrée</v>
      </c>
      <c r="C4158" s="20" t="str">
        <f t="array" ref="C4158">xlookup($A4158,product!$A:$A,product!C:C)</f>
        <v>Tartines et biscottes</v>
      </c>
      <c r="D4158" s="20" t="str">
        <f t="array" ref="D4158">xlookup($A4158,product!$A:$A,product!D:D)</f>
        <v>Tartine craquante, biscotte</v>
      </c>
      <c r="E4158" s="4" t="str">
        <f t="shared" si="1"/>
        <v>122792-Tartines et biscottes-Tartine craquante, biscotte</v>
      </c>
      <c r="F4158" s="4">
        <v>0.0</v>
      </c>
      <c r="G4158" s="4">
        <v>922.0</v>
      </c>
      <c r="H4158" s="4">
        <v>158.0</v>
      </c>
      <c r="I4158" s="21">
        <f t="array" ref="I4158">XLOOKUP($A4158,product!A:A,product!E:E)</f>
        <v>1.26</v>
      </c>
      <c r="J4158" s="4">
        <f t="shared" si="2"/>
        <v>199.08</v>
      </c>
      <c r="K4158" s="22">
        <f t="shared" si="3"/>
        <v>1</v>
      </c>
      <c r="L4158" s="4">
        <f t="shared" si="4"/>
        <v>1</v>
      </c>
    </row>
    <row r="4159">
      <c r="A4159" s="23">
        <v>8698.0</v>
      </c>
      <c r="B4159" s="24" t="str">
        <f t="array" ref="B4159">xlookup($A4159,product!$A:$A,product!B:B)</f>
        <v>Epicerie sucrée</v>
      </c>
      <c r="C4159" s="24" t="str">
        <f t="array" ref="C4159">xlookup($A4159,product!$A:$A,product!C:C)</f>
        <v>Tartines et biscottes</v>
      </c>
      <c r="D4159" s="24" t="str">
        <f t="array" ref="D4159">xlookup($A4159,product!$A:$A,product!D:D)</f>
        <v>Tartine craquante, biscotte</v>
      </c>
      <c r="E4159" s="25" t="str">
        <f t="shared" si="1"/>
        <v>8698-Tartines et biscottes-Tartine craquante, biscotte</v>
      </c>
      <c r="F4159" s="25">
        <v>1.0</v>
      </c>
      <c r="G4159" s="25">
        <v>958.0</v>
      </c>
      <c r="H4159" s="25">
        <v>119.0</v>
      </c>
      <c r="I4159" s="26">
        <f t="array" ref="I4159">XLOOKUP($A4159,product!A:A,product!E:E)</f>
        <v>2.27</v>
      </c>
      <c r="J4159" s="25">
        <f t="shared" si="2"/>
        <v>270.13</v>
      </c>
      <c r="K4159" s="27">
        <f t="shared" si="3"/>
        <v>1</v>
      </c>
      <c r="L4159" s="25">
        <f t="shared" si="4"/>
        <v>1</v>
      </c>
    </row>
    <row r="4160">
      <c r="A4160" s="19">
        <v>103866.0</v>
      </c>
      <c r="B4160" s="20" t="str">
        <f t="array" ref="B4160">xlookup($A4160,product!$A:$A,product!B:B)</f>
        <v>Epicerie sucrée</v>
      </c>
      <c r="C4160" s="20" t="str">
        <f t="array" ref="C4160">xlookup($A4160,product!$A:$A,product!C:C)</f>
        <v>Tartines et biscottes</v>
      </c>
      <c r="D4160" s="20" t="str">
        <f t="array" ref="D4160">xlookup($A4160,product!$A:$A,product!D:D)</f>
        <v>Tartine craquante, biscotte</v>
      </c>
      <c r="E4160" s="4" t="str">
        <f t="shared" si="1"/>
        <v>103866-Tartines et biscottes-Tartine craquante, biscotte</v>
      </c>
      <c r="F4160" s="4">
        <v>1.0</v>
      </c>
      <c r="G4160" s="4">
        <v>38.0</v>
      </c>
      <c r="H4160" s="4">
        <v>24.0</v>
      </c>
      <c r="I4160" s="21">
        <f t="array" ref="I4160">XLOOKUP($A4160,product!A:A,product!E:E)</f>
        <v>1.86</v>
      </c>
      <c r="J4160" s="4">
        <f t="shared" si="2"/>
        <v>44.64</v>
      </c>
      <c r="K4160" s="22">
        <f t="shared" si="3"/>
        <v>1</v>
      </c>
      <c r="L4160" s="4">
        <f t="shared" si="4"/>
        <v>1</v>
      </c>
    </row>
    <row r="4161">
      <c r="A4161" s="23">
        <v>103865.0</v>
      </c>
      <c r="B4161" s="24" t="str">
        <f t="array" ref="B4161">xlookup($A4161,product!$A:$A,product!B:B)</f>
        <v>Epicerie sucrée</v>
      </c>
      <c r="C4161" s="24" t="str">
        <f t="array" ref="C4161">xlookup($A4161,product!$A:$A,product!C:C)</f>
        <v>Tartines et biscottes</v>
      </c>
      <c r="D4161" s="24" t="str">
        <f t="array" ref="D4161">xlookup($A4161,product!$A:$A,product!D:D)</f>
        <v>Tartine craquante, biscotte</v>
      </c>
      <c r="E4161" s="25" t="str">
        <f t="shared" si="1"/>
        <v>103865-Tartines et biscottes-Tartine craquante, biscotte</v>
      </c>
      <c r="F4161" s="25">
        <v>0.0</v>
      </c>
      <c r="G4161" s="25">
        <v>279.0</v>
      </c>
      <c r="H4161" s="25">
        <v>208.0</v>
      </c>
      <c r="I4161" s="26">
        <f t="array" ref="I4161">XLOOKUP($A4161,product!A:A,product!E:E)</f>
        <v>2.29</v>
      </c>
      <c r="J4161" s="25">
        <f t="shared" si="2"/>
        <v>476.32</v>
      </c>
      <c r="K4161" s="27">
        <f t="shared" si="3"/>
        <v>1</v>
      </c>
      <c r="L4161" s="25">
        <f t="shared" si="4"/>
        <v>1</v>
      </c>
    </row>
    <row r="4162">
      <c r="A4162" s="19">
        <v>110945.0</v>
      </c>
      <c r="B4162" s="20" t="str">
        <f t="array" ref="B4162">xlookup($A4162,product!$A:$A,product!B:B)</f>
        <v>Epicerie sucrée</v>
      </c>
      <c r="C4162" s="20" t="str">
        <f t="array" ref="C4162">xlookup($A4162,product!$A:$A,product!C:C)</f>
        <v>Tartines et biscottes</v>
      </c>
      <c r="D4162" s="20" t="str">
        <f t="array" ref="D4162">xlookup($A4162,product!$A:$A,product!D:D)</f>
        <v>Tartine craquante, biscotte</v>
      </c>
      <c r="E4162" s="4" t="str">
        <f t="shared" si="1"/>
        <v>110945-Tartines et biscottes-Tartine craquante, biscotte</v>
      </c>
      <c r="F4162" s="4">
        <v>1.0</v>
      </c>
      <c r="G4162" s="4">
        <v>586.0</v>
      </c>
      <c r="H4162" s="4">
        <v>400.0</v>
      </c>
      <c r="I4162" s="21">
        <f t="array" ref="I4162">XLOOKUP($A4162,product!A:A,product!E:E)</f>
        <v>2.87</v>
      </c>
      <c r="J4162" s="4">
        <f t="shared" si="2"/>
        <v>1148</v>
      </c>
      <c r="K4162" s="22">
        <f t="shared" si="3"/>
        <v>1</v>
      </c>
      <c r="L4162" s="4">
        <f t="shared" si="4"/>
        <v>1</v>
      </c>
    </row>
    <row r="4163">
      <c r="A4163" s="23">
        <v>158671.0</v>
      </c>
      <c r="B4163" s="24" t="str">
        <f t="array" ref="B4163">xlookup($A4163,product!$A:$A,product!B:B)</f>
        <v>Epicerie sucrée</v>
      </c>
      <c r="C4163" s="24" t="str">
        <f t="array" ref="C4163">xlookup($A4163,product!$A:$A,product!C:C)</f>
        <v>Tartines et biscottes</v>
      </c>
      <c r="D4163" s="24" t="str">
        <f t="array" ref="D4163">xlookup($A4163,product!$A:$A,product!D:D)</f>
        <v>Tartine craquante, biscotte</v>
      </c>
      <c r="E4163" s="25" t="str">
        <f t="shared" si="1"/>
        <v>158671-Tartines et biscottes-Tartine craquante, biscotte</v>
      </c>
      <c r="F4163" s="25">
        <v>0.0</v>
      </c>
      <c r="G4163" s="25">
        <v>630.0</v>
      </c>
      <c r="H4163" s="25">
        <v>203.0</v>
      </c>
      <c r="I4163" s="26">
        <f t="array" ref="I4163">XLOOKUP($A4163,product!A:A,product!E:E)</f>
        <v>6.19</v>
      </c>
      <c r="J4163" s="25">
        <f t="shared" si="2"/>
        <v>1256.57</v>
      </c>
      <c r="K4163" s="27">
        <f t="shared" si="3"/>
        <v>1</v>
      </c>
      <c r="L4163" s="25">
        <f t="shared" si="4"/>
        <v>1</v>
      </c>
    </row>
    <row r="4164">
      <c r="A4164" s="19">
        <v>118915.0</v>
      </c>
      <c r="B4164" s="20" t="str">
        <f t="array" ref="B4164">xlookup($A4164,product!$A:$A,product!B:B)</f>
        <v>Epicerie sucrée</v>
      </c>
      <c r="C4164" s="20" t="str">
        <f t="array" ref="C4164">xlookup($A4164,product!$A:$A,product!C:C)</f>
        <v>Tartines et biscottes</v>
      </c>
      <c r="D4164" s="20" t="str">
        <f t="array" ref="D4164">xlookup($A4164,product!$A:$A,product!D:D)</f>
        <v>Tartine craquante, biscotte</v>
      </c>
      <c r="E4164" s="4" t="str">
        <f t="shared" si="1"/>
        <v>118915-Tartines et biscottes-Tartine craquante, biscotte</v>
      </c>
      <c r="F4164" s="4">
        <v>1.0</v>
      </c>
      <c r="G4164" s="4">
        <v>541.0</v>
      </c>
      <c r="H4164" s="4">
        <v>154.0</v>
      </c>
      <c r="I4164" s="21">
        <f t="array" ref="I4164">XLOOKUP($A4164,product!A:A,product!E:E)</f>
        <v>2.16</v>
      </c>
      <c r="J4164" s="4">
        <f t="shared" si="2"/>
        <v>332.64</v>
      </c>
      <c r="K4164" s="22">
        <f t="shared" si="3"/>
        <v>1</v>
      </c>
      <c r="L4164" s="4">
        <f t="shared" si="4"/>
        <v>1</v>
      </c>
    </row>
    <row r="4165">
      <c r="A4165" s="23">
        <v>88990.0</v>
      </c>
      <c r="B4165" s="24" t="str">
        <f t="array" ref="B4165">xlookup($A4165,product!$A:$A,product!B:B)</f>
        <v>Epicerie sucrée</v>
      </c>
      <c r="C4165" s="24" t="str">
        <f t="array" ref="C4165">xlookup($A4165,product!$A:$A,product!C:C)</f>
        <v>Tartines et biscottes</v>
      </c>
      <c r="D4165" s="24" t="str">
        <f t="array" ref="D4165">xlookup($A4165,product!$A:$A,product!D:D)</f>
        <v>Tartine craquante, biscotte</v>
      </c>
      <c r="E4165" s="25" t="str">
        <f t="shared" si="1"/>
        <v>88990-Tartines et biscottes-Tartine craquante, biscotte</v>
      </c>
      <c r="F4165" s="25">
        <v>1.0</v>
      </c>
      <c r="G4165" s="25">
        <v>175.0</v>
      </c>
      <c r="H4165" s="25">
        <v>106.0</v>
      </c>
      <c r="I4165" s="26">
        <f t="array" ref="I4165">XLOOKUP($A4165,product!A:A,product!E:E)</f>
        <v>1.14</v>
      </c>
      <c r="J4165" s="25">
        <f t="shared" si="2"/>
        <v>120.84</v>
      </c>
      <c r="K4165" s="27">
        <f t="shared" si="3"/>
        <v>1</v>
      </c>
      <c r="L4165" s="25">
        <f t="shared" si="4"/>
        <v>1</v>
      </c>
    </row>
    <row r="4166">
      <c r="A4166" s="19">
        <v>73835.0</v>
      </c>
      <c r="B4166" s="20" t="str">
        <f t="array" ref="B4166">xlookup($A4166,product!$A:$A,product!B:B)</f>
        <v>Epicerie sucrée</v>
      </c>
      <c r="C4166" s="20" t="str">
        <f t="array" ref="C4166">xlookup($A4166,product!$A:$A,product!C:C)</f>
        <v>Tartines et biscottes</v>
      </c>
      <c r="D4166" s="20" t="str">
        <f t="array" ref="D4166">xlookup($A4166,product!$A:$A,product!D:D)</f>
        <v>Tartine craquante, biscotte</v>
      </c>
      <c r="E4166" s="4" t="str">
        <f t="shared" si="1"/>
        <v>73835-Tartines et biscottes-Tartine craquante, biscotte</v>
      </c>
      <c r="F4166" s="4">
        <v>1.0</v>
      </c>
      <c r="G4166" s="4">
        <v>586.0</v>
      </c>
      <c r="H4166" s="4">
        <v>569.0</v>
      </c>
      <c r="I4166" s="21">
        <f t="array" ref="I4166">XLOOKUP($A4166,product!A:A,product!E:E)</f>
        <v>1.52</v>
      </c>
      <c r="J4166" s="4">
        <f t="shared" si="2"/>
        <v>864.88</v>
      </c>
      <c r="K4166" s="22">
        <f t="shared" si="3"/>
        <v>1</v>
      </c>
      <c r="L4166" s="4">
        <f t="shared" si="4"/>
        <v>1</v>
      </c>
    </row>
    <row r="4167">
      <c r="A4167" s="23">
        <v>8699.0</v>
      </c>
      <c r="B4167" s="24" t="str">
        <f t="array" ref="B4167">xlookup($A4167,product!$A:$A,product!B:B)</f>
        <v>Epicerie sucrée</v>
      </c>
      <c r="C4167" s="24" t="str">
        <f t="array" ref="C4167">xlookup($A4167,product!$A:$A,product!C:C)</f>
        <v>Tartines et biscottes</v>
      </c>
      <c r="D4167" s="24" t="str">
        <f t="array" ref="D4167">xlookup($A4167,product!$A:$A,product!D:D)</f>
        <v>Tartine craquante, biscotte</v>
      </c>
      <c r="E4167" s="25" t="str">
        <f t="shared" si="1"/>
        <v>8699-Tartines et biscottes-Tartine craquante, biscotte</v>
      </c>
      <c r="F4167" s="25">
        <v>0.0</v>
      </c>
      <c r="G4167" s="25">
        <v>140.0</v>
      </c>
      <c r="H4167" s="25">
        <v>85.0</v>
      </c>
      <c r="I4167" s="26">
        <f t="array" ref="I4167">XLOOKUP($A4167,product!A:A,product!E:E)</f>
        <v>2.28</v>
      </c>
      <c r="J4167" s="25">
        <f t="shared" si="2"/>
        <v>193.8</v>
      </c>
      <c r="K4167" s="27">
        <f t="shared" si="3"/>
        <v>1</v>
      </c>
      <c r="L4167" s="25">
        <f t="shared" si="4"/>
        <v>1</v>
      </c>
    </row>
    <row r="4168">
      <c r="A4168" s="19">
        <v>81494.0</v>
      </c>
      <c r="B4168" s="20" t="str">
        <f t="array" ref="B4168">xlookup($A4168,product!$A:$A,product!B:B)</f>
        <v>Epicerie sucrée</v>
      </c>
      <c r="C4168" s="20" t="str">
        <f t="array" ref="C4168">xlookup($A4168,product!$A:$A,product!C:C)</f>
        <v>Tartines et biscottes</v>
      </c>
      <c r="D4168" s="20" t="str">
        <f t="array" ref="D4168">xlookup($A4168,product!$A:$A,product!D:D)</f>
        <v>Tartine craquante, biscotte</v>
      </c>
      <c r="E4168" s="4" t="str">
        <f t="shared" si="1"/>
        <v>81494-Tartines et biscottes-Tartine craquante, biscotte</v>
      </c>
      <c r="F4168" s="4">
        <v>0.0</v>
      </c>
      <c r="G4168" s="4">
        <v>249.0</v>
      </c>
      <c r="H4168" s="4">
        <v>24.0</v>
      </c>
      <c r="I4168" s="21">
        <f t="array" ref="I4168">XLOOKUP($A4168,product!A:A,product!E:E)</f>
        <v>1.91</v>
      </c>
      <c r="J4168" s="4">
        <f t="shared" si="2"/>
        <v>45.84</v>
      </c>
      <c r="K4168" s="22">
        <f t="shared" si="3"/>
        <v>1</v>
      </c>
      <c r="L4168" s="4">
        <f t="shared" si="4"/>
        <v>1</v>
      </c>
    </row>
    <row r="4169">
      <c r="A4169" s="23">
        <v>89821.0</v>
      </c>
      <c r="B4169" s="24" t="str">
        <f t="array" ref="B4169">xlookup($A4169,product!$A:$A,product!B:B)</f>
        <v>Epicerie sucrée</v>
      </c>
      <c r="C4169" s="24" t="str">
        <f t="array" ref="C4169">xlookup($A4169,product!$A:$A,product!C:C)</f>
        <v>Tartines et biscottes</v>
      </c>
      <c r="D4169" s="24" t="str">
        <f t="array" ref="D4169">xlookup($A4169,product!$A:$A,product!D:D)</f>
        <v>Tartine craquante, biscotte</v>
      </c>
      <c r="E4169" s="25" t="str">
        <f t="shared" si="1"/>
        <v>89821-Tartines et biscottes-Tartine craquante, biscotte</v>
      </c>
      <c r="F4169" s="25">
        <v>1.0</v>
      </c>
      <c r="G4169" s="25">
        <v>781.0</v>
      </c>
      <c r="H4169" s="25">
        <v>284.0</v>
      </c>
      <c r="I4169" s="26">
        <f t="array" ref="I4169">XLOOKUP($A4169,product!A:A,product!E:E)</f>
        <v>2.34</v>
      </c>
      <c r="J4169" s="25">
        <f t="shared" si="2"/>
        <v>664.56</v>
      </c>
      <c r="K4169" s="27">
        <f t="shared" si="3"/>
        <v>1</v>
      </c>
      <c r="L4169" s="25">
        <f t="shared" si="4"/>
        <v>1</v>
      </c>
    </row>
    <row r="4170">
      <c r="A4170" s="19">
        <v>83567.0</v>
      </c>
      <c r="B4170" s="20" t="str">
        <f t="array" ref="B4170">xlookup($A4170,product!$A:$A,product!B:B)</f>
        <v>Epicerie sucrée</v>
      </c>
      <c r="C4170" s="20" t="str">
        <f t="array" ref="C4170">xlookup($A4170,product!$A:$A,product!C:C)</f>
        <v>Tartines et biscottes</v>
      </c>
      <c r="D4170" s="20" t="str">
        <f t="array" ref="D4170">xlookup($A4170,product!$A:$A,product!D:D)</f>
        <v>Tartine craquante, biscotte</v>
      </c>
      <c r="E4170" s="4" t="str">
        <f t="shared" si="1"/>
        <v>83567-Tartines et biscottes-Tartine craquante, biscotte</v>
      </c>
      <c r="F4170" s="4">
        <v>0.0</v>
      </c>
      <c r="G4170" s="4">
        <v>806.0</v>
      </c>
      <c r="H4170" s="4">
        <v>322.0</v>
      </c>
      <c r="I4170" s="21">
        <f t="array" ref="I4170">XLOOKUP($A4170,product!A:A,product!E:E)</f>
        <v>2.68</v>
      </c>
      <c r="J4170" s="4">
        <f t="shared" si="2"/>
        <v>862.96</v>
      </c>
      <c r="K4170" s="22">
        <f t="shared" si="3"/>
        <v>1</v>
      </c>
      <c r="L4170" s="4">
        <f t="shared" si="4"/>
        <v>1</v>
      </c>
    </row>
    <row r="4171">
      <c r="A4171" s="23">
        <v>69323.0</v>
      </c>
      <c r="B4171" s="24" t="str">
        <f t="array" ref="B4171">xlookup($A4171,product!$A:$A,product!B:B)</f>
        <v>Epicerie sucrée</v>
      </c>
      <c r="C4171" s="24" t="str">
        <f t="array" ref="C4171">xlookup($A4171,product!$A:$A,product!C:C)</f>
        <v>Tartines et biscottes</v>
      </c>
      <c r="D4171" s="24" t="str">
        <f t="array" ref="D4171">xlookup($A4171,product!$A:$A,product!D:D)</f>
        <v>Tartine craquante, biscotte</v>
      </c>
      <c r="E4171" s="25" t="str">
        <f t="shared" si="1"/>
        <v>69323-Tartines et biscottes-Tartine craquante, biscotte</v>
      </c>
      <c r="F4171" s="25">
        <v>1.0</v>
      </c>
      <c r="G4171" s="25">
        <v>800.0</v>
      </c>
      <c r="H4171" s="25">
        <v>723.0</v>
      </c>
      <c r="I4171" s="26">
        <f t="array" ref="I4171">XLOOKUP($A4171,product!A:A,product!E:E)</f>
        <v>2.46</v>
      </c>
      <c r="J4171" s="25">
        <f t="shared" si="2"/>
        <v>1778.58</v>
      </c>
      <c r="K4171" s="27">
        <f t="shared" si="3"/>
        <v>1</v>
      </c>
      <c r="L4171" s="25">
        <f t="shared" si="4"/>
        <v>1</v>
      </c>
    </row>
    <row r="4172">
      <c r="A4172" s="19">
        <v>88976.0</v>
      </c>
      <c r="B4172" s="20" t="str">
        <f t="array" ref="B4172">xlookup($A4172,product!$A:$A,product!B:B)</f>
        <v>Epicerie sucrée</v>
      </c>
      <c r="C4172" s="20" t="str">
        <f t="array" ref="C4172">xlookup($A4172,product!$A:$A,product!C:C)</f>
        <v>Tartines et biscottes</v>
      </c>
      <c r="D4172" s="20" t="str">
        <f t="array" ref="D4172">xlookup($A4172,product!$A:$A,product!D:D)</f>
        <v>Tartine craquante, biscotte</v>
      </c>
      <c r="E4172" s="4" t="str">
        <f t="shared" si="1"/>
        <v>88976-Tartines et biscottes-Tartine craquante, biscotte</v>
      </c>
      <c r="F4172" s="4">
        <v>0.0</v>
      </c>
      <c r="G4172" s="4">
        <v>374.0</v>
      </c>
      <c r="H4172" s="4">
        <v>135.0</v>
      </c>
      <c r="I4172" s="21">
        <f t="array" ref="I4172">XLOOKUP($A4172,product!A:A,product!E:E)</f>
        <v>1.16</v>
      </c>
      <c r="J4172" s="4">
        <f t="shared" si="2"/>
        <v>156.6</v>
      </c>
      <c r="K4172" s="22">
        <f t="shared" si="3"/>
        <v>1</v>
      </c>
      <c r="L4172" s="4">
        <f t="shared" si="4"/>
        <v>1</v>
      </c>
    </row>
    <row r="4173">
      <c r="A4173" s="23">
        <v>199415.0</v>
      </c>
      <c r="B4173" s="24" t="str">
        <f t="array" ref="B4173">xlookup($A4173,product!$A:$A,product!B:B)</f>
        <v>Epicerie sucrée</v>
      </c>
      <c r="C4173" s="24" t="str">
        <f t="array" ref="C4173">xlookup($A4173,product!$A:$A,product!C:C)</f>
        <v>Tartines et biscottes</v>
      </c>
      <c r="D4173" s="24" t="str">
        <f t="array" ref="D4173">xlookup($A4173,product!$A:$A,product!D:D)</f>
        <v>Tartine craquante, biscotte</v>
      </c>
      <c r="E4173" s="25" t="str">
        <f t="shared" si="1"/>
        <v>199415-Tartines et biscottes-Tartine craquante, biscotte</v>
      </c>
      <c r="F4173" s="25">
        <v>0.0</v>
      </c>
      <c r="G4173" s="25">
        <v>822.0</v>
      </c>
      <c r="H4173" s="25">
        <v>390.0</v>
      </c>
      <c r="I4173" s="26">
        <f t="array" ref="I4173">XLOOKUP($A4173,product!A:A,product!E:E)</f>
        <v>1.95</v>
      </c>
      <c r="J4173" s="25">
        <f t="shared" si="2"/>
        <v>760.5</v>
      </c>
      <c r="K4173" s="27">
        <f t="shared" si="3"/>
        <v>1</v>
      </c>
      <c r="L4173" s="25">
        <f t="shared" si="4"/>
        <v>1</v>
      </c>
    </row>
    <row r="4174">
      <c r="A4174" s="19">
        <v>112792.0</v>
      </c>
      <c r="B4174" s="20" t="str">
        <f t="array" ref="B4174">xlookup($A4174,product!$A:$A,product!B:B)</f>
        <v>Epicerie sucrée</v>
      </c>
      <c r="C4174" s="20" t="str">
        <f t="array" ref="C4174">xlookup($A4174,product!$A:$A,product!C:C)</f>
        <v>Tartines et biscottes</v>
      </c>
      <c r="D4174" s="20" t="str">
        <f t="array" ref="D4174">xlookup($A4174,product!$A:$A,product!D:D)</f>
        <v>Tartine craquante, biscotte</v>
      </c>
      <c r="E4174" s="4" t="str">
        <f t="shared" si="1"/>
        <v>112792-Tartines et biscottes-Tartine craquante, biscotte</v>
      </c>
      <c r="F4174" s="4">
        <v>1.0</v>
      </c>
      <c r="G4174" s="4">
        <v>631.0</v>
      </c>
      <c r="H4174" s="4">
        <v>526.0</v>
      </c>
      <c r="I4174" s="21">
        <f t="array" ref="I4174">XLOOKUP($A4174,product!A:A,product!E:E)</f>
        <v>2.12</v>
      </c>
      <c r="J4174" s="4">
        <f t="shared" si="2"/>
        <v>1115.12</v>
      </c>
      <c r="K4174" s="22">
        <f t="shared" si="3"/>
        <v>1</v>
      </c>
      <c r="L4174" s="4">
        <f t="shared" si="4"/>
        <v>1</v>
      </c>
    </row>
    <row r="4175">
      <c r="A4175" s="23">
        <v>104322.0</v>
      </c>
      <c r="B4175" s="24" t="str">
        <f t="array" ref="B4175">xlookup($A4175,product!$A:$A,product!B:B)</f>
        <v>Epicerie sucrée</v>
      </c>
      <c r="C4175" s="24" t="str">
        <f t="array" ref="C4175">xlookup($A4175,product!$A:$A,product!C:C)</f>
        <v>Tartines et biscottes</v>
      </c>
      <c r="D4175" s="24" t="str">
        <f t="array" ref="D4175">xlookup($A4175,product!$A:$A,product!D:D)</f>
        <v>Tartine craquante, biscotte</v>
      </c>
      <c r="E4175" s="25" t="str">
        <f t="shared" si="1"/>
        <v>104322-Tartines et biscottes-Tartine craquante, biscotte</v>
      </c>
      <c r="F4175" s="25">
        <v>0.0</v>
      </c>
      <c r="G4175" s="25">
        <v>495.0</v>
      </c>
      <c r="H4175" s="25">
        <v>119.0</v>
      </c>
      <c r="I4175" s="26">
        <f t="array" ref="I4175">XLOOKUP($A4175,product!A:A,product!E:E)</f>
        <v>2.3</v>
      </c>
      <c r="J4175" s="25">
        <f t="shared" si="2"/>
        <v>273.7</v>
      </c>
      <c r="K4175" s="27">
        <f t="shared" si="3"/>
        <v>1</v>
      </c>
      <c r="L4175" s="25">
        <f t="shared" si="4"/>
        <v>1</v>
      </c>
    </row>
    <row r="4176">
      <c r="A4176" s="19">
        <v>69321.0</v>
      </c>
      <c r="B4176" s="20" t="str">
        <f t="array" ref="B4176">xlookup($A4176,product!$A:$A,product!B:B)</f>
        <v>Epicerie sucrée</v>
      </c>
      <c r="C4176" s="20" t="str">
        <f t="array" ref="C4176">xlookup($A4176,product!$A:$A,product!C:C)</f>
        <v>Tartines et biscottes</v>
      </c>
      <c r="D4176" s="20" t="str">
        <f t="array" ref="D4176">xlookup($A4176,product!$A:$A,product!D:D)</f>
        <v>Tartine craquante, biscotte</v>
      </c>
      <c r="E4176" s="4" t="str">
        <f t="shared" si="1"/>
        <v>69321-Tartines et biscottes-Tartine craquante, biscotte</v>
      </c>
      <c r="F4176" s="4">
        <v>1.0</v>
      </c>
      <c r="G4176" s="4">
        <v>864.0</v>
      </c>
      <c r="H4176" s="4">
        <v>510.0</v>
      </c>
      <c r="I4176" s="21">
        <f t="array" ref="I4176">XLOOKUP($A4176,product!A:A,product!E:E)</f>
        <v>1.92</v>
      </c>
      <c r="J4176" s="4">
        <f t="shared" si="2"/>
        <v>979.2</v>
      </c>
      <c r="K4176" s="22">
        <f t="shared" si="3"/>
        <v>1</v>
      </c>
      <c r="L4176" s="4">
        <f t="shared" si="4"/>
        <v>1</v>
      </c>
    </row>
    <row r="4177">
      <c r="A4177" s="23">
        <v>110948.0</v>
      </c>
      <c r="B4177" s="24" t="str">
        <f t="array" ref="B4177">xlookup($A4177,product!$A:$A,product!B:B)</f>
        <v>Epicerie sucrée</v>
      </c>
      <c r="C4177" s="24" t="str">
        <f t="array" ref="C4177">xlookup($A4177,product!$A:$A,product!C:C)</f>
        <v>Tartines et biscottes</v>
      </c>
      <c r="D4177" s="24" t="str">
        <f t="array" ref="D4177">xlookup($A4177,product!$A:$A,product!D:D)</f>
        <v>Tartine craquante, biscotte</v>
      </c>
      <c r="E4177" s="25" t="str">
        <f t="shared" si="1"/>
        <v>110948-Tartines et biscottes-Tartine craquante, biscotte</v>
      </c>
      <c r="F4177" s="25">
        <v>1.0</v>
      </c>
      <c r="G4177" s="25">
        <v>80.0</v>
      </c>
      <c r="H4177" s="25">
        <v>52.0</v>
      </c>
      <c r="I4177" s="26">
        <f t="array" ref="I4177">XLOOKUP($A4177,product!A:A,product!E:E)</f>
        <v>2.87</v>
      </c>
      <c r="J4177" s="25">
        <f t="shared" si="2"/>
        <v>149.24</v>
      </c>
      <c r="K4177" s="27">
        <f t="shared" si="3"/>
        <v>1</v>
      </c>
      <c r="L4177" s="25">
        <f t="shared" si="4"/>
        <v>1</v>
      </c>
    </row>
    <row r="4178">
      <c r="A4178" s="19">
        <v>82008.0</v>
      </c>
      <c r="B4178" s="20" t="str">
        <f t="array" ref="B4178">xlookup($A4178,product!$A:$A,product!B:B)</f>
        <v>Epicerie sucrée</v>
      </c>
      <c r="C4178" s="20" t="str">
        <f t="array" ref="C4178">xlookup($A4178,product!$A:$A,product!C:C)</f>
        <v>Tartines et biscottes</v>
      </c>
      <c r="D4178" s="20" t="str">
        <f t="array" ref="D4178">xlookup($A4178,product!$A:$A,product!D:D)</f>
        <v>Tartine craquante, biscotte</v>
      </c>
      <c r="E4178" s="4" t="str">
        <f t="shared" si="1"/>
        <v>82008-Tartines et biscottes-Tartine craquante, biscotte</v>
      </c>
      <c r="F4178" s="4">
        <v>1.0</v>
      </c>
      <c r="G4178" s="4">
        <v>533.0</v>
      </c>
      <c r="H4178" s="4">
        <v>93.0</v>
      </c>
      <c r="I4178" s="21">
        <f t="array" ref="I4178">XLOOKUP($A4178,product!A:A,product!E:E)</f>
        <v>1.73</v>
      </c>
      <c r="J4178" s="4">
        <f t="shared" si="2"/>
        <v>160.89</v>
      </c>
      <c r="K4178" s="22">
        <f t="shared" si="3"/>
        <v>1</v>
      </c>
      <c r="L4178" s="4">
        <f t="shared" si="4"/>
        <v>1</v>
      </c>
    </row>
    <row r="4179">
      <c r="A4179" s="23">
        <v>86987.0</v>
      </c>
      <c r="B4179" s="24" t="str">
        <f t="array" ref="B4179">xlookup($A4179,product!$A:$A,product!B:B)</f>
        <v>Epicerie sucrée</v>
      </c>
      <c r="C4179" s="24" t="str">
        <f t="array" ref="C4179">xlookup($A4179,product!$A:$A,product!C:C)</f>
        <v>Tartines et biscottes</v>
      </c>
      <c r="D4179" s="24" t="str">
        <f t="array" ref="D4179">xlookup($A4179,product!$A:$A,product!D:D)</f>
        <v>Tartine craquante, biscotte</v>
      </c>
      <c r="E4179" s="25" t="str">
        <f t="shared" si="1"/>
        <v>86987-Tartines et biscottes-Tartine craquante, biscotte</v>
      </c>
      <c r="F4179" s="25">
        <v>1.0</v>
      </c>
      <c r="G4179" s="25">
        <v>429.0</v>
      </c>
      <c r="H4179" s="25">
        <v>327.0</v>
      </c>
      <c r="I4179" s="26">
        <f t="array" ref="I4179">XLOOKUP($A4179,product!A:A,product!E:E)</f>
        <v>1.84</v>
      </c>
      <c r="J4179" s="25">
        <f t="shared" si="2"/>
        <v>601.68</v>
      </c>
      <c r="K4179" s="27">
        <f t="shared" si="3"/>
        <v>1</v>
      </c>
      <c r="L4179" s="25">
        <f t="shared" si="4"/>
        <v>1</v>
      </c>
    </row>
    <row r="4180">
      <c r="A4180" s="19">
        <v>118912.0</v>
      </c>
      <c r="B4180" s="20" t="str">
        <f t="array" ref="B4180">xlookup($A4180,product!$A:$A,product!B:B)</f>
        <v>Epicerie sucrée</v>
      </c>
      <c r="C4180" s="20" t="str">
        <f t="array" ref="C4180">xlookup($A4180,product!$A:$A,product!C:C)</f>
        <v>Tartines et biscottes</v>
      </c>
      <c r="D4180" s="20" t="str">
        <f t="array" ref="D4180">xlookup($A4180,product!$A:$A,product!D:D)</f>
        <v>Tartine craquante, biscotte</v>
      </c>
      <c r="E4180" s="4" t="str">
        <f t="shared" si="1"/>
        <v>118912-Tartines et biscottes-Tartine craquante, biscotte</v>
      </c>
      <c r="F4180" s="4">
        <v>1.0</v>
      </c>
      <c r="G4180" s="4">
        <v>289.0</v>
      </c>
      <c r="H4180" s="4">
        <v>9.0</v>
      </c>
      <c r="I4180" s="21">
        <f t="array" ref="I4180">XLOOKUP($A4180,product!A:A,product!E:E)</f>
        <v>1.69</v>
      </c>
      <c r="J4180" s="4">
        <f t="shared" si="2"/>
        <v>15.21</v>
      </c>
      <c r="K4180" s="22">
        <f t="shared" si="3"/>
        <v>1</v>
      </c>
      <c r="L4180" s="4">
        <f t="shared" si="4"/>
        <v>1</v>
      </c>
    </row>
    <row r="4181">
      <c r="A4181" s="23">
        <v>47048.0</v>
      </c>
      <c r="B4181" s="24" t="str">
        <f t="array" ref="B4181">xlookup($A4181,product!$A:$A,product!B:B)</f>
        <v>Epicerie sucrée</v>
      </c>
      <c r="C4181" s="24" t="str">
        <f t="array" ref="C4181">xlookup($A4181,product!$A:$A,product!C:C)</f>
        <v>Tartines et biscottes</v>
      </c>
      <c r="D4181" s="24" t="str">
        <f t="array" ref="D4181">xlookup($A4181,product!$A:$A,product!D:D)</f>
        <v>Tartine craquante, biscotte</v>
      </c>
      <c r="E4181" s="25" t="str">
        <f t="shared" si="1"/>
        <v>47048-Tartines et biscottes-Tartine craquante, biscotte</v>
      </c>
      <c r="F4181" s="25">
        <v>0.0</v>
      </c>
      <c r="G4181" s="25">
        <v>459.0</v>
      </c>
      <c r="H4181" s="25">
        <v>343.0</v>
      </c>
      <c r="I4181" s="26">
        <f t="array" ref="I4181">XLOOKUP($A4181,product!A:A,product!E:E)</f>
        <v>1.83</v>
      </c>
      <c r="J4181" s="25">
        <f t="shared" si="2"/>
        <v>627.69</v>
      </c>
      <c r="K4181" s="27">
        <f t="shared" si="3"/>
        <v>1</v>
      </c>
      <c r="L4181" s="25">
        <f t="shared" si="4"/>
        <v>1</v>
      </c>
    </row>
    <row r="4182">
      <c r="A4182" s="19">
        <v>103870.0</v>
      </c>
      <c r="B4182" s="20" t="str">
        <f t="array" ref="B4182">xlookup($A4182,product!$A:$A,product!B:B)</f>
        <v>Epicerie sucrée</v>
      </c>
      <c r="C4182" s="20" t="str">
        <f t="array" ref="C4182">xlookup($A4182,product!$A:$A,product!C:C)</f>
        <v>Tartines et biscottes</v>
      </c>
      <c r="D4182" s="20" t="str">
        <f t="array" ref="D4182">xlookup($A4182,product!$A:$A,product!D:D)</f>
        <v>Tartine craquante, biscotte</v>
      </c>
      <c r="E4182" s="4" t="str">
        <f t="shared" si="1"/>
        <v>103870-Tartines et biscottes-Tartine craquante, biscotte</v>
      </c>
      <c r="F4182" s="4">
        <v>0.0</v>
      </c>
      <c r="G4182" s="4">
        <v>39.0</v>
      </c>
      <c r="H4182" s="4">
        <v>24.0</v>
      </c>
      <c r="I4182" s="21">
        <f t="array" ref="I4182">XLOOKUP($A4182,product!A:A,product!E:E)</f>
        <v>2.08</v>
      </c>
      <c r="J4182" s="4">
        <f t="shared" si="2"/>
        <v>49.92</v>
      </c>
      <c r="K4182" s="22">
        <f t="shared" si="3"/>
        <v>1</v>
      </c>
      <c r="L4182" s="4">
        <f t="shared" si="4"/>
        <v>1</v>
      </c>
    </row>
    <row r="4183">
      <c r="A4183" s="23">
        <v>86985.0</v>
      </c>
      <c r="B4183" s="24" t="str">
        <f t="array" ref="B4183">xlookup($A4183,product!$A:$A,product!B:B)</f>
        <v>Epicerie sucrée</v>
      </c>
      <c r="C4183" s="24" t="str">
        <f t="array" ref="C4183">xlookup($A4183,product!$A:$A,product!C:C)</f>
        <v>Tartines et biscottes</v>
      </c>
      <c r="D4183" s="24" t="str">
        <f t="array" ref="D4183">xlookup($A4183,product!$A:$A,product!D:D)</f>
        <v>Tartine craquante, biscotte</v>
      </c>
      <c r="E4183" s="25" t="str">
        <f t="shared" si="1"/>
        <v>86985-Tartines et biscottes-Tartine craquante, biscotte</v>
      </c>
      <c r="F4183" s="25">
        <v>1.0</v>
      </c>
      <c r="G4183" s="25">
        <v>760.0</v>
      </c>
      <c r="H4183" s="25">
        <v>679.0</v>
      </c>
      <c r="I4183" s="26">
        <f t="array" ref="I4183">XLOOKUP($A4183,product!A:A,product!E:E)</f>
        <v>2.28</v>
      </c>
      <c r="J4183" s="25">
        <f t="shared" si="2"/>
        <v>1548.12</v>
      </c>
      <c r="K4183" s="27">
        <f t="shared" si="3"/>
        <v>1</v>
      </c>
      <c r="L4183" s="25">
        <f t="shared" si="4"/>
        <v>1</v>
      </c>
    </row>
    <row r="4184">
      <c r="A4184" s="19">
        <v>82005.0</v>
      </c>
      <c r="B4184" s="20" t="str">
        <f t="array" ref="B4184">xlookup($A4184,product!$A:$A,product!B:B)</f>
        <v>Epicerie sucrée</v>
      </c>
      <c r="C4184" s="20" t="str">
        <f t="array" ref="C4184">xlookup($A4184,product!$A:$A,product!C:C)</f>
        <v>Tartines et biscottes</v>
      </c>
      <c r="D4184" s="20" t="str">
        <f t="array" ref="D4184">xlookup($A4184,product!$A:$A,product!D:D)</f>
        <v>Tartine craquante, biscotte</v>
      </c>
      <c r="E4184" s="4" t="str">
        <f t="shared" si="1"/>
        <v>82005-Tartines et biscottes-Tartine craquante, biscotte</v>
      </c>
      <c r="F4184" s="4">
        <v>1.0</v>
      </c>
      <c r="G4184" s="4">
        <v>54.0</v>
      </c>
      <c r="H4184" s="4">
        <v>21.0</v>
      </c>
      <c r="I4184" s="21">
        <f t="array" ref="I4184">XLOOKUP($A4184,product!A:A,product!E:E)</f>
        <v>1.27</v>
      </c>
      <c r="J4184" s="4">
        <f t="shared" si="2"/>
        <v>26.67</v>
      </c>
      <c r="K4184" s="22">
        <f t="shared" si="3"/>
        <v>1</v>
      </c>
      <c r="L4184" s="4">
        <f t="shared" si="4"/>
        <v>1</v>
      </c>
    </row>
    <row r="4185">
      <c r="A4185" s="23">
        <v>119053.0</v>
      </c>
      <c r="B4185" s="24" t="str">
        <f t="array" ref="B4185">xlookup($A4185,product!$A:$A,product!B:B)</f>
        <v>Epicerie sucrée</v>
      </c>
      <c r="C4185" s="24" t="str">
        <f t="array" ref="C4185">xlookup($A4185,product!$A:$A,product!C:C)</f>
        <v>Tartines et biscottes</v>
      </c>
      <c r="D4185" s="24" t="str">
        <f t="array" ref="D4185">xlookup($A4185,product!$A:$A,product!D:D)</f>
        <v>Tartine craquante, biscotte</v>
      </c>
      <c r="E4185" s="25" t="str">
        <f t="shared" si="1"/>
        <v>119053-Tartines et biscottes-Tartine craquante, biscotte</v>
      </c>
      <c r="F4185" s="25">
        <v>0.0</v>
      </c>
      <c r="G4185" s="25">
        <v>655.0</v>
      </c>
      <c r="H4185" s="25">
        <v>543.0</v>
      </c>
      <c r="I4185" s="26">
        <f t="array" ref="I4185">XLOOKUP($A4185,product!A:A,product!E:E)</f>
        <v>1.91</v>
      </c>
      <c r="J4185" s="25">
        <f t="shared" si="2"/>
        <v>1037.13</v>
      </c>
      <c r="K4185" s="27">
        <f t="shared" si="3"/>
        <v>1</v>
      </c>
      <c r="L4185" s="25">
        <f t="shared" si="4"/>
        <v>1</v>
      </c>
    </row>
    <row r="4186">
      <c r="A4186" s="19">
        <v>102015.0</v>
      </c>
      <c r="B4186" s="20" t="str">
        <f t="array" ref="B4186">xlookup($A4186,product!$A:$A,product!B:B)</f>
        <v>Extérieur</v>
      </c>
      <c r="C4186" s="20" t="str">
        <f t="array" ref="C4186">xlookup($A4186,product!$A:$A,product!C:C)</f>
        <v>Transport écologique</v>
      </c>
      <c r="D4186" s="20" t="str">
        <f t="array" ref="D4186">xlookup($A4186,product!$A:$A,product!D:D)</f>
        <v>Trottinettes</v>
      </c>
      <c r="E4186" s="4" t="str">
        <f t="shared" si="1"/>
        <v>102015-Transport écologique-Trottinettes</v>
      </c>
      <c r="F4186" s="4">
        <v>1.0</v>
      </c>
      <c r="G4186" s="4">
        <v>5.0</v>
      </c>
      <c r="H4186" s="4">
        <v>2.0</v>
      </c>
      <c r="I4186" s="21">
        <f t="array" ref="I4186">XLOOKUP($A4186,product!A:A,product!E:E)</f>
        <v>34.66</v>
      </c>
      <c r="J4186" s="4">
        <f t="shared" si="2"/>
        <v>69.32</v>
      </c>
      <c r="K4186" s="22">
        <f t="shared" si="3"/>
        <v>1</v>
      </c>
      <c r="L4186" s="4">
        <f t="shared" si="4"/>
        <v>1</v>
      </c>
    </row>
    <row r="4187">
      <c r="A4187" s="23">
        <v>92823.0</v>
      </c>
      <c r="B4187" s="24" t="str">
        <f t="array" ref="B4187">xlookup($A4187,product!$A:$A,product!B:B)</f>
        <v>Maison</v>
      </c>
      <c r="C4187" s="24" t="str">
        <f t="array" ref="C4187">xlookup($A4187,product!$A:$A,product!C:C)</f>
        <v>Ustensiles de cuisine</v>
      </c>
      <c r="D4187" s="24" t="str">
        <f t="array" ref="D4187">xlookup($A4187,product!$A:$A,product!D:D)</f>
        <v>Germoirs</v>
      </c>
      <c r="E4187" s="25" t="str">
        <f t="shared" si="1"/>
        <v>92823-Ustensiles de cuisine-Germoirs</v>
      </c>
      <c r="F4187" s="25">
        <v>0.0</v>
      </c>
      <c r="G4187" s="25">
        <v>67.0</v>
      </c>
      <c r="H4187" s="25">
        <v>29.0</v>
      </c>
      <c r="I4187" s="26">
        <f t="array" ref="I4187">XLOOKUP($A4187,product!A:A,product!E:E)</f>
        <v>12.29</v>
      </c>
      <c r="J4187" s="25">
        <f t="shared" si="2"/>
        <v>356.41</v>
      </c>
      <c r="K4187" s="27">
        <f t="shared" si="3"/>
        <v>1</v>
      </c>
      <c r="L4187" s="25">
        <f t="shared" si="4"/>
        <v>1</v>
      </c>
    </row>
    <row r="4188">
      <c r="A4188" s="19">
        <v>108060.0</v>
      </c>
      <c r="B4188" s="20" t="str">
        <f t="array" ref="B4188">xlookup($A4188,product!$A:$A,product!B:B)</f>
        <v>Maison</v>
      </c>
      <c r="C4188" s="20" t="str">
        <f t="array" ref="C4188">xlookup($A4188,product!$A:$A,product!C:C)</f>
        <v>Ustensiles de cuisine</v>
      </c>
      <c r="D4188" s="20" t="str">
        <f t="array" ref="D4188">xlookup($A4188,product!$A:$A,product!D:D)</f>
        <v>Germoirs</v>
      </c>
      <c r="E4188" s="4" t="str">
        <f t="shared" si="1"/>
        <v>108060-Ustensiles de cuisine-Germoirs</v>
      </c>
      <c r="F4188" s="4">
        <v>0.0</v>
      </c>
      <c r="G4188" s="4">
        <v>787.0</v>
      </c>
      <c r="H4188" s="4">
        <v>413.0</v>
      </c>
      <c r="I4188" s="21">
        <f t="array" ref="I4188">XLOOKUP($A4188,product!A:A,product!E:E)</f>
        <v>28.45</v>
      </c>
      <c r="J4188" s="4">
        <f t="shared" si="2"/>
        <v>11749.85</v>
      </c>
      <c r="K4188" s="22">
        <f t="shared" si="3"/>
        <v>1</v>
      </c>
      <c r="L4188" s="4">
        <f t="shared" si="4"/>
        <v>1</v>
      </c>
    </row>
    <row r="4189">
      <c r="A4189" s="23">
        <v>4214.0</v>
      </c>
      <c r="B4189" s="24" t="str">
        <f t="array" ref="B4189">xlookup($A4189,product!$A:$A,product!B:B)</f>
        <v>Maison</v>
      </c>
      <c r="C4189" s="24" t="str">
        <f t="array" ref="C4189">xlookup($A4189,product!$A:$A,product!C:C)</f>
        <v>Ustensiles de cuisine</v>
      </c>
      <c r="D4189" s="24" t="str">
        <f t="array" ref="D4189">xlookup($A4189,product!$A:$A,product!D:D)</f>
        <v>Germoirs</v>
      </c>
      <c r="E4189" s="25" t="str">
        <f t="shared" si="1"/>
        <v>4214-Ustensiles de cuisine-Germoirs</v>
      </c>
      <c r="F4189" s="25">
        <v>0.0</v>
      </c>
      <c r="G4189" s="25">
        <v>90.0</v>
      </c>
      <c r="H4189" s="25">
        <v>7.0</v>
      </c>
      <c r="I4189" s="26">
        <f t="array" ref="I4189">XLOOKUP($A4189,product!A:A,product!E:E)</f>
        <v>4.56</v>
      </c>
      <c r="J4189" s="25">
        <f t="shared" si="2"/>
        <v>31.92</v>
      </c>
      <c r="K4189" s="27">
        <f t="shared" si="3"/>
        <v>1</v>
      </c>
      <c r="L4189" s="25">
        <f t="shared" si="4"/>
        <v>1</v>
      </c>
    </row>
    <row r="4190">
      <c r="A4190" s="19">
        <v>14715.0</v>
      </c>
      <c r="B4190" s="20" t="str">
        <f t="array" ref="B4190">xlookup($A4190,product!$A:$A,product!B:B)</f>
        <v>Maison</v>
      </c>
      <c r="C4190" s="20" t="str">
        <f t="array" ref="C4190">xlookup($A4190,product!$A:$A,product!C:C)</f>
        <v>Ustensiles de cuisine</v>
      </c>
      <c r="D4190" s="20" t="str">
        <f t="array" ref="D4190">xlookup($A4190,product!$A:$A,product!D:D)</f>
        <v>Germoirs</v>
      </c>
      <c r="E4190" s="4" t="str">
        <f t="shared" si="1"/>
        <v>14715-Ustensiles de cuisine-Germoirs</v>
      </c>
      <c r="F4190" s="4">
        <v>1.0</v>
      </c>
      <c r="G4190" s="4">
        <v>856.0</v>
      </c>
      <c r="H4190" s="4">
        <v>105.0</v>
      </c>
      <c r="I4190" s="21">
        <f t="array" ref="I4190">XLOOKUP($A4190,product!A:A,product!E:E)</f>
        <v>4.12</v>
      </c>
      <c r="J4190" s="4">
        <f t="shared" si="2"/>
        <v>432.6</v>
      </c>
      <c r="K4190" s="22">
        <f t="shared" si="3"/>
        <v>1</v>
      </c>
      <c r="L4190" s="4">
        <f t="shared" si="4"/>
        <v>1</v>
      </c>
    </row>
    <row r="4191">
      <c r="A4191" s="23">
        <v>16771.0</v>
      </c>
      <c r="B4191" s="24" t="str">
        <f t="array" ref="B4191">xlookup($A4191,product!$A:$A,product!B:B)</f>
        <v>Maison</v>
      </c>
      <c r="C4191" s="24" t="str">
        <f t="array" ref="C4191">xlookup($A4191,product!$A:$A,product!C:C)</f>
        <v>Ustensiles de cuisine</v>
      </c>
      <c r="D4191" s="24" t="str">
        <f t="array" ref="D4191">xlookup($A4191,product!$A:$A,product!D:D)</f>
        <v>Pâtisserie</v>
      </c>
      <c r="E4191" s="25" t="str">
        <f t="shared" si="1"/>
        <v>16771-Ustensiles de cuisine-Pâtisserie</v>
      </c>
      <c r="F4191" s="25">
        <v>0.0</v>
      </c>
      <c r="G4191" s="25">
        <v>669.0</v>
      </c>
      <c r="H4191" s="25">
        <v>294.0</v>
      </c>
      <c r="I4191" s="26">
        <f t="array" ref="I4191">XLOOKUP($A4191,product!A:A,product!E:E)</f>
        <v>4.76</v>
      </c>
      <c r="J4191" s="25">
        <f t="shared" si="2"/>
        <v>1399.44</v>
      </c>
      <c r="K4191" s="27">
        <f t="shared" si="3"/>
        <v>1</v>
      </c>
      <c r="L4191" s="25">
        <f t="shared" si="4"/>
        <v>1</v>
      </c>
    </row>
    <row r="4192">
      <c r="A4192" s="19">
        <v>97945.0</v>
      </c>
      <c r="B4192" s="20" t="str">
        <f t="array" ref="B4192">xlookup($A4192,product!$A:$A,product!B:B)</f>
        <v>Maison</v>
      </c>
      <c r="C4192" s="20" t="str">
        <f t="array" ref="C4192">xlookup($A4192,product!$A:$A,product!C:C)</f>
        <v>Ustensiles de cuisine</v>
      </c>
      <c r="D4192" s="20" t="str">
        <f t="array" ref="D4192">xlookup($A4192,product!$A:$A,product!D:D)</f>
        <v>Pâtisserie</v>
      </c>
      <c r="E4192" s="4" t="str">
        <f t="shared" si="1"/>
        <v>97945-Ustensiles de cuisine-Pâtisserie</v>
      </c>
      <c r="F4192" s="4">
        <v>1.0</v>
      </c>
      <c r="G4192" s="4">
        <v>10.0</v>
      </c>
      <c r="H4192" s="4">
        <v>0.0</v>
      </c>
      <c r="I4192" s="21">
        <f t="array" ref="I4192">XLOOKUP($A4192,product!A:A,product!E:E)</f>
        <v>1.81</v>
      </c>
      <c r="J4192" s="4">
        <f t="shared" si="2"/>
        <v>0</v>
      </c>
      <c r="K4192" s="22">
        <f t="shared" si="3"/>
        <v>0</v>
      </c>
      <c r="L4192" s="4">
        <f t="shared" si="4"/>
        <v>1</v>
      </c>
    </row>
    <row r="4193">
      <c r="A4193" s="23">
        <v>144740.0</v>
      </c>
      <c r="B4193" s="24" t="str">
        <f t="array" ref="B4193">xlookup($A4193,product!$A:$A,product!B:B)</f>
        <v>Maison</v>
      </c>
      <c r="C4193" s="24" t="str">
        <f t="array" ref="C4193">xlookup($A4193,product!$A:$A,product!C:C)</f>
        <v>Ustensiles de cuisine</v>
      </c>
      <c r="D4193" s="24" t="str">
        <f t="array" ref="D4193">xlookup($A4193,product!$A:$A,product!D:D)</f>
        <v>Pâtisserie</v>
      </c>
      <c r="E4193" s="25" t="str">
        <f t="shared" si="1"/>
        <v>144740-Ustensiles de cuisine-Pâtisserie</v>
      </c>
      <c r="F4193" s="25">
        <v>1.0</v>
      </c>
      <c r="G4193" s="25">
        <v>505.0</v>
      </c>
      <c r="H4193" s="25">
        <v>375.0</v>
      </c>
      <c r="I4193" s="26">
        <f t="array" ref="I4193">XLOOKUP($A4193,product!A:A,product!E:E)</f>
        <v>4.25</v>
      </c>
      <c r="J4193" s="25">
        <f t="shared" si="2"/>
        <v>1593.75</v>
      </c>
      <c r="K4193" s="27">
        <f t="shared" si="3"/>
        <v>1</v>
      </c>
      <c r="L4193" s="25">
        <f t="shared" si="4"/>
        <v>1</v>
      </c>
    </row>
    <row r="4194">
      <c r="A4194" s="19">
        <v>75342.0</v>
      </c>
      <c r="B4194" s="20" t="str">
        <f t="array" ref="B4194">xlookup($A4194,product!$A:$A,product!B:B)</f>
        <v>Maison</v>
      </c>
      <c r="C4194" s="20" t="str">
        <f t="array" ref="C4194">xlookup($A4194,product!$A:$A,product!C:C)</f>
        <v>Ustensiles de cuisine</v>
      </c>
      <c r="D4194" s="20" t="str">
        <f t="array" ref="D4194">xlookup($A4194,product!$A:$A,product!D:D)</f>
        <v>Tapis de cuisson</v>
      </c>
      <c r="E4194" s="4" t="str">
        <f t="shared" si="1"/>
        <v>75342-Ustensiles de cuisine-Tapis de cuisson</v>
      </c>
      <c r="F4194" s="4">
        <v>0.0</v>
      </c>
      <c r="G4194" s="4">
        <v>269.0</v>
      </c>
      <c r="H4194" s="4">
        <v>110.0</v>
      </c>
      <c r="I4194" s="21">
        <f t="array" ref="I4194">XLOOKUP($A4194,product!A:A,product!E:E)</f>
        <v>6.15</v>
      </c>
      <c r="J4194" s="4">
        <f t="shared" si="2"/>
        <v>676.5</v>
      </c>
      <c r="K4194" s="22">
        <f t="shared" si="3"/>
        <v>1</v>
      </c>
      <c r="L4194" s="4">
        <f t="shared" si="4"/>
        <v>1</v>
      </c>
    </row>
    <row r="4195">
      <c r="A4195" s="23">
        <v>88189.0</v>
      </c>
      <c r="B4195" s="24" t="str">
        <f t="array" ref="B4195">xlookup($A4195,product!$A:$A,product!B:B)</f>
        <v>Maison</v>
      </c>
      <c r="C4195" s="24" t="str">
        <f t="array" ref="C4195">xlookup($A4195,product!$A:$A,product!C:C)</f>
        <v>Ustensiles de cuisine</v>
      </c>
      <c r="D4195" s="24" t="str">
        <f t="array" ref="D4195">xlookup($A4195,product!$A:$A,product!D:D)</f>
        <v>Ustensiles de découpe</v>
      </c>
      <c r="E4195" s="25" t="str">
        <f t="shared" si="1"/>
        <v>88189-Ustensiles de cuisine-Ustensiles de découpe</v>
      </c>
      <c r="F4195" s="25">
        <v>1.0</v>
      </c>
      <c r="G4195" s="25">
        <v>14.0</v>
      </c>
      <c r="H4195" s="25">
        <v>2.0</v>
      </c>
      <c r="I4195" s="26">
        <f t="array" ref="I4195">XLOOKUP($A4195,product!A:A,product!E:E)</f>
        <v>1.04</v>
      </c>
      <c r="J4195" s="25">
        <f t="shared" si="2"/>
        <v>2.08</v>
      </c>
      <c r="K4195" s="27">
        <f t="shared" si="3"/>
        <v>1</v>
      </c>
      <c r="L4195" s="25">
        <f t="shared" si="4"/>
        <v>1</v>
      </c>
    </row>
    <row r="4196">
      <c r="A4196" s="19">
        <v>70677.0</v>
      </c>
      <c r="B4196" s="20" t="str">
        <f t="array" ref="B4196">xlookup($A4196,product!$A:$A,product!B:B)</f>
        <v>Maison</v>
      </c>
      <c r="C4196" s="20" t="str">
        <f t="array" ref="C4196">xlookup($A4196,product!$A:$A,product!C:C)</f>
        <v>Ustensiles de cuisine</v>
      </c>
      <c r="D4196" s="20" t="str">
        <f t="array" ref="D4196">xlookup($A4196,product!$A:$A,product!D:D)</f>
        <v>Ustensiles de découpe</v>
      </c>
      <c r="E4196" s="4" t="str">
        <f t="shared" si="1"/>
        <v>70677-Ustensiles de cuisine-Ustensiles de découpe</v>
      </c>
      <c r="F4196" s="4">
        <v>0.0</v>
      </c>
      <c r="G4196" s="4">
        <v>875.0</v>
      </c>
      <c r="H4196" s="4">
        <v>680.0</v>
      </c>
      <c r="I4196" s="21">
        <f t="array" ref="I4196">XLOOKUP($A4196,product!A:A,product!E:E)</f>
        <v>12.42</v>
      </c>
      <c r="J4196" s="4">
        <f t="shared" si="2"/>
        <v>8445.6</v>
      </c>
      <c r="K4196" s="22">
        <f t="shared" si="3"/>
        <v>1</v>
      </c>
      <c r="L4196" s="4">
        <f t="shared" si="4"/>
        <v>1</v>
      </c>
    </row>
    <row r="4197">
      <c r="A4197" s="23">
        <v>86506.0</v>
      </c>
      <c r="B4197" s="24" t="str">
        <f t="array" ref="B4197">xlookup($A4197,product!$A:$A,product!B:B)</f>
        <v>Maison</v>
      </c>
      <c r="C4197" s="24" t="str">
        <f t="array" ref="C4197">xlookup($A4197,product!$A:$A,product!C:C)</f>
        <v>Ustensiles de cuisine</v>
      </c>
      <c r="D4197" s="24" t="str">
        <f t="array" ref="D4197">xlookup($A4197,product!$A:$A,product!D:D)</f>
        <v>Ustensiles de découpe</v>
      </c>
      <c r="E4197" s="25" t="str">
        <f t="shared" si="1"/>
        <v>86506-Ustensiles de cuisine-Ustensiles de découpe</v>
      </c>
      <c r="F4197" s="25">
        <v>1.0</v>
      </c>
      <c r="G4197" s="25">
        <v>28.0</v>
      </c>
      <c r="H4197" s="25">
        <v>24.0</v>
      </c>
      <c r="I4197" s="26">
        <f t="array" ref="I4197">XLOOKUP($A4197,product!A:A,product!E:E)</f>
        <v>3.25</v>
      </c>
      <c r="J4197" s="25">
        <f t="shared" si="2"/>
        <v>78</v>
      </c>
      <c r="K4197" s="27">
        <f t="shared" si="3"/>
        <v>1</v>
      </c>
      <c r="L4197" s="25">
        <f t="shared" si="4"/>
        <v>1</v>
      </c>
    </row>
    <row r="4198">
      <c r="A4198" s="19">
        <v>17360.0</v>
      </c>
      <c r="B4198" s="20" t="str">
        <f t="array" ref="B4198">xlookup($A4198,product!$A:$A,product!B:B)</f>
        <v>Maison</v>
      </c>
      <c r="C4198" s="20" t="str">
        <f t="array" ref="C4198">xlookup($A4198,product!$A:$A,product!C:C)</f>
        <v>Ustensiles de cuisine</v>
      </c>
      <c r="D4198" s="20" t="str">
        <f t="array" ref="D4198">xlookup($A4198,product!$A:$A,product!D:D)</f>
        <v>Essoreuses et passoires</v>
      </c>
      <c r="E4198" s="4" t="str">
        <f t="shared" si="1"/>
        <v>17360-Ustensiles de cuisine-Essoreuses et passoires</v>
      </c>
      <c r="F4198" s="4">
        <v>0.0</v>
      </c>
      <c r="G4198" s="4">
        <v>359.0</v>
      </c>
      <c r="H4198" s="4">
        <v>291.0</v>
      </c>
      <c r="I4198" s="21">
        <f t="array" ref="I4198">XLOOKUP($A4198,product!A:A,product!E:E)</f>
        <v>8.85</v>
      </c>
      <c r="J4198" s="4">
        <f t="shared" si="2"/>
        <v>2575.35</v>
      </c>
      <c r="K4198" s="22">
        <f t="shared" si="3"/>
        <v>1</v>
      </c>
      <c r="L4198" s="4">
        <f t="shared" si="4"/>
        <v>1</v>
      </c>
    </row>
    <row r="4199">
      <c r="A4199" s="23">
        <v>9819.0</v>
      </c>
      <c r="B4199" s="24" t="str">
        <f t="array" ref="B4199">xlookup($A4199,product!$A:$A,product!B:B)</f>
        <v>Maison</v>
      </c>
      <c r="C4199" s="24" t="str">
        <f t="array" ref="C4199">xlookup($A4199,product!$A:$A,product!C:C)</f>
        <v>Ustensiles de cuisine</v>
      </c>
      <c r="D4199" s="24" t="str">
        <f t="array" ref="D4199">xlookup($A4199,product!$A:$A,product!D:D)</f>
        <v>Essoreuses et passoires</v>
      </c>
      <c r="E4199" s="25" t="str">
        <f t="shared" si="1"/>
        <v>9819-Ustensiles de cuisine-Essoreuses et passoires</v>
      </c>
      <c r="F4199" s="25">
        <v>1.0</v>
      </c>
      <c r="G4199" s="25">
        <v>17.0</v>
      </c>
      <c r="H4199" s="25">
        <v>8.0</v>
      </c>
      <c r="I4199" s="26">
        <f t="array" ref="I4199">XLOOKUP($A4199,product!A:A,product!E:E)</f>
        <v>34.83</v>
      </c>
      <c r="J4199" s="25">
        <f t="shared" si="2"/>
        <v>278.64</v>
      </c>
      <c r="K4199" s="27">
        <f t="shared" si="3"/>
        <v>1</v>
      </c>
      <c r="L4199" s="25">
        <f t="shared" si="4"/>
        <v>1</v>
      </c>
    </row>
    <row r="4200">
      <c r="A4200" s="19">
        <v>28574.0</v>
      </c>
      <c r="B4200" s="20" t="str">
        <f t="array" ref="B4200">xlookup($A4200,product!$A:$A,product!B:B)</f>
        <v>Maison</v>
      </c>
      <c r="C4200" s="20" t="str">
        <f t="array" ref="C4200">xlookup($A4200,product!$A:$A,product!C:C)</f>
        <v>Ustensiles de cuisine</v>
      </c>
      <c r="D4200" s="20" t="str">
        <f t="array" ref="D4200">xlookup($A4200,product!$A:$A,product!D:D)</f>
        <v>Râpes, moulins, mortiers</v>
      </c>
      <c r="E4200" s="4" t="str">
        <f t="shared" si="1"/>
        <v>28574-Ustensiles de cuisine-Râpes, moulins, mortiers</v>
      </c>
      <c r="F4200" s="4">
        <v>1.0</v>
      </c>
      <c r="G4200" s="4">
        <v>533.0</v>
      </c>
      <c r="H4200" s="4">
        <v>499.0</v>
      </c>
      <c r="I4200" s="21">
        <f t="array" ref="I4200">XLOOKUP($A4200,product!A:A,product!E:E)</f>
        <v>7.03</v>
      </c>
      <c r="J4200" s="4">
        <f t="shared" si="2"/>
        <v>3507.97</v>
      </c>
      <c r="K4200" s="22">
        <f t="shared" si="3"/>
        <v>1</v>
      </c>
      <c r="L4200" s="4">
        <f t="shared" si="4"/>
        <v>1</v>
      </c>
    </row>
    <row r="4201">
      <c r="A4201" s="23">
        <v>102395.0</v>
      </c>
      <c r="B4201" s="24" t="str">
        <f t="array" ref="B4201">xlookup($A4201,product!$A:$A,product!B:B)</f>
        <v>Maison</v>
      </c>
      <c r="C4201" s="24" t="str">
        <f t="array" ref="C4201">xlookup($A4201,product!$A:$A,product!C:C)</f>
        <v>Ustensiles de cuisine</v>
      </c>
      <c r="D4201" s="24" t="str">
        <f t="array" ref="D4201">xlookup($A4201,product!$A:$A,product!D:D)</f>
        <v>Râpes, moulins, mortiers</v>
      </c>
      <c r="E4201" s="25" t="str">
        <f t="shared" si="1"/>
        <v>102395-Ustensiles de cuisine-Râpes, moulins, mortiers</v>
      </c>
      <c r="F4201" s="25">
        <v>1.0</v>
      </c>
      <c r="G4201" s="25">
        <v>52.0</v>
      </c>
      <c r="H4201" s="25">
        <v>20.0</v>
      </c>
      <c r="I4201" s="26">
        <f t="array" ref="I4201">XLOOKUP($A4201,product!A:A,product!E:E)</f>
        <v>6.91</v>
      </c>
      <c r="J4201" s="25">
        <f t="shared" si="2"/>
        <v>138.2</v>
      </c>
      <c r="K4201" s="27">
        <f t="shared" si="3"/>
        <v>1</v>
      </c>
      <c r="L4201" s="25">
        <f t="shared" si="4"/>
        <v>1</v>
      </c>
    </row>
    <row r="4202">
      <c r="A4202" s="19">
        <v>147302.0</v>
      </c>
      <c r="B4202" s="20" t="str">
        <f t="array" ref="B4202">xlookup($A4202,product!$A:$A,product!B:B)</f>
        <v>Maison</v>
      </c>
      <c r="C4202" s="20" t="str">
        <f t="array" ref="C4202">xlookup($A4202,product!$A:$A,product!C:C)</f>
        <v>Ustensiles de cuisine</v>
      </c>
      <c r="D4202" s="20" t="str">
        <f t="array" ref="D4202">xlookup($A4202,product!$A:$A,product!D:D)</f>
        <v>Râpes, moulins, mortiers</v>
      </c>
      <c r="E4202" s="4" t="str">
        <f t="shared" si="1"/>
        <v>147302-Ustensiles de cuisine-Râpes, moulins, mortiers</v>
      </c>
      <c r="F4202" s="4">
        <v>0.0</v>
      </c>
      <c r="G4202" s="4">
        <v>473.0</v>
      </c>
      <c r="H4202" s="4">
        <v>262.0</v>
      </c>
      <c r="I4202" s="21">
        <f t="array" ref="I4202">XLOOKUP($A4202,product!A:A,product!E:E)</f>
        <v>9.89</v>
      </c>
      <c r="J4202" s="4">
        <f t="shared" si="2"/>
        <v>2591.18</v>
      </c>
      <c r="K4202" s="22">
        <f t="shared" si="3"/>
        <v>1</v>
      </c>
      <c r="L4202" s="4">
        <f t="shared" si="4"/>
        <v>1</v>
      </c>
    </row>
    <row r="4203">
      <c r="A4203" s="23">
        <v>85049.0</v>
      </c>
      <c r="B4203" s="24" t="str">
        <f t="array" ref="B4203">xlookup($A4203,product!$A:$A,product!B:B)</f>
        <v>Maison</v>
      </c>
      <c r="C4203" s="24" t="str">
        <f t="array" ref="C4203">xlookup($A4203,product!$A:$A,product!C:C)</f>
        <v>Ustensiles de cuisine</v>
      </c>
      <c r="D4203" s="24" t="str">
        <f t="array" ref="D4203">xlookup($A4203,product!$A:$A,product!D:D)</f>
        <v>Balances et verres doseurs</v>
      </c>
      <c r="E4203" s="25" t="str">
        <f t="shared" si="1"/>
        <v>85049-Ustensiles de cuisine-Balances et verres doseurs</v>
      </c>
      <c r="F4203" s="25">
        <v>1.0</v>
      </c>
      <c r="G4203" s="25">
        <v>60.0</v>
      </c>
      <c r="H4203" s="25">
        <v>22.0</v>
      </c>
      <c r="I4203" s="26">
        <f t="array" ref="I4203">XLOOKUP($A4203,product!A:A,product!E:E)</f>
        <v>5.16</v>
      </c>
      <c r="J4203" s="25">
        <f t="shared" si="2"/>
        <v>113.52</v>
      </c>
      <c r="K4203" s="27">
        <f t="shared" si="3"/>
        <v>1</v>
      </c>
      <c r="L4203" s="25">
        <f t="shared" si="4"/>
        <v>1</v>
      </c>
    </row>
    <row r="4204">
      <c r="A4204" s="19">
        <v>1683.0</v>
      </c>
      <c r="B4204" s="20" t="str">
        <f t="array" ref="B4204">xlookup($A4204,product!$A:$A,product!B:B)</f>
        <v>Maison</v>
      </c>
      <c r="C4204" s="20" t="str">
        <f t="array" ref="C4204">xlookup($A4204,product!$A:$A,product!C:C)</f>
        <v>Ustensiles de cuisine</v>
      </c>
      <c r="D4204" s="20" t="str">
        <f t="array" ref="D4204">xlookup($A4204,product!$A:$A,product!D:D)</f>
        <v>Cuillères, spatules, fouets</v>
      </c>
      <c r="E4204" s="4" t="str">
        <f t="shared" si="1"/>
        <v>1683-Ustensiles de cuisine-Cuillères, spatules, fouets</v>
      </c>
      <c r="F4204" s="4">
        <v>1.0</v>
      </c>
      <c r="G4204" s="4">
        <v>310.0</v>
      </c>
      <c r="H4204" s="4">
        <v>130.0</v>
      </c>
      <c r="I4204" s="21">
        <f t="array" ref="I4204">XLOOKUP($A4204,product!A:A,product!E:E)</f>
        <v>0.71</v>
      </c>
      <c r="J4204" s="4">
        <f t="shared" si="2"/>
        <v>92.3</v>
      </c>
      <c r="K4204" s="22">
        <f t="shared" si="3"/>
        <v>1</v>
      </c>
      <c r="L4204" s="4">
        <f t="shared" si="4"/>
        <v>1</v>
      </c>
    </row>
    <row r="4205">
      <c r="A4205" s="23">
        <v>1685.0</v>
      </c>
      <c r="B4205" s="24" t="str">
        <f t="array" ref="B4205">xlookup($A4205,product!$A:$A,product!B:B)</f>
        <v>Maison</v>
      </c>
      <c r="C4205" s="24" t="str">
        <f t="array" ref="C4205">xlookup($A4205,product!$A:$A,product!C:C)</f>
        <v>Ustensiles de cuisine</v>
      </c>
      <c r="D4205" s="24" t="str">
        <f t="array" ref="D4205">xlookup($A4205,product!$A:$A,product!D:D)</f>
        <v>Cuillères, spatules, fouets</v>
      </c>
      <c r="E4205" s="25" t="str">
        <f t="shared" si="1"/>
        <v>1685-Ustensiles de cuisine-Cuillères, spatules, fouets</v>
      </c>
      <c r="F4205" s="25">
        <v>0.0</v>
      </c>
      <c r="G4205" s="25">
        <v>521.0</v>
      </c>
      <c r="H4205" s="25">
        <v>102.0</v>
      </c>
      <c r="I4205" s="26">
        <f t="array" ref="I4205">XLOOKUP($A4205,product!A:A,product!E:E)</f>
        <v>0.62</v>
      </c>
      <c r="J4205" s="25">
        <f t="shared" si="2"/>
        <v>63.24</v>
      </c>
      <c r="K4205" s="27">
        <f t="shared" si="3"/>
        <v>1</v>
      </c>
      <c r="L4205" s="25">
        <f t="shared" si="4"/>
        <v>1</v>
      </c>
    </row>
    <row r="4206">
      <c r="A4206" s="19">
        <v>22193.0</v>
      </c>
      <c r="B4206" s="20" t="str">
        <f t="array" ref="B4206">xlookup($A4206,product!$A:$A,product!B:B)</f>
        <v>Maison</v>
      </c>
      <c r="C4206" s="20" t="str">
        <f t="array" ref="C4206">xlookup($A4206,product!$A:$A,product!C:C)</f>
        <v>Ustensiles de cuisine</v>
      </c>
      <c r="D4206" s="20" t="str">
        <f t="array" ref="D4206">xlookup($A4206,product!$A:$A,product!D:D)</f>
        <v>Cuillères, spatules, fouets</v>
      </c>
      <c r="E4206" s="4" t="str">
        <f t="shared" si="1"/>
        <v>22193-Ustensiles de cuisine-Cuillères, spatules, fouets</v>
      </c>
      <c r="F4206" s="4">
        <v>1.0</v>
      </c>
      <c r="G4206" s="4">
        <v>771.0</v>
      </c>
      <c r="H4206" s="4">
        <v>723.0</v>
      </c>
      <c r="I4206" s="21">
        <f t="array" ref="I4206">XLOOKUP($A4206,product!A:A,product!E:E)</f>
        <v>1.11</v>
      </c>
      <c r="J4206" s="4">
        <f t="shared" si="2"/>
        <v>802.53</v>
      </c>
      <c r="K4206" s="22">
        <f t="shared" si="3"/>
        <v>1</v>
      </c>
      <c r="L4206" s="4">
        <f t="shared" si="4"/>
        <v>1</v>
      </c>
    </row>
    <row r="4207">
      <c r="A4207" s="23">
        <v>9786.0</v>
      </c>
      <c r="B4207" s="24" t="str">
        <f t="array" ref="B4207">xlookup($A4207,product!$A:$A,product!B:B)</f>
        <v>Maison</v>
      </c>
      <c r="C4207" s="24" t="str">
        <f t="array" ref="C4207">xlookup($A4207,product!$A:$A,product!C:C)</f>
        <v>Ustensiles de cuisine</v>
      </c>
      <c r="D4207" s="24" t="str">
        <f t="array" ref="D4207">xlookup($A4207,product!$A:$A,product!D:D)</f>
        <v>Cuillères, spatules, fouets</v>
      </c>
      <c r="E4207" s="25" t="str">
        <f t="shared" si="1"/>
        <v>9786-Ustensiles de cuisine-Cuillères, spatules, fouets</v>
      </c>
      <c r="F4207" s="25">
        <v>0.0</v>
      </c>
      <c r="G4207" s="25">
        <v>656.0</v>
      </c>
      <c r="H4207" s="25">
        <v>637.0</v>
      </c>
      <c r="I4207" s="26">
        <f t="array" ref="I4207">XLOOKUP($A4207,product!A:A,product!E:E)</f>
        <v>5.04</v>
      </c>
      <c r="J4207" s="25">
        <f t="shared" si="2"/>
        <v>3210.48</v>
      </c>
      <c r="K4207" s="27">
        <f t="shared" si="3"/>
        <v>1</v>
      </c>
      <c r="L4207" s="25">
        <f t="shared" si="4"/>
        <v>1</v>
      </c>
    </row>
    <row r="4208">
      <c r="A4208" s="19">
        <v>108770.0</v>
      </c>
      <c r="B4208" s="20" t="str">
        <f t="array" ref="B4208">xlookup($A4208,product!$A:$A,product!B:B)</f>
        <v>Maison</v>
      </c>
      <c r="C4208" s="20" t="str">
        <f t="array" ref="C4208">xlookup($A4208,product!$A:$A,product!C:C)</f>
        <v>Ustensiles de cuisine</v>
      </c>
      <c r="D4208" s="20" t="str">
        <f t="array" ref="D4208">xlookup($A4208,product!$A:$A,product!D:D)</f>
        <v>Autour du vin et de l'apéritif</v>
      </c>
      <c r="E4208" s="4" t="str">
        <f t="shared" si="1"/>
        <v>108770-Ustensiles de cuisine-Autour du vin et de l'apéritif</v>
      </c>
      <c r="F4208" s="4">
        <v>1.0</v>
      </c>
      <c r="G4208" s="4">
        <v>645.0</v>
      </c>
      <c r="H4208" s="4">
        <v>162.0</v>
      </c>
      <c r="I4208" s="21">
        <f t="array" ref="I4208">XLOOKUP($A4208,product!A:A,product!E:E)</f>
        <v>3.08</v>
      </c>
      <c r="J4208" s="4">
        <f t="shared" si="2"/>
        <v>498.96</v>
      </c>
      <c r="K4208" s="22">
        <f t="shared" si="3"/>
        <v>1</v>
      </c>
      <c r="L4208" s="4">
        <f t="shared" si="4"/>
        <v>1</v>
      </c>
    </row>
    <row r="4209">
      <c r="A4209" s="23">
        <v>109536.0</v>
      </c>
      <c r="B4209" s="24" t="str">
        <f t="array" ref="B4209">xlookup($A4209,product!$A:$A,product!B:B)</f>
        <v>Maison</v>
      </c>
      <c r="C4209" s="24" t="str">
        <f t="array" ref="C4209">xlookup($A4209,product!$A:$A,product!C:C)</f>
        <v>Ustensiles de cuisine</v>
      </c>
      <c r="D4209" s="24" t="str">
        <f t="array" ref="D4209">xlookup($A4209,product!$A:$A,product!D:D)</f>
        <v>Autour du vin et de l'apéritif</v>
      </c>
      <c r="E4209" s="25" t="str">
        <f t="shared" si="1"/>
        <v>109536-Ustensiles de cuisine-Autour du vin et de l'apéritif</v>
      </c>
      <c r="F4209" s="25">
        <v>1.0</v>
      </c>
      <c r="G4209" s="25">
        <v>209.0</v>
      </c>
      <c r="H4209" s="25">
        <v>52.0</v>
      </c>
      <c r="I4209" s="26">
        <f t="array" ref="I4209">XLOOKUP($A4209,product!A:A,product!E:E)</f>
        <v>2.81</v>
      </c>
      <c r="J4209" s="25">
        <f t="shared" si="2"/>
        <v>146.12</v>
      </c>
      <c r="K4209" s="27">
        <f t="shared" si="3"/>
        <v>1</v>
      </c>
      <c r="L4209" s="25">
        <f t="shared" si="4"/>
        <v>1</v>
      </c>
    </row>
    <row r="4210">
      <c r="A4210" s="19">
        <v>111743.0</v>
      </c>
      <c r="B4210" s="20" t="str">
        <f t="array" ref="B4210">xlookup($A4210,product!$A:$A,product!B:B)</f>
        <v>Maison</v>
      </c>
      <c r="C4210" s="20" t="str">
        <f t="array" ref="C4210">xlookup($A4210,product!$A:$A,product!C:C)</f>
        <v>Ustensiles de cuisine</v>
      </c>
      <c r="D4210" s="20" t="str">
        <f t="array" ref="D4210">xlookup($A4210,product!$A:$A,product!D:D)</f>
        <v>Autour du vin et de l'apéritif</v>
      </c>
      <c r="E4210" s="4" t="str">
        <f t="shared" si="1"/>
        <v>111743-Ustensiles de cuisine-Autour du vin et de l'apéritif</v>
      </c>
      <c r="F4210" s="4">
        <v>1.0</v>
      </c>
      <c r="G4210" s="4">
        <v>246.0</v>
      </c>
      <c r="H4210" s="4">
        <v>205.0</v>
      </c>
      <c r="I4210" s="21">
        <f t="array" ref="I4210">XLOOKUP($A4210,product!A:A,product!E:E)</f>
        <v>4.45</v>
      </c>
      <c r="J4210" s="4">
        <f t="shared" si="2"/>
        <v>912.25</v>
      </c>
      <c r="K4210" s="22">
        <f t="shared" si="3"/>
        <v>1</v>
      </c>
      <c r="L4210" s="4">
        <f t="shared" si="4"/>
        <v>1</v>
      </c>
    </row>
    <row r="4211">
      <c r="A4211" s="23">
        <v>108769.0</v>
      </c>
      <c r="B4211" s="24" t="str">
        <f t="array" ref="B4211">xlookup($A4211,product!$A:$A,product!B:B)</f>
        <v>Maison</v>
      </c>
      <c r="C4211" s="24" t="str">
        <f t="array" ref="C4211">xlookup($A4211,product!$A:$A,product!C:C)</f>
        <v>Ustensiles de cuisine</v>
      </c>
      <c r="D4211" s="24" t="str">
        <f t="array" ref="D4211">xlookup($A4211,product!$A:$A,product!D:D)</f>
        <v>Autour du vin et de l'apéritif</v>
      </c>
      <c r="E4211" s="25" t="str">
        <f t="shared" si="1"/>
        <v>108769-Ustensiles de cuisine-Autour du vin et de l'apéritif</v>
      </c>
      <c r="F4211" s="25">
        <v>0.0</v>
      </c>
      <c r="G4211" s="25">
        <v>50.0</v>
      </c>
      <c r="H4211" s="25">
        <v>12.0</v>
      </c>
      <c r="I4211" s="26">
        <f t="array" ref="I4211">XLOOKUP($A4211,product!A:A,product!E:E)</f>
        <v>3.08</v>
      </c>
      <c r="J4211" s="25">
        <f t="shared" si="2"/>
        <v>36.96</v>
      </c>
      <c r="K4211" s="27">
        <f t="shared" si="3"/>
        <v>1</v>
      </c>
      <c r="L4211" s="25">
        <f t="shared" si="4"/>
        <v>1</v>
      </c>
    </row>
    <row r="4212">
      <c r="A4212" s="19">
        <v>111742.0</v>
      </c>
      <c r="B4212" s="20" t="str">
        <f t="array" ref="B4212">xlookup($A4212,product!$A:$A,product!B:B)</f>
        <v>Maison</v>
      </c>
      <c r="C4212" s="20" t="str">
        <f t="array" ref="C4212">xlookup($A4212,product!$A:$A,product!C:C)</f>
        <v>Ustensiles de cuisine</v>
      </c>
      <c r="D4212" s="20" t="str">
        <f t="array" ref="D4212">xlookup($A4212,product!$A:$A,product!D:D)</f>
        <v>Autour du vin et de l'apéritif</v>
      </c>
      <c r="E4212" s="4" t="str">
        <f t="shared" si="1"/>
        <v>111742-Ustensiles de cuisine-Autour du vin et de l'apéritif</v>
      </c>
      <c r="F4212" s="4">
        <v>0.0</v>
      </c>
      <c r="G4212" s="4">
        <v>43.0</v>
      </c>
      <c r="H4212" s="4">
        <v>29.0</v>
      </c>
      <c r="I4212" s="21">
        <f t="array" ref="I4212">XLOOKUP($A4212,product!A:A,product!E:E)</f>
        <v>5.11</v>
      </c>
      <c r="J4212" s="4">
        <f t="shared" si="2"/>
        <v>148.19</v>
      </c>
      <c r="K4212" s="22">
        <f t="shared" si="3"/>
        <v>1</v>
      </c>
      <c r="L4212" s="4">
        <f t="shared" si="4"/>
        <v>1</v>
      </c>
    </row>
    <row r="4213">
      <c r="A4213" s="23">
        <v>88989.0</v>
      </c>
      <c r="B4213" s="24" t="str">
        <f t="array" ref="B4213">xlookup($A4213,product!$A:$A,product!B:B)</f>
        <v>Enfant</v>
      </c>
      <c r="C4213" s="24" t="str">
        <f t="array" ref="C4213">xlookup($A4213,product!$A:$A,product!C:C)</f>
        <v>Veilleuses &amp; réveils</v>
      </c>
      <c r="D4213" s="24" t="str">
        <f t="array" ref="D4213">xlookup($A4213,product!$A:$A,product!D:D)</f>
        <v>Veilleuse</v>
      </c>
      <c r="E4213" s="25" t="str">
        <f t="shared" si="1"/>
        <v>88989-Veilleuses &amp; réveils-Veilleuse</v>
      </c>
      <c r="F4213" s="25">
        <v>1.0</v>
      </c>
      <c r="G4213" s="25">
        <v>165.0</v>
      </c>
      <c r="H4213" s="25">
        <v>7.0</v>
      </c>
      <c r="I4213" s="26">
        <f t="array" ref="I4213">XLOOKUP($A4213,product!A:A,product!E:E)</f>
        <v>23.12</v>
      </c>
      <c r="J4213" s="25">
        <f t="shared" si="2"/>
        <v>161.84</v>
      </c>
      <c r="K4213" s="27">
        <f t="shared" si="3"/>
        <v>1</v>
      </c>
      <c r="L4213" s="25">
        <f t="shared" si="4"/>
        <v>1</v>
      </c>
    </row>
    <row r="4214">
      <c r="A4214" s="19">
        <v>88987.0</v>
      </c>
      <c r="B4214" s="20" t="str">
        <f t="array" ref="B4214">xlookup($A4214,product!$A:$A,product!B:B)</f>
        <v>Enfant</v>
      </c>
      <c r="C4214" s="20" t="str">
        <f t="array" ref="C4214">xlookup($A4214,product!$A:$A,product!C:C)</f>
        <v>Veilleuses &amp; réveils</v>
      </c>
      <c r="D4214" s="20" t="str">
        <f t="array" ref="D4214">xlookup($A4214,product!$A:$A,product!D:D)</f>
        <v>Veilleuse</v>
      </c>
      <c r="E4214" s="4" t="str">
        <f t="shared" si="1"/>
        <v>88987-Veilleuses &amp; réveils-Veilleuse</v>
      </c>
      <c r="F4214" s="4">
        <v>1.0</v>
      </c>
      <c r="G4214" s="4">
        <v>662.0</v>
      </c>
      <c r="H4214" s="4">
        <v>467.0</v>
      </c>
      <c r="I4214" s="21">
        <f t="array" ref="I4214">XLOOKUP($A4214,product!A:A,product!E:E)</f>
        <v>23.12</v>
      </c>
      <c r="J4214" s="4">
        <f t="shared" si="2"/>
        <v>10797.04</v>
      </c>
      <c r="K4214" s="22">
        <f t="shared" si="3"/>
        <v>1</v>
      </c>
      <c r="L4214" s="4">
        <f t="shared" si="4"/>
        <v>1</v>
      </c>
    </row>
    <row r="4215">
      <c r="A4215" s="23">
        <v>88988.0</v>
      </c>
      <c r="B4215" s="24" t="str">
        <f t="array" ref="B4215">xlookup($A4215,product!$A:$A,product!B:B)</f>
        <v>Enfant</v>
      </c>
      <c r="C4215" s="24" t="str">
        <f t="array" ref="C4215">xlookup($A4215,product!$A:$A,product!C:C)</f>
        <v>Veilleuses &amp; réveils</v>
      </c>
      <c r="D4215" s="24" t="str">
        <f t="array" ref="D4215">xlookup($A4215,product!$A:$A,product!D:D)</f>
        <v>Veilleuse</v>
      </c>
      <c r="E4215" s="25" t="str">
        <f t="shared" si="1"/>
        <v>88988-Veilleuses &amp; réveils-Veilleuse</v>
      </c>
      <c r="F4215" s="25">
        <v>1.0</v>
      </c>
      <c r="G4215" s="25">
        <v>612.0</v>
      </c>
      <c r="H4215" s="25">
        <v>1.0</v>
      </c>
      <c r="I4215" s="26">
        <f t="array" ref="I4215">XLOOKUP($A4215,product!A:A,product!E:E)</f>
        <v>23.12</v>
      </c>
      <c r="J4215" s="25">
        <f t="shared" si="2"/>
        <v>23.12</v>
      </c>
      <c r="K4215" s="27">
        <f t="shared" si="3"/>
        <v>1</v>
      </c>
      <c r="L4215" s="25">
        <f t="shared" si="4"/>
        <v>1</v>
      </c>
    </row>
    <row r="4216">
      <c r="A4216" s="19">
        <v>102816.0</v>
      </c>
      <c r="B4216" s="20" t="str">
        <f t="array" ref="B4216">xlookup($A4216,product!$A:$A,product!B:B)</f>
        <v>Enfant</v>
      </c>
      <c r="C4216" s="20" t="str">
        <f t="array" ref="C4216">xlookup($A4216,product!$A:$A,product!C:C)</f>
        <v>Veilleuses &amp; réveils</v>
      </c>
      <c r="D4216" s="20" t="str">
        <f t="array" ref="D4216">xlookup($A4216,product!$A:$A,product!D:D)</f>
        <v>Réveil enfant</v>
      </c>
      <c r="E4216" s="4" t="str">
        <f t="shared" si="1"/>
        <v>102816-Veilleuses &amp; réveils-Réveil enfant</v>
      </c>
      <c r="F4216" s="4">
        <v>0.0</v>
      </c>
      <c r="G4216" s="4">
        <v>167.0</v>
      </c>
      <c r="H4216" s="4">
        <v>83.0</v>
      </c>
      <c r="I4216" s="21">
        <f t="array" ref="I4216">XLOOKUP($A4216,product!A:A,product!E:E)</f>
        <v>30.82</v>
      </c>
      <c r="J4216" s="4">
        <f t="shared" si="2"/>
        <v>2558.06</v>
      </c>
      <c r="K4216" s="22">
        <f t="shared" si="3"/>
        <v>1</v>
      </c>
      <c r="L4216" s="4">
        <f t="shared" si="4"/>
        <v>1</v>
      </c>
    </row>
    <row r="4217">
      <c r="A4217" s="23">
        <v>49803.0</v>
      </c>
      <c r="B4217" s="24" t="str">
        <f t="array" ref="B4217">xlookup($A4217,product!$A:$A,product!B:B)</f>
        <v>Enfant</v>
      </c>
      <c r="C4217" s="24" t="str">
        <f t="array" ref="C4217">xlookup($A4217,product!$A:$A,product!C:C)</f>
        <v>Veilleuses &amp; réveils</v>
      </c>
      <c r="D4217" s="24" t="str">
        <f t="array" ref="D4217">xlookup($A4217,product!$A:$A,product!D:D)</f>
        <v>Peaux d'agneaux</v>
      </c>
      <c r="E4217" s="25" t="str">
        <f t="shared" si="1"/>
        <v>49803-Veilleuses &amp; réveils-Peaux d'agneaux</v>
      </c>
      <c r="F4217" s="25">
        <v>1.0</v>
      </c>
      <c r="G4217" s="25">
        <v>256.0</v>
      </c>
      <c r="H4217" s="25">
        <v>0.0</v>
      </c>
      <c r="I4217" s="26">
        <f t="array" ref="I4217">XLOOKUP($A4217,product!A:A,product!E:E)</f>
        <v>10.8</v>
      </c>
      <c r="J4217" s="25">
        <f t="shared" si="2"/>
        <v>0</v>
      </c>
      <c r="K4217" s="27">
        <f t="shared" si="3"/>
        <v>0</v>
      </c>
      <c r="L4217" s="25">
        <f t="shared" si="4"/>
        <v>1</v>
      </c>
    </row>
    <row r="4218">
      <c r="A4218" s="19">
        <v>77302.0</v>
      </c>
      <c r="B4218" s="20" t="str">
        <f t="array" ref="B4218">xlookup($A4218,product!$A:$A,product!B:B)</f>
        <v>Enfant</v>
      </c>
      <c r="C4218" s="20" t="str">
        <f t="array" ref="C4218">xlookup($A4218,product!$A:$A,product!C:C)</f>
        <v>Veilleuses &amp; réveils</v>
      </c>
      <c r="D4218" s="20" t="str">
        <f t="array" ref="D4218">xlookup($A4218,product!$A:$A,product!D:D)</f>
        <v>Peaux d'agneaux</v>
      </c>
      <c r="E4218" s="4" t="str">
        <f t="shared" si="1"/>
        <v>77302-Veilleuses &amp; réveils-Peaux d'agneaux</v>
      </c>
      <c r="F4218" s="4">
        <v>0.0</v>
      </c>
      <c r="G4218" s="4">
        <v>398.0</v>
      </c>
      <c r="H4218" s="4">
        <v>310.0</v>
      </c>
      <c r="I4218" s="21">
        <f t="array" ref="I4218">XLOOKUP($A4218,product!A:A,product!E:E)</f>
        <v>48.66</v>
      </c>
      <c r="J4218" s="4">
        <f t="shared" si="2"/>
        <v>15084.6</v>
      </c>
      <c r="K4218" s="22">
        <f t="shared" si="3"/>
        <v>1</v>
      </c>
      <c r="L4218" s="4">
        <f t="shared" si="4"/>
        <v>1</v>
      </c>
    </row>
    <row r="4219">
      <c r="A4219" s="23">
        <v>94000.0</v>
      </c>
      <c r="B4219" s="24" t="str">
        <f t="array" ref="B4219">xlookup($A4219,product!$A:$A,product!B:B)</f>
        <v>Epicerie sucrée</v>
      </c>
      <c r="C4219" s="24" t="str">
        <f t="array" ref="C4219">xlookup($A4219,product!$A:$A,product!C:C)</f>
        <v>Aide à la pâtisserie</v>
      </c>
      <c r="D4219" s="24" t="str">
        <f t="array" ref="D4219">xlookup($A4219,product!$A:$A,product!D:D)</f>
        <v>Arôme</v>
      </c>
      <c r="E4219" s="25" t="str">
        <f t="shared" si="1"/>
        <v>94000-Aide à la pâtisserie-Arôme</v>
      </c>
      <c r="F4219" s="25">
        <v>0.0</v>
      </c>
      <c r="G4219" s="25">
        <v>874.0</v>
      </c>
      <c r="H4219" s="25">
        <v>716.0</v>
      </c>
      <c r="I4219" s="26">
        <f t="array" ref="I4219">XLOOKUP($A4219,product!A:A,product!E:E)</f>
        <v>4.83</v>
      </c>
      <c r="J4219" s="25">
        <f t="shared" si="2"/>
        <v>3458.28</v>
      </c>
      <c r="K4219" s="27">
        <f t="shared" si="3"/>
        <v>1</v>
      </c>
      <c r="L4219" s="25">
        <f t="shared" si="4"/>
        <v>1</v>
      </c>
    </row>
    <row r="4220">
      <c r="A4220" s="19">
        <v>9616.0</v>
      </c>
      <c r="B4220" s="20" t="str">
        <f t="array" ref="B4220">xlookup($A4220,product!$A:$A,product!B:B)</f>
        <v>Epicerie sucrée</v>
      </c>
      <c r="C4220" s="20" t="str">
        <f t="array" ref="C4220">xlookup($A4220,product!$A:$A,product!C:C)</f>
        <v>Aide à la pâtisserie</v>
      </c>
      <c r="D4220" s="20" t="str">
        <f t="array" ref="D4220">xlookup($A4220,product!$A:$A,product!D:D)</f>
        <v>Arôme</v>
      </c>
      <c r="E4220" s="4" t="str">
        <f t="shared" si="1"/>
        <v>9616-Aide à la pâtisserie-Arôme</v>
      </c>
      <c r="F4220" s="4">
        <v>1.0</v>
      </c>
      <c r="G4220" s="4">
        <v>268.0</v>
      </c>
      <c r="H4220" s="4">
        <v>185.0</v>
      </c>
      <c r="I4220" s="21">
        <f t="array" ref="I4220">XLOOKUP($A4220,product!A:A,product!E:E)</f>
        <v>1.83</v>
      </c>
      <c r="J4220" s="4">
        <f t="shared" si="2"/>
        <v>338.55</v>
      </c>
      <c r="K4220" s="22">
        <f t="shared" si="3"/>
        <v>1</v>
      </c>
      <c r="L4220" s="4">
        <f t="shared" si="4"/>
        <v>1</v>
      </c>
    </row>
    <row r="4221">
      <c r="A4221" s="23">
        <v>115135.0</v>
      </c>
      <c r="B4221" s="24" t="str">
        <f t="array" ref="B4221">xlookup($A4221,product!$A:$A,product!B:B)</f>
        <v>Epicerie sucrée</v>
      </c>
      <c r="C4221" s="24" t="str">
        <f t="array" ref="C4221">xlookup($A4221,product!$A:$A,product!C:C)</f>
        <v>Aide à la pâtisserie</v>
      </c>
      <c r="D4221" s="24" t="str">
        <f t="array" ref="D4221">xlookup($A4221,product!$A:$A,product!D:D)</f>
        <v>Arôme</v>
      </c>
      <c r="E4221" s="25" t="str">
        <f t="shared" si="1"/>
        <v>115135-Aide à la pâtisserie-Arôme</v>
      </c>
      <c r="F4221" s="25">
        <v>1.0</v>
      </c>
      <c r="G4221" s="25">
        <v>355.0</v>
      </c>
      <c r="H4221" s="25">
        <v>17.0</v>
      </c>
      <c r="I4221" s="26">
        <f t="array" ref="I4221">XLOOKUP($A4221,product!A:A,product!E:E)</f>
        <v>2.73</v>
      </c>
      <c r="J4221" s="25">
        <f t="shared" si="2"/>
        <v>46.41</v>
      </c>
      <c r="K4221" s="27">
        <f t="shared" si="3"/>
        <v>1</v>
      </c>
      <c r="L4221" s="25">
        <f t="shared" si="4"/>
        <v>1</v>
      </c>
    </row>
    <row r="4222">
      <c r="A4222" s="19">
        <v>90727.0</v>
      </c>
      <c r="B4222" s="20" t="str">
        <f t="array" ref="B4222">xlookup($A4222,product!$A:$A,product!B:B)</f>
        <v>Epicerie sucrée</v>
      </c>
      <c r="C4222" s="20" t="str">
        <f t="array" ref="C4222">xlookup($A4222,product!$A:$A,product!C:C)</f>
        <v>Aide à la pâtisserie</v>
      </c>
      <c r="D4222" s="20" t="str">
        <f t="array" ref="D4222">xlookup($A4222,product!$A:$A,product!D:D)</f>
        <v>Arôme</v>
      </c>
      <c r="E4222" s="4" t="str">
        <f t="shared" si="1"/>
        <v>90727-Aide à la pâtisserie-Arôme</v>
      </c>
      <c r="F4222" s="4">
        <v>0.0</v>
      </c>
      <c r="G4222" s="4">
        <v>117.0</v>
      </c>
      <c r="H4222" s="4">
        <v>18.0</v>
      </c>
      <c r="I4222" s="21">
        <f t="array" ref="I4222">XLOOKUP($A4222,product!A:A,product!E:E)</f>
        <v>8.38</v>
      </c>
      <c r="J4222" s="4">
        <f t="shared" si="2"/>
        <v>150.84</v>
      </c>
      <c r="K4222" s="22">
        <f t="shared" si="3"/>
        <v>1</v>
      </c>
      <c r="L4222" s="4">
        <f t="shared" si="4"/>
        <v>1</v>
      </c>
    </row>
    <row r="4223">
      <c r="A4223" s="23">
        <v>24060.0</v>
      </c>
      <c r="B4223" s="24" t="str">
        <f t="array" ref="B4223">xlookup($A4223,product!$A:$A,product!B:B)</f>
        <v>Epicerie sucrée</v>
      </c>
      <c r="C4223" s="24" t="str">
        <f t="array" ref="C4223">xlookup($A4223,product!$A:$A,product!C:C)</f>
        <v>Aide à la pâtisserie</v>
      </c>
      <c r="D4223" s="24" t="str">
        <f t="array" ref="D4223">xlookup($A4223,product!$A:$A,product!D:D)</f>
        <v>Arôme</v>
      </c>
      <c r="E4223" s="25" t="str">
        <f t="shared" si="1"/>
        <v>24060-Aide à la pâtisserie-Arôme</v>
      </c>
      <c r="F4223" s="25">
        <v>0.0</v>
      </c>
      <c r="G4223" s="25">
        <v>200.0</v>
      </c>
      <c r="H4223" s="25">
        <v>83.0</v>
      </c>
      <c r="I4223" s="26">
        <f t="array" ref="I4223">XLOOKUP($A4223,product!A:A,product!E:E)</f>
        <v>4.9</v>
      </c>
      <c r="J4223" s="25">
        <f t="shared" si="2"/>
        <v>406.7</v>
      </c>
      <c r="K4223" s="27">
        <f t="shared" si="3"/>
        <v>1</v>
      </c>
      <c r="L4223" s="25">
        <f t="shared" si="4"/>
        <v>1</v>
      </c>
    </row>
    <row r="4224">
      <c r="A4224" s="19">
        <v>112086.0</v>
      </c>
      <c r="B4224" s="20" t="str">
        <f t="array" ref="B4224">xlookup($A4224,product!$A:$A,product!B:B)</f>
        <v>Epicerie sucrée</v>
      </c>
      <c r="C4224" s="20" t="str">
        <f t="array" ref="C4224">xlookup($A4224,product!$A:$A,product!C:C)</f>
        <v>Aide à la pâtisserie</v>
      </c>
      <c r="D4224" s="20" t="str">
        <f t="array" ref="D4224">xlookup($A4224,product!$A:$A,product!D:D)</f>
        <v>Arôme</v>
      </c>
      <c r="E4224" s="4" t="str">
        <f t="shared" si="1"/>
        <v>112086-Aide à la pâtisserie-Arôme</v>
      </c>
      <c r="F4224" s="4">
        <v>0.0</v>
      </c>
      <c r="G4224" s="4">
        <v>288.0</v>
      </c>
      <c r="H4224" s="4">
        <v>52.0</v>
      </c>
      <c r="I4224" s="21">
        <f t="array" ref="I4224">XLOOKUP($A4224,product!A:A,product!E:E)</f>
        <v>2.02</v>
      </c>
      <c r="J4224" s="4">
        <f t="shared" si="2"/>
        <v>105.04</v>
      </c>
      <c r="K4224" s="22">
        <f t="shared" si="3"/>
        <v>1</v>
      </c>
      <c r="L4224" s="4">
        <f t="shared" si="4"/>
        <v>1</v>
      </c>
    </row>
    <row r="4225">
      <c r="A4225" s="23">
        <v>90723.0</v>
      </c>
      <c r="B4225" s="24" t="str">
        <f t="array" ref="B4225">xlookup($A4225,product!$A:$A,product!B:B)</f>
        <v>Epicerie sucrée</v>
      </c>
      <c r="C4225" s="24" t="str">
        <f t="array" ref="C4225">xlookup($A4225,product!$A:$A,product!C:C)</f>
        <v>Aide à la pâtisserie</v>
      </c>
      <c r="D4225" s="24" t="str">
        <f t="array" ref="D4225">xlookup($A4225,product!$A:$A,product!D:D)</f>
        <v>Arôme</v>
      </c>
      <c r="E4225" s="25" t="str">
        <f t="shared" si="1"/>
        <v>90723-Aide à la pâtisserie-Arôme</v>
      </c>
      <c r="F4225" s="25">
        <v>0.0</v>
      </c>
      <c r="G4225" s="25">
        <v>460.0</v>
      </c>
      <c r="H4225" s="25">
        <v>438.0</v>
      </c>
      <c r="I4225" s="26">
        <f t="array" ref="I4225">XLOOKUP($A4225,product!A:A,product!E:E)</f>
        <v>8.6</v>
      </c>
      <c r="J4225" s="25">
        <f t="shared" si="2"/>
        <v>3766.8</v>
      </c>
      <c r="K4225" s="27">
        <f t="shared" si="3"/>
        <v>1</v>
      </c>
      <c r="L4225" s="25">
        <f t="shared" si="4"/>
        <v>1</v>
      </c>
    </row>
    <row r="4226">
      <c r="A4226" s="19">
        <v>77601.0</v>
      </c>
      <c r="B4226" s="20" t="str">
        <f t="array" ref="B4226">xlookup($A4226,product!$A:$A,product!B:B)</f>
        <v>Epicerie sucrée</v>
      </c>
      <c r="C4226" s="20" t="str">
        <f t="array" ref="C4226">xlookup($A4226,product!$A:$A,product!C:C)</f>
        <v>Aide à la pâtisserie</v>
      </c>
      <c r="D4226" s="20" t="str">
        <f t="array" ref="D4226">xlookup($A4226,product!$A:$A,product!D:D)</f>
        <v>Arôme</v>
      </c>
      <c r="E4226" s="4" t="str">
        <f t="shared" si="1"/>
        <v>77601-Aide à la pâtisserie-Arôme</v>
      </c>
      <c r="F4226" s="4">
        <v>1.0</v>
      </c>
      <c r="G4226" s="4">
        <v>292.0</v>
      </c>
      <c r="H4226" s="4">
        <v>92.0</v>
      </c>
      <c r="I4226" s="21">
        <f t="array" ref="I4226">XLOOKUP($A4226,product!A:A,product!E:E)</f>
        <v>2.81</v>
      </c>
      <c r="J4226" s="4">
        <f t="shared" si="2"/>
        <v>258.52</v>
      </c>
      <c r="K4226" s="22">
        <f t="shared" si="3"/>
        <v>1</v>
      </c>
      <c r="L4226" s="4">
        <f t="shared" si="4"/>
        <v>1</v>
      </c>
    </row>
    <row r="4227">
      <c r="A4227" s="23">
        <v>12005.0</v>
      </c>
      <c r="B4227" s="24" t="str">
        <f t="array" ref="B4227">xlookup($A4227,product!$A:$A,product!B:B)</f>
        <v>Epicerie sucrée</v>
      </c>
      <c r="C4227" s="24" t="str">
        <f t="array" ref="C4227">xlookup($A4227,product!$A:$A,product!C:C)</f>
        <v>Aide à la pâtisserie</v>
      </c>
      <c r="D4227" s="24" t="str">
        <f t="array" ref="D4227">xlookup($A4227,product!$A:$A,product!D:D)</f>
        <v>Ferments, présure</v>
      </c>
      <c r="E4227" s="25" t="str">
        <f t="shared" si="1"/>
        <v>12005-Aide à la pâtisserie-Ferments, présure</v>
      </c>
      <c r="F4227" s="25">
        <v>0.0</v>
      </c>
      <c r="G4227" s="25">
        <v>849.0</v>
      </c>
      <c r="H4227" s="25">
        <v>542.0</v>
      </c>
      <c r="I4227" s="26">
        <f t="array" ref="I4227">XLOOKUP($A4227,product!A:A,product!E:E)</f>
        <v>1.77</v>
      </c>
      <c r="J4227" s="25">
        <f t="shared" si="2"/>
        <v>959.34</v>
      </c>
      <c r="K4227" s="27">
        <f t="shared" si="3"/>
        <v>1</v>
      </c>
      <c r="L4227" s="25">
        <f t="shared" si="4"/>
        <v>1</v>
      </c>
    </row>
    <row r="4228">
      <c r="A4228" s="19">
        <v>41680.0</v>
      </c>
      <c r="B4228" s="20" t="str">
        <f t="array" ref="B4228">xlookup($A4228,product!$A:$A,product!B:B)</f>
        <v>Epicerie sucrée</v>
      </c>
      <c r="C4228" s="20" t="str">
        <f t="array" ref="C4228">xlookup($A4228,product!$A:$A,product!C:C)</f>
        <v>Aide à la pâtisserie</v>
      </c>
      <c r="D4228" s="20" t="str">
        <f t="array" ref="D4228">xlookup($A4228,product!$A:$A,product!D:D)</f>
        <v>Ferments, présure</v>
      </c>
      <c r="E4228" s="4" t="str">
        <f t="shared" si="1"/>
        <v>41680-Aide à la pâtisserie-Ferments, présure</v>
      </c>
      <c r="F4228" s="4">
        <v>0.0</v>
      </c>
      <c r="G4228" s="4">
        <v>631.0</v>
      </c>
      <c r="H4228" s="4">
        <v>529.0</v>
      </c>
      <c r="I4228" s="21">
        <f t="array" ref="I4228">XLOOKUP($A4228,product!A:A,product!E:E)</f>
        <v>3.45</v>
      </c>
      <c r="J4228" s="4">
        <f t="shared" si="2"/>
        <v>1825.05</v>
      </c>
      <c r="K4228" s="22">
        <f t="shared" si="3"/>
        <v>1</v>
      </c>
      <c r="L4228" s="4">
        <f t="shared" si="4"/>
        <v>1</v>
      </c>
    </row>
    <row r="4229">
      <c r="A4229" s="23">
        <v>12000.0</v>
      </c>
      <c r="B4229" s="24" t="str">
        <f t="array" ref="B4229">xlookup($A4229,product!$A:$A,product!B:B)</f>
        <v>Epicerie sucrée</v>
      </c>
      <c r="C4229" s="24" t="str">
        <f t="array" ref="C4229">xlookup($A4229,product!$A:$A,product!C:C)</f>
        <v>Aide à la pâtisserie</v>
      </c>
      <c r="D4229" s="24" t="str">
        <f t="array" ref="D4229">xlookup($A4229,product!$A:$A,product!D:D)</f>
        <v>Ferments, présure</v>
      </c>
      <c r="E4229" s="25" t="str">
        <f t="shared" si="1"/>
        <v>12000-Aide à la pâtisserie-Ferments, présure</v>
      </c>
      <c r="F4229" s="25">
        <v>0.0</v>
      </c>
      <c r="G4229" s="25">
        <v>761.0</v>
      </c>
      <c r="H4229" s="25">
        <v>456.0</v>
      </c>
      <c r="I4229" s="26">
        <f t="array" ref="I4229">XLOOKUP($A4229,product!A:A,product!E:E)</f>
        <v>1.95</v>
      </c>
      <c r="J4229" s="25">
        <f t="shared" si="2"/>
        <v>889.2</v>
      </c>
      <c r="K4229" s="27">
        <f t="shared" si="3"/>
        <v>1</v>
      </c>
      <c r="L4229" s="25">
        <f t="shared" si="4"/>
        <v>1</v>
      </c>
    </row>
    <row r="4230">
      <c r="A4230" s="19">
        <v>12022.0</v>
      </c>
      <c r="B4230" s="20" t="str">
        <f t="array" ref="B4230">xlookup($A4230,product!$A:$A,product!B:B)</f>
        <v>Epicerie sucrée</v>
      </c>
      <c r="C4230" s="20" t="str">
        <f t="array" ref="C4230">xlookup($A4230,product!$A:$A,product!C:C)</f>
        <v>Aide à la pâtisserie</v>
      </c>
      <c r="D4230" s="20" t="str">
        <f t="array" ref="D4230">xlookup($A4230,product!$A:$A,product!D:D)</f>
        <v>Ferments, présure</v>
      </c>
      <c r="E4230" s="4" t="str">
        <f t="shared" si="1"/>
        <v>12022-Aide à la pâtisserie-Ferments, présure</v>
      </c>
      <c r="F4230" s="4">
        <v>0.0</v>
      </c>
      <c r="G4230" s="4">
        <v>21.0</v>
      </c>
      <c r="H4230" s="4">
        <v>18.0</v>
      </c>
      <c r="I4230" s="21">
        <f t="array" ref="I4230">XLOOKUP($A4230,product!A:A,product!E:E)</f>
        <v>2.04</v>
      </c>
      <c r="J4230" s="4">
        <f t="shared" si="2"/>
        <v>36.72</v>
      </c>
      <c r="K4230" s="22">
        <f t="shared" si="3"/>
        <v>1</v>
      </c>
      <c r="L4230" s="4">
        <f t="shared" si="4"/>
        <v>1</v>
      </c>
    </row>
    <row r="4231">
      <c r="A4231" s="23">
        <v>113596.0</v>
      </c>
      <c r="B4231" s="24" t="str">
        <f t="array" ref="B4231">xlookup($A4231,product!$A:$A,product!B:B)</f>
        <v>Epicerie sucrée</v>
      </c>
      <c r="C4231" s="24" t="str">
        <f t="array" ref="C4231">xlookup($A4231,product!$A:$A,product!C:C)</f>
        <v>Aide à la pâtisserie</v>
      </c>
      <c r="D4231" s="24" t="str">
        <f t="array" ref="D4231">xlookup($A4231,product!$A:$A,product!D:D)</f>
        <v>Ferments, présure</v>
      </c>
      <c r="E4231" s="25" t="str">
        <f t="shared" si="1"/>
        <v>113596-Aide à la pâtisserie-Ferments, présure</v>
      </c>
      <c r="F4231" s="25">
        <v>0.0</v>
      </c>
      <c r="G4231" s="25">
        <v>974.0</v>
      </c>
      <c r="H4231" s="25">
        <v>378.0</v>
      </c>
      <c r="I4231" s="26">
        <f t="array" ref="I4231">XLOOKUP($A4231,product!A:A,product!E:E)</f>
        <v>5.64</v>
      </c>
      <c r="J4231" s="25">
        <f t="shared" si="2"/>
        <v>2131.92</v>
      </c>
      <c r="K4231" s="27">
        <f t="shared" si="3"/>
        <v>1</v>
      </c>
      <c r="L4231" s="25">
        <f t="shared" si="4"/>
        <v>1</v>
      </c>
    </row>
    <row r="4232">
      <c r="A4232" s="19">
        <v>11998.0</v>
      </c>
      <c r="B4232" s="20" t="str">
        <f t="array" ref="B4232">xlookup($A4232,product!$A:$A,product!B:B)</f>
        <v>Epicerie sucrée</v>
      </c>
      <c r="C4232" s="20" t="str">
        <f t="array" ref="C4232">xlookup($A4232,product!$A:$A,product!C:C)</f>
        <v>Aide à la pâtisserie</v>
      </c>
      <c r="D4232" s="20" t="str">
        <f t="array" ref="D4232">xlookup($A4232,product!$A:$A,product!D:D)</f>
        <v>Ferments, présure</v>
      </c>
      <c r="E4232" s="4" t="str">
        <f t="shared" si="1"/>
        <v>11998-Aide à la pâtisserie-Ferments, présure</v>
      </c>
      <c r="F4232" s="4">
        <v>0.0</v>
      </c>
      <c r="G4232" s="4">
        <v>442.0</v>
      </c>
      <c r="H4232" s="4">
        <v>420.0</v>
      </c>
      <c r="I4232" s="21">
        <f t="array" ref="I4232">XLOOKUP($A4232,product!A:A,product!E:E)</f>
        <v>1.77</v>
      </c>
      <c r="J4232" s="4">
        <f t="shared" si="2"/>
        <v>743.4</v>
      </c>
      <c r="K4232" s="22">
        <f t="shared" si="3"/>
        <v>1</v>
      </c>
      <c r="L4232" s="4">
        <f t="shared" si="4"/>
        <v>1</v>
      </c>
    </row>
    <row r="4233">
      <c r="A4233" s="23">
        <v>12063.0</v>
      </c>
      <c r="B4233" s="24" t="str">
        <f t="array" ref="B4233">xlookup($A4233,product!$A:$A,product!B:B)</f>
        <v>Epicerie sucrée</v>
      </c>
      <c r="C4233" s="24" t="str">
        <f t="array" ref="C4233">xlookup($A4233,product!$A:$A,product!C:C)</f>
        <v>Aide à la pâtisserie</v>
      </c>
      <c r="D4233" s="24" t="str">
        <f t="array" ref="D4233">xlookup($A4233,product!$A:$A,product!D:D)</f>
        <v>Ferments, présure</v>
      </c>
      <c r="E4233" s="25" t="str">
        <f t="shared" si="1"/>
        <v>12063-Aide à la pâtisserie-Ferments, présure</v>
      </c>
      <c r="F4233" s="25">
        <v>0.0</v>
      </c>
      <c r="G4233" s="25">
        <v>921.0</v>
      </c>
      <c r="H4233" s="25">
        <v>245.0</v>
      </c>
      <c r="I4233" s="26">
        <f t="array" ref="I4233">XLOOKUP($A4233,product!A:A,product!E:E)</f>
        <v>1.77</v>
      </c>
      <c r="J4233" s="25">
        <f t="shared" si="2"/>
        <v>433.65</v>
      </c>
      <c r="K4233" s="27">
        <f t="shared" si="3"/>
        <v>1</v>
      </c>
      <c r="L4233" s="25">
        <f t="shared" si="4"/>
        <v>1</v>
      </c>
    </row>
    <row r="4234">
      <c r="A4234" s="19">
        <v>96069.0</v>
      </c>
      <c r="B4234" s="20" t="str">
        <f t="array" ref="B4234">xlookup($A4234,product!$A:$A,product!B:B)</f>
        <v>Epicerie sucrée</v>
      </c>
      <c r="C4234" s="20" t="str">
        <f t="array" ref="C4234">xlookup($A4234,product!$A:$A,product!C:C)</f>
        <v>Aide à la pâtisserie</v>
      </c>
      <c r="D4234" s="20" t="str">
        <f t="array" ref="D4234">xlookup($A4234,product!$A:$A,product!D:D)</f>
        <v>Ferments, présure</v>
      </c>
      <c r="E4234" s="4" t="str">
        <f t="shared" si="1"/>
        <v>96069-Aide à la pâtisserie-Ferments, présure</v>
      </c>
      <c r="F4234" s="4">
        <v>1.0</v>
      </c>
      <c r="G4234" s="4">
        <v>313.0</v>
      </c>
      <c r="H4234" s="4">
        <v>20.0</v>
      </c>
      <c r="I4234" s="21">
        <f t="array" ref="I4234">XLOOKUP($A4234,product!A:A,product!E:E)</f>
        <v>2.09</v>
      </c>
      <c r="J4234" s="4">
        <f t="shared" si="2"/>
        <v>41.8</v>
      </c>
      <c r="K4234" s="22">
        <f t="shared" si="3"/>
        <v>1</v>
      </c>
      <c r="L4234" s="4">
        <f t="shared" si="4"/>
        <v>1</v>
      </c>
    </row>
    <row r="4235">
      <c r="A4235" s="23">
        <v>12007.0</v>
      </c>
      <c r="B4235" s="24" t="str">
        <f t="array" ref="B4235">xlookup($A4235,product!$A:$A,product!B:B)</f>
        <v>Epicerie sucrée</v>
      </c>
      <c r="C4235" s="24" t="str">
        <f t="array" ref="C4235">xlookup($A4235,product!$A:$A,product!C:C)</f>
        <v>Aide à la pâtisserie</v>
      </c>
      <c r="D4235" s="24" t="str">
        <f t="array" ref="D4235">xlookup($A4235,product!$A:$A,product!D:D)</f>
        <v>Ferments, présure</v>
      </c>
      <c r="E4235" s="25" t="str">
        <f t="shared" si="1"/>
        <v>12007-Aide à la pâtisserie-Ferments, présure</v>
      </c>
      <c r="F4235" s="25">
        <v>0.0</v>
      </c>
      <c r="G4235" s="25">
        <v>363.0</v>
      </c>
      <c r="H4235" s="25">
        <v>137.0</v>
      </c>
      <c r="I4235" s="26">
        <f t="array" ref="I4235">XLOOKUP($A4235,product!A:A,product!E:E)</f>
        <v>1.77</v>
      </c>
      <c r="J4235" s="25">
        <f t="shared" si="2"/>
        <v>242.49</v>
      </c>
      <c r="K4235" s="27">
        <f t="shared" si="3"/>
        <v>1</v>
      </c>
      <c r="L4235" s="25">
        <f t="shared" si="4"/>
        <v>1</v>
      </c>
    </row>
    <row r="4236">
      <c r="A4236" s="19">
        <v>113592.0</v>
      </c>
      <c r="B4236" s="20" t="str">
        <f t="array" ref="B4236">xlookup($A4236,product!$A:$A,product!B:B)</f>
        <v>Epicerie sucrée</v>
      </c>
      <c r="C4236" s="20" t="str">
        <f t="array" ref="C4236">xlookup($A4236,product!$A:$A,product!C:C)</f>
        <v>Aide à la pâtisserie</v>
      </c>
      <c r="D4236" s="20" t="str">
        <f t="array" ref="D4236">xlookup($A4236,product!$A:$A,product!D:D)</f>
        <v>Ferments, présure</v>
      </c>
      <c r="E4236" s="4" t="str">
        <f t="shared" si="1"/>
        <v>113592-Aide à la pâtisserie-Ferments, présure</v>
      </c>
      <c r="F4236" s="4">
        <v>0.0</v>
      </c>
      <c r="G4236" s="4">
        <v>534.0</v>
      </c>
      <c r="H4236" s="4">
        <v>109.0</v>
      </c>
      <c r="I4236" s="21">
        <f t="array" ref="I4236">XLOOKUP($A4236,product!A:A,product!E:E)</f>
        <v>5.64</v>
      </c>
      <c r="J4236" s="4">
        <f t="shared" si="2"/>
        <v>614.76</v>
      </c>
      <c r="K4236" s="22">
        <f t="shared" si="3"/>
        <v>1</v>
      </c>
      <c r="L4236" s="4">
        <f t="shared" si="4"/>
        <v>1</v>
      </c>
    </row>
    <row r="4237">
      <c r="A4237" s="23">
        <v>147308.0</v>
      </c>
      <c r="B4237" s="24" t="str">
        <f t="array" ref="B4237">xlookup($A4237,product!$A:$A,product!B:B)</f>
        <v>Epicerie sucrée</v>
      </c>
      <c r="C4237" s="24" t="str">
        <f t="array" ref="C4237">xlookup($A4237,product!$A:$A,product!C:C)</f>
        <v>Aide à la pâtisserie</v>
      </c>
      <c r="D4237" s="24" t="str">
        <f t="array" ref="D4237">xlookup($A4237,product!$A:$A,product!D:D)</f>
        <v>Ferments, présure</v>
      </c>
      <c r="E4237" s="25" t="str">
        <f t="shared" si="1"/>
        <v>147308-Aide à la pâtisserie-Ferments, présure</v>
      </c>
      <c r="F4237" s="25">
        <v>0.0</v>
      </c>
      <c r="G4237" s="25">
        <v>450.0</v>
      </c>
      <c r="H4237" s="25">
        <v>234.0</v>
      </c>
      <c r="I4237" s="26">
        <f t="array" ref="I4237">XLOOKUP($A4237,product!A:A,product!E:E)</f>
        <v>1.74</v>
      </c>
      <c r="J4237" s="25">
        <f t="shared" si="2"/>
        <v>407.16</v>
      </c>
      <c r="K4237" s="27">
        <f t="shared" si="3"/>
        <v>1</v>
      </c>
      <c r="L4237" s="25">
        <f t="shared" si="4"/>
        <v>1</v>
      </c>
    </row>
    <row r="4238">
      <c r="A4238" s="19">
        <v>41679.0</v>
      </c>
      <c r="B4238" s="20" t="str">
        <f t="array" ref="B4238">xlookup($A4238,product!$A:$A,product!B:B)</f>
        <v>Epicerie sucrée</v>
      </c>
      <c r="C4238" s="20" t="str">
        <f t="array" ref="C4238">xlookup($A4238,product!$A:$A,product!C:C)</f>
        <v>Aide à la pâtisserie</v>
      </c>
      <c r="D4238" s="20" t="str">
        <f t="array" ref="D4238">xlookup($A4238,product!$A:$A,product!D:D)</f>
        <v>Ferments, présure</v>
      </c>
      <c r="E4238" s="4" t="str">
        <f t="shared" si="1"/>
        <v>41679-Aide à la pâtisserie-Ferments, présure</v>
      </c>
      <c r="F4238" s="4">
        <v>1.0</v>
      </c>
      <c r="G4238" s="4">
        <v>562.0</v>
      </c>
      <c r="H4238" s="4">
        <v>260.0</v>
      </c>
      <c r="I4238" s="21">
        <f t="array" ref="I4238">XLOOKUP($A4238,product!A:A,product!E:E)</f>
        <v>3.45</v>
      </c>
      <c r="J4238" s="4">
        <f t="shared" si="2"/>
        <v>897</v>
      </c>
      <c r="K4238" s="22">
        <f t="shared" si="3"/>
        <v>1</v>
      </c>
      <c r="L4238" s="4">
        <f t="shared" si="4"/>
        <v>1</v>
      </c>
    </row>
    <row r="4239">
      <c r="A4239" s="23">
        <v>112077.0</v>
      </c>
      <c r="B4239" s="24" t="str">
        <f t="array" ref="B4239">xlookup($A4239,product!$A:$A,product!B:B)</f>
        <v>Epicerie sucrée</v>
      </c>
      <c r="C4239" s="24" t="str">
        <f t="array" ref="C4239">xlookup($A4239,product!$A:$A,product!C:C)</f>
        <v>Aide à la pâtisserie</v>
      </c>
      <c r="D4239" s="24" t="str">
        <f t="array" ref="D4239">xlookup($A4239,product!$A:$A,product!D:D)</f>
        <v>Levure et gélifiant</v>
      </c>
      <c r="E4239" s="25" t="str">
        <f t="shared" si="1"/>
        <v>112077-Aide à la pâtisserie-Levure et gélifiant</v>
      </c>
      <c r="F4239" s="25">
        <v>0.0</v>
      </c>
      <c r="G4239" s="25">
        <v>205.0</v>
      </c>
      <c r="H4239" s="25">
        <v>142.0</v>
      </c>
      <c r="I4239" s="26">
        <f t="array" ref="I4239">XLOOKUP($A4239,product!A:A,product!E:E)</f>
        <v>2.23</v>
      </c>
      <c r="J4239" s="25">
        <f t="shared" si="2"/>
        <v>316.66</v>
      </c>
      <c r="K4239" s="27">
        <f t="shared" si="3"/>
        <v>1</v>
      </c>
      <c r="L4239" s="25">
        <f t="shared" si="4"/>
        <v>1</v>
      </c>
    </row>
    <row r="4240">
      <c r="A4240" s="19">
        <v>115133.0</v>
      </c>
      <c r="B4240" s="20" t="str">
        <f t="array" ref="B4240">xlookup($A4240,product!$A:$A,product!B:B)</f>
        <v>Epicerie sucrée</v>
      </c>
      <c r="C4240" s="20" t="str">
        <f t="array" ref="C4240">xlookup($A4240,product!$A:$A,product!C:C)</f>
        <v>Aide à la pâtisserie</v>
      </c>
      <c r="D4240" s="20" t="str">
        <f t="array" ref="D4240">xlookup($A4240,product!$A:$A,product!D:D)</f>
        <v>Levure et gélifiant</v>
      </c>
      <c r="E4240" s="4" t="str">
        <f t="shared" si="1"/>
        <v>115133-Aide à la pâtisserie-Levure et gélifiant</v>
      </c>
      <c r="F4240" s="4">
        <v>1.0</v>
      </c>
      <c r="G4240" s="4">
        <v>847.0</v>
      </c>
      <c r="H4240" s="4">
        <v>329.0</v>
      </c>
      <c r="I4240" s="21">
        <f t="array" ref="I4240">XLOOKUP($A4240,product!A:A,product!E:E)</f>
        <v>2.35</v>
      </c>
      <c r="J4240" s="4">
        <f t="shared" si="2"/>
        <v>773.15</v>
      </c>
      <c r="K4240" s="22">
        <f t="shared" si="3"/>
        <v>1</v>
      </c>
      <c r="L4240" s="4">
        <f t="shared" si="4"/>
        <v>1</v>
      </c>
    </row>
    <row r="4241">
      <c r="A4241" s="23">
        <v>30465.0</v>
      </c>
      <c r="B4241" s="24" t="str">
        <f t="array" ref="B4241">xlookup($A4241,product!$A:$A,product!B:B)</f>
        <v>Epicerie sucrée</v>
      </c>
      <c r="C4241" s="24" t="str">
        <f t="array" ref="C4241">xlookup($A4241,product!$A:$A,product!C:C)</f>
        <v>Aide à la pâtisserie</v>
      </c>
      <c r="D4241" s="24" t="str">
        <f t="array" ref="D4241">xlookup($A4241,product!$A:$A,product!D:D)</f>
        <v>Levure et gélifiant</v>
      </c>
      <c r="E4241" s="25" t="str">
        <f t="shared" si="1"/>
        <v>30465-Aide à la pâtisserie-Levure et gélifiant</v>
      </c>
      <c r="F4241" s="25">
        <v>1.0</v>
      </c>
      <c r="G4241" s="25">
        <v>121.0</v>
      </c>
      <c r="H4241" s="25">
        <v>6.0</v>
      </c>
      <c r="I4241" s="26">
        <f t="array" ref="I4241">XLOOKUP($A4241,product!A:A,product!E:E)</f>
        <v>2.19</v>
      </c>
      <c r="J4241" s="25">
        <f t="shared" si="2"/>
        <v>13.14</v>
      </c>
      <c r="K4241" s="27">
        <f t="shared" si="3"/>
        <v>1</v>
      </c>
      <c r="L4241" s="25">
        <f t="shared" si="4"/>
        <v>1</v>
      </c>
    </row>
    <row r="4242">
      <c r="A4242" s="19">
        <v>87405.0</v>
      </c>
      <c r="B4242" s="20" t="str">
        <f t="array" ref="B4242">xlookup($A4242,product!$A:$A,product!B:B)</f>
        <v>Epicerie sucrée</v>
      </c>
      <c r="C4242" s="20" t="str">
        <f t="array" ref="C4242">xlookup($A4242,product!$A:$A,product!C:C)</f>
        <v>Aide à la pâtisserie</v>
      </c>
      <c r="D4242" s="20" t="str">
        <f t="array" ref="D4242">xlookup($A4242,product!$A:$A,product!D:D)</f>
        <v>Levure et gélifiant</v>
      </c>
      <c r="E4242" s="4" t="str">
        <f t="shared" si="1"/>
        <v>87405-Aide à la pâtisserie-Levure et gélifiant</v>
      </c>
      <c r="F4242" s="4">
        <v>1.0</v>
      </c>
      <c r="G4242" s="4">
        <v>442.0</v>
      </c>
      <c r="H4242" s="4">
        <v>30.0</v>
      </c>
      <c r="I4242" s="21">
        <f t="array" ref="I4242">XLOOKUP($A4242,product!A:A,product!E:E)</f>
        <v>0.67</v>
      </c>
      <c r="J4242" s="4">
        <f t="shared" si="2"/>
        <v>20.1</v>
      </c>
      <c r="K4242" s="22">
        <f t="shared" si="3"/>
        <v>1</v>
      </c>
      <c r="L4242" s="4">
        <f t="shared" si="4"/>
        <v>1</v>
      </c>
    </row>
    <row r="4243">
      <c r="A4243" s="23">
        <v>77602.0</v>
      </c>
      <c r="B4243" s="24" t="str">
        <f t="array" ref="B4243">xlookup($A4243,product!$A:$A,product!B:B)</f>
        <v>Epicerie sucrée</v>
      </c>
      <c r="C4243" s="24" t="str">
        <f t="array" ref="C4243">xlookup($A4243,product!$A:$A,product!C:C)</f>
        <v>Aide à la pâtisserie</v>
      </c>
      <c r="D4243" s="24" t="str">
        <f t="array" ref="D4243">xlookup($A4243,product!$A:$A,product!D:D)</f>
        <v>Levure et gélifiant</v>
      </c>
      <c r="E4243" s="25" t="str">
        <f t="shared" si="1"/>
        <v>77602-Aide à la pâtisserie-Levure et gélifiant</v>
      </c>
      <c r="F4243" s="25">
        <v>0.0</v>
      </c>
      <c r="G4243" s="25">
        <v>416.0</v>
      </c>
      <c r="H4243" s="25">
        <v>162.0</v>
      </c>
      <c r="I4243" s="26">
        <f t="array" ref="I4243">XLOOKUP($A4243,product!A:A,product!E:E)</f>
        <v>1.34</v>
      </c>
      <c r="J4243" s="25">
        <f t="shared" si="2"/>
        <v>217.08</v>
      </c>
      <c r="K4243" s="27">
        <f t="shared" si="3"/>
        <v>1</v>
      </c>
      <c r="L4243" s="25">
        <f t="shared" si="4"/>
        <v>1</v>
      </c>
    </row>
    <row r="4244">
      <c r="A4244" s="19">
        <v>107058.0</v>
      </c>
      <c r="B4244" s="20" t="str">
        <f t="array" ref="B4244">xlookup($A4244,product!$A:$A,product!B:B)</f>
        <v>Epicerie sucrée</v>
      </c>
      <c r="C4244" s="20" t="str">
        <f t="array" ref="C4244">xlookup($A4244,product!$A:$A,product!C:C)</f>
        <v>Aide à la pâtisserie</v>
      </c>
      <c r="D4244" s="20" t="str">
        <f t="array" ref="D4244">xlookup($A4244,product!$A:$A,product!D:D)</f>
        <v>Levure et gélifiant</v>
      </c>
      <c r="E4244" s="4" t="str">
        <f t="shared" si="1"/>
        <v>107058-Aide à la pâtisserie-Levure et gélifiant</v>
      </c>
      <c r="F4244" s="4">
        <v>1.0</v>
      </c>
      <c r="G4244" s="4">
        <v>657.0</v>
      </c>
      <c r="H4244" s="4">
        <v>154.0</v>
      </c>
      <c r="I4244" s="21">
        <f t="array" ref="I4244">XLOOKUP($A4244,product!A:A,product!E:E)</f>
        <v>4.18</v>
      </c>
      <c r="J4244" s="4">
        <f t="shared" si="2"/>
        <v>643.72</v>
      </c>
      <c r="K4244" s="22">
        <f t="shared" si="3"/>
        <v>1</v>
      </c>
      <c r="L4244" s="4">
        <f t="shared" si="4"/>
        <v>1</v>
      </c>
    </row>
    <row r="4245">
      <c r="A4245" s="23">
        <v>5807.0</v>
      </c>
      <c r="B4245" s="24" t="str">
        <f t="array" ref="B4245">xlookup($A4245,product!$A:$A,product!B:B)</f>
        <v>Epicerie sucrée</v>
      </c>
      <c r="C4245" s="24" t="str">
        <f t="array" ref="C4245">xlookup($A4245,product!$A:$A,product!C:C)</f>
        <v>Aide à la pâtisserie</v>
      </c>
      <c r="D4245" s="24" t="str">
        <f t="array" ref="D4245">xlookup($A4245,product!$A:$A,product!D:D)</f>
        <v>Levure et gélifiant</v>
      </c>
      <c r="E4245" s="25" t="str">
        <f t="shared" si="1"/>
        <v>5807-Aide à la pâtisserie-Levure et gélifiant</v>
      </c>
      <c r="F4245" s="25">
        <v>0.0</v>
      </c>
      <c r="G4245" s="25">
        <v>923.0</v>
      </c>
      <c r="H4245" s="25">
        <v>91.0</v>
      </c>
      <c r="I4245" s="26">
        <f t="array" ref="I4245">XLOOKUP($A4245,product!A:A,product!E:E)</f>
        <v>3.38</v>
      </c>
      <c r="J4245" s="25">
        <f t="shared" si="2"/>
        <v>307.58</v>
      </c>
      <c r="K4245" s="27">
        <f t="shared" si="3"/>
        <v>1</v>
      </c>
      <c r="L4245" s="25">
        <f t="shared" si="4"/>
        <v>1</v>
      </c>
    </row>
    <row r="4246">
      <c r="A4246" s="19">
        <v>87061.0</v>
      </c>
      <c r="B4246" s="20" t="str">
        <f t="array" ref="B4246">xlookup($A4246,product!$A:$A,product!B:B)</f>
        <v>Epicerie sucrée</v>
      </c>
      <c r="C4246" s="20" t="str">
        <f t="array" ref="C4246">xlookup($A4246,product!$A:$A,product!C:C)</f>
        <v>Aide à la pâtisserie</v>
      </c>
      <c r="D4246" s="20" t="str">
        <f t="array" ref="D4246">xlookup($A4246,product!$A:$A,product!D:D)</f>
        <v>Levure et gélifiant</v>
      </c>
      <c r="E4246" s="4" t="str">
        <f t="shared" si="1"/>
        <v>87061-Aide à la pâtisserie-Levure et gélifiant</v>
      </c>
      <c r="F4246" s="4">
        <v>0.0</v>
      </c>
      <c r="G4246" s="4">
        <v>379.0</v>
      </c>
      <c r="H4246" s="4">
        <v>102.0</v>
      </c>
      <c r="I4246" s="21">
        <f t="array" ref="I4246">XLOOKUP($A4246,product!A:A,product!E:E)</f>
        <v>8.31</v>
      </c>
      <c r="J4246" s="4">
        <f t="shared" si="2"/>
        <v>847.62</v>
      </c>
      <c r="K4246" s="22">
        <f t="shared" si="3"/>
        <v>1</v>
      </c>
      <c r="L4246" s="4">
        <f t="shared" si="4"/>
        <v>1</v>
      </c>
    </row>
    <row r="4247">
      <c r="A4247" s="23">
        <v>108039.0</v>
      </c>
      <c r="B4247" s="24" t="str">
        <f t="array" ref="B4247">xlookup($A4247,product!$A:$A,product!B:B)</f>
        <v>Epicerie sucrée</v>
      </c>
      <c r="C4247" s="24" t="str">
        <f t="array" ref="C4247">xlookup($A4247,product!$A:$A,product!C:C)</f>
        <v>Aide à la pâtisserie</v>
      </c>
      <c r="D4247" s="24" t="str">
        <f t="array" ref="D4247">xlookup($A4247,product!$A:$A,product!D:D)</f>
        <v>Levure et gélifiant</v>
      </c>
      <c r="E4247" s="25" t="str">
        <f t="shared" si="1"/>
        <v>108039-Aide à la pâtisserie-Levure et gélifiant</v>
      </c>
      <c r="F4247" s="25">
        <v>1.0</v>
      </c>
      <c r="G4247" s="25">
        <v>499.0</v>
      </c>
      <c r="H4247" s="25">
        <v>155.0</v>
      </c>
      <c r="I4247" s="26">
        <f t="array" ref="I4247">XLOOKUP($A4247,product!A:A,product!E:E)</f>
        <v>1.74</v>
      </c>
      <c r="J4247" s="25">
        <f t="shared" si="2"/>
        <v>269.7</v>
      </c>
      <c r="K4247" s="27">
        <f t="shared" si="3"/>
        <v>1</v>
      </c>
      <c r="L4247" s="25">
        <f t="shared" si="4"/>
        <v>1</v>
      </c>
    </row>
    <row r="4248">
      <c r="A4248" s="19">
        <v>90837.0</v>
      </c>
      <c r="B4248" s="20" t="str">
        <f t="array" ref="B4248">xlookup($A4248,product!$A:$A,product!B:B)</f>
        <v>Epicerie sucrée</v>
      </c>
      <c r="C4248" s="20" t="str">
        <f t="array" ref="C4248">xlookup($A4248,product!$A:$A,product!C:C)</f>
        <v>Aide à la pâtisserie</v>
      </c>
      <c r="D4248" s="20" t="str">
        <f t="array" ref="D4248">xlookup($A4248,product!$A:$A,product!D:D)</f>
        <v>Levure et gélifiant</v>
      </c>
      <c r="E4248" s="4" t="str">
        <f t="shared" si="1"/>
        <v>90837-Aide à la pâtisserie-Levure et gélifiant</v>
      </c>
      <c r="F4248" s="4">
        <v>1.0</v>
      </c>
      <c r="G4248" s="4">
        <v>662.0</v>
      </c>
      <c r="H4248" s="4">
        <v>280.0</v>
      </c>
      <c r="I4248" s="21">
        <f t="array" ref="I4248">XLOOKUP($A4248,product!A:A,product!E:E)</f>
        <v>0.61</v>
      </c>
      <c r="J4248" s="4">
        <f t="shared" si="2"/>
        <v>170.8</v>
      </c>
      <c r="K4248" s="22">
        <f t="shared" si="3"/>
        <v>1</v>
      </c>
      <c r="L4248" s="4">
        <f t="shared" si="4"/>
        <v>1</v>
      </c>
    </row>
    <row r="4249">
      <c r="A4249" s="23">
        <v>88461.0</v>
      </c>
      <c r="B4249" s="24" t="str">
        <f t="array" ref="B4249">xlookup($A4249,product!$A:$A,product!B:B)</f>
        <v>Epicerie sucrée</v>
      </c>
      <c r="C4249" s="24" t="str">
        <f t="array" ref="C4249">xlookup($A4249,product!$A:$A,product!C:C)</f>
        <v>Aide à la pâtisserie</v>
      </c>
      <c r="D4249" s="24" t="str">
        <f t="array" ref="D4249">xlookup($A4249,product!$A:$A,product!D:D)</f>
        <v>Levure et gélifiant</v>
      </c>
      <c r="E4249" s="25" t="str">
        <f t="shared" si="1"/>
        <v>88461-Aide à la pâtisserie-Levure et gélifiant</v>
      </c>
      <c r="F4249" s="25">
        <v>1.0</v>
      </c>
      <c r="G4249" s="25">
        <v>823.0</v>
      </c>
      <c r="H4249" s="25">
        <v>499.0</v>
      </c>
      <c r="I4249" s="26">
        <f t="array" ref="I4249">XLOOKUP($A4249,product!A:A,product!E:E)</f>
        <v>1.14</v>
      </c>
      <c r="J4249" s="25">
        <f t="shared" si="2"/>
        <v>568.86</v>
      </c>
      <c r="K4249" s="27">
        <f t="shared" si="3"/>
        <v>1</v>
      </c>
      <c r="L4249" s="25">
        <f t="shared" si="4"/>
        <v>1</v>
      </c>
    </row>
    <row r="4250">
      <c r="A4250" s="19">
        <v>81504.0</v>
      </c>
      <c r="B4250" s="20" t="str">
        <f t="array" ref="B4250">xlookup($A4250,product!$A:$A,product!B:B)</f>
        <v>Epicerie sucrée</v>
      </c>
      <c r="C4250" s="20" t="str">
        <f t="array" ref="C4250">xlookup($A4250,product!$A:$A,product!C:C)</f>
        <v>Aide à la pâtisserie</v>
      </c>
      <c r="D4250" s="20" t="str">
        <f t="array" ref="D4250">xlookup($A4250,product!$A:$A,product!D:D)</f>
        <v>Levure et gélifiant</v>
      </c>
      <c r="E4250" s="4" t="str">
        <f t="shared" si="1"/>
        <v>81504-Aide à la pâtisserie-Levure et gélifiant</v>
      </c>
      <c r="F4250" s="4">
        <v>1.0</v>
      </c>
      <c r="G4250" s="4">
        <v>890.0</v>
      </c>
      <c r="H4250" s="4">
        <v>33.0</v>
      </c>
      <c r="I4250" s="21">
        <f t="array" ref="I4250">XLOOKUP($A4250,product!A:A,product!E:E)</f>
        <v>0.52</v>
      </c>
      <c r="J4250" s="4">
        <f t="shared" si="2"/>
        <v>17.16</v>
      </c>
      <c r="K4250" s="22">
        <f t="shared" si="3"/>
        <v>1</v>
      </c>
      <c r="L4250" s="4">
        <f t="shared" si="4"/>
        <v>1</v>
      </c>
    </row>
    <row r="4251">
      <c r="A4251" s="23">
        <v>12027.0</v>
      </c>
      <c r="B4251" s="24" t="str">
        <f t="array" ref="B4251">xlookup($A4251,product!$A:$A,product!B:B)</f>
        <v>Epicerie sucrée</v>
      </c>
      <c r="C4251" s="24" t="str">
        <f t="array" ref="C4251">xlookup($A4251,product!$A:$A,product!C:C)</f>
        <v>Aide à la pâtisserie</v>
      </c>
      <c r="D4251" s="24" t="str">
        <f t="array" ref="D4251">xlookup($A4251,product!$A:$A,product!D:D)</f>
        <v>Levure et gélifiant</v>
      </c>
      <c r="E4251" s="25" t="str">
        <f t="shared" si="1"/>
        <v>12027-Aide à la pâtisserie-Levure et gélifiant</v>
      </c>
      <c r="F4251" s="25">
        <v>0.0</v>
      </c>
      <c r="G4251" s="25">
        <v>565.0</v>
      </c>
      <c r="H4251" s="25">
        <v>205.0</v>
      </c>
      <c r="I4251" s="26">
        <f t="array" ref="I4251">XLOOKUP($A4251,product!A:A,product!E:E)</f>
        <v>23.61</v>
      </c>
      <c r="J4251" s="25">
        <f t="shared" si="2"/>
        <v>4840.05</v>
      </c>
      <c r="K4251" s="27">
        <f t="shared" si="3"/>
        <v>1</v>
      </c>
      <c r="L4251" s="25">
        <f t="shared" si="4"/>
        <v>1</v>
      </c>
    </row>
    <row r="4252">
      <c r="A4252" s="19">
        <v>8883.0</v>
      </c>
      <c r="B4252" s="20" t="str">
        <f t="array" ref="B4252">xlookup($A4252,product!$A:$A,product!B:B)</f>
        <v>Epicerie sucrée</v>
      </c>
      <c r="C4252" s="20" t="str">
        <f t="array" ref="C4252">xlookup($A4252,product!$A:$A,product!C:C)</f>
        <v>Aide à la pâtisserie</v>
      </c>
      <c r="D4252" s="20" t="str">
        <f t="array" ref="D4252">xlookup($A4252,product!$A:$A,product!D:D)</f>
        <v>Levure et gélifiant</v>
      </c>
      <c r="E4252" s="4" t="str">
        <f t="shared" si="1"/>
        <v>8883-Aide à la pâtisserie-Levure et gélifiant</v>
      </c>
      <c r="F4252" s="4">
        <v>0.0</v>
      </c>
      <c r="G4252" s="4">
        <v>205.0</v>
      </c>
      <c r="H4252" s="4">
        <v>22.0</v>
      </c>
      <c r="I4252" s="21">
        <f t="array" ref="I4252">XLOOKUP($A4252,product!A:A,product!E:E)</f>
        <v>1.44</v>
      </c>
      <c r="J4252" s="4">
        <f t="shared" si="2"/>
        <v>31.68</v>
      </c>
      <c r="K4252" s="22">
        <f t="shared" si="3"/>
        <v>1</v>
      </c>
      <c r="L4252" s="4">
        <f t="shared" si="4"/>
        <v>1</v>
      </c>
    </row>
    <row r="4253">
      <c r="A4253" s="23">
        <v>112082.0</v>
      </c>
      <c r="B4253" s="24" t="str">
        <f t="array" ref="B4253">xlookup($A4253,product!$A:$A,product!B:B)</f>
        <v>Epicerie sucrée</v>
      </c>
      <c r="C4253" s="24" t="str">
        <f t="array" ref="C4253">xlookup($A4253,product!$A:$A,product!C:C)</f>
        <v>Aide à la pâtisserie</v>
      </c>
      <c r="D4253" s="24" t="str">
        <f t="array" ref="D4253">xlookup($A4253,product!$A:$A,product!D:D)</f>
        <v>Levure et gélifiant</v>
      </c>
      <c r="E4253" s="25" t="str">
        <f t="shared" si="1"/>
        <v>112082-Aide à la pâtisserie-Levure et gélifiant</v>
      </c>
      <c r="F4253" s="25">
        <v>0.0</v>
      </c>
      <c r="G4253" s="25">
        <v>672.0</v>
      </c>
      <c r="H4253" s="25">
        <v>320.0</v>
      </c>
      <c r="I4253" s="26">
        <f t="array" ref="I4253">XLOOKUP($A4253,product!A:A,product!E:E)</f>
        <v>0.78</v>
      </c>
      <c r="J4253" s="25">
        <f t="shared" si="2"/>
        <v>249.6</v>
      </c>
      <c r="K4253" s="27">
        <f t="shared" si="3"/>
        <v>1</v>
      </c>
      <c r="L4253" s="25">
        <f t="shared" si="4"/>
        <v>1</v>
      </c>
    </row>
    <row r="4254">
      <c r="A4254" s="19">
        <v>114961.0</v>
      </c>
      <c r="B4254" s="20" t="str">
        <f t="array" ref="B4254">xlookup($A4254,product!$A:$A,product!B:B)</f>
        <v>Epicerie sucrée</v>
      </c>
      <c r="C4254" s="20" t="str">
        <f t="array" ref="C4254">xlookup($A4254,product!$A:$A,product!C:C)</f>
        <v>Aide à la pâtisserie</v>
      </c>
      <c r="D4254" s="20" t="str">
        <f t="array" ref="D4254">xlookup($A4254,product!$A:$A,product!D:D)</f>
        <v>Levure et gélifiant</v>
      </c>
      <c r="E4254" s="4" t="str">
        <f t="shared" si="1"/>
        <v>114961-Aide à la pâtisserie-Levure et gélifiant</v>
      </c>
      <c r="F4254" s="4">
        <v>1.0</v>
      </c>
      <c r="G4254" s="4">
        <v>978.0</v>
      </c>
      <c r="H4254" s="4">
        <v>506.0</v>
      </c>
      <c r="I4254" s="21">
        <f t="array" ref="I4254">XLOOKUP($A4254,product!A:A,product!E:E)</f>
        <v>5.43</v>
      </c>
      <c r="J4254" s="4">
        <f t="shared" si="2"/>
        <v>2747.58</v>
      </c>
      <c r="K4254" s="22">
        <f t="shared" si="3"/>
        <v>1</v>
      </c>
      <c r="L4254" s="4">
        <f t="shared" si="4"/>
        <v>1</v>
      </c>
    </row>
    <row r="4255">
      <c r="A4255" s="23">
        <v>112078.0</v>
      </c>
      <c r="B4255" s="24" t="str">
        <f t="array" ref="B4255">xlookup($A4255,product!$A:$A,product!B:B)</f>
        <v>Epicerie sucrée</v>
      </c>
      <c r="C4255" s="24" t="str">
        <f t="array" ref="C4255">xlookup($A4255,product!$A:$A,product!C:C)</f>
        <v>Aide à la pâtisserie</v>
      </c>
      <c r="D4255" s="24" t="str">
        <f t="array" ref="D4255">xlookup($A4255,product!$A:$A,product!D:D)</f>
        <v>Levure et gélifiant</v>
      </c>
      <c r="E4255" s="25" t="str">
        <f t="shared" si="1"/>
        <v>112078-Aide à la pâtisserie-Levure et gélifiant</v>
      </c>
      <c r="F4255" s="25">
        <v>0.0</v>
      </c>
      <c r="G4255" s="25">
        <v>457.0</v>
      </c>
      <c r="H4255" s="25">
        <v>111.0</v>
      </c>
      <c r="I4255" s="26">
        <f t="array" ref="I4255">XLOOKUP($A4255,product!A:A,product!E:E)</f>
        <v>0.77</v>
      </c>
      <c r="J4255" s="25">
        <f t="shared" si="2"/>
        <v>85.47</v>
      </c>
      <c r="K4255" s="27">
        <f t="shared" si="3"/>
        <v>1</v>
      </c>
      <c r="L4255" s="25">
        <f t="shared" si="4"/>
        <v>1</v>
      </c>
    </row>
    <row r="4256">
      <c r="A4256" s="19">
        <v>12025.0</v>
      </c>
      <c r="B4256" s="20" t="str">
        <f t="array" ref="B4256">xlookup($A4256,product!$A:$A,product!B:B)</f>
        <v>Epicerie sucrée</v>
      </c>
      <c r="C4256" s="20" t="str">
        <f t="array" ref="C4256">xlookup($A4256,product!$A:$A,product!C:C)</f>
        <v>Aide à la pâtisserie</v>
      </c>
      <c r="D4256" s="20" t="str">
        <f t="array" ref="D4256">xlookup($A4256,product!$A:$A,product!D:D)</f>
        <v>Levure et gélifiant</v>
      </c>
      <c r="E4256" s="4" t="str">
        <f t="shared" si="1"/>
        <v>12025-Aide à la pâtisserie-Levure et gélifiant</v>
      </c>
      <c r="F4256" s="4">
        <v>0.0</v>
      </c>
      <c r="G4256" s="4">
        <v>601.0</v>
      </c>
      <c r="H4256" s="4">
        <v>216.0</v>
      </c>
      <c r="I4256" s="21">
        <f t="array" ref="I4256">XLOOKUP($A4256,product!A:A,product!E:E)</f>
        <v>0.94</v>
      </c>
      <c r="J4256" s="4">
        <f t="shared" si="2"/>
        <v>203.04</v>
      </c>
      <c r="K4256" s="22">
        <f t="shared" si="3"/>
        <v>1</v>
      </c>
      <c r="L4256" s="4">
        <f t="shared" si="4"/>
        <v>1</v>
      </c>
    </row>
    <row r="4257">
      <c r="A4257" s="23">
        <v>11992.0</v>
      </c>
      <c r="B4257" s="24" t="str">
        <f t="array" ref="B4257">xlookup($A4257,product!$A:$A,product!B:B)</f>
        <v>Epicerie sucrée</v>
      </c>
      <c r="C4257" s="24" t="str">
        <f t="array" ref="C4257">xlookup($A4257,product!$A:$A,product!C:C)</f>
        <v>Aide à la pâtisserie</v>
      </c>
      <c r="D4257" s="24" t="str">
        <f t="array" ref="D4257">xlookup($A4257,product!$A:$A,product!D:D)</f>
        <v>Levure et gélifiant</v>
      </c>
      <c r="E4257" s="25" t="str">
        <f t="shared" si="1"/>
        <v>11992-Aide à la pâtisserie-Levure et gélifiant</v>
      </c>
      <c r="F4257" s="25">
        <v>1.0</v>
      </c>
      <c r="G4257" s="25">
        <v>825.0</v>
      </c>
      <c r="H4257" s="25">
        <v>411.0</v>
      </c>
      <c r="I4257" s="26">
        <f t="array" ref="I4257">XLOOKUP($A4257,product!A:A,product!E:E)</f>
        <v>0.26</v>
      </c>
      <c r="J4257" s="25">
        <f t="shared" si="2"/>
        <v>106.86</v>
      </c>
      <c r="K4257" s="27">
        <f t="shared" si="3"/>
        <v>1</v>
      </c>
      <c r="L4257" s="25">
        <f t="shared" si="4"/>
        <v>1</v>
      </c>
    </row>
    <row r="4258">
      <c r="A4258" s="19">
        <v>188850.0</v>
      </c>
      <c r="B4258" s="20" t="str">
        <f t="array" ref="B4258">xlookup($A4258,product!$A:$A,product!B:B)</f>
        <v>Epicerie sucrée</v>
      </c>
      <c r="C4258" s="20" t="str">
        <f t="array" ref="C4258">xlookup($A4258,product!$A:$A,product!C:C)</f>
        <v>Aide à la pâtisserie</v>
      </c>
      <c r="D4258" s="20" t="str">
        <f t="array" ref="D4258">xlookup($A4258,product!$A:$A,product!D:D)</f>
        <v>Levure et gélifiant</v>
      </c>
      <c r="E4258" s="4" t="str">
        <f t="shared" si="1"/>
        <v>188850-Aide à la pâtisserie-Levure et gélifiant</v>
      </c>
      <c r="F4258" s="4">
        <v>0.0</v>
      </c>
      <c r="G4258" s="4">
        <v>230.0</v>
      </c>
      <c r="H4258" s="4">
        <v>125.0</v>
      </c>
      <c r="I4258" s="21">
        <f t="array" ref="I4258">XLOOKUP($A4258,product!A:A,product!E:E)</f>
        <v>0.46</v>
      </c>
      <c r="J4258" s="4">
        <f t="shared" si="2"/>
        <v>57.5</v>
      </c>
      <c r="K4258" s="22">
        <f t="shared" si="3"/>
        <v>1</v>
      </c>
      <c r="L4258" s="4">
        <f t="shared" si="4"/>
        <v>1</v>
      </c>
    </row>
    <row r="4259">
      <c r="A4259" s="23">
        <v>69296.0</v>
      </c>
      <c r="B4259" s="24" t="str">
        <f t="array" ref="B4259">xlookup($A4259,product!$A:$A,product!B:B)</f>
        <v>Epicerie sucrée</v>
      </c>
      <c r="C4259" s="24" t="str">
        <f t="array" ref="C4259">xlookup($A4259,product!$A:$A,product!C:C)</f>
        <v>Aide à la pâtisserie</v>
      </c>
      <c r="D4259" s="24" t="str">
        <f t="array" ref="D4259">xlookup($A4259,product!$A:$A,product!D:D)</f>
        <v>Levure et gélifiant</v>
      </c>
      <c r="E4259" s="25" t="str">
        <f t="shared" si="1"/>
        <v>69296-Aide à la pâtisserie-Levure et gélifiant</v>
      </c>
      <c r="F4259" s="25">
        <v>0.0</v>
      </c>
      <c r="G4259" s="25">
        <v>67.0</v>
      </c>
      <c r="H4259" s="25">
        <v>36.0</v>
      </c>
      <c r="I4259" s="26">
        <f t="array" ref="I4259">XLOOKUP($A4259,product!A:A,product!E:E)</f>
        <v>1.42</v>
      </c>
      <c r="J4259" s="25">
        <f t="shared" si="2"/>
        <v>51.12</v>
      </c>
      <c r="K4259" s="27">
        <f t="shared" si="3"/>
        <v>1</v>
      </c>
      <c r="L4259" s="25">
        <f t="shared" si="4"/>
        <v>1</v>
      </c>
    </row>
    <row r="4260">
      <c r="A4260" s="19">
        <v>115141.0</v>
      </c>
      <c r="B4260" s="20" t="str">
        <f t="array" ref="B4260">xlookup($A4260,product!$A:$A,product!B:B)</f>
        <v>Epicerie sucrée</v>
      </c>
      <c r="C4260" s="20" t="str">
        <f t="array" ref="C4260">xlookup($A4260,product!$A:$A,product!C:C)</f>
        <v>Aide à la pâtisserie</v>
      </c>
      <c r="D4260" s="20" t="str">
        <f t="array" ref="D4260">xlookup($A4260,product!$A:$A,product!D:D)</f>
        <v>Décor gâteaux, Colorant</v>
      </c>
      <c r="E4260" s="4" t="str">
        <f t="shared" si="1"/>
        <v>115141-Aide à la pâtisserie-Décor gâteaux, Colorant</v>
      </c>
      <c r="F4260" s="4">
        <v>0.0</v>
      </c>
      <c r="G4260" s="4">
        <v>308.0</v>
      </c>
      <c r="H4260" s="4">
        <v>165.0</v>
      </c>
      <c r="I4260" s="21">
        <f t="array" ref="I4260">XLOOKUP($A4260,product!A:A,product!E:E)</f>
        <v>1.92</v>
      </c>
      <c r="J4260" s="4">
        <f t="shared" si="2"/>
        <v>316.8</v>
      </c>
      <c r="K4260" s="22">
        <f t="shared" si="3"/>
        <v>1</v>
      </c>
      <c r="L4260" s="4">
        <f t="shared" si="4"/>
        <v>1</v>
      </c>
    </row>
    <row r="4261">
      <c r="A4261" s="23">
        <v>112081.0</v>
      </c>
      <c r="B4261" s="24" t="str">
        <f t="array" ref="B4261">xlookup($A4261,product!$A:$A,product!B:B)</f>
        <v>Epicerie sucrée</v>
      </c>
      <c r="C4261" s="24" t="str">
        <f t="array" ref="C4261">xlookup($A4261,product!$A:$A,product!C:C)</f>
        <v>Aide à la pâtisserie</v>
      </c>
      <c r="D4261" s="24" t="str">
        <f t="array" ref="D4261">xlookup($A4261,product!$A:$A,product!D:D)</f>
        <v>Décor gâteaux, Colorant</v>
      </c>
      <c r="E4261" s="25" t="str">
        <f t="shared" si="1"/>
        <v>112081-Aide à la pâtisserie-Décor gâteaux, Colorant</v>
      </c>
      <c r="F4261" s="25">
        <v>1.0</v>
      </c>
      <c r="G4261" s="25">
        <v>582.0</v>
      </c>
      <c r="H4261" s="25">
        <v>368.0</v>
      </c>
      <c r="I4261" s="26">
        <f t="array" ref="I4261">XLOOKUP($A4261,product!A:A,product!E:E)</f>
        <v>2.5</v>
      </c>
      <c r="J4261" s="25">
        <f t="shared" si="2"/>
        <v>920</v>
      </c>
      <c r="K4261" s="27">
        <f t="shared" si="3"/>
        <v>1</v>
      </c>
      <c r="L4261" s="25">
        <f t="shared" si="4"/>
        <v>1</v>
      </c>
    </row>
    <row r="4262">
      <c r="A4262" s="19">
        <v>77611.0</v>
      </c>
      <c r="B4262" s="20" t="str">
        <f t="array" ref="B4262">xlookup($A4262,product!$A:$A,product!B:B)</f>
        <v>Epicerie sucrée</v>
      </c>
      <c r="C4262" s="20" t="str">
        <f t="array" ref="C4262">xlookup($A4262,product!$A:$A,product!C:C)</f>
        <v>Aide à la pâtisserie</v>
      </c>
      <c r="D4262" s="20" t="str">
        <f t="array" ref="D4262">xlookup($A4262,product!$A:$A,product!D:D)</f>
        <v>Décor gâteaux, Colorant</v>
      </c>
      <c r="E4262" s="4" t="str">
        <f t="shared" si="1"/>
        <v>77611-Aide à la pâtisserie-Décor gâteaux, Colorant</v>
      </c>
      <c r="F4262" s="4">
        <v>1.0</v>
      </c>
      <c r="G4262" s="4">
        <v>680.0</v>
      </c>
      <c r="H4262" s="4">
        <v>325.0</v>
      </c>
      <c r="I4262" s="21">
        <f t="array" ref="I4262">XLOOKUP($A4262,product!A:A,product!E:E)</f>
        <v>1.87</v>
      </c>
      <c r="J4262" s="4">
        <f t="shared" si="2"/>
        <v>607.75</v>
      </c>
      <c r="K4262" s="22">
        <f t="shared" si="3"/>
        <v>1</v>
      </c>
      <c r="L4262" s="4">
        <f t="shared" si="4"/>
        <v>1</v>
      </c>
    </row>
    <row r="4263">
      <c r="A4263" s="23">
        <v>111722.0</v>
      </c>
      <c r="B4263" s="24" t="str">
        <f t="array" ref="B4263">xlookup($A4263,product!$A:$A,product!B:B)</f>
        <v>Epicerie sucrée</v>
      </c>
      <c r="C4263" s="24" t="str">
        <f t="array" ref="C4263">xlookup($A4263,product!$A:$A,product!C:C)</f>
        <v>Aide à la pâtisserie</v>
      </c>
      <c r="D4263" s="24" t="str">
        <f t="array" ref="D4263">xlookup($A4263,product!$A:$A,product!D:D)</f>
        <v>Décor gâteaux, Colorant</v>
      </c>
      <c r="E4263" s="25" t="str">
        <f t="shared" si="1"/>
        <v>111722-Aide à la pâtisserie-Décor gâteaux, Colorant</v>
      </c>
      <c r="F4263" s="25">
        <v>1.0</v>
      </c>
      <c r="G4263" s="25">
        <v>192.0</v>
      </c>
      <c r="H4263" s="25">
        <v>103.0</v>
      </c>
      <c r="I4263" s="26">
        <f t="array" ref="I4263">XLOOKUP($A4263,product!A:A,product!E:E)</f>
        <v>1.74</v>
      </c>
      <c r="J4263" s="25">
        <f t="shared" si="2"/>
        <v>179.22</v>
      </c>
      <c r="K4263" s="27">
        <f t="shared" si="3"/>
        <v>1</v>
      </c>
      <c r="L4263" s="25">
        <f t="shared" si="4"/>
        <v>1</v>
      </c>
    </row>
    <row r="4264">
      <c r="A4264" s="19">
        <v>81503.0</v>
      </c>
      <c r="B4264" s="20" t="str">
        <f t="array" ref="B4264">xlookup($A4264,product!$A:$A,product!B:B)</f>
        <v>Epicerie sucrée</v>
      </c>
      <c r="C4264" s="20" t="str">
        <f t="array" ref="C4264">xlookup($A4264,product!$A:$A,product!C:C)</f>
        <v>Aide à la pâtisserie</v>
      </c>
      <c r="D4264" s="20" t="str">
        <f t="array" ref="D4264">xlookup($A4264,product!$A:$A,product!D:D)</f>
        <v>Ingrédients pour pâtisserie</v>
      </c>
      <c r="E4264" s="4" t="str">
        <f t="shared" si="1"/>
        <v>81503-Aide à la pâtisserie-Ingrédients pour pâtisserie</v>
      </c>
      <c r="F4264" s="4">
        <v>0.0</v>
      </c>
      <c r="G4264" s="4">
        <v>481.0</v>
      </c>
      <c r="H4264" s="4">
        <v>442.0</v>
      </c>
      <c r="I4264" s="21">
        <f t="array" ref="I4264">XLOOKUP($A4264,product!A:A,product!E:E)</f>
        <v>2.09</v>
      </c>
      <c r="J4264" s="4">
        <f t="shared" si="2"/>
        <v>923.78</v>
      </c>
      <c r="K4264" s="22">
        <f t="shared" si="3"/>
        <v>1</v>
      </c>
      <c r="L4264" s="4">
        <f t="shared" si="4"/>
        <v>1</v>
      </c>
    </row>
    <row r="4265">
      <c r="A4265" s="23">
        <v>117559.0</v>
      </c>
      <c r="B4265" s="24" t="str">
        <f t="array" ref="B4265">xlookup($A4265,product!$A:$A,product!B:B)</f>
        <v>Epicerie sucrée</v>
      </c>
      <c r="C4265" s="24" t="str">
        <f t="array" ref="C4265">xlookup($A4265,product!$A:$A,product!C:C)</f>
        <v>Aide à la pâtisserie</v>
      </c>
      <c r="D4265" s="24" t="str">
        <f t="array" ref="D4265">xlookup($A4265,product!$A:$A,product!D:D)</f>
        <v>Ingrédients pour pâtisserie</v>
      </c>
      <c r="E4265" s="25" t="str">
        <f t="shared" si="1"/>
        <v>117559-Aide à la pâtisserie-Ingrédients pour pâtisserie</v>
      </c>
      <c r="F4265" s="25">
        <v>1.0</v>
      </c>
      <c r="G4265" s="25">
        <v>226.0</v>
      </c>
      <c r="H4265" s="25">
        <v>73.0</v>
      </c>
      <c r="I4265" s="26">
        <f t="array" ref="I4265">XLOOKUP($A4265,product!A:A,product!E:E)</f>
        <v>3.62</v>
      </c>
      <c r="J4265" s="25">
        <f t="shared" si="2"/>
        <v>264.26</v>
      </c>
      <c r="K4265" s="27">
        <f t="shared" si="3"/>
        <v>1</v>
      </c>
      <c r="L4265" s="25">
        <f t="shared" si="4"/>
        <v>1</v>
      </c>
    </row>
    <row r="4266">
      <c r="A4266" s="19">
        <v>110230.0</v>
      </c>
      <c r="B4266" s="20" t="str">
        <f t="array" ref="B4266">xlookup($A4266,product!$A:$A,product!B:B)</f>
        <v>Enfant</v>
      </c>
      <c r="C4266" s="20" t="str">
        <f t="array" ref="C4266">xlookup($A4266,product!$A:$A,product!C:C)</f>
        <v>Biberons &amp; Accessoires</v>
      </c>
      <c r="D4266" s="20" t="str">
        <f t="array" ref="D4266">xlookup($A4266,product!$A:$A,product!D:D)</f>
        <v>Tire-Lait</v>
      </c>
      <c r="E4266" s="4" t="str">
        <f t="shared" si="1"/>
        <v>110230-Biberons &amp; Accessoires-Tire-Lait</v>
      </c>
      <c r="F4266" s="4">
        <v>1.0</v>
      </c>
      <c r="G4266" s="4">
        <v>412.0</v>
      </c>
      <c r="H4266" s="4">
        <v>326.0</v>
      </c>
      <c r="I4266" s="21">
        <f t="array" ref="I4266">XLOOKUP($A4266,product!A:A,product!E:E)</f>
        <v>43.8</v>
      </c>
      <c r="J4266" s="4">
        <f t="shared" si="2"/>
        <v>14278.8</v>
      </c>
      <c r="K4266" s="22">
        <f t="shared" si="3"/>
        <v>1</v>
      </c>
      <c r="L4266" s="4">
        <f t="shared" si="4"/>
        <v>1</v>
      </c>
    </row>
    <row r="4267">
      <c r="A4267" s="23">
        <v>122854.0</v>
      </c>
      <c r="B4267" s="24" t="str">
        <f t="array" ref="B4267">xlookup($A4267,product!$A:$A,product!B:B)</f>
        <v>Enfant</v>
      </c>
      <c r="C4267" s="24" t="str">
        <f t="array" ref="C4267">xlookup($A4267,product!$A:$A,product!C:C)</f>
        <v>Biberons &amp; Accessoires</v>
      </c>
      <c r="D4267" s="24" t="str">
        <f t="array" ref="D4267">xlookup($A4267,product!$A:$A,product!D:D)</f>
        <v>Biberons en Verre</v>
      </c>
      <c r="E4267" s="25" t="str">
        <f t="shared" si="1"/>
        <v>122854-Biberons &amp; Accessoires-Biberons en Verre</v>
      </c>
      <c r="F4267" s="25">
        <v>0.0</v>
      </c>
      <c r="G4267" s="25">
        <v>361.0</v>
      </c>
      <c r="H4267" s="25">
        <v>35.0</v>
      </c>
      <c r="I4267" s="26">
        <f t="array" ref="I4267">XLOOKUP($A4267,product!A:A,product!E:E)</f>
        <v>13.52</v>
      </c>
      <c r="J4267" s="25">
        <f t="shared" si="2"/>
        <v>473.2</v>
      </c>
      <c r="K4267" s="27">
        <f t="shared" si="3"/>
        <v>1</v>
      </c>
      <c r="L4267" s="25">
        <f t="shared" si="4"/>
        <v>1</v>
      </c>
    </row>
    <row r="4268">
      <c r="A4268" s="19">
        <v>95371.0</v>
      </c>
      <c r="B4268" s="20" t="str">
        <f t="array" ref="B4268">xlookup($A4268,product!$A:$A,product!B:B)</f>
        <v>Enfant</v>
      </c>
      <c r="C4268" s="20" t="str">
        <f t="array" ref="C4268">xlookup($A4268,product!$A:$A,product!C:C)</f>
        <v>Biberons &amp; Accessoires</v>
      </c>
      <c r="D4268" s="20" t="str">
        <f t="array" ref="D4268">xlookup($A4268,product!$A:$A,product!D:D)</f>
        <v>Biberons en Verre</v>
      </c>
      <c r="E4268" s="4" t="str">
        <f t="shared" si="1"/>
        <v>95371-Biberons &amp; Accessoires-Biberons en Verre</v>
      </c>
      <c r="F4268" s="4">
        <v>0.0</v>
      </c>
      <c r="G4268" s="4">
        <v>733.0</v>
      </c>
      <c r="H4268" s="4">
        <v>681.0</v>
      </c>
      <c r="I4268" s="21">
        <f t="array" ref="I4268">XLOOKUP($A4268,product!A:A,product!E:E)</f>
        <v>7.53</v>
      </c>
      <c r="J4268" s="4">
        <f t="shared" si="2"/>
        <v>5127.93</v>
      </c>
      <c r="K4268" s="22">
        <f t="shared" si="3"/>
        <v>1</v>
      </c>
      <c r="L4268" s="4">
        <f t="shared" si="4"/>
        <v>1</v>
      </c>
    </row>
    <row r="4269">
      <c r="A4269" s="23">
        <v>101190.0</v>
      </c>
      <c r="B4269" s="24" t="str">
        <f t="array" ref="B4269">xlookup($A4269,product!$A:$A,product!B:B)</f>
        <v>Enfant</v>
      </c>
      <c r="C4269" s="24" t="str">
        <f t="array" ref="C4269">xlookup($A4269,product!$A:$A,product!C:C)</f>
        <v>Biberons &amp; Accessoires</v>
      </c>
      <c r="D4269" s="24" t="str">
        <f t="array" ref="D4269">xlookup($A4269,product!$A:$A,product!D:D)</f>
        <v>Biberons en Verre</v>
      </c>
      <c r="E4269" s="25" t="str">
        <f t="shared" si="1"/>
        <v>101190-Biberons &amp; Accessoires-Biberons en Verre</v>
      </c>
      <c r="F4269" s="25">
        <v>1.0</v>
      </c>
      <c r="G4269" s="25">
        <v>468.0</v>
      </c>
      <c r="H4269" s="25">
        <v>210.0</v>
      </c>
      <c r="I4269" s="26">
        <f t="array" ref="I4269">XLOOKUP($A4269,product!A:A,product!E:E)</f>
        <v>3.67</v>
      </c>
      <c r="J4269" s="25">
        <f t="shared" si="2"/>
        <v>770.7</v>
      </c>
      <c r="K4269" s="27">
        <f t="shared" si="3"/>
        <v>1</v>
      </c>
      <c r="L4269" s="25">
        <f t="shared" si="4"/>
        <v>1</v>
      </c>
    </row>
    <row r="4270">
      <c r="A4270" s="19">
        <v>121532.0</v>
      </c>
      <c r="B4270" s="20" t="str">
        <f t="array" ref="B4270">xlookup($A4270,product!$A:$A,product!B:B)</f>
        <v>Enfant</v>
      </c>
      <c r="C4270" s="20" t="str">
        <f t="array" ref="C4270">xlookup($A4270,product!$A:$A,product!C:C)</f>
        <v>Biberons &amp; Accessoires</v>
      </c>
      <c r="D4270" s="20" t="str">
        <f t="array" ref="D4270">xlookup($A4270,product!$A:$A,product!D:D)</f>
        <v>Tétines Biberons</v>
      </c>
      <c r="E4270" s="4" t="str">
        <f t="shared" si="1"/>
        <v>121532-Biberons &amp; Accessoires-Tétines Biberons</v>
      </c>
      <c r="F4270" s="4">
        <v>1.0</v>
      </c>
      <c r="G4270" s="4">
        <v>855.0</v>
      </c>
      <c r="H4270" s="4">
        <v>850.0</v>
      </c>
      <c r="I4270" s="21">
        <f t="array" ref="I4270">XLOOKUP($A4270,product!A:A,product!E:E)</f>
        <v>3.58</v>
      </c>
      <c r="J4270" s="4">
        <f t="shared" si="2"/>
        <v>3043</v>
      </c>
      <c r="K4270" s="22">
        <f t="shared" si="3"/>
        <v>1</v>
      </c>
      <c r="L4270" s="4">
        <f t="shared" si="4"/>
        <v>1</v>
      </c>
    </row>
    <row r="4271">
      <c r="A4271" s="23">
        <v>6614.0</v>
      </c>
      <c r="B4271" s="24" t="str">
        <f t="array" ref="B4271">xlookup($A4271,product!$A:$A,product!B:B)</f>
        <v>Enfant</v>
      </c>
      <c r="C4271" s="24" t="str">
        <f t="array" ref="C4271">xlookup($A4271,product!$A:$A,product!C:C)</f>
        <v>Biberons &amp; Accessoires</v>
      </c>
      <c r="D4271" s="24" t="str">
        <f t="array" ref="D4271">xlookup($A4271,product!$A:$A,product!D:D)</f>
        <v>Tétines Biberons</v>
      </c>
      <c r="E4271" s="25" t="str">
        <f t="shared" si="1"/>
        <v>6614-Biberons &amp; Accessoires-Tétines Biberons</v>
      </c>
      <c r="F4271" s="25">
        <v>0.0</v>
      </c>
      <c r="G4271" s="25">
        <v>872.0</v>
      </c>
      <c r="H4271" s="25">
        <v>717.0</v>
      </c>
      <c r="I4271" s="26">
        <f t="array" ref="I4271">XLOOKUP($A4271,product!A:A,product!E:E)</f>
        <v>1.09</v>
      </c>
      <c r="J4271" s="25">
        <f t="shared" si="2"/>
        <v>781.53</v>
      </c>
      <c r="K4271" s="27">
        <f t="shared" si="3"/>
        <v>1</v>
      </c>
      <c r="L4271" s="25">
        <f t="shared" si="4"/>
        <v>1</v>
      </c>
    </row>
    <row r="4272">
      <c r="A4272" s="19">
        <v>6618.0</v>
      </c>
      <c r="B4272" s="20" t="str">
        <f t="array" ref="B4272">xlookup($A4272,product!$A:$A,product!B:B)</f>
        <v>Enfant</v>
      </c>
      <c r="C4272" s="20" t="str">
        <f t="array" ref="C4272">xlookup($A4272,product!$A:$A,product!C:C)</f>
        <v>Biberons &amp; Accessoires</v>
      </c>
      <c r="D4272" s="20" t="str">
        <f t="array" ref="D4272">xlookup($A4272,product!$A:$A,product!D:D)</f>
        <v>Accessoires Biberons</v>
      </c>
      <c r="E4272" s="4" t="str">
        <f t="shared" si="1"/>
        <v>6618-Biberons &amp; Accessoires-Accessoires Biberons</v>
      </c>
      <c r="F4272" s="4">
        <v>1.0</v>
      </c>
      <c r="G4272" s="4">
        <v>35.0</v>
      </c>
      <c r="H4272" s="4">
        <v>29.0</v>
      </c>
      <c r="I4272" s="21">
        <f t="array" ref="I4272">XLOOKUP($A4272,product!A:A,product!E:E)</f>
        <v>2.35</v>
      </c>
      <c r="J4272" s="4">
        <f t="shared" si="2"/>
        <v>68.15</v>
      </c>
      <c r="K4272" s="22">
        <f t="shared" si="3"/>
        <v>1</v>
      </c>
      <c r="L4272" s="4">
        <f t="shared" si="4"/>
        <v>1</v>
      </c>
    </row>
    <row r="4273">
      <c r="A4273" s="23">
        <v>96096.0</v>
      </c>
      <c r="B4273" s="24" t="str">
        <f t="array" ref="B4273">xlookup($A4273,product!$A:$A,product!B:B)</f>
        <v>Enfant</v>
      </c>
      <c r="C4273" s="24" t="str">
        <f t="array" ref="C4273">xlookup($A4273,product!$A:$A,product!C:C)</f>
        <v>Biberons &amp; Accessoires</v>
      </c>
      <c r="D4273" s="24" t="str">
        <f t="array" ref="D4273">xlookup($A4273,product!$A:$A,product!D:D)</f>
        <v>Accessoires Biberons</v>
      </c>
      <c r="E4273" s="25" t="str">
        <f t="shared" si="1"/>
        <v>96096-Biberons &amp; Accessoires-Accessoires Biberons</v>
      </c>
      <c r="F4273" s="25">
        <v>0.0</v>
      </c>
      <c r="G4273" s="25">
        <v>276.0</v>
      </c>
      <c r="H4273" s="25">
        <v>74.0</v>
      </c>
      <c r="I4273" s="26">
        <f t="array" ref="I4273">XLOOKUP($A4273,product!A:A,product!E:E)</f>
        <v>4.5</v>
      </c>
      <c r="J4273" s="25">
        <f t="shared" si="2"/>
        <v>333</v>
      </c>
      <c r="K4273" s="27">
        <f t="shared" si="3"/>
        <v>1</v>
      </c>
      <c r="L4273" s="25">
        <f t="shared" si="4"/>
        <v>1</v>
      </c>
    </row>
    <row r="4274">
      <c r="A4274" s="19">
        <v>105977.0</v>
      </c>
      <c r="B4274" s="20" t="str">
        <f t="array" ref="B4274">xlookup($A4274,product!$A:$A,product!B:B)</f>
        <v>Enfant</v>
      </c>
      <c r="C4274" s="20" t="str">
        <f t="array" ref="C4274">xlookup($A4274,product!$A:$A,product!C:C)</f>
        <v>Biberons &amp; Accessoires</v>
      </c>
      <c r="D4274" s="20" t="str">
        <f t="array" ref="D4274">xlookup($A4274,product!$A:$A,product!D:D)</f>
        <v>Anneaux de dentition</v>
      </c>
      <c r="E4274" s="4" t="str">
        <f t="shared" si="1"/>
        <v>105977-Biberons &amp; Accessoires-Anneaux de dentition</v>
      </c>
      <c r="F4274" s="4">
        <v>0.0</v>
      </c>
      <c r="G4274" s="4">
        <v>844.0</v>
      </c>
      <c r="H4274" s="4">
        <v>709.0</v>
      </c>
      <c r="I4274" s="21">
        <f t="array" ref="I4274">XLOOKUP($A4274,product!A:A,product!E:E)</f>
        <v>5.41</v>
      </c>
      <c r="J4274" s="4">
        <f t="shared" si="2"/>
        <v>3835.69</v>
      </c>
      <c r="K4274" s="22">
        <f t="shared" si="3"/>
        <v>1</v>
      </c>
      <c r="L4274" s="4">
        <f t="shared" si="4"/>
        <v>1</v>
      </c>
    </row>
    <row r="4275">
      <c r="A4275" s="23">
        <v>105901.0</v>
      </c>
      <c r="B4275" s="24" t="str">
        <f t="array" ref="B4275">xlookup($A4275,product!$A:$A,product!B:B)</f>
        <v>Enfant</v>
      </c>
      <c r="C4275" s="24" t="str">
        <f t="array" ref="C4275">xlookup($A4275,product!$A:$A,product!C:C)</f>
        <v>Biberons &amp; Accessoires</v>
      </c>
      <c r="D4275" s="24" t="str">
        <f t="array" ref="D4275">xlookup($A4275,product!$A:$A,product!D:D)</f>
        <v>Sucettes et attaches sucettes</v>
      </c>
      <c r="E4275" s="25" t="str">
        <f t="shared" si="1"/>
        <v>105901-Biberons &amp; Accessoires-Sucettes et attaches sucettes</v>
      </c>
      <c r="F4275" s="25">
        <v>0.0</v>
      </c>
      <c r="G4275" s="25">
        <v>430.0</v>
      </c>
      <c r="H4275" s="25">
        <v>340.0</v>
      </c>
      <c r="I4275" s="26">
        <f t="array" ref="I4275">XLOOKUP($A4275,product!A:A,product!E:E)</f>
        <v>4.06</v>
      </c>
      <c r="J4275" s="25">
        <f t="shared" si="2"/>
        <v>1380.4</v>
      </c>
      <c r="K4275" s="27">
        <f t="shared" si="3"/>
        <v>1</v>
      </c>
      <c r="L4275" s="25">
        <f t="shared" si="4"/>
        <v>1</v>
      </c>
    </row>
    <row r="4276">
      <c r="A4276" s="19">
        <v>180823.0</v>
      </c>
      <c r="B4276" s="20" t="str">
        <f t="array" ref="B4276">xlookup($A4276,product!$A:$A,product!B:B)</f>
        <v>Enfant</v>
      </c>
      <c r="C4276" s="20" t="str">
        <f t="array" ref="C4276">xlookup($A4276,product!$A:$A,product!C:C)</f>
        <v>Biberons &amp; Accessoires</v>
      </c>
      <c r="D4276" s="20" t="str">
        <f t="array" ref="D4276">xlookup($A4276,product!$A:$A,product!D:D)</f>
        <v>Sucettes et attaches sucettes</v>
      </c>
      <c r="E4276" s="4" t="str">
        <f t="shared" si="1"/>
        <v>180823-Biberons &amp; Accessoires-Sucettes et attaches sucettes</v>
      </c>
      <c r="F4276" s="4">
        <v>1.0</v>
      </c>
      <c r="G4276" s="4">
        <v>832.0</v>
      </c>
      <c r="H4276" s="4">
        <v>113.0</v>
      </c>
      <c r="I4276" s="21">
        <f t="array" ref="I4276">XLOOKUP($A4276,product!A:A,product!E:E)</f>
        <v>8.1</v>
      </c>
      <c r="J4276" s="4">
        <f t="shared" si="2"/>
        <v>915.3</v>
      </c>
      <c r="K4276" s="22">
        <f t="shared" si="3"/>
        <v>1</v>
      </c>
      <c r="L4276" s="4">
        <f t="shared" si="4"/>
        <v>1</v>
      </c>
    </row>
    <row r="4277">
      <c r="A4277" s="23">
        <v>118979.0</v>
      </c>
      <c r="B4277" s="24" t="str">
        <f t="array" ref="B4277">xlookup($A4277,product!$A:$A,product!B:B)</f>
        <v>Enfant</v>
      </c>
      <c r="C4277" s="24" t="str">
        <f t="array" ref="C4277">xlookup($A4277,product!$A:$A,product!C:C)</f>
        <v>Biberons &amp; Accessoires</v>
      </c>
      <c r="D4277" s="24" t="str">
        <f t="array" ref="D4277">xlookup($A4277,product!$A:$A,product!D:D)</f>
        <v>Sucettes et attaches sucettes</v>
      </c>
      <c r="E4277" s="25" t="str">
        <f t="shared" si="1"/>
        <v>118979-Biberons &amp; Accessoires-Sucettes et attaches sucettes</v>
      </c>
      <c r="F4277" s="25">
        <v>0.0</v>
      </c>
      <c r="G4277" s="25">
        <v>654.0</v>
      </c>
      <c r="H4277" s="25">
        <v>381.0</v>
      </c>
      <c r="I4277" s="26">
        <f t="array" ref="I4277">XLOOKUP($A4277,product!A:A,product!E:E)</f>
        <v>4.33</v>
      </c>
      <c r="J4277" s="25">
        <f t="shared" si="2"/>
        <v>1649.73</v>
      </c>
      <c r="K4277" s="27">
        <f t="shared" si="3"/>
        <v>1</v>
      </c>
      <c r="L4277" s="25">
        <f t="shared" si="4"/>
        <v>1</v>
      </c>
    </row>
    <row r="4278">
      <c r="A4278" s="19">
        <v>111502.0</v>
      </c>
      <c r="B4278" s="20" t="str">
        <f t="array" ref="B4278">xlookup($A4278,product!$A:$A,product!B:B)</f>
        <v>Enfant</v>
      </c>
      <c r="C4278" s="20" t="str">
        <f t="array" ref="C4278">xlookup($A4278,product!$A:$A,product!C:C)</f>
        <v>Biberons &amp; Accessoires</v>
      </c>
      <c r="D4278" s="20" t="str">
        <f t="array" ref="D4278">xlookup($A4278,product!$A:$A,product!D:D)</f>
        <v>Sucettes et attaches sucettes</v>
      </c>
      <c r="E4278" s="4" t="str">
        <f t="shared" si="1"/>
        <v>111502-Biberons &amp; Accessoires-Sucettes et attaches sucettes</v>
      </c>
      <c r="F4278" s="4">
        <v>1.0</v>
      </c>
      <c r="G4278" s="4">
        <v>380.0</v>
      </c>
      <c r="H4278" s="4">
        <v>64.0</v>
      </c>
      <c r="I4278" s="21">
        <f t="array" ref="I4278">XLOOKUP($A4278,product!A:A,product!E:E)</f>
        <v>2.37</v>
      </c>
      <c r="J4278" s="4">
        <f t="shared" si="2"/>
        <v>151.68</v>
      </c>
      <c r="K4278" s="22">
        <f t="shared" si="3"/>
        <v>1</v>
      </c>
      <c r="L4278" s="4">
        <f t="shared" si="4"/>
        <v>1</v>
      </c>
    </row>
    <row r="4279">
      <c r="A4279" s="23">
        <v>180822.0</v>
      </c>
      <c r="B4279" s="24" t="str">
        <f t="array" ref="B4279">xlookup($A4279,product!$A:$A,product!B:B)</f>
        <v>Enfant</v>
      </c>
      <c r="C4279" s="24" t="str">
        <f t="array" ref="C4279">xlookup($A4279,product!$A:$A,product!C:C)</f>
        <v>Biberons &amp; Accessoires</v>
      </c>
      <c r="D4279" s="24" t="str">
        <f t="array" ref="D4279">xlookup($A4279,product!$A:$A,product!D:D)</f>
        <v>Sucettes et attaches sucettes</v>
      </c>
      <c r="E4279" s="25" t="str">
        <f t="shared" si="1"/>
        <v>180822-Biberons &amp; Accessoires-Sucettes et attaches sucettes</v>
      </c>
      <c r="F4279" s="25">
        <v>0.0</v>
      </c>
      <c r="G4279" s="25">
        <v>212.0</v>
      </c>
      <c r="H4279" s="25">
        <v>201.0</v>
      </c>
      <c r="I4279" s="26">
        <f t="array" ref="I4279">XLOOKUP($A4279,product!A:A,product!E:E)</f>
        <v>8.1</v>
      </c>
      <c r="J4279" s="25">
        <f t="shared" si="2"/>
        <v>1628.1</v>
      </c>
      <c r="K4279" s="27">
        <f t="shared" si="3"/>
        <v>1</v>
      </c>
      <c r="L4279" s="25">
        <f t="shared" si="4"/>
        <v>1</v>
      </c>
    </row>
    <row r="4280">
      <c r="A4280" s="19">
        <v>101196.0</v>
      </c>
      <c r="B4280" s="20" t="str">
        <f t="array" ref="B4280">xlookup($A4280,product!$A:$A,product!B:B)</f>
        <v>Enfant</v>
      </c>
      <c r="C4280" s="20" t="str">
        <f t="array" ref="C4280">xlookup($A4280,product!$A:$A,product!C:C)</f>
        <v>Biberons &amp; Accessoires</v>
      </c>
      <c r="D4280" s="20" t="str">
        <f t="array" ref="D4280">xlookup($A4280,product!$A:$A,product!D:D)</f>
        <v>Sucettes et attaches sucettes</v>
      </c>
      <c r="E4280" s="4" t="str">
        <f t="shared" si="1"/>
        <v>101196-Biberons &amp; Accessoires-Sucettes et attaches sucettes</v>
      </c>
      <c r="F4280" s="4">
        <v>1.0</v>
      </c>
      <c r="G4280" s="4">
        <v>827.0</v>
      </c>
      <c r="H4280" s="4">
        <v>699.0</v>
      </c>
      <c r="I4280" s="21">
        <f t="array" ref="I4280">XLOOKUP($A4280,product!A:A,product!E:E)</f>
        <v>3.48</v>
      </c>
      <c r="J4280" s="4">
        <f t="shared" si="2"/>
        <v>2432.52</v>
      </c>
      <c r="K4280" s="22">
        <f t="shared" si="3"/>
        <v>1</v>
      </c>
      <c r="L4280" s="4">
        <f t="shared" si="4"/>
        <v>1</v>
      </c>
    </row>
    <row r="4281">
      <c r="A4281" s="23">
        <v>180824.0</v>
      </c>
      <c r="B4281" s="24" t="str">
        <f t="array" ref="B4281">xlookup($A4281,product!$A:$A,product!B:B)</f>
        <v>Enfant</v>
      </c>
      <c r="C4281" s="24" t="str">
        <f t="array" ref="C4281">xlookup($A4281,product!$A:$A,product!C:C)</f>
        <v>Biberons &amp; Accessoires</v>
      </c>
      <c r="D4281" s="24" t="str">
        <f t="array" ref="D4281">xlookup($A4281,product!$A:$A,product!D:D)</f>
        <v>Sucettes et attaches sucettes</v>
      </c>
      <c r="E4281" s="25" t="str">
        <f t="shared" si="1"/>
        <v>180824-Biberons &amp; Accessoires-Sucettes et attaches sucettes</v>
      </c>
      <c r="F4281" s="25">
        <v>0.0</v>
      </c>
      <c r="G4281" s="25">
        <v>445.0</v>
      </c>
      <c r="H4281" s="25">
        <v>351.0</v>
      </c>
      <c r="I4281" s="26">
        <f t="array" ref="I4281">XLOOKUP($A4281,product!A:A,product!E:E)</f>
        <v>8.1</v>
      </c>
      <c r="J4281" s="25">
        <f t="shared" si="2"/>
        <v>2843.1</v>
      </c>
      <c r="K4281" s="27">
        <f t="shared" si="3"/>
        <v>1</v>
      </c>
      <c r="L4281" s="25">
        <f t="shared" si="4"/>
        <v>1</v>
      </c>
    </row>
    <row r="4282">
      <c r="A4282" s="19">
        <v>105905.0</v>
      </c>
      <c r="B4282" s="20" t="str">
        <f t="array" ref="B4282">xlookup($A4282,product!$A:$A,product!B:B)</f>
        <v>Enfant</v>
      </c>
      <c r="C4282" s="20" t="str">
        <f t="array" ref="C4282">xlookup($A4282,product!$A:$A,product!C:C)</f>
        <v>Biberons &amp; Accessoires</v>
      </c>
      <c r="D4282" s="20" t="str">
        <f t="array" ref="D4282">xlookup($A4282,product!$A:$A,product!D:D)</f>
        <v>Sucettes et attaches sucettes</v>
      </c>
      <c r="E4282" s="4" t="str">
        <f t="shared" si="1"/>
        <v>105905-Biberons &amp; Accessoires-Sucettes et attaches sucettes</v>
      </c>
      <c r="F4282" s="4">
        <v>1.0</v>
      </c>
      <c r="G4282" s="4">
        <v>266.0</v>
      </c>
      <c r="H4282" s="4">
        <v>127.0</v>
      </c>
      <c r="I4282" s="21">
        <f t="array" ref="I4282">XLOOKUP($A4282,product!A:A,product!E:E)</f>
        <v>4.06</v>
      </c>
      <c r="J4282" s="4">
        <f t="shared" si="2"/>
        <v>515.62</v>
      </c>
      <c r="K4282" s="22">
        <f t="shared" si="3"/>
        <v>1</v>
      </c>
      <c r="L4282" s="4">
        <f t="shared" si="4"/>
        <v>1</v>
      </c>
    </row>
    <row r="4283">
      <c r="A4283" s="23">
        <v>101194.0</v>
      </c>
      <c r="B4283" s="24" t="str">
        <f t="array" ref="B4283">xlookup($A4283,product!$A:$A,product!B:B)</f>
        <v>Enfant</v>
      </c>
      <c r="C4283" s="24" t="str">
        <f t="array" ref="C4283">xlookup($A4283,product!$A:$A,product!C:C)</f>
        <v>Biberons &amp; Accessoires</v>
      </c>
      <c r="D4283" s="24" t="str">
        <f t="array" ref="D4283">xlookup($A4283,product!$A:$A,product!D:D)</f>
        <v>Chauffe-biberons, stérilisateurs</v>
      </c>
      <c r="E4283" s="25" t="str">
        <f t="shared" si="1"/>
        <v>101194-Biberons &amp; Accessoires-Chauffe-biberons, stérilisateurs</v>
      </c>
      <c r="F4283" s="25">
        <v>0.0</v>
      </c>
      <c r="G4283" s="25">
        <v>342.0</v>
      </c>
      <c r="H4283" s="25">
        <v>252.0</v>
      </c>
      <c r="I4283" s="26">
        <f t="array" ref="I4283">XLOOKUP($A4283,product!A:A,product!E:E)</f>
        <v>29.05</v>
      </c>
      <c r="J4283" s="25">
        <f t="shared" si="2"/>
        <v>7320.6</v>
      </c>
      <c r="K4283" s="27">
        <f t="shared" si="3"/>
        <v>1</v>
      </c>
      <c r="L4283" s="25">
        <f t="shared" si="4"/>
        <v>1</v>
      </c>
    </row>
    <row r="4284">
      <c r="A4284" s="19">
        <v>113719.0</v>
      </c>
      <c r="B4284" s="20" t="str">
        <f t="array" ref="B4284">xlookup($A4284,product!$A:$A,product!B:B)</f>
        <v>Enfant</v>
      </c>
      <c r="C4284" s="20" t="str">
        <f t="array" ref="C4284">xlookup($A4284,product!$A:$A,product!C:C)</f>
        <v>Biberons &amp; Accessoires</v>
      </c>
      <c r="D4284" s="20" t="str">
        <f t="array" ref="D4284">xlookup($A4284,product!$A:$A,product!D:D)</f>
        <v>Chauffe-biberons, stérilisateurs</v>
      </c>
      <c r="E4284" s="4" t="str">
        <f t="shared" si="1"/>
        <v>113719-Biberons &amp; Accessoires-Chauffe-biberons, stérilisateurs</v>
      </c>
      <c r="F4284" s="4">
        <v>0.0</v>
      </c>
      <c r="G4284" s="4">
        <v>206.0</v>
      </c>
      <c r="H4284" s="4">
        <v>48.0</v>
      </c>
      <c r="I4284" s="21">
        <f t="array" ref="I4284">XLOOKUP($A4284,product!A:A,product!E:E)</f>
        <v>152.88</v>
      </c>
      <c r="J4284" s="4">
        <f t="shared" si="2"/>
        <v>7338.24</v>
      </c>
      <c r="K4284" s="22">
        <f t="shared" si="3"/>
        <v>1</v>
      </c>
      <c r="L4284" s="4">
        <f t="shared" si="4"/>
        <v>1</v>
      </c>
    </row>
    <row r="4285">
      <c r="A4285" s="23">
        <v>111330.0</v>
      </c>
      <c r="B4285" s="24" t="str">
        <f t="array" ref="B4285">xlookup($A4285,product!$A:$A,product!B:B)</f>
        <v>Beauté &amp; Hygiène</v>
      </c>
      <c r="C4285" s="24" t="str">
        <f t="array" ref="C4285">xlookup($A4285,product!$A:$A,product!C:C)</f>
        <v>Cosmétique maison DIY</v>
      </c>
      <c r="D4285" s="24" t="str">
        <f t="array" ref="D4285">xlookup($A4285,product!$A:$A,product!D:D)</f>
        <v>Ingrédient de base DIY</v>
      </c>
      <c r="E4285" s="25" t="str">
        <f t="shared" si="1"/>
        <v>111330-Cosmétique maison DIY-Ingrédient de base DIY</v>
      </c>
      <c r="F4285" s="25">
        <v>0.0</v>
      </c>
      <c r="G4285" s="25">
        <v>201.0</v>
      </c>
      <c r="H4285" s="25">
        <v>32.0</v>
      </c>
      <c r="I4285" s="26">
        <f t="array" ref="I4285">XLOOKUP($A4285,product!A:A,product!E:E)</f>
        <v>3.36</v>
      </c>
      <c r="J4285" s="25">
        <f t="shared" si="2"/>
        <v>107.52</v>
      </c>
      <c r="K4285" s="27">
        <f t="shared" si="3"/>
        <v>1</v>
      </c>
      <c r="L4285" s="25">
        <f t="shared" si="4"/>
        <v>1</v>
      </c>
    </row>
    <row r="4286">
      <c r="A4286" s="19">
        <v>102089.0</v>
      </c>
      <c r="B4286" s="20" t="str">
        <f t="array" ref="B4286">xlookup($A4286,product!$A:$A,product!B:B)</f>
        <v>Beauté &amp; Hygiène</v>
      </c>
      <c r="C4286" s="20" t="str">
        <f t="array" ref="C4286">xlookup($A4286,product!$A:$A,product!C:C)</f>
        <v>Cosmétique maison DIY</v>
      </c>
      <c r="D4286" s="20" t="str">
        <f t="array" ref="D4286">xlookup($A4286,product!$A:$A,product!D:D)</f>
        <v>Ingrédient de base DIY</v>
      </c>
      <c r="E4286" s="4" t="str">
        <f t="shared" si="1"/>
        <v>102089-Cosmétique maison DIY-Ingrédient de base DIY</v>
      </c>
      <c r="F4286" s="4">
        <v>0.0</v>
      </c>
      <c r="G4286" s="4">
        <v>586.0</v>
      </c>
      <c r="H4286" s="4">
        <v>580.0</v>
      </c>
      <c r="I4286" s="21">
        <f t="array" ref="I4286">XLOOKUP($A4286,product!A:A,product!E:E)</f>
        <v>2.85</v>
      </c>
      <c r="J4286" s="4">
        <f t="shared" si="2"/>
        <v>1653</v>
      </c>
      <c r="K4286" s="22">
        <f t="shared" si="3"/>
        <v>1</v>
      </c>
      <c r="L4286" s="4">
        <f t="shared" si="4"/>
        <v>1</v>
      </c>
    </row>
    <row r="4287">
      <c r="A4287" s="23">
        <v>116867.0</v>
      </c>
      <c r="B4287" s="24" t="str">
        <f t="array" ref="B4287">xlookup($A4287,product!$A:$A,product!B:B)</f>
        <v>Beauté &amp; Hygiène</v>
      </c>
      <c r="C4287" s="24" t="str">
        <f t="array" ref="C4287">xlookup($A4287,product!$A:$A,product!C:C)</f>
        <v>Cosmétique maison DIY</v>
      </c>
      <c r="D4287" s="24" t="str">
        <f t="array" ref="D4287">xlookup($A4287,product!$A:$A,product!D:D)</f>
        <v>Ingrédient de base DIY</v>
      </c>
      <c r="E4287" s="25" t="str">
        <f t="shared" si="1"/>
        <v>116867-Cosmétique maison DIY-Ingrédient de base DIY</v>
      </c>
      <c r="F4287" s="25">
        <v>1.0</v>
      </c>
      <c r="G4287" s="25">
        <v>853.0</v>
      </c>
      <c r="H4287" s="25">
        <v>391.0</v>
      </c>
      <c r="I4287" s="26">
        <f t="array" ref="I4287">XLOOKUP($A4287,product!A:A,product!E:E)</f>
        <v>1.27</v>
      </c>
      <c r="J4287" s="25">
        <f t="shared" si="2"/>
        <v>496.57</v>
      </c>
      <c r="K4287" s="27">
        <f t="shared" si="3"/>
        <v>1</v>
      </c>
      <c r="L4287" s="25">
        <f t="shared" si="4"/>
        <v>1</v>
      </c>
    </row>
    <row r="4288">
      <c r="A4288" s="19">
        <v>150297.0</v>
      </c>
      <c r="B4288" s="20" t="str">
        <f t="array" ref="B4288">xlookup($A4288,product!$A:$A,product!B:B)</f>
        <v>Beauté &amp; Hygiène</v>
      </c>
      <c r="C4288" s="20" t="str">
        <f t="array" ref="C4288">xlookup($A4288,product!$A:$A,product!C:C)</f>
        <v>Cosmétique maison DIY</v>
      </c>
      <c r="D4288" s="20" t="str">
        <f t="array" ref="D4288">xlookup($A4288,product!$A:$A,product!D:D)</f>
        <v>Ingrédient de base DIY</v>
      </c>
      <c r="E4288" s="4" t="str">
        <f t="shared" si="1"/>
        <v>150297-Cosmétique maison DIY-Ingrédient de base DIY</v>
      </c>
      <c r="F4288" s="4">
        <v>0.0</v>
      </c>
      <c r="G4288" s="4">
        <v>435.0</v>
      </c>
      <c r="H4288" s="4">
        <v>93.0</v>
      </c>
      <c r="I4288" s="21">
        <f t="array" ref="I4288">XLOOKUP($A4288,product!A:A,product!E:E)</f>
        <v>3.31</v>
      </c>
      <c r="J4288" s="4">
        <f t="shared" si="2"/>
        <v>307.83</v>
      </c>
      <c r="K4288" s="22">
        <f t="shared" si="3"/>
        <v>1</v>
      </c>
      <c r="L4288" s="4">
        <f t="shared" si="4"/>
        <v>1</v>
      </c>
    </row>
    <row r="4289">
      <c r="A4289" s="23">
        <v>23628.0</v>
      </c>
      <c r="B4289" s="24" t="str">
        <f t="array" ref="B4289">xlookup($A4289,product!$A:$A,product!B:B)</f>
        <v>Beauté &amp; Hygiène</v>
      </c>
      <c r="C4289" s="24" t="str">
        <f t="array" ref="C4289">xlookup($A4289,product!$A:$A,product!C:C)</f>
        <v>Cosmétique maison DIY</v>
      </c>
      <c r="D4289" s="24" t="str">
        <f t="array" ref="D4289">xlookup($A4289,product!$A:$A,product!D:D)</f>
        <v>Ingrédient de base DIY</v>
      </c>
      <c r="E4289" s="25" t="str">
        <f t="shared" si="1"/>
        <v>23628-Cosmétique maison DIY-Ingrédient de base DIY</v>
      </c>
      <c r="F4289" s="25">
        <v>0.0</v>
      </c>
      <c r="G4289" s="25">
        <v>653.0</v>
      </c>
      <c r="H4289" s="25">
        <v>73.0</v>
      </c>
      <c r="I4289" s="26">
        <f t="array" ref="I4289">XLOOKUP($A4289,product!A:A,product!E:E)</f>
        <v>1.49</v>
      </c>
      <c r="J4289" s="25">
        <f t="shared" si="2"/>
        <v>108.77</v>
      </c>
      <c r="K4289" s="27">
        <f t="shared" si="3"/>
        <v>1</v>
      </c>
      <c r="L4289" s="25">
        <f t="shared" si="4"/>
        <v>1</v>
      </c>
    </row>
    <row r="4290">
      <c r="A4290" s="19">
        <v>120369.0</v>
      </c>
      <c r="B4290" s="20" t="str">
        <f t="array" ref="B4290">xlookup($A4290,product!$A:$A,product!B:B)</f>
        <v>Beauté &amp; Hygiène</v>
      </c>
      <c r="C4290" s="20" t="str">
        <f t="array" ref="C4290">xlookup($A4290,product!$A:$A,product!C:C)</f>
        <v>Cosmétique maison DIY</v>
      </c>
      <c r="D4290" s="20" t="str">
        <f t="array" ref="D4290">xlookup($A4290,product!$A:$A,product!D:D)</f>
        <v>Kits Cosmétique Maison</v>
      </c>
      <c r="E4290" s="4" t="str">
        <f t="shared" si="1"/>
        <v>120369-Cosmétique maison DIY-Kits Cosmétique Maison</v>
      </c>
      <c r="F4290" s="4">
        <v>0.0</v>
      </c>
      <c r="G4290" s="4">
        <v>837.0</v>
      </c>
      <c r="H4290" s="4">
        <v>62.0</v>
      </c>
      <c r="I4290" s="21">
        <f t="array" ref="I4290">XLOOKUP($A4290,product!A:A,product!E:E)</f>
        <v>10.01</v>
      </c>
      <c r="J4290" s="4">
        <f t="shared" si="2"/>
        <v>620.62</v>
      </c>
      <c r="K4290" s="22">
        <f t="shared" si="3"/>
        <v>1</v>
      </c>
      <c r="L4290" s="4">
        <f t="shared" si="4"/>
        <v>1</v>
      </c>
    </row>
    <row r="4291">
      <c r="A4291" s="23">
        <v>114175.0</v>
      </c>
      <c r="B4291" s="24" t="str">
        <f t="array" ref="B4291">xlookup($A4291,product!$A:$A,product!B:B)</f>
        <v>Beauté &amp; Hygiène</v>
      </c>
      <c r="C4291" s="24" t="str">
        <f t="array" ref="C4291">xlookup($A4291,product!$A:$A,product!C:C)</f>
        <v>Cosmétique maison DIY</v>
      </c>
      <c r="D4291" s="24" t="str">
        <f t="array" ref="D4291">xlookup($A4291,product!$A:$A,product!D:D)</f>
        <v>Ustensile, contenant DIY</v>
      </c>
      <c r="E4291" s="25" t="str">
        <f t="shared" si="1"/>
        <v>114175-Cosmétique maison DIY-Ustensile, contenant DIY</v>
      </c>
      <c r="F4291" s="25">
        <v>1.0</v>
      </c>
      <c r="G4291" s="25">
        <v>104.0</v>
      </c>
      <c r="H4291" s="25">
        <v>10.0</v>
      </c>
      <c r="I4291" s="26">
        <f t="array" ref="I4291">XLOOKUP($A4291,product!A:A,product!E:E)</f>
        <v>2.2</v>
      </c>
      <c r="J4291" s="25">
        <f t="shared" si="2"/>
        <v>22</v>
      </c>
      <c r="K4291" s="27">
        <f t="shared" si="3"/>
        <v>1</v>
      </c>
      <c r="L4291" s="25">
        <f t="shared" si="4"/>
        <v>1</v>
      </c>
    </row>
    <row r="4292">
      <c r="A4292" s="19">
        <v>23649.0</v>
      </c>
      <c r="B4292" s="20" t="str">
        <f t="array" ref="B4292">xlookup($A4292,product!$A:$A,product!B:B)</f>
        <v>Beauté &amp; Hygiène</v>
      </c>
      <c r="C4292" s="20" t="str">
        <f t="array" ref="C4292">xlookup($A4292,product!$A:$A,product!C:C)</f>
        <v>Cosmétique maison DIY</v>
      </c>
      <c r="D4292" s="20" t="str">
        <f t="array" ref="D4292">xlookup($A4292,product!$A:$A,product!D:D)</f>
        <v>Ustensile, contenant DIY</v>
      </c>
      <c r="E4292" s="4" t="str">
        <f t="shared" si="1"/>
        <v>23649-Cosmétique maison DIY-Ustensile, contenant DIY</v>
      </c>
      <c r="F4292" s="4">
        <v>0.0</v>
      </c>
      <c r="G4292" s="4">
        <v>713.0</v>
      </c>
      <c r="H4292" s="4">
        <v>34.0</v>
      </c>
      <c r="I4292" s="21">
        <f t="array" ref="I4292">XLOOKUP($A4292,product!A:A,product!E:E)</f>
        <v>1.7</v>
      </c>
      <c r="J4292" s="4">
        <f t="shared" si="2"/>
        <v>57.8</v>
      </c>
      <c r="K4292" s="22">
        <f t="shared" si="3"/>
        <v>1</v>
      </c>
      <c r="L4292" s="4">
        <f t="shared" si="4"/>
        <v>1</v>
      </c>
    </row>
    <row r="4293">
      <c r="A4293" s="23">
        <v>80419.0</v>
      </c>
      <c r="B4293" s="24" t="str">
        <f t="array" ref="B4293">xlookup($A4293,product!$A:$A,product!B:B)</f>
        <v>Beauté &amp; Hygiène</v>
      </c>
      <c r="C4293" s="24" t="str">
        <f t="array" ref="C4293">xlookup($A4293,product!$A:$A,product!C:C)</f>
        <v>Cosmétique maison DIY</v>
      </c>
      <c r="D4293" s="24" t="str">
        <f t="array" ref="D4293">xlookup($A4293,product!$A:$A,product!D:D)</f>
        <v>Ustensile, contenant DIY</v>
      </c>
      <c r="E4293" s="25" t="str">
        <f t="shared" si="1"/>
        <v>80419-Cosmétique maison DIY-Ustensile, contenant DIY</v>
      </c>
      <c r="F4293" s="25">
        <v>0.0</v>
      </c>
      <c r="G4293" s="25">
        <v>269.0</v>
      </c>
      <c r="H4293" s="25">
        <v>135.0</v>
      </c>
      <c r="I4293" s="26">
        <f t="array" ref="I4293">XLOOKUP($A4293,product!A:A,product!E:E)</f>
        <v>1.97</v>
      </c>
      <c r="J4293" s="25">
        <f t="shared" si="2"/>
        <v>265.95</v>
      </c>
      <c r="K4293" s="27">
        <f t="shared" si="3"/>
        <v>1</v>
      </c>
      <c r="L4293" s="25">
        <f t="shared" si="4"/>
        <v>1</v>
      </c>
    </row>
    <row r="4294">
      <c r="A4294" s="19">
        <v>114173.0</v>
      </c>
      <c r="B4294" s="20" t="str">
        <f t="array" ref="B4294">xlookup($A4294,product!$A:$A,product!B:B)</f>
        <v>Beauté &amp; Hygiène</v>
      </c>
      <c r="C4294" s="20" t="str">
        <f t="array" ref="C4294">xlookup($A4294,product!$A:$A,product!C:C)</f>
        <v>Cosmétique maison DIY</v>
      </c>
      <c r="D4294" s="20" t="str">
        <f t="array" ref="D4294">xlookup($A4294,product!$A:$A,product!D:D)</f>
        <v>Ustensile, contenant DIY</v>
      </c>
      <c r="E4294" s="4" t="str">
        <f t="shared" si="1"/>
        <v>114173-Cosmétique maison DIY-Ustensile, contenant DIY</v>
      </c>
      <c r="F4294" s="4">
        <v>1.0</v>
      </c>
      <c r="G4294" s="4">
        <v>55.0</v>
      </c>
      <c r="H4294" s="4">
        <v>47.0</v>
      </c>
      <c r="I4294" s="21">
        <f t="array" ref="I4294">XLOOKUP($A4294,product!A:A,product!E:E)</f>
        <v>2.1</v>
      </c>
      <c r="J4294" s="4">
        <f t="shared" si="2"/>
        <v>98.7</v>
      </c>
      <c r="K4294" s="22">
        <f t="shared" si="3"/>
        <v>1</v>
      </c>
      <c r="L4294" s="4">
        <f t="shared" si="4"/>
        <v>1</v>
      </c>
    </row>
    <row r="4295">
      <c r="A4295" s="23">
        <v>91562.0</v>
      </c>
      <c r="B4295" s="24" t="str">
        <f t="array" ref="B4295">xlookup($A4295,product!$A:$A,product!B:B)</f>
        <v>Beauté &amp; Hygiène</v>
      </c>
      <c r="C4295" s="24" t="str">
        <f t="array" ref="C4295">xlookup($A4295,product!$A:$A,product!C:C)</f>
        <v>Cosmétique maison DIY</v>
      </c>
      <c r="D4295" s="24" t="str">
        <f t="array" ref="D4295">xlookup($A4295,product!$A:$A,product!D:D)</f>
        <v>Ustensile, contenant DIY</v>
      </c>
      <c r="E4295" s="25" t="str">
        <f t="shared" si="1"/>
        <v>91562-Cosmétique maison DIY-Ustensile, contenant DIY</v>
      </c>
      <c r="F4295" s="25">
        <v>1.0</v>
      </c>
      <c r="G4295" s="25">
        <v>685.0</v>
      </c>
      <c r="H4295" s="25">
        <v>14.0</v>
      </c>
      <c r="I4295" s="26">
        <f t="array" ref="I4295">XLOOKUP($A4295,product!A:A,product!E:E)</f>
        <v>2.05</v>
      </c>
      <c r="J4295" s="25">
        <f t="shared" si="2"/>
        <v>28.7</v>
      </c>
      <c r="K4295" s="27">
        <f t="shared" si="3"/>
        <v>1</v>
      </c>
      <c r="L4295" s="25">
        <f t="shared" si="4"/>
        <v>1</v>
      </c>
    </row>
    <row r="4296">
      <c r="A4296" s="19">
        <v>23662.0</v>
      </c>
      <c r="B4296" s="20" t="str">
        <f t="array" ref="B4296">xlookup($A4296,product!$A:$A,product!B:B)</f>
        <v>Beauté &amp; Hygiène</v>
      </c>
      <c r="C4296" s="20" t="str">
        <f t="array" ref="C4296">xlookup($A4296,product!$A:$A,product!C:C)</f>
        <v>Cosmétique maison DIY</v>
      </c>
      <c r="D4296" s="20" t="str">
        <f t="array" ref="D4296">xlookup($A4296,product!$A:$A,product!D:D)</f>
        <v>Ustensile, contenant DIY</v>
      </c>
      <c r="E4296" s="4" t="str">
        <f t="shared" si="1"/>
        <v>23662-Cosmétique maison DIY-Ustensile, contenant DIY</v>
      </c>
      <c r="F4296" s="4">
        <v>1.0</v>
      </c>
      <c r="G4296" s="4">
        <v>769.0</v>
      </c>
      <c r="H4296" s="4">
        <v>759.0</v>
      </c>
      <c r="I4296" s="21">
        <f t="array" ref="I4296">XLOOKUP($A4296,product!A:A,product!E:E)</f>
        <v>0.96</v>
      </c>
      <c r="J4296" s="4">
        <f t="shared" si="2"/>
        <v>728.64</v>
      </c>
      <c r="K4296" s="22">
        <f t="shared" si="3"/>
        <v>1</v>
      </c>
      <c r="L4296" s="4">
        <f t="shared" si="4"/>
        <v>1</v>
      </c>
    </row>
    <row r="4297">
      <c r="A4297" s="23">
        <v>76466.0</v>
      </c>
      <c r="B4297" s="24" t="str">
        <f t="array" ref="B4297">xlookup($A4297,product!$A:$A,product!B:B)</f>
        <v>Epicerie salée</v>
      </c>
      <c r="C4297" s="24" t="str">
        <f t="array" ref="C4297">xlookup($A4297,product!$A:$A,product!C:C)</f>
        <v>Graines et oléagineux</v>
      </c>
      <c r="D4297" s="24" t="str">
        <f t="array" ref="D4297">xlookup($A4297,product!$A:$A,product!D:D)</f>
        <v>Graines oléagineuses</v>
      </c>
      <c r="E4297" s="25" t="str">
        <f t="shared" si="1"/>
        <v>76466-Graines et oléagineux-Graines oléagineuses</v>
      </c>
      <c r="F4297" s="25">
        <v>0.0</v>
      </c>
      <c r="G4297" s="25">
        <v>118.0</v>
      </c>
      <c r="H4297" s="25">
        <v>39.0</v>
      </c>
      <c r="I4297" s="26">
        <f t="array" ref="I4297">XLOOKUP($A4297,product!A:A,product!E:E)</f>
        <v>2.63</v>
      </c>
      <c r="J4297" s="25">
        <f t="shared" si="2"/>
        <v>102.57</v>
      </c>
      <c r="K4297" s="27">
        <f t="shared" si="3"/>
        <v>1</v>
      </c>
      <c r="L4297" s="25">
        <f t="shared" si="4"/>
        <v>1</v>
      </c>
    </row>
    <row r="4298">
      <c r="A4298" s="19">
        <v>76465.0</v>
      </c>
      <c r="B4298" s="20" t="str">
        <f t="array" ref="B4298">xlookup($A4298,product!$A:$A,product!B:B)</f>
        <v>Epicerie salée</v>
      </c>
      <c r="C4298" s="20" t="str">
        <f t="array" ref="C4298">xlookup($A4298,product!$A:$A,product!C:C)</f>
        <v>Graines et oléagineux</v>
      </c>
      <c r="D4298" s="20" t="str">
        <f t="array" ref="D4298">xlookup($A4298,product!$A:$A,product!D:D)</f>
        <v>Graines oléagineuses</v>
      </c>
      <c r="E4298" s="4" t="str">
        <f t="shared" si="1"/>
        <v>76465-Graines et oléagineux-Graines oléagineuses</v>
      </c>
      <c r="F4298" s="4">
        <v>0.0</v>
      </c>
      <c r="G4298" s="4">
        <v>314.0</v>
      </c>
      <c r="H4298" s="4">
        <v>37.0</v>
      </c>
      <c r="I4298" s="21">
        <f t="array" ref="I4298">XLOOKUP($A4298,product!A:A,product!E:E)</f>
        <v>1.56</v>
      </c>
      <c r="J4298" s="4">
        <f t="shared" si="2"/>
        <v>57.72</v>
      </c>
      <c r="K4298" s="22">
        <f t="shared" si="3"/>
        <v>1</v>
      </c>
      <c r="L4298" s="4">
        <f t="shared" si="4"/>
        <v>1</v>
      </c>
    </row>
    <row r="4299">
      <c r="A4299" s="23">
        <v>68329.0</v>
      </c>
      <c r="B4299" s="24" t="str">
        <f t="array" ref="B4299">xlookup($A4299,product!$A:$A,product!B:B)</f>
        <v>Epicerie salée</v>
      </c>
      <c r="C4299" s="24" t="str">
        <f t="array" ref="C4299">xlookup($A4299,product!$A:$A,product!C:C)</f>
        <v>Graines et oléagineux</v>
      </c>
      <c r="D4299" s="24" t="str">
        <f t="array" ref="D4299">xlookup($A4299,product!$A:$A,product!D:D)</f>
        <v>Graines oléagineuses</v>
      </c>
      <c r="E4299" s="25" t="str">
        <f t="shared" si="1"/>
        <v>68329-Graines et oléagineux-Graines oléagineuses</v>
      </c>
      <c r="F4299" s="25">
        <v>0.0</v>
      </c>
      <c r="G4299" s="25">
        <v>780.0</v>
      </c>
      <c r="H4299" s="25">
        <v>65.0</v>
      </c>
      <c r="I4299" s="26">
        <f t="array" ref="I4299">XLOOKUP($A4299,product!A:A,product!E:E)</f>
        <v>0.75</v>
      </c>
      <c r="J4299" s="25">
        <f t="shared" si="2"/>
        <v>48.75</v>
      </c>
      <c r="K4299" s="27">
        <f t="shared" si="3"/>
        <v>1</v>
      </c>
      <c r="L4299" s="25">
        <f t="shared" si="4"/>
        <v>1</v>
      </c>
    </row>
    <row r="4300">
      <c r="A4300" s="19">
        <v>114470.0</v>
      </c>
      <c r="B4300" s="20" t="str">
        <f t="array" ref="B4300">xlookup($A4300,product!$A:$A,product!B:B)</f>
        <v>Epicerie salée</v>
      </c>
      <c r="C4300" s="20" t="str">
        <f t="array" ref="C4300">xlookup($A4300,product!$A:$A,product!C:C)</f>
        <v>Graines et oléagineux</v>
      </c>
      <c r="D4300" s="20" t="str">
        <f t="array" ref="D4300">xlookup($A4300,product!$A:$A,product!D:D)</f>
        <v>Graines oléagineuses</v>
      </c>
      <c r="E4300" s="4" t="str">
        <f t="shared" si="1"/>
        <v>114470-Graines et oléagineux-Graines oléagineuses</v>
      </c>
      <c r="F4300" s="4">
        <v>1.0</v>
      </c>
      <c r="G4300" s="4">
        <v>863.0</v>
      </c>
      <c r="H4300" s="4">
        <v>310.0</v>
      </c>
      <c r="I4300" s="21">
        <f t="array" ref="I4300">XLOOKUP($A4300,product!A:A,product!E:E)</f>
        <v>3.13</v>
      </c>
      <c r="J4300" s="4">
        <f t="shared" si="2"/>
        <v>970.3</v>
      </c>
      <c r="K4300" s="22">
        <f t="shared" si="3"/>
        <v>1</v>
      </c>
      <c r="L4300" s="4">
        <f t="shared" si="4"/>
        <v>1</v>
      </c>
    </row>
    <row r="4301">
      <c r="A4301" s="23">
        <v>110568.0</v>
      </c>
      <c r="B4301" s="24" t="str">
        <f t="array" ref="B4301">xlookup($A4301,product!$A:$A,product!B:B)</f>
        <v>Epicerie salée</v>
      </c>
      <c r="C4301" s="24" t="str">
        <f t="array" ref="C4301">xlookup($A4301,product!$A:$A,product!C:C)</f>
        <v>Graines et oléagineux</v>
      </c>
      <c r="D4301" s="24" t="str">
        <f t="array" ref="D4301">xlookup($A4301,product!$A:$A,product!D:D)</f>
        <v>Graines oléagineuses</v>
      </c>
      <c r="E4301" s="25" t="str">
        <f t="shared" si="1"/>
        <v>110568-Graines et oléagineux-Graines oléagineuses</v>
      </c>
      <c r="F4301" s="25">
        <v>1.0</v>
      </c>
      <c r="G4301" s="25">
        <v>785.0</v>
      </c>
      <c r="H4301" s="25">
        <v>295.0</v>
      </c>
      <c r="I4301" s="26">
        <f t="array" ref="I4301">XLOOKUP($A4301,product!A:A,product!E:E)</f>
        <v>1.16</v>
      </c>
      <c r="J4301" s="25">
        <f t="shared" si="2"/>
        <v>342.2</v>
      </c>
      <c r="K4301" s="27">
        <f t="shared" si="3"/>
        <v>1</v>
      </c>
      <c r="L4301" s="25">
        <f t="shared" si="4"/>
        <v>1</v>
      </c>
    </row>
    <row r="4302">
      <c r="A4302" s="19">
        <v>76470.0</v>
      </c>
      <c r="B4302" s="20" t="str">
        <f t="array" ref="B4302">xlookup($A4302,product!$A:$A,product!B:B)</f>
        <v>Epicerie salée</v>
      </c>
      <c r="C4302" s="20" t="str">
        <f t="array" ref="C4302">xlookup($A4302,product!$A:$A,product!C:C)</f>
        <v>Graines et oléagineux</v>
      </c>
      <c r="D4302" s="20" t="str">
        <f t="array" ref="D4302">xlookup($A4302,product!$A:$A,product!D:D)</f>
        <v>Graines oléagineuses</v>
      </c>
      <c r="E4302" s="4" t="str">
        <f t="shared" si="1"/>
        <v>76470-Graines et oléagineux-Graines oléagineuses</v>
      </c>
      <c r="F4302" s="4">
        <v>0.0</v>
      </c>
      <c r="G4302" s="4">
        <v>76.0</v>
      </c>
      <c r="H4302" s="4">
        <v>21.0</v>
      </c>
      <c r="I4302" s="21">
        <f t="array" ref="I4302">XLOOKUP($A4302,product!A:A,product!E:E)</f>
        <v>0.89</v>
      </c>
      <c r="J4302" s="4">
        <f t="shared" si="2"/>
        <v>18.69</v>
      </c>
      <c r="K4302" s="22">
        <f t="shared" si="3"/>
        <v>1</v>
      </c>
      <c r="L4302" s="4">
        <f t="shared" si="4"/>
        <v>1</v>
      </c>
    </row>
    <row r="4303">
      <c r="A4303" s="23">
        <v>5604.0</v>
      </c>
      <c r="B4303" s="24" t="str">
        <f t="array" ref="B4303">xlookup($A4303,product!$A:$A,product!B:B)</f>
        <v>Epicerie salée</v>
      </c>
      <c r="C4303" s="24" t="str">
        <f t="array" ref="C4303">xlookup($A4303,product!$A:$A,product!C:C)</f>
        <v>Graines et oléagineux</v>
      </c>
      <c r="D4303" s="24" t="str">
        <f t="array" ref="D4303">xlookup($A4303,product!$A:$A,product!D:D)</f>
        <v>Graines oléagineuses</v>
      </c>
      <c r="E4303" s="25" t="str">
        <f t="shared" si="1"/>
        <v>5604-Graines et oléagineux-Graines oléagineuses</v>
      </c>
      <c r="F4303" s="25">
        <v>1.0</v>
      </c>
      <c r="G4303" s="25">
        <v>205.0</v>
      </c>
      <c r="H4303" s="25">
        <v>12.0</v>
      </c>
      <c r="I4303" s="26">
        <f t="array" ref="I4303">XLOOKUP($A4303,product!A:A,product!E:E)</f>
        <v>1.5</v>
      </c>
      <c r="J4303" s="25">
        <f t="shared" si="2"/>
        <v>18</v>
      </c>
      <c r="K4303" s="27">
        <f t="shared" si="3"/>
        <v>1</v>
      </c>
      <c r="L4303" s="25">
        <f t="shared" si="4"/>
        <v>1</v>
      </c>
    </row>
    <row r="4304">
      <c r="A4304" s="19">
        <v>28613.0</v>
      </c>
      <c r="B4304" s="20" t="str">
        <f t="array" ref="B4304">xlookup($A4304,product!$A:$A,product!B:B)</f>
        <v>Epicerie salée</v>
      </c>
      <c r="C4304" s="20" t="str">
        <f t="array" ref="C4304">xlookup($A4304,product!$A:$A,product!C:C)</f>
        <v>Graines et oléagineux</v>
      </c>
      <c r="D4304" s="20" t="str">
        <f t="array" ref="D4304">xlookup($A4304,product!$A:$A,product!D:D)</f>
        <v>Graines oléagineuses</v>
      </c>
      <c r="E4304" s="4" t="str">
        <f t="shared" si="1"/>
        <v>28613-Graines et oléagineux-Graines oléagineuses</v>
      </c>
      <c r="F4304" s="4">
        <v>1.0</v>
      </c>
      <c r="G4304" s="4">
        <v>617.0</v>
      </c>
      <c r="H4304" s="4">
        <v>443.0</v>
      </c>
      <c r="I4304" s="21">
        <f t="array" ref="I4304">XLOOKUP($A4304,product!A:A,product!E:E)</f>
        <v>1.4</v>
      </c>
      <c r="J4304" s="4">
        <f t="shared" si="2"/>
        <v>620.2</v>
      </c>
      <c r="K4304" s="22">
        <f t="shared" si="3"/>
        <v>1</v>
      </c>
      <c r="L4304" s="4">
        <f t="shared" si="4"/>
        <v>1</v>
      </c>
    </row>
    <row r="4305">
      <c r="A4305" s="23">
        <v>159402.0</v>
      </c>
      <c r="B4305" s="24" t="str">
        <f t="array" ref="B4305">xlookup($A4305,product!$A:$A,product!B:B)</f>
        <v>Epicerie salée</v>
      </c>
      <c r="C4305" s="24" t="str">
        <f t="array" ref="C4305">xlookup($A4305,product!$A:$A,product!C:C)</f>
        <v>Graines et oléagineux</v>
      </c>
      <c r="D4305" s="24" t="str">
        <f t="array" ref="D4305">xlookup($A4305,product!$A:$A,product!D:D)</f>
        <v>Graines oléagineuses</v>
      </c>
      <c r="E4305" s="25" t="str">
        <f t="shared" si="1"/>
        <v>159402-Graines et oléagineux-Graines oléagineuses</v>
      </c>
      <c r="F4305" s="25">
        <v>0.0</v>
      </c>
      <c r="G4305" s="25">
        <v>228.0</v>
      </c>
      <c r="H4305" s="25">
        <v>58.0</v>
      </c>
      <c r="I4305" s="26">
        <f t="array" ref="I4305">XLOOKUP($A4305,product!A:A,product!E:E)</f>
        <v>1.3</v>
      </c>
      <c r="J4305" s="25">
        <f t="shared" si="2"/>
        <v>75.4</v>
      </c>
      <c r="K4305" s="27">
        <f t="shared" si="3"/>
        <v>1</v>
      </c>
      <c r="L4305" s="25">
        <f t="shared" si="4"/>
        <v>1</v>
      </c>
    </row>
    <row r="4306">
      <c r="A4306" s="19">
        <v>68379.0</v>
      </c>
      <c r="B4306" s="20" t="str">
        <f t="array" ref="B4306">xlookup($A4306,product!$A:$A,product!B:B)</f>
        <v>Epicerie salée</v>
      </c>
      <c r="C4306" s="20" t="str">
        <f t="array" ref="C4306">xlookup($A4306,product!$A:$A,product!C:C)</f>
        <v>Graines et oléagineux</v>
      </c>
      <c r="D4306" s="20" t="str">
        <f t="array" ref="D4306">xlookup($A4306,product!$A:$A,product!D:D)</f>
        <v>Graines oléagineuses</v>
      </c>
      <c r="E4306" s="4" t="str">
        <f t="shared" si="1"/>
        <v>68379-Graines et oléagineux-Graines oléagineuses</v>
      </c>
      <c r="F4306" s="4">
        <v>0.0</v>
      </c>
      <c r="G4306" s="4">
        <v>592.0</v>
      </c>
      <c r="H4306" s="4">
        <v>162.0</v>
      </c>
      <c r="I4306" s="21">
        <f t="array" ref="I4306">XLOOKUP($A4306,product!A:A,product!E:E)</f>
        <v>1.07</v>
      </c>
      <c r="J4306" s="4">
        <f t="shared" si="2"/>
        <v>173.34</v>
      </c>
      <c r="K4306" s="22">
        <f t="shared" si="3"/>
        <v>1</v>
      </c>
      <c r="L4306" s="4">
        <f t="shared" si="4"/>
        <v>1</v>
      </c>
    </row>
    <row r="4307">
      <c r="A4307" s="23">
        <v>91069.0</v>
      </c>
      <c r="B4307" s="24" t="str">
        <f t="array" ref="B4307">xlookup($A4307,product!$A:$A,product!B:B)</f>
        <v>Epicerie salée</v>
      </c>
      <c r="C4307" s="24" t="str">
        <f t="array" ref="C4307">xlookup($A4307,product!$A:$A,product!C:C)</f>
        <v>Graines et oléagineux</v>
      </c>
      <c r="D4307" s="24" t="str">
        <f t="array" ref="D4307">xlookup($A4307,product!$A:$A,product!D:D)</f>
        <v>Graines oléagineuses</v>
      </c>
      <c r="E4307" s="25" t="str">
        <f t="shared" si="1"/>
        <v>91069-Graines et oléagineux-Graines oléagineuses</v>
      </c>
      <c r="F4307" s="25">
        <v>0.0</v>
      </c>
      <c r="G4307" s="25">
        <v>413.0</v>
      </c>
      <c r="H4307" s="25">
        <v>149.0</v>
      </c>
      <c r="I4307" s="26">
        <f t="array" ref="I4307">XLOOKUP($A4307,product!A:A,product!E:E)</f>
        <v>1.15</v>
      </c>
      <c r="J4307" s="25">
        <f t="shared" si="2"/>
        <v>171.35</v>
      </c>
      <c r="K4307" s="27">
        <f t="shared" si="3"/>
        <v>1</v>
      </c>
      <c r="L4307" s="25">
        <f t="shared" si="4"/>
        <v>1</v>
      </c>
    </row>
    <row r="4308">
      <c r="A4308" s="19">
        <v>91060.0</v>
      </c>
      <c r="B4308" s="20" t="str">
        <f t="array" ref="B4308">xlookup($A4308,product!$A:$A,product!B:B)</f>
        <v>Epicerie salée</v>
      </c>
      <c r="C4308" s="20" t="str">
        <f t="array" ref="C4308">xlookup($A4308,product!$A:$A,product!C:C)</f>
        <v>Graines et oléagineux</v>
      </c>
      <c r="D4308" s="20" t="str">
        <f t="array" ref="D4308">xlookup($A4308,product!$A:$A,product!D:D)</f>
        <v>Graines oléagineuses</v>
      </c>
      <c r="E4308" s="4" t="str">
        <f t="shared" si="1"/>
        <v>91060-Graines et oléagineux-Graines oléagineuses</v>
      </c>
      <c r="F4308" s="4">
        <v>0.0</v>
      </c>
      <c r="G4308" s="4">
        <v>426.0</v>
      </c>
      <c r="H4308" s="4">
        <v>25.0</v>
      </c>
      <c r="I4308" s="21">
        <f t="array" ref="I4308">XLOOKUP($A4308,product!A:A,product!E:E)</f>
        <v>6.18</v>
      </c>
      <c r="J4308" s="4">
        <f t="shared" si="2"/>
        <v>154.5</v>
      </c>
      <c r="K4308" s="22">
        <f t="shared" si="3"/>
        <v>1</v>
      </c>
      <c r="L4308" s="4">
        <f t="shared" si="4"/>
        <v>1</v>
      </c>
    </row>
    <row r="4309">
      <c r="A4309" s="23">
        <v>182274.0</v>
      </c>
      <c r="B4309" s="24" t="str">
        <f t="array" ref="B4309">xlookup($A4309,product!$A:$A,product!B:B)</f>
        <v>Epicerie salée</v>
      </c>
      <c r="C4309" s="24" t="str">
        <f t="array" ref="C4309">xlookup($A4309,product!$A:$A,product!C:C)</f>
        <v>Graines et oléagineux</v>
      </c>
      <c r="D4309" s="24" t="str">
        <f t="array" ref="D4309">xlookup($A4309,product!$A:$A,product!D:D)</f>
        <v>Graines oléagineuses</v>
      </c>
      <c r="E4309" s="25" t="str">
        <f t="shared" si="1"/>
        <v>182274-Graines et oléagineux-Graines oléagineuses</v>
      </c>
      <c r="F4309" s="25">
        <v>0.0</v>
      </c>
      <c r="G4309" s="25">
        <v>402.0</v>
      </c>
      <c r="H4309" s="25">
        <v>222.0</v>
      </c>
      <c r="I4309" s="26">
        <f t="array" ref="I4309">XLOOKUP($A4309,product!A:A,product!E:E)</f>
        <v>1.18</v>
      </c>
      <c r="J4309" s="25">
        <f t="shared" si="2"/>
        <v>261.96</v>
      </c>
      <c r="K4309" s="27">
        <f t="shared" si="3"/>
        <v>1</v>
      </c>
      <c r="L4309" s="25">
        <f t="shared" si="4"/>
        <v>1</v>
      </c>
    </row>
    <row r="4310">
      <c r="A4310" s="19">
        <v>110566.0</v>
      </c>
      <c r="B4310" s="20" t="str">
        <f t="array" ref="B4310">xlookup($A4310,product!$A:$A,product!B:B)</f>
        <v>Epicerie salée</v>
      </c>
      <c r="C4310" s="20" t="str">
        <f t="array" ref="C4310">xlookup($A4310,product!$A:$A,product!C:C)</f>
        <v>Graines et oléagineux</v>
      </c>
      <c r="D4310" s="20" t="str">
        <f t="array" ref="D4310">xlookup($A4310,product!$A:$A,product!D:D)</f>
        <v>Graines oléagineuses</v>
      </c>
      <c r="E4310" s="4" t="str">
        <f t="shared" si="1"/>
        <v>110566-Graines et oléagineux-Graines oléagineuses</v>
      </c>
      <c r="F4310" s="4">
        <v>1.0</v>
      </c>
      <c r="G4310" s="4">
        <v>590.0</v>
      </c>
      <c r="H4310" s="4">
        <v>259.0</v>
      </c>
      <c r="I4310" s="21">
        <f t="array" ref="I4310">XLOOKUP($A4310,product!A:A,product!E:E)</f>
        <v>0.97</v>
      </c>
      <c r="J4310" s="4">
        <f t="shared" si="2"/>
        <v>251.23</v>
      </c>
      <c r="K4310" s="22">
        <f t="shared" si="3"/>
        <v>1</v>
      </c>
      <c r="L4310" s="4">
        <f t="shared" si="4"/>
        <v>1</v>
      </c>
    </row>
    <row r="4311">
      <c r="A4311" s="23">
        <v>78877.0</v>
      </c>
      <c r="B4311" s="24" t="str">
        <f t="array" ref="B4311">xlookup($A4311,product!$A:$A,product!B:B)</f>
        <v>Epicerie salée</v>
      </c>
      <c r="C4311" s="24" t="str">
        <f t="array" ref="C4311">xlookup($A4311,product!$A:$A,product!C:C)</f>
        <v>Graines et oléagineux</v>
      </c>
      <c r="D4311" s="24" t="str">
        <f t="array" ref="D4311">xlookup($A4311,product!$A:$A,product!D:D)</f>
        <v>Graines oléagineuses</v>
      </c>
      <c r="E4311" s="25" t="str">
        <f t="shared" si="1"/>
        <v>78877-Graines et oléagineux-Graines oléagineuses</v>
      </c>
      <c r="F4311" s="25">
        <v>0.0</v>
      </c>
      <c r="G4311" s="25">
        <v>384.0</v>
      </c>
      <c r="H4311" s="25">
        <v>67.0</v>
      </c>
      <c r="I4311" s="26">
        <f t="array" ref="I4311">XLOOKUP($A4311,product!A:A,product!E:E)</f>
        <v>4.94</v>
      </c>
      <c r="J4311" s="25">
        <f t="shared" si="2"/>
        <v>330.98</v>
      </c>
      <c r="K4311" s="27">
        <f t="shared" si="3"/>
        <v>1</v>
      </c>
      <c r="L4311" s="25">
        <f t="shared" si="4"/>
        <v>1</v>
      </c>
    </row>
    <row r="4312">
      <c r="A4312" s="19">
        <v>5490.0</v>
      </c>
      <c r="B4312" s="20" t="str">
        <f t="array" ref="B4312">xlookup($A4312,product!$A:$A,product!B:B)</f>
        <v>Epicerie salée</v>
      </c>
      <c r="C4312" s="20" t="str">
        <f t="array" ref="C4312">xlookup($A4312,product!$A:$A,product!C:C)</f>
        <v>Graines et oléagineux</v>
      </c>
      <c r="D4312" s="20" t="str">
        <f t="array" ref="D4312">xlookup($A4312,product!$A:$A,product!D:D)</f>
        <v>Graines oléagineuses</v>
      </c>
      <c r="E4312" s="4" t="str">
        <f t="shared" si="1"/>
        <v>5490-Graines et oléagineux-Graines oléagineuses</v>
      </c>
      <c r="F4312" s="4">
        <v>1.0</v>
      </c>
      <c r="G4312" s="4">
        <v>624.0</v>
      </c>
      <c r="H4312" s="4">
        <v>239.0</v>
      </c>
      <c r="I4312" s="21">
        <f t="array" ref="I4312">XLOOKUP($A4312,product!A:A,product!E:E)</f>
        <v>1.7</v>
      </c>
      <c r="J4312" s="4">
        <f t="shared" si="2"/>
        <v>406.3</v>
      </c>
      <c r="K4312" s="22">
        <f t="shared" si="3"/>
        <v>1</v>
      </c>
      <c r="L4312" s="4">
        <f t="shared" si="4"/>
        <v>1</v>
      </c>
    </row>
    <row r="4313">
      <c r="A4313" s="23">
        <v>68382.0</v>
      </c>
      <c r="B4313" s="24" t="str">
        <f t="array" ref="B4313">xlookup($A4313,product!$A:$A,product!B:B)</f>
        <v>Epicerie salée</v>
      </c>
      <c r="C4313" s="24" t="str">
        <f t="array" ref="C4313">xlookup($A4313,product!$A:$A,product!C:C)</f>
        <v>Graines et oléagineux</v>
      </c>
      <c r="D4313" s="24" t="str">
        <f t="array" ref="D4313">xlookup($A4313,product!$A:$A,product!D:D)</f>
        <v>Graines oléagineuses</v>
      </c>
      <c r="E4313" s="25" t="str">
        <f t="shared" si="1"/>
        <v>68382-Graines et oléagineux-Graines oléagineuses</v>
      </c>
      <c r="F4313" s="25">
        <v>0.0</v>
      </c>
      <c r="G4313" s="25">
        <v>452.0</v>
      </c>
      <c r="H4313" s="25">
        <v>169.0</v>
      </c>
      <c r="I4313" s="26">
        <f t="array" ref="I4313">XLOOKUP($A4313,product!A:A,product!E:E)</f>
        <v>1.44</v>
      </c>
      <c r="J4313" s="25">
        <f t="shared" si="2"/>
        <v>243.36</v>
      </c>
      <c r="K4313" s="27">
        <f t="shared" si="3"/>
        <v>1</v>
      </c>
      <c r="L4313" s="25">
        <f t="shared" si="4"/>
        <v>1</v>
      </c>
    </row>
    <row r="4314">
      <c r="A4314" s="19">
        <v>114663.0</v>
      </c>
      <c r="B4314" s="20" t="str">
        <f t="array" ref="B4314">xlookup($A4314,product!$A:$A,product!B:B)</f>
        <v>Epicerie salée</v>
      </c>
      <c r="C4314" s="20" t="str">
        <f t="array" ref="C4314">xlookup($A4314,product!$A:$A,product!C:C)</f>
        <v>Graines et oléagineux</v>
      </c>
      <c r="D4314" s="20" t="str">
        <f t="array" ref="D4314">xlookup($A4314,product!$A:$A,product!D:D)</f>
        <v>Graines oléagineuses</v>
      </c>
      <c r="E4314" s="4" t="str">
        <f t="shared" si="1"/>
        <v>114663-Graines et oléagineux-Graines oléagineuses</v>
      </c>
      <c r="F4314" s="4">
        <v>0.0</v>
      </c>
      <c r="G4314" s="4">
        <v>314.0</v>
      </c>
      <c r="H4314" s="4">
        <v>51.0</v>
      </c>
      <c r="I4314" s="21">
        <f t="array" ref="I4314">XLOOKUP($A4314,product!A:A,product!E:E)</f>
        <v>2.14</v>
      </c>
      <c r="J4314" s="4">
        <f t="shared" si="2"/>
        <v>109.14</v>
      </c>
      <c r="K4314" s="22">
        <f t="shared" si="3"/>
        <v>1</v>
      </c>
      <c r="L4314" s="4">
        <f t="shared" si="4"/>
        <v>1</v>
      </c>
    </row>
    <row r="4315">
      <c r="A4315" s="23">
        <v>76474.0</v>
      </c>
      <c r="B4315" s="24" t="str">
        <f t="array" ref="B4315">xlookup($A4315,product!$A:$A,product!B:B)</f>
        <v>Epicerie salée</v>
      </c>
      <c r="C4315" s="24" t="str">
        <f t="array" ref="C4315">xlookup($A4315,product!$A:$A,product!C:C)</f>
        <v>Graines et oléagineux</v>
      </c>
      <c r="D4315" s="24" t="str">
        <f t="array" ref="D4315">xlookup($A4315,product!$A:$A,product!D:D)</f>
        <v>Graines oléagineuses</v>
      </c>
      <c r="E4315" s="25" t="str">
        <f t="shared" si="1"/>
        <v>76474-Graines et oléagineux-Graines oléagineuses</v>
      </c>
      <c r="F4315" s="25">
        <v>1.0</v>
      </c>
      <c r="G4315" s="25">
        <v>37.0</v>
      </c>
      <c r="H4315" s="25">
        <v>35.0</v>
      </c>
      <c r="I4315" s="26">
        <f t="array" ref="I4315">XLOOKUP($A4315,product!A:A,product!E:E)</f>
        <v>1.35</v>
      </c>
      <c r="J4315" s="25">
        <f t="shared" si="2"/>
        <v>47.25</v>
      </c>
      <c r="K4315" s="27">
        <f t="shared" si="3"/>
        <v>1</v>
      </c>
      <c r="L4315" s="25">
        <f t="shared" si="4"/>
        <v>1</v>
      </c>
    </row>
    <row r="4316">
      <c r="A4316" s="19">
        <v>76455.0</v>
      </c>
      <c r="B4316" s="20" t="str">
        <f t="array" ref="B4316">xlookup($A4316,product!$A:$A,product!B:B)</f>
        <v>Epicerie salée</v>
      </c>
      <c r="C4316" s="20" t="str">
        <f t="array" ref="C4316">xlookup($A4316,product!$A:$A,product!C:C)</f>
        <v>Graines et oléagineux</v>
      </c>
      <c r="D4316" s="20" t="str">
        <f t="array" ref="D4316">xlookup($A4316,product!$A:$A,product!D:D)</f>
        <v>Graines oléagineuses</v>
      </c>
      <c r="E4316" s="4" t="str">
        <f t="shared" si="1"/>
        <v>76455-Graines et oléagineux-Graines oléagineuses</v>
      </c>
      <c r="F4316" s="4">
        <v>1.0</v>
      </c>
      <c r="G4316" s="4">
        <v>905.0</v>
      </c>
      <c r="H4316" s="4">
        <v>573.0</v>
      </c>
      <c r="I4316" s="21">
        <f t="array" ref="I4316">XLOOKUP($A4316,product!A:A,product!E:E)</f>
        <v>1.29</v>
      </c>
      <c r="J4316" s="4">
        <f t="shared" si="2"/>
        <v>739.17</v>
      </c>
      <c r="K4316" s="22">
        <f t="shared" si="3"/>
        <v>1</v>
      </c>
      <c r="L4316" s="4">
        <f t="shared" si="4"/>
        <v>1</v>
      </c>
    </row>
    <row r="4317">
      <c r="A4317" s="23">
        <v>46337.0</v>
      </c>
      <c r="B4317" s="24" t="str">
        <f t="array" ref="B4317">xlookup($A4317,product!$A:$A,product!B:B)</f>
        <v>Epicerie salée</v>
      </c>
      <c r="C4317" s="24" t="str">
        <f t="array" ref="C4317">xlookup($A4317,product!$A:$A,product!C:C)</f>
        <v>Graines et oléagineux</v>
      </c>
      <c r="D4317" s="24" t="str">
        <f t="array" ref="D4317">xlookup($A4317,product!$A:$A,product!D:D)</f>
        <v>Graines oléagineuses</v>
      </c>
      <c r="E4317" s="25" t="str">
        <f t="shared" si="1"/>
        <v>46337-Graines et oléagineux-Graines oléagineuses</v>
      </c>
      <c r="F4317" s="25">
        <v>0.0</v>
      </c>
      <c r="G4317" s="25">
        <v>145.0</v>
      </c>
      <c r="H4317" s="25">
        <v>84.0</v>
      </c>
      <c r="I4317" s="26">
        <f t="array" ref="I4317">XLOOKUP($A4317,product!A:A,product!E:E)</f>
        <v>1.97</v>
      </c>
      <c r="J4317" s="25">
        <f t="shared" si="2"/>
        <v>165.48</v>
      </c>
      <c r="K4317" s="27">
        <f t="shared" si="3"/>
        <v>1</v>
      </c>
      <c r="L4317" s="25">
        <f t="shared" si="4"/>
        <v>1</v>
      </c>
    </row>
    <row r="4318">
      <c r="A4318" s="19">
        <v>78430.0</v>
      </c>
      <c r="B4318" s="20" t="str">
        <f t="array" ref="B4318">xlookup($A4318,product!$A:$A,product!B:B)</f>
        <v>Epicerie salée</v>
      </c>
      <c r="C4318" s="20" t="str">
        <f t="array" ref="C4318">xlookup($A4318,product!$A:$A,product!C:C)</f>
        <v>Graines et oléagineux</v>
      </c>
      <c r="D4318" s="20" t="str">
        <f t="array" ref="D4318">xlookup($A4318,product!$A:$A,product!D:D)</f>
        <v>Graines oléagineuses</v>
      </c>
      <c r="E4318" s="4" t="str">
        <f t="shared" si="1"/>
        <v>78430-Graines et oléagineux-Graines oléagineuses</v>
      </c>
      <c r="F4318" s="4">
        <v>1.0</v>
      </c>
      <c r="G4318" s="4">
        <v>102.0</v>
      </c>
      <c r="H4318" s="4">
        <v>100.0</v>
      </c>
      <c r="I4318" s="21">
        <f t="array" ref="I4318">XLOOKUP($A4318,product!A:A,product!E:E)</f>
        <v>2.54</v>
      </c>
      <c r="J4318" s="4">
        <f t="shared" si="2"/>
        <v>254</v>
      </c>
      <c r="K4318" s="22">
        <f t="shared" si="3"/>
        <v>1</v>
      </c>
      <c r="L4318" s="4">
        <f t="shared" si="4"/>
        <v>1</v>
      </c>
    </row>
    <row r="4319">
      <c r="A4319" s="23">
        <v>5605.0</v>
      </c>
      <c r="B4319" s="24" t="str">
        <f t="array" ref="B4319">xlookup($A4319,product!$A:$A,product!B:B)</f>
        <v>Epicerie salée</v>
      </c>
      <c r="C4319" s="24" t="str">
        <f t="array" ref="C4319">xlookup($A4319,product!$A:$A,product!C:C)</f>
        <v>Graines et oléagineux</v>
      </c>
      <c r="D4319" s="24" t="str">
        <f t="array" ref="D4319">xlookup($A4319,product!$A:$A,product!D:D)</f>
        <v>Graines oléagineuses</v>
      </c>
      <c r="E4319" s="25" t="str">
        <f t="shared" si="1"/>
        <v>5605-Graines et oléagineux-Graines oléagineuses</v>
      </c>
      <c r="F4319" s="25">
        <v>1.0</v>
      </c>
      <c r="G4319" s="25">
        <v>124.0</v>
      </c>
      <c r="H4319" s="25">
        <v>18.0</v>
      </c>
      <c r="I4319" s="26">
        <f t="array" ref="I4319">XLOOKUP($A4319,product!A:A,product!E:E)</f>
        <v>2.61</v>
      </c>
      <c r="J4319" s="25">
        <f t="shared" si="2"/>
        <v>46.98</v>
      </c>
      <c r="K4319" s="27">
        <f t="shared" si="3"/>
        <v>1</v>
      </c>
      <c r="L4319" s="25">
        <f t="shared" si="4"/>
        <v>1</v>
      </c>
    </row>
    <row r="4320">
      <c r="A4320" s="19">
        <v>77419.0</v>
      </c>
      <c r="B4320" s="20" t="str">
        <f t="array" ref="B4320">xlookup($A4320,product!$A:$A,product!B:B)</f>
        <v>Epicerie salée</v>
      </c>
      <c r="C4320" s="20" t="str">
        <f t="array" ref="C4320">xlookup($A4320,product!$A:$A,product!C:C)</f>
        <v>Graines et oléagineux</v>
      </c>
      <c r="D4320" s="20" t="str">
        <f t="array" ref="D4320">xlookup($A4320,product!$A:$A,product!D:D)</f>
        <v>Graines oléagineuses</v>
      </c>
      <c r="E4320" s="4" t="str">
        <f t="shared" si="1"/>
        <v>77419-Graines et oléagineux-Graines oléagineuses</v>
      </c>
      <c r="F4320" s="4">
        <v>0.0</v>
      </c>
      <c r="G4320" s="4">
        <v>159.0</v>
      </c>
      <c r="H4320" s="4">
        <v>100.0</v>
      </c>
      <c r="I4320" s="21">
        <f t="array" ref="I4320">XLOOKUP($A4320,product!A:A,product!E:E)</f>
        <v>1.99</v>
      </c>
      <c r="J4320" s="4">
        <f t="shared" si="2"/>
        <v>199</v>
      </c>
      <c r="K4320" s="22">
        <f t="shared" si="3"/>
        <v>1</v>
      </c>
      <c r="L4320" s="4">
        <f t="shared" si="4"/>
        <v>1</v>
      </c>
    </row>
    <row r="4321">
      <c r="A4321" s="23">
        <v>121701.0</v>
      </c>
      <c r="B4321" s="24" t="str">
        <f t="array" ref="B4321">xlookup($A4321,product!$A:$A,product!B:B)</f>
        <v>Epicerie salée</v>
      </c>
      <c r="C4321" s="24" t="str">
        <f t="array" ref="C4321">xlookup($A4321,product!$A:$A,product!C:C)</f>
        <v>Graines et oléagineux</v>
      </c>
      <c r="D4321" s="24" t="str">
        <f t="array" ref="D4321">xlookup($A4321,product!$A:$A,product!D:D)</f>
        <v>Graines oléagineuses</v>
      </c>
      <c r="E4321" s="25" t="str">
        <f t="shared" si="1"/>
        <v>121701-Graines et oléagineux-Graines oléagineuses</v>
      </c>
      <c r="F4321" s="25">
        <v>1.0</v>
      </c>
      <c r="G4321" s="25">
        <v>96.0</v>
      </c>
      <c r="H4321" s="25">
        <v>52.0</v>
      </c>
      <c r="I4321" s="26">
        <f t="array" ref="I4321">XLOOKUP($A4321,product!A:A,product!E:E)</f>
        <v>3</v>
      </c>
      <c r="J4321" s="25">
        <f t="shared" si="2"/>
        <v>156</v>
      </c>
      <c r="K4321" s="27">
        <f t="shared" si="3"/>
        <v>1</v>
      </c>
      <c r="L4321" s="25">
        <f t="shared" si="4"/>
        <v>1</v>
      </c>
    </row>
    <row r="4322">
      <c r="A4322" s="19">
        <v>91072.0</v>
      </c>
      <c r="B4322" s="20" t="str">
        <f t="array" ref="B4322">xlookup($A4322,product!$A:$A,product!B:B)</f>
        <v>Epicerie salée</v>
      </c>
      <c r="C4322" s="20" t="str">
        <f t="array" ref="C4322">xlookup($A4322,product!$A:$A,product!C:C)</f>
        <v>Graines et oléagineux</v>
      </c>
      <c r="D4322" s="20" t="str">
        <f t="array" ref="D4322">xlookup($A4322,product!$A:$A,product!D:D)</f>
        <v>Graines oléagineuses</v>
      </c>
      <c r="E4322" s="4" t="str">
        <f t="shared" si="1"/>
        <v>91072-Graines et oléagineux-Graines oléagineuses</v>
      </c>
      <c r="F4322" s="4">
        <v>1.0</v>
      </c>
      <c r="G4322" s="4">
        <v>337.0</v>
      </c>
      <c r="H4322" s="4">
        <v>73.0</v>
      </c>
      <c r="I4322" s="21">
        <f t="array" ref="I4322">XLOOKUP($A4322,product!A:A,product!E:E)</f>
        <v>7.19</v>
      </c>
      <c r="J4322" s="4">
        <f t="shared" si="2"/>
        <v>524.87</v>
      </c>
      <c r="K4322" s="22">
        <f t="shared" si="3"/>
        <v>1</v>
      </c>
      <c r="L4322" s="4">
        <f t="shared" si="4"/>
        <v>1</v>
      </c>
    </row>
    <row r="4323">
      <c r="A4323" s="23">
        <v>68486.0</v>
      </c>
      <c r="B4323" s="24" t="str">
        <f t="array" ref="B4323">xlookup($A4323,product!$A:$A,product!B:B)</f>
        <v>Epicerie salée</v>
      </c>
      <c r="C4323" s="24" t="str">
        <f t="array" ref="C4323">xlookup($A4323,product!$A:$A,product!C:C)</f>
        <v>Graines et oléagineux</v>
      </c>
      <c r="D4323" s="24" t="str">
        <f t="array" ref="D4323">xlookup($A4323,product!$A:$A,product!D:D)</f>
        <v>Graines oléagineuses</v>
      </c>
      <c r="E4323" s="25" t="str">
        <f t="shared" si="1"/>
        <v>68486-Graines et oléagineux-Graines oléagineuses</v>
      </c>
      <c r="F4323" s="25">
        <v>0.0</v>
      </c>
      <c r="G4323" s="25">
        <v>52.0</v>
      </c>
      <c r="H4323" s="25">
        <v>1.0</v>
      </c>
      <c r="I4323" s="26">
        <f t="array" ref="I4323">XLOOKUP($A4323,product!A:A,product!E:E)</f>
        <v>1.74</v>
      </c>
      <c r="J4323" s="25">
        <f t="shared" si="2"/>
        <v>1.74</v>
      </c>
      <c r="K4323" s="27">
        <f t="shared" si="3"/>
        <v>1</v>
      </c>
      <c r="L4323" s="25">
        <f t="shared" si="4"/>
        <v>1</v>
      </c>
    </row>
    <row r="4324">
      <c r="A4324" s="19">
        <v>110576.0</v>
      </c>
      <c r="B4324" s="20" t="str">
        <f t="array" ref="B4324">xlookup($A4324,product!$A:$A,product!B:B)</f>
        <v>Epicerie salée</v>
      </c>
      <c r="C4324" s="20" t="str">
        <f t="array" ref="C4324">xlookup($A4324,product!$A:$A,product!C:C)</f>
        <v>Graines et oléagineux</v>
      </c>
      <c r="D4324" s="20" t="str">
        <f t="array" ref="D4324">xlookup($A4324,product!$A:$A,product!D:D)</f>
        <v>Graines oléagineuses</v>
      </c>
      <c r="E4324" s="4" t="str">
        <f t="shared" si="1"/>
        <v>110576-Graines et oléagineux-Graines oléagineuses</v>
      </c>
      <c r="F4324" s="4">
        <v>0.0</v>
      </c>
      <c r="G4324" s="4">
        <v>555.0</v>
      </c>
      <c r="H4324" s="4">
        <v>400.0</v>
      </c>
      <c r="I4324" s="21">
        <f t="array" ref="I4324">XLOOKUP($A4324,product!A:A,product!E:E)</f>
        <v>1.68</v>
      </c>
      <c r="J4324" s="4">
        <f t="shared" si="2"/>
        <v>672</v>
      </c>
      <c r="K4324" s="22">
        <f t="shared" si="3"/>
        <v>1</v>
      </c>
      <c r="L4324" s="4">
        <f t="shared" si="4"/>
        <v>1</v>
      </c>
    </row>
    <row r="4325">
      <c r="A4325" s="23">
        <v>78503.0</v>
      </c>
      <c r="B4325" s="24" t="str">
        <f t="array" ref="B4325">xlookup($A4325,product!$A:$A,product!B:B)</f>
        <v>Epicerie salée</v>
      </c>
      <c r="C4325" s="24" t="str">
        <f t="array" ref="C4325">xlookup($A4325,product!$A:$A,product!C:C)</f>
        <v>Graines et oléagineux</v>
      </c>
      <c r="D4325" s="24" t="str">
        <f t="array" ref="D4325">xlookup($A4325,product!$A:$A,product!D:D)</f>
        <v>Graines oléagineuses</v>
      </c>
      <c r="E4325" s="25" t="str">
        <f t="shared" si="1"/>
        <v>78503-Graines et oléagineux-Graines oléagineuses</v>
      </c>
      <c r="F4325" s="25">
        <v>1.0</v>
      </c>
      <c r="G4325" s="25">
        <v>652.0</v>
      </c>
      <c r="H4325" s="25">
        <v>42.0</v>
      </c>
      <c r="I4325" s="26">
        <f t="array" ref="I4325">XLOOKUP($A4325,product!A:A,product!E:E)</f>
        <v>5.72</v>
      </c>
      <c r="J4325" s="25">
        <f t="shared" si="2"/>
        <v>240.24</v>
      </c>
      <c r="K4325" s="27">
        <f t="shared" si="3"/>
        <v>1</v>
      </c>
      <c r="L4325" s="25">
        <f t="shared" si="4"/>
        <v>1</v>
      </c>
    </row>
    <row r="4326">
      <c r="A4326" s="19">
        <v>77439.0</v>
      </c>
      <c r="B4326" s="20" t="str">
        <f t="array" ref="B4326">xlookup($A4326,product!$A:$A,product!B:B)</f>
        <v>Epicerie salée</v>
      </c>
      <c r="C4326" s="20" t="str">
        <f t="array" ref="C4326">xlookup($A4326,product!$A:$A,product!C:C)</f>
        <v>Graines et oléagineux</v>
      </c>
      <c r="D4326" s="20" t="str">
        <f t="array" ref="D4326">xlookup($A4326,product!$A:$A,product!D:D)</f>
        <v>Graines oléagineuses</v>
      </c>
      <c r="E4326" s="4" t="str">
        <f t="shared" si="1"/>
        <v>77439-Graines et oléagineux-Graines oléagineuses</v>
      </c>
      <c r="F4326" s="4">
        <v>1.0</v>
      </c>
      <c r="G4326" s="4">
        <v>458.0</v>
      </c>
      <c r="H4326" s="4">
        <v>251.0</v>
      </c>
      <c r="I4326" s="21">
        <f t="array" ref="I4326">XLOOKUP($A4326,product!A:A,product!E:E)</f>
        <v>1.41</v>
      </c>
      <c r="J4326" s="4">
        <f t="shared" si="2"/>
        <v>353.91</v>
      </c>
      <c r="K4326" s="22">
        <f t="shared" si="3"/>
        <v>1</v>
      </c>
      <c r="L4326" s="4">
        <f t="shared" si="4"/>
        <v>1</v>
      </c>
    </row>
    <row r="4327">
      <c r="A4327" s="23">
        <v>5615.0</v>
      </c>
      <c r="B4327" s="24" t="str">
        <f t="array" ref="B4327">xlookup($A4327,product!$A:$A,product!B:B)</f>
        <v>Epicerie salée</v>
      </c>
      <c r="C4327" s="24" t="str">
        <f t="array" ref="C4327">xlookup($A4327,product!$A:$A,product!C:C)</f>
        <v>Graines et oléagineux</v>
      </c>
      <c r="D4327" s="24" t="str">
        <f t="array" ref="D4327">xlookup($A4327,product!$A:$A,product!D:D)</f>
        <v>Graines oléagineuses</v>
      </c>
      <c r="E4327" s="25" t="str">
        <f t="shared" si="1"/>
        <v>5615-Graines et oléagineux-Graines oléagineuses</v>
      </c>
      <c r="F4327" s="25">
        <v>1.0</v>
      </c>
      <c r="G4327" s="25">
        <v>645.0</v>
      </c>
      <c r="H4327" s="25">
        <v>342.0</v>
      </c>
      <c r="I4327" s="26">
        <f t="array" ref="I4327">XLOOKUP($A4327,product!A:A,product!E:E)</f>
        <v>0.97</v>
      </c>
      <c r="J4327" s="25">
        <f t="shared" si="2"/>
        <v>331.74</v>
      </c>
      <c r="K4327" s="27">
        <f t="shared" si="3"/>
        <v>1</v>
      </c>
      <c r="L4327" s="25">
        <f t="shared" si="4"/>
        <v>1</v>
      </c>
    </row>
    <row r="4328">
      <c r="A4328" s="19">
        <v>5602.0</v>
      </c>
      <c r="B4328" s="20" t="str">
        <f t="array" ref="B4328">xlookup($A4328,product!$A:$A,product!B:B)</f>
        <v>Epicerie salée</v>
      </c>
      <c r="C4328" s="20" t="str">
        <f t="array" ref="C4328">xlookup($A4328,product!$A:$A,product!C:C)</f>
        <v>Graines et oléagineux</v>
      </c>
      <c r="D4328" s="20" t="str">
        <f t="array" ref="D4328">xlookup($A4328,product!$A:$A,product!D:D)</f>
        <v>Graines oléagineuses</v>
      </c>
      <c r="E4328" s="4" t="str">
        <f t="shared" si="1"/>
        <v>5602-Graines et oléagineux-Graines oléagineuses</v>
      </c>
      <c r="F4328" s="4">
        <v>0.0</v>
      </c>
      <c r="G4328" s="4">
        <v>25.0</v>
      </c>
      <c r="H4328" s="4">
        <v>16.0</v>
      </c>
      <c r="I4328" s="21">
        <f t="array" ref="I4328">XLOOKUP($A4328,product!A:A,product!E:E)</f>
        <v>1.36</v>
      </c>
      <c r="J4328" s="4">
        <f t="shared" si="2"/>
        <v>21.76</v>
      </c>
      <c r="K4328" s="22">
        <f t="shared" si="3"/>
        <v>1</v>
      </c>
      <c r="L4328" s="4">
        <f t="shared" si="4"/>
        <v>1</v>
      </c>
    </row>
    <row r="4329">
      <c r="A4329" s="23">
        <v>28612.0</v>
      </c>
      <c r="B4329" s="24" t="str">
        <f t="array" ref="B4329">xlookup($A4329,product!$A:$A,product!B:B)</f>
        <v>Epicerie salée</v>
      </c>
      <c r="C4329" s="24" t="str">
        <f t="array" ref="C4329">xlookup($A4329,product!$A:$A,product!C:C)</f>
        <v>Graines et oléagineux</v>
      </c>
      <c r="D4329" s="24" t="str">
        <f t="array" ref="D4329">xlookup($A4329,product!$A:$A,product!D:D)</f>
        <v>Graines oléagineuses</v>
      </c>
      <c r="E4329" s="25" t="str">
        <f t="shared" si="1"/>
        <v>28612-Graines et oléagineux-Graines oléagineuses</v>
      </c>
      <c r="F4329" s="25">
        <v>1.0</v>
      </c>
      <c r="G4329" s="25">
        <v>305.0</v>
      </c>
      <c r="H4329" s="25">
        <v>76.0</v>
      </c>
      <c r="I4329" s="26">
        <f t="array" ref="I4329">XLOOKUP($A4329,product!A:A,product!E:E)</f>
        <v>1.09</v>
      </c>
      <c r="J4329" s="25">
        <f t="shared" si="2"/>
        <v>82.84</v>
      </c>
      <c r="K4329" s="27">
        <f t="shared" si="3"/>
        <v>1</v>
      </c>
      <c r="L4329" s="25">
        <f t="shared" si="4"/>
        <v>1</v>
      </c>
    </row>
    <row r="4330">
      <c r="A4330" s="19">
        <v>72247.0</v>
      </c>
      <c r="B4330" s="20" t="str">
        <f t="array" ref="B4330">xlookup($A4330,product!$A:$A,product!B:B)</f>
        <v>Epicerie salée</v>
      </c>
      <c r="C4330" s="20" t="str">
        <f t="array" ref="C4330">xlookup($A4330,product!$A:$A,product!C:C)</f>
        <v>Graines et oléagineux</v>
      </c>
      <c r="D4330" s="20" t="str">
        <f t="array" ref="D4330">xlookup($A4330,product!$A:$A,product!D:D)</f>
        <v>Graines oléagineuses</v>
      </c>
      <c r="E4330" s="4" t="str">
        <f t="shared" si="1"/>
        <v>72247-Graines et oléagineux-Graines oléagineuses</v>
      </c>
      <c r="F4330" s="4">
        <v>0.0</v>
      </c>
      <c r="G4330" s="4">
        <v>44.0</v>
      </c>
      <c r="H4330" s="4">
        <v>12.0</v>
      </c>
      <c r="I4330" s="21">
        <f t="array" ref="I4330">XLOOKUP($A4330,product!A:A,product!E:E)</f>
        <v>7.14</v>
      </c>
      <c r="J4330" s="4">
        <f t="shared" si="2"/>
        <v>85.68</v>
      </c>
      <c r="K4330" s="22">
        <f t="shared" si="3"/>
        <v>1</v>
      </c>
      <c r="L4330" s="4">
        <f t="shared" si="4"/>
        <v>1</v>
      </c>
    </row>
    <row r="4331">
      <c r="A4331" s="23">
        <v>76469.0</v>
      </c>
      <c r="B4331" s="24" t="str">
        <f t="array" ref="B4331">xlookup($A4331,product!$A:$A,product!B:B)</f>
        <v>Epicerie salée</v>
      </c>
      <c r="C4331" s="24" t="str">
        <f t="array" ref="C4331">xlookup($A4331,product!$A:$A,product!C:C)</f>
        <v>Graines et oléagineux</v>
      </c>
      <c r="D4331" s="24" t="str">
        <f t="array" ref="D4331">xlookup($A4331,product!$A:$A,product!D:D)</f>
        <v>Graines oléagineuses</v>
      </c>
      <c r="E4331" s="25" t="str">
        <f t="shared" si="1"/>
        <v>76469-Graines et oléagineux-Graines oléagineuses</v>
      </c>
      <c r="F4331" s="25">
        <v>1.0</v>
      </c>
      <c r="G4331" s="25">
        <v>784.0</v>
      </c>
      <c r="H4331" s="25">
        <v>372.0</v>
      </c>
      <c r="I4331" s="26">
        <f t="array" ref="I4331">XLOOKUP($A4331,product!A:A,product!E:E)</f>
        <v>1.5</v>
      </c>
      <c r="J4331" s="25">
        <f t="shared" si="2"/>
        <v>558</v>
      </c>
      <c r="K4331" s="27">
        <f t="shared" si="3"/>
        <v>1</v>
      </c>
      <c r="L4331" s="25">
        <f t="shared" si="4"/>
        <v>1</v>
      </c>
    </row>
    <row r="4332">
      <c r="A4332" s="19">
        <v>78876.0</v>
      </c>
      <c r="B4332" s="20" t="str">
        <f t="array" ref="B4332">xlookup($A4332,product!$A:$A,product!B:B)</f>
        <v>Epicerie salée</v>
      </c>
      <c r="C4332" s="20" t="str">
        <f t="array" ref="C4332">xlookup($A4332,product!$A:$A,product!C:C)</f>
        <v>Graines et oléagineux</v>
      </c>
      <c r="D4332" s="20" t="str">
        <f t="array" ref="D4332">xlookup($A4332,product!$A:$A,product!D:D)</f>
        <v>Graines oléagineuses</v>
      </c>
      <c r="E4332" s="4" t="str">
        <f t="shared" si="1"/>
        <v>78876-Graines et oléagineux-Graines oléagineuses</v>
      </c>
      <c r="F4332" s="4">
        <v>0.0</v>
      </c>
      <c r="G4332" s="4">
        <v>517.0</v>
      </c>
      <c r="H4332" s="4">
        <v>372.0</v>
      </c>
      <c r="I4332" s="21">
        <f t="array" ref="I4332">XLOOKUP($A4332,product!A:A,product!E:E)</f>
        <v>5.48</v>
      </c>
      <c r="J4332" s="4">
        <f t="shared" si="2"/>
        <v>2038.56</v>
      </c>
      <c r="K4332" s="22">
        <f t="shared" si="3"/>
        <v>1</v>
      </c>
      <c r="L4332" s="4">
        <f t="shared" si="4"/>
        <v>1</v>
      </c>
    </row>
    <row r="4333">
      <c r="A4333" s="23">
        <v>91064.0</v>
      </c>
      <c r="B4333" s="24" t="str">
        <f t="array" ref="B4333">xlookup($A4333,product!$A:$A,product!B:B)</f>
        <v>Epicerie salée</v>
      </c>
      <c r="C4333" s="24" t="str">
        <f t="array" ref="C4333">xlookup($A4333,product!$A:$A,product!C:C)</f>
        <v>Graines et oléagineux</v>
      </c>
      <c r="D4333" s="24" t="str">
        <f t="array" ref="D4333">xlookup($A4333,product!$A:$A,product!D:D)</f>
        <v>Graines oléagineuses</v>
      </c>
      <c r="E4333" s="25" t="str">
        <f t="shared" si="1"/>
        <v>91064-Graines et oléagineux-Graines oléagineuses</v>
      </c>
      <c r="F4333" s="25">
        <v>0.0</v>
      </c>
      <c r="G4333" s="25">
        <v>741.0</v>
      </c>
      <c r="H4333" s="25">
        <v>727.0</v>
      </c>
      <c r="I4333" s="26">
        <f t="array" ref="I4333">XLOOKUP($A4333,product!A:A,product!E:E)</f>
        <v>1.88</v>
      </c>
      <c r="J4333" s="25">
        <f t="shared" si="2"/>
        <v>1366.76</v>
      </c>
      <c r="K4333" s="27">
        <f t="shared" si="3"/>
        <v>1</v>
      </c>
      <c r="L4333" s="25">
        <f t="shared" si="4"/>
        <v>1</v>
      </c>
    </row>
    <row r="4334">
      <c r="A4334" s="19">
        <v>5603.0</v>
      </c>
      <c r="B4334" s="20" t="str">
        <f t="array" ref="B4334">xlookup($A4334,product!$A:$A,product!B:B)</f>
        <v>Epicerie salée</v>
      </c>
      <c r="C4334" s="20" t="str">
        <f t="array" ref="C4334">xlookup($A4334,product!$A:$A,product!C:C)</f>
        <v>Graines et oléagineux</v>
      </c>
      <c r="D4334" s="20" t="str">
        <f t="array" ref="D4334">xlookup($A4334,product!$A:$A,product!D:D)</f>
        <v>Graines oléagineuses</v>
      </c>
      <c r="E4334" s="4" t="str">
        <f t="shared" si="1"/>
        <v>5603-Graines et oléagineux-Graines oléagineuses</v>
      </c>
      <c r="F4334" s="4">
        <v>1.0</v>
      </c>
      <c r="G4334" s="4">
        <v>51.0</v>
      </c>
      <c r="H4334" s="4">
        <v>50.0</v>
      </c>
      <c r="I4334" s="21">
        <f t="array" ref="I4334">XLOOKUP($A4334,product!A:A,product!E:E)</f>
        <v>2.28</v>
      </c>
      <c r="J4334" s="4">
        <f t="shared" si="2"/>
        <v>114</v>
      </c>
      <c r="K4334" s="22">
        <f t="shared" si="3"/>
        <v>1</v>
      </c>
      <c r="L4334" s="4">
        <f t="shared" si="4"/>
        <v>1</v>
      </c>
    </row>
    <row r="4335">
      <c r="A4335" s="23">
        <v>5612.0</v>
      </c>
      <c r="B4335" s="24" t="str">
        <f t="array" ref="B4335">xlookup($A4335,product!$A:$A,product!B:B)</f>
        <v>Epicerie salée</v>
      </c>
      <c r="C4335" s="24" t="str">
        <f t="array" ref="C4335">xlookup($A4335,product!$A:$A,product!C:C)</f>
        <v>Graines et oléagineux</v>
      </c>
      <c r="D4335" s="24" t="str">
        <f t="array" ref="D4335">xlookup($A4335,product!$A:$A,product!D:D)</f>
        <v>Graines oléagineuses</v>
      </c>
      <c r="E4335" s="25" t="str">
        <f t="shared" si="1"/>
        <v>5612-Graines et oléagineux-Graines oléagineuses</v>
      </c>
      <c r="F4335" s="25">
        <v>0.0</v>
      </c>
      <c r="G4335" s="25">
        <v>842.0</v>
      </c>
      <c r="H4335" s="25">
        <v>201.0</v>
      </c>
      <c r="I4335" s="26">
        <f t="array" ref="I4335">XLOOKUP($A4335,product!A:A,product!E:E)</f>
        <v>1.56</v>
      </c>
      <c r="J4335" s="25">
        <f t="shared" si="2"/>
        <v>313.56</v>
      </c>
      <c r="K4335" s="27">
        <f t="shared" si="3"/>
        <v>1</v>
      </c>
      <c r="L4335" s="25">
        <f t="shared" si="4"/>
        <v>1</v>
      </c>
    </row>
    <row r="4336">
      <c r="A4336" s="19">
        <v>43897.0</v>
      </c>
      <c r="B4336" s="20" t="str">
        <f t="array" ref="B4336">xlookup($A4336,product!$A:$A,product!B:B)</f>
        <v>Epicerie salée</v>
      </c>
      <c r="C4336" s="20" t="str">
        <f t="array" ref="C4336">xlookup($A4336,product!$A:$A,product!C:C)</f>
        <v>Graines et oléagineux</v>
      </c>
      <c r="D4336" s="20" t="str">
        <f t="array" ref="D4336">xlookup($A4336,product!$A:$A,product!D:D)</f>
        <v>Graines oléagineuses</v>
      </c>
      <c r="E4336" s="4" t="str">
        <f t="shared" si="1"/>
        <v>43897-Graines et oléagineux-Graines oléagineuses</v>
      </c>
      <c r="F4336" s="4">
        <v>1.0</v>
      </c>
      <c r="G4336" s="4">
        <v>772.0</v>
      </c>
      <c r="H4336" s="4">
        <v>223.0</v>
      </c>
      <c r="I4336" s="21">
        <f t="array" ref="I4336">XLOOKUP($A4336,product!A:A,product!E:E)</f>
        <v>2.71</v>
      </c>
      <c r="J4336" s="4">
        <f t="shared" si="2"/>
        <v>604.33</v>
      </c>
      <c r="K4336" s="22">
        <f t="shared" si="3"/>
        <v>1</v>
      </c>
      <c r="L4336" s="4">
        <f t="shared" si="4"/>
        <v>1</v>
      </c>
    </row>
    <row r="4337">
      <c r="A4337" s="23">
        <v>91058.0</v>
      </c>
      <c r="B4337" s="24" t="str">
        <f t="array" ref="B4337">xlookup($A4337,product!$A:$A,product!B:B)</f>
        <v>Epicerie salée</v>
      </c>
      <c r="C4337" s="24" t="str">
        <f t="array" ref="C4337">xlookup($A4337,product!$A:$A,product!C:C)</f>
        <v>Graines et oléagineux</v>
      </c>
      <c r="D4337" s="24" t="str">
        <f t="array" ref="D4337">xlookup($A4337,product!$A:$A,product!D:D)</f>
        <v>Graines oléagineuses</v>
      </c>
      <c r="E4337" s="25" t="str">
        <f t="shared" si="1"/>
        <v>91058-Graines et oléagineux-Graines oléagineuses</v>
      </c>
      <c r="F4337" s="25">
        <v>1.0</v>
      </c>
      <c r="G4337" s="25">
        <v>979.0</v>
      </c>
      <c r="H4337" s="25">
        <v>560.0</v>
      </c>
      <c r="I4337" s="26">
        <f t="array" ref="I4337">XLOOKUP($A4337,product!A:A,product!E:E)</f>
        <v>1.75</v>
      </c>
      <c r="J4337" s="25">
        <f t="shared" si="2"/>
        <v>980</v>
      </c>
      <c r="K4337" s="27">
        <f t="shared" si="3"/>
        <v>1</v>
      </c>
      <c r="L4337" s="25">
        <f t="shared" si="4"/>
        <v>1</v>
      </c>
    </row>
    <row r="4338">
      <c r="A4338" s="19">
        <v>107998.0</v>
      </c>
      <c r="B4338" s="20" t="str">
        <f t="array" ref="B4338">xlookup($A4338,product!$A:$A,product!B:B)</f>
        <v>Epicerie salée</v>
      </c>
      <c r="C4338" s="20" t="str">
        <f t="array" ref="C4338">xlookup($A4338,product!$A:$A,product!C:C)</f>
        <v>Graines et oléagineux</v>
      </c>
      <c r="D4338" s="20" t="str">
        <f t="array" ref="D4338">xlookup($A4338,product!$A:$A,product!D:D)</f>
        <v>Graines oléagineuses</v>
      </c>
      <c r="E4338" s="4" t="str">
        <f t="shared" si="1"/>
        <v>107998-Graines et oléagineux-Graines oléagineuses</v>
      </c>
      <c r="F4338" s="4">
        <v>0.0</v>
      </c>
      <c r="G4338" s="4">
        <v>52.0</v>
      </c>
      <c r="H4338" s="4">
        <v>42.0</v>
      </c>
      <c r="I4338" s="21">
        <f t="array" ref="I4338">XLOOKUP($A4338,product!A:A,product!E:E)</f>
        <v>1.72</v>
      </c>
      <c r="J4338" s="4">
        <f t="shared" si="2"/>
        <v>72.24</v>
      </c>
      <c r="K4338" s="22">
        <f t="shared" si="3"/>
        <v>1</v>
      </c>
      <c r="L4338" s="4">
        <f t="shared" si="4"/>
        <v>1</v>
      </c>
    </row>
    <row r="4339">
      <c r="A4339" s="23">
        <v>112194.0</v>
      </c>
      <c r="B4339" s="24" t="str">
        <f t="array" ref="B4339">xlookup($A4339,product!$A:$A,product!B:B)</f>
        <v>Epicerie salée</v>
      </c>
      <c r="C4339" s="24" t="str">
        <f t="array" ref="C4339">xlookup($A4339,product!$A:$A,product!C:C)</f>
        <v>Graines et oléagineux</v>
      </c>
      <c r="D4339" s="24" t="str">
        <f t="array" ref="D4339">xlookup($A4339,product!$A:$A,product!D:D)</f>
        <v>Graines oléagineuses</v>
      </c>
      <c r="E4339" s="25" t="str">
        <f t="shared" si="1"/>
        <v>112194-Graines et oléagineux-Graines oléagineuses</v>
      </c>
      <c r="F4339" s="25">
        <v>0.0</v>
      </c>
      <c r="G4339" s="25">
        <v>737.0</v>
      </c>
      <c r="H4339" s="25">
        <v>624.0</v>
      </c>
      <c r="I4339" s="26">
        <f t="array" ref="I4339">XLOOKUP($A4339,product!A:A,product!E:E)</f>
        <v>1.26</v>
      </c>
      <c r="J4339" s="25">
        <f t="shared" si="2"/>
        <v>786.24</v>
      </c>
      <c r="K4339" s="27">
        <f t="shared" si="3"/>
        <v>1</v>
      </c>
      <c r="L4339" s="25">
        <f t="shared" si="4"/>
        <v>1</v>
      </c>
    </row>
    <row r="4340">
      <c r="A4340" s="19">
        <v>68232.0</v>
      </c>
      <c r="B4340" s="20" t="str">
        <f t="array" ref="B4340">xlookup($A4340,product!$A:$A,product!B:B)</f>
        <v>Epicerie salée</v>
      </c>
      <c r="C4340" s="20" t="str">
        <f t="array" ref="C4340">xlookup($A4340,product!$A:$A,product!C:C)</f>
        <v>Graines et oléagineux</v>
      </c>
      <c r="D4340" s="20" t="str">
        <f t="array" ref="D4340">xlookup($A4340,product!$A:$A,product!D:D)</f>
        <v>Graines oléagineuses</v>
      </c>
      <c r="E4340" s="4" t="str">
        <f t="shared" si="1"/>
        <v>68232-Graines et oléagineux-Graines oléagineuses</v>
      </c>
      <c r="F4340" s="4">
        <v>1.0</v>
      </c>
      <c r="G4340" s="4">
        <v>632.0</v>
      </c>
      <c r="H4340" s="4">
        <v>382.0</v>
      </c>
      <c r="I4340" s="21">
        <f t="array" ref="I4340">XLOOKUP($A4340,product!A:A,product!E:E)</f>
        <v>4.69</v>
      </c>
      <c r="J4340" s="4">
        <f t="shared" si="2"/>
        <v>1791.58</v>
      </c>
      <c r="K4340" s="22">
        <f t="shared" si="3"/>
        <v>1</v>
      </c>
      <c r="L4340" s="4">
        <f t="shared" si="4"/>
        <v>1</v>
      </c>
    </row>
    <row r="4341">
      <c r="A4341" s="23">
        <v>159386.0</v>
      </c>
      <c r="B4341" s="24" t="str">
        <f t="array" ref="B4341">xlookup($A4341,product!$A:$A,product!B:B)</f>
        <v>Epicerie salée</v>
      </c>
      <c r="C4341" s="24" t="str">
        <f t="array" ref="C4341">xlookup($A4341,product!$A:$A,product!C:C)</f>
        <v>Graines et oléagineux</v>
      </c>
      <c r="D4341" s="24" t="str">
        <f t="array" ref="D4341">xlookup($A4341,product!$A:$A,product!D:D)</f>
        <v>Graines oléagineuses</v>
      </c>
      <c r="E4341" s="25" t="str">
        <f t="shared" si="1"/>
        <v>159386-Graines et oléagineux-Graines oléagineuses</v>
      </c>
      <c r="F4341" s="25">
        <v>0.0</v>
      </c>
      <c r="G4341" s="25">
        <v>461.0</v>
      </c>
      <c r="H4341" s="25">
        <v>293.0</v>
      </c>
      <c r="I4341" s="26">
        <f t="array" ref="I4341">XLOOKUP($A4341,product!A:A,product!E:E)</f>
        <v>1.3</v>
      </c>
      <c r="J4341" s="25">
        <f t="shared" si="2"/>
        <v>380.9</v>
      </c>
      <c r="K4341" s="27">
        <f t="shared" si="3"/>
        <v>1</v>
      </c>
      <c r="L4341" s="25">
        <f t="shared" si="4"/>
        <v>1</v>
      </c>
    </row>
    <row r="4342">
      <c r="A4342" s="19">
        <v>76471.0</v>
      </c>
      <c r="B4342" s="20" t="str">
        <f t="array" ref="B4342">xlookup($A4342,product!$A:$A,product!B:B)</f>
        <v>Epicerie salée</v>
      </c>
      <c r="C4342" s="20" t="str">
        <f t="array" ref="C4342">xlookup($A4342,product!$A:$A,product!C:C)</f>
        <v>Graines et oléagineux</v>
      </c>
      <c r="D4342" s="20" t="str">
        <f t="array" ref="D4342">xlookup($A4342,product!$A:$A,product!D:D)</f>
        <v>Graines oléagineuses</v>
      </c>
      <c r="E4342" s="4" t="str">
        <f t="shared" si="1"/>
        <v>76471-Graines et oléagineux-Graines oléagineuses</v>
      </c>
      <c r="F4342" s="4">
        <v>1.0</v>
      </c>
      <c r="G4342" s="4">
        <v>404.0</v>
      </c>
      <c r="H4342" s="4">
        <v>326.0</v>
      </c>
      <c r="I4342" s="21">
        <f t="array" ref="I4342">XLOOKUP($A4342,product!A:A,product!E:E)</f>
        <v>1.53</v>
      </c>
      <c r="J4342" s="4">
        <f t="shared" si="2"/>
        <v>498.78</v>
      </c>
      <c r="K4342" s="22">
        <f t="shared" si="3"/>
        <v>1</v>
      </c>
      <c r="L4342" s="4">
        <f t="shared" si="4"/>
        <v>1</v>
      </c>
    </row>
    <row r="4343">
      <c r="A4343" s="23">
        <v>68357.0</v>
      </c>
      <c r="B4343" s="24" t="str">
        <f t="array" ref="B4343">xlookup($A4343,product!$A:$A,product!B:B)</f>
        <v>Epicerie salée</v>
      </c>
      <c r="C4343" s="24" t="str">
        <f t="array" ref="C4343">xlookup($A4343,product!$A:$A,product!C:C)</f>
        <v>Graines et oléagineux</v>
      </c>
      <c r="D4343" s="24" t="str">
        <f t="array" ref="D4343">xlookup($A4343,product!$A:$A,product!D:D)</f>
        <v>Graines oléagineuses</v>
      </c>
      <c r="E4343" s="25" t="str">
        <f t="shared" si="1"/>
        <v>68357-Graines et oléagineux-Graines oléagineuses</v>
      </c>
      <c r="F4343" s="25">
        <v>1.0</v>
      </c>
      <c r="G4343" s="25">
        <v>292.0</v>
      </c>
      <c r="H4343" s="25">
        <v>159.0</v>
      </c>
      <c r="I4343" s="26">
        <f t="array" ref="I4343">XLOOKUP($A4343,product!A:A,product!E:E)</f>
        <v>5.62</v>
      </c>
      <c r="J4343" s="25">
        <f t="shared" si="2"/>
        <v>893.58</v>
      </c>
      <c r="K4343" s="27">
        <f t="shared" si="3"/>
        <v>1</v>
      </c>
      <c r="L4343" s="25">
        <f t="shared" si="4"/>
        <v>1</v>
      </c>
    </row>
    <row r="4344">
      <c r="A4344" s="19">
        <v>68303.0</v>
      </c>
      <c r="B4344" s="20" t="str">
        <f t="array" ref="B4344">xlookup($A4344,product!$A:$A,product!B:B)</f>
        <v>Epicerie salée</v>
      </c>
      <c r="C4344" s="20" t="str">
        <f t="array" ref="C4344">xlookup($A4344,product!$A:$A,product!C:C)</f>
        <v>Graines et oléagineux</v>
      </c>
      <c r="D4344" s="20" t="str">
        <f t="array" ref="D4344">xlookup($A4344,product!$A:$A,product!D:D)</f>
        <v>Graines oléagineuses</v>
      </c>
      <c r="E4344" s="4" t="str">
        <f t="shared" si="1"/>
        <v>68303-Graines et oléagineux-Graines oléagineuses</v>
      </c>
      <c r="F4344" s="4">
        <v>0.0</v>
      </c>
      <c r="G4344" s="4">
        <v>274.0</v>
      </c>
      <c r="H4344" s="4">
        <v>58.0</v>
      </c>
      <c r="I4344" s="21">
        <f t="array" ref="I4344">XLOOKUP($A4344,product!A:A,product!E:E)</f>
        <v>2.98</v>
      </c>
      <c r="J4344" s="4">
        <f t="shared" si="2"/>
        <v>172.84</v>
      </c>
      <c r="K4344" s="22">
        <f t="shared" si="3"/>
        <v>1</v>
      </c>
      <c r="L4344" s="4">
        <f t="shared" si="4"/>
        <v>1</v>
      </c>
    </row>
    <row r="4345">
      <c r="A4345" s="23">
        <v>68325.0</v>
      </c>
      <c r="B4345" s="24" t="str">
        <f t="array" ref="B4345">xlookup($A4345,product!$A:$A,product!B:B)</f>
        <v>Epicerie salée</v>
      </c>
      <c r="C4345" s="24" t="str">
        <f t="array" ref="C4345">xlookup($A4345,product!$A:$A,product!C:C)</f>
        <v>Graines et oléagineux</v>
      </c>
      <c r="D4345" s="24" t="str">
        <f t="array" ref="D4345">xlookup($A4345,product!$A:$A,product!D:D)</f>
        <v>Graines oléagineuses</v>
      </c>
      <c r="E4345" s="25" t="str">
        <f t="shared" si="1"/>
        <v>68325-Graines et oléagineux-Graines oléagineuses</v>
      </c>
      <c r="F4345" s="25">
        <v>0.0</v>
      </c>
      <c r="G4345" s="25">
        <v>239.0</v>
      </c>
      <c r="H4345" s="25">
        <v>53.0</v>
      </c>
      <c r="I4345" s="26">
        <f t="array" ref="I4345">XLOOKUP($A4345,product!A:A,product!E:E)</f>
        <v>0.85</v>
      </c>
      <c r="J4345" s="25">
        <f t="shared" si="2"/>
        <v>45.05</v>
      </c>
      <c r="K4345" s="27">
        <f t="shared" si="3"/>
        <v>1</v>
      </c>
      <c r="L4345" s="25">
        <f t="shared" si="4"/>
        <v>1</v>
      </c>
    </row>
    <row r="4346">
      <c r="A4346" s="19">
        <v>68515.0</v>
      </c>
      <c r="B4346" s="20" t="str">
        <f t="array" ref="B4346">xlookup($A4346,product!$A:$A,product!B:B)</f>
        <v>Epicerie salée</v>
      </c>
      <c r="C4346" s="20" t="str">
        <f t="array" ref="C4346">xlookup($A4346,product!$A:$A,product!C:C)</f>
        <v>Graines et oléagineux</v>
      </c>
      <c r="D4346" s="20" t="str">
        <f t="array" ref="D4346">xlookup($A4346,product!$A:$A,product!D:D)</f>
        <v>Graines oléagineuses</v>
      </c>
      <c r="E4346" s="4" t="str">
        <f t="shared" si="1"/>
        <v>68515-Graines et oléagineux-Graines oléagineuses</v>
      </c>
      <c r="F4346" s="4">
        <v>0.0</v>
      </c>
      <c r="G4346" s="4">
        <v>587.0</v>
      </c>
      <c r="H4346" s="4">
        <v>511.0</v>
      </c>
      <c r="I4346" s="21">
        <f t="array" ref="I4346">XLOOKUP($A4346,product!A:A,product!E:E)</f>
        <v>1.74</v>
      </c>
      <c r="J4346" s="4">
        <f t="shared" si="2"/>
        <v>889.14</v>
      </c>
      <c r="K4346" s="22">
        <f t="shared" si="3"/>
        <v>1</v>
      </c>
      <c r="L4346" s="4">
        <f t="shared" si="4"/>
        <v>1</v>
      </c>
    </row>
    <row r="4347">
      <c r="A4347" s="23">
        <v>107989.0</v>
      </c>
      <c r="B4347" s="24" t="str">
        <f t="array" ref="B4347">xlookup($A4347,product!$A:$A,product!B:B)</f>
        <v>Epicerie salée</v>
      </c>
      <c r="C4347" s="24" t="str">
        <f t="array" ref="C4347">xlookup($A4347,product!$A:$A,product!C:C)</f>
        <v>Graines et oléagineux</v>
      </c>
      <c r="D4347" s="24" t="str">
        <f t="array" ref="D4347">xlookup($A4347,product!$A:$A,product!D:D)</f>
        <v>Graines oléagineuses</v>
      </c>
      <c r="E4347" s="25" t="str">
        <f t="shared" si="1"/>
        <v>107989-Graines et oléagineux-Graines oléagineuses</v>
      </c>
      <c r="F4347" s="25">
        <v>1.0</v>
      </c>
      <c r="G4347" s="25">
        <v>975.0</v>
      </c>
      <c r="H4347" s="25">
        <v>105.0</v>
      </c>
      <c r="I4347" s="26">
        <f t="array" ref="I4347">XLOOKUP($A4347,product!A:A,product!E:E)</f>
        <v>1.67</v>
      </c>
      <c r="J4347" s="25">
        <f t="shared" si="2"/>
        <v>175.35</v>
      </c>
      <c r="K4347" s="27">
        <f t="shared" si="3"/>
        <v>1</v>
      </c>
      <c r="L4347" s="25">
        <f t="shared" si="4"/>
        <v>1</v>
      </c>
    </row>
    <row r="4348">
      <c r="A4348" s="19">
        <v>76732.0</v>
      </c>
      <c r="B4348" s="20" t="str">
        <f t="array" ref="B4348">xlookup($A4348,product!$A:$A,product!B:B)</f>
        <v>Epicerie salée</v>
      </c>
      <c r="C4348" s="20" t="str">
        <f t="array" ref="C4348">xlookup($A4348,product!$A:$A,product!C:C)</f>
        <v>Graines et oléagineux</v>
      </c>
      <c r="D4348" s="20" t="str">
        <f t="array" ref="D4348">xlookup($A4348,product!$A:$A,product!D:D)</f>
        <v>Graines oléagineuses</v>
      </c>
      <c r="E4348" s="4" t="str">
        <f t="shared" si="1"/>
        <v>76732-Graines et oléagineux-Graines oléagineuses</v>
      </c>
      <c r="F4348" s="4">
        <v>0.0</v>
      </c>
      <c r="G4348" s="4">
        <v>29.0</v>
      </c>
      <c r="H4348" s="4">
        <v>13.0</v>
      </c>
      <c r="I4348" s="21">
        <f t="array" ref="I4348">XLOOKUP($A4348,product!A:A,product!E:E)</f>
        <v>5.46</v>
      </c>
      <c r="J4348" s="4">
        <f t="shared" si="2"/>
        <v>70.98</v>
      </c>
      <c r="K4348" s="22">
        <f t="shared" si="3"/>
        <v>1</v>
      </c>
      <c r="L4348" s="4">
        <f t="shared" si="4"/>
        <v>1</v>
      </c>
    </row>
    <row r="4349">
      <c r="A4349" s="23">
        <v>14711.0</v>
      </c>
      <c r="B4349" s="24" t="str">
        <f t="array" ref="B4349">xlookup($A4349,product!$A:$A,product!B:B)</f>
        <v>Epicerie salée</v>
      </c>
      <c r="C4349" s="24" t="str">
        <f t="array" ref="C4349">xlookup($A4349,product!$A:$A,product!C:C)</f>
        <v>Graines et oléagineux</v>
      </c>
      <c r="D4349" s="24" t="str">
        <f t="array" ref="D4349">xlookup($A4349,product!$A:$A,product!D:D)</f>
        <v>Graines à germer et mélanges</v>
      </c>
      <c r="E4349" s="25" t="str">
        <f t="shared" si="1"/>
        <v>14711-Graines et oléagineux-Graines à germer et mélanges</v>
      </c>
      <c r="F4349" s="25">
        <v>0.0</v>
      </c>
      <c r="G4349" s="25">
        <v>184.0</v>
      </c>
      <c r="H4349" s="25">
        <v>72.0</v>
      </c>
      <c r="I4349" s="26">
        <f t="array" ref="I4349">XLOOKUP($A4349,product!A:A,product!E:E)</f>
        <v>1.45</v>
      </c>
      <c r="J4349" s="25">
        <f t="shared" si="2"/>
        <v>104.4</v>
      </c>
      <c r="K4349" s="27">
        <f t="shared" si="3"/>
        <v>1</v>
      </c>
      <c r="L4349" s="25">
        <f t="shared" si="4"/>
        <v>1</v>
      </c>
    </row>
    <row r="4350">
      <c r="A4350" s="19">
        <v>14706.0</v>
      </c>
      <c r="B4350" s="20" t="str">
        <f t="array" ref="B4350">xlookup($A4350,product!$A:$A,product!B:B)</f>
        <v>Epicerie salée</v>
      </c>
      <c r="C4350" s="20" t="str">
        <f t="array" ref="C4350">xlookup($A4350,product!$A:$A,product!C:C)</f>
        <v>Graines et oléagineux</v>
      </c>
      <c r="D4350" s="20" t="str">
        <f t="array" ref="D4350">xlookup($A4350,product!$A:$A,product!D:D)</f>
        <v>Graines à germer et mélanges</v>
      </c>
      <c r="E4350" s="4" t="str">
        <f t="shared" si="1"/>
        <v>14706-Graines et oléagineux-Graines à germer et mélanges</v>
      </c>
      <c r="F4350" s="4">
        <v>1.0</v>
      </c>
      <c r="G4350" s="4">
        <v>352.0</v>
      </c>
      <c r="H4350" s="4">
        <v>300.0</v>
      </c>
      <c r="I4350" s="21">
        <f t="array" ref="I4350">XLOOKUP($A4350,product!A:A,product!E:E)</f>
        <v>1.01</v>
      </c>
      <c r="J4350" s="4">
        <f t="shared" si="2"/>
        <v>303</v>
      </c>
      <c r="K4350" s="22">
        <f t="shared" si="3"/>
        <v>1</v>
      </c>
      <c r="L4350" s="4">
        <f t="shared" si="4"/>
        <v>1</v>
      </c>
    </row>
    <row r="4351">
      <c r="A4351" s="23">
        <v>23975.0</v>
      </c>
      <c r="B4351" s="24" t="str">
        <f t="array" ref="B4351">xlookup($A4351,product!$A:$A,product!B:B)</f>
        <v>Epicerie salée</v>
      </c>
      <c r="C4351" s="24" t="str">
        <f t="array" ref="C4351">xlookup($A4351,product!$A:$A,product!C:C)</f>
        <v>Graines et oléagineux</v>
      </c>
      <c r="D4351" s="24" t="str">
        <f t="array" ref="D4351">xlookup($A4351,product!$A:$A,product!D:D)</f>
        <v>Graines à germer et mélanges</v>
      </c>
      <c r="E4351" s="25" t="str">
        <f t="shared" si="1"/>
        <v>23975-Graines et oléagineux-Graines à germer et mélanges</v>
      </c>
      <c r="F4351" s="25">
        <v>0.0</v>
      </c>
      <c r="G4351" s="25">
        <v>323.0</v>
      </c>
      <c r="H4351" s="25">
        <v>130.0</v>
      </c>
      <c r="I4351" s="26">
        <f t="array" ref="I4351">XLOOKUP($A4351,product!A:A,product!E:E)</f>
        <v>2.66</v>
      </c>
      <c r="J4351" s="25">
        <f t="shared" si="2"/>
        <v>345.8</v>
      </c>
      <c r="K4351" s="27">
        <f t="shared" si="3"/>
        <v>1</v>
      </c>
      <c r="L4351" s="25">
        <f t="shared" si="4"/>
        <v>1</v>
      </c>
    </row>
    <row r="4352">
      <c r="A4352" s="19">
        <v>90665.0</v>
      </c>
      <c r="B4352" s="20" t="str">
        <f t="array" ref="B4352">xlookup($A4352,product!$A:$A,product!B:B)</f>
        <v>Epicerie salée</v>
      </c>
      <c r="C4352" s="20" t="str">
        <f t="array" ref="C4352">xlookup($A4352,product!$A:$A,product!C:C)</f>
        <v>Graines et oléagineux</v>
      </c>
      <c r="D4352" s="20" t="str">
        <f t="array" ref="D4352">xlookup($A4352,product!$A:$A,product!D:D)</f>
        <v>Graines à germer et mélanges</v>
      </c>
      <c r="E4352" s="4" t="str">
        <f t="shared" si="1"/>
        <v>90665-Graines et oléagineux-Graines à germer et mélanges</v>
      </c>
      <c r="F4352" s="4">
        <v>0.0</v>
      </c>
      <c r="G4352" s="4">
        <v>430.0</v>
      </c>
      <c r="H4352" s="4">
        <v>91.0</v>
      </c>
      <c r="I4352" s="21">
        <f t="array" ref="I4352">XLOOKUP($A4352,product!A:A,product!E:E)</f>
        <v>0.86</v>
      </c>
      <c r="J4352" s="4">
        <f t="shared" si="2"/>
        <v>78.26</v>
      </c>
      <c r="K4352" s="22">
        <f t="shared" si="3"/>
        <v>1</v>
      </c>
      <c r="L4352" s="4">
        <f t="shared" si="4"/>
        <v>1</v>
      </c>
    </row>
    <row r="4353">
      <c r="A4353" s="23">
        <v>69551.0</v>
      </c>
      <c r="B4353" s="24" t="str">
        <f t="array" ref="B4353">xlookup($A4353,product!$A:$A,product!B:B)</f>
        <v>Epicerie salée</v>
      </c>
      <c r="C4353" s="24" t="str">
        <f t="array" ref="C4353">xlookup($A4353,product!$A:$A,product!C:C)</f>
        <v>Graines et oléagineux</v>
      </c>
      <c r="D4353" s="24" t="str">
        <f t="array" ref="D4353">xlookup($A4353,product!$A:$A,product!D:D)</f>
        <v>Graines à germer et mélanges</v>
      </c>
      <c r="E4353" s="25" t="str">
        <f t="shared" si="1"/>
        <v>69551-Graines et oléagineux-Graines à germer et mélanges</v>
      </c>
      <c r="F4353" s="25">
        <v>1.0</v>
      </c>
      <c r="G4353" s="25">
        <v>430.0</v>
      </c>
      <c r="H4353" s="25">
        <v>101.0</v>
      </c>
      <c r="I4353" s="26">
        <f t="array" ref="I4353">XLOOKUP($A4353,product!A:A,product!E:E)</f>
        <v>2.83</v>
      </c>
      <c r="J4353" s="25">
        <f t="shared" si="2"/>
        <v>285.83</v>
      </c>
      <c r="K4353" s="27">
        <f t="shared" si="3"/>
        <v>1</v>
      </c>
      <c r="L4353" s="25">
        <f t="shared" si="4"/>
        <v>1</v>
      </c>
    </row>
    <row r="4354">
      <c r="A4354" s="19">
        <v>69503.0</v>
      </c>
      <c r="B4354" s="20" t="str">
        <f t="array" ref="B4354">xlookup($A4354,product!$A:$A,product!B:B)</f>
        <v>Epicerie salée</v>
      </c>
      <c r="C4354" s="20" t="str">
        <f t="array" ref="C4354">xlookup($A4354,product!$A:$A,product!C:C)</f>
        <v>Graines et oléagineux</v>
      </c>
      <c r="D4354" s="20" t="str">
        <f t="array" ref="D4354">xlookup($A4354,product!$A:$A,product!D:D)</f>
        <v>Graines à germer et mélanges</v>
      </c>
      <c r="E4354" s="4" t="str">
        <f t="shared" si="1"/>
        <v>69503-Graines et oléagineux-Graines à germer et mélanges</v>
      </c>
      <c r="F4354" s="4">
        <v>0.0</v>
      </c>
      <c r="G4354" s="4">
        <v>774.0</v>
      </c>
      <c r="H4354" s="4">
        <v>275.0</v>
      </c>
      <c r="I4354" s="21">
        <f t="array" ref="I4354">XLOOKUP($A4354,product!A:A,product!E:E)</f>
        <v>2.16</v>
      </c>
      <c r="J4354" s="4">
        <f t="shared" si="2"/>
        <v>594</v>
      </c>
      <c r="K4354" s="22">
        <f t="shared" si="3"/>
        <v>1</v>
      </c>
      <c r="L4354" s="4">
        <f t="shared" si="4"/>
        <v>1</v>
      </c>
    </row>
    <row r="4355">
      <c r="A4355" s="23">
        <v>23473.0</v>
      </c>
      <c r="B4355" s="24" t="str">
        <f t="array" ref="B4355">xlookup($A4355,product!$A:$A,product!B:B)</f>
        <v>Epicerie salée</v>
      </c>
      <c r="C4355" s="24" t="str">
        <f t="array" ref="C4355">xlookup($A4355,product!$A:$A,product!C:C)</f>
        <v>Graines et oléagineux</v>
      </c>
      <c r="D4355" s="24" t="str">
        <f t="array" ref="D4355">xlookup($A4355,product!$A:$A,product!D:D)</f>
        <v>Graines à germer et mélanges</v>
      </c>
      <c r="E4355" s="25" t="str">
        <f t="shared" si="1"/>
        <v>23473-Graines et oléagineux-Graines à germer et mélanges</v>
      </c>
      <c r="F4355" s="25">
        <v>1.0</v>
      </c>
      <c r="G4355" s="25">
        <v>790.0</v>
      </c>
      <c r="H4355" s="25">
        <v>422.0</v>
      </c>
      <c r="I4355" s="26">
        <f t="array" ref="I4355">XLOOKUP($A4355,product!A:A,product!E:E)</f>
        <v>2.15</v>
      </c>
      <c r="J4355" s="25">
        <f t="shared" si="2"/>
        <v>907.3</v>
      </c>
      <c r="K4355" s="27">
        <f t="shared" si="3"/>
        <v>1</v>
      </c>
      <c r="L4355" s="25">
        <f t="shared" si="4"/>
        <v>1</v>
      </c>
    </row>
    <row r="4356">
      <c r="A4356" s="19">
        <v>69500.0</v>
      </c>
      <c r="B4356" s="20" t="str">
        <f t="array" ref="B4356">xlookup($A4356,product!$A:$A,product!B:B)</f>
        <v>Epicerie salée</v>
      </c>
      <c r="C4356" s="20" t="str">
        <f t="array" ref="C4356">xlookup($A4356,product!$A:$A,product!C:C)</f>
        <v>Graines et oléagineux</v>
      </c>
      <c r="D4356" s="20" t="str">
        <f t="array" ref="D4356">xlookup($A4356,product!$A:$A,product!D:D)</f>
        <v>Graines à germer et mélanges</v>
      </c>
      <c r="E4356" s="4" t="str">
        <f t="shared" si="1"/>
        <v>69500-Graines et oléagineux-Graines à germer et mélanges</v>
      </c>
      <c r="F4356" s="4">
        <v>0.0</v>
      </c>
      <c r="G4356" s="4">
        <v>180.0</v>
      </c>
      <c r="H4356" s="4">
        <v>70.0</v>
      </c>
      <c r="I4356" s="21">
        <f t="array" ref="I4356">XLOOKUP($A4356,product!A:A,product!E:E)</f>
        <v>3.67</v>
      </c>
      <c r="J4356" s="4">
        <f t="shared" si="2"/>
        <v>256.9</v>
      </c>
      <c r="K4356" s="22">
        <f t="shared" si="3"/>
        <v>1</v>
      </c>
      <c r="L4356" s="4">
        <f t="shared" si="4"/>
        <v>1</v>
      </c>
    </row>
    <row r="4357">
      <c r="A4357" s="23">
        <v>14689.0</v>
      </c>
      <c r="B4357" s="24" t="str">
        <f t="array" ref="B4357">xlookup($A4357,product!$A:$A,product!B:B)</f>
        <v>Epicerie salée</v>
      </c>
      <c r="C4357" s="24" t="str">
        <f t="array" ref="C4357">xlookup($A4357,product!$A:$A,product!C:C)</f>
        <v>Graines et oléagineux</v>
      </c>
      <c r="D4357" s="24" t="str">
        <f t="array" ref="D4357">xlookup($A4357,product!$A:$A,product!D:D)</f>
        <v>Graines à germer et mélanges</v>
      </c>
      <c r="E4357" s="25" t="str">
        <f t="shared" si="1"/>
        <v>14689-Graines et oléagineux-Graines à germer et mélanges</v>
      </c>
      <c r="F4357" s="25">
        <v>1.0</v>
      </c>
      <c r="G4357" s="25">
        <v>343.0</v>
      </c>
      <c r="H4357" s="25">
        <v>113.0</v>
      </c>
      <c r="I4357" s="26">
        <f t="array" ref="I4357">XLOOKUP($A4357,product!A:A,product!E:E)</f>
        <v>3.32</v>
      </c>
      <c r="J4357" s="25">
        <f t="shared" si="2"/>
        <v>375.16</v>
      </c>
      <c r="K4357" s="27">
        <f t="shared" si="3"/>
        <v>1</v>
      </c>
      <c r="L4357" s="25">
        <f t="shared" si="4"/>
        <v>1</v>
      </c>
    </row>
    <row r="4358">
      <c r="A4358" s="19">
        <v>19409.0</v>
      </c>
      <c r="B4358" s="20" t="str">
        <f t="array" ref="B4358">xlookup($A4358,product!$A:$A,product!B:B)</f>
        <v>Epicerie salée</v>
      </c>
      <c r="C4358" s="20" t="str">
        <f t="array" ref="C4358">xlookup($A4358,product!$A:$A,product!C:C)</f>
        <v>Graines et oléagineux</v>
      </c>
      <c r="D4358" s="20" t="str">
        <f t="array" ref="D4358">xlookup($A4358,product!$A:$A,product!D:D)</f>
        <v>Graines à germer et mélanges</v>
      </c>
      <c r="E4358" s="4" t="str">
        <f t="shared" si="1"/>
        <v>19409-Graines et oléagineux-Graines à germer et mélanges</v>
      </c>
      <c r="F4358" s="4">
        <v>1.0</v>
      </c>
      <c r="G4358" s="4">
        <v>332.0</v>
      </c>
      <c r="H4358" s="4">
        <v>287.0</v>
      </c>
      <c r="I4358" s="21">
        <f t="array" ref="I4358">XLOOKUP($A4358,product!A:A,product!E:E)</f>
        <v>3.68</v>
      </c>
      <c r="J4358" s="4">
        <f t="shared" si="2"/>
        <v>1056.16</v>
      </c>
      <c r="K4358" s="22">
        <f t="shared" si="3"/>
        <v>1</v>
      </c>
      <c r="L4358" s="4">
        <f t="shared" si="4"/>
        <v>1</v>
      </c>
    </row>
    <row r="4359">
      <c r="A4359" s="23">
        <v>69526.0</v>
      </c>
      <c r="B4359" s="24" t="str">
        <f t="array" ref="B4359">xlookup($A4359,product!$A:$A,product!B:B)</f>
        <v>Epicerie salée</v>
      </c>
      <c r="C4359" s="24" t="str">
        <f t="array" ref="C4359">xlookup($A4359,product!$A:$A,product!C:C)</f>
        <v>Graines et oléagineux</v>
      </c>
      <c r="D4359" s="24" t="str">
        <f t="array" ref="D4359">xlookup($A4359,product!$A:$A,product!D:D)</f>
        <v>Graines à germer et mélanges</v>
      </c>
      <c r="E4359" s="25" t="str">
        <f t="shared" si="1"/>
        <v>69526-Graines et oléagineux-Graines à germer et mélanges</v>
      </c>
      <c r="F4359" s="25">
        <v>1.0</v>
      </c>
      <c r="G4359" s="25">
        <v>688.0</v>
      </c>
      <c r="H4359" s="25">
        <v>50.0</v>
      </c>
      <c r="I4359" s="26">
        <f t="array" ref="I4359">XLOOKUP($A4359,product!A:A,product!E:E)</f>
        <v>1.86</v>
      </c>
      <c r="J4359" s="25">
        <f t="shared" si="2"/>
        <v>93</v>
      </c>
      <c r="K4359" s="27">
        <f t="shared" si="3"/>
        <v>1</v>
      </c>
      <c r="L4359" s="25">
        <f t="shared" si="4"/>
        <v>1</v>
      </c>
    </row>
    <row r="4360">
      <c r="A4360" s="19">
        <v>19412.0</v>
      </c>
      <c r="B4360" s="20" t="str">
        <f t="array" ref="B4360">xlookup($A4360,product!$A:$A,product!B:B)</f>
        <v>Epicerie salée</v>
      </c>
      <c r="C4360" s="20" t="str">
        <f t="array" ref="C4360">xlookup($A4360,product!$A:$A,product!C:C)</f>
        <v>Graines et oléagineux</v>
      </c>
      <c r="D4360" s="20" t="str">
        <f t="array" ref="D4360">xlookup($A4360,product!$A:$A,product!D:D)</f>
        <v>Graines à germer et mélanges</v>
      </c>
      <c r="E4360" s="4" t="str">
        <f t="shared" si="1"/>
        <v>19412-Graines et oléagineux-Graines à germer et mélanges</v>
      </c>
      <c r="F4360" s="4">
        <v>1.0</v>
      </c>
      <c r="G4360" s="4">
        <v>669.0</v>
      </c>
      <c r="H4360" s="4">
        <v>653.0</v>
      </c>
      <c r="I4360" s="21">
        <f t="array" ref="I4360">XLOOKUP($A4360,product!A:A,product!E:E)</f>
        <v>2.42</v>
      </c>
      <c r="J4360" s="4">
        <f t="shared" si="2"/>
        <v>1580.26</v>
      </c>
      <c r="K4360" s="22">
        <f t="shared" si="3"/>
        <v>1</v>
      </c>
      <c r="L4360" s="4">
        <f t="shared" si="4"/>
        <v>1</v>
      </c>
    </row>
    <row r="4361">
      <c r="A4361" s="23">
        <v>23471.0</v>
      </c>
      <c r="B4361" s="24" t="str">
        <f t="array" ref="B4361">xlookup($A4361,product!$A:$A,product!B:B)</f>
        <v>Epicerie salée</v>
      </c>
      <c r="C4361" s="24" t="str">
        <f t="array" ref="C4361">xlookup($A4361,product!$A:$A,product!C:C)</f>
        <v>Graines et oléagineux</v>
      </c>
      <c r="D4361" s="24" t="str">
        <f t="array" ref="D4361">xlookup($A4361,product!$A:$A,product!D:D)</f>
        <v>Graines à germer et mélanges</v>
      </c>
      <c r="E4361" s="25" t="str">
        <f t="shared" si="1"/>
        <v>23471-Graines et oléagineux-Graines à germer et mélanges</v>
      </c>
      <c r="F4361" s="25">
        <v>1.0</v>
      </c>
      <c r="G4361" s="25">
        <v>346.0</v>
      </c>
      <c r="H4361" s="25">
        <v>78.0</v>
      </c>
      <c r="I4361" s="26">
        <f t="array" ref="I4361">XLOOKUP($A4361,product!A:A,product!E:E)</f>
        <v>3.3</v>
      </c>
      <c r="J4361" s="25">
        <f t="shared" si="2"/>
        <v>257.4</v>
      </c>
      <c r="K4361" s="27">
        <f t="shared" si="3"/>
        <v>1</v>
      </c>
      <c r="L4361" s="25">
        <f t="shared" si="4"/>
        <v>1</v>
      </c>
    </row>
    <row r="4362">
      <c r="A4362" s="19">
        <v>14670.0</v>
      </c>
      <c r="B4362" s="20" t="str">
        <f t="array" ref="B4362">xlookup($A4362,product!$A:$A,product!B:B)</f>
        <v>Epicerie salée</v>
      </c>
      <c r="C4362" s="20" t="str">
        <f t="array" ref="C4362">xlookup($A4362,product!$A:$A,product!C:C)</f>
        <v>Graines et oléagineux</v>
      </c>
      <c r="D4362" s="20" t="str">
        <f t="array" ref="D4362">xlookup($A4362,product!$A:$A,product!D:D)</f>
        <v>Graines à germer et mélanges</v>
      </c>
      <c r="E4362" s="4" t="str">
        <f t="shared" si="1"/>
        <v>14670-Graines et oléagineux-Graines à germer et mélanges</v>
      </c>
      <c r="F4362" s="4">
        <v>0.0</v>
      </c>
      <c r="G4362" s="4">
        <v>381.0</v>
      </c>
      <c r="H4362" s="4">
        <v>334.0</v>
      </c>
      <c r="I4362" s="21">
        <f t="array" ref="I4362">XLOOKUP($A4362,product!A:A,product!E:E)</f>
        <v>2.06</v>
      </c>
      <c r="J4362" s="4">
        <f t="shared" si="2"/>
        <v>688.04</v>
      </c>
      <c r="K4362" s="22">
        <f t="shared" si="3"/>
        <v>1</v>
      </c>
      <c r="L4362" s="4">
        <f t="shared" si="4"/>
        <v>1</v>
      </c>
    </row>
    <row r="4363">
      <c r="A4363" s="23">
        <v>69499.0</v>
      </c>
      <c r="B4363" s="24" t="str">
        <f t="array" ref="B4363">xlookup($A4363,product!$A:$A,product!B:B)</f>
        <v>Epicerie salée</v>
      </c>
      <c r="C4363" s="24" t="str">
        <f t="array" ref="C4363">xlookup($A4363,product!$A:$A,product!C:C)</f>
        <v>Graines et oléagineux</v>
      </c>
      <c r="D4363" s="24" t="str">
        <f t="array" ref="D4363">xlookup($A4363,product!$A:$A,product!D:D)</f>
        <v>Graines à germer et mélanges</v>
      </c>
      <c r="E4363" s="25" t="str">
        <f t="shared" si="1"/>
        <v>69499-Graines et oléagineux-Graines à germer et mélanges</v>
      </c>
      <c r="F4363" s="25">
        <v>1.0</v>
      </c>
      <c r="G4363" s="25">
        <v>468.0</v>
      </c>
      <c r="H4363" s="25">
        <v>198.0</v>
      </c>
      <c r="I4363" s="26">
        <f t="array" ref="I4363">XLOOKUP($A4363,product!A:A,product!E:E)</f>
        <v>2.2</v>
      </c>
      <c r="J4363" s="25">
        <f t="shared" si="2"/>
        <v>435.6</v>
      </c>
      <c r="K4363" s="27">
        <f t="shared" si="3"/>
        <v>1</v>
      </c>
      <c r="L4363" s="25">
        <f t="shared" si="4"/>
        <v>1</v>
      </c>
    </row>
    <row r="4364">
      <c r="A4364" s="19">
        <v>90686.0</v>
      </c>
      <c r="B4364" s="20" t="str">
        <f t="array" ref="B4364">xlookup($A4364,product!$A:$A,product!B:B)</f>
        <v>Epicerie salée</v>
      </c>
      <c r="C4364" s="20" t="str">
        <f t="array" ref="C4364">xlookup($A4364,product!$A:$A,product!C:C)</f>
        <v>Graines et oléagineux</v>
      </c>
      <c r="D4364" s="20" t="str">
        <f t="array" ref="D4364">xlookup($A4364,product!$A:$A,product!D:D)</f>
        <v>Graines à germer et mélanges</v>
      </c>
      <c r="E4364" s="4" t="str">
        <f t="shared" si="1"/>
        <v>90686-Graines et oléagineux-Graines à germer et mélanges</v>
      </c>
      <c r="F4364" s="4">
        <v>1.0</v>
      </c>
      <c r="G4364" s="4">
        <v>517.0</v>
      </c>
      <c r="H4364" s="4">
        <v>415.0</v>
      </c>
      <c r="I4364" s="21">
        <f t="array" ref="I4364">XLOOKUP($A4364,product!A:A,product!E:E)</f>
        <v>0.69</v>
      </c>
      <c r="J4364" s="4">
        <f t="shared" si="2"/>
        <v>286.35</v>
      </c>
      <c r="K4364" s="22">
        <f t="shared" si="3"/>
        <v>1</v>
      </c>
      <c r="L4364" s="4">
        <f t="shared" si="4"/>
        <v>1</v>
      </c>
    </row>
    <row r="4365">
      <c r="A4365" s="23">
        <v>111872.0</v>
      </c>
      <c r="B4365" s="24" t="str">
        <f t="array" ref="B4365">xlookup($A4365,product!$A:$A,product!B:B)</f>
        <v>Epicerie salée</v>
      </c>
      <c r="C4365" s="24" t="str">
        <f t="array" ref="C4365">xlookup($A4365,product!$A:$A,product!C:C)</f>
        <v>Graines et oléagineux</v>
      </c>
      <c r="D4365" s="24" t="str">
        <f t="array" ref="D4365">xlookup($A4365,product!$A:$A,product!D:D)</f>
        <v>Graines à germer et mélanges</v>
      </c>
      <c r="E4365" s="25" t="str">
        <f t="shared" si="1"/>
        <v>111872-Graines et oléagineux-Graines à germer et mélanges</v>
      </c>
      <c r="F4365" s="25">
        <v>1.0</v>
      </c>
      <c r="G4365" s="25">
        <v>756.0</v>
      </c>
      <c r="H4365" s="25">
        <v>273.0</v>
      </c>
      <c r="I4365" s="26">
        <f t="array" ref="I4365">XLOOKUP($A4365,product!A:A,product!E:E)</f>
        <v>2.34</v>
      </c>
      <c r="J4365" s="25">
        <f t="shared" si="2"/>
        <v>638.82</v>
      </c>
      <c r="K4365" s="27">
        <f t="shared" si="3"/>
        <v>1</v>
      </c>
      <c r="L4365" s="25">
        <f t="shared" si="4"/>
        <v>1</v>
      </c>
    </row>
    <row r="4366">
      <c r="A4366" s="19">
        <v>23964.0</v>
      </c>
      <c r="B4366" s="20" t="str">
        <f t="array" ref="B4366">xlookup($A4366,product!$A:$A,product!B:B)</f>
        <v>Epicerie salée</v>
      </c>
      <c r="C4366" s="20" t="str">
        <f t="array" ref="C4366">xlookup($A4366,product!$A:$A,product!C:C)</f>
        <v>Graines et oléagineux</v>
      </c>
      <c r="D4366" s="20" t="str">
        <f t="array" ref="D4366">xlookup($A4366,product!$A:$A,product!D:D)</f>
        <v>Graines à germer et mélanges</v>
      </c>
      <c r="E4366" s="4" t="str">
        <f t="shared" si="1"/>
        <v>23964-Graines et oléagineux-Graines à germer et mélanges</v>
      </c>
      <c r="F4366" s="4">
        <v>0.0</v>
      </c>
      <c r="G4366" s="4">
        <v>315.0</v>
      </c>
      <c r="H4366" s="4">
        <v>175.0</v>
      </c>
      <c r="I4366" s="21">
        <f t="array" ref="I4366">XLOOKUP($A4366,product!A:A,product!E:E)</f>
        <v>3.86</v>
      </c>
      <c r="J4366" s="4">
        <f t="shared" si="2"/>
        <v>675.5</v>
      </c>
      <c r="K4366" s="22">
        <f t="shared" si="3"/>
        <v>1</v>
      </c>
      <c r="L4366" s="4">
        <f t="shared" si="4"/>
        <v>1</v>
      </c>
    </row>
    <row r="4367">
      <c r="A4367" s="23">
        <v>111837.0</v>
      </c>
      <c r="B4367" s="24" t="str">
        <f t="array" ref="B4367">xlookup($A4367,product!$A:$A,product!B:B)</f>
        <v>Epicerie salée</v>
      </c>
      <c r="C4367" s="24" t="str">
        <f t="array" ref="C4367">xlookup($A4367,product!$A:$A,product!C:C)</f>
        <v>Graines et oléagineux</v>
      </c>
      <c r="D4367" s="24" t="str">
        <f t="array" ref="D4367">xlookup($A4367,product!$A:$A,product!D:D)</f>
        <v>Graines à germer et mélanges</v>
      </c>
      <c r="E4367" s="25" t="str">
        <f t="shared" si="1"/>
        <v>111837-Graines et oléagineux-Graines à germer et mélanges</v>
      </c>
      <c r="F4367" s="25">
        <v>0.0</v>
      </c>
      <c r="G4367" s="25">
        <v>407.0</v>
      </c>
      <c r="H4367" s="25">
        <v>166.0</v>
      </c>
      <c r="I4367" s="26">
        <f t="array" ref="I4367">XLOOKUP($A4367,product!A:A,product!E:E)</f>
        <v>2.61</v>
      </c>
      <c r="J4367" s="25">
        <f t="shared" si="2"/>
        <v>433.26</v>
      </c>
      <c r="K4367" s="27">
        <f t="shared" si="3"/>
        <v>1</v>
      </c>
      <c r="L4367" s="25">
        <f t="shared" si="4"/>
        <v>1</v>
      </c>
    </row>
    <row r="4368">
      <c r="A4368" s="19">
        <v>19377.0</v>
      </c>
      <c r="B4368" s="20" t="str">
        <f t="array" ref="B4368">xlookup($A4368,product!$A:$A,product!B:B)</f>
        <v>Epicerie salée</v>
      </c>
      <c r="C4368" s="20" t="str">
        <f t="array" ref="C4368">xlookup($A4368,product!$A:$A,product!C:C)</f>
        <v>Graines et oléagineux</v>
      </c>
      <c r="D4368" s="20" t="str">
        <f t="array" ref="D4368">xlookup($A4368,product!$A:$A,product!D:D)</f>
        <v>Graines à germer et mélanges</v>
      </c>
      <c r="E4368" s="4" t="str">
        <f t="shared" si="1"/>
        <v>19377-Graines et oléagineux-Graines à germer et mélanges</v>
      </c>
      <c r="F4368" s="4">
        <v>1.0</v>
      </c>
      <c r="G4368" s="4">
        <v>361.0</v>
      </c>
      <c r="H4368" s="4">
        <v>332.0</v>
      </c>
      <c r="I4368" s="21">
        <f t="array" ref="I4368">XLOOKUP($A4368,product!A:A,product!E:E)</f>
        <v>2.42</v>
      </c>
      <c r="J4368" s="4">
        <f t="shared" si="2"/>
        <v>803.44</v>
      </c>
      <c r="K4368" s="22">
        <f t="shared" si="3"/>
        <v>1</v>
      </c>
      <c r="L4368" s="4">
        <f t="shared" si="4"/>
        <v>1</v>
      </c>
    </row>
    <row r="4369">
      <c r="A4369" s="23">
        <v>111836.0</v>
      </c>
      <c r="B4369" s="24" t="str">
        <f t="array" ref="B4369">xlookup($A4369,product!$A:$A,product!B:B)</f>
        <v>Epicerie salée</v>
      </c>
      <c r="C4369" s="24" t="str">
        <f t="array" ref="C4369">xlookup($A4369,product!$A:$A,product!C:C)</f>
        <v>Graines et oléagineux</v>
      </c>
      <c r="D4369" s="24" t="str">
        <f t="array" ref="D4369">xlookup($A4369,product!$A:$A,product!D:D)</f>
        <v>Graines à germer et mélanges</v>
      </c>
      <c r="E4369" s="25" t="str">
        <f t="shared" si="1"/>
        <v>111836-Graines et oléagineux-Graines à germer et mélanges</v>
      </c>
      <c r="F4369" s="25">
        <v>1.0</v>
      </c>
      <c r="G4369" s="25">
        <v>714.0</v>
      </c>
      <c r="H4369" s="25">
        <v>194.0</v>
      </c>
      <c r="I4369" s="26">
        <f t="array" ref="I4369">XLOOKUP($A4369,product!A:A,product!E:E)</f>
        <v>1.71</v>
      </c>
      <c r="J4369" s="25">
        <f t="shared" si="2"/>
        <v>331.74</v>
      </c>
      <c r="K4369" s="27">
        <f t="shared" si="3"/>
        <v>1</v>
      </c>
      <c r="L4369" s="25">
        <f t="shared" si="4"/>
        <v>1</v>
      </c>
    </row>
    <row r="4370">
      <c r="A4370" s="19">
        <v>190103.0</v>
      </c>
      <c r="B4370" s="20" t="str">
        <f t="array" ref="B4370">xlookup($A4370,product!$A:$A,product!B:B)</f>
        <v>Epicerie salée</v>
      </c>
      <c r="C4370" s="20" t="str">
        <f t="array" ref="C4370">xlookup($A4370,product!$A:$A,product!C:C)</f>
        <v>Graines et oléagineux</v>
      </c>
      <c r="D4370" s="20" t="str">
        <f t="array" ref="D4370">xlookup($A4370,product!$A:$A,product!D:D)</f>
        <v>Graines à germer et mélanges</v>
      </c>
      <c r="E4370" s="4" t="str">
        <f t="shared" si="1"/>
        <v>190103-Graines et oléagineux-Graines à germer et mélanges</v>
      </c>
      <c r="F4370" s="4">
        <v>0.0</v>
      </c>
      <c r="G4370" s="4">
        <v>919.0</v>
      </c>
      <c r="H4370" s="4">
        <v>457.0</v>
      </c>
      <c r="I4370" s="21">
        <f t="array" ref="I4370">XLOOKUP($A4370,product!A:A,product!E:E)</f>
        <v>1.7</v>
      </c>
      <c r="J4370" s="4">
        <f t="shared" si="2"/>
        <v>776.9</v>
      </c>
      <c r="K4370" s="22">
        <f t="shared" si="3"/>
        <v>1</v>
      </c>
      <c r="L4370" s="4">
        <f t="shared" si="4"/>
        <v>1</v>
      </c>
    </row>
    <row r="4371">
      <c r="A4371" s="23">
        <v>19408.0</v>
      </c>
      <c r="B4371" s="24" t="str">
        <f t="array" ref="B4371">xlookup($A4371,product!$A:$A,product!B:B)</f>
        <v>Epicerie salée</v>
      </c>
      <c r="C4371" s="24" t="str">
        <f t="array" ref="C4371">xlookup($A4371,product!$A:$A,product!C:C)</f>
        <v>Graines et oléagineux</v>
      </c>
      <c r="D4371" s="24" t="str">
        <f t="array" ref="D4371">xlookup($A4371,product!$A:$A,product!D:D)</f>
        <v>Graines à germer et mélanges</v>
      </c>
      <c r="E4371" s="25" t="str">
        <f t="shared" si="1"/>
        <v>19408-Graines et oléagineux-Graines à germer et mélanges</v>
      </c>
      <c r="F4371" s="25">
        <v>0.0</v>
      </c>
      <c r="G4371" s="25">
        <v>702.0</v>
      </c>
      <c r="H4371" s="25">
        <v>389.0</v>
      </c>
      <c r="I4371" s="26">
        <f t="array" ref="I4371">XLOOKUP($A4371,product!A:A,product!E:E)</f>
        <v>3.26</v>
      </c>
      <c r="J4371" s="25">
        <f t="shared" si="2"/>
        <v>1268.14</v>
      </c>
      <c r="K4371" s="27">
        <f t="shared" si="3"/>
        <v>1</v>
      </c>
      <c r="L4371" s="25">
        <f t="shared" si="4"/>
        <v>1</v>
      </c>
    </row>
    <row r="4372">
      <c r="A4372" s="19">
        <v>14694.0</v>
      </c>
      <c r="B4372" s="20" t="str">
        <f t="array" ref="B4372">xlookup($A4372,product!$A:$A,product!B:B)</f>
        <v>Epicerie salée</v>
      </c>
      <c r="C4372" s="20" t="str">
        <f t="array" ref="C4372">xlookup($A4372,product!$A:$A,product!C:C)</f>
        <v>Graines et oléagineux</v>
      </c>
      <c r="D4372" s="20" t="str">
        <f t="array" ref="D4372">xlookup($A4372,product!$A:$A,product!D:D)</f>
        <v>Graines à germer et mélanges</v>
      </c>
      <c r="E4372" s="4" t="str">
        <f t="shared" si="1"/>
        <v>14694-Graines et oléagineux-Graines à germer et mélanges</v>
      </c>
      <c r="F4372" s="4">
        <v>0.0</v>
      </c>
      <c r="G4372" s="4">
        <v>470.0</v>
      </c>
      <c r="H4372" s="4">
        <v>111.0</v>
      </c>
      <c r="I4372" s="21">
        <f t="array" ref="I4372">XLOOKUP($A4372,product!A:A,product!E:E)</f>
        <v>1.03</v>
      </c>
      <c r="J4372" s="4">
        <f t="shared" si="2"/>
        <v>114.33</v>
      </c>
      <c r="K4372" s="22">
        <f t="shared" si="3"/>
        <v>1</v>
      </c>
      <c r="L4372" s="4">
        <f t="shared" si="4"/>
        <v>1</v>
      </c>
    </row>
    <row r="4373">
      <c r="A4373" s="23">
        <v>5686.0</v>
      </c>
      <c r="B4373" s="24" t="str">
        <f t="array" ref="B4373">xlookup($A4373,product!$A:$A,product!B:B)</f>
        <v>Epicerie salée</v>
      </c>
      <c r="C4373" s="24" t="str">
        <f t="array" ref="C4373">xlookup($A4373,product!$A:$A,product!C:C)</f>
        <v>Graines et oléagineux</v>
      </c>
      <c r="D4373" s="24" t="str">
        <f t="array" ref="D4373">xlookup($A4373,product!$A:$A,product!D:D)</f>
        <v>Graines à germer et mélanges</v>
      </c>
      <c r="E4373" s="25" t="str">
        <f t="shared" si="1"/>
        <v>5686-Graines et oléagineux-Graines à germer et mélanges</v>
      </c>
      <c r="F4373" s="25">
        <v>0.0</v>
      </c>
      <c r="G4373" s="25">
        <v>687.0</v>
      </c>
      <c r="H4373" s="25">
        <v>330.0</v>
      </c>
      <c r="I4373" s="26">
        <f t="array" ref="I4373">XLOOKUP($A4373,product!A:A,product!E:E)</f>
        <v>1.83</v>
      </c>
      <c r="J4373" s="25">
        <f t="shared" si="2"/>
        <v>603.9</v>
      </c>
      <c r="K4373" s="27">
        <f t="shared" si="3"/>
        <v>1</v>
      </c>
      <c r="L4373" s="25">
        <f t="shared" si="4"/>
        <v>1</v>
      </c>
    </row>
    <row r="4374">
      <c r="A4374" s="19">
        <v>111842.0</v>
      </c>
      <c r="B4374" s="20" t="str">
        <f t="array" ref="B4374">xlookup($A4374,product!$A:$A,product!B:B)</f>
        <v>Epicerie salée</v>
      </c>
      <c r="C4374" s="20" t="str">
        <f t="array" ref="C4374">xlookup($A4374,product!$A:$A,product!C:C)</f>
        <v>Graines et oléagineux</v>
      </c>
      <c r="D4374" s="20" t="str">
        <f t="array" ref="D4374">xlookup($A4374,product!$A:$A,product!D:D)</f>
        <v>Graines à germer et mélanges</v>
      </c>
      <c r="E4374" s="4" t="str">
        <f t="shared" si="1"/>
        <v>111842-Graines et oléagineux-Graines à germer et mélanges</v>
      </c>
      <c r="F4374" s="4">
        <v>1.0</v>
      </c>
      <c r="G4374" s="4">
        <v>656.0</v>
      </c>
      <c r="H4374" s="4">
        <v>305.0</v>
      </c>
      <c r="I4374" s="21">
        <f t="array" ref="I4374">XLOOKUP($A4374,product!A:A,product!E:E)</f>
        <v>2.39</v>
      </c>
      <c r="J4374" s="4">
        <f t="shared" si="2"/>
        <v>728.95</v>
      </c>
      <c r="K4374" s="22">
        <f t="shared" si="3"/>
        <v>1</v>
      </c>
      <c r="L4374" s="4">
        <f t="shared" si="4"/>
        <v>1</v>
      </c>
    </row>
    <row r="4375">
      <c r="A4375" s="23">
        <v>23978.0</v>
      </c>
      <c r="B4375" s="24" t="str">
        <f t="array" ref="B4375">xlookup($A4375,product!$A:$A,product!B:B)</f>
        <v>Epicerie salée</v>
      </c>
      <c r="C4375" s="24" t="str">
        <f t="array" ref="C4375">xlookup($A4375,product!$A:$A,product!C:C)</f>
        <v>Graines et oléagineux</v>
      </c>
      <c r="D4375" s="24" t="str">
        <f t="array" ref="D4375">xlookup($A4375,product!$A:$A,product!D:D)</f>
        <v>Graines à germer et mélanges</v>
      </c>
      <c r="E4375" s="25" t="str">
        <f t="shared" si="1"/>
        <v>23978-Graines et oléagineux-Graines à germer et mélanges</v>
      </c>
      <c r="F4375" s="25">
        <v>1.0</v>
      </c>
      <c r="G4375" s="25">
        <v>820.0</v>
      </c>
      <c r="H4375" s="25">
        <v>237.0</v>
      </c>
      <c r="I4375" s="26">
        <f t="array" ref="I4375">XLOOKUP($A4375,product!A:A,product!E:E)</f>
        <v>2.27</v>
      </c>
      <c r="J4375" s="25">
        <f t="shared" si="2"/>
        <v>537.99</v>
      </c>
      <c r="K4375" s="27">
        <f t="shared" si="3"/>
        <v>1</v>
      </c>
      <c r="L4375" s="25">
        <f t="shared" si="4"/>
        <v>1</v>
      </c>
    </row>
    <row r="4376">
      <c r="A4376" s="19">
        <v>14682.0</v>
      </c>
      <c r="B4376" s="20" t="str">
        <f t="array" ref="B4376">xlookup($A4376,product!$A:$A,product!B:B)</f>
        <v>Epicerie salée</v>
      </c>
      <c r="C4376" s="20" t="str">
        <f t="array" ref="C4376">xlookup($A4376,product!$A:$A,product!C:C)</f>
        <v>Graines et oléagineux</v>
      </c>
      <c r="D4376" s="20" t="str">
        <f t="array" ref="D4376">xlookup($A4376,product!$A:$A,product!D:D)</f>
        <v>Graines à germer et mélanges</v>
      </c>
      <c r="E4376" s="4" t="str">
        <f t="shared" si="1"/>
        <v>14682-Graines et oléagineux-Graines à germer et mélanges</v>
      </c>
      <c r="F4376" s="4">
        <v>1.0</v>
      </c>
      <c r="G4376" s="4">
        <v>95.0</v>
      </c>
      <c r="H4376" s="4">
        <v>87.0</v>
      </c>
      <c r="I4376" s="21">
        <f t="array" ref="I4376">XLOOKUP($A4376,product!A:A,product!E:E)</f>
        <v>0.89</v>
      </c>
      <c r="J4376" s="4">
        <f t="shared" si="2"/>
        <v>77.43</v>
      </c>
      <c r="K4376" s="22">
        <f t="shared" si="3"/>
        <v>1</v>
      </c>
      <c r="L4376" s="4">
        <f t="shared" si="4"/>
        <v>1</v>
      </c>
    </row>
    <row r="4377">
      <c r="A4377" s="23">
        <v>111873.0</v>
      </c>
      <c r="B4377" s="24" t="str">
        <f t="array" ref="B4377">xlookup($A4377,product!$A:$A,product!B:B)</f>
        <v>Epicerie salée</v>
      </c>
      <c r="C4377" s="24" t="str">
        <f t="array" ref="C4377">xlookup($A4377,product!$A:$A,product!C:C)</f>
        <v>Graines et oléagineux</v>
      </c>
      <c r="D4377" s="24" t="str">
        <f t="array" ref="D4377">xlookup($A4377,product!$A:$A,product!D:D)</f>
        <v>Graines à germer et mélanges</v>
      </c>
      <c r="E4377" s="25" t="str">
        <f t="shared" si="1"/>
        <v>111873-Graines et oléagineux-Graines à germer et mélanges</v>
      </c>
      <c r="F4377" s="25">
        <v>1.0</v>
      </c>
      <c r="G4377" s="25">
        <v>167.0</v>
      </c>
      <c r="H4377" s="25">
        <v>137.0</v>
      </c>
      <c r="I4377" s="26">
        <f t="array" ref="I4377">XLOOKUP($A4377,product!A:A,product!E:E)</f>
        <v>3.28</v>
      </c>
      <c r="J4377" s="25">
        <f t="shared" si="2"/>
        <v>449.36</v>
      </c>
      <c r="K4377" s="27">
        <f t="shared" si="3"/>
        <v>1</v>
      </c>
      <c r="L4377" s="25">
        <f t="shared" si="4"/>
        <v>1</v>
      </c>
    </row>
    <row r="4378">
      <c r="A4378" s="19">
        <v>23454.0</v>
      </c>
      <c r="B4378" s="20" t="str">
        <f t="array" ref="B4378">xlookup($A4378,product!$A:$A,product!B:B)</f>
        <v>Epicerie salée</v>
      </c>
      <c r="C4378" s="20" t="str">
        <f t="array" ref="C4378">xlookup($A4378,product!$A:$A,product!C:C)</f>
        <v>Graines et oléagineux</v>
      </c>
      <c r="D4378" s="20" t="str">
        <f t="array" ref="D4378">xlookup($A4378,product!$A:$A,product!D:D)</f>
        <v>Graines à germer et mélanges</v>
      </c>
      <c r="E4378" s="4" t="str">
        <f t="shared" si="1"/>
        <v>23454-Graines et oléagineux-Graines à germer et mélanges</v>
      </c>
      <c r="F4378" s="4">
        <v>0.0</v>
      </c>
      <c r="G4378" s="4">
        <v>280.0</v>
      </c>
      <c r="H4378" s="4">
        <v>70.0</v>
      </c>
      <c r="I4378" s="21">
        <f t="array" ref="I4378">XLOOKUP($A4378,product!A:A,product!E:E)</f>
        <v>2.5</v>
      </c>
      <c r="J4378" s="4">
        <f t="shared" si="2"/>
        <v>175</v>
      </c>
      <c r="K4378" s="22">
        <f t="shared" si="3"/>
        <v>1</v>
      </c>
      <c r="L4378" s="4">
        <f t="shared" si="4"/>
        <v>1</v>
      </c>
    </row>
    <row r="4379">
      <c r="A4379" s="23">
        <v>16760.0</v>
      </c>
      <c r="B4379" s="24" t="str">
        <f t="array" ref="B4379">xlookup($A4379,product!$A:$A,product!B:B)</f>
        <v>Epicerie salée</v>
      </c>
      <c r="C4379" s="24" t="str">
        <f t="array" ref="C4379">xlookup($A4379,product!$A:$A,product!C:C)</f>
        <v>Graines et oléagineux</v>
      </c>
      <c r="D4379" s="24" t="str">
        <f t="array" ref="D4379">xlookup($A4379,product!$A:$A,product!D:D)</f>
        <v>Graines à germer et mélanges</v>
      </c>
      <c r="E4379" s="25" t="str">
        <f t="shared" si="1"/>
        <v>16760-Graines et oléagineux-Graines à germer et mélanges</v>
      </c>
      <c r="F4379" s="25">
        <v>0.0</v>
      </c>
      <c r="G4379" s="25">
        <v>255.0</v>
      </c>
      <c r="H4379" s="25">
        <v>149.0</v>
      </c>
      <c r="I4379" s="26">
        <f t="array" ref="I4379">XLOOKUP($A4379,product!A:A,product!E:E)</f>
        <v>3.16</v>
      </c>
      <c r="J4379" s="25">
        <f t="shared" si="2"/>
        <v>470.84</v>
      </c>
      <c r="K4379" s="27">
        <f t="shared" si="3"/>
        <v>1</v>
      </c>
      <c r="L4379" s="25">
        <f t="shared" si="4"/>
        <v>1</v>
      </c>
    </row>
    <row r="4380">
      <c r="A4380" s="19">
        <v>14709.0</v>
      </c>
      <c r="B4380" s="20" t="str">
        <f t="array" ref="B4380">xlookup($A4380,product!$A:$A,product!B:B)</f>
        <v>Epicerie salée</v>
      </c>
      <c r="C4380" s="20" t="str">
        <f t="array" ref="C4380">xlookup($A4380,product!$A:$A,product!C:C)</f>
        <v>Graines et oléagineux</v>
      </c>
      <c r="D4380" s="20" t="str">
        <f t="array" ref="D4380">xlookup($A4380,product!$A:$A,product!D:D)</f>
        <v>Graines à germer et mélanges</v>
      </c>
      <c r="E4380" s="4" t="str">
        <f t="shared" si="1"/>
        <v>14709-Graines et oléagineux-Graines à germer et mélanges</v>
      </c>
      <c r="F4380" s="4">
        <v>1.0</v>
      </c>
      <c r="G4380" s="4">
        <v>478.0</v>
      </c>
      <c r="H4380" s="4">
        <v>116.0</v>
      </c>
      <c r="I4380" s="21">
        <f t="array" ref="I4380">XLOOKUP($A4380,product!A:A,product!E:E)</f>
        <v>0.99</v>
      </c>
      <c r="J4380" s="4">
        <f t="shared" si="2"/>
        <v>114.84</v>
      </c>
      <c r="K4380" s="22">
        <f t="shared" si="3"/>
        <v>1</v>
      </c>
      <c r="L4380" s="4">
        <f t="shared" si="4"/>
        <v>1</v>
      </c>
    </row>
    <row r="4381">
      <c r="A4381" s="23">
        <v>14665.0</v>
      </c>
      <c r="B4381" s="24" t="str">
        <f t="array" ref="B4381">xlookup($A4381,product!$A:$A,product!B:B)</f>
        <v>Epicerie salée</v>
      </c>
      <c r="C4381" s="24" t="str">
        <f t="array" ref="C4381">xlookup($A4381,product!$A:$A,product!C:C)</f>
        <v>Graines et oléagineux</v>
      </c>
      <c r="D4381" s="24" t="str">
        <f t="array" ref="D4381">xlookup($A4381,product!$A:$A,product!D:D)</f>
        <v>Graines à germer et mélanges</v>
      </c>
      <c r="E4381" s="25" t="str">
        <f t="shared" si="1"/>
        <v>14665-Graines et oléagineux-Graines à germer et mélanges</v>
      </c>
      <c r="F4381" s="25">
        <v>1.0</v>
      </c>
      <c r="G4381" s="25">
        <v>68.0</v>
      </c>
      <c r="H4381" s="25">
        <v>15.0</v>
      </c>
      <c r="I4381" s="26">
        <f t="array" ref="I4381">XLOOKUP($A4381,product!A:A,product!E:E)</f>
        <v>1</v>
      </c>
      <c r="J4381" s="25">
        <f t="shared" si="2"/>
        <v>15</v>
      </c>
      <c r="K4381" s="27">
        <f t="shared" si="3"/>
        <v>1</v>
      </c>
      <c r="L4381" s="25">
        <f t="shared" si="4"/>
        <v>1</v>
      </c>
    </row>
    <row r="4382">
      <c r="A4382" s="19">
        <v>8869.0</v>
      </c>
      <c r="B4382" s="20" t="str">
        <f t="array" ref="B4382">xlookup($A4382,product!$A:$A,product!B:B)</f>
        <v>Epicerie salée</v>
      </c>
      <c r="C4382" s="20" t="str">
        <f t="array" ref="C4382">xlookup($A4382,product!$A:$A,product!C:C)</f>
        <v>Légumes et conserves</v>
      </c>
      <c r="D4382" s="20" t="str">
        <f t="array" ref="D4382">xlookup($A4382,product!$A:$A,product!D:D)</f>
        <v>Miso</v>
      </c>
      <c r="E4382" s="4" t="str">
        <f t="shared" si="1"/>
        <v>8869-Légumes et conserves-Miso</v>
      </c>
      <c r="F4382" s="4">
        <v>1.0</v>
      </c>
      <c r="G4382" s="4">
        <v>666.0</v>
      </c>
      <c r="H4382" s="4">
        <v>338.0</v>
      </c>
      <c r="I4382" s="21">
        <f t="array" ref="I4382">XLOOKUP($A4382,product!A:A,product!E:E)</f>
        <v>3.88</v>
      </c>
      <c r="J4382" s="4">
        <f t="shared" si="2"/>
        <v>1311.44</v>
      </c>
      <c r="K4382" s="22">
        <f t="shared" si="3"/>
        <v>1</v>
      </c>
      <c r="L4382" s="4">
        <f t="shared" si="4"/>
        <v>1</v>
      </c>
    </row>
    <row r="4383">
      <c r="A4383" s="23">
        <v>68520.0</v>
      </c>
      <c r="B4383" s="24" t="str">
        <f t="array" ref="B4383">xlookup($A4383,product!$A:$A,product!B:B)</f>
        <v>Epicerie salée</v>
      </c>
      <c r="C4383" s="24" t="str">
        <f t="array" ref="C4383">xlookup($A4383,product!$A:$A,product!C:C)</f>
        <v>Légumes et conserves</v>
      </c>
      <c r="D4383" s="24" t="str">
        <f t="array" ref="D4383">xlookup($A4383,product!$A:$A,product!D:D)</f>
        <v>Miso</v>
      </c>
      <c r="E4383" s="25" t="str">
        <f t="shared" si="1"/>
        <v>68520-Légumes et conserves-Miso</v>
      </c>
      <c r="F4383" s="25">
        <v>0.0</v>
      </c>
      <c r="G4383" s="25">
        <v>273.0</v>
      </c>
      <c r="H4383" s="25">
        <v>18.0</v>
      </c>
      <c r="I4383" s="26">
        <f t="array" ref="I4383">XLOOKUP($A4383,product!A:A,product!E:E)</f>
        <v>4.24</v>
      </c>
      <c r="J4383" s="25">
        <f t="shared" si="2"/>
        <v>76.32</v>
      </c>
      <c r="K4383" s="27">
        <f t="shared" si="3"/>
        <v>1</v>
      </c>
      <c r="L4383" s="25">
        <f t="shared" si="4"/>
        <v>1</v>
      </c>
    </row>
    <row r="4384">
      <c r="A4384" s="19">
        <v>107331.0</v>
      </c>
      <c r="B4384" s="20" t="str">
        <f t="array" ref="B4384">xlookup($A4384,product!$A:$A,product!B:B)</f>
        <v>Epicerie salée</v>
      </c>
      <c r="C4384" s="20" t="str">
        <f t="array" ref="C4384">xlookup($A4384,product!$A:$A,product!C:C)</f>
        <v>Légumes et conserves</v>
      </c>
      <c r="D4384" s="20" t="str">
        <f t="array" ref="D4384">xlookup($A4384,product!$A:$A,product!D:D)</f>
        <v>Miso</v>
      </c>
      <c r="E4384" s="4" t="str">
        <f t="shared" si="1"/>
        <v>107331-Légumes et conserves-Miso</v>
      </c>
      <c r="F4384" s="4">
        <v>1.0</v>
      </c>
      <c r="G4384" s="4">
        <v>867.0</v>
      </c>
      <c r="H4384" s="4">
        <v>803.0</v>
      </c>
      <c r="I4384" s="21">
        <f t="array" ref="I4384">XLOOKUP($A4384,product!A:A,product!E:E)</f>
        <v>2.07</v>
      </c>
      <c r="J4384" s="4">
        <f t="shared" si="2"/>
        <v>1662.21</v>
      </c>
      <c r="K4384" s="22">
        <f t="shared" si="3"/>
        <v>1</v>
      </c>
      <c r="L4384" s="4">
        <f t="shared" si="4"/>
        <v>1</v>
      </c>
    </row>
    <row r="4385">
      <c r="A4385" s="23">
        <v>107325.0</v>
      </c>
      <c r="B4385" s="24" t="str">
        <f t="array" ref="B4385">xlookup($A4385,product!$A:$A,product!B:B)</f>
        <v>Epicerie salée</v>
      </c>
      <c r="C4385" s="24" t="str">
        <f t="array" ref="C4385">xlookup($A4385,product!$A:$A,product!C:C)</f>
        <v>Légumes et conserves</v>
      </c>
      <c r="D4385" s="24" t="str">
        <f t="array" ref="D4385">xlookup($A4385,product!$A:$A,product!D:D)</f>
        <v>Miso</v>
      </c>
      <c r="E4385" s="25" t="str">
        <f t="shared" si="1"/>
        <v>107325-Légumes et conserves-Miso</v>
      </c>
      <c r="F4385" s="25">
        <v>0.0</v>
      </c>
      <c r="G4385" s="25">
        <v>406.0</v>
      </c>
      <c r="H4385" s="25">
        <v>95.0</v>
      </c>
      <c r="I4385" s="26">
        <f t="array" ref="I4385">XLOOKUP($A4385,product!A:A,product!E:E)</f>
        <v>2.69</v>
      </c>
      <c r="J4385" s="25">
        <f t="shared" si="2"/>
        <v>255.55</v>
      </c>
      <c r="K4385" s="27">
        <f t="shared" si="3"/>
        <v>1</v>
      </c>
      <c r="L4385" s="25">
        <f t="shared" si="4"/>
        <v>1</v>
      </c>
    </row>
    <row r="4386">
      <c r="A4386" s="19">
        <v>8871.0</v>
      </c>
      <c r="B4386" s="20" t="str">
        <f t="array" ref="B4386">xlookup($A4386,product!$A:$A,product!B:B)</f>
        <v>Epicerie salée</v>
      </c>
      <c r="C4386" s="20" t="str">
        <f t="array" ref="C4386">xlookup($A4386,product!$A:$A,product!C:C)</f>
        <v>Légumes et conserves</v>
      </c>
      <c r="D4386" s="20" t="str">
        <f t="array" ref="D4386">xlookup($A4386,product!$A:$A,product!D:D)</f>
        <v>Miso</v>
      </c>
      <c r="E4386" s="4" t="str">
        <f t="shared" si="1"/>
        <v>8871-Légumes et conserves-Miso</v>
      </c>
      <c r="F4386" s="4">
        <v>1.0</v>
      </c>
      <c r="G4386" s="4">
        <v>877.0</v>
      </c>
      <c r="H4386" s="4">
        <v>812.0</v>
      </c>
      <c r="I4386" s="21">
        <f t="array" ref="I4386">XLOOKUP($A4386,product!A:A,product!E:E)</f>
        <v>5.1</v>
      </c>
      <c r="J4386" s="4">
        <f t="shared" si="2"/>
        <v>4141.2</v>
      </c>
      <c r="K4386" s="22">
        <f t="shared" si="3"/>
        <v>1</v>
      </c>
      <c r="L4386" s="4">
        <f t="shared" si="4"/>
        <v>1</v>
      </c>
    </row>
    <row r="4387">
      <c r="A4387" s="23">
        <v>107334.0</v>
      </c>
      <c r="B4387" s="24" t="str">
        <f t="array" ref="B4387">xlookup($A4387,product!$A:$A,product!B:B)</f>
        <v>Epicerie salée</v>
      </c>
      <c r="C4387" s="24" t="str">
        <f t="array" ref="C4387">xlookup($A4387,product!$A:$A,product!C:C)</f>
        <v>Légumes et conserves</v>
      </c>
      <c r="D4387" s="24" t="str">
        <f t="array" ref="D4387">xlookup($A4387,product!$A:$A,product!D:D)</f>
        <v>Miso</v>
      </c>
      <c r="E4387" s="25" t="str">
        <f t="shared" si="1"/>
        <v>107334-Légumes et conserves-Miso</v>
      </c>
      <c r="F4387" s="25">
        <v>0.0</v>
      </c>
      <c r="G4387" s="25">
        <v>556.0</v>
      </c>
      <c r="H4387" s="25">
        <v>431.0</v>
      </c>
      <c r="I4387" s="26">
        <f t="array" ref="I4387">XLOOKUP($A4387,product!A:A,product!E:E)</f>
        <v>2.07</v>
      </c>
      <c r="J4387" s="25">
        <f t="shared" si="2"/>
        <v>892.17</v>
      </c>
      <c r="K4387" s="27">
        <f t="shared" si="3"/>
        <v>1</v>
      </c>
      <c r="L4387" s="25">
        <f t="shared" si="4"/>
        <v>1</v>
      </c>
    </row>
    <row r="4388">
      <c r="A4388" s="19">
        <v>120302.0</v>
      </c>
      <c r="B4388" s="20" t="str">
        <f t="array" ref="B4388">xlookup($A4388,product!$A:$A,product!B:B)</f>
        <v>Epicerie salée</v>
      </c>
      <c r="C4388" s="20" t="str">
        <f t="array" ref="C4388">xlookup($A4388,product!$A:$A,product!C:C)</f>
        <v>Légumes et conserves</v>
      </c>
      <c r="D4388" s="20" t="str">
        <f t="array" ref="D4388">xlookup($A4388,product!$A:$A,product!D:D)</f>
        <v>Soupes bio</v>
      </c>
      <c r="E4388" s="4" t="str">
        <f t="shared" si="1"/>
        <v>120302-Légumes et conserves-Soupes bio</v>
      </c>
      <c r="F4388" s="4">
        <v>0.0</v>
      </c>
      <c r="G4388" s="4">
        <v>637.0</v>
      </c>
      <c r="H4388" s="4">
        <v>608.0</v>
      </c>
      <c r="I4388" s="21">
        <f t="array" ref="I4388">XLOOKUP($A4388,product!A:A,product!E:E)</f>
        <v>2.12</v>
      </c>
      <c r="J4388" s="4">
        <f t="shared" si="2"/>
        <v>1288.96</v>
      </c>
      <c r="K4388" s="22">
        <f t="shared" si="3"/>
        <v>1</v>
      </c>
      <c r="L4388" s="4">
        <f t="shared" si="4"/>
        <v>1</v>
      </c>
    </row>
    <row r="4389">
      <c r="A4389" s="23">
        <v>117661.0</v>
      </c>
      <c r="B4389" s="24" t="str">
        <f t="array" ref="B4389">xlookup($A4389,product!$A:$A,product!B:B)</f>
        <v>Epicerie salée</v>
      </c>
      <c r="C4389" s="24" t="str">
        <f t="array" ref="C4389">xlookup($A4389,product!$A:$A,product!C:C)</f>
        <v>Légumes et conserves</v>
      </c>
      <c r="D4389" s="24" t="str">
        <f t="array" ref="D4389">xlookup($A4389,product!$A:$A,product!D:D)</f>
        <v>Soupes bio</v>
      </c>
      <c r="E4389" s="25" t="str">
        <f t="shared" si="1"/>
        <v>117661-Légumes et conserves-Soupes bio</v>
      </c>
      <c r="F4389" s="25">
        <v>1.0</v>
      </c>
      <c r="G4389" s="25">
        <v>577.0</v>
      </c>
      <c r="H4389" s="25">
        <v>302.0</v>
      </c>
      <c r="I4389" s="26">
        <f t="array" ref="I4389">XLOOKUP($A4389,product!A:A,product!E:E)</f>
        <v>2.32</v>
      </c>
      <c r="J4389" s="25">
        <f t="shared" si="2"/>
        <v>700.64</v>
      </c>
      <c r="K4389" s="27">
        <f t="shared" si="3"/>
        <v>1</v>
      </c>
      <c r="L4389" s="25">
        <f t="shared" si="4"/>
        <v>1</v>
      </c>
    </row>
    <row r="4390">
      <c r="A4390" s="19">
        <v>79006.0</v>
      </c>
      <c r="B4390" s="20" t="str">
        <f t="array" ref="B4390">xlookup($A4390,product!$A:$A,product!B:B)</f>
        <v>Epicerie salée</v>
      </c>
      <c r="C4390" s="20" t="str">
        <f t="array" ref="C4390">xlookup($A4390,product!$A:$A,product!C:C)</f>
        <v>Légumes et conserves</v>
      </c>
      <c r="D4390" s="20" t="str">
        <f t="array" ref="D4390">xlookup($A4390,product!$A:$A,product!D:D)</f>
        <v>Soupes bio</v>
      </c>
      <c r="E4390" s="4" t="str">
        <f t="shared" si="1"/>
        <v>79006-Légumes et conserves-Soupes bio</v>
      </c>
      <c r="F4390" s="4">
        <v>0.0</v>
      </c>
      <c r="G4390" s="4">
        <v>757.0</v>
      </c>
      <c r="H4390" s="4">
        <v>115.0</v>
      </c>
      <c r="I4390" s="21">
        <f t="array" ref="I4390">XLOOKUP($A4390,product!A:A,product!E:E)</f>
        <v>2.66</v>
      </c>
      <c r="J4390" s="4">
        <f t="shared" si="2"/>
        <v>305.9</v>
      </c>
      <c r="K4390" s="22">
        <f t="shared" si="3"/>
        <v>1</v>
      </c>
      <c r="L4390" s="4">
        <f t="shared" si="4"/>
        <v>1</v>
      </c>
    </row>
    <row r="4391">
      <c r="A4391" s="23">
        <v>17133.0</v>
      </c>
      <c r="B4391" s="24" t="str">
        <f t="array" ref="B4391">xlookup($A4391,product!$A:$A,product!B:B)</f>
        <v>Epicerie salée</v>
      </c>
      <c r="C4391" s="24" t="str">
        <f t="array" ref="C4391">xlookup($A4391,product!$A:$A,product!C:C)</f>
        <v>Légumes et conserves</v>
      </c>
      <c r="D4391" s="24" t="str">
        <f t="array" ref="D4391">xlookup($A4391,product!$A:$A,product!D:D)</f>
        <v>Soupes bio</v>
      </c>
      <c r="E4391" s="25" t="str">
        <f t="shared" si="1"/>
        <v>17133-Légumes et conserves-Soupes bio</v>
      </c>
      <c r="F4391" s="25">
        <v>0.0</v>
      </c>
      <c r="G4391" s="25">
        <v>555.0</v>
      </c>
      <c r="H4391" s="25">
        <v>12.0</v>
      </c>
      <c r="I4391" s="26">
        <f t="array" ref="I4391">XLOOKUP($A4391,product!A:A,product!E:E)</f>
        <v>0.98</v>
      </c>
      <c r="J4391" s="25">
        <f t="shared" si="2"/>
        <v>11.76</v>
      </c>
      <c r="K4391" s="27">
        <f t="shared" si="3"/>
        <v>1</v>
      </c>
      <c r="L4391" s="25">
        <f t="shared" si="4"/>
        <v>1</v>
      </c>
    </row>
    <row r="4392">
      <c r="A4392" s="19">
        <v>76818.0</v>
      </c>
      <c r="B4392" s="20" t="str">
        <f t="array" ref="B4392">xlookup($A4392,product!$A:$A,product!B:B)</f>
        <v>Epicerie salée</v>
      </c>
      <c r="C4392" s="20" t="str">
        <f t="array" ref="C4392">xlookup($A4392,product!$A:$A,product!C:C)</f>
        <v>Légumes et conserves</v>
      </c>
      <c r="D4392" s="20" t="str">
        <f t="array" ref="D4392">xlookup($A4392,product!$A:$A,product!D:D)</f>
        <v>Soupes bio</v>
      </c>
      <c r="E4392" s="4" t="str">
        <f t="shared" si="1"/>
        <v>76818-Légumes et conserves-Soupes bio</v>
      </c>
      <c r="F4392" s="4">
        <v>1.0</v>
      </c>
      <c r="G4392" s="4">
        <v>445.0</v>
      </c>
      <c r="H4392" s="4">
        <v>30.0</v>
      </c>
      <c r="I4392" s="21">
        <f t="array" ref="I4392">XLOOKUP($A4392,product!A:A,product!E:E)</f>
        <v>1.98</v>
      </c>
      <c r="J4392" s="4">
        <f t="shared" si="2"/>
        <v>59.4</v>
      </c>
      <c r="K4392" s="22">
        <f t="shared" si="3"/>
        <v>1</v>
      </c>
      <c r="L4392" s="4">
        <f t="shared" si="4"/>
        <v>1</v>
      </c>
    </row>
    <row r="4393">
      <c r="A4393" s="23">
        <v>70236.0</v>
      </c>
      <c r="B4393" s="24" t="str">
        <f t="array" ref="B4393">xlookup($A4393,product!$A:$A,product!B:B)</f>
        <v>Epicerie salée</v>
      </c>
      <c r="C4393" s="24" t="str">
        <f t="array" ref="C4393">xlookup($A4393,product!$A:$A,product!C:C)</f>
        <v>Légumes et conserves</v>
      </c>
      <c r="D4393" s="24" t="str">
        <f t="array" ref="D4393">xlookup($A4393,product!$A:$A,product!D:D)</f>
        <v>Soupes bio</v>
      </c>
      <c r="E4393" s="25" t="str">
        <f t="shared" si="1"/>
        <v>70236-Légumes et conserves-Soupes bio</v>
      </c>
      <c r="F4393" s="25">
        <v>0.0</v>
      </c>
      <c r="G4393" s="25">
        <v>234.0</v>
      </c>
      <c r="H4393" s="25">
        <v>192.0</v>
      </c>
      <c r="I4393" s="26">
        <f t="array" ref="I4393">XLOOKUP($A4393,product!A:A,product!E:E)</f>
        <v>1.85</v>
      </c>
      <c r="J4393" s="25">
        <f t="shared" si="2"/>
        <v>355.2</v>
      </c>
      <c r="K4393" s="27">
        <f t="shared" si="3"/>
        <v>1</v>
      </c>
      <c r="L4393" s="25">
        <f t="shared" si="4"/>
        <v>1</v>
      </c>
    </row>
    <row r="4394">
      <c r="A4394" s="19">
        <v>91342.0</v>
      </c>
      <c r="B4394" s="20" t="str">
        <f t="array" ref="B4394">xlookup($A4394,product!$A:$A,product!B:B)</f>
        <v>Epicerie salée</v>
      </c>
      <c r="C4394" s="20" t="str">
        <f t="array" ref="C4394">xlookup($A4394,product!$A:$A,product!C:C)</f>
        <v>Légumes et conserves</v>
      </c>
      <c r="D4394" s="20" t="str">
        <f t="array" ref="D4394">xlookup($A4394,product!$A:$A,product!D:D)</f>
        <v>Soupes bio</v>
      </c>
      <c r="E4394" s="4" t="str">
        <f t="shared" si="1"/>
        <v>91342-Légumes et conserves-Soupes bio</v>
      </c>
      <c r="F4394" s="4">
        <v>0.0</v>
      </c>
      <c r="G4394" s="4">
        <v>444.0</v>
      </c>
      <c r="H4394" s="4">
        <v>322.0</v>
      </c>
      <c r="I4394" s="21">
        <f t="array" ref="I4394">XLOOKUP($A4394,product!A:A,product!E:E)</f>
        <v>1.34</v>
      </c>
      <c r="J4394" s="4">
        <f t="shared" si="2"/>
        <v>431.48</v>
      </c>
      <c r="K4394" s="22">
        <f t="shared" si="3"/>
        <v>1</v>
      </c>
      <c r="L4394" s="4">
        <f t="shared" si="4"/>
        <v>1</v>
      </c>
    </row>
    <row r="4395">
      <c r="A4395" s="23">
        <v>121782.0</v>
      </c>
      <c r="B4395" s="24" t="str">
        <f t="array" ref="B4395">xlookup($A4395,product!$A:$A,product!B:B)</f>
        <v>Epicerie salée</v>
      </c>
      <c r="C4395" s="24" t="str">
        <f t="array" ref="C4395">xlookup($A4395,product!$A:$A,product!C:C)</f>
        <v>Légumes et conserves</v>
      </c>
      <c r="D4395" s="24" t="str">
        <f t="array" ref="D4395">xlookup($A4395,product!$A:$A,product!D:D)</f>
        <v>Soupes bio</v>
      </c>
      <c r="E4395" s="25" t="str">
        <f t="shared" si="1"/>
        <v>121782-Légumes et conserves-Soupes bio</v>
      </c>
      <c r="F4395" s="25">
        <v>0.0</v>
      </c>
      <c r="G4395" s="25">
        <v>661.0</v>
      </c>
      <c r="H4395" s="25">
        <v>517.0</v>
      </c>
      <c r="I4395" s="26">
        <f t="array" ref="I4395">XLOOKUP($A4395,product!A:A,product!E:E)</f>
        <v>2.5</v>
      </c>
      <c r="J4395" s="25">
        <f t="shared" si="2"/>
        <v>1292.5</v>
      </c>
      <c r="K4395" s="27">
        <f t="shared" si="3"/>
        <v>1</v>
      </c>
      <c r="L4395" s="25">
        <f t="shared" si="4"/>
        <v>1</v>
      </c>
    </row>
    <row r="4396">
      <c r="A4396" s="19">
        <v>76822.0</v>
      </c>
      <c r="B4396" s="20" t="str">
        <f t="array" ref="B4396">xlookup($A4396,product!$A:$A,product!B:B)</f>
        <v>Epicerie salée</v>
      </c>
      <c r="C4396" s="20" t="str">
        <f t="array" ref="C4396">xlookup($A4396,product!$A:$A,product!C:C)</f>
        <v>Légumes et conserves</v>
      </c>
      <c r="D4396" s="20" t="str">
        <f t="array" ref="D4396">xlookup($A4396,product!$A:$A,product!D:D)</f>
        <v>Soupes bio</v>
      </c>
      <c r="E4396" s="4" t="str">
        <f t="shared" si="1"/>
        <v>76822-Légumes et conserves-Soupes bio</v>
      </c>
      <c r="F4396" s="4">
        <v>0.0</v>
      </c>
      <c r="G4396" s="4">
        <v>815.0</v>
      </c>
      <c r="H4396" s="4">
        <v>295.0</v>
      </c>
      <c r="I4396" s="21">
        <f t="array" ref="I4396">XLOOKUP($A4396,product!A:A,product!E:E)</f>
        <v>1.98</v>
      </c>
      <c r="J4396" s="4">
        <f t="shared" si="2"/>
        <v>584.1</v>
      </c>
      <c r="K4396" s="22">
        <f t="shared" si="3"/>
        <v>1</v>
      </c>
      <c r="L4396" s="4">
        <f t="shared" si="4"/>
        <v>1</v>
      </c>
    </row>
    <row r="4397">
      <c r="A4397" s="23">
        <v>100278.0</v>
      </c>
      <c r="B4397" s="24" t="str">
        <f t="array" ref="B4397">xlookup($A4397,product!$A:$A,product!B:B)</f>
        <v>Epicerie salée</v>
      </c>
      <c r="C4397" s="24" t="str">
        <f t="array" ref="C4397">xlookup($A4397,product!$A:$A,product!C:C)</f>
        <v>Légumes et conserves</v>
      </c>
      <c r="D4397" s="24" t="str">
        <f t="array" ref="D4397">xlookup($A4397,product!$A:$A,product!D:D)</f>
        <v>Soupes bio</v>
      </c>
      <c r="E4397" s="25" t="str">
        <f t="shared" si="1"/>
        <v>100278-Légumes et conserves-Soupes bio</v>
      </c>
      <c r="F4397" s="25">
        <v>1.0</v>
      </c>
      <c r="G4397" s="25">
        <v>616.0</v>
      </c>
      <c r="H4397" s="25">
        <v>260.0</v>
      </c>
      <c r="I4397" s="26">
        <f t="array" ref="I4397">XLOOKUP($A4397,product!A:A,product!E:E)</f>
        <v>0.87</v>
      </c>
      <c r="J4397" s="25">
        <f t="shared" si="2"/>
        <v>226.2</v>
      </c>
      <c r="K4397" s="27">
        <f t="shared" si="3"/>
        <v>1</v>
      </c>
      <c r="L4397" s="25">
        <f t="shared" si="4"/>
        <v>1</v>
      </c>
    </row>
    <row r="4398">
      <c r="A4398" s="19">
        <v>122795.0</v>
      </c>
      <c r="B4398" s="20" t="str">
        <f t="array" ref="B4398">xlookup($A4398,product!$A:$A,product!B:B)</f>
        <v>Epicerie salée</v>
      </c>
      <c r="C4398" s="20" t="str">
        <f t="array" ref="C4398">xlookup($A4398,product!$A:$A,product!C:C)</f>
        <v>Légumes et conserves</v>
      </c>
      <c r="D4398" s="20" t="str">
        <f t="array" ref="D4398">xlookup($A4398,product!$A:$A,product!D:D)</f>
        <v>Soupes bio</v>
      </c>
      <c r="E4398" s="4" t="str">
        <f t="shared" si="1"/>
        <v>122795-Légumes et conserves-Soupes bio</v>
      </c>
      <c r="F4398" s="4">
        <v>0.0</v>
      </c>
      <c r="G4398" s="4">
        <v>502.0</v>
      </c>
      <c r="H4398" s="4">
        <v>274.0</v>
      </c>
      <c r="I4398" s="21">
        <f t="array" ref="I4398">XLOOKUP($A4398,product!A:A,product!E:E)</f>
        <v>2.19</v>
      </c>
      <c r="J4398" s="4">
        <f t="shared" si="2"/>
        <v>600.06</v>
      </c>
      <c r="K4398" s="22">
        <f t="shared" si="3"/>
        <v>1</v>
      </c>
      <c r="L4398" s="4">
        <f t="shared" si="4"/>
        <v>1</v>
      </c>
    </row>
    <row r="4399">
      <c r="A4399" s="23">
        <v>100282.0</v>
      </c>
      <c r="B4399" s="24" t="str">
        <f t="array" ref="B4399">xlookup($A4399,product!$A:$A,product!B:B)</f>
        <v>Epicerie salée</v>
      </c>
      <c r="C4399" s="24" t="str">
        <f t="array" ref="C4399">xlookup($A4399,product!$A:$A,product!C:C)</f>
        <v>Légumes et conserves</v>
      </c>
      <c r="D4399" s="24" t="str">
        <f t="array" ref="D4399">xlookup($A4399,product!$A:$A,product!D:D)</f>
        <v>Soupes bio</v>
      </c>
      <c r="E4399" s="25" t="str">
        <f t="shared" si="1"/>
        <v>100282-Légumes et conserves-Soupes bio</v>
      </c>
      <c r="F4399" s="25">
        <v>0.0</v>
      </c>
      <c r="G4399" s="25">
        <v>289.0</v>
      </c>
      <c r="H4399" s="25">
        <v>52.0</v>
      </c>
      <c r="I4399" s="26">
        <f t="array" ref="I4399">XLOOKUP($A4399,product!A:A,product!E:E)</f>
        <v>0.9</v>
      </c>
      <c r="J4399" s="25">
        <f t="shared" si="2"/>
        <v>46.8</v>
      </c>
      <c r="K4399" s="27">
        <f t="shared" si="3"/>
        <v>1</v>
      </c>
      <c r="L4399" s="25">
        <f t="shared" si="4"/>
        <v>1</v>
      </c>
    </row>
    <row r="4400">
      <c r="A4400" s="19">
        <v>68867.0</v>
      </c>
      <c r="B4400" s="20" t="str">
        <f t="array" ref="B4400">xlookup($A4400,product!$A:$A,product!B:B)</f>
        <v>Epicerie salée</v>
      </c>
      <c r="C4400" s="20" t="str">
        <f t="array" ref="C4400">xlookup($A4400,product!$A:$A,product!C:C)</f>
        <v>Légumes et conserves</v>
      </c>
      <c r="D4400" s="20" t="str">
        <f t="array" ref="D4400">xlookup($A4400,product!$A:$A,product!D:D)</f>
        <v>Soupes bio</v>
      </c>
      <c r="E4400" s="4" t="str">
        <f t="shared" si="1"/>
        <v>68867-Légumes et conserves-Soupes bio</v>
      </c>
      <c r="F4400" s="4">
        <v>0.0</v>
      </c>
      <c r="G4400" s="4">
        <v>204.0</v>
      </c>
      <c r="H4400" s="4">
        <v>82.0</v>
      </c>
      <c r="I4400" s="21">
        <f t="array" ref="I4400">XLOOKUP($A4400,product!A:A,product!E:E)</f>
        <v>1.85</v>
      </c>
      <c r="J4400" s="4">
        <f t="shared" si="2"/>
        <v>151.7</v>
      </c>
      <c r="K4400" s="22">
        <f t="shared" si="3"/>
        <v>1</v>
      </c>
      <c r="L4400" s="4">
        <f t="shared" si="4"/>
        <v>1</v>
      </c>
    </row>
    <row r="4401">
      <c r="A4401" s="23">
        <v>8862.0</v>
      </c>
      <c r="B4401" s="24" t="str">
        <f t="array" ref="B4401">xlookup($A4401,product!$A:$A,product!B:B)</f>
        <v>Epicerie salée</v>
      </c>
      <c r="C4401" s="24" t="str">
        <f t="array" ref="C4401">xlookup($A4401,product!$A:$A,product!C:C)</f>
        <v>Légumes et conserves</v>
      </c>
      <c r="D4401" s="24" t="str">
        <f t="array" ref="D4401">xlookup($A4401,product!$A:$A,product!D:D)</f>
        <v>Soupes bio</v>
      </c>
      <c r="E4401" s="25" t="str">
        <f t="shared" si="1"/>
        <v>8862-Légumes et conserves-Soupes bio</v>
      </c>
      <c r="F4401" s="25">
        <v>0.0</v>
      </c>
      <c r="G4401" s="25">
        <v>596.0</v>
      </c>
      <c r="H4401" s="25">
        <v>263.0</v>
      </c>
      <c r="I4401" s="26">
        <f t="array" ref="I4401">XLOOKUP($A4401,product!A:A,product!E:E)</f>
        <v>2.9</v>
      </c>
      <c r="J4401" s="25">
        <f t="shared" si="2"/>
        <v>762.7</v>
      </c>
      <c r="K4401" s="27">
        <f t="shared" si="3"/>
        <v>1</v>
      </c>
      <c r="L4401" s="25">
        <f t="shared" si="4"/>
        <v>1</v>
      </c>
    </row>
    <row r="4402">
      <c r="A4402" s="19">
        <v>72131.0</v>
      </c>
      <c r="B4402" s="20" t="str">
        <f t="array" ref="B4402">xlookup($A4402,product!$A:$A,product!B:B)</f>
        <v>Epicerie salée</v>
      </c>
      <c r="C4402" s="20" t="str">
        <f t="array" ref="C4402">xlookup($A4402,product!$A:$A,product!C:C)</f>
        <v>Légumes et conserves</v>
      </c>
      <c r="D4402" s="20" t="str">
        <f t="array" ref="D4402">xlookup($A4402,product!$A:$A,product!D:D)</f>
        <v>Soupes bio</v>
      </c>
      <c r="E4402" s="4" t="str">
        <f t="shared" si="1"/>
        <v>72131-Légumes et conserves-Soupes bio</v>
      </c>
      <c r="F4402" s="4">
        <v>1.0</v>
      </c>
      <c r="G4402" s="4">
        <v>665.0</v>
      </c>
      <c r="H4402" s="4">
        <v>484.0</v>
      </c>
      <c r="I4402" s="21">
        <f t="array" ref="I4402">XLOOKUP($A4402,product!A:A,product!E:E)</f>
        <v>0.75</v>
      </c>
      <c r="J4402" s="4">
        <f t="shared" si="2"/>
        <v>363</v>
      </c>
      <c r="K4402" s="22">
        <f t="shared" si="3"/>
        <v>1</v>
      </c>
      <c r="L4402" s="4">
        <f t="shared" si="4"/>
        <v>1</v>
      </c>
    </row>
    <row r="4403">
      <c r="A4403" s="23">
        <v>12047.0</v>
      </c>
      <c r="B4403" s="24" t="str">
        <f t="array" ref="B4403">xlookup($A4403,product!$A:$A,product!B:B)</f>
        <v>Epicerie salée</v>
      </c>
      <c r="C4403" s="24" t="str">
        <f t="array" ref="C4403">xlookup($A4403,product!$A:$A,product!C:C)</f>
        <v>Légumes et conserves</v>
      </c>
      <c r="D4403" s="24" t="str">
        <f t="array" ref="D4403">xlookup($A4403,product!$A:$A,product!D:D)</f>
        <v>Soupes bio</v>
      </c>
      <c r="E4403" s="25" t="str">
        <f t="shared" si="1"/>
        <v>12047-Légumes et conserves-Soupes bio</v>
      </c>
      <c r="F4403" s="25">
        <v>0.0</v>
      </c>
      <c r="G4403" s="25">
        <v>603.0</v>
      </c>
      <c r="H4403" s="25">
        <v>216.0</v>
      </c>
      <c r="I4403" s="26">
        <f t="array" ref="I4403">XLOOKUP($A4403,product!A:A,product!E:E)</f>
        <v>0.75</v>
      </c>
      <c r="J4403" s="25">
        <f t="shared" si="2"/>
        <v>162</v>
      </c>
      <c r="K4403" s="27">
        <f t="shared" si="3"/>
        <v>1</v>
      </c>
      <c r="L4403" s="25">
        <f t="shared" si="4"/>
        <v>1</v>
      </c>
    </row>
    <row r="4404">
      <c r="A4404" s="19">
        <v>121790.0</v>
      </c>
      <c r="B4404" s="20" t="str">
        <f t="array" ref="B4404">xlookup($A4404,product!$A:$A,product!B:B)</f>
        <v>Epicerie salée</v>
      </c>
      <c r="C4404" s="20" t="str">
        <f t="array" ref="C4404">xlookup($A4404,product!$A:$A,product!C:C)</f>
        <v>Légumes et conserves</v>
      </c>
      <c r="D4404" s="20" t="str">
        <f t="array" ref="D4404">xlookup($A4404,product!$A:$A,product!D:D)</f>
        <v>Soupes bio</v>
      </c>
      <c r="E4404" s="4" t="str">
        <f t="shared" si="1"/>
        <v>121790-Légumes et conserves-Soupes bio</v>
      </c>
      <c r="F4404" s="4">
        <v>1.0</v>
      </c>
      <c r="G4404" s="4">
        <v>395.0</v>
      </c>
      <c r="H4404" s="4">
        <v>191.0</v>
      </c>
      <c r="I4404" s="21">
        <f t="array" ref="I4404">XLOOKUP($A4404,product!A:A,product!E:E)</f>
        <v>2.59</v>
      </c>
      <c r="J4404" s="4">
        <f t="shared" si="2"/>
        <v>494.69</v>
      </c>
      <c r="K4404" s="22">
        <f t="shared" si="3"/>
        <v>1</v>
      </c>
      <c r="L4404" s="4">
        <f t="shared" si="4"/>
        <v>1</v>
      </c>
    </row>
    <row r="4405">
      <c r="A4405" s="23">
        <v>121787.0</v>
      </c>
      <c r="B4405" s="24" t="str">
        <f t="array" ref="B4405">xlookup($A4405,product!$A:$A,product!B:B)</f>
        <v>Epicerie salée</v>
      </c>
      <c r="C4405" s="24" t="str">
        <f t="array" ref="C4405">xlookup($A4405,product!$A:$A,product!C:C)</f>
        <v>Légumes et conserves</v>
      </c>
      <c r="D4405" s="24" t="str">
        <f t="array" ref="D4405">xlookup($A4405,product!$A:$A,product!D:D)</f>
        <v>Soupes bio</v>
      </c>
      <c r="E4405" s="25" t="str">
        <f t="shared" si="1"/>
        <v>121787-Légumes et conserves-Soupes bio</v>
      </c>
      <c r="F4405" s="25">
        <v>1.0</v>
      </c>
      <c r="G4405" s="25">
        <v>61.0</v>
      </c>
      <c r="H4405" s="25">
        <v>28.0</v>
      </c>
      <c r="I4405" s="26">
        <f t="array" ref="I4405">XLOOKUP($A4405,product!A:A,product!E:E)</f>
        <v>2.39</v>
      </c>
      <c r="J4405" s="25">
        <f t="shared" si="2"/>
        <v>66.92</v>
      </c>
      <c r="K4405" s="27">
        <f t="shared" si="3"/>
        <v>1</v>
      </c>
      <c r="L4405" s="25">
        <f t="shared" si="4"/>
        <v>1</v>
      </c>
    </row>
    <row r="4406">
      <c r="A4406" s="19">
        <v>70239.0</v>
      </c>
      <c r="B4406" s="20" t="str">
        <f t="array" ref="B4406">xlookup($A4406,product!$A:$A,product!B:B)</f>
        <v>Epicerie salée</v>
      </c>
      <c r="C4406" s="20" t="str">
        <f t="array" ref="C4406">xlookup($A4406,product!$A:$A,product!C:C)</f>
        <v>Légumes et conserves</v>
      </c>
      <c r="D4406" s="20" t="str">
        <f t="array" ref="D4406">xlookup($A4406,product!$A:$A,product!D:D)</f>
        <v>Soupes bio</v>
      </c>
      <c r="E4406" s="4" t="str">
        <f t="shared" si="1"/>
        <v>70239-Légumes et conserves-Soupes bio</v>
      </c>
      <c r="F4406" s="4">
        <v>1.0</v>
      </c>
      <c r="G4406" s="4">
        <v>926.0</v>
      </c>
      <c r="H4406" s="4">
        <v>81.0</v>
      </c>
      <c r="I4406" s="21">
        <f t="array" ref="I4406">XLOOKUP($A4406,product!A:A,product!E:E)</f>
        <v>1.81</v>
      </c>
      <c r="J4406" s="4">
        <f t="shared" si="2"/>
        <v>146.61</v>
      </c>
      <c r="K4406" s="22">
        <f t="shared" si="3"/>
        <v>1</v>
      </c>
      <c r="L4406" s="4">
        <f t="shared" si="4"/>
        <v>1</v>
      </c>
    </row>
    <row r="4407">
      <c r="A4407" s="23">
        <v>113942.0</v>
      </c>
      <c r="B4407" s="24" t="str">
        <f t="array" ref="B4407">xlookup($A4407,product!$A:$A,product!B:B)</f>
        <v>Epicerie salée</v>
      </c>
      <c r="C4407" s="24" t="str">
        <f t="array" ref="C4407">xlookup($A4407,product!$A:$A,product!C:C)</f>
        <v>Légumes et conserves</v>
      </c>
      <c r="D4407" s="24" t="str">
        <f t="array" ref="D4407">xlookup($A4407,product!$A:$A,product!D:D)</f>
        <v>Soupes bio</v>
      </c>
      <c r="E4407" s="25" t="str">
        <f t="shared" si="1"/>
        <v>113942-Légumes et conserves-Soupes bio</v>
      </c>
      <c r="F4407" s="25">
        <v>1.0</v>
      </c>
      <c r="G4407" s="25">
        <v>786.0</v>
      </c>
      <c r="H4407" s="25">
        <v>774.0</v>
      </c>
      <c r="I4407" s="26">
        <f t="array" ref="I4407">XLOOKUP($A4407,product!A:A,product!E:E)</f>
        <v>1.9</v>
      </c>
      <c r="J4407" s="25">
        <f t="shared" si="2"/>
        <v>1470.6</v>
      </c>
      <c r="K4407" s="27">
        <f t="shared" si="3"/>
        <v>1</v>
      </c>
      <c r="L4407" s="25">
        <f t="shared" si="4"/>
        <v>1</v>
      </c>
    </row>
    <row r="4408">
      <c r="A4408" s="19">
        <v>119134.0</v>
      </c>
      <c r="B4408" s="20" t="str">
        <f t="array" ref="B4408">xlookup($A4408,product!$A:$A,product!B:B)</f>
        <v>Epicerie salée</v>
      </c>
      <c r="C4408" s="20" t="str">
        <f t="array" ref="C4408">xlookup($A4408,product!$A:$A,product!C:C)</f>
        <v>Légumes et conserves</v>
      </c>
      <c r="D4408" s="20" t="str">
        <f t="array" ref="D4408">xlookup($A4408,product!$A:$A,product!D:D)</f>
        <v>Soupes bio</v>
      </c>
      <c r="E4408" s="4" t="str">
        <f t="shared" si="1"/>
        <v>119134-Légumes et conserves-Soupes bio</v>
      </c>
      <c r="F4408" s="4">
        <v>0.0</v>
      </c>
      <c r="G4408" s="4">
        <v>583.0</v>
      </c>
      <c r="H4408" s="4">
        <v>316.0</v>
      </c>
      <c r="I4408" s="21">
        <f t="array" ref="I4408">XLOOKUP($A4408,product!A:A,product!E:E)</f>
        <v>2.48</v>
      </c>
      <c r="J4408" s="4">
        <f t="shared" si="2"/>
        <v>783.68</v>
      </c>
      <c r="K4408" s="22">
        <f t="shared" si="3"/>
        <v>1</v>
      </c>
      <c r="L4408" s="4">
        <f t="shared" si="4"/>
        <v>1</v>
      </c>
    </row>
    <row r="4409">
      <c r="A4409" s="23">
        <v>76813.0</v>
      </c>
      <c r="B4409" s="24" t="str">
        <f t="array" ref="B4409">xlookup($A4409,product!$A:$A,product!B:B)</f>
        <v>Epicerie salée</v>
      </c>
      <c r="C4409" s="24" t="str">
        <f t="array" ref="C4409">xlookup($A4409,product!$A:$A,product!C:C)</f>
        <v>Légumes et conserves</v>
      </c>
      <c r="D4409" s="24" t="str">
        <f t="array" ref="D4409">xlookup($A4409,product!$A:$A,product!D:D)</f>
        <v>Soupes bio</v>
      </c>
      <c r="E4409" s="25" t="str">
        <f t="shared" si="1"/>
        <v>76813-Légumes et conserves-Soupes bio</v>
      </c>
      <c r="F4409" s="25">
        <v>0.0</v>
      </c>
      <c r="G4409" s="25">
        <v>801.0</v>
      </c>
      <c r="H4409" s="25">
        <v>126.0</v>
      </c>
      <c r="I4409" s="26">
        <f t="array" ref="I4409">XLOOKUP($A4409,product!A:A,product!E:E)</f>
        <v>1.98</v>
      </c>
      <c r="J4409" s="25">
        <f t="shared" si="2"/>
        <v>249.48</v>
      </c>
      <c r="K4409" s="27">
        <f t="shared" si="3"/>
        <v>1</v>
      </c>
      <c r="L4409" s="25">
        <f t="shared" si="4"/>
        <v>1</v>
      </c>
    </row>
    <row r="4410">
      <c r="A4410" s="19">
        <v>121793.0</v>
      </c>
      <c r="B4410" s="20" t="str">
        <f t="array" ref="B4410">xlookup($A4410,product!$A:$A,product!B:B)</f>
        <v>Epicerie salée</v>
      </c>
      <c r="C4410" s="20" t="str">
        <f t="array" ref="C4410">xlookup($A4410,product!$A:$A,product!C:C)</f>
        <v>Légumes et conserves</v>
      </c>
      <c r="D4410" s="20" t="str">
        <f t="array" ref="D4410">xlookup($A4410,product!$A:$A,product!D:D)</f>
        <v>Soupes bio</v>
      </c>
      <c r="E4410" s="4" t="str">
        <f t="shared" si="1"/>
        <v>121793-Légumes et conserves-Soupes bio</v>
      </c>
      <c r="F4410" s="4">
        <v>0.0</v>
      </c>
      <c r="G4410" s="4">
        <v>347.0</v>
      </c>
      <c r="H4410" s="4">
        <v>95.0</v>
      </c>
      <c r="I4410" s="21">
        <f t="array" ref="I4410">XLOOKUP($A4410,product!A:A,product!E:E)</f>
        <v>2.6</v>
      </c>
      <c r="J4410" s="4">
        <f t="shared" si="2"/>
        <v>247</v>
      </c>
      <c r="K4410" s="22">
        <f t="shared" si="3"/>
        <v>1</v>
      </c>
      <c r="L4410" s="4">
        <f t="shared" si="4"/>
        <v>1</v>
      </c>
    </row>
    <row r="4411">
      <c r="A4411" s="23">
        <v>100283.0</v>
      </c>
      <c r="B4411" s="24" t="str">
        <f t="array" ref="B4411">xlookup($A4411,product!$A:$A,product!B:B)</f>
        <v>Epicerie salée</v>
      </c>
      <c r="C4411" s="24" t="str">
        <f t="array" ref="C4411">xlookup($A4411,product!$A:$A,product!C:C)</f>
        <v>Légumes et conserves</v>
      </c>
      <c r="D4411" s="24" t="str">
        <f t="array" ref="D4411">xlookup($A4411,product!$A:$A,product!D:D)</f>
        <v>Soupes bio</v>
      </c>
      <c r="E4411" s="25" t="str">
        <f t="shared" si="1"/>
        <v>100283-Légumes et conserves-Soupes bio</v>
      </c>
      <c r="F4411" s="25">
        <v>1.0</v>
      </c>
      <c r="G4411" s="25">
        <v>974.0</v>
      </c>
      <c r="H4411" s="25">
        <v>206.0</v>
      </c>
      <c r="I4411" s="26">
        <f t="array" ref="I4411">XLOOKUP($A4411,product!A:A,product!E:E)</f>
        <v>0.87</v>
      </c>
      <c r="J4411" s="25">
        <f t="shared" si="2"/>
        <v>179.22</v>
      </c>
      <c r="K4411" s="27">
        <f t="shared" si="3"/>
        <v>1</v>
      </c>
      <c r="L4411" s="25">
        <f t="shared" si="4"/>
        <v>1</v>
      </c>
    </row>
    <row r="4412">
      <c r="A4412" s="19">
        <v>75028.0</v>
      </c>
      <c r="B4412" s="20" t="str">
        <f t="array" ref="B4412">xlookup($A4412,product!$A:$A,product!B:B)</f>
        <v>Epicerie salée</v>
      </c>
      <c r="C4412" s="20" t="str">
        <f t="array" ref="C4412">xlookup($A4412,product!$A:$A,product!C:C)</f>
        <v>Légumes et conserves</v>
      </c>
      <c r="D4412" s="20" t="str">
        <f t="array" ref="D4412">xlookup($A4412,product!$A:$A,product!D:D)</f>
        <v>Soupes bio</v>
      </c>
      <c r="E4412" s="4" t="str">
        <f t="shared" si="1"/>
        <v>75028-Légumes et conserves-Soupes bio</v>
      </c>
      <c r="F4412" s="4">
        <v>1.0</v>
      </c>
      <c r="G4412" s="4">
        <v>17.0</v>
      </c>
      <c r="H4412" s="4">
        <v>15.0</v>
      </c>
      <c r="I4412" s="21">
        <f t="array" ref="I4412">XLOOKUP($A4412,product!A:A,product!E:E)</f>
        <v>2.48</v>
      </c>
      <c r="J4412" s="4">
        <f t="shared" si="2"/>
        <v>37.2</v>
      </c>
      <c r="K4412" s="22">
        <f t="shared" si="3"/>
        <v>1</v>
      </c>
      <c r="L4412" s="4">
        <f t="shared" si="4"/>
        <v>1</v>
      </c>
    </row>
    <row r="4413">
      <c r="A4413" s="23">
        <v>113946.0</v>
      </c>
      <c r="B4413" s="24" t="str">
        <f t="array" ref="B4413">xlookup($A4413,product!$A:$A,product!B:B)</f>
        <v>Epicerie salée</v>
      </c>
      <c r="C4413" s="24" t="str">
        <f t="array" ref="C4413">xlookup($A4413,product!$A:$A,product!C:C)</f>
        <v>Légumes et conserves</v>
      </c>
      <c r="D4413" s="24" t="str">
        <f t="array" ref="D4413">xlookup($A4413,product!$A:$A,product!D:D)</f>
        <v>Soupes bio</v>
      </c>
      <c r="E4413" s="25" t="str">
        <f t="shared" si="1"/>
        <v>113946-Légumes et conserves-Soupes bio</v>
      </c>
      <c r="F4413" s="25">
        <v>1.0</v>
      </c>
      <c r="G4413" s="25">
        <v>476.0</v>
      </c>
      <c r="H4413" s="25">
        <v>323.0</v>
      </c>
      <c r="I4413" s="26">
        <f t="array" ref="I4413">XLOOKUP($A4413,product!A:A,product!E:E)</f>
        <v>1.93</v>
      </c>
      <c r="J4413" s="25">
        <f t="shared" si="2"/>
        <v>623.39</v>
      </c>
      <c r="K4413" s="27">
        <f t="shared" si="3"/>
        <v>1</v>
      </c>
      <c r="L4413" s="25">
        <f t="shared" si="4"/>
        <v>1</v>
      </c>
    </row>
    <row r="4414">
      <c r="A4414" s="19">
        <v>12050.0</v>
      </c>
      <c r="B4414" s="20" t="str">
        <f t="array" ref="B4414">xlookup($A4414,product!$A:$A,product!B:B)</f>
        <v>Epicerie salée</v>
      </c>
      <c r="C4414" s="20" t="str">
        <f t="array" ref="C4414">xlookup($A4414,product!$A:$A,product!C:C)</f>
        <v>Légumes et conserves</v>
      </c>
      <c r="D4414" s="20" t="str">
        <f t="array" ref="D4414">xlookup($A4414,product!$A:$A,product!D:D)</f>
        <v>Soupes bio</v>
      </c>
      <c r="E4414" s="4" t="str">
        <f t="shared" si="1"/>
        <v>12050-Légumes et conserves-Soupes bio</v>
      </c>
      <c r="F4414" s="4">
        <v>0.0</v>
      </c>
      <c r="G4414" s="4">
        <v>909.0</v>
      </c>
      <c r="H4414" s="4">
        <v>203.0</v>
      </c>
      <c r="I4414" s="21">
        <f t="array" ref="I4414">XLOOKUP($A4414,product!A:A,product!E:E)</f>
        <v>0.75</v>
      </c>
      <c r="J4414" s="4">
        <f t="shared" si="2"/>
        <v>152.25</v>
      </c>
      <c r="K4414" s="22">
        <f t="shared" si="3"/>
        <v>1</v>
      </c>
      <c r="L4414" s="4">
        <f t="shared" si="4"/>
        <v>1</v>
      </c>
    </row>
    <row r="4415">
      <c r="A4415" s="23">
        <v>104312.0</v>
      </c>
      <c r="B4415" s="24" t="str">
        <f t="array" ref="B4415">xlookup($A4415,product!$A:$A,product!B:B)</f>
        <v>Epicerie salée</v>
      </c>
      <c r="C4415" s="24" t="str">
        <f t="array" ref="C4415">xlookup($A4415,product!$A:$A,product!C:C)</f>
        <v>Légumes et conserves</v>
      </c>
      <c r="D4415" s="24" t="str">
        <f t="array" ref="D4415">xlookup($A4415,product!$A:$A,product!D:D)</f>
        <v>Soupes bio</v>
      </c>
      <c r="E4415" s="25" t="str">
        <f t="shared" si="1"/>
        <v>104312-Légumes et conserves-Soupes bio</v>
      </c>
      <c r="F4415" s="25">
        <v>1.0</v>
      </c>
      <c r="G4415" s="25">
        <v>54.0</v>
      </c>
      <c r="H4415" s="25">
        <v>36.0</v>
      </c>
      <c r="I4415" s="26">
        <f t="array" ref="I4415">XLOOKUP($A4415,product!A:A,product!E:E)</f>
        <v>1.23</v>
      </c>
      <c r="J4415" s="25">
        <f t="shared" si="2"/>
        <v>44.28</v>
      </c>
      <c r="K4415" s="27">
        <f t="shared" si="3"/>
        <v>1</v>
      </c>
      <c r="L4415" s="25">
        <f t="shared" si="4"/>
        <v>1</v>
      </c>
    </row>
    <row r="4416">
      <c r="A4416" s="19">
        <v>121780.0</v>
      </c>
      <c r="B4416" s="20" t="str">
        <f t="array" ref="B4416">xlookup($A4416,product!$A:$A,product!B:B)</f>
        <v>Epicerie salée</v>
      </c>
      <c r="C4416" s="20" t="str">
        <f t="array" ref="C4416">xlookup($A4416,product!$A:$A,product!C:C)</f>
        <v>Légumes et conserves</v>
      </c>
      <c r="D4416" s="20" t="str">
        <f t="array" ref="D4416">xlookup($A4416,product!$A:$A,product!D:D)</f>
        <v>Soupes bio</v>
      </c>
      <c r="E4416" s="4" t="str">
        <f t="shared" si="1"/>
        <v>121780-Légumes et conserves-Soupes bio</v>
      </c>
      <c r="F4416" s="4">
        <v>1.0</v>
      </c>
      <c r="G4416" s="4">
        <v>923.0</v>
      </c>
      <c r="H4416" s="4">
        <v>22.0</v>
      </c>
      <c r="I4416" s="21">
        <f t="array" ref="I4416">XLOOKUP($A4416,product!A:A,product!E:E)</f>
        <v>2.34</v>
      </c>
      <c r="J4416" s="4">
        <f t="shared" si="2"/>
        <v>51.48</v>
      </c>
      <c r="K4416" s="22">
        <f t="shared" si="3"/>
        <v>1</v>
      </c>
      <c r="L4416" s="4">
        <f t="shared" si="4"/>
        <v>1</v>
      </c>
    </row>
    <row r="4417">
      <c r="A4417" s="23">
        <v>88638.0</v>
      </c>
      <c r="B4417" s="24" t="str">
        <f t="array" ref="B4417">xlookup($A4417,product!$A:$A,product!B:B)</f>
        <v>Epicerie salée</v>
      </c>
      <c r="C4417" s="24" t="str">
        <f t="array" ref="C4417">xlookup($A4417,product!$A:$A,product!C:C)</f>
        <v>Légumes et conserves</v>
      </c>
      <c r="D4417" s="24" t="str">
        <f t="array" ref="D4417">xlookup($A4417,product!$A:$A,product!D:D)</f>
        <v>Soupes bio</v>
      </c>
      <c r="E4417" s="25" t="str">
        <f t="shared" si="1"/>
        <v>88638-Légumes et conserves-Soupes bio</v>
      </c>
      <c r="F4417" s="25">
        <v>1.0</v>
      </c>
      <c r="G4417" s="25">
        <v>692.0</v>
      </c>
      <c r="H4417" s="25">
        <v>255.0</v>
      </c>
      <c r="I4417" s="26">
        <f t="array" ref="I4417">XLOOKUP($A4417,product!A:A,product!E:E)</f>
        <v>2.68</v>
      </c>
      <c r="J4417" s="25">
        <f t="shared" si="2"/>
        <v>683.4</v>
      </c>
      <c r="K4417" s="27">
        <f t="shared" si="3"/>
        <v>1</v>
      </c>
      <c r="L4417" s="25">
        <f t="shared" si="4"/>
        <v>1</v>
      </c>
    </row>
    <row r="4418">
      <c r="A4418" s="19">
        <v>70238.0</v>
      </c>
      <c r="B4418" s="20" t="str">
        <f t="array" ref="B4418">xlookup($A4418,product!$A:$A,product!B:B)</f>
        <v>Epicerie salée</v>
      </c>
      <c r="C4418" s="20" t="str">
        <f t="array" ref="C4418">xlookup($A4418,product!$A:$A,product!C:C)</f>
        <v>Légumes et conserves</v>
      </c>
      <c r="D4418" s="20" t="str">
        <f t="array" ref="D4418">xlookup($A4418,product!$A:$A,product!D:D)</f>
        <v>Soupes bio</v>
      </c>
      <c r="E4418" s="4" t="str">
        <f t="shared" si="1"/>
        <v>70238-Légumes et conserves-Soupes bio</v>
      </c>
      <c r="F4418" s="4">
        <v>0.0</v>
      </c>
      <c r="G4418" s="4">
        <v>938.0</v>
      </c>
      <c r="H4418" s="4">
        <v>629.0</v>
      </c>
      <c r="I4418" s="21">
        <f t="array" ref="I4418">XLOOKUP($A4418,product!A:A,product!E:E)</f>
        <v>1.85</v>
      </c>
      <c r="J4418" s="4">
        <f t="shared" si="2"/>
        <v>1163.65</v>
      </c>
      <c r="K4418" s="22">
        <f t="shared" si="3"/>
        <v>1</v>
      </c>
      <c r="L4418" s="4">
        <f t="shared" si="4"/>
        <v>1</v>
      </c>
    </row>
    <row r="4419">
      <c r="A4419" s="23">
        <v>121839.0</v>
      </c>
      <c r="B4419" s="24" t="str">
        <f t="array" ref="B4419">xlookup($A4419,product!$A:$A,product!B:B)</f>
        <v>Epicerie salée</v>
      </c>
      <c r="C4419" s="24" t="str">
        <f t="array" ref="C4419">xlookup($A4419,product!$A:$A,product!C:C)</f>
        <v>Légumes et conserves</v>
      </c>
      <c r="D4419" s="24" t="str">
        <f t="array" ref="D4419">xlookup($A4419,product!$A:$A,product!D:D)</f>
        <v>Soupes bio</v>
      </c>
      <c r="E4419" s="25" t="str">
        <f t="shared" si="1"/>
        <v>121839-Légumes et conserves-Soupes bio</v>
      </c>
      <c r="F4419" s="25">
        <v>1.0</v>
      </c>
      <c r="G4419" s="25">
        <v>564.0</v>
      </c>
      <c r="H4419" s="25">
        <v>234.0</v>
      </c>
      <c r="I4419" s="26">
        <f t="array" ref="I4419">XLOOKUP($A4419,product!A:A,product!E:E)</f>
        <v>1.05</v>
      </c>
      <c r="J4419" s="25">
        <f t="shared" si="2"/>
        <v>245.7</v>
      </c>
      <c r="K4419" s="27">
        <f t="shared" si="3"/>
        <v>1</v>
      </c>
      <c r="L4419" s="25">
        <f t="shared" si="4"/>
        <v>1</v>
      </c>
    </row>
    <row r="4420">
      <c r="A4420" s="19">
        <v>77621.0</v>
      </c>
      <c r="B4420" s="20" t="str">
        <f t="array" ref="B4420">xlookup($A4420,product!$A:$A,product!B:B)</f>
        <v>Epicerie salée</v>
      </c>
      <c r="C4420" s="20" t="str">
        <f t="array" ref="C4420">xlookup($A4420,product!$A:$A,product!C:C)</f>
        <v>Légumes et conserves</v>
      </c>
      <c r="D4420" s="20" t="str">
        <f t="array" ref="D4420">xlookup($A4420,product!$A:$A,product!D:D)</f>
        <v>Soupes bio</v>
      </c>
      <c r="E4420" s="4" t="str">
        <f t="shared" si="1"/>
        <v>77621-Légumes et conserves-Soupes bio</v>
      </c>
      <c r="F4420" s="4">
        <v>1.0</v>
      </c>
      <c r="G4420" s="4">
        <v>51.0</v>
      </c>
      <c r="H4420" s="4">
        <v>9.0</v>
      </c>
      <c r="I4420" s="21">
        <f t="array" ref="I4420">XLOOKUP($A4420,product!A:A,product!E:E)</f>
        <v>0.82</v>
      </c>
      <c r="J4420" s="4">
        <f t="shared" si="2"/>
        <v>7.38</v>
      </c>
      <c r="K4420" s="22">
        <f t="shared" si="3"/>
        <v>1</v>
      </c>
      <c r="L4420" s="4">
        <f t="shared" si="4"/>
        <v>1</v>
      </c>
    </row>
    <row r="4421">
      <c r="A4421" s="23">
        <v>121783.0</v>
      </c>
      <c r="B4421" s="24" t="str">
        <f t="array" ref="B4421">xlookup($A4421,product!$A:$A,product!B:B)</f>
        <v>Epicerie salée</v>
      </c>
      <c r="C4421" s="24" t="str">
        <f t="array" ref="C4421">xlookup($A4421,product!$A:$A,product!C:C)</f>
        <v>Légumes et conserves</v>
      </c>
      <c r="D4421" s="24" t="str">
        <f t="array" ref="D4421">xlookup($A4421,product!$A:$A,product!D:D)</f>
        <v>Soupes bio</v>
      </c>
      <c r="E4421" s="25" t="str">
        <f t="shared" si="1"/>
        <v>121783-Légumes et conserves-Soupes bio</v>
      </c>
      <c r="F4421" s="25">
        <v>0.0</v>
      </c>
      <c r="G4421" s="25">
        <v>485.0</v>
      </c>
      <c r="H4421" s="25">
        <v>197.0</v>
      </c>
      <c r="I4421" s="26">
        <f t="array" ref="I4421">XLOOKUP($A4421,product!A:A,product!E:E)</f>
        <v>2.61</v>
      </c>
      <c r="J4421" s="25">
        <f t="shared" si="2"/>
        <v>514.17</v>
      </c>
      <c r="K4421" s="27">
        <f t="shared" si="3"/>
        <v>1</v>
      </c>
      <c r="L4421" s="25">
        <f t="shared" si="4"/>
        <v>1</v>
      </c>
    </row>
    <row r="4422">
      <c r="A4422" s="19">
        <v>75033.0</v>
      </c>
      <c r="B4422" s="20" t="str">
        <f t="array" ref="B4422">xlookup($A4422,product!$A:$A,product!B:B)</f>
        <v>Epicerie salée</v>
      </c>
      <c r="C4422" s="20" t="str">
        <f t="array" ref="C4422">xlookup($A4422,product!$A:$A,product!C:C)</f>
        <v>Légumes et conserves</v>
      </c>
      <c r="D4422" s="20" t="str">
        <f t="array" ref="D4422">xlookup($A4422,product!$A:$A,product!D:D)</f>
        <v>Soupes bio</v>
      </c>
      <c r="E4422" s="4" t="str">
        <f t="shared" si="1"/>
        <v>75033-Légumes et conserves-Soupes bio</v>
      </c>
      <c r="F4422" s="4">
        <v>1.0</v>
      </c>
      <c r="G4422" s="4">
        <v>428.0</v>
      </c>
      <c r="H4422" s="4">
        <v>204.0</v>
      </c>
      <c r="I4422" s="21">
        <f t="array" ref="I4422">XLOOKUP($A4422,product!A:A,product!E:E)</f>
        <v>2.67</v>
      </c>
      <c r="J4422" s="4">
        <f t="shared" si="2"/>
        <v>544.68</v>
      </c>
      <c r="K4422" s="22">
        <f t="shared" si="3"/>
        <v>1</v>
      </c>
      <c r="L4422" s="4">
        <f t="shared" si="4"/>
        <v>1</v>
      </c>
    </row>
    <row r="4423">
      <c r="A4423" s="23">
        <v>12053.0</v>
      </c>
      <c r="B4423" s="24" t="str">
        <f t="array" ref="B4423">xlookup($A4423,product!$A:$A,product!B:B)</f>
        <v>Epicerie salée</v>
      </c>
      <c r="C4423" s="24" t="str">
        <f t="array" ref="C4423">xlookup($A4423,product!$A:$A,product!C:C)</f>
        <v>Légumes et conserves</v>
      </c>
      <c r="D4423" s="24" t="str">
        <f t="array" ref="D4423">xlookup($A4423,product!$A:$A,product!D:D)</f>
        <v>Soupes bio</v>
      </c>
      <c r="E4423" s="25" t="str">
        <f t="shared" si="1"/>
        <v>12053-Légumes et conserves-Soupes bio</v>
      </c>
      <c r="F4423" s="25">
        <v>1.0</v>
      </c>
      <c r="G4423" s="25">
        <v>965.0</v>
      </c>
      <c r="H4423" s="25">
        <v>371.0</v>
      </c>
      <c r="I4423" s="26">
        <f t="array" ref="I4423">XLOOKUP($A4423,product!A:A,product!E:E)</f>
        <v>0.75</v>
      </c>
      <c r="J4423" s="25">
        <f t="shared" si="2"/>
        <v>278.25</v>
      </c>
      <c r="K4423" s="27">
        <f t="shared" si="3"/>
        <v>1</v>
      </c>
      <c r="L4423" s="25">
        <f t="shared" si="4"/>
        <v>1</v>
      </c>
    </row>
    <row r="4424">
      <c r="A4424" s="19">
        <v>113954.0</v>
      </c>
      <c r="B4424" s="20" t="str">
        <f t="array" ref="B4424">xlookup($A4424,product!$A:$A,product!B:B)</f>
        <v>Epicerie salée</v>
      </c>
      <c r="C4424" s="20" t="str">
        <f t="array" ref="C4424">xlookup($A4424,product!$A:$A,product!C:C)</f>
        <v>Légumes et conserves</v>
      </c>
      <c r="D4424" s="20" t="str">
        <f t="array" ref="D4424">xlookup($A4424,product!$A:$A,product!D:D)</f>
        <v>Soupes bio</v>
      </c>
      <c r="E4424" s="4" t="str">
        <f t="shared" si="1"/>
        <v>113954-Légumes et conserves-Soupes bio</v>
      </c>
      <c r="F4424" s="4">
        <v>0.0</v>
      </c>
      <c r="G4424" s="4">
        <v>967.0</v>
      </c>
      <c r="H4424" s="4">
        <v>782.0</v>
      </c>
      <c r="I4424" s="21">
        <f t="array" ref="I4424">XLOOKUP($A4424,product!A:A,product!E:E)</f>
        <v>1.9</v>
      </c>
      <c r="J4424" s="4">
        <f t="shared" si="2"/>
        <v>1485.8</v>
      </c>
      <c r="K4424" s="22">
        <f t="shared" si="3"/>
        <v>1</v>
      </c>
      <c r="L4424" s="4">
        <f t="shared" si="4"/>
        <v>1</v>
      </c>
    </row>
    <row r="4425">
      <c r="A4425" s="23">
        <v>5782.0</v>
      </c>
      <c r="B4425" s="24" t="str">
        <f t="array" ref="B4425">xlookup($A4425,product!$A:$A,product!B:B)</f>
        <v>Epicerie salée</v>
      </c>
      <c r="C4425" s="24" t="str">
        <f t="array" ref="C4425">xlookup($A4425,product!$A:$A,product!C:C)</f>
        <v>Légumes et conserves</v>
      </c>
      <c r="D4425" s="24" t="str">
        <f t="array" ref="D4425">xlookup($A4425,product!$A:$A,product!D:D)</f>
        <v>Soupes bio</v>
      </c>
      <c r="E4425" s="25" t="str">
        <f t="shared" si="1"/>
        <v>5782-Légumes et conserves-Soupes bio</v>
      </c>
      <c r="F4425" s="25">
        <v>1.0</v>
      </c>
      <c r="G4425" s="25">
        <v>236.0</v>
      </c>
      <c r="H4425" s="25">
        <v>110.0</v>
      </c>
      <c r="I4425" s="26">
        <f t="array" ref="I4425">XLOOKUP($A4425,product!A:A,product!E:E)</f>
        <v>0.49</v>
      </c>
      <c r="J4425" s="25">
        <f t="shared" si="2"/>
        <v>53.9</v>
      </c>
      <c r="K4425" s="27">
        <f t="shared" si="3"/>
        <v>1</v>
      </c>
      <c r="L4425" s="25">
        <f t="shared" si="4"/>
        <v>1</v>
      </c>
    </row>
    <row r="4426">
      <c r="A4426" s="19">
        <v>107915.0</v>
      </c>
      <c r="B4426" s="20" t="str">
        <f t="array" ref="B4426">xlookup($A4426,product!$A:$A,product!B:B)</f>
        <v>Epicerie salée</v>
      </c>
      <c r="C4426" s="20" t="str">
        <f t="array" ref="C4426">xlookup($A4426,product!$A:$A,product!C:C)</f>
        <v>Légumes et conserves</v>
      </c>
      <c r="D4426" s="20" t="str">
        <f t="array" ref="D4426">xlookup($A4426,product!$A:$A,product!D:D)</f>
        <v>Soupes bio</v>
      </c>
      <c r="E4426" s="4" t="str">
        <f t="shared" si="1"/>
        <v>107915-Légumes et conserves-Soupes bio</v>
      </c>
      <c r="F4426" s="4">
        <v>0.0</v>
      </c>
      <c r="G4426" s="4">
        <v>427.0</v>
      </c>
      <c r="H4426" s="4">
        <v>369.0</v>
      </c>
      <c r="I4426" s="21">
        <f t="array" ref="I4426">XLOOKUP($A4426,product!A:A,product!E:E)</f>
        <v>1.81</v>
      </c>
      <c r="J4426" s="4">
        <f t="shared" si="2"/>
        <v>667.89</v>
      </c>
      <c r="K4426" s="22">
        <f t="shared" si="3"/>
        <v>1</v>
      </c>
      <c r="L4426" s="4">
        <f t="shared" si="4"/>
        <v>1</v>
      </c>
    </row>
    <row r="4427">
      <c r="A4427" s="23">
        <v>68866.0</v>
      </c>
      <c r="B4427" s="24" t="str">
        <f t="array" ref="B4427">xlookup($A4427,product!$A:$A,product!B:B)</f>
        <v>Epicerie salée</v>
      </c>
      <c r="C4427" s="24" t="str">
        <f t="array" ref="C4427">xlookup($A4427,product!$A:$A,product!C:C)</f>
        <v>Légumes et conserves</v>
      </c>
      <c r="D4427" s="24" t="str">
        <f t="array" ref="D4427">xlookup($A4427,product!$A:$A,product!D:D)</f>
        <v>Soupes bio</v>
      </c>
      <c r="E4427" s="25" t="str">
        <f t="shared" si="1"/>
        <v>68866-Légumes et conserves-Soupes bio</v>
      </c>
      <c r="F4427" s="25">
        <v>0.0</v>
      </c>
      <c r="G4427" s="25">
        <v>21.0</v>
      </c>
      <c r="H4427" s="25">
        <v>0.0</v>
      </c>
      <c r="I4427" s="26">
        <f t="array" ref="I4427">XLOOKUP($A4427,product!A:A,product!E:E)</f>
        <v>1.91</v>
      </c>
      <c r="J4427" s="25">
        <f t="shared" si="2"/>
        <v>0</v>
      </c>
      <c r="K4427" s="27">
        <f t="shared" si="3"/>
        <v>0</v>
      </c>
      <c r="L4427" s="25">
        <f t="shared" si="4"/>
        <v>1</v>
      </c>
    </row>
    <row r="4428">
      <c r="A4428" s="19">
        <v>121837.0</v>
      </c>
      <c r="B4428" s="20" t="str">
        <f t="array" ref="B4428">xlookup($A4428,product!$A:$A,product!B:B)</f>
        <v>Epicerie salée</v>
      </c>
      <c r="C4428" s="20" t="str">
        <f t="array" ref="C4428">xlookup($A4428,product!$A:$A,product!C:C)</f>
        <v>Légumes et conserves</v>
      </c>
      <c r="D4428" s="20" t="str">
        <f t="array" ref="D4428">xlookup($A4428,product!$A:$A,product!D:D)</f>
        <v>Soupes bio</v>
      </c>
      <c r="E4428" s="4" t="str">
        <f t="shared" si="1"/>
        <v>121837-Légumes et conserves-Soupes bio</v>
      </c>
      <c r="F4428" s="4">
        <v>1.0</v>
      </c>
      <c r="G4428" s="4">
        <v>602.0</v>
      </c>
      <c r="H4428" s="4">
        <v>445.0</v>
      </c>
      <c r="I4428" s="21">
        <f t="array" ref="I4428">XLOOKUP($A4428,product!A:A,product!E:E)</f>
        <v>2.54</v>
      </c>
      <c r="J4428" s="4">
        <f t="shared" si="2"/>
        <v>1130.3</v>
      </c>
      <c r="K4428" s="22">
        <f t="shared" si="3"/>
        <v>1</v>
      </c>
      <c r="L4428" s="4">
        <f t="shared" si="4"/>
        <v>1</v>
      </c>
    </row>
    <row r="4429">
      <c r="A4429" s="23">
        <v>121840.0</v>
      </c>
      <c r="B4429" s="24" t="str">
        <f t="array" ref="B4429">xlookup($A4429,product!$A:$A,product!B:B)</f>
        <v>Epicerie salée</v>
      </c>
      <c r="C4429" s="24" t="str">
        <f t="array" ref="C4429">xlookup($A4429,product!$A:$A,product!C:C)</f>
        <v>Légumes et conserves</v>
      </c>
      <c r="D4429" s="24" t="str">
        <f t="array" ref="D4429">xlookup($A4429,product!$A:$A,product!D:D)</f>
        <v>Soupes bio</v>
      </c>
      <c r="E4429" s="25" t="str">
        <f t="shared" si="1"/>
        <v>121840-Légumes et conserves-Soupes bio</v>
      </c>
      <c r="F4429" s="25">
        <v>1.0</v>
      </c>
      <c r="G4429" s="25">
        <v>939.0</v>
      </c>
      <c r="H4429" s="25">
        <v>481.0</v>
      </c>
      <c r="I4429" s="26">
        <f t="array" ref="I4429">XLOOKUP($A4429,product!A:A,product!E:E)</f>
        <v>1.05</v>
      </c>
      <c r="J4429" s="25">
        <f t="shared" si="2"/>
        <v>505.05</v>
      </c>
      <c r="K4429" s="27">
        <f t="shared" si="3"/>
        <v>1</v>
      </c>
      <c r="L4429" s="25">
        <f t="shared" si="4"/>
        <v>1</v>
      </c>
    </row>
    <row r="4430">
      <c r="A4430" s="19">
        <v>90979.0</v>
      </c>
      <c r="B4430" s="20" t="str">
        <f t="array" ref="B4430">xlookup($A4430,product!$A:$A,product!B:B)</f>
        <v>Epicerie salée</v>
      </c>
      <c r="C4430" s="20" t="str">
        <f t="array" ref="C4430">xlookup($A4430,product!$A:$A,product!C:C)</f>
        <v>Légumes et conserves</v>
      </c>
      <c r="D4430" s="20" t="str">
        <f t="array" ref="D4430">xlookup($A4430,product!$A:$A,product!D:D)</f>
        <v>Soupes bio</v>
      </c>
      <c r="E4430" s="4" t="str">
        <f t="shared" si="1"/>
        <v>90979-Légumes et conserves-Soupes bio</v>
      </c>
      <c r="F4430" s="4">
        <v>1.0</v>
      </c>
      <c r="G4430" s="4">
        <v>48.0</v>
      </c>
      <c r="H4430" s="4">
        <v>48.0</v>
      </c>
      <c r="I4430" s="21">
        <f t="array" ref="I4430">XLOOKUP($A4430,product!A:A,product!E:E)</f>
        <v>3.17</v>
      </c>
      <c r="J4430" s="4">
        <f t="shared" si="2"/>
        <v>152.16</v>
      </c>
      <c r="K4430" s="22">
        <f t="shared" si="3"/>
        <v>1</v>
      </c>
      <c r="L4430" s="4">
        <f t="shared" si="4"/>
        <v>1</v>
      </c>
    </row>
    <row r="4431">
      <c r="A4431" s="23">
        <v>114350.0</v>
      </c>
      <c r="B4431" s="24" t="str">
        <f t="array" ref="B4431">xlookup($A4431,product!$A:$A,product!B:B)</f>
        <v>Epicerie salée</v>
      </c>
      <c r="C4431" s="24" t="str">
        <f t="array" ref="C4431">xlookup($A4431,product!$A:$A,product!C:C)</f>
        <v>Légumes et conserves</v>
      </c>
      <c r="D4431" s="24" t="str">
        <f t="array" ref="D4431">xlookup($A4431,product!$A:$A,product!D:D)</f>
        <v>Soupes bio</v>
      </c>
      <c r="E4431" s="25" t="str">
        <f t="shared" si="1"/>
        <v>114350-Légumes et conserves-Soupes bio</v>
      </c>
      <c r="F4431" s="25">
        <v>0.0</v>
      </c>
      <c r="G4431" s="25">
        <v>935.0</v>
      </c>
      <c r="H4431" s="25">
        <v>297.0</v>
      </c>
      <c r="I4431" s="26">
        <f t="array" ref="I4431">XLOOKUP($A4431,product!A:A,product!E:E)</f>
        <v>2.95</v>
      </c>
      <c r="J4431" s="25">
        <f t="shared" si="2"/>
        <v>876.15</v>
      </c>
      <c r="K4431" s="27">
        <f t="shared" si="3"/>
        <v>1</v>
      </c>
      <c r="L4431" s="25">
        <f t="shared" si="4"/>
        <v>1</v>
      </c>
    </row>
    <row r="4432">
      <c r="A4432" s="19">
        <v>47539.0</v>
      </c>
      <c r="B4432" s="20" t="str">
        <f t="array" ref="B4432">xlookup($A4432,product!$A:$A,product!B:B)</f>
        <v>Epicerie salée</v>
      </c>
      <c r="C4432" s="20" t="str">
        <f t="array" ref="C4432">xlookup($A4432,product!$A:$A,product!C:C)</f>
        <v>Légumes et conserves</v>
      </c>
      <c r="D4432" s="20" t="str">
        <f t="array" ref="D4432">xlookup($A4432,product!$A:$A,product!D:D)</f>
        <v>Soupes bio</v>
      </c>
      <c r="E4432" s="4" t="str">
        <f t="shared" si="1"/>
        <v>47539-Légumes et conserves-Soupes bio</v>
      </c>
      <c r="F4432" s="4">
        <v>0.0</v>
      </c>
      <c r="G4432" s="4">
        <v>634.0</v>
      </c>
      <c r="H4432" s="4">
        <v>309.0</v>
      </c>
      <c r="I4432" s="21">
        <f t="array" ref="I4432">XLOOKUP($A4432,product!A:A,product!E:E)</f>
        <v>1.93</v>
      </c>
      <c r="J4432" s="4">
        <f t="shared" si="2"/>
        <v>596.37</v>
      </c>
      <c r="K4432" s="22">
        <f t="shared" si="3"/>
        <v>1</v>
      </c>
      <c r="L4432" s="4">
        <f t="shared" si="4"/>
        <v>1</v>
      </c>
    </row>
    <row r="4433">
      <c r="A4433" s="23">
        <v>83948.0</v>
      </c>
      <c r="B4433" s="24" t="str">
        <f t="array" ref="B4433">xlookup($A4433,product!$A:$A,product!B:B)</f>
        <v>Epicerie salée</v>
      </c>
      <c r="C4433" s="24" t="str">
        <f t="array" ref="C4433">xlookup($A4433,product!$A:$A,product!C:C)</f>
        <v>Légumes et conserves</v>
      </c>
      <c r="D4433" s="24" t="str">
        <f t="array" ref="D4433">xlookup($A4433,product!$A:$A,product!D:D)</f>
        <v>Soupes bio</v>
      </c>
      <c r="E4433" s="25" t="str">
        <f t="shared" si="1"/>
        <v>83948-Légumes et conserves-Soupes bio</v>
      </c>
      <c r="F4433" s="25">
        <v>1.0</v>
      </c>
      <c r="G4433" s="25">
        <v>7.0</v>
      </c>
      <c r="H4433" s="25">
        <v>0.0</v>
      </c>
      <c r="I4433" s="26">
        <f t="array" ref="I4433">XLOOKUP($A4433,product!A:A,product!E:E)</f>
        <v>0.96</v>
      </c>
      <c r="J4433" s="25">
        <f t="shared" si="2"/>
        <v>0</v>
      </c>
      <c r="K4433" s="27">
        <f t="shared" si="3"/>
        <v>0</v>
      </c>
      <c r="L4433" s="25">
        <f t="shared" si="4"/>
        <v>1</v>
      </c>
    </row>
    <row r="4434">
      <c r="A4434" s="19">
        <v>17139.0</v>
      </c>
      <c r="B4434" s="20" t="str">
        <f t="array" ref="B4434">xlookup($A4434,product!$A:$A,product!B:B)</f>
        <v>Epicerie salée</v>
      </c>
      <c r="C4434" s="20" t="str">
        <f t="array" ref="C4434">xlookup($A4434,product!$A:$A,product!C:C)</f>
        <v>Légumes et conserves</v>
      </c>
      <c r="D4434" s="20" t="str">
        <f t="array" ref="D4434">xlookup($A4434,product!$A:$A,product!D:D)</f>
        <v>Soupes bio</v>
      </c>
      <c r="E4434" s="4" t="str">
        <f t="shared" si="1"/>
        <v>17139-Légumes et conserves-Soupes bio</v>
      </c>
      <c r="F4434" s="4">
        <v>0.0</v>
      </c>
      <c r="G4434" s="4">
        <v>3.0</v>
      </c>
      <c r="H4434" s="4">
        <v>3.0</v>
      </c>
      <c r="I4434" s="21">
        <f t="array" ref="I4434">XLOOKUP($A4434,product!A:A,product!E:E)</f>
        <v>0.98</v>
      </c>
      <c r="J4434" s="4">
        <f t="shared" si="2"/>
        <v>2.94</v>
      </c>
      <c r="K4434" s="22">
        <f t="shared" si="3"/>
        <v>1</v>
      </c>
      <c r="L4434" s="4">
        <f t="shared" si="4"/>
        <v>1</v>
      </c>
    </row>
    <row r="4435">
      <c r="A4435" s="23">
        <v>12051.0</v>
      </c>
      <c r="B4435" s="24" t="str">
        <f t="array" ref="B4435">xlookup($A4435,product!$A:$A,product!B:B)</f>
        <v>Epicerie salée</v>
      </c>
      <c r="C4435" s="24" t="str">
        <f t="array" ref="C4435">xlookup($A4435,product!$A:$A,product!C:C)</f>
        <v>Légumes et conserves</v>
      </c>
      <c r="D4435" s="24" t="str">
        <f t="array" ref="D4435">xlookup($A4435,product!$A:$A,product!D:D)</f>
        <v>Soupes bio</v>
      </c>
      <c r="E4435" s="25" t="str">
        <f t="shared" si="1"/>
        <v>12051-Légumes et conserves-Soupes bio</v>
      </c>
      <c r="F4435" s="25">
        <v>1.0</v>
      </c>
      <c r="G4435" s="25">
        <v>117.0</v>
      </c>
      <c r="H4435" s="25">
        <v>111.0</v>
      </c>
      <c r="I4435" s="26">
        <f t="array" ref="I4435">XLOOKUP($A4435,product!A:A,product!E:E)</f>
        <v>0.77</v>
      </c>
      <c r="J4435" s="25">
        <f t="shared" si="2"/>
        <v>85.47</v>
      </c>
      <c r="K4435" s="27">
        <f t="shared" si="3"/>
        <v>1</v>
      </c>
      <c r="L4435" s="25">
        <f t="shared" si="4"/>
        <v>1</v>
      </c>
    </row>
    <row r="4436">
      <c r="A4436" s="19">
        <v>12052.0</v>
      </c>
      <c r="B4436" s="20" t="str">
        <f t="array" ref="B4436">xlookup($A4436,product!$A:$A,product!B:B)</f>
        <v>Epicerie salée</v>
      </c>
      <c r="C4436" s="20" t="str">
        <f t="array" ref="C4436">xlookup($A4436,product!$A:$A,product!C:C)</f>
        <v>Légumes et conserves</v>
      </c>
      <c r="D4436" s="20" t="str">
        <f t="array" ref="D4436">xlookup($A4436,product!$A:$A,product!D:D)</f>
        <v>Soupes bio</v>
      </c>
      <c r="E4436" s="4" t="str">
        <f t="shared" si="1"/>
        <v>12052-Légumes et conserves-Soupes bio</v>
      </c>
      <c r="F4436" s="4">
        <v>1.0</v>
      </c>
      <c r="G4436" s="4">
        <v>260.0</v>
      </c>
      <c r="H4436" s="4">
        <v>97.0</v>
      </c>
      <c r="I4436" s="21">
        <f t="array" ref="I4436">XLOOKUP($A4436,product!A:A,product!E:E)</f>
        <v>0.77</v>
      </c>
      <c r="J4436" s="4">
        <f t="shared" si="2"/>
        <v>74.69</v>
      </c>
      <c r="K4436" s="22">
        <f t="shared" si="3"/>
        <v>1</v>
      </c>
      <c r="L4436" s="4">
        <f t="shared" si="4"/>
        <v>1</v>
      </c>
    </row>
    <row r="4437">
      <c r="A4437" s="23">
        <v>121838.0</v>
      </c>
      <c r="B4437" s="24" t="str">
        <f t="array" ref="B4437">xlookup($A4437,product!$A:$A,product!B:B)</f>
        <v>Epicerie salée</v>
      </c>
      <c r="C4437" s="24" t="str">
        <f t="array" ref="C4437">xlookup($A4437,product!$A:$A,product!C:C)</f>
        <v>Légumes et conserves</v>
      </c>
      <c r="D4437" s="24" t="str">
        <f t="array" ref="D4437">xlookup($A4437,product!$A:$A,product!D:D)</f>
        <v>Soupes bio</v>
      </c>
      <c r="E4437" s="25" t="str">
        <f t="shared" si="1"/>
        <v>121838-Légumes et conserves-Soupes bio</v>
      </c>
      <c r="F4437" s="25">
        <v>1.0</v>
      </c>
      <c r="G4437" s="25">
        <v>425.0</v>
      </c>
      <c r="H4437" s="25">
        <v>273.0</v>
      </c>
      <c r="I4437" s="26">
        <f t="array" ref="I4437">XLOOKUP($A4437,product!A:A,product!E:E)</f>
        <v>2.54</v>
      </c>
      <c r="J4437" s="25">
        <f t="shared" si="2"/>
        <v>693.42</v>
      </c>
      <c r="K4437" s="27">
        <f t="shared" si="3"/>
        <v>1</v>
      </c>
      <c r="L4437" s="25">
        <f t="shared" si="4"/>
        <v>1</v>
      </c>
    </row>
    <row r="4438">
      <c r="A4438" s="19">
        <v>107917.0</v>
      </c>
      <c r="B4438" s="20" t="str">
        <f t="array" ref="B4438">xlookup($A4438,product!$A:$A,product!B:B)</f>
        <v>Epicerie salée</v>
      </c>
      <c r="C4438" s="20" t="str">
        <f t="array" ref="C4438">xlookup($A4438,product!$A:$A,product!C:C)</f>
        <v>Légumes et conserves</v>
      </c>
      <c r="D4438" s="20" t="str">
        <f t="array" ref="D4438">xlookup($A4438,product!$A:$A,product!D:D)</f>
        <v>Soupes bio</v>
      </c>
      <c r="E4438" s="4" t="str">
        <f t="shared" si="1"/>
        <v>107917-Légumes et conserves-Soupes bio</v>
      </c>
      <c r="F4438" s="4">
        <v>1.0</v>
      </c>
      <c r="G4438" s="4">
        <v>37.0</v>
      </c>
      <c r="H4438" s="4">
        <v>4.0</v>
      </c>
      <c r="I4438" s="21">
        <f t="array" ref="I4438">XLOOKUP($A4438,product!A:A,product!E:E)</f>
        <v>1.16</v>
      </c>
      <c r="J4438" s="4">
        <f t="shared" si="2"/>
        <v>4.64</v>
      </c>
      <c r="K4438" s="22">
        <f t="shared" si="3"/>
        <v>1</v>
      </c>
      <c r="L4438" s="4">
        <f t="shared" si="4"/>
        <v>1</v>
      </c>
    </row>
    <row r="4439">
      <c r="A4439" s="23">
        <v>5779.0</v>
      </c>
      <c r="B4439" s="24" t="str">
        <f t="array" ref="B4439">xlookup($A4439,product!$A:$A,product!B:B)</f>
        <v>Epicerie salée</v>
      </c>
      <c r="C4439" s="24" t="str">
        <f t="array" ref="C4439">xlookup($A4439,product!$A:$A,product!C:C)</f>
        <v>Légumes et conserves</v>
      </c>
      <c r="D4439" s="24" t="str">
        <f t="array" ref="D4439">xlookup($A4439,product!$A:$A,product!D:D)</f>
        <v>Soupes bio</v>
      </c>
      <c r="E4439" s="25" t="str">
        <f t="shared" si="1"/>
        <v>5779-Légumes et conserves-Soupes bio</v>
      </c>
      <c r="F4439" s="25">
        <v>1.0</v>
      </c>
      <c r="G4439" s="25">
        <v>391.0</v>
      </c>
      <c r="H4439" s="25">
        <v>176.0</v>
      </c>
      <c r="I4439" s="26">
        <f t="array" ref="I4439">XLOOKUP($A4439,product!A:A,product!E:E)</f>
        <v>0.47</v>
      </c>
      <c r="J4439" s="25">
        <f t="shared" si="2"/>
        <v>82.72</v>
      </c>
      <c r="K4439" s="27">
        <f t="shared" si="3"/>
        <v>1</v>
      </c>
      <c r="L4439" s="25">
        <f t="shared" si="4"/>
        <v>1</v>
      </c>
    </row>
    <row r="4440">
      <c r="A4440" s="19">
        <v>120303.0</v>
      </c>
      <c r="B4440" s="20" t="str">
        <f t="array" ref="B4440">xlookup($A4440,product!$A:$A,product!B:B)</f>
        <v>Epicerie salée</v>
      </c>
      <c r="C4440" s="20" t="str">
        <f t="array" ref="C4440">xlookup($A4440,product!$A:$A,product!C:C)</f>
        <v>Légumes et conserves</v>
      </c>
      <c r="D4440" s="20" t="str">
        <f t="array" ref="D4440">xlookup($A4440,product!$A:$A,product!D:D)</f>
        <v>Soupes bio</v>
      </c>
      <c r="E4440" s="4" t="str">
        <f t="shared" si="1"/>
        <v>120303-Légumes et conserves-Soupes bio</v>
      </c>
      <c r="F4440" s="4">
        <v>0.0</v>
      </c>
      <c r="G4440" s="4">
        <v>778.0</v>
      </c>
      <c r="H4440" s="4">
        <v>29.0</v>
      </c>
      <c r="I4440" s="21">
        <f t="array" ref="I4440">XLOOKUP($A4440,product!A:A,product!E:E)</f>
        <v>2.12</v>
      </c>
      <c r="J4440" s="4">
        <f t="shared" si="2"/>
        <v>61.48</v>
      </c>
      <c r="K4440" s="22">
        <f t="shared" si="3"/>
        <v>1</v>
      </c>
      <c r="L4440" s="4">
        <f t="shared" si="4"/>
        <v>1</v>
      </c>
    </row>
    <row r="4441">
      <c r="A4441" s="23">
        <v>121784.0</v>
      </c>
      <c r="B4441" s="24" t="str">
        <f t="array" ref="B4441">xlookup($A4441,product!$A:$A,product!B:B)</f>
        <v>Epicerie salée</v>
      </c>
      <c r="C4441" s="24" t="str">
        <f t="array" ref="C4441">xlookup($A4441,product!$A:$A,product!C:C)</f>
        <v>Légumes et conserves</v>
      </c>
      <c r="D4441" s="24" t="str">
        <f t="array" ref="D4441">xlookup($A4441,product!$A:$A,product!D:D)</f>
        <v>Soupes bio</v>
      </c>
      <c r="E4441" s="25" t="str">
        <f t="shared" si="1"/>
        <v>121784-Légumes et conserves-Soupes bio</v>
      </c>
      <c r="F4441" s="25">
        <v>1.0</v>
      </c>
      <c r="G4441" s="25">
        <v>416.0</v>
      </c>
      <c r="H4441" s="25">
        <v>341.0</v>
      </c>
      <c r="I4441" s="26">
        <f t="array" ref="I4441">XLOOKUP($A4441,product!A:A,product!E:E)</f>
        <v>2.04</v>
      </c>
      <c r="J4441" s="25">
        <f t="shared" si="2"/>
        <v>695.64</v>
      </c>
      <c r="K4441" s="27">
        <f t="shared" si="3"/>
        <v>1</v>
      </c>
      <c r="L4441" s="25">
        <f t="shared" si="4"/>
        <v>1</v>
      </c>
    </row>
    <row r="4442">
      <c r="A4442" s="19">
        <v>107913.0</v>
      </c>
      <c r="B4442" s="20" t="str">
        <f t="array" ref="B4442">xlookup($A4442,product!$A:$A,product!B:B)</f>
        <v>Epicerie salée</v>
      </c>
      <c r="C4442" s="20" t="str">
        <f t="array" ref="C4442">xlookup($A4442,product!$A:$A,product!C:C)</f>
        <v>Légumes et conserves</v>
      </c>
      <c r="D4442" s="20" t="str">
        <f t="array" ref="D4442">xlookup($A4442,product!$A:$A,product!D:D)</f>
        <v>Soupes bio</v>
      </c>
      <c r="E4442" s="4" t="str">
        <f t="shared" si="1"/>
        <v>107913-Légumes et conserves-Soupes bio</v>
      </c>
      <c r="F4442" s="4">
        <v>1.0</v>
      </c>
      <c r="G4442" s="4">
        <v>965.0</v>
      </c>
      <c r="H4442" s="4">
        <v>855.0</v>
      </c>
      <c r="I4442" s="21">
        <f t="array" ref="I4442">XLOOKUP($A4442,product!A:A,product!E:E)</f>
        <v>1.81</v>
      </c>
      <c r="J4442" s="4">
        <f t="shared" si="2"/>
        <v>1547.55</v>
      </c>
      <c r="K4442" s="22">
        <f t="shared" si="3"/>
        <v>1</v>
      </c>
      <c r="L4442" s="4">
        <f t="shared" si="4"/>
        <v>1</v>
      </c>
    </row>
    <row r="4443">
      <c r="A4443" s="23">
        <v>58759.0</v>
      </c>
      <c r="B4443" s="24" t="str">
        <f t="array" ref="B4443">xlookup($A4443,product!$A:$A,product!B:B)</f>
        <v>Epicerie salée</v>
      </c>
      <c r="C4443" s="24" t="str">
        <f t="array" ref="C4443">xlookup($A4443,product!$A:$A,product!C:C)</f>
        <v>Légumes et conserves</v>
      </c>
      <c r="D4443" s="24" t="str">
        <f t="array" ref="D4443">xlookup($A4443,product!$A:$A,product!D:D)</f>
        <v>Soupes bio</v>
      </c>
      <c r="E4443" s="25" t="str">
        <f t="shared" si="1"/>
        <v>58759-Légumes et conserves-Soupes bio</v>
      </c>
      <c r="F4443" s="25">
        <v>1.0</v>
      </c>
      <c r="G4443" s="25">
        <v>123.0</v>
      </c>
      <c r="H4443" s="25">
        <v>113.0</v>
      </c>
      <c r="I4443" s="26">
        <f t="array" ref="I4443">XLOOKUP($A4443,product!A:A,product!E:E)</f>
        <v>0.38</v>
      </c>
      <c r="J4443" s="25">
        <f t="shared" si="2"/>
        <v>42.94</v>
      </c>
      <c r="K4443" s="27">
        <f t="shared" si="3"/>
        <v>1</v>
      </c>
      <c r="L4443" s="25">
        <f t="shared" si="4"/>
        <v>1</v>
      </c>
    </row>
    <row r="4444">
      <c r="A4444" s="19">
        <v>158697.0</v>
      </c>
      <c r="B4444" s="20" t="str">
        <f t="array" ref="B4444">xlookup($A4444,product!$A:$A,product!B:B)</f>
        <v>Epicerie salée</v>
      </c>
      <c r="C4444" s="20" t="str">
        <f t="array" ref="C4444">xlookup($A4444,product!$A:$A,product!C:C)</f>
        <v>Légumes et conserves</v>
      </c>
      <c r="D4444" s="20" t="str">
        <f t="array" ref="D4444">xlookup($A4444,product!$A:$A,product!D:D)</f>
        <v>Soupes bio</v>
      </c>
      <c r="E4444" s="4" t="str">
        <f t="shared" si="1"/>
        <v>158697-Légumes et conserves-Soupes bio</v>
      </c>
      <c r="F4444" s="4">
        <v>0.0</v>
      </c>
      <c r="G4444" s="4">
        <v>830.0</v>
      </c>
      <c r="H4444" s="4">
        <v>709.0</v>
      </c>
      <c r="I4444" s="21">
        <f t="array" ref="I4444">XLOOKUP($A4444,product!A:A,product!E:E)</f>
        <v>2.36</v>
      </c>
      <c r="J4444" s="4">
        <f t="shared" si="2"/>
        <v>1673.24</v>
      </c>
      <c r="K4444" s="22">
        <f t="shared" si="3"/>
        <v>1</v>
      </c>
      <c r="L4444" s="4">
        <f t="shared" si="4"/>
        <v>1</v>
      </c>
    </row>
    <row r="4445">
      <c r="A4445" s="23">
        <v>87160.0</v>
      </c>
      <c r="B4445" s="24" t="str">
        <f t="array" ref="B4445">xlookup($A4445,product!$A:$A,product!B:B)</f>
        <v>Epicerie salée</v>
      </c>
      <c r="C4445" s="24" t="str">
        <f t="array" ref="C4445">xlookup($A4445,product!$A:$A,product!C:C)</f>
        <v>Légumes et conserves</v>
      </c>
      <c r="D4445" s="24" t="str">
        <f t="array" ref="D4445">xlookup($A4445,product!$A:$A,product!D:D)</f>
        <v>Purées bio</v>
      </c>
      <c r="E4445" s="25" t="str">
        <f t="shared" si="1"/>
        <v>87160-Légumes et conserves-Purées bio</v>
      </c>
      <c r="F4445" s="25">
        <v>0.0</v>
      </c>
      <c r="G4445" s="25">
        <v>187.0</v>
      </c>
      <c r="H4445" s="25">
        <v>107.0</v>
      </c>
      <c r="I4445" s="26">
        <f t="array" ref="I4445">XLOOKUP($A4445,product!A:A,product!E:E)</f>
        <v>1.66</v>
      </c>
      <c r="J4445" s="25">
        <f t="shared" si="2"/>
        <v>177.62</v>
      </c>
      <c r="K4445" s="27">
        <f t="shared" si="3"/>
        <v>1</v>
      </c>
      <c r="L4445" s="25">
        <f t="shared" si="4"/>
        <v>1</v>
      </c>
    </row>
    <row r="4446">
      <c r="A4446" s="19">
        <v>88694.0</v>
      </c>
      <c r="B4446" s="20" t="str">
        <f t="array" ref="B4446">xlookup($A4446,product!$A:$A,product!B:B)</f>
        <v>Epicerie salée</v>
      </c>
      <c r="C4446" s="20" t="str">
        <f t="array" ref="C4446">xlookup($A4446,product!$A:$A,product!C:C)</f>
        <v>Légumes et conserves</v>
      </c>
      <c r="D4446" s="20" t="str">
        <f t="array" ref="D4446">xlookup($A4446,product!$A:$A,product!D:D)</f>
        <v>Purées bio</v>
      </c>
      <c r="E4446" s="4" t="str">
        <f t="shared" si="1"/>
        <v>88694-Légumes et conserves-Purées bio</v>
      </c>
      <c r="F4446" s="4">
        <v>0.0</v>
      </c>
      <c r="G4446" s="4">
        <v>806.0</v>
      </c>
      <c r="H4446" s="4">
        <v>588.0</v>
      </c>
      <c r="I4446" s="21">
        <f t="array" ref="I4446">XLOOKUP($A4446,product!A:A,product!E:E)</f>
        <v>1.96</v>
      </c>
      <c r="J4446" s="4">
        <f t="shared" si="2"/>
        <v>1152.48</v>
      </c>
      <c r="K4446" s="22">
        <f t="shared" si="3"/>
        <v>1</v>
      </c>
      <c r="L4446" s="4">
        <f t="shared" si="4"/>
        <v>1</v>
      </c>
    </row>
    <row r="4447">
      <c r="A4447" s="23">
        <v>120393.0</v>
      </c>
      <c r="B4447" s="24" t="str">
        <f t="array" ref="B4447">xlookup($A4447,product!$A:$A,product!B:B)</f>
        <v>Epicerie salée</v>
      </c>
      <c r="C4447" s="24" t="str">
        <f t="array" ref="C4447">xlookup($A4447,product!$A:$A,product!C:C)</f>
        <v>Légumes et conserves</v>
      </c>
      <c r="D4447" s="24" t="str">
        <f t="array" ref="D4447">xlookup($A4447,product!$A:$A,product!D:D)</f>
        <v>Purées bio</v>
      </c>
      <c r="E4447" s="25" t="str">
        <f t="shared" si="1"/>
        <v>120393-Légumes et conserves-Purées bio</v>
      </c>
      <c r="F4447" s="25">
        <v>0.0</v>
      </c>
      <c r="G4447" s="25">
        <v>834.0</v>
      </c>
      <c r="H4447" s="25">
        <v>557.0</v>
      </c>
      <c r="I4447" s="26">
        <f t="array" ref="I4447">XLOOKUP($A4447,product!A:A,product!E:E)</f>
        <v>1.47</v>
      </c>
      <c r="J4447" s="25">
        <f t="shared" si="2"/>
        <v>818.79</v>
      </c>
      <c r="K4447" s="27">
        <f t="shared" si="3"/>
        <v>1</v>
      </c>
      <c r="L4447" s="25">
        <f t="shared" si="4"/>
        <v>1</v>
      </c>
    </row>
    <row r="4448">
      <c r="A4448" s="19">
        <v>89581.0</v>
      </c>
      <c r="B4448" s="20" t="str">
        <f t="array" ref="B4448">xlookup($A4448,product!$A:$A,product!B:B)</f>
        <v>Epicerie salée</v>
      </c>
      <c r="C4448" s="20" t="str">
        <f t="array" ref="C4448">xlookup($A4448,product!$A:$A,product!C:C)</f>
        <v>Légumes et conserves</v>
      </c>
      <c r="D4448" s="20" t="str">
        <f t="array" ref="D4448">xlookup($A4448,product!$A:$A,product!D:D)</f>
        <v>Purées bio</v>
      </c>
      <c r="E4448" s="4" t="str">
        <f t="shared" si="1"/>
        <v>89581-Légumes et conserves-Purées bio</v>
      </c>
      <c r="F4448" s="4">
        <v>1.0</v>
      </c>
      <c r="G4448" s="4">
        <v>38.0</v>
      </c>
      <c r="H4448" s="4">
        <v>7.0</v>
      </c>
      <c r="I4448" s="21">
        <f t="array" ref="I4448">XLOOKUP($A4448,product!A:A,product!E:E)</f>
        <v>1.93</v>
      </c>
      <c r="J4448" s="4">
        <f t="shared" si="2"/>
        <v>13.51</v>
      </c>
      <c r="K4448" s="22">
        <f t="shared" si="3"/>
        <v>1</v>
      </c>
      <c r="L4448" s="4">
        <f t="shared" si="4"/>
        <v>1</v>
      </c>
    </row>
    <row r="4449">
      <c r="A4449" s="23">
        <v>6514.0</v>
      </c>
      <c r="B4449" s="24" t="str">
        <f t="array" ref="B4449">xlookup($A4449,product!$A:$A,product!B:B)</f>
        <v>Epicerie salée</v>
      </c>
      <c r="C4449" s="24" t="str">
        <f t="array" ref="C4449">xlookup($A4449,product!$A:$A,product!C:C)</f>
        <v>Légumes et conserves</v>
      </c>
      <c r="D4449" s="24" t="str">
        <f t="array" ref="D4449">xlookup($A4449,product!$A:$A,product!D:D)</f>
        <v>Purées bio</v>
      </c>
      <c r="E4449" s="25" t="str">
        <f t="shared" si="1"/>
        <v>6514-Légumes et conserves-Purées bio</v>
      </c>
      <c r="F4449" s="25">
        <v>1.0</v>
      </c>
      <c r="G4449" s="25">
        <v>711.0</v>
      </c>
      <c r="H4449" s="25">
        <v>471.0</v>
      </c>
      <c r="I4449" s="26">
        <f t="array" ref="I4449">XLOOKUP($A4449,product!A:A,product!E:E)</f>
        <v>1.87</v>
      </c>
      <c r="J4449" s="25">
        <f t="shared" si="2"/>
        <v>880.77</v>
      </c>
      <c r="K4449" s="27">
        <f t="shared" si="3"/>
        <v>1</v>
      </c>
      <c r="L4449" s="25">
        <f t="shared" si="4"/>
        <v>1</v>
      </c>
    </row>
    <row r="4450">
      <c r="A4450" s="19">
        <v>105340.0</v>
      </c>
      <c r="B4450" s="20" t="str">
        <f t="array" ref="B4450">xlookup($A4450,product!$A:$A,product!B:B)</f>
        <v>Epicerie salée</v>
      </c>
      <c r="C4450" s="20" t="str">
        <f t="array" ref="C4450">xlookup($A4450,product!$A:$A,product!C:C)</f>
        <v>Légumes et conserves</v>
      </c>
      <c r="D4450" s="20" t="str">
        <f t="array" ref="D4450">xlookup($A4450,product!$A:$A,product!D:D)</f>
        <v>Légumes séchés</v>
      </c>
      <c r="E4450" s="4" t="str">
        <f t="shared" si="1"/>
        <v>105340-Légumes et conserves-Légumes séchés</v>
      </c>
      <c r="F4450" s="4">
        <v>0.0</v>
      </c>
      <c r="G4450" s="4">
        <v>86.0</v>
      </c>
      <c r="H4450" s="4">
        <v>9.0</v>
      </c>
      <c r="I4450" s="21">
        <f t="array" ref="I4450">XLOOKUP($A4450,product!A:A,product!E:E)</f>
        <v>4.05</v>
      </c>
      <c r="J4450" s="4">
        <f t="shared" si="2"/>
        <v>36.45</v>
      </c>
      <c r="K4450" s="22">
        <f t="shared" si="3"/>
        <v>1</v>
      </c>
      <c r="L4450" s="4">
        <f t="shared" si="4"/>
        <v>1</v>
      </c>
    </row>
    <row r="4451">
      <c r="A4451" s="23">
        <v>120865.0</v>
      </c>
      <c r="B4451" s="24" t="str">
        <f t="array" ref="B4451">xlookup($A4451,product!$A:$A,product!B:B)</f>
        <v>Epicerie salée</v>
      </c>
      <c r="C4451" s="24" t="str">
        <f t="array" ref="C4451">xlookup($A4451,product!$A:$A,product!C:C)</f>
        <v>Légumes et conserves</v>
      </c>
      <c r="D4451" s="24" t="str">
        <f t="array" ref="D4451">xlookup($A4451,product!$A:$A,product!D:D)</f>
        <v>Légumes séchés</v>
      </c>
      <c r="E4451" s="25" t="str">
        <f t="shared" si="1"/>
        <v>120865-Légumes et conserves-Légumes séchés</v>
      </c>
      <c r="F4451" s="25">
        <v>1.0</v>
      </c>
      <c r="G4451" s="25">
        <v>82.0</v>
      </c>
      <c r="H4451" s="25">
        <v>44.0</v>
      </c>
      <c r="I4451" s="26">
        <f t="array" ref="I4451">XLOOKUP($A4451,product!A:A,product!E:E)</f>
        <v>2.59</v>
      </c>
      <c r="J4451" s="25">
        <f t="shared" si="2"/>
        <v>113.96</v>
      </c>
      <c r="K4451" s="27">
        <f t="shared" si="3"/>
        <v>1</v>
      </c>
      <c r="L4451" s="25">
        <f t="shared" si="4"/>
        <v>1</v>
      </c>
    </row>
    <row r="4452">
      <c r="A4452" s="19">
        <v>110078.0</v>
      </c>
      <c r="B4452" s="20" t="str">
        <f t="array" ref="B4452">xlookup($A4452,product!$A:$A,product!B:B)</f>
        <v>Epicerie salée</v>
      </c>
      <c r="C4452" s="20" t="str">
        <f t="array" ref="C4452">xlookup($A4452,product!$A:$A,product!C:C)</f>
        <v>Légumes et conserves</v>
      </c>
      <c r="D4452" s="20" t="str">
        <f t="array" ref="D4452">xlookup($A4452,product!$A:$A,product!D:D)</f>
        <v>Légumes séchés</v>
      </c>
      <c r="E4452" s="4" t="str">
        <f t="shared" si="1"/>
        <v>110078-Légumes et conserves-Légumes séchés</v>
      </c>
      <c r="F4452" s="4">
        <v>0.0</v>
      </c>
      <c r="G4452" s="4">
        <v>50.0</v>
      </c>
      <c r="H4452" s="4">
        <v>39.0</v>
      </c>
      <c r="I4452" s="21">
        <f t="array" ref="I4452">XLOOKUP($A4452,product!A:A,product!E:E)</f>
        <v>3.72</v>
      </c>
      <c r="J4452" s="4">
        <f t="shared" si="2"/>
        <v>145.08</v>
      </c>
      <c r="K4452" s="22">
        <f t="shared" si="3"/>
        <v>1</v>
      </c>
      <c r="L4452" s="4">
        <f t="shared" si="4"/>
        <v>1</v>
      </c>
    </row>
    <row r="4453">
      <c r="A4453" s="23">
        <v>122343.0</v>
      </c>
      <c r="B4453" s="24" t="str">
        <f t="array" ref="B4453">xlookup($A4453,product!$A:$A,product!B:B)</f>
        <v>Epicerie salée</v>
      </c>
      <c r="C4453" s="24" t="str">
        <f t="array" ref="C4453">xlookup($A4453,product!$A:$A,product!C:C)</f>
        <v>Légumes et conserves</v>
      </c>
      <c r="D4453" s="24" t="str">
        <f t="array" ref="D4453">xlookup($A4453,product!$A:$A,product!D:D)</f>
        <v>Légumes séchés</v>
      </c>
      <c r="E4453" s="25" t="str">
        <f t="shared" si="1"/>
        <v>122343-Légumes et conserves-Légumes séchés</v>
      </c>
      <c r="F4453" s="25">
        <v>0.0</v>
      </c>
      <c r="G4453" s="25">
        <v>469.0</v>
      </c>
      <c r="H4453" s="25">
        <v>407.0</v>
      </c>
      <c r="I4453" s="26">
        <f t="array" ref="I4453">XLOOKUP($A4453,product!A:A,product!E:E)</f>
        <v>4.01</v>
      </c>
      <c r="J4453" s="25">
        <f t="shared" si="2"/>
        <v>1632.07</v>
      </c>
      <c r="K4453" s="27">
        <f t="shared" si="3"/>
        <v>1</v>
      </c>
      <c r="L4453" s="25">
        <f t="shared" si="4"/>
        <v>1</v>
      </c>
    </row>
    <row r="4454">
      <c r="A4454" s="19">
        <v>12296.0</v>
      </c>
      <c r="B4454" s="20" t="str">
        <f t="array" ref="B4454">xlookup($A4454,product!$A:$A,product!B:B)</f>
        <v>Epicerie salée</v>
      </c>
      <c r="C4454" s="20" t="str">
        <f t="array" ref="C4454">xlookup($A4454,product!$A:$A,product!C:C)</f>
        <v>Légumes et conserves</v>
      </c>
      <c r="D4454" s="20" t="str">
        <f t="array" ref="D4454">xlookup($A4454,product!$A:$A,product!D:D)</f>
        <v>Légumes séchés</v>
      </c>
      <c r="E4454" s="4" t="str">
        <f t="shared" si="1"/>
        <v>12296-Légumes et conserves-Légumes séchés</v>
      </c>
      <c r="F4454" s="4">
        <v>0.0</v>
      </c>
      <c r="G4454" s="4">
        <v>688.0</v>
      </c>
      <c r="H4454" s="4">
        <v>353.0</v>
      </c>
      <c r="I4454" s="21">
        <f t="array" ref="I4454">XLOOKUP($A4454,product!A:A,product!E:E)</f>
        <v>1.93</v>
      </c>
      <c r="J4454" s="4">
        <f t="shared" si="2"/>
        <v>681.29</v>
      </c>
      <c r="K4454" s="22">
        <f t="shared" si="3"/>
        <v>1</v>
      </c>
      <c r="L4454" s="4">
        <f t="shared" si="4"/>
        <v>1</v>
      </c>
    </row>
    <row r="4455">
      <c r="A4455" s="23">
        <v>96952.0</v>
      </c>
      <c r="B4455" s="24" t="str">
        <f t="array" ref="B4455">xlookup($A4455,product!$A:$A,product!B:B)</f>
        <v>Epicerie salée</v>
      </c>
      <c r="C4455" s="24" t="str">
        <f t="array" ref="C4455">xlookup($A4455,product!$A:$A,product!C:C)</f>
        <v>Légumes et conserves</v>
      </c>
      <c r="D4455" s="24" t="str">
        <f t="array" ref="D4455">xlookup($A4455,product!$A:$A,product!D:D)</f>
        <v>Légumes séchés</v>
      </c>
      <c r="E4455" s="25" t="str">
        <f t="shared" si="1"/>
        <v>96952-Légumes et conserves-Légumes séchés</v>
      </c>
      <c r="F4455" s="25">
        <v>0.0</v>
      </c>
      <c r="G4455" s="25">
        <v>808.0</v>
      </c>
      <c r="H4455" s="25">
        <v>267.0</v>
      </c>
      <c r="I4455" s="26">
        <f t="array" ref="I4455">XLOOKUP($A4455,product!A:A,product!E:E)</f>
        <v>1.83</v>
      </c>
      <c r="J4455" s="25">
        <f t="shared" si="2"/>
        <v>488.61</v>
      </c>
      <c r="K4455" s="27">
        <f t="shared" si="3"/>
        <v>1</v>
      </c>
      <c r="L4455" s="25">
        <f t="shared" si="4"/>
        <v>1</v>
      </c>
    </row>
    <row r="4456">
      <c r="A4456" s="19">
        <v>82193.0</v>
      </c>
      <c r="B4456" s="20" t="str">
        <f t="array" ref="B4456">xlookup($A4456,product!$A:$A,product!B:B)</f>
        <v>Epicerie salée</v>
      </c>
      <c r="C4456" s="20" t="str">
        <f t="array" ref="C4456">xlookup($A4456,product!$A:$A,product!C:C)</f>
        <v>Légumes et conserves</v>
      </c>
      <c r="D4456" s="20" t="str">
        <f t="array" ref="D4456">xlookup($A4456,product!$A:$A,product!D:D)</f>
        <v>Légumes séchés</v>
      </c>
      <c r="E4456" s="4" t="str">
        <f t="shared" si="1"/>
        <v>82193-Légumes et conserves-Légumes séchés</v>
      </c>
      <c r="F4456" s="4">
        <v>1.0</v>
      </c>
      <c r="G4456" s="4">
        <v>805.0</v>
      </c>
      <c r="H4456" s="4">
        <v>654.0</v>
      </c>
      <c r="I4456" s="21">
        <f t="array" ref="I4456">XLOOKUP($A4456,product!A:A,product!E:E)</f>
        <v>3.58</v>
      </c>
      <c r="J4456" s="4">
        <f t="shared" si="2"/>
        <v>2341.32</v>
      </c>
      <c r="K4456" s="22">
        <f t="shared" si="3"/>
        <v>1</v>
      </c>
      <c r="L4456" s="4">
        <f t="shared" si="4"/>
        <v>1</v>
      </c>
    </row>
    <row r="4457">
      <c r="A4457" s="23">
        <v>89802.0</v>
      </c>
      <c r="B4457" s="24" t="str">
        <f t="array" ref="B4457">xlookup($A4457,product!$A:$A,product!B:B)</f>
        <v>Epicerie salée</v>
      </c>
      <c r="C4457" s="24" t="str">
        <f t="array" ref="C4457">xlookup($A4457,product!$A:$A,product!C:C)</f>
        <v>Légumes et conserves</v>
      </c>
      <c r="D4457" s="24" t="str">
        <f t="array" ref="D4457">xlookup($A4457,product!$A:$A,product!D:D)</f>
        <v>Légumes séchés</v>
      </c>
      <c r="E4457" s="25" t="str">
        <f t="shared" si="1"/>
        <v>89802-Légumes et conserves-Légumes séchés</v>
      </c>
      <c r="F4457" s="25">
        <v>0.0</v>
      </c>
      <c r="G4457" s="25">
        <v>4.0</v>
      </c>
      <c r="H4457" s="25">
        <v>1.0</v>
      </c>
      <c r="I4457" s="26">
        <f t="array" ref="I4457">XLOOKUP($A4457,product!A:A,product!E:E)</f>
        <v>3.02</v>
      </c>
      <c r="J4457" s="25">
        <f t="shared" si="2"/>
        <v>3.02</v>
      </c>
      <c r="K4457" s="27">
        <f t="shared" si="3"/>
        <v>1</v>
      </c>
      <c r="L4457" s="25">
        <f t="shared" si="4"/>
        <v>1</v>
      </c>
    </row>
    <row r="4458">
      <c r="A4458" s="19">
        <v>87044.0</v>
      </c>
      <c r="B4458" s="20" t="str">
        <f t="array" ref="B4458">xlookup($A4458,product!$A:$A,product!B:B)</f>
        <v>Epicerie salée</v>
      </c>
      <c r="C4458" s="20" t="str">
        <f t="array" ref="C4458">xlookup($A4458,product!$A:$A,product!C:C)</f>
        <v>Légumes et conserves</v>
      </c>
      <c r="D4458" s="20" t="str">
        <f t="array" ref="D4458">xlookup($A4458,product!$A:$A,product!D:D)</f>
        <v>Légumes séchés</v>
      </c>
      <c r="E4458" s="4" t="str">
        <f t="shared" si="1"/>
        <v>87044-Légumes et conserves-Légumes séchés</v>
      </c>
      <c r="F4458" s="4">
        <v>0.0</v>
      </c>
      <c r="G4458" s="4">
        <v>651.0</v>
      </c>
      <c r="H4458" s="4">
        <v>572.0</v>
      </c>
      <c r="I4458" s="21">
        <f t="array" ref="I4458">XLOOKUP($A4458,product!A:A,product!E:E)</f>
        <v>7.43</v>
      </c>
      <c r="J4458" s="4">
        <f t="shared" si="2"/>
        <v>4249.96</v>
      </c>
      <c r="K4458" s="22">
        <f t="shared" si="3"/>
        <v>1</v>
      </c>
      <c r="L4458" s="4">
        <f t="shared" si="4"/>
        <v>1</v>
      </c>
    </row>
    <row r="4459">
      <c r="A4459" s="23">
        <v>87042.0</v>
      </c>
      <c r="B4459" s="24" t="str">
        <f t="array" ref="B4459">xlookup($A4459,product!$A:$A,product!B:B)</f>
        <v>Epicerie salée</v>
      </c>
      <c r="C4459" s="24" t="str">
        <f t="array" ref="C4459">xlookup($A4459,product!$A:$A,product!C:C)</f>
        <v>Légumes et conserves</v>
      </c>
      <c r="D4459" s="24" t="str">
        <f t="array" ref="D4459">xlookup($A4459,product!$A:$A,product!D:D)</f>
        <v>Légumes séchés</v>
      </c>
      <c r="E4459" s="25" t="str">
        <f t="shared" si="1"/>
        <v>87042-Légumes et conserves-Légumes séchés</v>
      </c>
      <c r="F4459" s="25">
        <v>1.0</v>
      </c>
      <c r="G4459" s="25">
        <v>231.0</v>
      </c>
      <c r="H4459" s="25">
        <v>116.0</v>
      </c>
      <c r="I4459" s="26">
        <f t="array" ref="I4459">XLOOKUP($A4459,product!A:A,product!E:E)</f>
        <v>6.14</v>
      </c>
      <c r="J4459" s="25">
        <f t="shared" si="2"/>
        <v>712.24</v>
      </c>
      <c r="K4459" s="27">
        <f t="shared" si="3"/>
        <v>1</v>
      </c>
      <c r="L4459" s="25">
        <f t="shared" si="4"/>
        <v>1</v>
      </c>
    </row>
    <row r="4460">
      <c r="A4460" s="19">
        <v>116274.0</v>
      </c>
      <c r="B4460" s="20" t="str">
        <f t="array" ref="B4460">xlookup($A4460,product!$A:$A,product!B:B)</f>
        <v>Epicerie salée</v>
      </c>
      <c r="C4460" s="20" t="str">
        <f t="array" ref="C4460">xlookup($A4460,product!$A:$A,product!C:C)</f>
        <v>Légumes et conserves</v>
      </c>
      <c r="D4460" s="20" t="str">
        <f t="array" ref="D4460">xlookup($A4460,product!$A:$A,product!D:D)</f>
        <v>Légumes séchés</v>
      </c>
      <c r="E4460" s="4" t="str">
        <f t="shared" si="1"/>
        <v>116274-Légumes et conserves-Légumes séchés</v>
      </c>
      <c r="F4460" s="4">
        <v>0.0</v>
      </c>
      <c r="G4460" s="4">
        <v>636.0</v>
      </c>
      <c r="H4460" s="4">
        <v>471.0</v>
      </c>
      <c r="I4460" s="21">
        <f t="array" ref="I4460">XLOOKUP($A4460,product!A:A,product!E:E)</f>
        <v>2.39</v>
      </c>
      <c r="J4460" s="4">
        <f t="shared" si="2"/>
        <v>1125.69</v>
      </c>
      <c r="K4460" s="22">
        <f t="shared" si="3"/>
        <v>1</v>
      </c>
      <c r="L4460" s="4">
        <f t="shared" si="4"/>
        <v>1</v>
      </c>
    </row>
    <row r="4461">
      <c r="A4461" s="23">
        <v>122344.0</v>
      </c>
      <c r="B4461" s="24" t="str">
        <f t="array" ref="B4461">xlookup($A4461,product!$A:$A,product!B:B)</f>
        <v>Epicerie salée</v>
      </c>
      <c r="C4461" s="24" t="str">
        <f t="array" ref="C4461">xlookup($A4461,product!$A:$A,product!C:C)</f>
        <v>Légumes et conserves</v>
      </c>
      <c r="D4461" s="24" t="str">
        <f t="array" ref="D4461">xlookup($A4461,product!$A:$A,product!D:D)</f>
        <v>Légumes séchés</v>
      </c>
      <c r="E4461" s="25" t="str">
        <f t="shared" si="1"/>
        <v>122344-Légumes et conserves-Légumes séchés</v>
      </c>
      <c r="F4461" s="25">
        <v>1.0</v>
      </c>
      <c r="G4461" s="25">
        <v>967.0</v>
      </c>
      <c r="H4461" s="25">
        <v>304.0</v>
      </c>
      <c r="I4461" s="26">
        <f t="array" ref="I4461">XLOOKUP($A4461,product!A:A,product!E:E)</f>
        <v>2.96</v>
      </c>
      <c r="J4461" s="25">
        <f t="shared" si="2"/>
        <v>899.84</v>
      </c>
      <c r="K4461" s="27">
        <f t="shared" si="3"/>
        <v>1</v>
      </c>
      <c r="L4461" s="25">
        <f t="shared" si="4"/>
        <v>1</v>
      </c>
    </row>
    <row r="4462">
      <c r="A4462" s="19">
        <v>122345.0</v>
      </c>
      <c r="B4462" s="20" t="str">
        <f t="array" ref="B4462">xlookup($A4462,product!$A:$A,product!B:B)</f>
        <v>Epicerie salée</v>
      </c>
      <c r="C4462" s="20" t="str">
        <f t="array" ref="C4462">xlookup($A4462,product!$A:$A,product!C:C)</f>
        <v>Légumes et conserves</v>
      </c>
      <c r="D4462" s="20" t="str">
        <f t="array" ref="D4462">xlookup($A4462,product!$A:$A,product!D:D)</f>
        <v>Légumes séchés</v>
      </c>
      <c r="E4462" s="4" t="str">
        <f t="shared" si="1"/>
        <v>122345-Légumes et conserves-Légumes séchés</v>
      </c>
      <c r="F4462" s="4">
        <v>0.0</v>
      </c>
      <c r="G4462" s="4">
        <v>92.0</v>
      </c>
      <c r="H4462" s="4">
        <v>13.0</v>
      </c>
      <c r="I4462" s="21">
        <f t="array" ref="I4462">XLOOKUP($A4462,product!A:A,product!E:E)</f>
        <v>2.3</v>
      </c>
      <c r="J4462" s="4">
        <f t="shared" si="2"/>
        <v>29.9</v>
      </c>
      <c r="K4462" s="22">
        <f t="shared" si="3"/>
        <v>1</v>
      </c>
      <c r="L4462" s="4">
        <f t="shared" si="4"/>
        <v>1</v>
      </c>
    </row>
    <row r="4463">
      <c r="A4463" s="23">
        <v>120867.0</v>
      </c>
      <c r="B4463" s="24" t="str">
        <f t="array" ref="B4463">xlookup($A4463,product!$A:$A,product!B:B)</f>
        <v>Epicerie salée</v>
      </c>
      <c r="C4463" s="24" t="str">
        <f t="array" ref="C4463">xlookup($A4463,product!$A:$A,product!C:C)</f>
        <v>Légumes et conserves</v>
      </c>
      <c r="D4463" s="24" t="str">
        <f t="array" ref="D4463">xlookup($A4463,product!$A:$A,product!D:D)</f>
        <v>Légumes séchés</v>
      </c>
      <c r="E4463" s="25" t="str">
        <f t="shared" si="1"/>
        <v>120867-Légumes et conserves-Légumes séchés</v>
      </c>
      <c r="F4463" s="25">
        <v>0.0</v>
      </c>
      <c r="G4463" s="25">
        <v>326.0</v>
      </c>
      <c r="H4463" s="25">
        <v>187.0</v>
      </c>
      <c r="I4463" s="26">
        <f t="array" ref="I4463">XLOOKUP($A4463,product!A:A,product!E:E)</f>
        <v>2.56</v>
      </c>
      <c r="J4463" s="25">
        <f t="shared" si="2"/>
        <v>478.72</v>
      </c>
      <c r="K4463" s="27">
        <f t="shared" si="3"/>
        <v>1</v>
      </c>
      <c r="L4463" s="25">
        <f t="shared" si="4"/>
        <v>1</v>
      </c>
    </row>
    <row r="4464">
      <c r="A4464" s="19">
        <v>28494.0</v>
      </c>
      <c r="B4464" s="20" t="str">
        <f t="array" ref="B4464">xlookup($A4464,product!$A:$A,product!B:B)</f>
        <v>Epicerie salée</v>
      </c>
      <c r="C4464" s="20" t="str">
        <f t="array" ref="C4464">xlookup($A4464,product!$A:$A,product!C:C)</f>
        <v>Légumes et conserves</v>
      </c>
      <c r="D4464" s="20" t="str">
        <f t="array" ref="D4464">xlookup($A4464,product!$A:$A,product!D:D)</f>
        <v>Légumes séchés</v>
      </c>
      <c r="E4464" s="4" t="str">
        <f t="shared" si="1"/>
        <v>28494-Légumes et conserves-Légumes séchés</v>
      </c>
      <c r="F4464" s="4">
        <v>0.0</v>
      </c>
      <c r="G4464" s="4">
        <v>289.0</v>
      </c>
      <c r="H4464" s="4">
        <v>193.0</v>
      </c>
      <c r="I4464" s="21">
        <f t="array" ref="I4464">XLOOKUP($A4464,product!A:A,product!E:E)</f>
        <v>2.75</v>
      </c>
      <c r="J4464" s="4">
        <f t="shared" si="2"/>
        <v>530.75</v>
      </c>
      <c r="K4464" s="22">
        <f t="shared" si="3"/>
        <v>1</v>
      </c>
      <c r="L4464" s="4">
        <f t="shared" si="4"/>
        <v>1</v>
      </c>
    </row>
    <row r="4465">
      <c r="A4465" s="23">
        <v>8882.0</v>
      </c>
      <c r="B4465" s="24" t="str">
        <f t="array" ref="B4465">xlookup($A4465,product!$A:$A,product!B:B)</f>
        <v>Epicerie salée</v>
      </c>
      <c r="C4465" s="24" t="str">
        <f t="array" ref="C4465">xlookup($A4465,product!$A:$A,product!C:C)</f>
        <v>Légumes et conserves</v>
      </c>
      <c r="D4465" s="24" t="str">
        <f t="array" ref="D4465">xlookup($A4465,product!$A:$A,product!D:D)</f>
        <v>Légumes séchés</v>
      </c>
      <c r="E4465" s="25" t="str">
        <f t="shared" si="1"/>
        <v>8882-Légumes et conserves-Légumes séchés</v>
      </c>
      <c r="F4465" s="25">
        <v>1.0</v>
      </c>
      <c r="G4465" s="25">
        <v>871.0</v>
      </c>
      <c r="H4465" s="25">
        <v>656.0</v>
      </c>
      <c r="I4465" s="26">
        <f t="array" ref="I4465">XLOOKUP($A4465,product!A:A,product!E:E)</f>
        <v>3.11</v>
      </c>
      <c r="J4465" s="25">
        <f t="shared" si="2"/>
        <v>2040.16</v>
      </c>
      <c r="K4465" s="27">
        <f t="shared" si="3"/>
        <v>1</v>
      </c>
      <c r="L4465" s="25">
        <f t="shared" si="4"/>
        <v>1</v>
      </c>
    </row>
    <row r="4466">
      <c r="A4466" s="19">
        <v>116275.0</v>
      </c>
      <c r="B4466" s="20" t="str">
        <f t="array" ref="B4466">xlookup($A4466,product!$A:$A,product!B:B)</f>
        <v>Epicerie salée</v>
      </c>
      <c r="C4466" s="20" t="str">
        <f t="array" ref="C4466">xlookup($A4466,product!$A:$A,product!C:C)</f>
        <v>Légumes et conserves</v>
      </c>
      <c r="D4466" s="20" t="str">
        <f t="array" ref="D4466">xlookup($A4466,product!$A:$A,product!D:D)</f>
        <v>Légumes séchés</v>
      </c>
      <c r="E4466" s="4" t="str">
        <f t="shared" si="1"/>
        <v>116275-Légumes et conserves-Légumes séchés</v>
      </c>
      <c r="F4466" s="4">
        <v>0.0</v>
      </c>
      <c r="G4466" s="4">
        <v>767.0</v>
      </c>
      <c r="H4466" s="4">
        <v>2.0</v>
      </c>
      <c r="I4466" s="21">
        <f t="array" ref="I4466">XLOOKUP($A4466,product!A:A,product!E:E)</f>
        <v>3.24</v>
      </c>
      <c r="J4466" s="4">
        <f t="shared" si="2"/>
        <v>6.48</v>
      </c>
      <c r="K4466" s="22">
        <f t="shared" si="3"/>
        <v>1</v>
      </c>
      <c r="L4466" s="4">
        <f t="shared" si="4"/>
        <v>1</v>
      </c>
    </row>
    <row r="4467">
      <c r="A4467" s="23">
        <v>121424.0</v>
      </c>
      <c r="B4467" s="24" t="str">
        <f t="array" ref="B4467">xlookup($A4467,product!$A:$A,product!B:B)</f>
        <v>Epicerie salée</v>
      </c>
      <c r="C4467" s="24" t="str">
        <f t="array" ref="C4467">xlookup($A4467,product!$A:$A,product!C:C)</f>
        <v>Légumes et conserves</v>
      </c>
      <c r="D4467" s="24" t="str">
        <f t="array" ref="D4467">xlookup($A4467,product!$A:$A,product!D:D)</f>
        <v>Légumes séchés</v>
      </c>
      <c r="E4467" s="25" t="str">
        <f t="shared" si="1"/>
        <v>121424-Légumes et conserves-Légumes séchés</v>
      </c>
      <c r="F4467" s="25">
        <v>0.0</v>
      </c>
      <c r="G4467" s="25">
        <v>861.0</v>
      </c>
      <c r="H4467" s="25">
        <v>273.0</v>
      </c>
      <c r="I4467" s="26">
        <f t="array" ref="I4467">XLOOKUP($A4467,product!A:A,product!E:E)</f>
        <v>2.28</v>
      </c>
      <c r="J4467" s="25">
        <f t="shared" si="2"/>
        <v>622.44</v>
      </c>
      <c r="K4467" s="27">
        <f t="shared" si="3"/>
        <v>1</v>
      </c>
      <c r="L4467" s="25">
        <f t="shared" si="4"/>
        <v>1</v>
      </c>
    </row>
    <row r="4468">
      <c r="A4468" s="19">
        <v>75058.0</v>
      </c>
      <c r="B4468" s="20" t="str">
        <f t="array" ref="B4468">xlookup($A4468,product!$A:$A,product!B:B)</f>
        <v>Epicerie salée</v>
      </c>
      <c r="C4468" s="20" t="str">
        <f t="array" ref="C4468">xlookup($A4468,product!$A:$A,product!C:C)</f>
        <v>Légumes et conserves</v>
      </c>
      <c r="D4468" s="20" t="str">
        <f t="array" ref="D4468">xlookup($A4468,product!$A:$A,product!D:D)</f>
        <v>Légumes cuisinés</v>
      </c>
      <c r="E4468" s="4" t="str">
        <f t="shared" si="1"/>
        <v>75058-Légumes et conserves-Légumes cuisinés</v>
      </c>
      <c r="F4468" s="4">
        <v>0.0</v>
      </c>
      <c r="G4468" s="4">
        <v>477.0</v>
      </c>
      <c r="H4468" s="4">
        <v>60.0</v>
      </c>
      <c r="I4468" s="21">
        <f t="array" ref="I4468">XLOOKUP($A4468,product!A:A,product!E:E)</f>
        <v>1.96</v>
      </c>
      <c r="J4468" s="4">
        <f t="shared" si="2"/>
        <v>117.6</v>
      </c>
      <c r="K4468" s="22">
        <f t="shared" si="3"/>
        <v>1</v>
      </c>
      <c r="L4468" s="4">
        <f t="shared" si="4"/>
        <v>1</v>
      </c>
    </row>
    <row r="4469">
      <c r="A4469" s="23">
        <v>75056.0</v>
      </c>
      <c r="B4469" s="24" t="str">
        <f t="array" ref="B4469">xlookup($A4469,product!$A:$A,product!B:B)</f>
        <v>Epicerie salée</v>
      </c>
      <c r="C4469" s="24" t="str">
        <f t="array" ref="C4469">xlookup($A4469,product!$A:$A,product!C:C)</f>
        <v>Légumes et conserves</v>
      </c>
      <c r="D4469" s="24" t="str">
        <f t="array" ref="D4469">xlookup($A4469,product!$A:$A,product!D:D)</f>
        <v>Légumes cuisinés</v>
      </c>
      <c r="E4469" s="25" t="str">
        <f t="shared" si="1"/>
        <v>75056-Légumes et conserves-Légumes cuisinés</v>
      </c>
      <c r="F4469" s="25">
        <v>1.0</v>
      </c>
      <c r="G4469" s="25">
        <v>660.0</v>
      </c>
      <c r="H4469" s="25">
        <v>618.0</v>
      </c>
      <c r="I4469" s="26">
        <f t="array" ref="I4469">XLOOKUP($A4469,product!A:A,product!E:E)</f>
        <v>2.57</v>
      </c>
      <c r="J4469" s="25">
        <f t="shared" si="2"/>
        <v>1588.26</v>
      </c>
      <c r="K4469" s="27">
        <f t="shared" si="3"/>
        <v>1</v>
      </c>
      <c r="L4469" s="25">
        <f t="shared" si="4"/>
        <v>1</v>
      </c>
    </row>
    <row r="4470">
      <c r="A4470" s="19">
        <v>42239.0</v>
      </c>
      <c r="B4470" s="20" t="str">
        <f t="array" ref="B4470">xlookup($A4470,product!$A:$A,product!B:B)</f>
        <v>Epicerie salée</v>
      </c>
      <c r="C4470" s="20" t="str">
        <f t="array" ref="C4470">xlookup($A4470,product!$A:$A,product!C:C)</f>
        <v>Légumes et conserves</v>
      </c>
      <c r="D4470" s="20" t="str">
        <f t="array" ref="D4470">xlookup($A4470,product!$A:$A,product!D:D)</f>
        <v>Légumes cuisinés</v>
      </c>
      <c r="E4470" s="4" t="str">
        <f t="shared" si="1"/>
        <v>42239-Légumes et conserves-Légumes cuisinés</v>
      </c>
      <c r="F4470" s="4">
        <v>1.0</v>
      </c>
      <c r="G4470" s="4">
        <v>717.0</v>
      </c>
      <c r="H4470" s="4">
        <v>164.0</v>
      </c>
      <c r="I4470" s="21">
        <f t="array" ref="I4470">XLOOKUP($A4470,product!A:A,product!E:E)</f>
        <v>2.44</v>
      </c>
      <c r="J4470" s="4">
        <f t="shared" si="2"/>
        <v>400.16</v>
      </c>
      <c r="K4470" s="22">
        <f t="shared" si="3"/>
        <v>1</v>
      </c>
      <c r="L4470" s="4">
        <f t="shared" si="4"/>
        <v>1</v>
      </c>
    </row>
    <row r="4471">
      <c r="A4471" s="23">
        <v>42237.0</v>
      </c>
      <c r="B4471" s="24" t="str">
        <f t="array" ref="B4471">xlookup($A4471,product!$A:$A,product!B:B)</f>
        <v>Epicerie salée</v>
      </c>
      <c r="C4471" s="24" t="str">
        <f t="array" ref="C4471">xlookup($A4471,product!$A:$A,product!C:C)</f>
        <v>Légumes et conserves</v>
      </c>
      <c r="D4471" s="24" t="str">
        <f t="array" ref="D4471">xlookup($A4471,product!$A:$A,product!D:D)</f>
        <v>Légumes cuisinés</v>
      </c>
      <c r="E4471" s="25" t="str">
        <f t="shared" si="1"/>
        <v>42237-Légumes et conserves-Légumes cuisinés</v>
      </c>
      <c r="F4471" s="25">
        <v>1.0</v>
      </c>
      <c r="G4471" s="25">
        <v>5.0</v>
      </c>
      <c r="H4471" s="25">
        <v>5.0</v>
      </c>
      <c r="I4471" s="26">
        <f t="array" ref="I4471">XLOOKUP($A4471,product!A:A,product!E:E)</f>
        <v>2.13</v>
      </c>
      <c r="J4471" s="25">
        <f t="shared" si="2"/>
        <v>10.65</v>
      </c>
      <c r="K4471" s="27">
        <f t="shared" si="3"/>
        <v>1</v>
      </c>
      <c r="L4471" s="25">
        <f t="shared" si="4"/>
        <v>1</v>
      </c>
    </row>
    <row r="4472">
      <c r="A4472" s="19">
        <v>69457.0</v>
      </c>
      <c r="B4472" s="20" t="str">
        <f t="array" ref="B4472">xlookup($A4472,product!$A:$A,product!B:B)</f>
        <v>Epicerie salée</v>
      </c>
      <c r="C4472" s="20" t="str">
        <f t="array" ref="C4472">xlookup($A4472,product!$A:$A,product!C:C)</f>
        <v>Légumes et conserves</v>
      </c>
      <c r="D4472" s="20" t="str">
        <f t="array" ref="D4472">xlookup($A4472,product!$A:$A,product!D:D)</f>
        <v>Légumes cuisinés</v>
      </c>
      <c r="E4472" s="4" t="str">
        <f t="shared" si="1"/>
        <v>69457-Légumes et conserves-Légumes cuisinés</v>
      </c>
      <c r="F4472" s="4">
        <v>0.0</v>
      </c>
      <c r="G4472" s="4">
        <v>795.0</v>
      </c>
      <c r="H4472" s="4">
        <v>609.0</v>
      </c>
      <c r="I4472" s="21">
        <f t="array" ref="I4472">XLOOKUP($A4472,product!A:A,product!E:E)</f>
        <v>3.41</v>
      </c>
      <c r="J4472" s="4">
        <f t="shared" si="2"/>
        <v>2076.69</v>
      </c>
      <c r="K4472" s="22">
        <f t="shared" si="3"/>
        <v>1</v>
      </c>
      <c r="L4472" s="4">
        <f t="shared" si="4"/>
        <v>1</v>
      </c>
    </row>
    <row r="4473">
      <c r="A4473" s="23">
        <v>69328.0</v>
      </c>
      <c r="B4473" s="24" t="str">
        <f t="array" ref="B4473">xlookup($A4473,product!$A:$A,product!B:B)</f>
        <v>Epicerie salée</v>
      </c>
      <c r="C4473" s="24" t="str">
        <f t="array" ref="C4473">xlookup($A4473,product!$A:$A,product!C:C)</f>
        <v>Légumes et conserves</v>
      </c>
      <c r="D4473" s="24" t="str">
        <f t="array" ref="D4473">xlookup($A4473,product!$A:$A,product!D:D)</f>
        <v>Légumes cuisinés</v>
      </c>
      <c r="E4473" s="25" t="str">
        <f t="shared" si="1"/>
        <v>69328-Légumes et conserves-Légumes cuisinés</v>
      </c>
      <c r="F4473" s="25">
        <v>1.0</v>
      </c>
      <c r="G4473" s="25">
        <v>614.0</v>
      </c>
      <c r="H4473" s="25">
        <v>214.0</v>
      </c>
      <c r="I4473" s="26">
        <f t="array" ref="I4473">XLOOKUP($A4473,product!A:A,product!E:E)</f>
        <v>2.48</v>
      </c>
      <c r="J4473" s="25">
        <f t="shared" si="2"/>
        <v>530.72</v>
      </c>
      <c r="K4473" s="27">
        <f t="shared" si="3"/>
        <v>1</v>
      </c>
      <c r="L4473" s="25">
        <f t="shared" si="4"/>
        <v>1</v>
      </c>
    </row>
    <row r="4474">
      <c r="A4474" s="19">
        <v>69454.0</v>
      </c>
      <c r="B4474" s="20" t="str">
        <f t="array" ref="B4474">xlookup($A4474,product!$A:$A,product!B:B)</f>
        <v>Epicerie salée</v>
      </c>
      <c r="C4474" s="20" t="str">
        <f t="array" ref="C4474">xlookup($A4474,product!$A:$A,product!C:C)</f>
        <v>Légumes et conserves</v>
      </c>
      <c r="D4474" s="20" t="str">
        <f t="array" ref="D4474">xlookup($A4474,product!$A:$A,product!D:D)</f>
        <v>Légumes cuisinés</v>
      </c>
      <c r="E4474" s="4" t="str">
        <f t="shared" si="1"/>
        <v>69454-Légumes et conserves-Légumes cuisinés</v>
      </c>
      <c r="F4474" s="4">
        <v>1.0</v>
      </c>
      <c r="G4474" s="4">
        <v>217.0</v>
      </c>
      <c r="H4474" s="4">
        <v>206.0</v>
      </c>
      <c r="I4474" s="21">
        <f t="array" ref="I4474">XLOOKUP($A4474,product!A:A,product!E:E)</f>
        <v>2.67</v>
      </c>
      <c r="J4474" s="4">
        <f t="shared" si="2"/>
        <v>550.02</v>
      </c>
      <c r="K4474" s="22">
        <f t="shared" si="3"/>
        <v>1</v>
      </c>
      <c r="L4474" s="4">
        <f t="shared" si="4"/>
        <v>1</v>
      </c>
    </row>
    <row r="4475">
      <c r="A4475" s="23">
        <v>69469.0</v>
      </c>
      <c r="B4475" s="24" t="str">
        <f t="array" ref="B4475">xlookup($A4475,product!$A:$A,product!B:B)</f>
        <v>Epicerie salée</v>
      </c>
      <c r="C4475" s="24" t="str">
        <f t="array" ref="C4475">xlookup($A4475,product!$A:$A,product!C:C)</f>
        <v>Légumes et conserves</v>
      </c>
      <c r="D4475" s="24" t="str">
        <f t="array" ref="D4475">xlookup($A4475,product!$A:$A,product!D:D)</f>
        <v>Légumes cuisinés</v>
      </c>
      <c r="E4475" s="25" t="str">
        <f t="shared" si="1"/>
        <v>69469-Légumes et conserves-Légumes cuisinés</v>
      </c>
      <c r="F4475" s="25">
        <v>1.0</v>
      </c>
      <c r="G4475" s="25">
        <v>286.0</v>
      </c>
      <c r="H4475" s="25">
        <v>142.0</v>
      </c>
      <c r="I4475" s="26">
        <f t="array" ref="I4475">XLOOKUP($A4475,product!A:A,product!E:E)</f>
        <v>2.91</v>
      </c>
      <c r="J4475" s="25">
        <f t="shared" si="2"/>
        <v>413.22</v>
      </c>
      <c r="K4475" s="27">
        <f t="shared" si="3"/>
        <v>1</v>
      </c>
      <c r="L4475" s="25">
        <f t="shared" si="4"/>
        <v>1</v>
      </c>
    </row>
    <row r="4476">
      <c r="A4476" s="19">
        <v>193264.0</v>
      </c>
      <c r="B4476" s="20" t="str">
        <f t="array" ref="B4476">xlookup($A4476,product!$A:$A,product!B:B)</f>
        <v>Epicerie salée</v>
      </c>
      <c r="C4476" s="20" t="str">
        <f t="array" ref="C4476">xlookup($A4476,product!$A:$A,product!C:C)</f>
        <v>Légumes et conserves</v>
      </c>
      <c r="D4476" s="20" t="str">
        <f t="array" ref="D4476">xlookup($A4476,product!$A:$A,product!D:D)</f>
        <v>Légumes cuisinés</v>
      </c>
      <c r="E4476" s="4" t="str">
        <f t="shared" si="1"/>
        <v>193264-Légumes et conserves-Légumes cuisinés</v>
      </c>
      <c r="F4476" s="4">
        <v>1.0</v>
      </c>
      <c r="G4476" s="4">
        <v>678.0</v>
      </c>
      <c r="H4476" s="4">
        <v>560.0</v>
      </c>
      <c r="I4476" s="21">
        <f t="array" ref="I4476">XLOOKUP($A4476,product!A:A,product!E:E)</f>
        <v>2.93</v>
      </c>
      <c r="J4476" s="4">
        <f t="shared" si="2"/>
        <v>1640.8</v>
      </c>
      <c r="K4476" s="22">
        <f t="shared" si="3"/>
        <v>1</v>
      </c>
      <c r="L4476" s="4">
        <f t="shared" si="4"/>
        <v>1</v>
      </c>
    </row>
    <row r="4477">
      <c r="A4477" s="23">
        <v>115763.0</v>
      </c>
      <c r="B4477" s="24" t="str">
        <f t="array" ref="B4477">xlookup($A4477,product!$A:$A,product!B:B)</f>
        <v>Epicerie salée</v>
      </c>
      <c r="C4477" s="24" t="str">
        <f t="array" ref="C4477">xlookup($A4477,product!$A:$A,product!C:C)</f>
        <v>Légumes et conserves</v>
      </c>
      <c r="D4477" s="24" t="str">
        <f t="array" ref="D4477">xlookup($A4477,product!$A:$A,product!D:D)</f>
        <v>Légumes cuisinés</v>
      </c>
      <c r="E4477" s="25" t="str">
        <f t="shared" si="1"/>
        <v>115763-Légumes et conserves-Légumes cuisinés</v>
      </c>
      <c r="F4477" s="25">
        <v>0.0</v>
      </c>
      <c r="G4477" s="25">
        <v>376.0</v>
      </c>
      <c r="H4477" s="25">
        <v>183.0</v>
      </c>
      <c r="I4477" s="26">
        <f t="array" ref="I4477">XLOOKUP($A4477,product!A:A,product!E:E)</f>
        <v>1.24</v>
      </c>
      <c r="J4477" s="25">
        <f t="shared" si="2"/>
        <v>226.92</v>
      </c>
      <c r="K4477" s="27">
        <f t="shared" si="3"/>
        <v>1</v>
      </c>
      <c r="L4477" s="25">
        <f t="shared" si="4"/>
        <v>1</v>
      </c>
    </row>
    <row r="4478">
      <c r="A4478" s="19">
        <v>69463.0</v>
      </c>
      <c r="B4478" s="20" t="str">
        <f t="array" ref="B4478">xlookup($A4478,product!$A:$A,product!B:B)</f>
        <v>Epicerie salée</v>
      </c>
      <c r="C4478" s="20" t="str">
        <f t="array" ref="C4478">xlookup($A4478,product!$A:$A,product!C:C)</f>
        <v>Légumes et conserves</v>
      </c>
      <c r="D4478" s="20" t="str">
        <f t="array" ref="D4478">xlookup($A4478,product!$A:$A,product!D:D)</f>
        <v>Légumes cuisinés</v>
      </c>
      <c r="E4478" s="4" t="str">
        <f t="shared" si="1"/>
        <v>69463-Légumes et conserves-Légumes cuisinés</v>
      </c>
      <c r="F4478" s="4">
        <v>1.0</v>
      </c>
      <c r="G4478" s="4">
        <v>507.0</v>
      </c>
      <c r="H4478" s="4">
        <v>274.0</v>
      </c>
      <c r="I4478" s="21">
        <f t="array" ref="I4478">XLOOKUP($A4478,product!A:A,product!E:E)</f>
        <v>3.33</v>
      </c>
      <c r="J4478" s="4">
        <f t="shared" si="2"/>
        <v>912.42</v>
      </c>
      <c r="K4478" s="22">
        <f t="shared" si="3"/>
        <v>1</v>
      </c>
      <c r="L4478" s="4">
        <f t="shared" si="4"/>
        <v>1</v>
      </c>
    </row>
    <row r="4479">
      <c r="A4479" s="23">
        <v>84168.0</v>
      </c>
      <c r="B4479" s="24" t="str">
        <f t="array" ref="B4479">xlookup($A4479,product!$A:$A,product!B:B)</f>
        <v>Epicerie salée</v>
      </c>
      <c r="C4479" s="24" t="str">
        <f t="array" ref="C4479">xlookup($A4479,product!$A:$A,product!C:C)</f>
        <v>Légumes et conserves</v>
      </c>
      <c r="D4479" s="24" t="str">
        <f t="array" ref="D4479">xlookup($A4479,product!$A:$A,product!D:D)</f>
        <v>Légumes cuisinés</v>
      </c>
      <c r="E4479" s="25" t="str">
        <f t="shared" si="1"/>
        <v>84168-Légumes et conserves-Légumes cuisinés</v>
      </c>
      <c r="F4479" s="25">
        <v>1.0</v>
      </c>
      <c r="G4479" s="25">
        <v>36.0</v>
      </c>
      <c r="H4479" s="25">
        <v>32.0</v>
      </c>
      <c r="I4479" s="26">
        <f t="array" ref="I4479">XLOOKUP($A4479,product!A:A,product!E:E)</f>
        <v>1.61</v>
      </c>
      <c r="J4479" s="25">
        <f t="shared" si="2"/>
        <v>51.52</v>
      </c>
      <c r="K4479" s="27">
        <f t="shared" si="3"/>
        <v>1</v>
      </c>
      <c r="L4479" s="25">
        <f t="shared" si="4"/>
        <v>1</v>
      </c>
    </row>
    <row r="4480">
      <c r="A4480" s="19">
        <v>75077.0</v>
      </c>
      <c r="B4480" s="20" t="str">
        <f t="array" ref="B4480">xlookup($A4480,product!$A:$A,product!B:B)</f>
        <v>Epicerie salée</v>
      </c>
      <c r="C4480" s="20" t="str">
        <f t="array" ref="C4480">xlookup($A4480,product!$A:$A,product!C:C)</f>
        <v>Légumes et conserves</v>
      </c>
      <c r="D4480" s="20" t="str">
        <f t="array" ref="D4480">xlookup($A4480,product!$A:$A,product!D:D)</f>
        <v>Légumes cuisinés</v>
      </c>
      <c r="E4480" s="4" t="str">
        <f t="shared" si="1"/>
        <v>75077-Légumes et conserves-Légumes cuisinés</v>
      </c>
      <c r="F4480" s="4">
        <v>0.0</v>
      </c>
      <c r="G4480" s="4">
        <v>958.0</v>
      </c>
      <c r="H4480" s="4">
        <v>8.0</v>
      </c>
      <c r="I4480" s="21">
        <f t="array" ref="I4480">XLOOKUP($A4480,product!A:A,product!E:E)</f>
        <v>1.9</v>
      </c>
      <c r="J4480" s="4">
        <f t="shared" si="2"/>
        <v>15.2</v>
      </c>
      <c r="K4480" s="22">
        <f t="shared" si="3"/>
        <v>1</v>
      </c>
      <c r="L4480" s="4">
        <f t="shared" si="4"/>
        <v>1</v>
      </c>
    </row>
    <row r="4481">
      <c r="A4481" s="23">
        <v>42229.0</v>
      </c>
      <c r="B4481" s="24" t="str">
        <f t="array" ref="B4481">xlookup($A4481,product!$A:$A,product!B:B)</f>
        <v>Epicerie salée</v>
      </c>
      <c r="C4481" s="24" t="str">
        <f t="array" ref="C4481">xlookup($A4481,product!$A:$A,product!C:C)</f>
        <v>Légumes et conserves</v>
      </c>
      <c r="D4481" s="24" t="str">
        <f t="array" ref="D4481">xlookup($A4481,product!$A:$A,product!D:D)</f>
        <v>Légumes cuisinés</v>
      </c>
      <c r="E4481" s="25" t="str">
        <f t="shared" si="1"/>
        <v>42229-Légumes et conserves-Légumes cuisinés</v>
      </c>
      <c r="F4481" s="25">
        <v>0.0</v>
      </c>
      <c r="G4481" s="25">
        <v>633.0</v>
      </c>
      <c r="H4481" s="25">
        <v>3.0</v>
      </c>
      <c r="I4481" s="26">
        <f t="array" ref="I4481">XLOOKUP($A4481,product!A:A,product!E:E)</f>
        <v>2.32</v>
      </c>
      <c r="J4481" s="25">
        <f t="shared" si="2"/>
        <v>6.96</v>
      </c>
      <c r="K4481" s="27">
        <f t="shared" si="3"/>
        <v>1</v>
      </c>
      <c r="L4481" s="25">
        <f t="shared" si="4"/>
        <v>1</v>
      </c>
    </row>
    <row r="4482">
      <c r="A4482" s="19">
        <v>89588.0</v>
      </c>
      <c r="B4482" s="20" t="str">
        <f t="array" ref="B4482">xlookup($A4482,product!$A:$A,product!B:B)</f>
        <v>Epicerie salée</v>
      </c>
      <c r="C4482" s="20" t="str">
        <f t="array" ref="C4482">xlookup($A4482,product!$A:$A,product!C:C)</f>
        <v>Légumes et conserves</v>
      </c>
      <c r="D4482" s="20" t="str">
        <f t="array" ref="D4482">xlookup($A4482,product!$A:$A,product!D:D)</f>
        <v>Légumes cuisinés</v>
      </c>
      <c r="E4482" s="4" t="str">
        <f t="shared" si="1"/>
        <v>89588-Légumes et conserves-Légumes cuisinés</v>
      </c>
      <c r="F4482" s="4">
        <v>1.0</v>
      </c>
      <c r="G4482" s="4">
        <v>680.0</v>
      </c>
      <c r="H4482" s="4">
        <v>212.0</v>
      </c>
      <c r="I4482" s="21">
        <f t="array" ref="I4482">XLOOKUP($A4482,product!A:A,product!E:E)</f>
        <v>2.04</v>
      </c>
      <c r="J4482" s="4">
        <f t="shared" si="2"/>
        <v>432.48</v>
      </c>
      <c r="K4482" s="22">
        <f t="shared" si="3"/>
        <v>1</v>
      </c>
      <c r="L4482" s="4">
        <f t="shared" si="4"/>
        <v>1</v>
      </c>
    </row>
    <row r="4483">
      <c r="A4483" s="23">
        <v>99973.0</v>
      </c>
      <c r="B4483" s="24" t="str">
        <f t="array" ref="B4483">xlookup($A4483,product!$A:$A,product!B:B)</f>
        <v>Epicerie salée</v>
      </c>
      <c r="C4483" s="24" t="str">
        <f t="array" ref="C4483">xlookup($A4483,product!$A:$A,product!C:C)</f>
        <v>Légumes et conserves</v>
      </c>
      <c r="D4483" s="24" t="str">
        <f t="array" ref="D4483">xlookup($A4483,product!$A:$A,product!D:D)</f>
        <v>Légumes cuisinés</v>
      </c>
      <c r="E4483" s="25" t="str">
        <f t="shared" si="1"/>
        <v>99973-Légumes et conserves-Légumes cuisinés</v>
      </c>
      <c r="F4483" s="25">
        <v>0.0</v>
      </c>
      <c r="G4483" s="25">
        <v>588.0</v>
      </c>
      <c r="H4483" s="25">
        <v>431.0</v>
      </c>
      <c r="I4483" s="26">
        <f t="array" ref="I4483">XLOOKUP($A4483,product!A:A,product!E:E)</f>
        <v>1.74</v>
      </c>
      <c r="J4483" s="25">
        <f t="shared" si="2"/>
        <v>749.94</v>
      </c>
      <c r="K4483" s="27">
        <f t="shared" si="3"/>
        <v>1</v>
      </c>
      <c r="L4483" s="25">
        <f t="shared" si="4"/>
        <v>1</v>
      </c>
    </row>
    <row r="4484">
      <c r="A4484" s="19">
        <v>70241.0</v>
      </c>
      <c r="B4484" s="20" t="str">
        <f t="array" ref="B4484">xlookup($A4484,product!$A:$A,product!B:B)</f>
        <v>Epicerie salée</v>
      </c>
      <c r="C4484" s="20" t="str">
        <f t="array" ref="C4484">xlookup($A4484,product!$A:$A,product!C:C)</f>
        <v>Légumes et conserves</v>
      </c>
      <c r="D4484" s="20" t="str">
        <f t="array" ref="D4484">xlookup($A4484,product!$A:$A,product!D:D)</f>
        <v>Légumes cuisinés</v>
      </c>
      <c r="E4484" s="4" t="str">
        <f t="shared" si="1"/>
        <v>70241-Légumes et conserves-Légumes cuisinés</v>
      </c>
      <c r="F4484" s="4">
        <v>0.0</v>
      </c>
      <c r="G4484" s="4">
        <v>667.0</v>
      </c>
      <c r="H4484" s="4">
        <v>474.0</v>
      </c>
      <c r="I4484" s="21">
        <f t="array" ref="I4484">XLOOKUP($A4484,product!A:A,product!E:E)</f>
        <v>3.55</v>
      </c>
      <c r="J4484" s="4">
        <f t="shared" si="2"/>
        <v>1682.7</v>
      </c>
      <c r="K4484" s="22">
        <f t="shared" si="3"/>
        <v>1</v>
      </c>
      <c r="L4484" s="4">
        <f t="shared" si="4"/>
        <v>1</v>
      </c>
    </row>
    <row r="4485">
      <c r="A4485" s="23">
        <v>129479.0</v>
      </c>
      <c r="B4485" s="24" t="str">
        <f t="array" ref="B4485">xlookup($A4485,product!$A:$A,product!B:B)</f>
        <v>Epicerie salée</v>
      </c>
      <c r="C4485" s="24" t="str">
        <f t="array" ref="C4485">xlookup($A4485,product!$A:$A,product!C:C)</f>
        <v>Légumes et conserves</v>
      </c>
      <c r="D4485" s="24" t="str">
        <f t="array" ref="D4485">xlookup($A4485,product!$A:$A,product!D:D)</f>
        <v>Légumes cuisinés</v>
      </c>
      <c r="E4485" s="25" t="str">
        <f t="shared" si="1"/>
        <v>129479-Légumes et conserves-Légumes cuisinés</v>
      </c>
      <c r="F4485" s="25">
        <v>1.0</v>
      </c>
      <c r="G4485" s="25">
        <v>905.0</v>
      </c>
      <c r="H4485" s="25">
        <v>662.0</v>
      </c>
      <c r="I4485" s="26">
        <f t="array" ref="I4485">XLOOKUP($A4485,product!A:A,product!E:E)</f>
        <v>1.57</v>
      </c>
      <c r="J4485" s="25">
        <f t="shared" si="2"/>
        <v>1039.34</v>
      </c>
      <c r="K4485" s="27">
        <f t="shared" si="3"/>
        <v>1</v>
      </c>
      <c r="L4485" s="25">
        <f t="shared" si="4"/>
        <v>1</v>
      </c>
    </row>
    <row r="4486">
      <c r="A4486" s="19">
        <v>107926.0</v>
      </c>
      <c r="B4486" s="20" t="str">
        <f t="array" ref="B4486">xlookup($A4486,product!$A:$A,product!B:B)</f>
        <v>Epicerie salée</v>
      </c>
      <c r="C4486" s="20" t="str">
        <f t="array" ref="C4486">xlookup($A4486,product!$A:$A,product!C:C)</f>
        <v>Légumes et conserves</v>
      </c>
      <c r="D4486" s="20" t="str">
        <f t="array" ref="D4486">xlookup($A4486,product!$A:$A,product!D:D)</f>
        <v>Légumes cuisinés</v>
      </c>
      <c r="E4486" s="4" t="str">
        <f t="shared" si="1"/>
        <v>107926-Légumes et conserves-Légumes cuisinés</v>
      </c>
      <c r="F4486" s="4">
        <v>0.0</v>
      </c>
      <c r="G4486" s="4">
        <v>11.0</v>
      </c>
      <c r="H4486" s="4">
        <v>8.0</v>
      </c>
      <c r="I4486" s="21">
        <f t="array" ref="I4486">XLOOKUP($A4486,product!A:A,product!E:E)</f>
        <v>2.18</v>
      </c>
      <c r="J4486" s="4">
        <f t="shared" si="2"/>
        <v>17.44</v>
      </c>
      <c r="K4486" s="22">
        <f t="shared" si="3"/>
        <v>1</v>
      </c>
      <c r="L4486" s="4">
        <f t="shared" si="4"/>
        <v>1</v>
      </c>
    </row>
    <row r="4487">
      <c r="A4487" s="23">
        <v>42232.0</v>
      </c>
      <c r="B4487" s="24" t="str">
        <f t="array" ref="B4487">xlookup($A4487,product!$A:$A,product!B:B)</f>
        <v>Epicerie salée</v>
      </c>
      <c r="C4487" s="24" t="str">
        <f t="array" ref="C4487">xlookup($A4487,product!$A:$A,product!C:C)</f>
        <v>Légumes et conserves</v>
      </c>
      <c r="D4487" s="24" t="str">
        <f t="array" ref="D4487">xlookup($A4487,product!$A:$A,product!D:D)</f>
        <v>Légumes cuisinés</v>
      </c>
      <c r="E4487" s="25" t="str">
        <f t="shared" si="1"/>
        <v>42232-Légumes et conserves-Légumes cuisinés</v>
      </c>
      <c r="F4487" s="25">
        <v>0.0</v>
      </c>
      <c r="G4487" s="25">
        <v>465.0</v>
      </c>
      <c r="H4487" s="25">
        <v>454.0</v>
      </c>
      <c r="I4487" s="26">
        <f t="array" ref="I4487">XLOOKUP($A4487,product!A:A,product!E:E)</f>
        <v>2.21</v>
      </c>
      <c r="J4487" s="25">
        <f t="shared" si="2"/>
        <v>1003.34</v>
      </c>
      <c r="K4487" s="27">
        <f t="shared" si="3"/>
        <v>1</v>
      </c>
      <c r="L4487" s="25">
        <f t="shared" si="4"/>
        <v>1</v>
      </c>
    </row>
    <row r="4488">
      <c r="A4488" s="19">
        <v>122106.0</v>
      </c>
      <c r="B4488" s="20" t="str">
        <f t="array" ref="B4488">xlookup($A4488,product!$A:$A,product!B:B)</f>
        <v>Epicerie salée</v>
      </c>
      <c r="C4488" s="20" t="str">
        <f t="array" ref="C4488">xlookup($A4488,product!$A:$A,product!C:C)</f>
        <v>Légumes et conserves</v>
      </c>
      <c r="D4488" s="20" t="str">
        <f t="array" ref="D4488">xlookup($A4488,product!$A:$A,product!D:D)</f>
        <v>Légumes cuisinés</v>
      </c>
      <c r="E4488" s="4" t="str">
        <f t="shared" si="1"/>
        <v>122106-Légumes et conserves-Légumes cuisinés</v>
      </c>
      <c r="F4488" s="4">
        <v>1.0</v>
      </c>
      <c r="G4488" s="4">
        <v>598.0</v>
      </c>
      <c r="H4488" s="4">
        <v>397.0</v>
      </c>
      <c r="I4488" s="21">
        <f t="array" ref="I4488">XLOOKUP($A4488,product!A:A,product!E:E)</f>
        <v>2.91</v>
      </c>
      <c r="J4488" s="4">
        <f t="shared" si="2"/>
        <v>1155.27</v>
      </c>
      <c r="K4488" s="22">
        <f t="shared" si="3"/>
        <v>1</v>
      </c>
      <c r="L4488" s="4">
        <f t="shared" si="4"/>
        <v>1</v>
      </c>
    </row>
    <row r="4489">
      <c r="A4489" s="23">
        <v>69456.0</v>
      </c>
      <c r="B4489" s="24" t="str">
        <f t="array" ref="B4489">xlookup($A4489,product!$A:$A,product!B:B)</f>
        <v>Epicerie salée</v>
      </c>
      <c r="C4489" s="24" t="str">
        <f t="array" ref="C4489">xlookup($A4489,product!$A:$A,product!C:C)</f>
        <v>Légumes et conserves</v>
      </c>
      <c r="D4489" s="24" t="str">
        <f t="array" ref="D4489">xlookup($A4489,product!$A:$A,product!D:D)</f>
        <v>Légumes cuisinés</v>
      </c>
      <c r="E4489" s="25" t="str">
        <f t="shared" si="1"/>
        <v>69456-Légumes et conserves-Légumes cuisinés</v>
      </c>
      <c r="F4489" s="25">
        <v>0.0</v>
      </c>
      <c r="G4489" s="25">
        <v>869.0</v>
      </c>
      <c r="H4489" s="25">
        <v>698.0</v>
      </c>
      <c r="I4489" s="26">
        <f t="array" ref="I4489">XLOOKUP($A4489,product!A:A,product!E:E)</f>
        <v>3.1</v>
      </c>
      <c r="J4489" s="25">
        <f t="shared" si="2"/>
        <v>2163.8</v>
      </c>
      <c r="K4489" s="27">
        <f t="shared" si="3"/>
        <v>1</v>
      </c>
      <c r="L4489" s="25">
        <f t="shared" si="4"/>
        <v>1</v>
      </c>
    </row>
    <row r="4490">
      <c r="A4490" s="19">
        <v>118888.0</v>
      </c>
      <c r="B4490" s="20" t="str">
        <f t="array" ref="B4490">xlookup($A4490,product!$A:$A,product!B:B)</f>
        <v>Epicerie salée</v>
      </c>
      <c r="C4490" s="20" t="str">
        <f t="array" ref="C4490">xlookup($A4490,product!$A:$A,product!C:C)</f>
        <v>Légumes et conserves</v>
      </c>
      <c r="D4490" s="20" t="str">
        <f t="array" ref="D4490">xlookup($A4490,product!$A:$A,product!D:D)</f>
        <v>Légumes cuisinés</v>
      </c>
      <c r="E4490" s="4" t="str">
        <f t="shared" si="1"/>
        <v>118888-Légumes et conserves-Légumes cuisinés</v>
      </c>
      <c r="F4490" s="4">
        <v>1.0</v>
      </c>
      <c r="G4490" s="4">
        <v>863.0</v>
      </c>
      <c r="H4490" s="4">
        <v>392.0</v>
      </c>
      <c r="I4490" s="21">
        <f t="array" ref="I4490">XLOOKUP($A4490,product!A:A,product!E:E)</f>
        <v>2.32</v>
      </c>
      <c r="J4490" s="4">
        <f t="shared" si="2"/>
        <v>909.44</v>
      </c>
      <c r="K4490" s="22">
        <f t="shared" si="3"/>
        <v>1</v>
      </c>
      <c r="L4490" s="4">
        <f t="shared" si="4"/>
        <v>1</v>
      </c>
    </row>
    <row r="4491">
      <c r="A4491" s="23">
        <v>69468.0</v>
      </c>
      <c r="B4491" s="24" t="str">
        <f t="array" ref="B4491">xlookup($A4491,product!$A:$A,product!B:B)</f>
        <v>Epicerie salée</v>
      </c>
      <c r="C4491" s="24" t="str">
        <f t="array" ref="C4491">xlookup($A4491,product!$A:$A,product!C:C)</f>
        <v>Légumes et conserves</v>
      </c>
      <c r="D4491" s="24" t="str">
        <f t="array" ref="D4491">xlookup($A4491,product!$A:$A,product!D:D)</f>
        <v>Légumes cuisinés</v>
      </c>
      <c r="E4491" s="25" t="str">
        <f t="shared" si="1"/>
        <v>69468-Légumes et conserves-Légumes cuisinés</v>
      </c>
      <c r="F4491" s="25">
        <v>1.0</v>
      </c>
      <c r="G4491" s="25">
        <v>647.0</v>
      </c>
      <c r="H4491" s="25">
        <v>467.0</v>
      </c>
      <c r="I4491" s="26">
        <f t="array" ref="I4491">XLOOKUP($A4491,product!A:A,product!E:E)</f>
        <v>3.99</v>
      </c>
      <c r="J4491" s="25">
        <f t="shared" si="2"/>
        <v>1863.33</v>
      </c>
      <c r="K4491" s="27">
        <f t="shared" si="3"/>
        <v>1</v>
      </c>
      <c r="L4491" s="25">
        <f t="shared" si="4"/>
        <v>1</v>
      </c>
    </row>
    <row r="4492">
      <c r="A4492" s="19">
        <v>117629.0</v>
      </c>
      <c r="B4492" s="20" t="str">
        <f t="array" ref="B4492">xlookup($A4492,product!$A:$A,product!B:B)</f>
        <v>Epicerie salée</v>
      </c>
      <c r="C4492" s="20" t="str">
        <f t="array" ref="C4492">xlookup($A4492,product!$A:$A,product!C:C)</f>
        <v>Légumes et conserves</v>
      </c>
      <c r="D4492" s="20" t="str">
        <f t="array" ref="D4492">xlookup($A4492,product!$A:$A,product!D:D)</f>
        <v>Légumes en conserve</v>
      </c>
      <c r="E4492" s="4" t="str">
        <f t="shared" si="1"/>
        <v>117629-Légumes et conserves-Légumes en conserve</v>
      </c>
      <c r="F4492" s="4">
        <v>0.0</v>
      </c>
      <c r="G4492" s="4">
        <v>891.0</v>
      </c>
      <c r="H4492" s="4">
        <v>683.0</v>
      </c>
      <c r="I4492" s="21">
        <f t="array" ref="I4492">XLOOKUP($A4492,product!A:A,product!E:E)</f>
        <v>1.31</v>
      </c>
      <c r="J4492" s="4">
        <f t="shared" si="2"/>
        <v>894.73</v>
      </c>
      <c r="K4492" s="22">
        <f t="shared" si="3"/>
        <v>1</v>
      </c>
      <c r="L4492" s="4">
        <f t="shared" si="4"/>
        <v>1</v>
      </c>
    </row>
    <row r="4493">
      <c r="A4493" s="23">
        <v>121475.0</v>
      </c>
      <c r="B4493" s="24" t="str">
        <f t="array" ref="B4493">xlookup($A4493,product!$A:$A,product!B:B)</f>
        <v>Epicerie salée</v>
      </c>
      <c r="C4493" s="24" t="str">
        <f t="array" ref="C4493">xlookup($A4493,product!$A:$A,product!C:C)</f>
        <v>Légumes et conserves</v>
      </c>
      <c r="D4493" s="24" t="str">
        <f t="array" ref="D4493">xlookup($A4493,product!$A:$A,product!D:D)</f>
        <v>Légumes en conserve</v>
      </c>
      <c r="E4493" s="25" t="str">
        <f t="shared" si="1"/>
        <v>121475-Légumes et conserves-Légumes en conserve</v>
      </c>
      <c r="F4493" s="25">
        <v>0.0</v>
      </c>
      <c r="G4493" s="25">
        <v>522.0</v>
      </c>
      <c r="H4493" s="25">
        <v>512.0</v>
      </c>
      <c r="I4493" s="26">
        <f t="array" ref="I4493">XLOOKUP($A4493,product!A:A,product!E:E)</f>
        <v>0.6</v>
      </c>
      <c r="J4493" s="25">
        <f t="shared" si="2"/>
        <v>307.2</v>
      </c>
      <c r="K4493" s="27">
        <f t="shared" si="3"/>
        <v>1</v>
      </c>
      <c r="L4493" s="25">
        <f t="shared" si="4"/>
        <v>1</v>
      </c>
    </row>
    <row r="4494">
      <c r="A4494" s="19">
        <v>80412.0</v>
      </c>
      <c r="B4494" s="20" t="str">
        <f t="array" ref="B4494">xlookup($A4494,product!$A:$A,product!B:B)</f>
        <v>Epicerie salée</v>
      </c>
      <c r="C4494" s="20" t="str">
        <f t="array" ref="C4494">xlookup($A4494,product!$A:$A,product!C:C)</f>
        <v>Légumes et conserves</v>
      </c>
      <c r="D4494" s="20" t="str">
        <f t="array" ref="D4494">xlookup($A4494,product!$A:$A,product!D:D)</f>
        <v>Légumes en conserve</v>
      </c>
      <c r="E4494" s="4" t="str">
        <f t="shared" si="1"/>
        <v>80412-Légumes et conserves-Légumes en conserve</v>
      </c>
      <c r="F4494" s="4">
        <v>1.0</v>
      </c>
      <c r="G4494" s="4">
        <v>726.0</v>
      </c>
      <c r="H4494" s="4">
        <v>315.0</v>
      </c>
      <c r="I4494" s="21">
        <f t="array" ref="I4494">XLOOKUP($A4494,product!A:A,product!E:E)</f>
        <v>0.76</v>
      </c>
      <c r="J4494" s="4">
        <f t="shared" si="2"/>
        <v>239.4</v>
      </c>
      <c r="K4494" s="22">
        <f t="shared" si="3"/>
        <v>1</v>
      </c>
      <c r="L4494" s="4">
        <f t="shared" si="4"/>
        <v>1</v>
      </c>
    </row>
    <row r="4495">
      <c r="A4495" s="23">
        <v>122857.0</v>
      </c>
      <c r="B4495" s="24" t="str">
        <f t="array" ref="B4495">xlookup($A4495,product!$A:$A,product!B:B)</f>
        <v>Epicerie salée</v>
      </c>
      <c r="C4495" s="24" t="str">
        <f t="array" ref="C4495">xlookup($A4495,product!$A:$A,product!C:C)</f>
        <v>Légumes et conserves</v>
      </c>
      <c r="D4495" s="24" t="str">
        <f t="array" ref="D4495">xlookup($A4495,product!$A:$A,product!D:D)</f>
        <v>Légumes en conserve</v>
      </c>
      <c r="E4495" s="25" t="str">
        <f t="shared" si="1"/>
        <v>122857-Légumes et conserves-Légumes en conserve</v>
      </c>
      <c r="F4495" s="25">
        <v>0.0</v>
      </c>
      <c r="G4495" s="25">
        <v>558.0</v>
      </c>
      <c r="H4495" s="25">
        <v>439.0</v>
      </c>
      <c r="I4495" s="26">
        <f t="array" ref="I4495">XLOOKUP($A4495,product!A:A,product!E:E)</f>
        <v>1.61</v>
      </c>
      <c r="J4495" s="25">
        <f t="shared" si="2"/>
        <v>706.79</v>
      </c>
      <c r="K4495" s="27">
        <f t="shared" si="3"/>
        <v>1</v>
      </c>
      <c r="L4495" s="25">
        <f t="shared" si="4"/>
        <v>1</v>
      </c>
    </row>
    <row r="4496">
      <c r="A4496" s="19">
        <v>115769.0</v>
      </c>
      <c r="B4496" s="20" t="str">
        <f t="array" ref="B4496">xlookup($A4496,product!$A:$A,product!B:B)</f>
        <v>Epicerie salée</v>
      </c>
      <c r="C4496" s="20" t="str">
        <f t="array" ref="C4496">xlookup($A4496,product!$A:$A,product!C:C)</f>
        <v>Légumes et conserves</v>
      </c>
      <c r="D4496" s="20" t="str">
        <f t="array" ref="D4496">xlookup($A4496,product!$A:$A,product!D:D)</f>
        <v>Légumes en conserve</v>
      </c>
      <c r="E4496" s="4" t="str">
        <f t="shared" si="1"/>
        <v>115769-Légumes et conserves-Légumes en conserve</v>
      </c>
      <c r="F4496" s="4">
        <v>0.0</v>
      </c>
      <c r="G4496" s="4">
        <v>57.0</v>
      </c>
      <c r="H4496" s="4">
        <v>12.0</v>
      </c>
      <c r="I4496" s="21">
        <f t="array" ref="I4496">XLOOKUP($A4496,product!A:A,product!E:E)</f>
        <v>1.19</v>
      </c>
      <c r="J4496" s="4">
        <f t="shared" si="2"/>
        <v>14.28</v>
      </c>
      <c r="K4496" s="22">
        <f t="shared" si="3"/>
        <v>1</v>
      </c>
      <c r="L4496" s="4">
        <f t="shared" si="4"/>
        <v>1</v>
      </c>
    </row>
    <row r="4497">
      <c r="A4497" s="23">
        <v>115774.0</v>
      </c>
      <c r="B4497" s="24" t="str">
        <f t="array" ref="B4497">xlookup($A4497,product!$A:$A,product!B:B)</f>
        <v>Epicerie salée</v>
      </c>
      <c r="C4497" s="24" t="str">
        <f t="array" ref="C4497">xlookup($A4497,product!$A:$A,product!C:C)</f>
        <v>Légumes et conserves</v>
      </c>
      <c r="D4497" s="24" t="str">
        <f t="array" ref="D4497">xlookup($A4497,product!$A:$A,product!D:D)</f>
        <v>Légumes en conserve</v>
      </c>
      <c r="E4497" s="25" t="str">
        <f t="shared" si="1"/>
        <v>115774-Légumes et conserves-Légumes en conserve</v>
      </c>
      <c r="F4497" s="25">
        <v>0.0</v>
      </c>
      <c r="G4497" s="25">
        <v>446.0</v>
      </c>
      <c r="H4497" s="25">
        <v>292.0</v>
      </c>
      <c r="I4497" s="26">
        <f t="array" ref="I4497">XLOOKUP($A4497,product!A:A,product!E:E)</f>
        <v>1.31</v>
      </c>
      <c r="J4497" s="25">
        <f t="shared" si="2"/>
        <v>382.52</v>
      </c>
      <c r="K4497" s="27">
        <f t="shared" si="3"/>
        <v>1</v>
      </c>
      <c r="L4497" s="25">
        <f t="shared" si="4"/>
        <v>1</v>
      </c>
    </row>
    <row r="4498">
      <c r="A4498" s="19">
        <v>118889.0</v>
      </c>
      <c r="B4498" s="20" t="str">
        <f t="array" ref="B4498">xlookup($A4498,product!$A:$A,product!B:B)</f>
        <v>Epicerie salée</v>
      </c>
      <c r="C4498" s="20" t="str">
        <f t="array" ref="C4498">xlookup($A4498,product!$A:$A,product!C:C)</f>
        <v>Légumes et conserves</v>
      </c>
      <c r="D4498" s="20" t="str">
        <f t="array" ref="D4498">xlookup($A4498,product!$A:$A,product!D:D)</f>
        <v>Légumes en conserve</v>
      </c>
      <c r="E4498" s="4" t="str">
        <f t="shared" si="1"/>
        <v>118889-Légumes et conserves-Légumes en conserve</v>
      </c>
      <c r="F4498" s="4">
        <v>0.0</v>
      </c>
      <c r="G4498" s="4">
        <v>129.0</v>
      </c>
      <c r="H4498" s="4">
        <v>20.0</v>
      </c>
      <c r="I4498" s="21">
        <f t="array" ref="I4498">XLOOKUP($A4498,product!A:A,product!E:E)</f>
        <v>1.93</v>
      </c>
      <c r="J4498" s="4">
        <f t="shared" si="2"/>
        <v>38.6</v>
      </c>
      <c r="K4498" s="22">
        <f t="shared" si="3"/>
        <v>1</v>
      </c>
      <c r="L4498" s="4">
        <f t="shared" si="4"/>
        <v>1</v>
      </c>
    </row>
    <row r="4499">
      <c r="A4499" s="23">
        <v>115758.0</v>
      </c>
      <c r="B4499" s="24" t="str">
        <f t="array" ref="B4499">xlookup($A4499,product!$A:$A,product!B:B)</f>
        <v>Epicerie salée</v>
      </c>
      <c r="C4499" s="24" t="str">
        <f t="array" ref="C4499">xlookup($A4499,product!$A:$A,product!C:C)</f>
        <v>Légumes et conserves</v>
      </c>
      <c r="D4499" s="24" t="str">
        <f t="array" ref="D4499">xlookup($A4499,product!$A:$A,product!D:D)</f>
        <v>Légumes en conserve</v>
      </c>
      <c r="E4499" s="25" t="str">
        <f t="shared" si="1"/>
        <v>115758-Légumes et conserves-Légumes en conserve</v>
      </c>
      <c r="F4499" s="25">
        <v>1.0</v>
      </c>
      <c r="G4499" s="25">
        <v>363.0</v>
      </c>
      <c r="H4499" s="25">
        <v>191.0</v>
      </c>
      <c r="I4499" s="26">
        <f t="array" ref="I4499">XLOOKUP($A4499,product!A:A,product!E:E)</f>
        <v>0.72</v>
      </c>
      <c r="J4499" s="25">
        <f t="shared" si="2"/>
        <v>137.52</v>
      </c>
      <c r="K4499" s="27">
        <f t="shared" si="3"/>
        <v>1</v>
      </c>
      <c r="L4499" s="25">
        <f t="shared" si="4"/>
        <v>1</v>
      </c>
    </row>
    <row r="4500">
      <c r="A4500" s="19">
        <v>115755.0</v>
      </c>
      <c r="B4500" s="20" t="str">
        <f t="array" ref="B4500">xlookup($A4500,product!$A:$A,product!B:B)</f>
        <v>Epicerie salée</v>
      </c>
      <c r="C4500" s="20" t="str">
        <f t="array" ref="C4500">xlookup($A4500,product!$A:$A,product!C:C)</f>
        <v>Légumes et conserves</v>
      </c>
      <c r="D4500" s="20" t="str">
        <f t="array" ref="D4500">xlookup($A4500,product!$A:$A,product!D:D)</f>
        <v>Légumes en conserve</v>
      </c>
      <c r="E4500" s="4" t="str">
        <f t="shared" si="1"/>
        <v>115755-Légumes et conserves-Légumes en conserve</v>
      </c>
      <c r="F4500" s="4">
        <v>0.0</v>
      </c>
      <c r="G4500" s="4">
        <v>468.0</v>
      </c>
      <c r="H4500" s="4">
        <v>49.0</v>
      </c>
      <c r="I4500" s="21">
        <f t="array" ref="I4500">XLOOKUP($A4500,product!A:A,product!E:E)</f>
        <v>0.7</v>
      </c>
      <c r="J4500" s="4">
        <f t="shared" si="2"/>
        <v>34.3</v>
      </c>
      <c r="K4500" s="22">
        <f t="shared" si="3"/>
        <v>1</v>
      </c>
      <c r="L4500" s="4">
        <f t="shared" si="4"/>
        <v>1</v>
      </c>
    </row>
    <row r="4501">
      <c r="A4501" s="23">
        <v>114964.0</v>
      </c>
      <c r="B4501" s="24" t="str">
        <f t="array" ref="B4501">xlookup($A4501,product!$A:$A,product!B:B)</f>
        <v>Epicerie salée</v>
      </c>
      <c r="C4501" s="24" t="str">
        <f t="array" ref="C4501">xlookup($A4501,product!$A:$A,product!C:C)</f>
        <v>Légumes et conserves</v>
      </c>
      <c r="D4501" s="24" t="str">
        <f t="array" ref="D4501">xlookup($A4501,product!$A:$A,product!D:D)</f>
        <v>Légumes en conserve</v>
      </c>
      <c r="E4501" s="25" t="str">
        <f t="shared" si="1"/>
        <v>114964-Légumes et conserves-Légumes en conserve</v>
      </c>
      <c r="F4501" s="25">
        <v>0.0</v>
      </c>
      <c r="G4501" s="25">
        <v>907.0</v>
      </c>
      <c r="H4501" s="25">
        <v>540.0</v>
      </c>
      <c r="I4501" s="26">
        <f t="array" ref="I4501">XLOOKUP($A4501,product!A:A,product!E:E)</f>
        <v>3.31</v>
      </c>
      <c r="J4501" s="25">
        <f t="shared" si="2"/>
        <v>1787.4</v>
      </c>
      <c r="K4501" s="27">
        <f t="shared" si="3"/>
        <v>1</v>
      </c>
      <c r="L4501" s="25">
        <f t="shared" si="4"/>
        <v>1</v>
      </c>
    </row>
    <row r="4502">
      <c r="A4502" s="19">
        <v>87617.0</v>
      </c>
      <c r="B4502" s="20" t="str">
        <f t="array" ref="B4502">xlookup($A4502,product!$A:$A,product!B:B)</f>
        <v>Epicerie salée</v>
      </c>
      <c r="C4502" s="20" t="str">
        <f t="array" ref="C4502">xlookup($A4502,product!$A:$A,product!C:C)</f>
        <v>Légumes et conserves</v>
      </c>
      <c r="D4502" s="20" t="str">
        <f t="array" ref="D4502">xlookup($A4502,product!$A:$A,product!D:D)</f>
        <v>Légumes en conserve</v>
      </c>
      <c r="E4502" s="4" t="str">
        <f t="shared" si="1"/>
        <v>87617-Légumes et conserves-Légumes en conserve</v>
      </c>
      <c r="F4502" s="4">
        <v>1.0</v>
      </c>
      <c r="G4502" s="4">
        <v>776.0</v>
      </c>
      <c r="H4502" s="4">
        <v>158.0</v>
      </c>
      <c r="I4502" s="21">
        <f t="array" ref="I4502">XLOOKUP($A4502,product!A:A,product!E:E)</f>
        <v>1.67</v>
      </c>
      <c r="J4502" s="4">
        <f t="shared" si="2"/>
        <v>263.86</v>
      </c>
      <c r="K4502" s="22">
        <f t="shared" si="3"/>
        <v>1</v>
      </c>
      <c r="L4502" s="4">
        <f t="shared" si="4"/>
        <v>1</v>
      </c>
    </row>
    <row r="4503">
      <c r="A4503" s="23">
        <v>118542.0</v>
      </c>
      <c r="B4503" s="24" t="str">
        <f t="array" ref="B4503">xlookup($A4503,product!$A:$A,product!B:B)</f>
        <v>Epicerie salée</v>
      </c>
      <c r="C4503" s="24" t="str">
        <f t="array" ref="C4503">xlookup($A4503,product!$A:$A,product!C:C)</f>
        <v>Légumes et conserves</v>
      </c>
      <c r="D4503" s="24" t="str">
        <f t="array" ref="D4503">xlookup($A4503,product!$A:$A,product!D:D)</f>
        <v>Légumes en conserve</v>
      </c>
      <c r="E4503" s="25" t="str">
        <f t="shared" si="1"/>
        <v>118542-Légumes et conserves-Légumes en conserve</v>
      </c>
      <c r="F4503" s="25">
        <v>1.0</v>
      </c>
      <c r="G4503" s="25">
        <v>180.0</v>
      </c>
      <c r="H4503" s="25">
        <v>66.0</v>
      </c>
      <c r="I4503" s="26">
        <f t="array" ref="I4503">XLOOKUP($A4503,product!A:A,product!E:E)</f>
        <v>1.78</v>
      </c>
      <c r="J4503" s="25">
        <f t="shared" si="2"/>
        <v>117.48</v>
      </c>
      <c r="K4503" s="27">
        <f t="shared" si="3"/>
        <v>1</v>
      </c>
      <c r="L4503" s="25">
        <f t="shared" si="4"/>
        <v>1</v>
      </c>
    </row>
    <row r="4504">
      <c r="A4504" s="19">
        <v>122845.0</v>
      </c>
      <c r="B4504" s="20" t="str">
        <f t="array" ref="B4504">xlookup($A4504,product!$A:$A,product!B:B)</f>
        <v>Epicerie salée</v>
      </c>
      <c r="C4504" s="20" t="str">
        <f t="array" ref="C4504">xlookup($A4504,product!$A:$A,product!C:C)</f>
        <v>Légumes et conserves</v>
      </c>
      <c r="D4504" s="20" t="str">
        <f t="array" ref="D4504">xlookup($A4504,product!$A:$A,product!D:D)</f>
        <v>Légumes en conserve</v>
      </c>
      <c r="E4504" s="4" t="str">
        <f t="shared" si="1"/>
        <v>122845-Légumes et conserves-Légumes en conserve</v>
      </c>
      <c r="F4504" s="4">
        <v>0.0</v>
      </c>
      <c r="G4504" s="4">
        <v>682.0</v>
      </c>
      <c r="H4504" s="4">
        <v>266.0</v>
      </c>
      <c r="I4504" s="21">
        <f t="array" ref="I4504">XLOOKUP($A4504,product!A:A,product!E:E)</f>
        <v>2.54</v>
      </c>
      <c r="J4504" s="4">
        <f t="shared" si="2"/>
        <v>675.64</v>
      </c>
      <c r="K4504" s="22">
        <f t="shared" si="3"/>
        <v>1</v>
      </c>
      <c r="L4504" s="4">
        <f t="shared" si="4"/>
        <v>1</v>
      </c>
    </row>
    <row r="4505">
      <c r="A4505" s="23">
        <v>114967.0</v>
      </c>
      <c r="B4505" s="24" t="str">
        <f t="array" ref="B4505">xlookup($A4505,product!$A:$A,product!B:B)</f>
        <v>Epicerie salée</v>
      </c>
      <c r="C4505" s="24" t="str">
        <f t="array" ref="C4505">xlookup($A4505,product!$A:$A,product!C:C)</f>
        <v>Légumes et conserves</v>
      </c>
      <c r="D4505" s="24" t="str">
        <f t="array" ref="D4505">xlookup($A4505,product!$A:$A,product!D:D)</f>
        <v>Légumes en conserve</v>
      </c>
      <c r="E4505" s="25" t="str">
        <f t="shared" si="1"/>
        <v>114967-Légumes et conserves-Légumes en conserve</v>
      </c>
      <c r="F4505" s="25">
        <v>0.0</v>
      </c>
      <c r="G4505" s="25">
        <v>395.0</v>
      </c>
      <c r="H4505" s="25">
        <v>337.0</v>
      </c>
      <c r="I4505" s="26">
        <f t="array" ref="I4505">XLOOKUP($A4505,product!A:A,product!E:E)</f>
        <v>2.55</v>
      </c>
      <c r="J4505" s="25">
        <f t="shared" si="2"/>
        <v>859.35</v>
      </c>
      <c r="K4505" s="27">
        <f t="shared" si="3"/>
        <v>1</v>
      </c>
      <c r="L4505" s="25">
        <f t="shared" si="4"/>
        <v>1</v>
      </c>
    </row>
    <row r="4506">
      <c r="A4506" s="19">
        <v>121476.0</v>
      </c>
      <c r="B4506" s="20" t="str">
        <f t="array" ref="B4506">xlookup($A4506,product!$A:$A,product!B:B)</f>
        <v>Epicerie salée</v>
      </c>
      <c r="C4506" s="20" t="str">
        <f t="array" ref="C4506">xlookup($A4506,product!$A:$A,product!C:C)</f>
        <v>Légumes et conserves</v>
      </c>
      <c r="D4506" s="20" t="str">
        <f t="array" ref="D4506">xlookup($A4506,product!$A:$A,product!D:D)</f>
        <v>Légumes en conserve</v>
      </c>
      <c r="E4506" s="4" t="str">
        <f t="shared" si="1"/>
        <v>121476-Légumes et conserves-Légumes en conserve</v>
      </c>
      <c r="F4506" s="4">
        <v>1.0</v>
      </c>
      <c r="G4506" s="4">
        <v>874.0</v>
      </c>
      <c r="H4506" s="4">
        <v>363.0</v>
      </c>
      <c r="I4506" s="21">
        <f t="array" ref="I4506">XLOOKUP($A4506,product!A:A,product!E:E)</f>
        <v>1.24</v>
      </c>
      <c r="J4506" s="4">
        <f t="shared" si="2"/>
        <v>450.12</v>
      </c>
      <c r="K4506" s="22">
        <f t="shared" si="3"/>
        <v>1</v>
      </c>
      <c r="L4506" s="4">
        <f t="shared" si="4"/>
        <v>1</v>
      </c>
    </row>
    <row r="4507">
      <c r="A4507" s="23">
        <v>120529.0</v>
      </c>
      <c r="B4507" s="24" t="str">
        <f t="array" ref="B4507">xlookup($A4507,product!$A:$A,product!B:B)</f>
        <v>Epicerie salée</v>
      </c>
      <c r="C4507" s="24" t="str">
        <f t="array" ref="C4507">xlookup($A4507,product!$A:$A,product!C:C)</f>
        <v>Légumes et conserves</v>
      </c>
      <c r="D4507" s="24" t="str">
        <f t="array" ref="D4507">xlookup($A4507,product!$A:$A,product!D:D)</f>
        <v>Légumes en conserve</v>
      </c>
      <c r="E4507" s="25" t="str">
        <f t="shared" si="1"/>
        <v>120529-Légumes et conserves-Légumes en conserve</v>
      </c>
      <c r="F4507" s="25">
        <v>1.0</v>
      </c>
      <c r="G4507" s="25">
        <v>974.0</v>
      </c>
      <c r="H4507" s="25">
        <v>671.0</v>
      </c>
      <c r="I4507" s="26">
        <f t="array" ref="I4507">XLOOKUP($A4507,product!A:A,product!E:E)</f>
        <v>3.52</v>
      </c>
      <c r="J4507" s="25">
        <f t="shared" si="2"/>
        <v>2361.92</v>
      </c>
      <c r="K4507" s="27">
        <f t="shared" si="3"/>
        <v>1</v>
      </c>
      <c r="L4507" s="25">
        <f t="shared" si="4"/>
        <v>1</v>
      </c>
    </row>
    <row r="4508">
      <c r="A4508" s="19">
        <v>120530.0</v>
      </c>
      <c r="B4508" s="20" t="str">
        <f t="array" ref="B4508">xlookup($A4508,product!$A:$A,product!B:B)</f>
        <v>Epicerie salée</v>
      </c>
      <c r="C4508" s="20" t="str">
        <f t="array" ref="C4508">xlookup($A4508,product!$A:$A,product!C:C)</f>
        <v>Légumes et conserves</v>
      </c>
      <c r="D4508" s="20" t="str">
        <f t="array" ref="D4508">xlookup($A4508,product!$A:$A,product!D:D)</f>
        <v>Légumes en conserve</v>
      </c>
      <c r="E4508" s="4" t="str">
        <f t="shared" si="1"/>
        <v>120530-Légumes et conserves-Légumes en conserve</v>
      </c>
      <c r="F4508" s="4">
        <v>0.0</v>
      </c>
      <c r="G4508" s="4">
        <v>2.0</v>
      </c>
      <c r="H4508" s="4">
        <v>0.0</v>
      </c>
      <c r="I4508" s="21">
        <f t="array" ref="I4508">XLOOKUP($A4508,product!A:A,product!E:E)</f>
        <v>1.54</v>
      </c>
      <c r="J4508" s="4">
        <f t="shared" si="2"/>
        <v>0</v>
      </c>
      <c r="K4508" s="22">
        <f t="shared" si="3"/>
        <v>0</v>
      </c>
      <c r="L4508" s="4">
        <f t="shared" si="4"/>
        <v>1</v>
      </c>
    </row>
    <row r="4509">
      <c r="A4509" s="23">
        <v>117638.0</v>
      </c>
      <c r="B4509" s="24" t="str">
        <f t="array" ref="B4509">xlookup($A4509,product!$A:$A,product!B:B)</f>
        <v>Epicerie salée</v>
      </c>
      <c r="C4509" s="24" t="str">
        <f t="array" ref="C4509">xlookup($A4509,product!$A:$A,product!C:C)</f>
        <v>Légumes et conserves</v>
      </c>
      <c r="D4509" s="24" t="str">
        <f t="array" ref="D4509">xlookup($A4509,product!$A:$A,product!D:D)</f>
        <v>Légumes en conserve</v>
      </c>
      <c r="E4509" s="25" t="str">
        <f t="shared" si="1"/>
        <v>117638-Légumes et conserves-Légumes en conserve</v>
      </c>
      <c r="F4509" s="25">
        <v>0.0</v>
      </c>
      <c r="G4509" s="25">
        <v>311.0</v>
      </c>
      <c r="H4509" s="25">
        <v>153.0</v>
      </c>
      <c r="I4509" s="26">
        <f t="array" ref="I4509">XLOOKUP($A4509,product!A:A,product!E:E)</f>
        <v>1.8</v>
      </c>
      <c r="J4509" s="25">
        <f t="shared" si="2"/>
        <v>275.4</v>
      </c>
      <c r="K4509" s="27">
        <f t="shared" si="3"/>
        <v>1</v>
      </c>
      <c r="L4509" s="25">
        <f t="shared" si="4"/>
        <v>1</v>
      </c>
    </row>
    <row r="4510">
      <c r="A4510" s="19">
        <v>108240.0</v>
      </c>
      <c r="B4510" s="20" t="str">
        <f t="array" ref="B4510">xlookup($A4510,product!$A:$A,product!B:B)</f>
        <v>Epicerie salée</v>
      </c>
      <c r="C4510" s="20" t="str">
        <f t="array" ref="C4510">xlookup($A4510,product!$A:$A,product!C:C)</f>
        <v>Légumes et conserves</v>
      </c>
      <c r="D4510" s="20" t="str">
        <f t="array" ref="D4510">xlookup($A4510,product!$A:$A,product!D:D)</f>
        <v>Légumes en conserve</v>
      </c>
      <c r="E4510" s="4" t="str">
        <f t="shared" si="1"/>
        <v>108240-Légumes et conserves-Légumes en conserve</v>
      </c>
      <c r="F4510" s="4">
        <v>0.0</v>
      </c>
      <c r="G4510" s="4">
        <v>399.0</v>
      </c>
      <c r="H4510" s="4">
        <v>219.0</v>
      </c>
      <c r="I4510" s="21">
        <f t="array" ref="I4510">XLOOKUP($A4510,product!A:A,product!E:E)</f>
        <v>1.54</v>
      </c>
      <c r="J4510" s="4">
        <f t="shared" si="2"/>
        <v>337.26</v>
      </c>
      <c r="K4510" s="22">
        <f t="shared" si="3"/>
        <v>1</v>
      </c>
      <c r="L4510" s="4">
        <f t="shared" si="4"/>
        <v>1</v>
      </c>
    </row>
    <row r="4511">
      <c r="A4511" s="23">
        <v>88635.0</v>
      </c>
      <c r="B4511" s="24" t="str">
        <f t="array" ref="B4511">xlookup($A4511,product!$A:$A,product!B:B)</f>
        <v>Epicerie salée</v>
      </c>
      <c r="C4511" s="24" t="str">
        <f t="array" ref="C4511">xlookup($A4511,product!$A:$A,product!C:C)</f>
        <v>Légumes et conserves</v>
      </c>
      <c r="D4511" s="24" t="str">
        <f t="array" ref="D4511">xlookup($A4511,product!$A:$A,product!D:D)</f>
        <v>Légumes en conserve</v>
      </c>
      <c r="E4511" s="25" t="str">
        <f t="shared" si="1"/>
        <v>88635-Légumes et conserves-Légumes en conserve</v>
      </c>
      <c r="F4511" s="25">
        <v>0.0</v>
      </c>
      <c r="G4511" s="25">
        <v>487.0</v>
      </c>
      <c r="H4511" s="25">
        <v>125.0</v>
      </c>
      <c r="I4511" s="26">
        <f t="array" ref="I4511">XLOOKUP($A4511,product!A:A,product!E:E)</f>
        <v>2.94</v>
      </c>
      <c r="J4511" s="25">
        <f t="shared" si="2"/>
        <v>367.5</v>
      </c>
      <c r="K4511" s="27">
        <f t="shared" si="3"/>
        <v>1</v>
      </c>
      <c r="L4511" s="25">
        <f t="shared" si="4"/>
        <v>1</v>
      </c>
    </row>
    <row r="4512">
      <c r="A4512" s="19">
        <v>69340.0</v>
      </c>
      <c r="B4512" s="20" t="str">
        <f t="array" ref="B4512">xlookup($A4512,product!$A:$A,product!B:B)</f>
        <v>Epicerie salée</v>
      </c>
      <c r="C4512" s="20" t="str">
        <f t="array" ref="C4512">xlookup($A4512,product!$A:$A,product!C:C)</f>
        <v>Légumes et conserves</v>
      </c>
      <c r="D4512" s="20" t="str">
        <f t="array" ref="D4512">xlookup($A4512,product!$A:$A,product!D:D)</f>
        <v>Légumes en conserve</v>
      </c>
      <c r="E4512" s="4" t="str">
        <f t="shared" si="1"/>
        <v>69340-Légumes et conserves-Légumes en conserve</v>
      </c>
      <c r="F4512" s="4">
        <v>0.0</v>
      </c>
      <c r="G4512" s="4">
        <v>569.0</v>
      </c>
      <c r="H4512" s="4">
        <v>290.0</v>
      </c>
      <c r="I4512" s="21">
        <f t="array" ref="I4512">XLOOKUP($A4512,product!A:A,product!E:E)</f>
        <v>2.33</v>
      </c>
      <c r="J4512" s="4">
        <f t="shared" si="2"/>
        <v>675.7</v>
      </c>
      <c r="K4512" s="22">
        <f t="shared" si="3"/>
        <v>1</v>
      </c>
      <c r="L4512" s="4">
        <f t="shared" si="4"/>
        <v>1</v>
      </c>
    </row>
    <row r="4513">
      <c r="A4513" s="23">
        <v>199472.0</v>
      </c>
      <c r="B4513" s="24" t="str">
        <f t="array" ref="B4513">xlookup($A4513,product!$A:$A,product!B:B)</f>
        <v>Epicerie salée</v>
      </c>
      <c r="C4513" s="24" t="str">
        <f t="array" ref="C4513">xlookup($A4513,product!$A:$A,product!C:C)</f>
        <v>Légumes et conserves</v>
      </c>
      <c r="D4513" s="24" t="str">
        <f t="array" ref="D4513">xlookup($A4513,product!$A:$A,product!D:D)</f>
        <v>Légumes en conserve</v>
      </c>
      <c r="E4513" s="25" t="str">
        <f t="shared" si="1"/>
        <v>199472-Légumes et conserves-Légumes en conserve</v>
      </c>
      <c r="F4513" s="25">
        <v>0.0</v>
      </c>
      <c r="G4513" s="25">
        <v>664.0</v>
      </c>
      <c r="H4513" s="25">
        <v>48.0</v>
      </c>
      <c r="I4513" s="26">
        <f t="array" ref="I4513">XLOOKUP($A4513,product!A:A,product!E:E)</f>
        <v>2.35</v>
      </c>
      <c r="J4513" s="25">
        <f t="shared" si="2"/>
        <v>112.8</v>
      </c>
      <c r="K4513" s="27">
        <f t="shared" si="3"/>
        <v>1</v>
      </c>
      <c r="L4513" s="25">
        <f t="shared" si="4"/>
        <v>1</v>
      </c>
    </row>
    <row r="4514">
      <c r="A4514" s="19">
        <v>117646.0</v>
      </c>
      <c r="B4514" s="20" t="str">
        <f t="array" ref="B4514">xlookup($A4514,product!$A:$A,product!B:B)</f>
        <v>Epicerie salée</v>
      </c>
      <c r="C4514" s="20" t="str">
        <f t="array" ref="C4514">xlookup($A4514,product!$A:$A,product!C:C)</f>
        <v>Légumes et conserves</v>
      </c>
      <c r="D4514" s="20" t="str">
        <f t="array" ref="D4514">xlookup($A4514,product!$A:$A,product!D:D)</f>
        <v>Légumes en conserve</v>
      </c>
      <c r="E4514" s="4" t="str">
        <f t="shared" si="1"/>
        <v>117646-Légumes et conserves-Légumes en conserve</v>
      </c>
      <c r="F4514" s="4">
        <v>0.0</v>
      </c>
      <c r="G4514" s="4">
        <v>186.0</v>
      </c>
      <c r="H4514" s="4">
        <v>155.0</v>
      </c>
      <c r="I4514" s="21">
        <f t="array" ref="I4514">XLOOKUP($A4514,product!A:A,product!E:E)</f>
        <v>1.31</v>
      </c>
      <c r="J4514" s="4">
        <f t="shared" si="2"/>
        <v>203.05</v>
      </c>
      <c r="K4514" s="22">
        <f t="shared" si="3"/>
        <v>1</v>
      </c>
      <c r="L4514" s="4">
        <f t="shared" si="4"/>
        <v>1</v>
      </c>
    </row>
    <row r="4515">
      <c r="A4515" s="23">
        <v>84167.0</v>
      </c>
      <c r="B4515" s="24" t="str">
        <f t="array" ref="B4515">xlookup($A4515,product!$A:$A,product!B:B)</f>
        <v>Epicerie salée</v>
      </c>
      <c r="C4515" s="24" t="str">
        <f t="array" ref="C4515">xlookup($A4515,product!$A:$A,product!C:C)</f>
        <v>Légumes et conserves</v>
      </c>
      <c r="D4515" s="24" t="str">
        <f t="array" ref="D4515">xlookup($A4515,product!$A:$A,product!D:D)</f>
        <v>Légumes en conserve</v>
      </c>
      <c r="E4515" s="25" t="str">
        <f t="shared" si="1"/>
        <v>84167-Légumes et conserves-Légumes en conserve</v>
      </c>
      <c r="F4515" s="25">
        <v>1.0</v>
      </c>
      <c r="G4515" s="25">
        <v>350.0</v>
      </c>
      <c r="H4515" s="25">
        <v>182.0</v>
      </c>
      <c r="I4515" s="26">
        <f t="array" ref="I4515">XLOOKUP($A4515,product!A:A,product!E:E)</f>
        <v>1.62</v>
      </c>
      <c r="J4515" s="25">
        <f t="shared" si="2"/>
        <v>294.84</v>
      </c>
      <c r="K4515" s="27">
        <f t="shared" si="3"/>
        <v>1</v>
      </c>
      <c r="L4515" s="25">
        <f t="shared" si="4"/>
        <v>1</v>
      </c>
    </row>
    <row r="4516">
      <c r="A4516" s="19">
        <v>81742.0</v>
      </c>
      <c r="B4516" s="20" t="str">
        <f t="array" ref="B4516">xlookup($A4516,product!$A:$A,product!B:B)</f>
        <v>Epicerie salée</v>
      </c>
      <c r="C4516" s="20" t="str">
        <f t="array" ref="C4516">xlookup($A4516,product!$A:$A,product!C:C)</f>
        <v>Légumes et conserves</v>
      </c>
      <c r="D4516" s="20" t="str">
        <f t="array" ref="D4516">xlookup($A4516,product!$A:$A,product!D:D)</f>
        <v>Légumes en conserve</v>
      </c>
      <c r="E4516" s="4" t="str">
        <f t="shared" si="1"/>
        <v>81742-Légumes et conserves-Légumes en conserve</v>
      </c>
      <c r="F4516" s="4">
        <v>0.0</v>
      </c>
      <c r="G4516" s="4">
        <v>389.0</v>
      </c>
      <c r="H4516" s="4">
        <v>306.0</v>
      </c>
      <c r="I4516" s="21">
        <f t="array" ref="I4516">XLOOKUP($A4516,product!A:A,product!E:E)</f>
        <v>2.56</v>
      </c>
      <c r="J4516" s="4">
        <f t="shared" si="2"/>
        <v>783.36</v>
      </c>
      <c r="K4516" s="22">
        <f t="shared" si="3"/>
        <v>1</v>
      </c>
      <c r="L4516" s="4">
        <f t="shared" si="4"/>
        <v>1</v>
      </c>
    </row>
    <row r="4517">
      <c r="A4517" s="23">
        <v>115754.0</v>
      </c>
      <c r="B4517" s="24" t="str">
        <f t="array" ref="B4517">xlookup($A4517,product!$A:$A,product!B:B)</f>
        <v>Epicerie salée</v>
      </c>
      <c r="C4517" s="24" t="str">
        <f t="array" ref="C4517">xlookup($A4517,product!$A:$A,product!C:C)</f>
        <v>Légumes et conserves</v>
      </c>
      <c r="D4517" s="24" t="str">
        <f t="array" ref="D4517">xlookup($A4517,product!$A:$A,product!D:D)</f>
        <v>Légumes en conserve</v>
      </c>
      <c r="E4517" s="25" t="str">
        <f t="shared" si="1"/>
        <v>115754-Légumes et conserves-Légumes en conserve</v>
      </c>
      <c r="F4517" s="25">
        <v>0.0</v>
      </c>
      <c r="G4517" s="25">
        <v>122.0</v>
      </c>
      <c r="H4517" s="25">
        <v>104.0</v>
      </c>
      <c r="I4517" s="26">
        <f t="array" ref="I4517">XLOOKUP($A4517,product!A:A,product!E:E)</f>
        <v>0.71</v>
      </c>
      <c r="J4517" s="25">
        <f t="shared" si="2"/>
        <v>73.84</v>
      </c>
      <c r="K4517" s="27">
        <f t="shared" si="3"/>
        <v>1</v>
      </c>
      <c r="L4517" s="25">
        <f t="shared" si="4"/>
        <v>1</v>
      </c>
    </row>
    <row r="4518">
      <c r="A4518" s="19">
        <v>69334.0</v>
      </c>
      <c r="B4518" s="20" t="str">
        <f t="array" ref="B4518">xlookup($A4518,product!$A:$A,product!B:B)</f>
        <v>Epicerie salée</v>
      </c>
      <c r="C4518" s="20" t="str">
        <f t="array" ref="C4518">xlookup($A4518,product!$A:$A,product!C:C)</f>
        <v>Légumes et conserves</v>
      </c>
      <c r="D4518" s="20" t="str">
        <f t="array" ref="D4518">xlookup($A4518,product!$A:$A,product!D:D)</f>
        <v>Légumes en conserve</v>
      </c>
      <c r="E4518" s="4" t="str">
        <f t="shared" si="1"/>
        <v>69334-Légumes et conserves-Légumes en conserve</v>
      </c>
      <c r="F4518" s="4">
        <v>0.0</v>
      </c>
      <c r="G4518" s="4">
        <v>509.0</v>
      </c>
      <c r="H4518" s="4">
        <v>298.0</v>
      </c>
      <c r="I4518" s="21">
        <f t="array" ref="I4518">XLOOKUP($A4518,product!A:A,product!E:E)</f>
        <v>2.98</v>
      </c>
      <c r="J4518" s="4">
        <f t="shared" si="2"/>
        <v>888.04</v>
      </c>
      <c r="K4518" s="22">
        <f t="shared" si="3"/>
        <v>1</v>
      </c>
      <c r="L4518" s="4">
        <f t="shared" si="4"/>
        <v>1</v>
      </c>
    </row>
    <row r="4519">
      <c r="A4519" s="23">
        <v>117753.0</v>
      </c>
      <c r="B4519" s="24" t="str">
        <f t="array" ref="B4519">xlookup($A4519,product!$A:$A,product!B:B)</f>
        <v>Epicerie salée</v>
      </c>
      <c r="C4519" s="24" t="str">
        <f t="array" ref="C4519">xlookup($A4519,product!$A:$A,product!C:C)</f>
        <v>Légumes et conserves</v>
      </c>
      <c r="D4519" s="24" t="str">
        <f t="array" ref="D4519">xlookup($A4519,product!$A:$A,product!D:D)</f>
        <v>Légumes en conserve</v>
      </c>
      <c r="E4519" s="25" t="str">
        <f t="shared" si="1"/>
        <v>117753-Légumes et conserves-Légumes en conserve</v>
      </c>
      <c r="F4519" s="25">
        <v>0.0</v>
      </c>
      <c r="G4519" s="25">
        <v>476.0</v>
      </c>
      <c r="H4519" s="25">
        <v>193.0</v>
      </c>
      <c r="I4519" s="26">
        <f t="array" ref="I4519">XLOOKUP($A4519,product!A:A,product!E:E)</f>
        <v>1.57</v>
      </c>
      <c r="J4519" s="25">
        <f t="shared" si="2"/>
        <v>303.01</v>
      </c>
      <c r="K4519" s="27">
        <f t="shared" si="3"/>
        <v>1</v>
      </c>
      <c r="L4519" s="25">
        <f t="shared" si="4"/>
        <v>1</v>
      </c>
    </row>
    <row r="4520">
      <c r="A4520" s="19">
        <v>129482.0</v>
      </c>
      <c r="B4520" s="20" t="str">
        <f t="array" ref="B4520">xlookup($A4520,product!$A:$A,product!B:B)</f>
        <v>Epicerie salée</v>
      </c>
      <c r="C4520" s="20" t="str">
        <f t="array" ref="C4520">xlookup($A4520,product!$A:$A,product!C:C)</f>
        <v>Légumes et conserves</v>
      </c>
      <c r="D4520" s="20" t="str">
        <f t="array" ref="D4520">xlookup($A4520,product!$A:$A,product!D:D)</f>
        <v>Légumes en conserve</v>
      </c>
      <c r="E4520" s="4" t="str">
        <f t="shared" si="1"/>
        <v>129482-Légumes et conserves-Légumes en conserve</v>
      </c>
      <c r="F4520" s="4">
        <v>0.0</v>
      </c>
      <c r="G4520" s="4">
        <v>559.0</v>
      </c>
      <c r="H4520" s="4">
        <v>214.0</v>
      </c>
      <c r="I4520" s="21">
        <f t="array" ref="I4520">XLOOKUP($A4520,product!A:A,product!E:E)</f>
        <v>0.63</v>
      </c>
      <c r="J4520" s="4">
        <f t="shared" si="2"/>
        <v>134.82</v>
      </c>
      <c r="K4520" s="22">
        <f t="shared" si="3"/>
        <v>1</v>
      </c>
      <c r="L4520" s="4">
        <f t="shared" si="4"/>
        <v>1</v>
      </c>
    </row>
    <row r="4521">
      <c r="A4521" s="23">
        <v>117634.0</v>
      </c>
      <c r="B4521" s="24" t="str">
        <f t="array" ref="B4521">xlookup($A4521,product!$A:$A,product!B:B)</f>
        <v>Epicerie salée</v>
      </c>
      <c r="C4521" s="24" t="str">
        <f t="array" ref="C4521">xlookup($A4521,product!$A:$A,product!C:C)</f>
        <v>Légumes et conserves</v>
      </c>
      <c r="D4521" s="24" t="str">
        <f t="array" ref="D4521">xlookup($A4521,product!$A:$A,product!D:D)</f>
        <v>Légumes en conserve</v>
      </c>
      <c r="E4521" s="25" t="str">
        <f t="shared" si="1"/>
        <v>117634-Légumes et conserves-Légumes en conserve</v>
      </c>
      <c r="F4521" s="25">
        <v>1.0</v>
      </c>
      <c r="G4521" s="25">
        <v>536.0</v>
      </c>
      <c r="H4521" s="25">
        <v>358.0</v>
      </c>
      <c r="I4521" s="26">
        <f t="array" ref="I4521">XLOOKUP($A4521,product!A:A,product!E:E)</f>
        <v>1.26</v>
      </c>
      <c r="J4521" s="25">
        <f t="shared" si="2"/>
        <v>451.08</v>
      </c>
      <c r="K4521" s="27">
        <f t="shared" si="3"/>
        <v>1</v>
      </c>
      <c r="L4521" s="25">
        <f t="shared" si="4"/>
        <v>1</v>
      </c>
    </row>
    <row r="4522">
      <c r="A4522" s="19">
        <v>111027.0</v>
      </c>
      <c r="B4522" s="20" t="str">
        <f t="array" ref="B4522">xlookup($A4522,product!$A:$A,product!B:B)</f>
        <v>Epicerie salée</v>
      </c>
      <c r="C4522" s="20" t="str">
        <f t="array" ref="C4522">xlookup($A4522,product!$A:$A,product!C:C)</f>
        <v>Légumes et conserves</v>
      </c>
      <c r="D4522" s="20" t="str">
        <f t="array" ref="D4522">xlookup($A4522,product!$A:$A,product!D:D)</f>
        <v>Légumes en conserve</v>
      </c>
      <c r="E4522" s="4" t="str">
        <f t="shared" si="1"/>
        <v>111027-Légumes et conserves-Légumes en conserve</v>
      </c>
      <c r="F4522" s="4">
        <v>0.0</v>
      </c>
      <c r="G4522" s="4">
        <v>766.0</v>
      </c>
      <c r="H4522" s="4">
        <v>129.0</v>
      </c>
      <c r="I4522" s="21">
        <f t="array" ref="I4522">XLOOKUP($A4522,product!A:A,product!E:E)</f>
        <v>2.07</v>
      </c>
      <c r="J4522" s="4">
        <f t="shared" si="2"/>
        <v>267.03</v>
      </c>
      <c r="K4522" s="22">
        <f t="shared" si="3"/>
        <v>1</v>
      </c>
      <c r="L4522" s="4">
        <f t="shared" si="4"/>
        <v>1</v>
      </c>
    </row>
    <row r="4523">
      <c r="A4523" s="23">
        <v>115772.0</v>
      </c>
      <c r="B4523" s="24" t="str">
        <f t="array" ref="B4523">xlookup($A4523,product!$A:$A,product!B:B)</f>
        <v>Epicerie salée</v>
      </c>
      <c r="C4523" s="24" t="str">
        <f t="array" ref="C4523">xlookup($A4523,product!$A:$A,product!C:C)</f>
        <v>Légumes et conserves</v>
      </c>
      <c r="D4523" s="24" t="str">
        <f t="array" ref="D4523">xlookup($A4523,product!$A:$A,product!D:D)</f>
        <v>Légumes en conserve</v>
      </c>
      <c r="E4523" s="25" t="str">
        <f t="shared" si="1"/>
        <v>115772-Légumes et conserves-Légumes en conserve</v>
      </c>
      <c r="F4523" s="25">
        <v>0.0</v>
      </c>
      <c r="G4523" s="25">
        <v>57.0</v>
      </c>
      <c r="H4523" s="25">
        <v>11.0</v>
      </c>
      <c r="I4523" s="26">
        <f t="array" ref="I4523">XLOOKUP($A4523,product!A:A,product!E:E)</f>
        <v>1.49</v>
      </c>
      <c r="J4523" s="25">
        <f t="shared" si="2"/>
        <v>16.39</v>
      </c>
      <c r="K4523" s="27">
        <f t="shared" si="3"/>
        <v>1</v>
      </c>
      <c r="L4523" s="25">
        <f t="shared" si="4"/>
        <v>1</v>
      </c>
    </row>
    <row r="4524">
      <c r="A4524" s="19">
        <v>115768.0</v>
      </c>
      <c r="B4524" s="20" t="str">
        <f t="array" ref="B4524">xlookup($A4524,product!$A:$A,product!B:B)</f>
        <v>Epicerie salée</v>
      </c>
      <c r="C4524" s="20" t="str">
        <f t="array" ref="C4524">xlookup($A4524,product!$A:$A,product!C:C)</f>
        <v>Légumes et conserves</v>
      </c>
      <c r="D4524" s="20" t="str">
        <f t="array" ref="D4524">xlookup($A4524,product!$A:$A,product!D:D)</f>
        <v>Légumes en conserve</v>
      </c>
      <c r="E4524" s="4" t="str">
        <f t="shared" si="1"/>
        <v>115768-Légumes et conserves-Légumes en conserve</v>
      </c>
      <c r="F4524" s="4">
        <v>0.0</v>
      </c>
      <c r="G4524" s="4">
        <v>434.0</v>
      </c>
      <c r="H4524" s="4">
        <v>85.0</v>
      </c>
      <c r="I4524" s="21">
        <f t="array" ref="I4524">XLOOKUP($A4524,product!A:A,product!E:E)</f>
        <v>0.95</v>
      </c>
      <c r="J4524" s="4">
        <f t="shared" si="2"/>
        <v>80.75</v>
      </c>
      <c r="K4524" s="22">
        <f t="shared" si="3"/>
        <v>1</v>
      </c>
      <c r="L4524" s="4">
        <f t="shared" si="4"/>
        <v>1</v>
      </c>
    </row>
    <row r="4525">
      <c r="A4525" s="23">
        <v>69476.0</v>
      </c>
      <c r="B4525" s="24" t="str">
        <f t="array" ref="B4525">xlookup($A4525,product!$A:$A,product!B:B)</f>
        <v>Epicerie salée</v>
      </c>
      <c r="C4525" s="24" t="str">
        <f t="array" ref="C4525">xlookup($A4525,product!$A:$A,product!C:C)</f>
        <v>Légumes et conserves</v>
      </c>
      <c r="D4525" s="24" t="str">
        <f t="array" ref="D4525">xlookup($A4525,product!$A:$A,product!D:D)</f>
        <v>Légumes en conserve</v>
      </c>
      <c r="E4525" s="25" t="str">
        <f t="shared" si="1"/>
        <v>69476-Légumes et conserves-Légumes en conserve</v>
      </c>
      <c r="F4525" s="25">
        <v>1.0</v>
      </c>
      <c r="G4525" s="25">
        <v>253.0</v>
      </c>
      <c r="H4525" s="25">
        <v>131.0</v>
      </c>
      <c r="I4525" s="26">
        <f t="array" ref="I4525">XLOOKUP($A4525,product!A:A,product!E:E)</f>
        <v>1.53</v>
      </c>
      <c r="J4525" s="25">
        <f t="shared" si="2"/>
        <v>200.43</v>
      </c>
      <c r="K4525" s="27">
        <f t="shared" si="3"/>
        <v>1</v>
      </c>
      <c r="L4525" s="25">
        <f t="shared" si="4"/>
        <v>1</v>
      </c>
    </row>
    <row r="4526">
      <c r="A4526" s="19">
        <v>122118.0</v>
      </c>
      <c r="B4526" s="20" t="str">
        <f t="array" ref="B4526">xlookup($A4526,product!$A:$A,product!B:B)</f>
        <v>Epicerie salée</v>
      </c>
      <c r="C4526" s="20" t="str">
        <f t="array" ref="C4526">xlookup($A4526,product!$A:$A,product!C:C)</f>
        <v>Légumes et conserves</v>
      </c>
      <c r="D4526" s="20" t="str">
        <f t="array" ref="D4526">xlookup($A4526,product!$A:$A,product!D:D)</f>
        <v>Légumes en conserve</v>
      </c>
      <c r="E4526" s="4" t="str">
        <f t="shared" si="1"/>
        <v>122118-Légumes et conserves-Légumes en conserve</v>
      </c>
      <c r="F4526" s="4">
        <v>0.0</v>
      </c>
      <c r="G4526" s="4">
        <v>443.0</v>
      </c>
      <c r="H4526" s="4">
        <v>296.0</v>
      </c>
      <c r="I4526" s="21">
        <f t="array" ref="I4526">XLOOKUP($A4526,product!A:A,product!E:E)</f>
        <v>1.44</v>
      </c>
      <c r="J4526" s="4">
        <f t="shared" si="2"/>
        <v>426.24</v>
      </c>
      <c r="K4526" s="22">
        <f t="shared" si="3"/>
        <v>1</v>
      </c>
      <c r="L4526" s="4">
        <f t="shared" si="4"/>
        <v>1</v>
      </c>
    </row>
    <row r="4527">
      <c r="A4527" s="23">
        <v>87447.0</v>
      </c>
      <c r="B4527" s="24" t="str">
        <f t="array" ref="B4527">xlookup($A4527,product!$A:$A,product!B:B)</f>
        <v>Epicerie salée</v>
      </c>
      <c r="C4527" s="24" t="str">
        <f t="array" ref="C4527">xlookup($A4527,product!$A:$A,product!C:C)</f>
        <v>Légumes et conserves</v>
      </c>
      <c r="D4527" s="24" t="str">
        <f t="array" ref="D4527">xlookup($A4527,product!$A:$A,product!D:D)</f>
        <v>Légumes en conserve</v>
      </c>
      <c r="E4527" s="25" t="str">
        <f t="shared" si="1"/>
        <v>87447-Légumes et conserves-Légumes en conserve</v>
      </c>
      <c r="F4527" s="25">
        <v>1.0</v>
      </c>
      <c r="G4527" s="25">
        <v>915.0</v>
      </c>
      <c r="H4527" s="25">
        <v>197.0</v>
      </c>
      <c r="I4527" s="26">
        <f t="array" ref="I4527">XLOOKUP($A4527,product!A:A,product!E:E)</f>
        <v>0.79</v>
      </c>
      <c r="J4527" s="25">
        <f t="shared" si="2"/>
        <v>155.63</v>
      </c>
      <c r="K4527" s="27">
        <f t="shared" si="3"/>
        <v>1</v>
      </c>
      <c r="L4527" s="25">
        <f t="shared" si="4"/>
        <v>1</v>
      </c>
    </row>
    <row r="4528">
      <c r="A4528" s="19">
        <v>129480.0</v>
      </c>
      <c r="B4528" s="20" t="str">
        <f t="array" ref="B4528">xlookup($A4528,product!$A:$A,product!B:B)</f>
        <v>Epicerie salée</v>
      </c>
      <c r="C4528" s="20" t="str">
        <f t="array" ref="C4528">xlookup($A4528,product!$A:$A,product!C:C)</f>
        <v>Légumes et conserves</v>
      </c>
      <c r="D4528" s="20" t="str">
        <f t="array" ref="D4528">xlookup($A4528,product!$A:$A,product!D:D)</f>
        <v>Légumes en conserve</v>
      </c>
      <c r="E4528" s="4" t="str">
        <f t="shared" si="1"/>
        <v>129480-Légumes et conserves-Légumes en conserve</v>
      </c>
      <c r="F4528" s="4">
        <v>1.0</v>
      </c>
      <c r="G4528" s="4">
        <v>396.0</v>
      </c>
      <c r="H4528" s="4">
        <v>182.0</v>
      </c>
      <c r="I4528" s="21">
        <f t="array" ref="I4528">XLOOKUP($A4528,product!A:A,product!E:E)</f>
        <v>0.62</v>
      </c>
      <c r="J4528" s="4">
        <f t="shared" si="2"/>
        <v>112.84</v>
      </c>
      <c r="K4528" s="22">
        <f t="shared" si="3"/>
        <v>1</v>
      </c>
      <c r="L4528" s="4">
        <f t="shared" si="4"/>
        <v>1</v>
      </c>
    </row>
    <row r="4529">
      <c r="A4529" s="23">
        <v>84164.0</v>
      </c>
      <c r="B4529" s="24" t="str">
        <f t="array" ref="B4529">xlookup($A4529,product!$A:$A,product!B:B)</f>
        <v>Epicerie salée</v>
      </c>
      <c r="C4529" s="24" t="str">
        <f t="array" ref="C4529">xlookup($A4529,product!$A:$A,product!C:C)</f>
        <v>Légumes et conserves</v>
      </c>
      <c r="D4529" s="24" t="str">
        <f t="array" ref="D4529">xlookup($A4529,product!$A:$A,product!D:D)</f>
        <v>Légumes en conserve</v>
      </c>
      <c r="E4529" s="25" t="str">
        <f t="shared" si="1"/>
        <v>84164-Légumes et conserves-Légumes en conserve</v>
      </c>
      <c r="F4529" s="25">
        <v>1.0</v>
      </c>
      <c r="G4529" s="25">
        <v>55.0</v>
      </c>
      <c r="H4529" s="25">
        <v>21.0</v>
      </c>
      <c r="I4529" s="26">
        <f t="array" ref="I4529">XLOOKUP($A4529,product!A:A,product!E:E)</f>
        <v>1.39</v>
      </c>
      <c r="J4529" s="25">
        <f t="shared" si="2"/>
        <v>29.19</v>
      </c>
      <c r="K4529" s="27">
        <f t="shared" si="3"/>
        <v>1</v>
      </c>
      <c r="L4529" s="25">
        <f t="shared" si="4"/>
        <v>1</v>
      </c>
    </row>
    <row r="4530">
      <c r="A4530" s="19">
        <v>69338.0</v>
      </c>
      <c r="B4530" s="20" t="str">
        <f t="array" ref="B4530">xlookup($A4530,product!$A:$A,product!B:B)</f>
        <v>Epicerie salée</v>
      </c>
      <c r="C4530" s="20" t="str">
        <f t="array" ref="C4530">xlookup($A4530,product!$A:$A,product!C:C)</f>
        <v>Légumes et conserves</v>
      </c>
      <c r="D4530" s="20" t="str">
        <f t="array" ref="D4530">xlookup($A4530,product!$A:$A,product!D:D)</f>
        <v>Légumes en conserve</v>
      </c>
      <c r="E4530" s="4" t="str">
        <f t="shared" si="1"/>
        <v>69338-Légumes et conserves-Légumes en conserve</v>
      </c>
      <c r="F4530" s="4">
        <v>0.0</v>
      </c>
      <c r="G4530" s="4">
        <v>748.0</v>
      </c>
      <c r="H4530" s="4">
        <v>19.0</v>
      </c>
      <c r="I4530" s="21">
        <f t="array" ref="I4530">XLOOKUP($A4530,product!A:A,product!E:E)</f>
        <v>1.64</v>
      </c>
      <c r="J4530" s="4">
        <f t="shared" si="2"/>
        <v>31.16</v>
      </c>
      <c r="K4530" s="22">
        <f t="shared" si="3"/>
        <v>1</v>
      </c>
      <c r="L4530" s="4">
        <f t="shared" si="4"/>
        <v>1</v>
      </c>
    </row>
    <row r="4531">
      <c r="A4531" s="23">
        <v>120531.0</v>
      </c>
      <c r="B4531" s="24" t="str">
        <f t="array" ref="B4531">xlookup($A4531,product!$A:$A,product!B:B)</f>
        <v>Epicerie salée</v>
      </c>
      <c r="C4531" s="24" t="str">
        <f t="array" ref="C4531">xlookup($A4531,product!$A:$A,product!C:C)</f>
        <v>Légumes et conserves</v>
      </c>
      <c r="D4531" s="24" t="str">
        <f t="array" ref="D4531">xlookup($A4531,product!$A:$A,product!D:D)</f>
        <v>Légumes en conserve</v>
      </c>
      <c r="E4531" s="25" t="str">
        <f t="shared" si="1"/>
        <v>120531-Légumes et conserves-Légumes en conserve</v>
      </c>
      <c r="F4531" s="25">
        <v>1.0</v>
      </c>
      <c r="G4531" s="25">
        <v>18.0</v>
      </c>
      <c r="H4531" s="25">
        <v>12.0</v>
      </c>
      <c r="I4531" s="26">
        <f t="array" ref="I4531">XLOOKUP($A4531,product!A:A,product!E:E)</f>
        <v>1.34</v>
      </c>
      <c r="J4531" s="25">
        <f t="shared" si="2"/>
        <v>16.08</v>
      </c>
      <c r="K4531" s="27">
        <f t="shared" si="3"/>
        <v>1</v>
      </c>
      <c r="L4531" s="25">
        <f t="shared" si="4"/>
        <v>1</v>
      </c>
    </row>
    <row r="4532">
      <c r="A4532" s="19">
        <v>120524.0</v>
      </c>
      <c r="B4532" s="20" t="str">
        <f t="array" ref="B4532">xlookup($A4532,product!$A:$A,product!B:B)</f>
        <v>Epicerie salée</v>
      </c>
      <c r="C4532" s="20" t="str">
        <f t="array" ref="C4532">xlookup($A4532,product!$A:$A,product!C:C)</f>
        <v>Légumes et conserves</v>
      </c>
      <c r="D4532" s="20" t="str">
        <f t="array" ref="D4532">xlookup($A4532,product!$A:$A,product!D:D)</f>
        <v>Légumes en conserve</v>
      </c>
      <c r="E4532" s="4" t="str">
        <f t="shared" si="1"/>
        <v>120524-Légumes et conserves-Légumes en conserve</v>
      </c>
      <c r="F4532" s="4">
        <v>1.0</v>
      </c>
      <c r="G4532" s="4">
        <v>310.0</v>
      </c>
      <c r="H4532" s="4">
        <v>309.0</v>
      </c>
      <c r="I4532" s="21">
        <f t="array" ref="I4532">XLOOKUP($A4532,product!A:A,product!E:E)</f>
        <v>2.41</v>
      </c>
      <c r="J4532" s="4">
        <f t="shared" si="2"/>
        <v>744.69</v>
      </c>
      <c r="K4532" s="22">
        <f t="shared" si="3"/>
        <v>1</v>
      </c>
      <c r="L4532" s="4">
        <f t="shared" si="4"/>
        <v>1</v>
      </c>
    </row>
    <row r="4533">
      <c r="A4533" s="23">
        <v>117631.0</v>
      </c>
      <c r="B4533" s="24" t="str">
        <f t="array" ref="B4533">xlookup($A4533,product!$A:$A,product!B:B)</f>
        <v>Epicerie salée</v>
      </c>
      <c r="C4533" s="24" t="str">
        <f t="array" ref="C4533">xlookup($A4533,product!$A:$A,product!C:C)</f>
        <v>Légumes et conserves</v>
      </c>
      <c r="D4533" s="24" t="str">
        <f t="array" ref="D4533">xlookup($A4533,product!$A:$A,product!D:D)</f>
        <v>Légumes en conserve</v>
      </c>
      <c r="E4533" s="25" t="str">
        <f t="shared" si="1"/>
        <v>117631-Légumes et conserves-Légumes en conserve</v>
      </c>
      <c r="F4533" s="25">
        <v>1.0</v>
      </c>
      <c r="G4533" s="25">
        <v>180.0</v>
      </c>
      <c r="H4533" s="25">
        <v>162.0</v>
      </c>
      <c r="I4533" s="26">
        <f t="array" ref="I4533">XLOOKUP($A4533,product!A:A,product!E:E)</f>
        <v>1.86</v>
      </c>
      <c r="J4533" s="25">
        <f t="shared" si="2"/>
        <v>301.32</v>
      </c>
      <c r="K4533" s="27">
        <f t="shared" si="3"/>
        <v>1</v>
      </c>
      <c r="L4533" s="25">
        <f t="shared" si="4"/>
        <v>1</v>
      </c>
    </row>
    <row r="4534">
      <c r="A4534" s="19">
        <v>115757.0</v>
      </c>
      <c r="B4534" s="20" t="str">
        <f t="array" ref="B4534">xlookup($A4534,product!$A:$A,product!B:B)</f>
        <v>Epicerie salée</v>
      </c>
      <c r="C4534" s="20" t="str">
        <f t="array" ref="C4534">xlookup($A4534,product!$A:$A,product!C:C)</f>
        <v>Légumes et conserves</v>
      </c>
      <c r="D4534" s="20" t="str">
        <f t="array" ref="D4534">xlookup($A4534,product!$A:$A,product!D:D)</f>
        <v>Légumes en conserve</v>
      </c>
      <c r="E4534" s="4" t="str">
        <f t="shared" si="1"/>
        <v>115757-Légumes et conserves-Légumes en conserve</v>
      </c>
      <c r="F4534" s="4">
        <v>0.0</v>
      </c>
      <c r="G4534" s="4">
        <v>223.0</v>
      </c>
      <c r="H4534" s="4">
        <v>190.0</v>
      </c>
      <c r="I4534" s="21">
        <f t="array" ref="I4534">XLOOKUP($A4534,product!A:A,product!E:E)</f>
        <v>0.75</v>
      </c>
      <c r="J4534" s="4">
        <f t="shared" si="2"/>
        <v>142.5</v>
      </c>
      <c r="K4534" s="22">
        <f t="shared" si="3"/>
        <v>1</v>
      </c>
      <c r="L4534" s="4">
        <f t="shared" si="4"/>
        <v>1</v>
      </c>
    </row>
    <row r="4535">
      <c r="A4535" s="23">
        <v>42243.0</v>
      </c>
      <c r="B4535" s="24" t="str">
        <f t="array" ref="B4535">xlookup($A4535,product!$A:$A,product!B:B)</f>
        <v>Epicerie salée</v>
      </c>
      <c r="C4535" s="24" t="str">
        <f t="array" ref="C4535">xlookup($A4535,product!$A:$A,product!C:C)</f>
        <v>Légumes et conserves</v>
      </c>
      <c r="D4535" s="24" t="str">
        <f t="array" ref="D4535">xlookup($A4535,product!$A:$A,product!D:D)</f>
        <v>Légumes en conserve</v>
      </c>
      <c r="E4535" s="25" t="str">
        <f t="shared" si="1"/>
        <v>42243-Légumes et conserves-Légumes en conserve</v>
      </c>
      <c r="F4535" s="25">
        <v>0.0</v>
      </c>
      <c r="G4535" s="25">
        <v>922.0</v>
      </c>
      <c r="H4535" s="25">
        <v>284.0</v>
      </c>
      <c r="I4535" s="26">
        <f t="array" ref="I4535">XLOOKUP($A4535,product!A:A,product!E:E)</f>
        <v>2.22</v>
      </c>
      <c r="J4535" s="25">
        <f t="shared" si="2"/>
        <v>630.48</v>
      </c>
      <c r="K4535" s="27">
        <f t="shared" si="3"/>
        <v>1</v>
      </c>
      <c r="L4535" s="25">
        <f t="shared" si="4"/>
        <v>1</v>
      </c>
    </row>
    <row r="4536">
      <c r="A4536" s="19">
        <v>115761.0</v>
      </c>
      <c r="B4536" s="20" t="str">
        <f t="array" ref="B4536">xlookup($A4536,product!$A:$A,product!B:B)</f>
        <v>Epicerie salée</v>
      </c>
      <c r="C4536" s="20" t="str">
        <f t="array" ref="C4536">xlookup($A4536,product!$A:$A,product!C:C)</f>
        <v>Légumes et conserves</v>
      </c>
      <c r="D4536" s="20" t="str">
        <f t="array" ref="D4536">xlookup($A4536,product!$A:$A,product!D:D)</f>
        <v>Légumes en conserve</v>
      </c>
      <c r="E4536" s="4" t="str">
        <f t="shared" si="1"/>
        <v>115761-Légumes et conserves-Légumes en conserve</v>
      </c>
      <c r="F4536" s="4">
        <v>0.0</v>
      </c>
      <c r="G4536" s="4">
        <v>501.0</v>
      </c>
      <c r="H4536" s="4">
        <v>487.0</v>
      </c>
      <c r="I4536" s="21">
        <f t="array" ref="I4536">XLOOKUP($A4536,product!A:A,product!E:E)</f>
        <v>0.75</v>
      </c>
      <c r="J4536" s="4">
        <f t="shared" si="2"/>
        <v>365.25</v>
      </c>
      <c r="K4536" s="22">
        <f t="shared" si="3"/>
        <v>1</v>
      </c>
      <c r="L4536" s="4">
        <f t="shared" si="4"/>
        <v>1</v>
      </c>
    </row>
    <row r="4537">
      <c r="A4537" s="23">
        <v>113960.0</v>
      </c>
      <c r="B4537" s="24" t="str">
        <f t="array" ref="B4537">xlookup($A4537,product!$A:$A,product!B:B)</f>
        <v>Epicerie salée</v>
      </c>
      <c r="C4537" s="24" t="str">
        <f t="array" ref="C4537">xlookup($A4537,product!$A:$A,product!C:C)</f>
        <v>Légumes et conserves</v>
      </c>
      <c r="D4537" s="24" t="str">
        <f t="array" ref="D4537">xlookup($A4537,product!$A:$A,product!D:D)</f>
        <v>Légumes en conserve</v>
      </c>
      <c r="E4537" s="25" t="str">
        <f t="shared" si="1"/>
        <v>113960-Légumes et conserves-Légumes en conserve</v>
      </c>
      <c r="F4537" s="25">
        <v>0.0</v>
      </c>
      <c r="G4537" s="25">
        <v>299.0</v>
      </c>
      <c r="H4537" s="25">
        <v>255.0</v>
      </c>
      <c r="I4537" s="26">
        <f t="array" ref="I4537">XLOOKUP($A4537,product!A:A,product!E:E)</f>
        <v>1.48</v>
      </c>
      <c r="J4537" s="25">
        <f t="shared" si="2"/>
        <v>377.4</v>
      </c>
      <c r="K4537" s="27">
        <f t="shared" si="3"/>
        <v>1</v>
      </c>
      <c r="L4537" s="25">
        <f t="shared" si="4"/>
        <v>1</v>
      </c>
    </row>
    <row r="4538">
      <c r="A4538" s="19">
        <v>42241.0</v>
      </c>
      <c r="B4538" s="20" t="str">
        <f t="array" ref="B4538">xlookup($A4538,product!$A:$A,product!B:B)</f>
        <v>Epicerie salée</v>
      </c>
      <c r="C4538" s="20" t="str">
        <f t="array" ref="C4538">xlookup($A4538,product!$A:$A,product!C:C)</f>
        <v>Légumes et conserves</v>
      </c>
      <c r="D4538" s="20" t="str">
        <f t="array" ref="D4538">xlookup($A4538,product!$A:$A,product!D:D)</f>
        <v>Légumes en conserve</v>
      </c>
      <c r="E4538" s="4" t="str">
        <f t="shared" si="1"/>
        <v>42241-Légumes et conserves-Légumes en conserve</v>
      </c>
      <c r="F4538" s="4">
        <v>1.0</v>
      </c>
      <c r="G4538" s="4">
        <v>743.0</v>
      </c>
      <c r="H4538" s="4">
        <v>560.0</v>
      </c>
      <c r="I4538" s="21">
        <f t="array" ref="I4538">XLOOKUP($A4538,product!A:A,product!E:E)</f>
        <v>1.9</v>
      </c>
      <c r="J4538" s="4">
        <f t="shared" si="2"/>
        <v>1064</v>
      </c>
      <c r="K4538" s="22">
        <f t="shared" si="3"/>
        <v>1</v>
      </c>
      <c r="L4538" s="4">
        <f t="shared" si="4"/>
        <v>1</v>
      </c>
    </row>
    <row r="4539">
      <c r="A4539" s="23">
        <v>115770.0</v>
      </c>
      <c r="B4539" s="24" t="str">
        <f t="array" ref="B4539">xlookup($A4539,product!$A:$A,product!B:B)</f>
        <v>Epicerie salée</v>
      </c>
      <c r="C4539" s="24" t="str">
        <f t="array" ref="C4539">xlookup($A4539,product!$A:$A,product!C:C)</f>
        <v>Légumes et conserves</v>
      </c>
      <c r="D4539" s="24" t="str">
        <f t="array" ref="D4539">xlookup($A4539,product!$A:$A,product!D:D)</f>
        <v>Légumes en conserve</v>
      </c>
      <c r="E4539" s="25" t="str">
        <f t="shared" si="1"/>
        <v>115770-Légumes et conserves-Légumes en conserve</v>
      </c>
      <c r="F4539" s="25">
        <v>0.0</v>
      </c>
      <c r="G4539" s="25">
        <v>16.0</v>
      </c>
      <c r="H4539" s="25">
        <v>8.0</v>
      </c>
      <c r="I4539" s="26">
        <f t="array" ref="I4539">XLOOKUP($A4539,product!A:A,product!E:E)</f>
        <v>1.86</v>
      </c>
      <c r="J4539" s="25">
        <f t="shared" si="2"/>
        <v>14.88</v>
      </c>
      <c r="K4539" s="27">
        <f t="shared" si="3"/>
        <v>1</v>
      </c>
      <c r="L4539" s="25">
        <f t="shared" si="4"/>
        <v>1</v>
      </c>
    </row>
    <row r="4540">
      <c r="A4540" s="19">
        <v>118541.0</v>
      </c>
      <c r="B4540" s="20" t="str">
        <f t="array" ref="B4540">xlookup($A4540,product!$A:$A,product!B:B)</f>
        <v>Epicerie salée</v>
      </c>
      <c r="C4540" s="20" t="str">
        <f t="array" ref="C4540">xlookup($A4540,product!$A:$A,product!C:C)</f>
        <v>Légumes et conserves</v>
      </c>
      <c r="D4540" s="20" t="str">
        <f t="array" ref="D4540">xlookup($A4540,product!$A:$A,product!D:D)</f>
        <v>Légumes en conserve</v>
      </c>
      <c r="E4540" s="4" t="str">
        <f t="shared" si="1"/>
        <v>118541-Légumes et conserves-Légumes en conserve</v>
      </c>
      <c r="F4540" s="4">
        <v>0.0</v>
      </c>
      <c r="G4540" s="4">
        <v>443.0</v>
      </c>
      <c r="H4540" s="4">
        <v>304.0</v>
      </c>
      <c r="I4540" s="21">
        <f t="array" ref="I4540">XLOOKUP($A4540,product!A:A,product!E:E)</f>
        <v>1.68</v>
      </c>
      <c r="J4540" s="4">
        <f t="shared" si="2"/>
        <v>510.72</v>
      </c>
      <c r="K4540" s="22">
        <f t="shared" si="3"/>
        <v>1</v>
      </c>
      <c r="L4540" s="4">
        <f t="shared" si="4"/>
        <v>1</v>
      </c>
    </row>
    <row r="4541">
      <c r="A4541" s="23">
        <v>115750.0</v>
      </c>
      <c r="B4541" s="24" t="str">
        <f t="array" ref="B4541">xlookup($A4541,product!$A:$A,product!B:B)</f>
        <v>Epicerie salée</v>
      </c>
      <c r="C4541" s="24" t="str">
        <f t="array" ref="C4541">xlookup($A4541,product!$A:$A,product!C:C)</f>
        <v>Légumes et conserves</v>
      </c>
      <c r="D4541" s="24" t="str">
        <f t="array" ref="D4541">xlookup($A4541,product!$A:$A,product!D:D)</f>
        <v>Légumes en conserve</v>
      </c>
      <c r="E4541" s="25" t="str">
        <f t="shared" si="1"/>
        <v>115750-Légumes et conserves-Légumes en conserve</v>
      </c>
      <c r="F4541" s="25">
        <v>1.0</v>
      </c>
      <c r="G4541" s="25">
        <v>178.0</v>
      </c>
      <c r="H4541" s="25">
        <v>34.0</v>
      </c>
      <c r="I4541" s="26">
        <f t="array" ref="I4541">XLOOKUP($A4541,product!A:A,product!E:E)</f>
        <v>0.69</v>
      </c>
      <c r="J4541" s="25">
        <f t="shared" si="2"/>
        <v>23.46</v>
      </c>
      <c r="K4541" s="27">
        <f t="shared" si="3"/>
        <v>1</v>
      </c>
      <c r="L4541" s="25">
        <f t="shared" si="4"/>
        <v>1</v>
      </c>
    </row>
    <row r="4542">
      <c r="A4542" s="19">
        <v>99969.0</v>
      </c>
      <c r="B4542" s="20" t="str">
        <f t="array" ref="B4542">xlookup($A4542,product!$A:$A,product!B:B)</f>
        <v>Epicerie salée</v>
      </c>
      <c r="C4542" s="20" t="str">
        <f t="array" ref="C4542">xlookup($A4542,product!$A:$A,product!C:C)</f>
        <v>Légumes et conserves</v>
      </c>
      <c r="D4542" s="20" t="str">
        <f t="array" ref="D4542">xlookup($A4542,product!$A:$A,product!D:D)</f>
        <v>Légumes en conserve</v>
      </c>
      <c r="E4542" s="4" t="str">
        <f t="shared" si="1"/>
        <v>99969-Légumes et conserves-Légumes en conserve</v>
      </c>
      <c r="F4542" s="4">
        <v>1.0</v>
      </c>
      <c r="G4542" s="4">
        <v>196.0</v>
      </c>
      <c r="H4542" s="4">
        <v>166.0</v>
      </c>
      <c r="I4542" s="21">
        <f t="array" ref="I4542">XLOOKUP($A4542,product!A:A,product!E:E)</f>
        <v>3.94</v>
      </c>
      <c r="J4542" s="4">
        <f t="shared" si="2"/>
        <v>654.04</v>
      </c>
      <c r="K4542" s="22">
        <f t="shared" si="3"/>
        <v>1</v>
      </c>
      <c r="L4542" s="4">
        <f t="shared" si="4"/>
        <v>1</v>
      </c>
    </row>
    <row r="4543">
      <c r="A4543" s="23">
        <v>129483.0</v>
      </c>
      <c r="B4543" s="24" t="str">
        <f t="array" ref="B4543">xlookup($A4543,product!$A:$A,product!B:B)</f>
        <v>Epicerie salée</v>
      </c>
      <c r="C4543" s="24" t="str">
        <f t="array" ref="C4543">xlookup($A4543,product!$A:$A,product!C:C)</f>
        <v>Légumes et conserves</v>
      </c>
      <c r="D4543" s="24" t="str">
        <f t="array" ref="D4543">xlookup($A4543,product!$A:$A,product!D:D)</f>
        <v>Légumes en conserve</v>
      </c>
      <c r="E4543" s="25" t="str">
        <f t="shared" si="1"/>
        <v>129483-Légumes et conserves-Légumes en conserve</v>
      </c>
      <c r="F4543" s="25">
        <v>1.0</v>
      </c>
      <c r="G4543" s="25">
        <v>188.0</v>
      </c>
      <c r="H4543" s="25">
        <v>145.0</v>
      </c>
      <c r="I4543" s="26">
        <f t="array" ref="I4543">XLOOKUP($A4543,product!A:A,product!E:E)</f>
        <v>0.76</v>
      </c>
      <c r="J4543" s="25">
        <f t="shared" si="2"/>
        <v>110.2</v>
      </c>
      <c r="K4543" s="27">
        <f t="shared" si="3"/>
        <v>1</v>
      </c>
      <c r="L4543" s="25">
        <f t="shared" si="4"/>
        <v>1</v>
      </c>
    </row>
    <row r="4544">
      <c r="A4544" s="19">
        <v>42255.0</v>
      </c>
      <c r="B4544" s="20" t="str">
        <f t="array" ref="B4544">xlookup($A4544,product!$A:$A,product!B:B)</f>
        <v>Epicerie salée</v>
      </c>
      <c r="C4544" s="20" t="str">
        <f t="array" ref="C4544">xlookup($A4544,product!$A:$A,product!C:C)</f>
        <v>Légumes et conserves</v>
      </c>
      <c r="D4544" s="20" t="str">
        <f t="array" ref="D4544">xlookup($A4544,product!$A:$A,product!D:D)</f>
        <v>Légumes en conserve</v>
      </c>
      <c r="E4544" s="4" t="str">
        <f t="shared" si="1"/>
        <v>42255-Légumes et conserves-Légumes en conserve</v>
      </c>
      <c r="F4544" s="4">
        <v>0.0</v>
      </c>
      <c r="G4544" s="4">
        <v>578.0</v>
      </c>
      <c r="H4544" s="4">
        <v>112.0</v>
      </c>
      <c r="I4544" s="21">
        <f t="array" ref="I4544">XLOOKUP($A4544,product!A:A,product!E:E)</f>
        <v>1.6</v>
      </c>
      <c r="J4544" s="4">
        <f t="shared" si="2"/>
        <v>179.2</v>
      </c>
      <c r="K4544" s="22">
        <f t="shared" si="3"/>
        <v>1</v>
      </c>
      <c r="L4544" s="4">
        <f t="shared" si="4"/>
        <v>1</v>
      </c>
    </row>
    <row r="4545">
      <c r="A4545" s="23">
        <v>100235.0</v>
      </c>
      <c r="B4545" s="24" t="str">
        <f t="array" ref="B4545">xlookup($A4545,product!$A:$A,product!B:B)</f>
        <v>Epicerie salée</v>
      </c>
      <c r="C4545" s="24" t="str">
        <f t="array" ref="C4545">xlookup($A4545,product!$A:$A,product!C:C)</f>
        <v>Légumes et conserves</v>
      </c>
      <c r="D4545" s="24" t="str">
        <f t="array" ref="D4545">xlookup($A4545,product!$A:$A,product!D:D)</f>
        <v>Légumes en conserve</v>
      </c>
      <c r="E4545" s="25" t="str">
        <f t="shared" si="1"/>
        <v>100235-Légumes et conserves-Légumes en conserve</v>
      </c>
      <c r="F4545" s="25">
        <v>0.0</v>
      </c>
      <c r="G4545" s="25">
        <v>588.0</v>
      </c>
      <c r="H4545" s="25">
        <v>291.0</v>
      </c>
      <c r="I4545" s="26">
        <f t="array" ref="I4545">XLOOKUP($A4545,product!A:A,product!E:E)</f>
        <v>1.53</v>
      </c>
      <c r="J4545" s="25">
        <f t="shared" si="2"/>
        <v>445.23</v>
      </c>
      <c r="K4545" s="27">
        <f t="shared" si="3"/>
        <v>1</v>
      </c>
      <c r="L4545" s="25">
        <f t="shared" si="4"/>
        <v>1</v>
      </c>
    </row>
    <row r="4546">
      <c r="A4546" s="19">
        <v>129481.0</v>
      </c>
      <c r="B4546" s="20" t="str">
        <f t="array" ref="B4546">xlookup($A4546,product!$A:$A,product!B:B)</f>
        <v>Epicerie salée</v>
      </c>
      <c r="C4546" s="20" t="str">
        <f t="array" ref="C4546">xlookup($A4546,product!$A:$A,product!C:C)</f>
        <v>Légumes et conserves</v>
      </c>
      <c r="D4546" s="20" t="str">
        <f t="array" ref="D4546">xlookup($A4546,product!$A:$A,product!D:D)</f>
        <v>Légumes en conserve</v>
      </c>
      <c r="E4546" s="4" t="str">
        <f t="shared" si="1"/>
        <v>129481-Légumes et conserves-Légumes en conserve</v>
      </c>
      <c r="F4546" s="4">
        <v>0.0</v>
      </c>
      <c r="G4546" s="4">
        <v>963.0</v>
      </c>
      <c r="H4546" s="4">
        <v>2.0</v>
      </c>
      <c r="I4546" s="21">
        <f t="array" ref="I4546">XLOOKUP($A4546,product!A:A,product!E:E)</f>
        <v>1.24</v>
      </c>
      <c r="J4546" s="4">
        <f t="shared" si="2"/>
        <v>2.48</v>
      </c>
      <c r="K4546" s="22">
        <f t="shared" si="3"/>
        <v>1</v>
      </c>
      <c r="L4546" s="4">
        <f t="shared" si="4"/>
        <v>1</v>
      </c>
    </row>
    <row r="4547">
      <c r="A4547" s="23">
        <v>87455.0</v>
      </c>
      <c r="B4547" s="24" t="str">
        <f t="array" ref="B4547">xlookup($A4547,product!$A:$A,product!B:B)</f>
        <v>Epicerie salée</v>
      </c>
      <c r="C4547" s="24" t="str">
        <f t="array" ref="C4547">xlookup($A4547,product!$A:$A,product!C:C)</f>
        <v>Légumes et conserves</v>
      </c>
      <c r="D4547" s="24" t="str">
        <f t="array" ref="D4547">xlookup($A4547,product!$A:$A,product!D:D)</f>
        <v>Légumes en conserve</v>
      </c>
      <c r="E4547" s="25" t="str">
        <f t="shared" si="1"/>
        <v>87455-Légumes et conserves-Légumes en conserve</v>
      </c>
      <c r="F4547" s="25">
        <v>0.0</v>
      </c>
      <c r="G4547" s="25">
        <v>50.0</v>
      </c>
      <c r="H4547" s="25">
        <v>46.0</v>
      </c>
      <c r="I4547" s="26">
        <f t="array" ref="I4547">XLOOKUP($A4547,product!A:A,product!E:E)</f>
        <v>0.97</v>
      </c>
      <c r="J4547" s="25">
        <f t="shared" si="2"/>
        <v>44.62</v>
      </c>
      <c r="K4547" s="27">
        <f t="shared" si="3"/>
        <v>1</v>
      </c>
      <c r="L4547" s="25">
        <f t="shared" si="4"/>
        <v>1</v>
      </c>
    </row>
    <row r="4548">
      <c r="A4548" s="19">
        <v>120257.0</v>
      </c>
      <c r="B4548" s="20" t="str">
        <f t="array" ref="B4548">xlookup($A4548,product!$A:$A,product!B:B)</f>
        <v>Alimentation Bébé</v>
      </c>
      <c r="C4548" s="20" t="str">
        <f t="array" ref="C4548">xlookup($A4548,product!$A:$A,product!C:C)</f>
        <v>Desserts lactés bébé</v>
      </c>
      <c r="D4548" s="20" t="str">
        <f t="array" ref="D4548">xlookup($A4548,product!$A:$A,product!D:D)</f>
        <v>Desserts lactés bébé 4-6 mois</v>
      </c>
      <c r="E4548" s="4" t="str">
        <f t="shared" si="1"/>
        <v>120257-Desserts lactés bébé-Desserts lactés bébé 4-6 mois</v>
      </c>
      <c r="F4548" s="4">
        <v>1.0</v>
      </c>
      <c r="G4548" s="4">
        <v>378.0</v>
      </c>
      <c r="H4548" s="4">
        <v>166.0</v>
      </c>
      <c r="I4548" s="21">
        <f t="array" ref="I4548">XLOOKUP($A4548,product!A:A,product!E:E)</f>
        <v>1</v>
      </c>
      <c r="J4548" s="4">
        <f t="shared" si="2"/>
        <v>166</v>
      </c>
      <c r="K4548" s="22">
        <f t="shared" si="3"/>
        <v>1</v>
      </c>
      <c r="L4548" s="4">
        <f t="shared" si="4"/>
        <v>1</v>
      </c>
    </row>
    <row r="4549">
      <c r="A4549" s="23">
        <v>122221.0</v>
      </c>
      <c r="B4549" s="24" t="str">
        <f t="array" ref="B4549">xlookup($A4549,product!$A:$A,product!B:B)</f>
        <v>Alimentation Bébé</v>
      </c>
      <c r="C4549" s="24" t="str">
        <f t="array" ref="C4549">xlookup($A4549,product!$A:$A,product!C:C)</f>
        <v>Desserts lactés bébé</v>
      </c>
      <c r="D4549" s="24" t="str">
        <f t="array" ref="D4549">xlookup($A4549,product!$A:$A,product!D:D)</f>
        <v>Desserts lactés bébé 4-6 mois</v>
      </c>
      <c r="E4549" s="25" t="str">
        <f t="shared" si="1"/>
        <v>122221-Desserts lactés bébé-Desserts lactés bébé 4-6 mois</v>
      </c>
      <c r="F4549" s="25">
        <v>0.0</v>
      </c>
      <c r="G4549" s="25">
        <v>466.0</v>
      </c>
      <c r="H4549" s="25">
        <v>190.0</v>
      </c>
      <c r="I4549" s="26">
        <f t="array" ref="I4549">XLOOKUP($A4549,product!A:A,product!E:E)</f>
        <v>2.62</v>
      </c>
      <c r="J4549" s="25">
        <f t="shared" si="2"/>
        <v>497.8</v>
      </c>
      <c r="K4549" s="27">
        <f t="shared" si="3"/>
        <v>1</v>
      </c>
      <c r="L4549" s="25">
        <f t="shared" si="4"/>
        <v>1</v>
      </c>
    </row>
    <row r="4550">
      <c r="A4550" s="19">
        <v>122216.0</v>
      </c>
      <c r="B4550" s="20" t="str">
        <f t="array" ref="B4550">xlookup($A4550,product!$A:$A,product!B:B)</f>
        <v>Alimentation Bébé</v>
      </c>
      <c r="C4550" s="20" t="str">
        <f t="array" ref="C4550">xlookup($A4550,product!$A:$A,product!C:C)</f>
        <v>Desserts lactés bébé</v>
      </c>
      <c r="D4550" s="20" t="str">
        <f t="array" ref="D4550">xlookup($A4550,product!$A:$A,product!D:D)</f>
        <v>Desserts lactés bébé 4-6 mois</v>
      </c>
      <c r="E4550" s="4" t="str">
        <f t="shared" si="1"/>
        <v>122216-Desserts lactés bébé-Desserts lactés bébé 4-6 mois</v>
      </c>
      <c r="F4550" s="4">
        <v>0.0</v>
      </c>
      <c r="G4550" s="4">
        <v>948.0</v>
      </c>
      <c r="H4550" s="4">
        <v>544.0</v>
      </c>
      <c r="I4550" s="21">
        <f t="array" ref="I4550">XLOOKUP($A4550,product!A:A,product!E:E)</f>
        <v>2.29</v>
      </c>
      <c r="J4550" s="4">
        <f t="shared" si="2"/>
        <v>1245.76</v>
      </c>
      <c r="K4550" s="22">
        <f t="shared" si="3"/>
        <v>1</v>
      </c>
      <c r="L4550" s="4">
        <f t="shared" si="4"/>
        <v>1</v>
      </c>
    </row>
    <row r="4551">
      <c r="A4551" s="23">
        <v>140598.0</v>
      </c>
      <c r="B4551" s="24" t="str">
        <f t="array" ref="B4551">xlookup($A4551,product!$A:$A,product!B:B)</f>
        <v>Alimentation Bébé</v>
      </c>
      <c r="C4551" s="24" t="str">
        <f t="array" ref="C4551">xlookup($A4551,product!$A:$A,product!C:C)</f>
        <v>Desserts lactés bébé</v>
      </c>
      <c r="D4551" s="24" t="str">
        <f t="array" ref="D4551">xlookup($A4551,product!$A:$A,product!D:D)</f>
        <v>Desserts lactés bébé 4-6 mois</v>
      </c>
      <c r="E4551" s="25" t="str">
        <f t="shared" si="1"/>
        <v>140598-Desserts lactés bébé-Desserts lactés bébé 4-6 mois</v>
      </c>
      <c r="F4551" s="25">
        <v>0.0</v>
      </c>
      <c r="G4551" s="25">
        <v>444.0</v>
      </c>
      <c r="H4551" s="25">
        <v>425.0</v>
      </c>
      <c r="I4551" s="26">
        <f t="array" ref="I4551">XLOOKUP($A4551,product!A:A,product!E:E)</f>
        <v>1</v>
      </c>
      <c r="J4551" s="25">
        <f t="shared" si="2"/>
        <v>425</v>
      </c>
      <c r="K4551" s="27">
        <f t="shared" si="3"/>
        <v>1</v>
      </c>
      <c r="L4551" s="25">
        <f t="shared" si="4"/>
        <v>1</v>
      </c>
    </row>
    <row r="4552">
      <c r="A4552" s="19">
        <v>112123.0</v>
      </c>
      <c r="B4552" s="20" t="str">
        <f t="array" ref="B4552">xlookup($A4552,product!$A:$A,product!B:B)</f>
        <v>Alimentation Bébé</v>
      </c>
      <c r="C4552" s="20" t="str">
        <f t="array" ref="C4552">xlookup($A4552,product!$A:$A,product!C:C)</f>
        <v>Desserts lactés bébé</v>
      </c>
      <c r="D4552" s="20" t="str">
        <f t="array" ref="D4552">xlookup($A4552,product!$A:$A,product!D:D)</f>
        <v>Desserts lactés bébé 4-6 mois</v>
      </c>
      <c r="E4552" s="4" t="str">
        <f t="shared" si="1"/>
        <v>112123-Desserts lactés bébé-Desserts lactés bébé 4-6 mois</v>
      </c>
      <c r="F4552" s="4">
        <v>0.0</v>
      </c>
      <c r="G4552" s="4">
        <v>190.0</v>
      </c>
      <c r="H4552" s="4">
        <v>29.0</v>
      </c>
      <c r="I4552" s="21">
        <f t="array" ref="I4552">XLOOKUP($A4552,product!A:A,product!E:E)</f>
        <v>3.84</v>
      </c>
      <c r="J4552" s="4">
        <f t="shared" si="2"/>
        <v>111.36</v>
      </c>
      <c r="K4552" s="22">
        <f t="shared" si="3"/>
        <v>1</v>
      </c>
      <c r="L4552" s="4">
        <f t="shared" si="4"/>
        <v>1</v>
      </c>
    </row>
    <row r="4553">
      <c r="A4553" s="23">
        <v>70402.0</v>
      </c>
      <c r="B4553" s="24" t="str">
        <f t="array" ref="B4553">xlookup($A4553,product!$A:$A,product!B:B)</f>
        <v>Alimentation Bébé</v>
      </c>
      <c r="C4553" s="24" t="str">
        <f t="array" ref="C4553">xlookup($A4553,product!$A:$A,product!C:C)</f>
        <v>Desserts lactés bébé</v>
      </c>
      <c r="D4553" s="24" t="str">
        <f t="array" ref="D4553">xlookup($A4553,product!$A:$A,product!D:D)</f>
        <v>Desserts lactés bébé 4-6 mois</v>
      </c>
      <c r="E4553" s="25" t="str">
        <f t="shared" si="1"/>
        <v>70402-Desserts lactés bébé-Desserts lactés bébé 4-6 mois</v>
      </c>
      <c r="F4553" s="25">
        <v>1.0</v>
      </c>
      <c r="G4553" s="25">
        <v>778.0</v>
      </c>
      <c r="H4553" s="25">
        <v>510.0</v>
      </c>
      <c r="I4553" s="26">
        <f t="array" ref="I4553">XLOOKUP($A4553,product!A:A,product!E:E)</f>
        <v>3.11</v>
      </c>
      <c r="J4553" s="25">
        <f t="shared" si="2"/>
        <v>1586.1</v>
      </c>
      <c r="K4553" s="27">
        <f t="shared" si="3"/>
        <v>1</v>
      </c>
      <c r="L4553" s="25">
        <f t="shared" si="4"/>
        <v>1</v>
      </c>
    </row>
    <row r="4554">
      <c r="A4554" s="19">
        <v>119110.0</v>
      </c>
      <c r="B4554" s="20" t="str">
        <f t="array" ref="B4554">xlookup($A4554,product!$A:$A,product!B:B)</f>
        <v>Alimentation Bébé</v>
      </c>
      <c r="C4554" s="20" t="str">
        <f t="array" ref="C4554">xlookup($A4554,product!$A:$A,product!C:C)</f>
        <v>Desserts lactés bébé</v>
      </c>
      <c r="D4554" s="20" t="str">
        <f t="array" ref="D4554">xlookup($A4554,product!$A:$A,product!D:D)</f>
        <v>Desserts lactés bébé 4-6 mois</v>
      </c>
      <c r="E4554" s="4" t="str">
        <f t="shared" si="1"/>
        <v>119110-Desserts lactés bébé-Desserts lactés bébé 4-6 mois</v>
      </c>
      <c r="F4554" s="4">
        <v>1.0</v>
      </c>
      <c r="G4554" s="4">
        <v>786.0</v>
      </c>
      <c r="H4554" s="4">
        <v>430.0</v>
      </c>
      <c r="I4554" s="21">
        <f t="array" ref="I4554">XLOOKUP($A4554,product!A:A,product!E:E)</f>
        <v>3.11</v>
      </c>
      <c r="J4554" s="4">
        <f t="shared" si="2"/>
        <v>1337.3</v>
      </c>
      <c r="K4554" s="22">
        <f t="shared" si="3"/>
        <v>1</v>
      </c>
      <c r="L4554" s="4">
        <f t="shared" si="4"/>
        <v>1</v>
      </c>
    </row>
    <row r="4555">
      <c r="A4555" s="23">
        <v>139295.0</v>
      </c>
      <c r="B4555" s="24" t="str">
        <f t="array" ref="B4555">xlookup($A4555,product!$A:$A,product!B:B)</f>
        <v>Alimentation Bébé</v>
      </c>
      <c r="C4555" s="24" t="str">
        <f t="array" ref="C4555">xlookup($A4555,product!$A:$A,product!C:C)</f>
        <v>Desserts lactés bébé</v>
      </c>
      <c r="D4555" s="24" t="str">
        <f t="array" ref="D4555">xlookup($A4555,product!$A:$A,product!D:D)</f>
        <v>Desserts lactés bébé 4-6 mois</v>
      </c>
      <c r="E4555" s="25" t="str">
        <f t="shared" si="1"/>
        <v>139295-Desserts lactés bébé-Desserts lactés bébé 4-6 mois</v>
      </c>
      <c r="F4555" s="25">
        <v>1.0</v>
      </c>
      <c r="G4555" s="25">
        <v>647.0</v>
      </c>
      <c r="H4555" s="25">
        <v>198.0</v>
      </c>
      <c r="I4555" s="26">
        <f t="array" ref="I4555">XLOOKUP($A4555,product!A:A,product!E:E)</f>
        <v>3.94</v>
      </c>
      <c r="J4555" s="25">
        <f t="shared" si="2"/>
        <v>780.12</v>
      </c>
      <c r="K4555" s="27">
        <f t="shared" si="3"/>
        <v>1</v>
      </c>
      <c r="L4555" s="25">
        <f t="shared" si="4"/>
        <v>1</v>
      </c>
    </row>
    <row r="4556">
      <c r="A4556" s="19">
        <v>71056.0</v>
      </c>
      <c r="B4556" s="20" t="str">
        <f t="array" ref="B4556">xlookup($A4556,product!$A:$A,product!B:B)</f>
        <v>Alimentation Bébé</v>
      </c>
      <c r="C4556" s="20" t="str">
        <f t="array" ref="C4556">xlookup($A4556,product!$A:$A,product!C:C)</f>
        <v>Desserts lactés bébé</v>
      </c>
      <c r="D4556" s="20" t="str">
        <f t="array" ref="D4556">xlookup($A4556,product!$A:$A,product!D:D)</f>
        <v>Desserts lactés bébé 4-6 mois</v>
      </c>
      <c r="E4556" s="4" t="str">
        <f t="shared" si="1"/>
        <v>71056-Desserts lactés bébé-Desserts lactés bébé 4-6 mois</v>
      </c>
      <c r="F4556" s="4">
        <v>0.0</v>
      </c>
      <c r="G4556" s="4">
        <v>472.0</v>
      </c>
      <c r="H4556" s="4">
        <v>8.0</v>
      </c>
      <c r="I4556" s="21">
        <f t="array" ref="I4556">XLOOKUP($A4556,product!A:A,product!E:E)</f>
        <v>1</v>
      </c>
      <c r="J4556" s="4">
        <f t="shared" si="2"/>
        <v>8</v>
      </c>
      <c r="K4556" s="22">
        <f t="shared" si="3"/>
        <v>1</v>
      </c>
      <c r="L4556" s="4">
        <f t="shared" si="4"/>
        <v>1</v>
      </c>
    </row>
    <row r="4557">
      <c r="A4557" s="23">
        <v>122218.0</v>
      </c>
      <c r="B4557" s="24" t="str">
        <f t="array" ref="B4557">xlookup($A4557,product!$A:$A,product!B:B)</f>
        <v>Alimentation Bébé</v>
      </c>
      <c r="C4557" s="24" t="str">
        <f t="array" ref="C4557">xlookup($A4557,product!$A:$A,product!C:C)</f>
        <v>Desserts lactés bébé</v>
      </c>
      <c r="D4557" s="24" t="str">
        <f t="array" ref="D4557">xlookup($A4557,product!$A:$A,product!D:D)</f>
        <v>Desserts lactés bébé 4-6 mois</v>
      </c>
      <c r="E4557" s="25" t="str">
        <f t="shared" si="1"/>
        <v>122218-Desserts lactés bébé-Desserts lactés bébé 4-6 mois</v>
      </c>
      <c r="F4557" s="25">
        <v>0.0</v>
      </c>
      <c r="G4557" s="25">
        <v>156.0</v>
      </c>
      <c r="H4557" s="25">
        <v>68.0</v>
      </c>
      <c r="I4557" s="26">
        <f t="array" ref="I4557">XLOOKUP($A4557,product!A:A,product!E:E)</f>
        <v>2</v>
      </c>
      <c r="J4557" s="25">
        <f t="shared" si="2"/>
        <v>136</v>
      </c>
      <c r="K4557" s="27">
        <f t="shared" si="3"/>
        <v>1</v>
      </c>
      <c r="L4557" s="25">
        <f t="shared" si="4"/>
        <v>1</v>
      </c>
    </row>
    <row r="4558">
      <c r="A4558" s="19">
        <v>122217.0</v>
      </c>
      <c r="B4558" s="20" t="str">
        <f t="array" ref="B4558">xlookup($A4558,product!$A:$A,product!B:B)</f>
        <v>Alimentation Bébé</v>
      </c>
      <c r="C4558" s="20" t="str">
        <f t="array" ref="C4558">xlookup($A4558,product!$A:$A,product!C:C)</f>
        <v>Desserts lactés bébé</v>
      </c>
      <c r="D4558" s="20" t="str">
        <f t="array" ref="D4558">xlookup($A4558,product!$A:$A,product!D:D)</f>
        <v>Desserts lactés bébé 4-6 mois</v>
      </c>
      <c r="E4558" s="4" t="str">
        <f t="shared" si="1"/>
        <v>122217-Desserts lactés bébé-Desserts lactés bébé 4-6 mois</v>
      </c>
      <c r="F4558" s="4">
        <v>0.0</v>
      </c>
      <c r="G4558" s="4">
        <v>748.0</v>
      </c>
      <c r="H4558" s="4">
        <v>370.0</v>
      </c>
      <c r="I4558" s="21">
        <f t="array" ref="I4558">XLOOKUP($A4558,product!A:A,product!E:E)</f>
        <v>2.29</v>
      </c>
      <c r="J4558" s="4">
        <f t="shared" si="2"/>
        <v>847.3</v>
      </c>
      <c r="K4558" s="22">
        <f t="shared" si="3"/>
        <v>1</v>
      </c>
      <c r="L4558" s="4">
        <f t="shared" si="4"/>
        <v>1</v>
      </c>
    </row>
    <row r="4559">
      <c r="A4559" s="23">
        <v>119119.0</v>
      </c>
      <c r="B4559" s="24" t="str">
        <f t="array" ref="B4559">xlookup($A4559,product!$A:$A,product!B:B)</f>
        <v>Alimentation Bébé</v>
      </c>
      <c r="C4559" s="24" t="str">
        <f t="array" ref="C4559">xlookup($A4559,product!$A:$A,product!C:C)</f>
        <v>Desserts lactés bébé</v>
      </c>
      <c r="D4559" s="24" t="str">
        <f t="array" ref="D4559">xlookup($A4559,product!$A:$A,product!D:D)</f>
        <v>Desserts lactés bébé 4-6 mois</v>
      </c>
      <c r="E4559" s="25" t="str">
        <f t="shared" si="1"/>
        <v>119119-Desserts lactés bébé-Desserts lactés bébé 4-6 mois</v>
      </c>
      <c r="F4559" s="25">
        <v>0.0</v>
      </c>
      <c r="G4559" s="25">
        <v>36.0</v>
      </c>
      <c r="H4559" s="25">
        <v>5.0</v>
      </c>
      <c r="I4559" s="26">
        <f t="array" ref="I4559">XLOOKUP($A4559,product!A:A,product!E:E)</f>
        <v>3.84</v>
      </c>
      <c r="J4559" s="25">
        <f t="shared" si="2"/>
        <v>19.2</v>
      </c>
      <c r="K4559" s="27">
        <f t="shared" si="3"/>
        <v>1</v>
      </c>
      <c r="L4559" s="25">
        <f t="shared" si="4"/>
        <v>1</v>
      </c>
    </row>
    <row r="4560">
      <c r="A4560" s="19">
        <v>46933.0</v>
      </c>
      <c r="B4560" s="20" t="str">
        <f t="array" ref="B4560">xlookup($A4560,product!$A:$A,product!B:B)</f>
        <v>Alimentation Bébé</v>
      </c>
      <c r="C4560" s="20" t="str">
        <f t="array" ref="C4560">xlookup($A4560,product!$A:$A,product!C:C)</f>
        <v>Desserts lactés bébé</v>
      </c>
      <c r="D4560" s="20" t="str">
        <f t="array" ref="D4560">xlookup($A4560,product!$A:$A,product!D:D)</f>
        <v>Desserts lactés bébé 4-6 mois</v>
      </c>
      <c r="E4560" s="4" t="str">
        <f t="shared" si="1"/>
        <v>46933-Desserts lactés bébé-Desserts lactés bébé 4-6 mois</v>
      </c>
      <c r="F4560" s="4">
        <v>0.0</v>
      </c>
      <c r="G4560" s="4">
        <v>865.0</v>
      </c>
      <c r="H4560" s="4">
        <v>300.0</v>
      </c>
      <c r="I4560" s="21">
        <f t="array" ref="I4560">XLOOKUP($A4560,product!A:A,product!E:E)</f>
        <v>1.92</v>
      </c>
      <c r="J4560" s="4">
        <f t="shared" si="2"/>
        <v>576</v>
      </c>
      <c r="K4560" s="22">
        <f t="shared" si="3"/>
        <v>1</v>
      </c>
      <c r="L4560" s="4">
        <f t="shared" si="4"/>
        <v>1</v>
      </c>
    </row>
    <row r="4561">
      <c r="A4561" s="23">
        <v>119118.0</v>
      </c>
      <c r="B4561" s="24" t="str">
        <f t="array" ref="B4561">xlookup($A4561,product!$A:$A,product!B:B)</f>
        <v>Alimentation Bébé</v>
      </c>
      <c r="C4561" s="24" t="str">
        <f t="array" ref="C4561">xlookup($A4561,product!$A:$A,product!C:C)</f>
        <v>Desserts lactés bébé</v>
      </c>
      <c r="D4561" s="24" t="str">
        <f t="array" ref="D4561">xlookup($A4561,product!$A:$A,product!D:D)</f>
        <v>Desserts lactés bébé 4-6 mois</v>
      </c>
      <c r="E4561" s="25" t="str">
        <f t="shared" si="1"/>
        <v>119118-Desserts lactés bébé-Desserts lactés bébé 4-6 mois</v>
      </c>
      <c r="F4561" s="25">
        <v>1.0</v>
      </c>
      <c r="G4561" s="25">
        <v>338.0</v>
      </c>
      <c r="H4561" s="25">
        <v>42.0</v>
      </c>
      <c r="I4561" s="26">
        <f t="array" ref="I4561">XLOOKUP($A4561,product!A:A,product!E:E)</f>
        <v>4.62</v>
      </c>
      <c r="J4561" s="25">
        <f t="shared" si="2"/>
        <v>194.04</v>
      </c>
      <c r="K4561" s="27">
        <f t="shared" si="3"/>
        <v>1</v>
      </c>
      <c r="L4561" s="25">
        <f t="shared" si="4"/>
        <v>1</v>
      </c>
    </row>
    <row r="4562">
      <c r="A4562" s="19">
        <v>41035.0</v>
      </c>
      <c r="B4562" s="20" t="str">
        <f t="array" ref="B4562">xlookup($A4562,product!$A:$A,product!B:B)</f>
        <v>Alimentation Bébé</v>
      </c>
      <c r="C4562" s="20" t="str">
        <f t="array" ref="C4562">xlookup($A4562,product!$A:$A,product!C:C)</f>
        <v>Desserts lactés bébé</v>
      </c>
      <c r="D4562" s="20" t="str">
        <f t="array" ref="D4562">xlookup($A4562,product!$A:$A,product!D:D)</f>
        <v>Desserts lactés bébé 4-6 mois</v>
      </c>
      <c r="E4562" s="4" t="str">
        <f t="shared" si="1"/>
        <v>41035-Desserts lactés bébé-Desserts lactés bébé 4-6 mois</v>
      </c>
      <c r="F4562" s="4">
        <v>1.0</v>
      </c>
      <c r="G4562" s="4">
        <v>570.0</v>
      </c>
      <c r="H4562" s="4">
        <v>170.0</v>
      </c>
      <c r="I4562" s="21">
        <f t="array" ref="I4562">XLOOKUP($A4562,product!A:A,product!E:E)</f>
        <v>1.92</v>
      </c>
      <c r="J4562" s="4">
        <f t="shared" si="2"/>
        <v>326.4</v>
      </c>
      <c r="K4562" s="22">
        <f t="shared" si="3"/>
        <v>1</v>
      </c>
      <c r="L4562" s="4">
        <f t="shared" si="4"/>
        <v>1</v>
      </c>
    </row>
    <row r="4563">
      <c r="A4563" s="23">
        <v>139303.0</v>
      </c>
      <c r="B4563" s="24" t="str">
        <f t="array" ref="B4563">xlookup($A4563,product!$A:$A,product!B:B)</f>
        <v>Alimentation Bébé</v>
      </c>
      <c r="C4563" s="24" t="str">
        <f t="array" ref="C4563">xlookup($A4563,product!$A:$A,product!C:C)</f>
        <v>Desserts lactés bébé</v>
      </c>
      <c r="D4563" s="24" t="str">
        <f t="array" ref="D4563">xlookup($A4563,product!$A:$A,product!D:D)</f>
        <v>Desserts lactés bébé 4-6 mois</v>
      </c>
      <c r="E4563" s="25" t="str">
        <f t="shared" si="1"/>
        <v>139303-Desserts lactés bébé-Desserts lactés bébé 4-6 mois</v>
      </c>
      <c r="F4563" s="25">
        <v>1.0</v>
      </c>
      <c r="G4563" s="25">
        <v>530.0</v>
      </c>
      <c r="H4563" s="25">
        <v>100.0</v>
      </c>
      <c r="I4563" s="26">
        <f t="array" ref="I4563">XLOOKUP($A4563,product!A:A,product!E:E)</f>
        <v>3.94</v>
      </c>
      <c r="J4563" s="25">
        <f t="shared" si="2"/>
        <v>394</v>
      </c>
      <c r="K4563" s="27">
        <f t="shared" si="3"/>
        <v>1</v>
      </c>
      <c r="L4563" s="25">
        <f t="shared" si="4"/>
        <v>1</v>
      </c>
    </row>
    <row r="4564">
      <c r="A4564" s="19">
        <v>101784.0</v>
      </c>
      <c r="B4564" s="20" t="str">
        <f t="array" ref="B4564">xlookup($A4564,product!$A:$A,product!B:B)</f>
        <v>Alimentation Bébé</v>
      </c>
      <c r="C4564" s="20" t="str">
        <f t="array" ref="C4564">xlookup($A4564,product!$A:$A,product!C:C)</f>
        <v>Desserts lactés bébé</v>
      </c>
      <c r="D4564" s="20" t="str">
        <f t="array" ref="D4564">xlookup($A4564,product!$A:$A,product!D:D)</f>
        <v>Desserts lactés bébé 4-6 mois</v>
      </c>
      <c r="E4564" s="4" t="str">
        <f t="shared" si="1"/>
        <v>101784-Desserts lactés bébé-Desserts lactés bébé 4-6 mois</v>
      </c>
      <c r="F4564" s="4">
        <v>0.0</v>
      </c>
      <c r="G4564" s="4">
        <v>669.0</v>
      </c>
      <c r="H4564" s="4">
        <v>172.0</v>
      </c>
      <c r="I4564" s="21">
        <f t="array" ref="I4564">XLOOKUP($A4564,product!A:A,product!E:E)</f>
        <v>1</v>
      </c>
      <c r="J4564" s="4">
        <f t="shared" si="2"/>
        <v>172</v>
      </c>
      <c r="K4564" s="22">
        <f t="shared" si="3"/>
        <v>1</v>
      </c>
      <c r="L4564" s="4">
        <f t="shared" si="4"/>
        <v>1</v>
      </c>
    </row>
    <row r="4565">
      <c r="A4565" s="23">
        <v>122219.0</v>
      </c>
      <c r="B4565" s="24" t="str">
        <f t="array" ref="B4565">xlookup($A4565,product!$A:$A,product!B:B)</f>
        <v>Alimentation Bébé</v>
      </c>
      <c r="C4565" s="24" t="str">
        <f t="array" ref="C4565">xlookup($A4565,product!$A:$A,product!C:C)</f>
        <v>Desserts lactés bébé</v>
      </c>
      <c r="D4565" s="24" t="str">
        <f t="array" ref="D4565">xlookup($A4565,product!$A:$A,product!D:D)</f>
        <v>Desserts lactés bébé 4-6 mois</v>
      </c>
      <c r="E4565" s="25" t="str">
        <f t="shared" si="1"/>
        <v>122219-Desserts lactés bébé-Desserts lactés bébé 4-6 mois</v>
      </c>
      <c r="F4565" s="25">
        <v>0.0</v>
      </c>
      <c r="G4565" s="25">
        <v>95.0</v>
      </c>
      <c r="H4565" s="25">
        <v>8.0</v>
      </c>
      <c r="I4565" s="26">
        <f t="array" ref="I4565">XLOOKUP($A4565,product!A:A,product!E:E)</f>
        <v>2.62</v>
      </c>
      <c r="J4565" s="25">
        <f t="shared" si="2"/>
        <v>20.96</v>
      </c>
      <c r="K4565" s="27">
        <f t="shared" si="3"/>
        <v>1</v>
      </c>
      <c r="L4565" s="25">
        <f t="shared" si="4"/>
        <v>1</v>
      </c>
    </row>
    <row r="4566">
      <c r="A4566" s="19">
        <v>122215.0</v>
      </c>
      <c r="B4566" s="20" t="str">
        <f t="array" ref="B4566">xlookup($A4566,product!$A:$A,product!B:B)</f>
        <v>Alimentation Bébé</v>
      </c>
      <c r="C4566" s="20" t="str">
        <f t="array" ref="C4566">xlookup($A4566,product!$A:$A,product!C:C)</f>
        <v>Desserts lactés bébé</v>
      </c>
      <c r="D4566" s="20" t="str">
        <f t="array" ref="D4566">xlookup($A4566,product!$A:$A,product!D:D)</f>
        <v>Desserts lactés bébé 4-6 mois</v>
      </c>
      <c r="E4566" s="4" t="str">
        <f t="shared" si="1"/>
        <v>122215-Desserts lactés bébé-Desserts lactés bébé 4-6 mois</v>
      </c>
      <c r="F4566" s="4">
        <v>1.0</v>
      </c>
      <c r="G4566" s="4">
        <v>780.0</v>
      </c>
      <c r="H4566" s="4">
        <v>251.0</v>
      </c>
      <c r="I4566" s="21">
        <f t="array" ref="I4566">XLOOKUP($A4566,product!A:A,product!E:E)</f>
        <v>2.17</v>
      </c>
      <c r="J4566" s="4">
        <f t="shared" si="2"/>
        <v>544.67</v>
      </c>
      <c r="K4566" s="22">
        <f t="shared" si="3"/>
        <v>1</v>
      </c>
      <c r="L4566" s="4">
        <f t="shared" si="4"/>
        <v>1</v>
      </c>
    </row>
    <row r="4567">
      <c r="A4567" s="23">
        <v>111154.0</v>
      </c>
      <c r="B4567" s="24" t="str">
        <f t="array" ref="B4567">xlookup($A4567,product!$A:$A,product!B:B)</f>
        <v>Alimentation Bébé</v>
      </c>
      <c r="C4567" s="24" t="str">
        <f t="array" ref="C4567">xlookup($A4567,product!$A:$A,product!C:C)</f>
        <v>Desserts lactés bébé</v>
      </c>
      <c r="D4567" s="24" t="str">
        <f t="array" ref="D4567">xlookup($A4567,product!$A:$A,product!D:D)</f>
        <v>Desserts lactés bébé 4-6 mois</v>
      </c>
      <c r="E4567" s="25" t="str">
        <f t="shared" si="1"/>
        <v>111154-Desserts lactés bébé-Desserts lactés bébé 4-6 mois</v>
      </c>
      <c r="F4567" s="25">
        <v>1.0</v>
      </c>
      <c r="G4567" s="25">
        <v>240.0</v>
      </c>
      <c r="H4567" s="25">
        <v>135.0</v>
      </c>
      <c r="I4567" s="26">
        <f t="array" ref="I4567">XLOOKUP($A4567,product!A:A,product!E:E)</f>
        <v>4.62</v>
      </c>
      <c r="J4567" s="25">
        <f t="shared" si="2"/>
        <v>623.7</v>
      </c>
      <c r="K4567" s="27">
        <f t="shared" si="3"/>
        <v>1</v>
      </c>
      <c r="L4567" s="25">
        <f t="shared" si="4"/>
        <v>1</v>
      </c>
    </row>
    <row r="4568">
      <c r="A4568" s="19">
        <v>119117.0</v>
      </c>
      <c r="B4568" s="20" t="str">
        <f t="array" ref="B4568">xlookup($A4568,product!$A:$A,product!B:B)</f>
        <v>Alimentation Bébé</v>
      </c>
      <c r="C4568" s="20" t="str">
        <f t="array" ref="C4568">xlookup($A4568,product!$A:$A,product!C:C)</f>
        <v>Desserts lactés bébé</v>
      </c>
      <c r="D4568" s="20" t="str">
        <f t="array" ref="D4568">xlookup($A4568,product!$A:$A,product!D:D)</f>
        <v>Desserts lactés bébé 4-6 mois</v>
      </c>
      <c r="E4568" s="4" t="str">
        <f t="shared" si="1"/>
        <v>119117-Desserts lactés bébé-Desserts lactés bébé 4-6 mois</v>
      </c>
      <c r="F4568" s="4">
        <v>0.0</v>
      </c>
      <c r="G4568" s="4">
        <v>654.0</v>
      </c>
      <c r="H4568" s="4">
        <v>202.0</v>
      </c>
      <c r="I4568" s="21">
        <f t="array" ref="I4568">XLOOKUP($A4568,product!A:A,product!E:E)</f>
        <v>4.62</v>
      </c>
      <c r="J4568" s="4">
        <f t="shared" si="2"/>
        <v>933.24</v>
      </c>
      <c r="K4568" s="22">
        <f t="shared" si="3"/>
        <v>1</v>
      </c>
      <c r="L4568" s="4">
        <f t="shared" si="4"/>
        <v>1</v>
      </c>
    </row>
    <row r="4569">
      <c r="A4569" s="23">
        <v>20419.0</v>
      </c>
      <c r="B4569" s="24" t="str">
        <f t="array" ref="B4569">xlookup($A4569,product!$A:$A,product!B:B)</f>
        <v>Alimentation Bébé</v>
      </c>
      <c r="C4569" s="24" t="str">
        <f t="array" ref="C4569">xlookup($A4569,product!$A:$A,product!C:C)</f>
        <v>Desserts lactés bébé</v>
      </c>
      <c r="D4569" s="24" t="str">
        <f t="array" ref="D4569">xlookup($A4569,product!$A:$A,product!D:D)</f>
        <v>Desserts lactés bébé 4-6 mois</v>
      </c>
      <c r="E4569" s="25" t="str">
        <f t="shared" si="1"/>
        <v>20419-Desserts lactés bébé-Desserts lactés bébé 4-6 mois</v>
      </c>
      <c r="F4569" s="25">
        <v>1.0</v>
      </c>
      <c r="G4569" s="25">
        <v>898.0</v>
      </c>
      <c r="H4569" s="25">
        <v>361.0</v>
      </c>
      <c r="I4569" s="26">
        <f t="array" ref="I4569">XLOOKUP($A4569,product!A:A,product!E:E)</f>
        <v>1.92</v>
      </c>
      <c r="J4569" s="25">
        <f t="shared" si="2"/>
        <v>693.12</v>
      </c>
      <c r="K4569" s="27">
        <f t="shared" si="3"/>
        <v>1</v>
      </c>
      <c r="L4569" s="25">
        <f t="shared" si="4"/>
        <v>1</v>
      </c>
    </row>
    <row r="4570">
      <c r="A4570" s="19">
        <v>122220.0</v>
      </c>
      <c r="B4570" s="20" t="str">
        <f t="array" ref="B4570">xlookup($A4570,product!$A:$A,product!B:B)</f>
        <v>Alimentation Bébé</v>
      </c>
      <c r="C4570" s="20" t="str">
        <f t="array" ref="C4570">xlookup($A4570,product!$A:$A,product!C:C)</f>
        <v>Desserts lactés bébé</v>
      </c>
      <c r="D4570" s="20" t="str">
        <f t="array" ref="D4570">xlookup($A4570,product!$A:$A,product!D:D)</f>
        <v>Desserts lactés bébé 4-6 mois</v>
      </c>
      <c r="E4570" s="4" t="str">
        <f t="shared" si="1"/>
        <v>122220-Desserts lactés bébé-Desserts lactés bébé 4-6 mois</v>
      </c>
      <c r="F4570" s="4">
        <v>1.0</v>
      </c>
      <c r="G4570" s="4">
        <v>915.0</v>
      </c>
      <c r="H4570" s="4">
        <v>571.0</v>
      </c>
      <c r="I4570" s="21">
        <f t="array" ref="I4570">XLOOKUP($A4570,product!A:A,product!E:E)</f>
        <v>2.62</v>
      </c>
      <c r="J4570" s="4">
        <f t="shared" si="2"/>
        <v>1496.02</v>
      </c>
      <c r="K4570" s="22">
        <f t="shared" si="3"/>
        <v>1</v>
      </c>
      <c r="L4570" s="4">
        <f t="shared" si="4"/>
        <v>1</v>
      </c>
    </row>
    <row r="4571">
      <c r="A4571" s="23">
        <v>122214.0</v>
      </c>
      <c r="B4571" s="24" t="str">
        <f t="array" ref="B4571">xlookup($A4571,product!$A:$A,product!B:B)</f>
        <v>Alimentation Bébé</v>
      </c>
      <c r="C4571" s="24" t="str">
        <f t="array" ref="C4571">xlookup($A4571,product!$A:$A,product!C:C)</f>
        <v>Desserts lactés bébé</v>
      </c>
      <c r="D4571" s="24" t="str">
        <f t="array" ref="D4571">xlookup($A4571,product!$A:$A,product!D:D)</f>
        <v>Desserts lactés bébé 4-6 mois</v>
      </c>
      <c r="E4571" s="25" t="str">
        <f t="shared" si="1"/>
        <v>122214-Desserts lactés bébé-Desserts lactés bébé 4-6 mois</v>
      </c>
      <c r="F4571" s="25">
        <v>1.0</v>
      </c>
      <c r="G4571" s="25">
        <v>104.0</v>
      </c>
      <c r="H4571" s="25">
        <v>70.0</v>
      </c>
      <c r="I4571" s="26">
        <f t="array" ref="I4571">XLOOKUP($A4571,product!A:A,product!E:E)</f>
        <v>2.62</v>
      </c>
      <c r="J4571" s="25">
        <f t="shared" si="2"/>
        <v>183.4</v>
      </c>
      <c r="K4571" s="27">
        <f t="shared" si="3"/>
        <v>1</v>
      </c>
      <c r="L4571" s="25">
        <f t="shared" si="4"/>
        <v>1</v>
      </c>
    </row>
    <row r="4572">
      <c r="A4572" s="19">
        <v>46936.0</v>
      </c>
      <c r="B4572" s="20" t="str">
        <f t="array" ref="B4572">xlookup($A4572,product!$A:$A,product!B:B)</f>
        <v>Alimentation Bébé</v>
      </c>
      <c r="C4572" s="20" t="str">
        <f t="array" ref="C4572">xlookup($A4572,product!$A:$A,product!C:C)</f>
        <v>Desserts lactés bébé</v>
      </c>
      <c r="D4572" s="20" t="str">
        <f t="array" ref="D4572">xlookup($A4572,product!$A:$A,product!D:D)</f>
        <v>Desserts lactés bébé 4-6 mois</v>
      </c>
      <c r="E4572" s="4" t="str">
        <f t="shared" si="1"/>
        <v>46936-Desserts lactés bébé-Desserts lactés bébé 4-6 mois</v>
      </c>
      <c r="F4572" s="4">
        <v>1.0</v>
      </c>
      <c r="G4572" s="4">
        <v>659.0</v>
      </c>
      <c r="H4572" s="4">
        <v>339.0</v>
      </c>
      <c r="I4572" s="21">
        <f t="array" ref="I4572">XLOOKUP($A4572,product!A:A,product!E:E)</f>
        <v>1.92</v>
      </c>
      <c r="J4572" s="4">
        <f t="shared" si="2"/>
        <v>650.88</v>
      </c>
      <c r="K4572" s="22">
        <f t="shared" si="3"/>
        <v>1</v>
      </c>
      <c r="L4572" s="4">
        <f t="shared" si="4"/>
        <v>1</v>
      </c>
    </row>
    <row r="4573">
      <c r="A4573" s="23">
        <v>112122.0</v>
      </c>
      <c r="B4573" s="24" t="str">
        <f t="array" ref="B4573">xlookup($A4573,product!$A:$A,product!B:B)</f>
        <v>Alimentation Bébé</v>
      </c>
      <c r="C4573" s="24" t="str">
        <f t="array" ref="C4573">xlookup($A4573,product!$A:$A,product!C:C)</f>
        <v>Desserts lactés bébé</v>
      </c>
      <c r="D4573" s="24" t="str">
        <f t="array" ref="D4573">xlookup($A4573,product!$A:$A,product!D:D)</f>
        <v>Desserts lactés bébé 4-6 mois</v>
      </c>
      <c r="E4573" s="25" t="str">
        <f t="shared" si="1"/>
        <v>112122-Desserts lactés bébé-Desserts lactés bébé 4-6 mois</v>
      </c>
      <c r="F4573" s="25">
        <v>1.0</v>
      </c>
      <c r="G4573" s="25">
        <v>215.0</v>
      </c>
      <c r="H4573" s="25">
        <v>209.0</v>
      </c>
      <c r="I4573" s="26">
        <f t="array" ref="I4573">XLOOKUP($A4573,product!A:A,product!E:E)</f>
        <v>3.84</v>
      </c>
      <c r="J4573" s="25">
        <f t="shared" si="2"/>
        <v>802.56</v>
      </c>
      <c r="K4573" s="27">
        <f t="shared" si="3"/>
        <v>1</v>
      </c>
      <c r="L4573" s="25">
        <f t="shared" si="4"/>
        <v>1</v>
      </c>
    </row>
    <row r="4574">
      <c r="A4574" s="19">
        <v>71055.0</v>
      </c>
      <c r="B4574" s="20" t="str">
        <f t="array" ref="B4574">xlookup($A4574,product!$A:$A,product!B:B)</f>
        <v>Alimentation Bébé</v>
      </c>
      <c r="C4574" s="20" t="str">
        <f t="array" ref="C4574">xlookup($A4574,product!$A:$A,product!C:C)</f>
        <v>Desserts lactés bébé</v>
      </c>
      <c r="D4574" s="20" t="str">
        <f t="array" ref="D4574">xlookup($A4574,product!$A:$A,product!D:D)</f>
        <v>Desserts lactés bébé 4-6 mois</v>
      </c>
      <c r="E4574" s="4" t="str">
        <f t="shared" si="1"/>
        <v>71055-Desserts lactés bébé-Desserts lactés bébé 4-6 mois</v>
      </c>
      <c r="F4574" s="4">
        <v>1.0</v>
      </c>
      <c r="G4574" s="4">
        <v>232.0</v>
      </c>
      <c r="H4574" s="4">
        <v>189.0</v>
      </c>
      <c r="I4574" s="21">
        <f t="array" ref="I4574">XLOOKUP($A4574,product!A:A,product!E:E)</f>
        <v>1</v>
      </c>
      <c r="J4574" s="4">
        <f t="shared" si="2"/>
        <v>189</v>
      </c>
      <c r="K4574" s="22">
        <f t="shared" si="3"/>
        <v>1</v>
      </c>
      <c r="L4574" s="4">
        <f t="shared" si="4"/>
        <v>1</v>
      </c>
    </row>
    <row r="4575">
      <c r="A4575" s="23">
        <v>41034.0</v>
      </c>
      <c r="B4575" s="24" t="str">
        <f t="array" ref="B4575">xlookup($A4575,product!$A:$A,product!B:B)</f>
        <v>Alimentation Bébé</v>
      </c>
      <c r="C4575" s="24" t="str">
        <f t="array" ref="C4575">xlookup($A4575,product!$A:$A,product!C:C)</f>
        <v>Desserts lactés bébé</v>
      </c>
      <c r="D4575" s="24" t="str">
        <f t="array" ref="D4575">xlookup($A4575,product!$A:$A,product!D:D)</f>
        <v>Desserts lactés bébé 4-6 mois</v>
      </c>
      <c r="E4575" s="25" t="str">
        <f t="shared" si="1"/>
        <v>41034-Desserts lactés bébé-Desserts lactés bébé 4-6 mois</v>
      </c>
      <c r="F4575" s="25">
        <v>0.0</v>
      </c>
      <c r="G4575" s="25">
        <v>979.0</v>
      </c>
      <c r="H4575" s="25">
        <v>680.0</v>
      </c>
      <c r="I4575" s="26">
        <f t="array" ref="I4575">XLOOKUP($A4575,product!A:A,product!E:E)</f>
        <v>1.92</v>
      </c>
      <c r="J4575" s="25">
        <f t="shared" si="2"/>
        <v>1305.6</v>
      </c>
      <c r="K4575" s="27">
        <f t="shared" si="3"/>
        <v>1</v>
      </c>
      <c r="L4575" s="25">
        <f t="shared" si="4"/>
        <v>1</v>
      </c>
    </row>
    <row r="4576">
      <c r="A4576" s="19">
        <v>111153.0</v>
      </c>
      <c r="B4576" s="20" t="str">
        <f t="array" ref="B4576">xlookup($A4576,product!$A:$A,product!B:B)</f>
        <v>Alimentation Bébé</v>
      </c>
      <c r="C4576" s="20" t="str">
        <f t="array" ref="C4576">xlookup($A4576,product!$A:$A,product!C:C)</f>
        <v>Desserts lactés bébé</v>
      </c>
      <c r="D4576" s="20" t="str">
        <f t="array" ref="D4576">xlookup($A4576,product!$A:$A,product!D:D)</f>
        <v>Desserts lactés bébé 4-6 mois</v>
      </c>
      <c r="E4576" s="4" t="str">
        <f t="shared" si="1"/>
        <v>111153-Desserts lactés bébé-Desserts lactés bébé 4-6 mois</v>
      </c>
      <c r="F4576" s="4">
        <v>1.0</v>
      </c>
      <c r="G4576" s="4">
        <v>793.0</v>
      </c>
      <c r="H4576" s="4">
        <v>115.0</v>
      </c>
      <c r="I4576" s="21">
        <f t="array" ref="I4576">XLOOKUP($A4576,product!A:A,product!E:E)</f>
        <v>4.62</v>
      </c>
      <c r="J4576" s="4">
        <f t="shared" si="2"/>
        <v>531.3</v>
      </c>
      <c r="K4576" s="22">
        <f t="shared" si="3"/>
        <v>1</v>
      </c>
      <c r="L4576" s="4">
        <f t="shared" si="4"/>
        <v>1</v>
      </c>
    </row>
    <row r="4577">
      <c r="A4577" s="23">
        <v>119120.0</v>
      </c>
      <c r="B4577" s="24" t="str">
        <f t="array" ref="B4577">xlookup($A4577,product!$A:$A,product!B:B)</f>
        <v>Alimentation Bébé</v>
      </c>
      <c r="C4577" s="24" t="str">
        <f t="array" ref="C4577">xlookup($A4577,product!$A:$A,product!C:C)</f>
        <v>Desserts lactés bébé</v>
      </c>
      <c r="D4577" s="24" t="str">
        <f t="array" ref="D4577">xlookup($A4577,product!$A:$A,product!D:D)</f>
        <v>Desserts lactés bébé 4-6 mois</v>
      </c>
      <c r="E4577" s="25" t="str">
        <f t="shared" si="1"/>
        <v>119120-Desserts lactés bébé-Desserts lactés bébé 4-6 mois</v>
      </c>
      <c r="F4577" s="25">
        <v>0.0</v>
      </c>
      <c r="G4577" s="25">
        <v>525.0</v>
      </c>
      <c r="H4577" s="25">
        <v>142.0</v>
      </c>
      <c r="I4577" s="26">
        <f t="array" ref="I4577">XLOOKUP($A4577,product!A:A,product!E:E)</f>
        <v>3.84</v>
      </c>
      <c r="J4577" s="25">
        <f t="shared" si="2"/>
        <v>545.28</v>
      </c>
      <c r="K4577" s="27">
        <f t="shared" si="3"/>
        <v>1</v>
      </c>
      <c r="L4577" s="25">
        <f t="shared" si="4"/>
        <v>1</v>
      </c>
    </row>
    <row r="4578">
      <c r="A4578" s="19">
        <v>139297.0</v>
      </c>
      <c r="B4578" s="20" t="str">
        <f t="array" ref="B4578">xlookup($A4578,product!$A:$A,product!B:B)</f>
        <v>Alimentation Bébé</v>
      </c>
      <c r="C4578" s="20" t="str">
        <f t="array" ref="C4578">xlookup($A4578,product!$A:$A,product!C:C)</f>
        <v>Desserts lactés bébé</v>
      </c>
      <c r="D4578" s="20" t="str">
        <f t="array" ref="D4578">xlookup($A4578,product!$A:$A,product!D:D)</f>
        <v>Desserts lactés bébé 8-12 mois</v>
      </c>
      <c r="E4578" s="4" t="str">
        <f t="shared" si="1"/>
        <v>139297-Desserts lactés bébé-Desserts lactés bébé 8-12 mois</v>
      </c>
      <c r="F4578" s="4">
        <v>1.0</v>
      </c>
      <c r="G4578" s="4">
        <v>673.0</v>
      </c>
      <c r="H4578" s="4">
        <v>263.0</v>
      </c>
      <c r="I4578" s="21">
        <f t="array" ref="I4578">XLOOKUP($A4578,product!A:A,product!E:E)</f>
        <v>3.86</v>
      </c>
      <c r="J4578" s="4">
        <f t="shared" si="2"/>
        <v>1015.18</v>
      </c>
      <c r="K4578" s="22">
        <f t="shared" si="3"/>
        <v>1</v>
      </c>
      <c r="L4578" s="4">
        <f t="shared" si="4"/>
        <v>1</v>
      </c>
    </row>
    <row r="4579">
      <c r="A4579" s="23">
        <v>48476.0</v>
      </c>
      <c r="B4579" s="24" t="str">
        <f t="array" ref="B4579">xlookup($A4579,product!$A:$A,product!B:B)</f>
        <v>Alimentation Bébé</v>
      </c>
      <c r="C4579" s="24" t="str">
        <f t="array" ref="C4579">xlookup($A4579,product!$A:$A,product!C:C)</f>
        <v>Desserts lactés bébé</v>
      </c>
      <c r="D4579" s="24" t="str">
        <f t="array" ref="D4579">xlookup($A4579,product!$A:$A,product!D:D)</f>
        <v>Desserts lactés bébé 8-12 mois</v>
      </c>
      <c r="E4579" s="25" t="str">
        <f t="shared" si="1"/>
        <v>48476-Desserts lactés bébé-Desserts lactés bébé 8-12 mois</v>
      </c>
      <c r="F4579" s="25">
        <v>0.0</v>
      </c>
      <c r="G4579" s="25">
        <v>807.0</v>
      </c>
      <c r="H4579" s="25">
        <v>279.0</v>
      </c>
      <c r="I4579" s="26">
        <f t="array" ref="I4579">XLOOKUP($A4579,product!A:A,product!E:E)</f>
        <v>3.11</v>
      </c>
      <c r="J4579" s="25">
        <f t="shared" si="2"/>
        <v>867.69</v>
      </c>
      <c r="K4579" s="27">
        <f t="shared" si="3"/>
        <v>1</v>
      </c>
      <c r="L4579" s="25">
        <f t="shared" si="4"/>
        <v>1</v>
      </c>
    </row>
    <row r="4580">
      <c r="A4580" s="19">
        <v>103454.0</v>
      </c>
      <c r="B4580" s="20" t="str">
        <f t="array" ref="B4580">xlookup($A4580,product!$A:$A,product!B:B)</f>
        <v>Alimentation Bébé</v>
      </c>
      <c r="C4580" s="20" t="str">
        <f t="array" ref="C4580">xlookup($A4580,product!$A:$A,product!C:C)</f>
        <v>Desserts lactés bébé</v>
      </c>
      <c r="D4580" s="20" t="str">
        <f t="array" ref="D4580">xlookup($A4580,product!$A:$A,product!D:D)</f>
        <v>Desserts lactés bébé 8-12 mois</v>
      </c>
      <c r="E4580" s="4" t="str">
        <f t="shared" si="1"/>
        <v>103454-Desserts lactés bébé-Desserts lactés bébé 8-12 mois</v>
      </c>
      <c r="F4580" s="4">
        <v>1.0</v>
      </c>
      <c r="G4580" s="4">
        <v>106.0</v>
      </c>
      <c r="H4580" s="4">
        <v>88.0</v>
      </c>
      <c r="I4580" s="21">
        <f t="array" ref="I4580">XLOOKUP($A4580,product!A:A,product!E:E)</f>
        <v>2.86</v>
      </c>
      <c r="J4580" s="4">
        <f t="shared" si="2"/>
        <v>251.68</v>
      </c>
      <c r="K4580" s="22">
        <f t="shared" si="3"/>
        <v>1</v>
      </c>
      <c r="L4580" s="4">
        <f t="shared" si="4"/>
        <v>1</v>
      </c>
    </row>
    <row r="4581">
      <c r="A4581" s="23">
        <v>103456.0</v>
      </c>
      <c r="B4581" s="24" t="str">
        <f t="array" ref="B4581">xlookup($A4581,product!$A:$A,product!B:B)</f>
        <v>Alimentation Bébé</v>
      </c>
      <c r="C4581" s="24" t="str">
        <f t="array" ref="C4581">xlookup($A4581,product!$A:$A,product!C:C)</f>
        <v>Desserts lactés bébé</v>
      </c>
      <c r="D4581" s="24" t="str">
        <f t="array" ref="D4581">xlookup($A4581,product!$A:$A,product!D:D)</f>
        <v>Desserts lactés bébé 8-12 mois</v>
      </c>
      <c r="E4581" s="25" t="str">
        <f t="shared" si="1"/>
        <v>103456-Desserts lactés bébé-Desserts lactés bébé 8-12 mois</v>
      </c>
      <c r="F4581" s="25">
        <v>1.0</v>
      </c>
      <c r="G4581" s="25">
        <v>881.0</v>
      </c>
      <c r="H4581" s="25">
        <v>460.0</v>
      </c>
      <c r="I4581" s="26">
        <f t="array" ref="I4581">XLOOKUP($A4581,product!A:A,product!E:E)</f>
        <v>2.86</v>
      </c>
      <c r="J4581" s="25">
        <f t="shared" si="2"/>
        <v>1315.6</v>
      </c>
      <c r="K4581" s="27">
        <f t="shared" si="3"/>
        <v>1</v>
      </c>
      <c r="L4581" s="25">
        <f t="shared" si="4"/>
        <v>1</v>
      </c>
    </row>
    <row r="4582">
      <c r="A4582" s="19">
        <v>139304.0</v>
      </c>
      <c r="B4582" s="20" t="str">
        <f t="array" ref="B4582">xlookup($A4582,product!$A:$A,product!B:B)</f>
        <v>Alimentation Bébé</v>
      </c>
      <c r="C4582" s="20" t="str">
        <f t="array" ref="C4582">xlookup($A4582,product!$A:$A,product!C:C)</f>
        <v>Desserts lactés bébé</v>
      </c>
      <c r="D4582" s="20" t="str">
        <f t="array" ref="D4582">xlookup($A4582,product!$A:$A,product!D:D)</f>
        <v>Desserts lactés bébé 8-12 mois</v>
      </c>
      <c r="E4582" s="4" t="str">
        <f t="shared" si="1"/>
        <v>139304-Desserts lactés bébé-Desserts lactés bébé 8-12 mois</v>
      </c>
      <c r="F4582" s="4">
        <v>1.0</v>
      </c>
      <c r="G4582" s="4">
        <v>797.0</v>
      </c>
      <c r="H4582" s="4">
        <v>575.0</v>
      </c>
      <c r="I4582" s="21">
        <f t="array" ref="I4582">XLOOKUP($A4582,product!A:A,product!E:E)</f>
        <v>3.86</v>
      </c>
      <c r="J4582" s="4">
        <f t="shared" si="2"/>
        <v>2219.5</v>
      </c>
      <c r="K4582" s="22">
        <f t="shared" si="3"/>
        <v>1</v>
      </c>
      <c r="L4582" s="4">
        <f t="shared" si="4"/>
        <v>1</v>
      </c>
    </row>
    <row r="4583">
      <c r="A4583" s="23">
        <v>158661.0</v>
      </c>
      <c r="B4583" s="24" t="str">
        <f t="array" ref="B4583">xlookup($A4583,product!$A:$A,product!B:B)</f>
        <v>Epicerie salée</v>
      </c>
      <c r="C4583" s="24" t="str">
        <f t="array" ref="C4583">xlookup($A4583,product!$A:$A,product!C:C)</f>
        <v>Huiles alimentaires bio</v>
      </c>
      <c r="D4583" s="24" t="str">
        <f t="array" ref="D4583">xlookup($A4583,product!$A:$A,product!D:D)</f>
        <v>Ghee bio</v>
      </c>
      <c r="E4583" s="25" t="str">
        <f t="shared" si="1"/>
        <v>158661-Huiles alimentaires bio-Ghee bio</v>
      </c>
      <c r="F4583" s="25">
        <v>1.0</v>
      </c>
      <c r="G4583" s="25">
        <v>155.0</v>
      </c>
      <c r="H4583" s="25">
        <v>115.0</v>
      </c>
      <c r="I4583" s="26">
        <f t="array" ref="I4583">XLOOKUP($A4583,product!A:A,product!E:E)</f>
        <v>7.96</v>
      </c>
      <c r="J4583" s="25">
        <f t="shared" si="2"/>
        <v>915.4</v>
      </c>
      <c r="K4583" s="27">
        <f t="shared" si="3"/>
        <v>1</v>
      </c>
      <c r="L4583" s="25">
        <f t="shared" si="4"/>
        <v>1</v>
      </c>
    </row>
    <row r="4584">
      <c r="A4584" s="19">
        <v>162441.0</v>
      </c>
      <c r="B4584" s="20" t="str">
        <f t="array" ref="B4584">xlookup($A4584,product!$A:$A,product!B:B)</f>
        <v>Epicerie salée</v>
      </c>
      <c r="C4584" s="20" t="str">
        <f t="array" ref="C4584">xlookup($A4584,product!$A:$A,product!C:C)</f>
        <v>Huiles alimentaires bio</v>
      </c>
      <c r="D4584" s="20" t="str">
        <f t="array" ref="D4584">xlookup($A4584,product!$A:$A,product!D:D)</f>
        <v>Ghee bio</v>
      </c>
      <c r="E4584" s="4" t="str">
        <f t="shared" si="1"/>
        <v>162441-Huiles alimentaires bio-Ghee bio</v>
      </c>
      <c r="F4584" s="4">
        <v>0.0</v>
      </c>
      <c r="G4584" s="4">
        <v>199.0</v>
      </c>
      <c r="H4584" s="4">
        <v>60.0</v>
      </c>
      <c r="I4584" s="21">
        <f t="array" ref="I4584">XLOOKUP($A4584,product!A:A,product!E:E)</f>
        <v>8</v>
      </c>
      <c r="J4584" s="4">
        <f t="shared" si="2"/>
        <v>480</v>
      </c>
      <c r="K4584" s="22">
        <f t="shared" si="3"/>
        <v>1</v>
      </c>
      <c r="L4584" s="4">
        <f t="shared" si="4"/>
        <v>1</v>
      </c>
    </row>
    <row r="4585">
      <c r="A4585" s="23">
        <v>102695.0</v>
      </c>
      <c r="B4585" s="24" t="str">
        <f t="array" ref="B4585">xlookup($A4585,product!$A:$A,product!B:B)</f>
        <v>Epicerie salée</v>
      </c>
      <c r="C4585" s="24" t="str">
        <f t="array" ref="C4585">xlookup($A4585,product!$A:$A,product!C:C)</f>
        <v>Huiles alimentaires bio</v>
      </c>
      <c r="D4585" s="24" t="str">
        <f t="array" ref="D4585">xlookup($A4585,product!$A:$A,product!D:D)</f>
        <v>Ghee bio</v>
      </c>
      <c r="E4585" s="25" t="str">
        <f t="shared" si="1"/>
        <v>102695-Huiles alimentaires bio-Ghee bio</v>
      </c>
      <c r="F4585" s="25">
        <v>1.0</v>
      </c>
      <c r="G4585" s="25">
        <v>651.0</v>
      </c>
      <c r="H4585" s="25">
        <v>411.0</v>
      </c>
      <c r="I4585" s="26">
        <f t="array" ref="I4585">XLOOKUP($A4585,product!A:A,product!E:E)</f>
        <v>5.2</v>
      </c>
      <c r="J4585" s="25">
        <f t="shared" si="2"/>
        <v>2137.2</v>
      </c>
      <c r="K4585" s="27">
        <f t="shared" si="3"/>
        <v>1</v>
      </c>
      <c r="L4585" s="25">
        <f t="shared" si="4"/>
        <v>1</v>
      </c>
    </row>
    <row r="4586">
      <c r="A4586" s="19">
        <v>78913.0</v>
      </c>
      <c r="B4586" s="20" t="str">
        <f t="array" ref="B4586">xlookup($A4586,product!$A:$A,product!B:B)</f>
        <v>Epicerie salée</v>
      </c>
      <c r="C4586" s="20" t="str">
        <f t="array" ref="C4586">xlookup($A4586,product!$A:$A,product!C:C)</f>
        <v>Huiles alimentaires bio</v>
      </c>
      <c r="D4586" s="20" t="str">
        <f t="array" ref="D4586">xlookup($A4586,product!$A:$A,product!D:D)</f>
        <v>Huile de lin</v>
      </c>
      <c r="E4586" s="4" t="str">
        <f t="shared" si="1"/>
        <v>78913-Huiles alimentaires bio-Huile de lin</v>
      </c>
      <c r="F4586" s="4">
        <v>1.0</v>
      </c>
      <c r="G4586" s="4">
        <v>147.0</v>
      </c>
      <c r="H4586" s="4">
        <v>54.0</v>
      </c>
      <c r="I4586" s="21">
        <f t="array" ref="I4586">XLOOKUP($A4586,product!A:A,product!E:E)</f>
        <v>4.07</v>
      </c>
      <c r="J4586" s="4">
        <f t="shared" si="2"/>
        <v>219.78</v>
      </c>
      <c r="K4586" s="22">
        <f t="shared" si="3"/>
        <v>1</v>
      </c>
      <c r="L4586" s="4">
        <f t="shared" si="4"/>
        <v>1</v>
      </c>
    </row>
    <row r="4587">
      <c r="A4587" s="23">
        <v>71397.0</v>
      </c>
      <c r="B4587" s="24" t="str">
        <f t="array" ref="B4587">xlookup($A4587,product!$A:$A,product!B:B)</f>
        <v>Epicerie salée</v>
      </c>
      <c r="C4587" s="24" t="str">
        <f t="array" ref="C4587">xlookup($A4587,product!$A:$A,product!C:C)</f>
        <v>Huiles alimentaires bio</v>
      </c>
      <c r="D4587" s="24" t="str">
        <f t="array" ref="D4587">xlookup($A4587,product!$A:$A,product!D:D)</f>
        <v>Huile de lin</v>
      </c>
      <c r="E4587" s="25" t="str">
        <f t="shared" si="1"/>
        <v>71397-Huiles alimentaires bio-Huile de lin</v>
      </c>
      <c r="F4587" s="25">
        <v>0.0</v>
      </c>
      <c r="G4587" s="25">
        <v>444.0</v>
      </c>
      <c r="H4587" s="25">
        <v>205.0</v>
      </c>
      <c r="I4587" s="26">
        <f t="array" ref="I4587">XLOOKUP($A4587,product!A:A,product!E:E)</f>
        <v>2.92</v>
      </c>
      <c r="J4587" s="25">
        <f t="shared" si="2"/>
        <v>598.6</v>
      </c>
      <c r="K4587" s="27">
        <f t="shared" si="3"/>
        <v>1</v>
      </c>
      <c r="L4587" s="25">
        <f t="shared" si="4"/>
        <v>1</v>
      </c>
    </row>
    <row r="4588">
      <c r="A4588" s="19">
        <v>17596.0</v>
      </c>
      <c r="B4588" s="20" t="str">
        <f t="array" ref="B4588">xlookup($A4588,product!$A:$A,product!B:B)</f>
        <v>Epicerie salée</v>
      </c>
      <c r="C4588" s="20" t="str">
        <f t="array" ref="C4588">xlookup($A4588,product!$A:$A,product!C:C)</f>
        <v>Huiles alimentaires bio</v>
      </c>
      <c r="D4588" s="20" t="str">
        <f t="array" ref="D4588">xlookup($A4588,product!$A:$A,product!D:D)</f>
        <v>Huile de lin</v>
      </c>
      <c r="E4588" s="4" t="str">
        <f t="shared" si="1"/>
        <v>17596-Huiles alimentaires bio-Huile de lin</v>
      </c>
      <c r="F4588" s="4">
        <v>0.0</v>
      </c>
      <c r="G4588" s="4">
        <v>789.0</v>
      </c>
      <c r="H4588" s="4">
        <v>553.0</v>
      </c>
      <c r="I4588" s="21">
        <f t="array" ref="I4588">XLOOKUP($A4588,product!A:A,product!E:E)</f>
        <v>4.38</v>
      </c>
      <c r="J4588" s="4">
        <f t="shared" si="2"/>
        <v>2422.14</v>
      </c>
      <c r="K4588" s="22">
        <f t="shared" si="3"/>
        <v>1</v>
      </c>
      <c r="L4588" s="4">
        <f t="shared" si="4"/>
        <v>1</v>
      </c>
    </row>
    <row r="4589">
      <c r="A4589" s="23">
        <v>71398.0</v>
      </c>
      <c r="B4589" s="24" t="str">
        <f t="array" ref="B4589">xlookup($A4589,product!$A:$A,product!B:B)</f>
        <v>Epicerie salée</v>
      </c>
      <c r="C4589" s="24" t="str">
        <f t="array" ref="C4589">xlookup($A4589,product!$A:$A,product!C:C)</f>
        <v>Huiles alimentaires bio</v>
      </c>
      <c r="D4589" s="24" t="str">
        <f t="array" ref="D4589">xlookup($A4589,product!$A:$A,product!D:D)</f>
        <v>Huile de lin</v>
      </c>
      <c r="E4589" s="25" t="str">
        <f t="shared" si="1"/>
        <v>71398-Huiles alimentaires bio-Huile de lin</v>
      </c>
      <c r="F4589" s="25">
        <v>0.0</v>
      </c>
      <c r="G4589" s="25">
        <v>313.0</v>
      </c>
      <c r="H4589" s="25">
        <v>196.0</v>
      </c>
      <c r="I4589" s="26">
        <f t="array" ref="I4589">XLOOKUP($A4589,product!A:A,product!E:E)</f>
        <v>3.52</v>
      </c>
      <c r="J4589" s="25">
        <f t="shared" si="2"/>
        <v>689.92</v>
      </c>
      <c r="K4589" s="27">
        <f t="shared" si="3"/>
        <v>1</v>
      </c>
      <c r="L4589" s="25">
        <f t="shared" si="4"/>
        <v>1</v>
      </c>
    </row>
    <row r="4590">
      <c r="A4590" s="19">
        <v>17627.0</v>
      </c>
      <c r="B4590" s="20" t="str">
        <f t="array" ref="B4590">xlookup($A4590,product!$A:$A,product!B:B)</f>
        <v>Epicerie salée</v>
      </c>
      <c r="C4590" s="20" t="str">
        <f t="array" ref="C4590">xlookup($A4590,product!$A:$A,product!C:C)</f>
        <v>Huiles alimentaires bio</v>
      </c>
      <c r="D4590" s="20" t="str">
        <f t="array" ref="D4590">xlookup($A4590,product!$A:$A,product!D:D)</f>
        <v>Huile d'argan</v>
      </c>
      <c r="E4590" s="4" t="str">
        <f t="shared" si="1"/>
        <v>17627-Huiles alimentaires bio-Huile d'argan</v>
      </c>
      <c r="F4590" s="4">
        <v>1.0</v>
      </c>
      <c r="G4590" s="4">
        <v>205.0</v>
      </c>
      <c r="H4590" s="4">
        <v>22.0</v>
      </c>
      <c r="I4590" s="21">
        <f t="array" ref="I4590">XLOOKUP($A4590,product!A:A,product!E:E)</f>
        <v>10.12</v>
      </c>
      <c r="J4590" s="4">
        <f t="shared" si="2"/>
        <v>222.64</v>
      </c>
      <c r="K4590" s="22">
        <f t="shared" si="3"/>
        <v>1</v>
      </c>
      <c r="L4590" s="4">
        <f t="shared" si="4"/>
        <v>1</v>
      </c>
    </row>
    <row r="4591">
      <c r="A4591" s="23">
        <v>86166.0</v>
      </c>
      <c r="B4591" s="24" t="str">
        <f t="array" ref="B4591">xlookup($A4591,product!$A:$A,product!B:B)</f>
        <v>Epicerie salée</v>
      </c>
      <c r="C4591" s="24" t="str">
        <f t="array" ref="C4591">xlookup($A4591,product!$A:$A,product!C:C)</f>
        <v>Huiles alimentaires bio</v>
      </c>
      <c r="D4591" s="24" t="str">
        <f t="array" ref="D4591">xlookup($A4591,product!$A:$A,product!D:D)</f>
        <v>Huile d'olive</v>
      </c>
      <c r="E4591" s="25" t="str">
        <f t="shared" si="1"/>
        <v>86166-Huiles alimentaires bio-Huile d'olive</v>
      </c>
      <c r="F4591" s="25">
        <v>0.0</v>
      </c>
      <c r="G4591" s="25">
        <v>278.0</v>
      </c>
      <c r="H4591" s="25">
        <v>190.0</v>
      </c>
      <c r="I4591" s="26">
        <f t="array" ref="I4591">XLOOKUP($A4591,product!A:A,product!E:E)</f>
        <v>7.33</v>
      </c>
      <c r="J4591" s="25">
        <f t="shared" si="2"/>
        <v>1392.7</v>
      </c>
      <c r="K4591" s="27">
        <f t="shared" si="3"/>
        <v>1</v>
      </c>
      <c r="L4591" s="25">
        <f t="shared" si="4"/>
        <v>1</v>
      </c>
    </row>
    <row r="4592">
      <c r="A4592" s="19">
        <v>71409.0</v>
      </c>
      <c r="B4592" s="20" t="str">
        <f t="array" ref="B4592">xlookup($A4592,product!$A:$A,product!B:B)</f>
        <v>Epicerie salée</v>
      </c>
      <c r="C4592" s="20" t="str">
        <f t="array" ref="C4592">xlookup($A4592,product!$A:$A,product!C:C)</f>
        <v>Huiles alimentaires bio</v>
      </c>
      <c r="D4592" s="20" t="str">
        <f t="array" ref="D4592">xlookup($A4592,product!$A:$A,product!D:D)</f>
        <v>Huile d'olive</v>
      </c>
      <c r="E4592" s="4" t="str">
        <f t="shared" si="1"/>
        <v>71409-Huiles alimentaires bio-Huile d'olive</v>
      </c>
      <c r="F4592" s="4">
        <v>1.0</v>
      </c>
      <c r="G4592" s="4">
        <v>881.0</v>
      </c>
      <c r="H4592" s="4">
        <v>173.0</v>
      </c>
      <c r="I4592" s="21">
        <f t="array" ref="I4592">XLOOKUP($A4592,product!A:A,product!E:E)</f>
        <v>22.31</v>
      </c>
      <c r="J4592" s="4">
        <f t="shared" si="2"/>
        <v>3859.63</v>
      </c>
      <c r="K4592" s="22">
        <f t="shared" si="3"/>
        <v>1</v>
      </c>
      <c r="L4592" s="4">
        <f t="shared" si="4"/>
        <v>1</v>
      </c>
    </row>
    <row r="4593">
      <c r="A4593" s="23">
        <v>12877.0</v>
      </c>
      <c r="B4593" s="24" t="str">
        <f t="array" ref="B4593">xlookup($A4593,product!$A:$A,product!B:B)</f>
        <v>Epicerie salée</v>
      </c>
      <c r="C4593" s="24" t="str">
        <f t="array" ref="C4593">xlookup($A4593,product!$A:$A,product!C:C)</f>
        <v>Huiles alimentaires bio</v>
      </c>
      <c r="D4593" s="24" t="str">
        <f t="array" ref="D4593">xlookup($A4593,product!$A:$A,product!D:D)</f>
        <v>Huile d'olive</v>
      </c>
      <c r="E4593" s="25" t="str">
        <f t="shared" si="1"/>
        <v>12877-Huiles alimentaires bio-Huile d'olive</v>
      </c>
      <c r="F4593" s="25">
        <v>1.0</v>
      </c>
      <c r="G4593" s="25">
        <v>661.0</v>
      </c>
      <c r="H4593" s="25">
        <v>410.0</v>
      </c>
      <c r="I4593" s="26">
        <f t="array" ref="I4593">XLOOKUP($A4593,product!A:A,product!E:E)</f>
        <v>19.58</v>
      </c>
      <c r="J4593" s="25">
        <f t="shared" si="2"/>
        <v>8027.8</v>
      </c>
      <c r="K4593" s="27">
        <f t="shared" si="3"/>
        <v>1</v>
      </c>
      <c r="L4593" s="25">
        <f t="shared" si="4"/>
        <v>1</v>
      </c>
    </row>
    <row r="4594">
      <c r="A4594" s="19">
        <v>121868.0</v>
      </c>
      <c r="B4594" s="20" t="str">
        <f t="array" ref="B4594">xlookup($A4594,product!$A:$A,product!B:B)</f>
        <v>Epicerie salée</v>
      </c>
      <c r="C4594" s="20" t="str">
        <f t="array" ref="C4594">xlookup($A4594,product!$A:$A,product!C:C)</f>
        <v>Huiles alimentaires bio</v>
      </c>
      <c r="D4594" s="20" t="str">
        <f t="array" ref="D4594">xlookup($A4594,product!$A:$A,product!D:D)</f>
        <v>Huile d'olive</v>
      </c>
      <c r="E4594" s="4" t="str">
        <f t="shared" si="1"/>
        <v>121868-Huiles alimentaires bio-Huile d'olive</v>
      </c>
      <c r="F4594" s="4">
        <v>0.0</v>
      </c>
      <c r="G4594" s="4">
        <v>521.0</v>
      </c>
      <c r="H4594" s="4">
        <v>451.0</v>
      </c>
      <c r="I4594" s="21">
        <f t="array" ref="I4594">XLOOKUP($A4594,product!A:A,product!E:E)</f>
        <v>3.99</v>
      </c>
      <c r="J4594" s="4">
        <f t="shared" si="2"/>
        <v>1799.49</v>
      </c>
      <c r="K4594" s="22">
        <f t="shared" si="3"/>
        <v>1</v>
      </c>
      <c r="L4594" s="4">
        <f t="shared" si="4"/>
        <v>1</v>
      </c>
    </row>
    <row r="4595">
      <c r="A4595" s="23">
        <v>17626.0</v>
      </c>
      <c r="B4595" s="24" t="str">
        <f t="array" ref="B4595">xlookup($A4595,product!$A:$A,product!B:B)</f>
        <v>Epicerie salée</v>
      </c>
      <c r="C4595" s="24" t="str">
        <f t="array" ref="C4595">xlookup($A4595,product!$A:$A,product!C:C)</f>
        <v>Huiles alimentaires bio</v>
      </c>
      <c r="D4595" s="24" t="str">
        <f t="array" ref="D4595">xlookup($A4595,product!$A:$A,product!D:D)</f>
        <v>Huile d'olive</v>
      </c>
      <c r="E4595" s="25" t="str">
        <f t="shared" si="1"/>
        <v>17626-Huiles alimentaires bio-Huile d'olive</v>
      </c>
      <c r="F4595" s="25">
        <v>0.0</v>
      </c>
      <c r="G4595" s="25">
        <v>545.0</v>
      </c>
      <c r="H4595" s="25">
        <v>143.0</v>
      </c>
      <c r="I4595" s="26">
        <f t="array" ref="I4595">XLOOKUP($A4595,product!A:A,product!E:E)</f>
        <v>38.84</v>
      </c>
      <c r="J4595" s="25">
        <f t="shared" si="2"/>
        <v>5554.12</v>
      </c>
      <c r="K4595" s="27">
        <f t="shared" si="3"/>
        <v>1</v>
      </c>
      <c r="L4595" s="25">
        <f t="shared" si="4"/>
        <v>1</v>
      </c>
    </row>
    <row r="4596">
      <c r="A4596" s="19">
        <v>71394.0</v>
      </c>
      <c r="B4596" s="20" t="str">
        <f t="array" ref="B4596">xlookup($A4596,product!$A:$A,product!B:B)</f>
        <v>Epicerie salée</v>
      </c>
      <c r="C4596" s="20" t="str">
        <f t="array" ref="C4596">xlookup($A4596,product!$A:$A,product!C:C)</f>
        <v>Huiles alimentaires bio</v>
      </c>
      <c r="D4596" s="20" t="str">
        <f t="array" ref="D4596">xlookup($A4596,product!$A:$A,product!D:D)</f>
        <v>Huile d'olive</v>
      </c>
      <c r="E4596" s="4" t="str">
        <f t="shared" si="1"/>
        <v>71394-Huiles alimentaires bio-Huile d'olive</v>
      </c>
      <c r="F4596" s="4">
        <v>1.0</v>
      </c>
      <c r="G4596" s="4">
        <v>21.0</v>
      </c>
      <c r="H4596" s="4">
        <v>17.0</v>
      </c>
      <c r="I4596" s="21">
        <f t="array" ref="I4596">XLOOKUP($A4596,product!A:A,product!E:E)</f>
        <v>5.93</v>
      </c>
      <c r="J4596" s="4">
        <f t="shared" si="2"/>
        <v>100.81</v>
      </c>
      <c r="K4596" s="22">
        <f t="shared" si="3"/>
        <v>1</v>
      </c>
      <c r="L4596" s="4">
        <f t="shared" si="4"/>
        <v>1</v>
      </c>
    </row>
    <row r="4597">
      <c r="A4597" s="23">
        <v>17620.0</v>
      </c>
      <c r="B4597" s="24" t="str">
        <f t="array" ref="B4597">xlookup($A4597,product!$A:$A,product!B:B)</f>
        <v>Epicerie salée</v>
      </c>
      <c r="C4597" s="24" t="str">
        <f t="array" ref="C4597">xlookup($A4597,product!$A:$A,product!C:C)</f>
        <v>Huiles alimentaires bio</v>
      </c>
      <c r="D4597" s="24" t="str">
        <f t="array" ref="D4597">xlookup($A4597,product!$A:$A,product!D:D)</f>
        <v>Huile d'olive</v>
      </c>
      <c r="E4597" s="25" t="str">
        <f t="shared" si="1"/>
        <v>17620-Huiles alimentaires bio-Huile d'olive</v>
      </c>
      <c r="F4597" s="25">
        <v>1.0</v>
      </c>
      <c r="G4597" s="25">
        <v>32.0</v>
      </c>
      <c r="H4597" s="25">
        <v>19.0</v>
      </c>
      <c r="I4597" s="26">
        <f t="array" ref="I4597">XLOOKUP($A4597,product!A:A,product!E:E)</f>
        <v>6.12</v>
      </c>
      <c r="J4597" s="25">
        <f t="shared" si="2"/>
        <v>116.28</v>
      </c>
      <c r="K4597" s="27">
        <f t="shared" si="3"/>
        <v>1</v>
      </c>
      <c r="L4597" s="25">
        <f t="shared" si="4"/>
        <v>1</v>
      </c>
    </row>
    <row r="4598">
      <c r="A4598" s="19">
        <v>86186.0</v>
      </c>
      <c r="B4598" s="20" t="str">
        <f t="array" ref="B4598">xlookup($A4598,product!$A:$A,product!B:B)</f>
        <v>Epicerie salée</v>
      </c>
      <c r="C4598" s="20" t="str">
        <f t="array" ref="C4598">xlookup($A4598,product!$A:$A,product!C:C)</f>
        <v>Huiles alimentaires bio</v>
      </c>
      <c r="D4598" s="20" t="str">
        <f t="array" ref="D4598">xlookup($A4598,product!$A:$A,product!D:D)</f>
        <v>Huile d'olive</v>
      </c>
      <c r="E4598" s="4" t="str">
        <f t="shared" si="1"/>
        <v>86186-Huiles alimentaires bio-Huile d'olive</v>
      </c>
      <c r="F4598" s="4">
        <v>0.0</v>
      </c>
      <c r="G4598" s="4">
        <v>736.0</v>
      </c>
      <c r="H4598" s="4">
        <v>464.0</v>
      </c>
      <c r="I4598" s="21">
        <f t="array" ref="I4598">XLOOKUP($A4598,product!A:A,product!E:E)</f>
        <v>6.76</v>
      </c>
      <c r="J4598" s="4">
        <f t="shared" si="2"/>
        <v>3136.64</v>
      </c>
      <c r="K4598" s="22">
        <f t="shared" si="3"/>
        <v>1</v>
      </c>
      <c r="L4598" s="4">
        <f t="shared" si="4"/>
        <v>1</v>
      </c>
    </row>
    <row r="4599">
      <c r="A4599" s="23">
        <v>71410.0</v>
      </c>
      <c r="B4599" s="24" t="str">
        <f t="array" ref="B4599">xlookup($A4599,product!$A:$A,product!B:B)</f>
        <v>Epicerie salée</v>
      </c>
      <c r="C4599" s="24" t="str">
        <f t="array" ref="C4599">xlookup($A4599,product!$A:$A,product!C:C)</f>
        <v>Huiles alimentaires bio</v>
      </c>
      <c r="D4599" s="24" t="str">
        <f t="array" ref="D4599">xlookup($A4599,product!$A:$A,product!D:D)</f>
        <v>Huile d'olive</v>
      </c>
      <c r="E4599" s="25" t="str">
        <f t="shared" si="1"/>
        <v>71410-Huiles alimentaires bio-Huile d'olive</v>
      </c>
      <c r="F4599" s="25">
        <v>1.0</v>
      </c>
      <c r="G4599" s="25">
        <v>774.0</v>
      </c>
      <c r="H4599" s="25">
        <v>359.0</v>
      </c>
      <c r="I4599" s="26">
        <f t="array" ref="I4599">XLOOKUP($A4599,product!A:A,product!E:E)</f>
        <v>6.22</v>
      </c>
      <c r="J4599" s="25">
        <f t="shared" si="2"/>
        <v>2232.98</v>
      </c>
      <c r="K4599" s="27">
        <f t="shared" si="3"/>
        <v>1</v>
      </c>
      <c r="L4599" s="25">
        <f t="shared" si="4"/>
        <v>1</v>
      </c>
    </row>
    <row r="4600">
      <c r="A4600" s="19">
        <v>121869.0</v>
      </c>
      <c r="B4600" s="20" t="str">
        <f t="array" ref="B4600">xlookup($A4600,product!$A:$A,product!B:B)</f>
        <v>Epicerie salée</v>
      </c>
      <c r="C4600" s="20" t="str">
        <f t="array" ref="C4600">xlookup($A4600,product!$A:$A,product!C:C)</f>
        <v>Huiles alimentaires bio</v>
      </c>
      <c r="D4600" s="20" t="str">
        <f t="array" ref="D4600">xlookup($A4600,product!$A:$A,product!D:D)</f>
        <v>Huile d'olive</v>
      </c>
      <c r="E4600" s="4" t="str">
        <f t="shared" si="1"/>
        <v>121869-Huiles alimentaires bio-Huile d'olive</v>
      </c>
      <c r="F4600" s="4">
        <v>0.0</v>
      </c>
      <c r="G4600" s="4">
        <v>492.0</v>
      </c>
      <c r="H4600" s="4">
        <v>270.0</v>
      </c>
      <c r="I4600" s="21">
        <f t="array" ref="I4600">XLOOKUP($A4600,product!A:A,product!E:E)</f>
        <v>12.32</v>
      </c>
      <c r="J4600" s="4">
        <f t="shared" si="2"/>
        <v>3326.4</v>
      </c>
      <c r="K4600" s="22">
        <f t="shared" si="3"/>
        <v>1</v>
      </c>
      <c r="L4600" s="4">
        <f t="shared" si="4"/>
        <v>1</v>
      </c>
    </row>
    <row r="4601">
      <c r="A4601" s="23">
        <v>17624.0</v>
      </c>
      <c r="B4601" s="24" t="str">
        <f t="array" ref="B4601">xlookup($A4601,product!$A:$A,product!B:B)</f>
        <v>Epicerie salée</v>
      </c>
      <c r="C4601" s="24" t="str">
        <f t="array" ref="C4601">xlookup($A4601,product!$A:$A,product!C:C)</f>
        <v>Huiles alimentaires bio</v>
      </c>
      <c r="D4601" s="24" t="str">
        <f t="array" ref="D4601">xlookup($A4601,product!$A:$A,product!D:D)</f>
        <v>Huile d'olive</v>
      </c>
      <c r="E4601" s="25" t="str">
        <f t="shared" si="1"/>
        <v>17624-Huiles alimentaires bio-Huile d'olive</v>
      </c>
      <c r="F4601" s="25">
        <v>1.0</v>
      </c>
      <c r="G4601" s="25">
        <v>556.0</v>
      </c>
      <c r="H4601" s="25">
        <v>240.0</v>
      </c>
      <c r="I4601" s="26">
        <f t="array" ref="I4601">XLOOKUP($A4601,product!A:A,product!E:E)</f>
        <v>6.46</v>
      </c>
      <c r="J4601" s="25">
        <f t="shared" si="2"/>
        <v>1550.4</v>
      </c>
      <c r="K4601" s="27">
        <f t="shared" si="3"/>
        <v>1</v>
      </c>
      <c r="L4601" s="25">
        <f t="shared" si="4"/>
        <v>1</v>
      </c>
    </row>
    <row r="4602">
      <c r="A4602" s="19">
        <v>119737.0</v>
      </c>
      <c r="B4602" s="20" t="str">
        <f t="array" ref="B4602">xlookup($A4602,product!$A:$A,product!B:B)</f>
        <v>Epicerie salée</v>
      </c>
      <c r="C4602" s="20" t="str">
        <f t="array" ref="C4602">xlookup($A4602,product!$A:$A,product!C:C)</f>
        <v>Huiles alimentaires bio</v>
      </c>
      <c r="D4602" s="20" t="str">
        <f t="array" ref="D4602">xlookup($A4602,product!$A:$A,product!D:D)</f>
        <v>Huile d'olive</v>
      </c>
      <c r="E4602" s="4" t="str">
        <f t="shared" si="1"/>
        <v>119737-Huiles alimentaires bio-Huile d'olive</v>
      </c>
      <c r="F4602" s="4">
        <v>0.0</v>
      </c>
      <c r="G4602" s="4">
        <v>535.0</v>
      </c>
      <c r="H4602" s="4">
        <v>431.0</v>
      </c>
      <c r="I4602" s="21">
        <f t="array" ref="I4602">XLOOKUP($A4602,product!A:A,product!E:E)</f>
        <v>16.36</v>
      </c>
      <c r="J4602" s="4">
        <f t="shared" si="2"/>
        <v>7051.16</v>
      </c>
      <c r="K4602" s="22">
        <f t="shared" si="3"/>
        <v>1</v>
      </c>
      <c r="L4602" s="4">
        <f t="shared" si="4"/>
        <v>1</v>
      </c>
    </row>
    <row r="4603">
      <c r="A4603" s="23">
        <v>17618.0</v>
      </c>
      <c r="B4603" s="24" t="str">
        <f t="array" ref="B4603">xlookup($A4603,product!$A:$A,product!B:B)</f>
        <v>Epicerie salée</v>
      </c>
      <c r="C4603" s="24" t="str">
        <f t="array" ref="C4603">xlookup($A4603,product!$A:$A,product!C:C)</f>
        <v>Huiles alimentaires bio</v>
      </c>
      <c r="D4603" s="24" t="str">
        <f t="array" ref="D4603">xlookup($A4603,product!$A:$A,product!D:D)</f>
        <v>Huile d'olive</v>
      </c>
      <c r="E4603" s="25" t="str">
        <f t="shared" si="1"/>
        <v>17618-Huiles alimentaires bio-Huile d'olive</v>
      </c>
      <c r="F4603" s="25">
        <v>0.0</v>
      </c>
      <c r="G4603" s="25">
        <v>864.0</v>
      </c>
      <c r="H4603" s="25">
        <v>578.0</v>
      </c>
      <c r="I4603" s="26">
        <f t="array" ref="I4603">XLOOKUP($A4603,product!A:A,product!E:E)</f>
        <v>4.64</v>
      </c>
      <c r="J4603" s="25">
        <f t="shared" si="2"/>
        <v>2681.92</v>
      </c>
      <c r="K4603" s="27">
        <f t="shared" si="3"/>
        <v>1</v>
      </c>
      <c r="L4603" s="25">
        <f t="shared" si="4"/>
        <v>1</v>
      </c>
    </row>
    <row r="4604">
      <c r="A4604" s="19">
        <v>78741.0</v>
      </c>
      <c r="B4604" s="20" t="str">
        <f t="array" ref="B4604">xlookup($A4604,product!$A:$A,product!B:B)</f>
        <v>Epicerie salée</v>
      </c>
      <c r="C4604" s="20" t="str">
        <f t="array" ref="C4604">xlookup($A4604,product!$A:$A,product!C:C)</f>
        <v>Huiles alimentaires bio</v>
      </c>
      <c r="D4604" s="20" t="str">
        <f t="array" ref="D4604">xlookup($A4604,product!$A:$A,product!D:D)</f>
        <v>Huile d'olive</v>
      </c>
      <c r="E4604" s="4" t="str">
        <f t="shared" si="1"/>
        <v>78741-Huiles alimentaires bio-Huile d'olive</v>
      </c>
      <c r="F4604" s="4">
        <v>0.0</v>
      </c>
      <c r="G4604" s="4">
        <v>238.0</v>
      </c>
      <c r="H4604" s="4">
        <v>232.0</v>
      </c>
      <c r="I4604" s="21">
        <f t="array" ref="I4604">XLOOKUP($A4604,product!A:A,product!E:E)</f>
        <v>7.39</v>
      </c>
      <c r="J4604" s="4">
        <f t="shared" si="2"/>
        <v>1714.48</v>
      </c>
      <c r="K4604" s="22">
        <f t="shared" si="3"/>
        <v>1</v>
      </c>
      <c r="L4604" s="4">
        <f t="shared" si="4"/>
        <v>1</v>
      </c>
    </row>
    <row r="4605">
      <c r="A4605" s="23">
        <v>86864.0</v>
      </c>
      <c r="B4605" s="24" t="str">
        <f t="array" ref="B4605">xlookup($A4605,product!$A:$A,product!B:B)</f>
        <v>Epicerie salée</v>
      </c>
      <c r="C4605" s="24" t="str">
        <f t="array" ref="C4605">xlookup($A4605,product!$A:$A,product!C:C)</f>
        <v>Huiles alimentaires bio</v>
      </c>
      <c r="D4605" s="24" t="str">
        <f t="array" ref="D4605">xlookup($A4605,product!$A:$A,product!D:D)</f>
        <v>Huile d'olive</v>
      </c>
      <c r="E4605" s="25" t="str">
        <f t="shared" si="1"/>
        <v>86864-Huiles alimentaires bio-Huile d'olive</v>
      </c>
      <c r="F4605" s="25">
        <v>1.0</v>
      </c>
      <c r="G4605" s="25">
        <v>99.0</v>
      </c>
      <c r="H4605" s="25">
        <v>50.0</v>
      </c>
      <c r="I4605" s="26">
        <f t="array" ref="I4605">XLOOKUP($A4605,product!A:A,product!E:E)</f>
        <v>8.08</v>
      </c>
      <c r="J4605" s="25">
        <f t="shared" si="2"/>
        <v>404</v>
      </c>
      <c r="K4605" s="27">
        <f t="shared" si="3"/>
        <v>1</v>
      </c>
      <c r="L4605" s="25">
        <f t="shared" si="4"/>
        <v>1</v>
      </c>
    </row>
    <row r="4606">
      <c r="A4606" s="19">
        <v>71421.0</v>
      </c>
      <c r="B4606" s="20" t="str">
        <f t="array" ref="B4606">xlookup($A4606,product!$A:$A,product!B:B)</f>
        <v>Epicerie salée</v>
      </c>
      <c r="C4606" s="20" t="str">
        <f t="array" ref="C4606">xlookup($A4606,product!$A:$A,product!C:C)</f>
        <v>Huiles alimentaires bio</v>
      </c>
      <c r="D4606" s="20" t="str">
        <f t="array" ref="D4606">xlookup($A4606,product!$A:$A,product!D:D)</f>
        <v>Huile d'olive</v>
      </c>
      <c r="E4606" s="4" t="str">
        <f t="shared" si="1"/>
        <v>71421-Huiles alimentaires bio-Huile d'olive</v>
      </c>
      <c r="F4606" s="4">
        <v>0.0</v>
      </c>
      <c r="G4606" s="4">
        <v>52.0</v>
      </c>
      <c r="H4606" s="4">
        <v>23.0</v>
      </c>
      <c r="I4606" s="21">
        <f t="array" ref="I4606">XLOOKUP($A4606,product!A:A,product!E:E)</f>
        <v>7.55</v>
      </c>
      <c r="J4606" s="4">
        <f t="shared" si="2"/>
        <v>173.65</v>
      </c>
      <c r="K4606" s="22">
        <f t="shared" si="3"/>
        <v>1</v>
      </c>
      <c r="L4606" s="4">
        <f t="shared" si="4"/>
        <v>1</v>
      </c>
    </row>
    <row r="4607">
      <c r="A4607" s="23">
        <v>115776.0</v>
      </c>
      <c r="B4607" s="24" t="str">
        <f t="array" ref="B4607">xlookup($A4607,product!$A:$A,product!B:B)</f>
        <v>Epicerie salée</v>
      </c>
      <c r="C4607" s="24" t="str">
        <f t="array" ref="C4607">xlookup($A4607,product!$A:$A,product!C:C)</f>
        <v>Huiles alimentaires bio</v>
      </c>
      <c r="D4607" s="24" t="str">
        <f t="array" ref="D4607">xlookup($A4607,product!$A:$A,product!D:D)</f>
        <v>Huile d'olive</v>
      </c>
      <c r="E4607" s="25" t="str">
        <f t="shared" si="1"/>
        <v>115776-Huiles alimentaires bio-Huile d'olive</v>
      </c>
      <c r="F4607" s="25">
        <v>0.0</v>
      </c>
      <c r="G4607" s="25">
        <v>755.0</v>
      </c>
      <c r="H4607" s="25">
        <v>34.0</v>
      </c>
      <c r="I4607" s="26">
        <f t="array" ref="I4607">XLOOKUP($A4607,product!A:A,product!E:E)</f>
        <v>4.32</v>
      </c>
      <c r="J4607" s="25">
        <f t="shared" si="2"/>
        <v>146.88</v>
      </c>
      <c r="K4607" s="27">
        <f t="shared" si="3"/>
        <v>1</v>
      </c>
      <c r="L4607" s="25">
        <f t="shared" si="4"/>
        <v>1</v>
      </c>
    </row>
    <row r="4608">
      <c r="A4608" s="19">
        <v>71393.0</v>
      </c>
      <c r="B4608" s="20" t="str">
        <f t="array" ref="B4608">xlookup($A4608,product!$A:$A,product!B:B)</f>
        <v>Epicerie salée</v>
      </c>
      <c r="C4608" s="20" t="str">
        <f t="array" ref="C4608">xlookup($A4608,product!$A:$A,product!C:C)</f>
        <v>Huiles alimentaires bio</v>
      </c>
      <c r="D4608" s="20" t="str">
        <f t="array" ref="D4608">xlookup($A4608,product!$A:$A,product!D:D)</f>
        <v>Huile d'olive</v>
      </c>
      <c r="E4608" s="4" t="str">
        <f t="shared" si="1"/>
        <v>71393-Huiles alimentaires bio-Huile d'olive</v>
      </c>
      <c r="F4608" s="4">
        <v>0.0</v>
      </c>
      <c r="G4608" s="4">
        <v>491.0</v>
      </c>
      <c r="H4608" s="4">
        <v>215.0</v>
      </c>
      <c r="I4608" s="21">
        <f t="array" ref="I4608">XLOOKUP($A4608,product!A:A,product!E:E)</f>
        <v>5.93</v>
      </c>
      <c r="J4608" s="4">
        <f t="shared" si="2"/>
        <v>1274.95</v>
      </c>
      <c r="K4608" s="22">
        <f t="shared" si="3"/>
        <v>1</v>
      </c>
      <c r="L4608" s="4">
        <f t="shared" si="4"/>
        <v>1</v>
      </c>
    </row>
    <row r="4609">
      <c r="A4609" s="23">
        <v>78739.0</v>
      </c>
      <c r="B4609" s="24" t="str">
        <f t="array" ref="B4609">xlookup($A4609,product!$A:$A,product!B:B)</f>
        <v>Epicerie salée</v>
      </c>
      <c r="C4609" s="24" t="str">
        <f t="array" ref="C4609">xlookup($A4609,product!$A:$A,product!C:C)</f>
        <v>Huiles alimentaires bio</v>
      </c>
      <c r="D4609" s="24" t="str">
        <f t="array" ref="D4609">xlookup($A4609,product!$A:$A,product!D:D)</f>
        <v>Huile d'olive</v>
      </c>
      <c r="E4609" s="25" t="str">
        <f t="shared" si="1"/>
        <v>78739-Huiles alimentaires bio-Huile d'olive</v>
      </c>
      <c r="F4609" s="25">
        <v>1.0</v>
      </c>
      <c r="G4609" s="25">
        <v>963.0</v>
      </c>
      <c r="H4609" s="25">
        <v>429.0</v>
      </c>
      <c r="I4609" s="26">
        <f t="array" ref="I4609">XLOOKUP($A4609,product!A:A,product!E:E)</f>
        <v>7.32</v>
      </c>
      <c r="J4609" s="25">
        <f t="shared" si="2"/>
        <v>3140.28</v>
      </c>
      <c r="K4609" s="27">
        <f t="shared" si="3"/>
        <v>1</v>
      </c>
      <c r="L4609" s="25">
        <f t="shared" si="4"/>
        <v>1</v>
      </c>
    </row>
    <row r="4610">
      <c r="A4610" s="19">
        <v>71408.0</v>
      </c>
      <c r="B4610" s="20" t="str">
        <f t="array" ref="B4610">xlookup($A4610,product!$A:$A,product!B:B)</f>
        <v>Epicerie salée</v>
      </c>
      <c r="C4610" s="20" t="str">
        <f t="array" ref="C4610">xlookup($A4610,product!$A:$A,product!C:C)</f>
        <v>Huiles alimentaires bio</v>
      </c>
      <c r="D4610" s="20" t="str">
        <f t="array" ref="D4610">xlookup($A4610,product!$A:$A,product!D:D)</f>
        <v>Huile d'olive</v>
      </c>
      <c r="E4610" s="4" t="str">
        <f t="shared" si="1"/>
        <v>71408-Huiles alimentaires bio-Huile d'olive</v>
      </c>
      <c r="F4610" s="4">
        <v>1.0</v>
      </c>
      <c r="G4610" s="4">
        <v>590.0</v>
      </c>
      <c r="H4610" s="4">
        <v>327.0</v>
      </c>
      <c r="I4610" s="21">
        <f t="array" ref="I4610">XLOOKUP($A4610,product!A:A,product!E:E)</f>
        <v>6.86</v>
      </c>
      <c r="J4610" s="4">
        <f t="shared" si="2"/>
        <v>2243.22</v>
      </c>
      <c r="K4610" s="22">
        <f t="shared" si="3"/>
        <v>1</v>
      </c>
      <c r="L4610" s="4">
        <f t="shared" si="4"/>
        <v>1</v>
      </c>
    </row>
    <row r="4611">
      <c r="A4611" s="23">
        <v>109194.0</v>
      </c>
      <c r="B4611" s="24" t="str">
        <f t="array" ref="B4611">xlookup($A4611,product!$A:$A,product!B:B)</f>
        <v>Epicerie salée</v>
      </c>
      <c r="C4611" s="24" t="str">
        <f t="array" ref="C4611">xlookup($A4611,product!$A:$A,product!C:C)</f>
        <v>Huiles alimentaires bio</v>
      </c>
      <c r="D4611" s="24" t="str">
        <f t="array" ref="D4611">xlookup($A4611,product!$A:$A,product!D:D)</f>
        <v>Huile de coco</v>
      </c>
      <c r="E4611" s="25" t="str">
        <f t="shared" si="1"/>
        <v>109194-Huiles alimentaires bio-Huile de coco</v>
      </c>
      <c r="F4611" s="25">
        <v>1.0</v>
      </c>
      <c r="G4611" s="25">
        <v>478.0</v>
      </c>
      <c r="H4611" s="25">
        <v>354.0</v>
      </c>
      <c r="I4611" s="26">
        <f t="array" ref="I4611">XLOOKUP($A4611,product!A:A,product!E:E)</f>
        <v>8.83</v>
      </c>
      <c r="J4611" s="25">
        <f t="shared" si="2"/>
        <v>3125.82</v>
      </c>
      <c r="K4611" s="27">
        <f t="shared" si="3"/>
        <v>1</v>
      </c>
      <c r="L4611" s="25">
        <f t="shared" si="4"/>
        <v>1</v>
      </c>
    </row>
    <row r="4612">
      <c r="A4612" s="19">
        <v>84448.0</v>
      </c>
      <c r="B4612" s="20" t="str">
        <f t="array" ref="B4612">xlookup($A4612,product!$A:$A,product!B:B)</f>
        <v>Epicerie salée</v>
      </c>
      <c r="C4612" s="20" t="str">
        <f t="array" ref="C4612">xlookup($A4612,product!$A:$A,product!C:C)</f>
        <v>Huiles alimentaires bio</v>
      </c>
      <c r="D4612" s="20" t="str">
        <f t="array" ref="D4612">xlookup($A4612,product!$A:$A,product!D:D)</f>
        <v>Huile de coco</v>
      </c>
      <c r="E4612" s="4" t="str">
        <f t="shared" si="1"/>
        <v>84448-Huiles alimentaires bio-Huile de coco</v>
      </c>
      <c r="F4612" s="4">
        <v>1.0</v>
      </c>
      <c r="G4612" s="4">
        <v>105.0</v>
      </c>
      <c r="H4612" s="4">
        <v>12.0</v>
      </c>
      <c r="I4612" s="21">
        <f t="array" ref="I4612">XLOOKUP($A4612,product!A:A,product!E:E)</f>
        <v>20.08</v>
      </c>
      <c r="J4612" s="4">
        <f t="shared" si="2"/>
        <v>240.96</v>
      </c>
      <c r="K4612" s="22">
        <f t="shared" si="3"/>
        <v>1</v>
      </c>
      <c r="L4612" s="4">
        <f t="shared" si="4"/>
        <v>1</v>
      </c>
    </row>
    <row r="4613">
      <c r="A4613" s="23">
        <v>140575.0</v>
      </c>
      <c r="B4613" s="24" t="str">
        <f t="array" ref="B4613">xlookup($A4613,product!$A:$A,product!B:B)</f>
        <v>Epicerie salée</v>
      </c>
      <c r="C4613" s="24" t="str">
        <f t="array" ref="C4613">xlookup($A4613,product!$A:$A,product!C:C)</f>
        <v>Huiles alimentaires bio</v>
      </c>
      <c r="D4613" s="24" t="str">
        <f t="array" ref="D4613">xlookup($A4613,product!$A:$A,product!D:D)</f>
        <v>Huile de coco</v>
      </c>
      <c r="E4613" s="25" t="str">
        <f t="shared" si="1"/>
        <v>140575-Huiles alimentaires bio-Huile de coco</v>
      </c>
      <c r="F4613" s="25">
        <v>0.0</v>
      </c>
      <c r="G4613" s="25">
        <v>519.0</v>
      </c>
      <c r="H4613" s="25">
        <v>22.0</v>
      </c>
      <c r="I4613" s="26">
        <f t="array" ref="I4613">XLOOKUP($A4613,product!A:A,product!E:E)</f>
        <v>3.58</v>
      </c>
      <c r="J4613" s="25">
        <f t="shared" si="2"/>
        <v>78.76</v>
      </c>
      <c r="K4613" s="27">
        <f t="shared" si="3"/>
        <v>1</v>
      </c>
      <c r="L4613" s="25">
        <f t="shared" si="4"/>
        <v>1</v>
      </c>
    </row>
    <row r="4614">
      <c r="A4614" s="19">
        <v>71420.0</v>
      </c>
      <c r="B4614" s="20" t="str">
        <f t="array" ref="B4614">xlookup($A4614,product!$A:$A,product!B:B)</f>
        <v>Epicerie salée</v>
      </c>
      <c r="C4614" s="20" t="str">
        <f t="array" ref="C4614">xlookup($A4614,product!$A:$A,product!C:C)</f>
        <v>Huiles alimentaires bio</v>
      </c>
      <c r="D4614" s="20" t="str">
        <f t="array" ref="D4614">xlookup($A4614,product!$A:$A,product!D:D)</f>
        <v>Huile de coco</v>
      </c>
      <c r="E4614" s="4" t="str">
        <f t="shared" si="1"/>
        <v>71420-Huiles alimentaires bio-Huile de coco</v>
      </c>
      <c r="F4614" s="4">
        <v>0.0</v>
      </c>
      <c r="G4614" s="4">
        <v>600.0</v>
      </c>
      <c r="H4614" s="4">
        <v>557.0</v>
      </c>
      <c r="I4614" s="21">
        <f t="array" ref="I4614">XLOOKUP($A4614,product!A:A,product!E:E)</f>
        <v>2.55</v>
      </c>
      <c r="J4614" s="4">
        <f t="shared" si="2"/>
        <v>1420.35</v>
      </c>
      <c r="K4614" s="22">
        <f t="shared" si="3"/>
        <v>1</v>
      </c>
      <c r="L4614" s="4">
        <f t="shared" si="4"/>
        <v>1</v>
      </c>
    </row>
    <row r="4615">
      <c r="A4615" s="23">
        <v>71375.0</v>
      </c>
      <c r="B4615" s="24" t="str">
        <f t="array" ref="B4615">xlookup($A4615,product!$A:$A,product!B:B)</f>
        <v>Epicerie salée</v>
      </c>
      <c r="C4615" s="24" t="str">
        <f t="array" ref="C4615">xlookup($A4615,product!$A:$A,product!C:C)</f>
        <v>Huiles alimentaires bio</v>
      </c>
      <c r="D4615" s="24" t="str">
        <f t="array" ref="D4615">xlookup($A4615,product!$A:$A,product!D:D)</f>
        <v>Huile de coco</v>
      </c>
      <c r="E4615" s="25" t="str">
        <f t="shared" si="1"/>
        <v>71375-Huiles alimentaires bio-Huile de coco</v>
      </c>
      <c r="F4615" s="25">
        <v>1.0</v>
      </c>
      <c r="G4615" s="25">
        <v>939.0</v>
      </c>
      <c r="H4615" s="25">
        <v>399.0</v>
      </c>
      <c r="I4615" s="26">
        <f t="array" ref="I4615">XLOOKUP($A4615,product!A:A,product!E:E)</f>
        <v>2.12</v>
      </c>
      <c r="J4615" s="25">
        <f t="shared" si="2"/>
        <v>845.88</v>
      </c>
      <c r="K4615" s="27">
        <f t="shared" si="3"/>
        <v>1</v>
      </c>
      <c r="L4615" s="25">
        <f t="shared" si="4"/>
        <v>1</v>
      </c>
    </row>
    <row r="4616">
      <c r="A4616" s="19">
        <v>71376.0</v>
      </c>
      <c r="B4616" s="20" t="str">
        <f t="array" ref="B4616">xlookup($A4616,product!$A:$A,product!B:B)</f>
        <v>Epicerie salée</v>
      </c>
      <c r="C4616" s="20" t="str">
        <f t="array" ref="C4616">xlookup($A4616,product!$A:$A,product!C:C)</f>
        <v>Huiles alimentaires bio</v>
      </c>
      <c r="D4616" s="20" t="str">
        <f t="array" ref="D4616">xlookup($A4616,product!$A:$A,product!D:D)</f>
        <v>Huile de coco</v>
      </c>
      <c r="E4616" s="4" t="str">
        <f t="shared" si="1"/>
        <v>71376-Huiles alimentaires bio-Huile de coco</v>
      </c>
      <c r="F4616" s="4">
        <v>0.0</v>
      </c>
      <c r="G4616" s="4">
        <v>748.0</v>
      </c>
      <c r="H4616" s="4">
        <v>371.0</v>
      </c>
      <c r="I4616" s="21">
        <f t="array" ref="I4616">XLOOKUP($A4616,product!A:A,product!E:E)</f>
        <v>3.94</v>
      </c>
      <c r="J4616" s="4">
        <f t="shared" si="2"/>
        <v>1461.74</v>
      </c>
      <c r="K4616" s="22">
        <f t="shared" si="3"/>
        <v>1</v>
      </c>
      <c r="L4616" s="4">
        <f t="shared" si="4"/>
        <v>1</v>
      </c>
    </row>
    <row r="4617">
      <c r="A4617" s="23">
        <v>110975.0</v>
      </c>
      <c r="B4617" s="24" t="str">
        <f t="array" ref="B4617">xlookup($A4617,product!$A:$A,product!B:B)</f>
        <v>Epicerie salée</v>
      </c>
      <c r="C4617" s="24" t="str">
        <f t="array" ref="C4617">xlookup($A4617,product!$A:$A,product!C:C)</f>
        <v>Huiles alimentaires bio</v>
      </c>
      <c r="D4617" s="24" t="str">
        <f t="array" ref="D4617">xlookup($A4617,product!$A:$A,product!D:D)</f>
        <v>Huile de coco</v>
      </c>
      <c r="E4617" s="25" t="str">
        <f t="shared" si="1"/>
        <v>110975-Huiles alimentaires bio-Huile de coco</v>
      </c>
      <c r="F4617" s="25">
        <v>0.0</v>
      </c>
      <c r="G4617" s="25">
        <v>762.0</v>
      </c>
      <c r="H4617" s="25">
        <v>378.0</v>
      </c>
      <c r="I4617" s="26">
        <f t="array" ref="I4617">XLOOKUP($A4617,product!A:A,product!E:E)</f>
        <v>2.14</v>
      </c>
      <c r="J4617" s="25">
        <f t="shared" si="2"/>
        <v>808.92</v>
      </c>
      <c r="K4617" s="27">
        <f t="shared" si="3"/>
        <v>1</v>
      </c>
      <c r="L4617" s="25">
        <f t="shared" si="4"/>
        <v>1</v>
      </c>
    </row>
    <row r="4618">
      <c r="A4618" s="19">
        <v>86170.0</v>
      </c>
      <c r="B4618" s="20" t="str">
        <f t="array" ref="B4618">xlookup($A4618,product!$A:$A,product!B:B)</f>
        <v>Epicerie salée</v>
      </c>
      <c r="C4618" s="20" t="str">
        <f t="array" ref="C4618">xlookup($A4618,product!$A:$A,product!C:C)</f>
        <v>Huiles alimentaires bio</v>
      </c>
      <c r="D4618" s="20" t="str">
        <f t="array" ref="D4618">xlookup($A4618,product!$A:$A,product!D:D)</f>
        <v>Huile de coco</v>
      </c>
      <c r="E4618" s="4" t="str">
        <f t="shared" si="1"/>
        <v>86170-Huiles alimentaires bio-Huile de coco</v>
      </c>
      <c r="F4618" s="4">
        <v>1.0</v>
      </c>
      <c r="G4618" s="4">
        <v>97.0</v>
      </c>
      <c r="H4618" s="4">
        <v>20.0</v>
      </c>
      <c r="I4618" s="21">
        <f t="array" ref="I4618">XLOOKUP($A4618,product!A:A,product!E:E)</f>
        <v>7.79</v>
      </c>
      <c r="J4618" s="4">
        <f t="shared" si="2"/>
        <v>155.8</v>
      </c>
      <c r="K4618" s="22">
        <f t="shared" si="3"/>
        <v>1</v>
      </c>
      <c r="L4618" s="4">
        <f t="shared" si="4"/>
        <v>1</v>
      </c>
    </row>
    <row r="4619">
      <c r="A4619" s="23">
        <v>142787.0</v>
      </c>
      <c r="B4619" s="24" t="str">
        <f t="array" ref="B4619">xlookup($A4619,product!$A:$A,product!B:B)</f>
        <v>Epicerie salée</v>
      </c>
      <c r="C4619" s="24" t="str">
        <f t="array" ref="C4619">xlookup($A4619,product!$A:$A,product!C:C)</f>
        <v>Huiles alimentaires bio</v>
      </c>
      <c r="D4619" s="24" t="str">
        <f t="array" ref="D4619">xlookup($A4619,product!$A:$A,product!D:D)</f>
        <v>Huile de coco</v>
      </c>
      <c r="E4619" s="25" t="str">
        <f t="shared" si="1"/>
        <v>142787-Huiles alimentaires bio-Huile de coco</v>
      </c>
      <c r="F4619" s="25">
        <v>1.0</v>
      </c>
      <c r="G4619" s="25">
        <v>713.0</v>
      </c>
      <c r="H4619" s="25">
        <v>419.0</v>
      </c>
      <c r="I4619" s="26">
        <f t="array" ref="I4619">XLOOKUP($A4619,product!A:A,product!E:E)</f>
        <v>3.03</v>
      </c>
      <c r="J4619" s="25">
        <f t="shared" si="2"/>
        <v>1269.57</v>
      </c>
      <c r="K4619" s="27">
        <f t="shared" si="3"/>
        <v>1</v>
      </c>
      <c r="L4619" s="25">
        <f t="shared" si="4"/>
        <v>1</v>
      </c>
    </row>
    <row r="4620">
      <c r="A4620" s="19">
        <v>109185.0</v>
      </c>
      <c r="B4620" s="20" t="str">
        <f t="array" ref="B4620">xlookup($A4620,product!$A:$A,product!B:B)</f>
        <v>Epicerie salée</v>
      </c>
      <c r="C4620" s="20" t="str">
        <f t="array" ref="C4620">xlookup($A4620,product!$A:$A,product!C:C)</f>
        <v>Huiles alimentaires bio</v>
      </c>
      <c r="D4620" s="20" t="str">
        <f t="array" ref="D4620">xlookup($A4620,product!$A:$A,product!D:D)</f>
        <v>Huile de coco</v>
      </c>
      <c r="E4620" s="4" t="str">
        <f t="shared" si="1"/>
        <v>109185-Huiles alimentaires bio-Huile de coco</v>
      </c>
      <c r="F4620" s="4">
        <v>1.0</v>
      </c>
      <c r="G4620" s="4">
        <v>350.0</v>
      </c>
      <c r="H4620" s="4">
        <v>116.0</v>
      </c>
      <c r="I4620" s="21">
        <f t="array" ref="I4620">XLOOKUP($A4620,product!A:A,product!E:E)</f>
        <v>7.23</v>
      </c>
      <c r="J4620" s="4">
        <f t="shared" si="2"/>
        <v>838.68</v>
      </c>
      <c r="K4620" s="22">
        <f t="shared" si="3"/>
        <v>1</v>
      </c>
      <c r="L4620" s="4">
        <f t="shared" si="4"/>
        <v>1</v>
      </c>
    </row>
    <row r="4621">
      <c r="A4621" s="23">
        <v>109184.0</v>
      </c>
      <c r="B4621" s="24" t="str">
        <f t="array" ref="B4621">xlookup($A4621,product!$A:$A,product!B:B)</f>
        <v>Epicerie salée</v>
      </c>
      <c r="C4621" s="24" t="str">
        <f t="array" ref="C4621">xlookup($A4621,product!$A:$A,product!C:C)</f>
        <v>Huiles alimentaires bio</v>
      </c>
      <c r="D4621" s="24" t="str">
        <f t="array" ref="D4621">xlookup($A4621,product!$A:$A,product!D:D)</f>
        <v>Huile de coco</v>
      </c>
      <c r="E4621" s="25" t="str">
        <f t="shared" si="1"/>
        <v>109184-Huiles alimentaires bio-Huile de coco</v>
      </c>
      <c r="F4621" s="25">
        <v>1.0</v>
      </c>
      <c r="G4621" s="25">
        <v>884.0</v>
      </c>
      <c r="H4621" s="25">
        <v>435.0</v>
      </c>
      <c r="I4621" s="26">
        <f t="array" ref="I4621">XLOOKUP($A4621,product!A:A,product!E:E)</f>
        <v>5.61</v>
      </c>
      <c r="J4621" s="25">
        <f t="shared" si="2"/>
        <v>2440.35</v>
      </c>
      <c r="K4621" s="27">
        <f t="shared" si="3"/>
        <v>1</v>
      </c>
      <c r="L4621" s="25">
        <f t="shared" si="4"/>
        <v>1</v>
      </c>
    </row>
    <row r="4622">
      <c r="A4622" s="19">
        <v>72575.0</v>
      </c>
      <c r="B4622" s="20" t="str">
        <f t="array" ref="B4622">xlookup($A4622,product!$A:$A,product!B:B)</f>
        <v>Epicerie salée</v>
      </c>
      <c r="C4622" s="20" t="str">
        <f t="array" ref="C4622">xlookup($A4622,product!$A:$A,product!C:C)</f>
        <v>Huiles alimentaires bio</v>
      </c>
      <c r="D4622" s="20" t="str">
        <f t="array" ref="D4622">xlookup($A4622,product!$A:$A,product!D:D)</f>
        <v>Huile de coco</v>
      </c>
      <c r="E4622" s="4" t="str">
        <f t="shared" si="1"/>
        <v>72575-Huiles alimentaires bio-Huile de coco</v>
      </c>
      <c r="F4622" s="4">
        <v>0.0</v>
      </c>
      <c r="G4622" s="4">
        <v>521.0</v>
      </c>
      <c r="H4622" s="4">
        <v>112.0</v>
      </c>
      <c r="I4622" s="21">
        <f t="array" ref="I4622">XLOOKUP($A4622,product!A:A,product!E:E)</f>
        <v>3.82</v>
      </c>
      <c r="J4622" s="4">
        <f t="shared" si="2"/>
        <v>427.84</v>
      </c>
      <c r="K4622" s="22">
        <f t="shared" si="3"/>
        <v>1</v>
      </c>
      <c r="L4622" s="4">
        <f t="shared" si="4"/>
        <v>1</v>
      </c>
    </row>
    <row r="4623">
      <c r="A4623" s="23">
        <v>78909.0</v>
      </c>
      <c r="B4623" s="24" t="str">
        <f t="array" ref="B4623">xlookup($A4623,product!$A:$A,product!B:B)</f>
        <v>Epicerie salée</v>
      </c>
      <c r="C4623" s="24" t="str">
        <f t="array" ref="C4623">xlookup($A4623,product!$A:$A,product!C:C)</f>
        <v>Huiles alimentaires bio</v>
      </c>
      <c r="D4623" s="24" t="str">
        <f t="array" ref="D4623">xlookup($A4623,product!$A:$A,product!D:D)</f>
        <v>Huile de coco</v>
      </c>
      <c r="E4623" s="25" t="str">
        <f t="shared" si="1"/>
        <v>78909-Huiles alimentaires bio-Huile de coco</v>
      </c>
      <c r="F4623" s="25">
        <v>1.0</v>
      </c>
      <c r="G4623" s="25">
        <v>555.0</v>
      </c>
      <c r="H4623" s="25">
        <v>514.0</v>
      </c>
      <c r="I4623" s="26">
        <f t="array" ref="I4623">XLOOKUP($A4623,product!A:A,product!E:E)</f>
        <v>7.18</v>
      </c>
      <c r="J4623" s="25">
        <f t="shared" si="2"/>
        <v>3690.52</v>
      </c>
      <c r="K4623" s="27">
        <f t="shared" si="3"/>
        <v>1</v>
      </c>
      <c r="L4623" s="25">
        <f t="shared" si="4"/>
        <v>1</v>
      </c>
    </row>
    <row r="4624">
      <c r="A4624" s="19">
        <v>17630.0</v>
      </c>
      <c r="B4624" s="20" t="str">
        <f t="array" ref="B4624">xlookup($A4624,product!$A:$A,product!B:B)</f>
        <v>Epicerie salée</v>
      </c>
      <c r="C4624" s="20" t="str">
        <f t="array" ref="C4624">xlookup($A4624,product!$A:$A,product!C:C)</f>
        <v>Huiles alimentaires bio</v>
      </c>
      <c r="D4624" s="20" t="str">
        <f t="array" ref="D4624">xlookup($A4624,product!$A:$A,product!D:D)</f>
        <v>Huile de noix</v>
      </c>
      <c r="E4624" s="4" t="str">
        <f t="shared" si="1"/>
        <v>17630-Huiles alimentaires bio-Huile de noix</v>
      </c>
      <c r="F4624" s="4">
        <v>1.0</v>
      </c>
      <c r="G4624" s="4">
        <v>720.0</v>
      </c>
      <c r="H4624" s="4">
        <v>546.0</v>
      </c>
      <c r="I4624" s="21">
        <f t="array" ref="I4624">XLOOKUP($A4624,product!A:A,product!E:E)</f>
        <v>10.48</v>
      </c>
      <c r="J4624" s="4">
        <f t="shared" si="2"/>
        <v>5722.08</v>
      </c>
      <c r="K4624" s="22">
        <f t="shared" si="3"/>
        <v>1</v>
      </c>
      <c r="L4624" s="4">
        <f t="shared" si="4"/>
        <v>1</v>
      </c>
    </row>
    <row r="4625">
      <c r="A4625" s="23">
        <v>78924.0</v>
      </c>
      <c r="B4625" s="24" t="str">
        <f t="array" ref="B4625">xlookup($A4625,product!$A:$A,product!B:B)</f>
        <v>Epicerie salée</v>
      </c>
      <c r="C4625" s="24" t="str">
        <f t="array" ref="C4625">xlookup($A4625,product!$A:$A,product!C:C)</f>
        <v>Huiles alimentaires bio</v>
      </c>
      <c r="D4625" s="24" t="str">
        <f t="array" ref="D4625">xlookup($A4625,product!$A:$A,product!D:D)</f>
        <v>Huile de noix</v>
      </c>
      <c r="E4625" s="25" t="str">
        <f t="shared" si="1"/>
        <v>78924-Huiles alimentaires bio-Huile de noix</v>
      </c>
      <c r="F4625" s="25">
        <v>0.0</v>
      </c>
      <c r="G4625" s="25">
        <v>738.0</v>
      </c>
      <c r="H4625" s="25">
        <v>326.0</v>
      </c>
      <c r="I4625" s="26">
        <f t="array" ref="I4625">XLOOKUP($A4625,product!A:A,product!E:E)</f>
        <v>7.46</v>
      </c>
      <c r="J4625" s="25">
        <f t="shared" si="2"/>
        <v>2431.96</v>
      </c>
      <c r="K4625" s="27">
        <f t="shared" si="3"/>
        <v>1</v>
      </c>
      <c r="L4625" s="25">
        <f t="shared" si="4"/>
        <v>1</v>
      </c>
    </row>
    <row r="4626">
      <c r="A4626" s="19">
        <v>82196.0</v>
      </c>
      <c r="B4626" s="20" t="str">
        <f t="array" ref="B4626">xlookup($A4626,product!$A:$A,product!B:B)</f>
        <v>Epicerie salée</v>
      </c>
      <c r="C4626" s="20" t="str">
        <f t="array" ref="C4626">xlookup($A4626,product!$A:$A,product!C:C)</f>
        <v>Huiles alimentaires bio</v>
      </c>
      <c r="D4626" s="20" t="str">
        <f t="array" ref="D4626">xlookup($A4626,product!$A:$A,product!D:D)</f>
        <v>Huile de noix</v>
      </c>
      <c r="E4626" s="4" t="str">
        <f t="shared" si="1"/>
        <v>82196-Huiles alimentaires bio-Huile de noix</v>
      </c>
      <c r="F4626" s="4">
        <v>0.0</v>
      </c>
      <c r="G4626" s="4">
        <v>686.0</v>
      </c>
      <c r="H4626" s="4">
        <v>130.0</v>
      </c>
      <c r="I4626" s="21">
        <f t="array" ref="I4626">XLOOKUP($A4626,product!A:A,product!E:E)</f>
        <v>6</v>
      </c>
      <c r="J4626" s="4">
        <f t="shared" si="2"/>
        <v>780</v>
      </c>
      <c r="K4626" s="22">
        <f t="shared" si="3"/>
        <v>1</v>
      </c>
      <c r="L4626" s="4">
        <f t="shared" si="4"/>
        <v>1</v>
      </c>
    </row>
    <row r="4627">
      <c r="A4627" s="23">
        <v>86184.0</v>
      </c>
      <c r="B4627" s="24" t="str">
        <f t="array" ref="B4627">xlookup($A4627,product!$A:$A,product!B:B)</f>
        <v>Epicerie salée</v>
      </c>
      <c r="C4627" s="24" t="str">
        <f t="array" ref="C4627">xlookup($A4627,product!$A:$A,product!C:C)</f>
        <v>Huiles alimentaires bio</v>
      </c>
      <c r="D4627" s="24" t="str">
        <f t="array" ref="D4627">xlookup($A4627,product!$A:$A,product!D:D)</f>
        <v>Huile d'amande</v>
      </c>
      <c r="E4627" s="25" t="str">
        <f t="shared" si="1"/>
        <v>86184-Huiles alimentaires bio-Huile d'amande</v>
      </c>
      <c r="F4627" s="25">
        <v>1.0</v>
      </c>
      <c r="G4627" s="25">
        <v>435.0</v>
      </c>
      <c r="H4627" s="25">
        <v>286.0</v>
      </c>
      <c r="I4627" s="26">
        <f t="array" ref="I4627">XLOOKUP($A4627,product!A:A,product!E:E)</f>
        <v>9.35</v>
      </c>
      <c r="J4627" s="25">
        <f t="shared" si="2"/>
        <v>2674.1</v>
      </c>
      <c r="K4627" s="27">
        <f t="shared" si="3"/>
        <v>1</v>
      </c>
      <c r="L4627" s="25">
        <f t="shared" si="4"/>
        <v>1</v>
      </c>
    </row>
    <row r="4628">
      <c r="A4628" s="19">
        <v>6219.0</v>
      </c>
      <c r="B4628" s="20" t="str">
        <f t="array" ref="B4628">xlookup($A4628,product!$A:$A,product!B:B)</f>
        <v>Epicerie salée</v>
      </c>
      <c r="C4628" s="20" t="str">
        <f t="array" ref="C4628">xlookup($A4628,product!$A:$A,product!C:C)</f>
        <v>Huiles alimentaires bio</v>
      </c>
      <c r="D4628" s="20" t="str">
        <f t="array" ref="D4628">xlookup($A4628,product!$A:$A,product!D:D)</f>
        <v>Huile d'amande</v>
      </c>
      <c r="E4628" s="4" t="str">
        <f t="shared" si="1"/>
        <v>6219-Huiles alimentaires bio-Huile d'amande</v>
      </c>
      <c r="F4628" s="4">
        <v>1.0</v>
      </c>
      <c r="G4628" s="4">
        <v>965.0</v>
      </c>
      <c r="H4628" s="4">
        <v>0.0</v>
      </c>
      <c r="I4628" s="21">
        <f t="array" ref="I4628">XLOOKUP($A4628,product!A:A,product!E:E)</f>
        <v>9.5</v>
      </c>
      <c r="J4628" s="4">
        <f t="shared" si="2"/>
        <v>0</v>
      </c>
      <c r="K4628" s="22">
        <f t="shared" si="3"/>
        <v>0</v>
      </c>
      <c r="L4628" s="4">
        <f t="shared" si="4"/>
        <v>1</v>
      </c>
    </row>
    <row r="4629">
      <c r="A4629" s="23">
        <v>116185.0</v>
      </c>
      <c r="B4629" s="24" t="str">
        <f t="array" ref="B4629">xlookup($A4629,product!$A:$A,product!B:B)</f>
        <v>Epicerie salée</v>
      </c>
      <c r="C4629" s="24" t="str">
        <f t="array" ref="C4629">xlookup($A4629,product!$A:$A,product!C:C)</f>
        <v>Huiles alimentaires bio</v>
      </c>
      <c r="D4629" s="24" t="str">
        <f t="array" ref="D4629">xlookup($A4629,product!$A:$A,product!D:D)</f>
        <v>Huile de colza</v>
      </c>
      <c r="E4629" s="25" t="str">
        <f t="shared" si="1"/>
        <v>116185-Huiles alimentaires bio-Huile de colza</v>
      </c>
      <c r="F4629" s="25">
        <v>1.0</v>
      </c>
      <c r="G4629" s="25">
        <v>375.0</v>
      </c>
      <c r="H4629" s="25">
        <v>182.0</v>
      </c>
      <c r="I4629" s="26">
        <f t="array" ref="I4629">XLOOKUP($A4629,product!A:A,product!E:E)</f>
        <v>3.92</v>
      </c>
      <c r="J4629" s="25">
        <f t="shared" si="2"/>
        <v>713.44</v>
      </c>
      <c r="K4629" s="27">
        <f t="shared" si="3"/>
        <v>1</v>
      </c>
      <c r="L4629" s="25">
        <f t="shared" si="4"/>
        <v>1</v>
      </c>
    </row>
    <row r="4630">
      <c r="A4630" s="19">
        <v>12873.0</v>
      </c>
      <c r="B4630" s="20" t="str">
        <f t="array" ref="B4630">xlookup($A4630,product!$A:$A,product!B:B)</f>
        <v>Epicerie salée</v>
      </c>
      <c r="C4630" s="20" t="str">
        <f t="array" ref="C4630">xlookup($A4630,product!$A:$A,product!C:C)</f>
        <v>Huiles alimentaires bio</v>
      </c>
      <c r="D4630" s="20" t="str">
        <f t="array" ref="D4630">xlookup($A4630,product!$A:$A,product!D:D)</f>
        <v>Huile de colza</v>
      </c>
      <c r="E4630" s="4" t="str">
        <f t="shared" si="1"/>
        <v>12873-Huiles alimentaires bio-Huile de colza</v>
      </c>
      <c r="F4630" s="4">
        <v>1.0</v>
      </c>
      <c r="G4630" s="4">
        <v>840.0</v>
      </c>
      <c r="H4630" s="4">
        <v>348.0</v>
      </c>
      <c r="I4630" s="21">
        <f t="array" ref="I4630">XLOOKUP($A4630,product!A:A,product!E:E)</f>
        <v>13.55</v>
      </c>
      <c r="J4630" s="4">
        <f t="shared" si="2"/>
        <v>4715.4</v>
      </c>
      <c r="K4630" s="22">
        <f t="shared" si="3"/>
        <v>1</v>
      </c>
      <c r="L4630" s="4">
        <f t="shared" si="4"/>
        <v>1</v>
      </c>
    </row>
    <row r="4631">
      <c r="A4631" s="23">
        <v>71413.0</v>
      </c>
      <c r="B4631" s="24" t="str">
        <f t="array" ref="B4631">xlookup($A4631,product!$A:$A,product!B:B)</f>
        <v>Epicerie salée</v>
      </c>
      <c r="C4631" s="24" t="str">
        <f t="array" ref="C4631">xlookup($A4631,product!$A:$A,product!C:C)</f>
        <v>Huiles alimentaires bio</v>
      </c>
      <c r="D4631" s="24" t="str">
        <f t="array" ref="D4631">xlookup($A4631,product!$A:$A,product!D:D)</f>
        <v>Huile de colza</v>
      </c>
      <c r="E4631" s="25" t="str">
        <f t="shared" si="1"/>
        <v>71413-Huiles alimentaires bio-Huile de colza</v>
      </c>
      <c r="F4631" s="25">
        <v>0.0</v>
      </c>
      <c r="G4631" s="25">
        <v>0.0</v>
      </c>
      <c r="H4631" s="25">
        <v>0.0</v>
      </c>
      <c r="I4631" s="26">
        <f t="array" ref="I4631">XLOOKUP($A4631,product!A:A,product!E:E)</f>
        <v>5.7</v>
      </c>
      <c r="J4631" s="25">
        <f t="shared" si="2"/>
        <v>0</v>
      </c>
      <c r="K4631" s="27">
        <f t="shared" si="3"/>
        <v>0</v>
      </c>
      <c r="L4631" s="25">
        <f t="shared" si="4"/>
        <v>1</v>
      </c>
    </row>
    <row r="4632">
      <c r="A4632" s="19">
        <v>128352.0</v>
      </c>
      <c r="B4632" s="20" t="str">
        <f t="array" ref="B4632">xlookup($A4632,product!$A:$A,product!B:B)</f>
        <v>Epicerie salée</v>
      </c>
      <c r="C4632" s="20" t="str">
        <f t="array" ref="C4632">xlookup($A4632,product!$A:$A,product!C:C)</f>
        <v>Huiles alimentaires bio</v>
      </c>
      <c r="D4632" s="20" t="str">
        <f t="array" ref="D4632">xlookup($A4632,product!$A:$A,product!D:D)</f>
        <v>Huile de colza</v>
      </c>
      <c r="E4632" s="4" t="str">
        <f t="shared" si="1"/>
        <v>128352-Huiles alimentaires bio-Huile de colza</v>
      </c>
      <c r="F4632" s="4">
        <v>1.0</v>
      </c>
      <c r="G4632" s="4">
        <v>116.0</v>
      </c>
      <c r="H4632" s="4">
        <v>32.0</v>
      </c>
      <c r="I4632" s="21">
        <f t="array" ref="I4632">XLOOKUP($A4632,product!A:A,product!E:E)</f>
        <v>2.67</v>
      </c>
      <c r="J4632" s="4">
        <f t="shared" si="2"/>
        <v>85.44</v>
      </c>
      <c r="K4632" s="22">
        <f t="shared" si="3"/>
        <v>1</v>
      </c>
      <c r="L4632" s="4">
        <f t="shared" si="4"/>
        <v>1</v>
      </c>
    </row>
    <row r="4633">
      <c r="A4633" s="23">
        <v>17594.0</v>
      </c>
      <c r="B4633" s="24" t="str">
        <f t="array" ref="B4633">xlookup($A4633,product!$A:$A,product!B:B)</f>
        <v>Epicerie salée</v>
      </c>
      <c r="C4633" s="24" t="str">
        <f t="array" ref="C4633">xlookup($A4633,product!$A:$A,product!C:C)</f>
        <v>Huiles alimentaires bio</v>
      </c>
      <c r="D4633" s="24" t="str">
        <f t="array" ref="D4633">xlookup($A4633,product!$A:$A,product!D:D)</f>
        <v>Huile de colza</v>
      </c>
      <c r="E4633" s="25" t="str">
        <f t="shared" si="1"/>
        <v>17594-Huiles alimentaires bio-Huile de colza</v>
      </c>
      <c r="F4633" s="25">
        <v>0.0</v>
      </c>
      <c r="G4633" s="25">
        <v>302.0</v>
      </c>
      <c r="H4633" s="25">
        <v>6.0</v>
      </c>
      <c r="I4633" s="26">
        <f t="array" ref="I4633">XLOOKUP($A4633,product!A:A,product!E:E)</f>
        <v>5.6</v>
      </c>
      <c r="J4633" s="25">
        <f t="shared" si="2"/>
        <v>33.6</v>
      </c>
      <c r="K4633" s="27">
        <f t="shared" si="3"/>
        <v>1</v>
      </c>
      <c r="L4633" s="25">
        <f t="shared" si="4"/>
        <v>1</v>
      </c>
    </row>
    <row r="4634">
      <c r="A4634" s="19">
        <v>71404.0</v>
      </c>
      <c r="B4634" s="20" t="str">
        <f t="array" ref="B4634">xlookup($A4634,product!$A:$A,product!B:B)</f>
        <v>Epicerie salée</v>
      </c>
      <c r="C4634" s="20" t="str">
        <f t="array" ref="C4634">xlookup($A4634,product!$A:$A,product!C:C)</f>
        <v>Huiles alimentaires bio</v>
      </c>
      <c r="D4634" s="20" t="str">
        <f t="array" ref="D4634">xlookup($A4634,product!$A:$A,product!D:D)</f>
        <v>Huile de colza</v>
      </c>
      <c r="E4634" s="4" t="str">
        <f t="shared" si="1"/>
        <v>71404-Huiles alimentaires bio-Huile de colza</v>
      </c>
      <c r="F4634" s="4">
        <v>0.0</v>
      </c>
      <c r="G4634" s="4">
        <v>631.0</v>
      </c>
      <c r="H4634" s="4">
        <v>231.0</v>
      </c>
      <c r="I4634" s="21">
        <f t="array" ref="I4634">XLOOKUP($A4634,product!A:A,product!E:E)</f>
        <v>4.79</v>
      </c>
      <c r="J4634" s="4">
        <f t="shared" si="2"/>
        <v>1106.49</v>
      </c>
      <c r="K4634" s="22">
        <f t="shared" si="3"/>
        <v>1</v>
      </c>
      <c r="L4634" s="4">
        <f t="shared" si="4"/>
        <v>1</v>
      </c>
    </row>
    <row r="4635">
      <c r="A4635" s="23">
        <v>129473.0</v>
      </c>
      <c r="B4635" s="24" t="str">
        <f t="array" ref="B4635">xlookup($A4635,product!$A:$A,product!B:B)</f>
        <v>Epicerie salée</v>
      </c>
      <c r="C4635" s="24" t="str">
        <f t="array" ref="C4635">xlookup($A4635,product!$A:$A,product!C:C)</f>
        <v>Huiles alimentaires bio</v>
      </c>
      <c r="D4635" s="24" t="str">
        <f t="array" ref="D4635">xlookup($A4635,product!$A:$A,product!D:D)</f>
        <v>Huile de colza</v>
      </c>
      <c r="E4635" s="25" t="str">
        <f t="shared" si="1"/>
        <v>129473-Huiles alimentaires bio-Huile de colza</v>
      </c>
      <c r="F4635" s="25">
        <v>1.0</v>
      </c>
      <c r="G4635" s="25">
        <v>2.0</v>
      </c>
      <c r="H4635" s="25">
        <v>1.0</v>
      </c>
      <c r="I4635" s="26">
        <f t="array" ref="I4635">XLOOKUP($A4635,product!A:A,product!E:E)</f>
        <v>2.97</v>
      </c>
      <c r="J4635" s="25">
        <f t="shared" si="2"/>
        <v>2.97</v>
      </c>
      <c r="K4635" s="27">
        <f t="shared" si="3"/>
        <v>1</v>
      </c>
      <c r="L4635" s="25">
        <f t="shared" si="4"/>
        <v>1</v>
      </c>
    </row>
    <row r="4636">
      <c r="A4636" s="19">
        <v>78904.0</v>
      </c>
      <c r="B4636" s="20" t="str">
        <f t="array" ref="B4636">xlookup($A4636,product!$A:$A,product!B:B)</f>
        <v>Epicerie salée</v>
      </c>
      <c r="C4636" s="20" t="str">
        <f t="array" ref="C4636">xlookup($A4636,product!$A:$A,product!C:C)</f>
        <v>Huiles alimentaires bio</v>
      </c>
      <c r="D4636" s="20" t="str">
        <f t="array" ref="D4636">xlookup($A4636,product!$A:$A,product!D:D)</f>
        <v>Huile de colza</v>
      </c>
      <c r="E4636" s="4" t="str">
        <f t="shared" si="1"/>
        <v>78904-Huiles alimentaires bio-Huile de colza</v>
      </c>
      <c r="F4636" s="4">
        <v>0.0</v>
      </c>
      <c r="G4636" s="4">
        <v>920.0</v>
      </c>
      <c r="H4636" s="4">
        <v>523.0</v>
      </c>
      <c r="I4636" s="21">
        <f t="array" ref="I4636">XLOOKUP($A4636,product!A:A,product!E:E)</f>
        <v>5.97</v>
      </c>
      <c r="J4636" s="4">
        <f t="shared" si="2"/>
        <v>3122.31</v>
      </c>
      <c r="K4636" s="22">
        <f t="shared" si="3"/>
        <v>1</v>
      </c>
      <c r="L4636" s="4">
        <f t="shared" si="4"/>
        <v>1</v>
      </c>
    </row>
    <row r="4637">
      <c r="A4637" s="23">
        <v>122311.0</v>
      </c>
      <c r="B4637" s="24" t="str">
        <f t="array" ref="B4637">xlookup($A4637,product!$A:$A,product!B:B)</f>
        <v>Epicerie salée</v>
      </c>
      <c r="C4637" s="24" t="str">
        <f t="array" ref="C4637">xlookup($A4637,product!$A:$A,product!C:C)</f>
        <v>Huiles alimentaires bio</v>
      </c>
      <c r="D4637" s="24" t="str">
        <f t="array" ref="D4637">xlookup($A4637,product!$A:$A,product!D:D)</f>
        <v>Huile de fruits</v>
      </c>
      <c r="E4637" s="25" t="str">
        <f t="shared" si="1"/>
        <v>122311-Huiles alimentaires bio-Huile de fruits</v>
      </c>
      <c r="F4637" s="25">
        <v>1.0</v>
      </c>
      <c r="G4637" s="25">
        <v>534.0</v>
      </c>
      <c r="H4637" s="25">
        <v>346.0</v>
      </c>
      <c r="I4637" s="26">
        <f t="array" ref="I4637">XLOOKUP($A4637,product!A:A,product!E:E)</f>
        <v>3.17</v>
      </c>
      <c r="J4637" s="25">
        <f t="shared" si="2"/>
        <v>1096.82</v>
      </c>
      <c r="K4637" s="27">
        <f t="shared" si="3"/>
        <v>1</v>
      </c>
      <c r="L4637" s="25">
        <f t="shared" si="4"/>
        <v>1</v>
      </c>
    </row>
    <row r="4638">
      <c r="A4638" s="19">
        <v>86172.0</v>
      </c>
      <c r="B4638" s="20" t="str">
        <f t="array" ref="B4638">xlookup($A4638,product!$A:$A,product!B:B)</f>
        <v>Epicerie salée</v>
      </c>
      <c r="C4638" s="20" t="str">
        <f t="array" ref="C4638">xlookup($A4638,product!$A:$A,product!C:C)</f>
        <v>Huiles alimentaires bio</v>
      </c>
      <c r="D4638" s="20" t="str">
        <f t="array" ref="D4638">xlookup($A4638,product!$A:$A,product!D:D)</f>
        <v>Huile de graines</v>
      </c>
      <c r="E4638" s="4" t="str">
        <f t="shared" si="1"/>
        <v>86172-Huiles alimentaires bio-Huile de graines</v>
      </c>
      <c r="F4638" s="4">
        <v>1.0</v>
      </c>
      <c r="G4638" s="4">
        <v>197.0</v>
      </c>
      <c r="H4638" s="4">
        <v>106.0</v>
      </c>
      <c r="I4638" s="21">
        <f t="array" ref="I4638">XLOOKUP($A4638,product!A:A,product!E:E)</f>
        <v>5</v>
      </c>
      <c r="J4638" s="4">
        <f t="shared" si="2"/>
        <v>530</v>
      </c>
      <c r="K4638" s="22">
        <f t="shared" si="3"/>
        <v>1</v>
      </c>
      <c r="L4638" s="4">
        <f t="shared" si="4"/>
        <v>1</v>
      </c>
    </row>
    <row r="4639">
      <c r="A4639" s="23">
        <v>17592.0</v>
      </c>
      <c r="B4639" s="24" t="str">
        <f t="array" ref="B4639">xlookup($A4639,product!$A:$A,product!B:B)</f>
        <v>Epicerie salée</v>
      </c>
      <c r="C4639" s="24" t="str">
        <f t="array" ref="C4639">xlookup($A4639,product!$A:$A,product!C:C)</f>
        <v>Huiles alimentaires bio</v>
      </c>
      <c r="D4639" s="24" t="str">
        <f t="array" ref="D4639">xlookup($A4639,product!$A:$A,product!D:D)</f>
        <v>Huile de graines</v>
      </c>
      <c r="E4639" s="25" t="str">
        <f t="shared" si="1"/>
        <v>17592-Huiles alimentaires bio-Huile de graines</v>
      </c>
      <c r="F4639" s="25">
        <v>1.0</v>
      </c>
      <c r="G4639" s="25">
        <v>660.0</v>
      </c>
      <c r="H4639" s="25">
        <v>637.0</v>
      </c>
      <c r="I4639" s="26">
        <f t="array" ref="I4639">XLOOKUP($A4639,product!A:A,product!E:E)</f>
        <v>5.75</v>
      </c>
      <c r="J4639" s="25">
        <f t="shared" si="2"/>
        <v>3662.75</v>
      </c>
      <c r="K4639" s="27">
        <f t="shared" si="3"/>
        <v>1</v>
      </c>
      <c r="L4639" s="25">
        <f t="shared" si="4"/>
        <v>1</v>
      </c>
    </row>
    <row r="4640">
      <c r="A4640" s="19">
        <v>89981.0</v>
      </c>
      <c r="B4640" s="20" t="str">
        <f t="array" ref="B4640">xlookup($A4640,product!$A:$A,product!B:B)</f>
        <v>Epicerie salée</v>
      </c>
      <c r="C4640" s="20" t="str">
        <f t="array" ref="C4640">xlookup($A4640,product!$A:$A,product!C:C)</f>
        <v>Huiles alimentaires bio</v>
      </c>
      <c r="D4640" s="20" t="str">
        <f t="array" ref="D4640">xlookup($A4640,product!$A:$A,product!D:D)</f>
        <v>Huile de graines</v>
      </c>
      <c r="E4640" s="4" t="str">
        <f t="shared" si="1"/>
        <v>89981-Huiles alimentaires bio-Huile de graines</v>
      </c>
      <c r="F4640" s="4">
        <v>0.0</v>
      </c>
      <c r="G4640" s="4">
        <v>31.0</v>
      </c>
      <c r="H4640" s="4">
        <v>9.0</v>
      </c>
      <c r="I4640" s="21">
        <f t="array" ref="I4640">XLOOKUP($A4640,product!A:A,product!E:E)</f>
        <v>4.06</v>
      </c>
      <c r="J4640" s="4">
        <f t="shared" si="2"/>
        <v>36.54</v>
      </c>
      <c r="K4640" s="22">
        <f t="shared" si="3"/>
        <v>1</v>
      </c>
      <c r="L4640" s="4">
        <f t="shared" si="4"/>
        <v>1</v>
      </c>
    </row>
    <row r="4641">
      <c r="A4641" s="23">
        <v>71399.0</v>
      </c>
      <c r="B4641" s="24" t="str">
        <f t="array" ref="B4641">xlookup($A4641,product!$A:$A,product!B:B)</f>
        <v>Epicerie salée</v>
      </c>
      <c r="C4641" s="24" t="str">
        <f t="array" ref="C4641">xlookup($A4641,product!$A:$A,product!C:C)</f>
        <v>Huiles alimentaires bio</v>
      </c>
      <c r="D4641" s="24" t="str">
        <f t="array" ref="D4641">xlookup($A4641,product!$A:$A,product!D:D)</f>
        <v>Huile de graines</v>
      </c>
      <c r="E4641" s="25" t="str">
        <f t="shared" si="1"/>
        <v>71399-Huiles alimentaires bio-Huile de graines</v>
      </c>
      <c r="F4641" s="25">
        <v>1.0</v>
      </c>
      <c r="G4641" s="25">
        <v>88.0</v>
      </c>
      <c r="H4641" s="25">
        <v>72.0</v>
      </c>
      <c r="I4641" s="26">
        <f t="array" ref="I4641">XLOOKUP($A4641,product!A:A,product!E:E)</f>
        <v>4.1</v>
      </c>
      <c r="J4641" s="25">
        <f t="shared" si="2"/>
        <v>295.2</v>
      </c>
      <c r="K4641" s="27">
        <f t="shared" si="3"/>
        <v>1</v>
      </c>
      <c r="L4641" s="25">
        <f t="shared" si="4"/>
        <v>1</v>
      </c>
    </row>
    <row r="4642">
      <c r="A4642" s="19">
        <v>17587.0</v>
      </c>
      <c r="B4642" s="20" t="str">
        <f t="array" ref="B4642">xlookup($A4642,product!$A:$A,product!B:B)</f>
        <v>Epicerie salée</v>
      </c>
      <c r="C4642" s="20" t="str">
        <f t="array" ref="C4642">xlookup($A4642,product!$A:$A,product!C:C)</f>
        <v>Huiles alimentaires bio</v>
      </c>
      <c r="D4642" s="20" t="str">
        <f t="array" ref="D4642">xlookup($A4642,product!$A:$A,product!D:D)</f>
        <v>Huile de graines</v>
      </c>
      <c r="E4642" s="4" t="str">
        <f t="shared" si="1"/>
        <v>17587-Huiles alimentaires bio-Huile de graines</v>
      </c>
      <c r="F4642" s="4">
        <v>1.0</v>
      </c>
      <c r="G4642" s="4">
        <v>430.0</v>
      </c>
      <c r="H4642" s="4">
        <v>9.0</v>
      </c>
      <c r="I4642" s="21">
        <f t="array" ref="I4642">XLOOKUP($A4642,product!A:A,product!E:E)</f>
        <v>3.94</v>
      </c>
      <c r="J4642" s="4">
        <f t="shared" si="2"/>
        <v>35.46</v>
      </c>
      <c r="K4642" s="22">
        <f t="shared" si="3"/>
        <v>1</v>
      </c>
      <c r="L4642" s="4">
        <f t="shared" si="4"/>
        <v>1</v>
      </c>
    </row>
    <row r="4643">
      <c r="A4643" s="23">
        <v>17647.0</v>
      </c>
      <c r="B4643" s="24" t="str">
        <f t="array" ref="B4643">xlookup($A4643,product!$A:$A,product!B:B)</f>
        <v>Epicerie salée</v>
      </c>
      <c r="C4643" s="24" t="str">
        <f t="array" ref="C4643">xlookup($A4643,product!$A:$A,product!C:C)</f>
        <v>Huiles alimentaires bio</v>
      </c>
      <c r="D4643" s="24" t="str">
        <f t="array" ref="D4643">xlookup($A4643,product!$A:$A,product!D:D)</f>
        <v>Huile de graines</v>
      </c>
      <c r="E4643" s="25" t="str">
        <f t="shared" si="1"/>
        <v>17647-Huiles alimentaires bio-Huile de graines</v>
      </c>
      <c r="F4643" s="25">
        <v>1.0</v>
      </c>
      <c r="G4643" s="25">
        <v>14.0</v>
      </c>
      <c r="H4643" s="25">
        <v>0.0</v>
      </c>
      <c r="I4643" s="26">
        <f t="array" ref="I4643">XLOOKUP($A4643,product!A:A,product!E:E)</f>
        <v>6.97</v>
      </c>
      <c r="J4643" s="25">
        <f t="shared" si="2"/>
        <v>0</v>
      </c>
      <c r="K4643" s="27">
        <f t="shared" si="3"/>
        <v>0</v>
      </c>
      <c r="L4643" s="25">
        <f t="shared" si="4"/>
        <v>1</v>
      </c>
    </row>
    <row r="4644">
      <c r="A4644" s="19">
        <v>107364.0</v>
      </c>
      <c r="B4644" s="20" t="str">
        <f t="array" ref="B4644">xlookup($A4644,product!$A:$A,product!B:B)</f>
        <v>Epicerie salée</v>
      </c>
      <c r="C4644" s="20" t="str">
        <f t="array" ref="C4644">xlookup($A4644,product!$A:$A,product!C:C)</f>
        <v>Huiles alimentaires bio</v>
      </c>
      <c r="D4644" s="20" t="str">
        <f t="array" ref="D4644">xlookup($A4644,product!$A:$A,product!D:D)</f>
        <v>Huile de graines</v>
      </c>
      <c r="E4644" s="4" t="str">
        <f t="shared" si="1"/>
        <v>107364-Huiles alimentaires bio-Huile de graines</v>
      </c>
      <c r="F4644" s="4">
        <v>0.0</v>
      </c>
      <c r="G4644" s="4">
        <v>55.0</v>
      </c>
      <c r="H4644" s="4">
        <v>51.0</v>
      </c>
      <c r="I4644" s="21">
        <f t="array" ref="I4644">XLOOKUP($A4644,product!A:A,product!E:E)</f>
        <v>7.12</v>
      </c>
      <c r="J4644" s="4">
        <f t="shared" si="2"/>
        <v>363.12</v>
      </c>
      <c r="K4644" s="22">
        <f t="shared" si="3"/>
        <v>1</v>
      </c>
      <c r="L4644" s="4">
        <f t="shared" si="4"/>
        <v>1</v>
      </c>
    </row>
    <row r="4645">
      <c r="A4645" s="23">
        <v>24118.0</v>
      </c>
      <c r="B4645" s="24" t="str">
        <f t="array" ref="B4645">xlookup($A4645,product!$A:$A,product!B:B)</f>
        <v>Epicerie salée</v>
      </c>
      <c r="C4645" s="24" t="str">
        <f t="array" ref="C4645">xlookup($A4645,product!$A:$A,product!C:C)</f>
        <v>Huiles alimentaires bio</v>
      </c>
      <c r="D4645" s="24" t="str">
        <f t="array" ref="D4645">xlookup($A4645,product!$A:$A,product!D:D)</f>
        <v>Huile de pépins</v>
      </c>
      <c r="E4645" s="25" t="str">
        <f t="shared" si="1"/>
        <v>24118-Huiles alimentaires bio-Huile de pépins</v>
      </c>
      <c r="F4645" s="25">
        <v>0.0</v>
      </c>
      <c r="G4645" s="25">
        <v>645.0</v>
      </c>
      <c r="H4645" s="25">
        <v>67.0</v>
      </c>
      <c r="I4645" s="26">
        <f t="array" ref="I4645">XLOOKUP($A4645,product!A:A,product!E:E)</f>
        <v>5.36</v>
      </c>
      <c r="J4645" s="25">
        <f t="shared" si="2"/>
        <v>359.12</v>
      </c>
      <c r="K4645" s="27">
        <f t="shared" si="3"/>
        <v>1</v>
      </c>
      <c r="L4645" s="25">
        <f t="shared" si="4"/>
        <v>1</v>
      </c>
    </row>
    <row r="4646">
      <c r="A4646" s="19">
        <v>86181.0</v>
      </c>
      <c r="B4646" s="20" t="str">
        <f t="array" ref="B4646">xlookup($A4646,product!$A:$A,product!B:B)</f>
        <v>Epicerie salée</v>
      </c>
      <c r="C4646" s="20" t="str">
        <f t="array" ref="C4646">xlookup($A4646,product!$A:$A,product!C:C)</f>
        <v>Huiles alimentaires bio</v>
      </c>
      <c r="D4646" s="20" t="str">
        <f t="array" ref="D4646">xlookup($A4646,product!$A:$A,product!D:D)</f>
        <v>Huile de sésame</v>
      </c>
      <c r="E4646" s="4" t="str">
        <f t="shared" si="1"/>
        <v>86181-Huiles alimentaires bio-Huile de sésame</v>
      </c>
      <c r="F4646" s="4">
        <v>1.0</v>
      </c>
      <c r="G4646" s="4">
        <v>635.0</v>
      </c>
      <c r="H4646" s="4">
        <v>412.0</v>
      </c>
      <c r="I4646" s="21">
        <f t="array" ref="I4646">XLOOKUP($A4646,product!A:A,product!E:E)</f>
        <v>5.92</v>
      </c>
      <c r="J4646" s="4">
        <f t="shared" si="2"/>
        <v>2439.04</v>
      </c>
      <c r="K4646" s="22">
        <f t="shared" si="3"/>
        <v>1</v>
      </c>
      <c r="L4646" s="4">
        <f t="shared" si="4"/>
        <v>1</v>
      </c>
    </row>
    <row r="4647">
      <c r="A4647" s="23">
        <v>129474.0</v>
      </c>
      <c r="B4647" s="24" t="str">
        <f t="array" ref="B4647">xlookup($A4647,product!$A:$A,product!B:B)</f>
        <v>Epicerie salée</v>
      </c>
      <c r="C4647" s="24" t="str">
        <f t="array" ref="C4647">xlookup($A4647,product!$A:$A,product!C:C)</f>
        <v>Huiles alimentaires bio</v>
      </c>
      <c r="D4647" s="24" t="str">
        <f t="array" ref="D4647">xlookup($A4647,product!$A:$A,product!D:D)</f>
        <v>Huile de sésame</v>
      </c>
      <c r="E4647" s="25" t="str">
        <f t="shared" si="1"/>
        <v>129474-Huiles alimentaires bio-Huile de sésame</v>
      </c>
      <c r="F4647" s="25">
        <v>1.0</v>
      </c>
      <c r="G4647" s="25">
        <v>405.0</v>
      </c>
      <c r="H4647" s="25">
        <v>132.0</v>
      </c>
      <c r="I4647" s="26">
        <f t="array" ref="I4647">XLOOKUP($A4647,product!A:A,product!E:E)</f>
        <v>5.52</v>
      </c>
      <c r="J4647" s="25">
        <f t="shared" si="2"/>
        <v>728.64</v>
      </c>
      <c r="K4647" s="27">
        <f t="shared" si="3"/>
        <v>1</v>
      </c>
      <c r="L4647" s="25">
        <f t="shared" si="4"/>
        <v>1</v>
      </c>
    </row>
    <row r="4648">
      <c r="A4648" s="19">
        <v>17601.0</v>
      </c>
      <c r="B4648" s="20" t="str">
        <f t="array" ref="B4648">xlookup($A4648,product!$A:$A,product!B:B)</f>
        <v>Epicerie salée</v>
      </c>
      <c r="C4648" s="20" t="str">
        <f t="array" ref="C4648">xlookup($A4648,product!$A:$A,product!C:C)</f>
        <v>Huiles alimentaires bio</v>
      </c>
      <c r="D4648" s="20" t="str">
        <f t="array" ref="D4648">xlookup($A4648,product!$A:$A,product!D:D)</f>
        <v>Huile de sésame</v>
      </c>
      <c r="E4648" s="4" t="str">
        <f t="shared" si="1"/>
        <v>17601-Huiles alimentaires bio-Huile de sésame</v>
      </c>
      <c r="F4648" s="4">
        <v>1.0</v>
      </c>
      <c r="G4648" s="4">
        <v>915.0</v>
      </c>
      <c r="H4648" s="4">
        <v>246.0</v>
      </c>
      <c r="I4648" s="21">
        <f t="array" ref="I4648">XLOOKUP($A4648,product!A:A,product!E:E)</f>
        <v>4.84</v>
      </c>
      <c r="J4648" s="4">
        <f t="shared" si="2"/>
        <v>1190.64</v>
      </c>
      <c r="K4648" s="22">
        <f t="shared" si="3"/>
        <v>1</v>
      </c>
      <c r="L4648" s="4">
        <f t="shared" si="4"/>
        <v>1</v>
      </c>
    </row>
    <row r="4649">
      <c r="A4649" s="23">
        <v>78938.0</v>
      </c>
      <c r="B4649" s="24" t="str">
        <f t="array" ref="B4649">xlookup($A4649,product!$A:$A,product!B:B)</f>
        <v>Epicerie salée</v>
      </c>
      <c r="C4649" s="24" t="str">
        <f t="array" ref="C4649">xlookup($A4649,product!$A:$A,product!C:C)</f>
        <v>Huiles alimentaires bio</v>
      </c>
      <c r="D4649" s="24" t="str">
        <f t="array" ref="D4649">xlookup($A4649,product!$A:$A,product!D:D)</f>
        <v>Huile de sésame</v>
      </c>
      <c r="E4649" s="25" t="str">
        <f t="shared" si="1"/>
        <v>78938-Huiles alimentaires bio-Huile de sésame</v>
      </c>
      <c r="F4649" s="25">
        <v>1.0</v>
      </c>
      <c r="G4649" s="25">
        <v>898.0</v>
      </c>
      <c r="H4649" s="25">
        <v>229.0</v>
      </c>
      <c r="I4649" s="26">
        <f t="array" ref="I4649">XLOOKUP($A4649,product!A:A,product!E:E)</f>
        <v>5.45</v>
      </c>
      <c r="J4649" s="25">
        <f t="shared" si="2"/>
        <v>1248.05</v>
      </c>
      <c r="K4649" s="27">
        <f t="shared" si="3"/>
        <v>1</v>
      </c>
      <c r="L4649" s="25">
        <f t="shared" si="4"/>
        <v>1</v>
      </c>
    </row>
    <row r="4650">
      <c r="A4650" s="19">
        <v>17609.0</v>
      </c>
      <c r="B4650" s="20" t="str">
        <f t="array" ref="B4650">xlookup($A4650,product!$A:$A,product!B:B)</f>
        <v>Epicerie salée</v>
      </c>
      <c r="C4650" s="20" t="str">
        <f t="array" ref="C4650">xlookup($A4650,product!$A:$A,product!C:C)</f>
        <v>Huiles alimentaires bio</v>
      </c>
      <c r="D4650" s="20" t="str">
        <f t="array" ref="D4650">xlookup($A4650,product!$A:$A,product!D:D)</f>
        <v>Huile de sésame</v>
      </c>
      <c r="E4650" s="4" t="str">
        <f t="shared" si="1"/>
        <v>17609-Huiles alimentaires bio-Huile de sésame</v>
      </c>
      <c r="F4650" s="4">
        <v>0.0</v>
      </c>
      <c r="G4650" s="4">
        <v>503.0</v>
      </c>
      <c r="H4650" s="4">
        <v>205.0</v>
      </c>
      <c r="I4650" s="21">
        <f t="array" ref="I4650">XLOOKUP($A4650,product!A:A,product!E:E)</f>
        <v>7.33</v>
      </c>
      <c r="J4650" s="4">
        <f t="shared" si="2"/>
        <v>1502.65</v>
      </c>
      <c r="K4650" s="22">
        <f t="shared" si="3"/>
        <v>1</v>
      </c>
      <c r="L4650" s="4">
        <f t="shared" si="4"/>
        <v>1</v>
      </c>
    </row>
    <row r="4651">
      <c r="A4651" s="23">
        <v>129452.0</v>
      </c>
      <c r="B4651" s="24" t="str">
        <f t="array" ref="B4651">xlookup($A4651,product!$A:$A,product!B:B)</f>
        <v>Epicerie salée</v>
      </c>
      <c r="C4651" s="24" t="str">
        <f t="array" ref="C4651">xlookup($A4651,product!$A:$A,product!C:C)</f>
        <v>Huiles alimentaires bio</v>
      </c>
      <c r="D4651" s="24" t="str">
        <f t="array" ref="D4651">xlookup($A4651,product!$A:$A,product!D:D)</f>
        <v>Huile de tournesol</v>
      </c>
      <c r="E4651" s="25" t="str">
        <f t="shared" si="1"/>
        <v>129452-Huiles alimentaires bio-Huile de tournesol</v>
      </c>
      <c r="F4651" s="25">
        <v>1.0</v>
      </c>
      <c r="G4651" s="25">
        <v>855.0</v>
      </c>
      <c r="H4651" s="25">
        <v>207.0</v>
      </c>
      <c r="I4651" s="26">
        <f t="array" ref="I4651">XLOOKUP($A4651,product!A:A,product!E:E)</f>
        <v>2.41</v>
      </c>
      <c r="J4651" s="25">
        <f t="shared" si="2"/>
        <v>498.87</v>
      </c>
      <c r="K4651" s="27">
        <f t="shared" si="3"/>
        <v>1</v>
      </c>
      <c r="L4651" s="25">
        <f t="shared" si="4"/>
        <v>1</v>
      </c>
    </row>
    <row r="4652">
      <c r="A4652" s="19">
        <v>88587.0</v>
      </c>
      <c r="B4652" s="20" t="str">
        <f t="array" ref="B4652">xlookup($A4652,product!$A:$A,product!B:B)</f>
        <v>Epicerie salée</v>
      </c>
      <c r="C4652" s="20" t="str">
        <f t="array" ref="C4652">xlookup($A4652,product!$A:$A,product!C:C)</f>
        <v>Huiles alimentaires bio</v>
      </c>
      <c r="D4652" s="20" t="str">
        <f t="array" ref="D4652">xlookup($A4652,product!$A:$A,product!D:D)</f>
        <v>Huile de tournesol</v>
      </c>
      <c r="E4652" s="4" t="str">
        <f t="shared" si="1"/>
        <v>88587-Huiles alimentaires bio-Huile de tournesol</v>
      </c>
      <c r="F4652" s="4">
        <v>0.0</v>
      </c>
      <c r="G4652" s="4">
        <v>106.0</v>
      </c>
      <c r="H4652" s="4">
        <v>82.0</v>
      </c>
      <c r="I4652" s="21">
        <f t="array" ref="I4652">XLOOKUP($A4652,product!A:A,product!E:E)</f>
        <v>3.69</v>
      </c>
      <c r="J4652" s="4">
        <f t="shared" si="2"/>
        <v>302.58</v>
      </c>
      <c r="K4652" s="22">
        <f t="shared" si="3"/>
        <v>1</v>
      </c>
      <c r="L4652" s="4">
        <f t="shared" si="4"/>
        <v>1</v>
      </c>
    </row>
    <row r="4653">
      <c r="A4653" s="23">
        <v>17645.0</v>
      </c>
      <c r="B4653" s="24" t="str">
        <f t="array" ref="B4653">xlookup($A4653,product!$A:$A,product!B:B)</f>
        <v>Epicerie salée</v>
      </c>
      <c r="C4653" s="24" t="str">
        <f t="array" ref="C4653">xlookup($A4653,product!$A:$A,product!C:C)</f>
        <v>Huiles alimentaires bio</v>
      </c>
      <c r="D4653" s="24" t="str">
        <f t="array" ref="D4653">xlookup($A4653,product!$A:$A,product!D:D)</f>
        <v>Huile de tournesol</v>
      </c>
      <c r="E4653" s="25" t="str">
        <f t="shared" si="1"/>
        <v>17645-Huiles alimentaires bio-Huile de tournesol</v>
      </c>
      <c r="F4653" s="25">
        <v>1.0</v>
      </c>
      <c r="G4653" s="25">
        <v>389.0</v>
      </c>
      <c r="H4653" s="25">
        <v>387.0</v>
      </c>
      <c r="I4653" s="26">
        <f t="array" ref="I4653">XLOOKUP($A4653,product!A:A,product!E:E)</f>
        <v>5.17</v>
      </c>
      <c r="J4653" s="25">
        <f t="shared" si="2"/>
        <v>2000.79</v>
      </c>
      <c r="K4653" s="27">
        <f t="shared" si="3"/>
        <v>1</v>
      </c>
      <c r="L4653" s="25">
        <f t="shared" si="4"/>
        <v>1</v>
      </c>
    </row>
    <row r="4654">
      <c r="A4654" s="19">
        <v>78899.0</v>
      </c>
      <c r="B4654" s="20" t="str">
        <f t="array" ref="B4654">xlookup($A4654,product!$A:$A,product!B:B)</f>
        <v>Epicerie salée</v>
      </c>
      <c r="C4654" s="20" t="str">
        <f t="array" ref="C4654">xlookup($A4654,product!$A:$A,product!C:C)</f>
        <v>Huiles alimentaires bio</v>
      </c>
      <c r="D4654" s="20" t="str">
        <f t="array" ref="D4654">xlookup($A4654,product!$A:$A,product!D:D)</f>
        <v>Huile de tournesol</v>
      </c>
      <c r="E4654" s="4" t="str">
        <f t="shared" si="1"/>
        <v>78899-Huiles alimentaires bio-Huile de tournesol</v>
      </c>
      <c r="F4654" s="4">
        <v>1.0</v>
      </c>
      <c r="G4654" s="4">
        <v>109.0</v>
      </c>
      <c r="H4654" s="4">
        <v>39.0</v>
      </c>
      <c r="I4654" s="21">
        <f t="array" ref="I4654">XLOOKUP($A4654,product!A:A,product!E:E)</f>
        <v>4.63</v>
      </c>
      <c r="J4654" s="4">
        <f t="shared" si="2"/>
        <v>180.57</v>
      </c>
      <c r="K4654" s="22">
        <f t="shared" si="3"/>
        <v>1</v>
      </c>
      <c r="L4654" s="4">
        <f t="shared" si="4"/>
        <v>1</v>
      </c>
    </row>
    <row r="4655">
      <c r="A4655" s="23">
        <v>71402.0</v>
      </c>
      <c r="B4655" s="24" t="str">
        <f t="array" ref="B4655">xlookup($A4655,product!$A:$A,product!B:B)</f>
        <v>Epicerie salée</v>
      </c>
      <c r="C4655" s="24" t="str">
        <f t="array" ref="C4655">xlookup($A4655,product!$A:$A,product!C:C)</f>
        <v>Huiles alimentaires bio</v>
      </c>
      <c r="D4655" s="24" t="str">
        <f t="array" ref="D4655">xlookup($A4655,product!$A:$A,product!D:D)</f>
        <v>Huile de tournesol</v>
      </c>
      <c r="E4655" s="25" t="str">
        <f t="shared" si="1"/>
        <v>71402-Huiles alimentaires bio-Huile de tournesol</v>
      </c>
      <c r="F4655" s="25">
        <v>0.0</v>
      </c>
      <c r="G4655" s="25">
        <v>210.0</v>
      </c>
      <c r="H4655" s="25">
        <v>47.0</v>
      </c>
      <c r="I4655" s="26">
        <f t="array" ref="I4655">XLOOKUP($A4655,product!A:A,product!E:E)</f>
        <v>3.34</v>
      </c>
      <c r="J4655" s="25">
        <f t="shared" si="2"/>
        <v>156.98</v>
      </c>
      <c r="K4655" s="27">
        <f t="shared" si="3"/>
        <v>1</v>
      </c>
      <c r="L4655" s="25">
        <f t="shared" si="4"/>
        <v>1</v>
      </c>
    </row>
    <row r="4656">
      <c r="A4656" s="19">
        <v>12875.0</v>
      </c>
      <c r="B4656" s="20" t="str">
        <f t="array" ref="B4656">xlookup($A4656,product!$A:$A,product!B:B)</f>
        <v>Epicerie salée</v>
      </c>
      <c r="C4656" s="20" t="str">
        <f t="array" ref="C4656">xlookup($A4656,product!$A:$A,product!C:C)</f>
        <v>Huiles alimentaires bio</v>
      </c>
      <c r="D4656" s="20" t="str">
        <f t="array" ref="D4656">xlookup($A4656,product!$A:$A,product!D:D)</f>
        <v>Huile de tournesol</v>
      </c>
      <c r="E4656" s="4" t="str">
        <f t="shared" si="1"/>
        <v>12875-Huiles alimentaires bio-Huile de tournesol</v>
      </c>
      <c r="F4656" s="4">
        <v>0.0</v>
      </c>
      <c r="G4656" s="4">
        <v>799.0</v>
      </c>
      <c r="H4656" s="4">
        <v>186.0</v>
      </c>
      <c r="I4656" s="21">
        <f t="array" ref="I4656">XLOOKUP($A4656,product!A:A,product!E:E)</f>
        <v>11.8</v>
      </c>
      <c r="J4656" s="4">
        <f t="shared" si="2"/>
        <v>2194.8</v>
      </c>
      <c r="K4656" s="22">
        <f t="shared" si="3"/>
        <v>1</v>
      </c>
      <c r="L4656" s="4">
        <f t="shared" si="4"/>
        <v>1</v>
      </c>
    </row>
    <row r="4657">
      <c r="A4657" s="23">
        <v>17615.0</v>
      </c>
      <c r="B4657" s="24" t="str">
        <f t="array" ref="B4657">xlookup($A4657,product!$A:$A,product!B:B)</f>
        <v>Epicerie salée</v>
      </c>
      <c r="C4657" s="24" t="str">
        <f t="array" ref="C4657">xlookup($A4657,product!$A:$A,product!C:C)</f>
        <v>Huiles alimentaires bio</v>
      </c>
      <c r="D4657" s="24" t="str">
        <f t="array" ref="D4657">xlookup($A4657,product!$A:$A,product!D:D)</f>
        <v>Huile de tournesol</v>
      </c>
      <c r="E4657" s="25" t="str">
        <f t="shared" si="1"/>
        <v>17615-Huiles alimentaires bio-Huile de tournesol</v>
      </c>
      <c r="F4657" s="25">
        <v>0.0</v>
      </c>
      <c r="G4657" s="25">
        <v>541.0</v>
      </c>
      <c r="H4657" s="25">
        <v>263.0</v>
      </c>
      <c r="I4657" s="26">
        <f t="array" ref="I4657">XLOOKUP($A4657,product!A:A,product!E:E)</f>
        <v>4.71</v>
      </c>
      <c r="J4657" s="25">
        <f t="shared" si="2"/>
        <v>1238.73</v>
      </c>
      <c r="K4657" s="27">
        <f t="shared" si="3"/>
        <v>1</v>
      </c>
      <c r="L4657" s="25">
        <f t="shared" si="4"/>
        <v>1</v>
      </c>
    </row>
    <row r="4658">
      <c r="A4658" s="19">
        <v>193116.0</v>
      </c>
      <c r="B4658" s="20" t="str">
        <f t="array" ref="B4658">xlookup($A4658,product!$A:$A,product!B:B)</f>
        <v>Epicerie salée</v>
      </c>
      <c r="C4658" s="20" t="str">
        <f t="array" ref="C4658">xlookup($A4658,product!$A:$A,product!C:C)</f>
        <v>Huiles alimentaires bio</v>
      </c>
      <c r="D4658" s="20" t="str">
        <f t="array" ref="D4658">xlookup($A4658,product!$A:$A,product!D:D)</f>
        <v>Huile de tournesol</v>
      </c>
      <c r="E4658" s="4" t="str">
        <f t="shared" si="1"/>
        <v>193116-Huiles alimentaires bio-Huile de tournesol</v>
      </c>
      <c r="F4658" s="4">
        <v>1.0</v>
      </c>
      <c r="G4658" s="4">
        <v>648.0</v>
      </c>
      <c r="H4658" s="4">
        <v>366.0</v>
      </c>
      <c r="I4658" s="21">
        <f t="array" ref="I4658">XLOOKUP($A4658,product!A:A,product!E:E)</f>
        <v>4.04</v>
      </c>
      <c r="J4658" s="4">
        <f t="shared" si="2"/>
        <v>1478.64</v>
      </c>
      <c r="K4658" s="22">
        <f t="shared" si="3"/>
        <v>1</v>
      </c>
      <c r="L4658" s="4">
        <f t="shared" si="4"/>
        <v>1</v>
      </c>
    </row>
    <row r="4659">
      <c r="A4659" s="23">
        <v>72577.0</v>
      </c>
      <c r="B4659" s="24" t="str">
        <f t="array" ref="B4659">xlookup($A4659,product!$A:$A,product!B:B)</f>
        <v>Epicerie salée</v>
      </c>
      <c r="C4659" s="24" t="str">
        <f t="array" ref="C4659">xlookup($A4659,product!$A:$A,product!C:C)</f>
        <v>Huiles alimentaires bio</v>
      </c>
      <c r="D4659" s="24" t="str">
        <f t="array" ref="D4659">xlookup($A4659,product!$A:$A,product!D:D)</f>
        <v>Huile de tournesol</v>
      </c>
      <c r="E4659" s="25" t="str">
        <f t="shared" si="1"/>
        <v>72577-Huiles alimentaires bio-Huile de tournesol</v>
      </c>
      <c r="F4659" s="25">
        <v>0.0</v>
      </c>
      <c r="G4659" s="25">
        <v>441.0</v>
      </c>
      <c r="H4659" s="25">
        <v>408.0</v>
      </c>
      <c r="I4659" s="26">
        <f t="array" ref="I4659">XLOOKUP($A4659,product!A:A,product!E:E)</f>
        <v>12.57</v>
      </c>
      <c r="J4659" s="25">
        <f t="shared" si="2"/>
        <v>5128.56</v>
      </c>
      <c r="K4659" s="27">
        <f t="shared" si="3"/>
        <v>1</v>
      </c>
      <c r="L4659" s="25">
        <f t="shared" si="4"/>
        <v>1</v>
      </c>
    </row>
    <row r="4660">
      <c r="A4660" s="19">
        <v>78916.0</v>
      </c>
      <c r="B4660" s="20" t="str">
        <f t="array" ref="B4660">xlookup($A4660,product!$A:$A,product!B:B)</f>
        <v>Epicerie salée</v>
      </c>
      <c r="C4660" s="20" t="str">
        <f t="array" ref="C4660">xlookup($A4660,product!$A:$A,product!C:C)</f>
        <v>Huiles alimentaires bio</v>
      </c>
      <c r="D4660" s="20" t="str">
        <f t="array" ref="D4660">xlookup($A4660,product!$A:$A,product!D:D)</f>
        <v>Mélanges d'huiles</v>
      </c>
      <c r="E4660" s="4" t="str">
        <f t="shared" si="1"/>
        <v>78916-Huiles alimentaires bio-Mélanges d'huiles</v>
      </c>
      <c r="F4660" s="4">
        <v>0.0</v>
      </c>
      <c r="G4660" s="4">
        <v>94.0</v>
      </c>
      <c r="H4660" s="4">
        <v>63.0</v>
      </c>
      <c r="I4660" s="21">
        <f t="array" ref="I4660">XLOOKUP($A4660,product!A:A,product!E:E)</f>
        <v>9.56</v>
      </c>
      <c r="J4660" s="4">
        <f t="shared" si="2"/>
        <v>602.28</v>
      </c>
      <c r="K4660" s="22">
        <f t="shared" si="3"/>
        <v>1</v>
      </c>
      <c r="L4660" s="4">
        <f t="shared" si="4"/>
        <v>1</v>
      </c>
    </row>
    <row r="4661">
      <c r="A4661" s="23">
        <v>71419.0</v>
      </c>
      <c r="B4661" s="24" t="str">
        <f t="array" ref="B4661">xlookup($A4661,product!$A:$A,product!B:B)</f>
        <v>Epicerie salée</v>
      </c>
      <c r="C4661" s="24" t="str">
        <f t="array" ref="C4661">xlookup($A4661,product!$A:$A,product!C:C)</f>
        <v>Huiles alimentaires bio</v>
      </c>
      <c r="D4661" s="24" t="str">
        <f t="array" ref="D4661">xlookup($A4661,product!$A:$A,product!D:D)</f>
        <v>Mélanges d'huiles</v>
      </c>
      <c r="E4661" s="25" t="str">
        <f t="shared" si="1"/>
        <v>71419-Huiles alimentaires bio-Mélanges d'huiles</v>
      </c>
      <c r="F4661" s="25">
        <v>0.0</v>
      </c>
      <c r="G4661" s="25">
        <v>122.0</v>
      </c>
      <c r="H4661" s="25">
        <v>90.0</v>
      </c>
      <c r="I4661" s="26">
        <f t="array" ref="I4661">XLOOKUP($A4661,product!A:A,product!E:E)</f>
        <v>5.8</v>
      </c>
      <c r="J4661" s="25">
        <f t="shared" si="2"/>
        <v>522</v>
      </c>
      <c r="K4661" s="27">
        <f t="shared" si="3"/>
        <v>1</v>
      </c>
      <c r="L4661" s="25">
        <f t="shared" si="4"/>
        <v>1</v>
      </c>
    </row>
    <row r="4662">
      <c r="A4662" s="19">
        <v>188223.0</v>
      </c>
      <c r="B4662" s="20" t="str">
        <f t="array" ref="B4662">xlookup($A4662,product!$A:$A,product!B:B)</f>
        <v>Epicerie salée</v>
      </c>
      <c r="C4662" s="20" t="str">
        <f t="array" ref="C4662">xlookup($A4662,product!$A:$A,product!C:C)</f>
        <v>Huiles alimentaires bio</v>
      </c>
      <c r="D4662" s="20" t="str">
        <f t="array" ref="D4662">xlookup($A4662,product!$A:$A,product!D:D)</f>
        <v>Mélanges d'huiles</v>
      </c>
      <c r="E4662" s="4" t="str">
        <f t="shared" si="1"/>
        <v>188223-Huiles alimentaires bio-Mélanges d'huiles</v>
      </c>
      <c r="F4662" s="4">
        <v>0.0</v>
      </c>
      <c r="G4662" s="4">
        <v>624.0</v>
      </c>
      <c r="H4662" s="4">
        <v>72.0</v>
      </c>
      <c r="I4662" s="21">
        <f t="array" ref="I4662">XLOOKUP($A4662,product!A:A,product!E:E)</f>
        <v>3.19</v>
      </c>
      <c r="J4662" s="4">
        <f t="shared" si="2"/>
        <v>229.68</v>
      </c>
      <c r="K4662" s="22">
        <f t="shared" si="3"/>
        <v>1</v>
      </c>
      <c r="L4662" s="4">
        <f t="shared" si="4"/>
        <v>1</v>
      </c>
    </row>
    <row r="4663">
      <c r="A4663" s="23">
        <v>71417.0</v>
      </c>
      <c r="B4663" s="24" t="str">
        <f t="array" ref="B4663">xlookup($A4663,product!$A:$A,product!B:B)</f>
        <v>Epicerie salée</v>
      </c>
      <c r="C4663" s="24" t="str">
        <f t="array" ref="C4663">xlookup($A4663,product!$A:$A,product!C:C)</f>
        <v>Huiles alimentaires bio</v>
      </c>
      <c r="D4663" s="24" t="str">
        <f t="array" ref="D4663">xlookup($A4663,product!$A:$A,product!D:D)</f>
        <v>Mélanges d'huiles</v>
      </c>
      <c r="E4663" s="25" t="str">
        <f t="shared" si="1"/>
        <v>71417-Huiles alimentaires bio-Mélanges d'huiles</v>
      </c>
      <c r="F4663" s="25">
        <v>1.0</v>
      </c>
      <c r="G4663" s="25">
        <v>297.0</v>
      </c>
      <c r="H4663" s="25">
        <v>286.0</v>
      </c>
      <c r="I4663" s="26">
        <f t="array" ref="I4663">XLOOKUP($A4663,product!A:A,product!E:E)</f>
        <v>5.7</v>
      </c>
      <c r="J4663" s="25">
        <f t="shared" si="2"/>
        <v>1630.2</v>
      </c>
      <c r="K4663" s="27">
        <f t="shared" si="3"/>
        <v>1</v>
      </c>
      <c r="L4663" s="25">
        <f t="shared" si="4"/>
        <v>1</v>
      </c>
    </row>
    <row r="4664">
      <c r="A4664" s="19">
        <v>46895.0</v>
      </c>
      <c r="B4664" s="20" t="str">
        <f t="array" ref="B4664">xlookup($A4664,product!$A:$A,product!B:B)</f>
        <v>Epicerie salée</v>
      </c>
      <c r="C4664" s="20" t="str">
        <f t="array" ref="C4664">xlookup($A4664,product!$A:$A,product!C:C)</f>
        <v>Huiles alimentaires bio</v>
      </c>
      <c r="D4664" s="20" t="str">
        <f t="array" ref="D4664">xlookup($A4664,product!$A:$A,product!D:D)</f>
        <v>Mélanges d'huiles</v>
      </c>
      <c r="E4664" s="4" t="str">
        <f t="shared" si="1"/>
        <v>46895-Huiles alimentaires bio-Mélanges d'huiles</v>
      </c>
      <c r="F4664" s="4">
        <v>0.0</v>
      </c>
      <c r="G4664" s="4">
        <v>454.0</v>
      </c>
      <c r="H4664" s="4">
        <v>370.0</v>
      </c>
      <c r="I4664" s="21">
        <f t="array" ref="I4664">XLOOKUP($A4664,product!A:A,product!E:E)</f>
        <v>5.8</v>
      </c>
      <c r="J4664" s="4">
        <f t="shared" si="2"/>
        <v>2146</v>
      </c>
      <c r="K4664" s="22">
        <f t="shared" si="3"/>
        <v>1</v>
      </c>
      <c r="L4664" s="4">
        <f t="shared" si="4"/>
        <v>1</v>
      </c>
    </row>
    <row r="4665">
      <c r="A4665" s="23">
        <v>86157.0</v>
      </c>
      <c r="B4665" s="24" t="str">
        <f t="array" ref="B4665">xlookup($A4665,product!$A:$A,product!B:B)</f>
        <v>Epicerie salée</v>
      </c>
      <c r="C4665" s="24" t="str">
        <f t="array" ref="C4665">xlookup($A4665,product!$A:$A,product!C:C)</f>
        <v>Huiles alimentaires bio</v>
      </c>
      <c r="D4665" s="24" t="str">
        <f t="array" ref="D4665">xlookup($A4665,product!$A:$A,product!D:D)</f>
        <v>Mélanges d'huiles</v>
      </c>
      <c r="E4665" s="25" t="str">
        <f t="shared" si="1"/>
        <v>86157-Huiles alimentaires bio-Mélanges d'huiles</v>
      </c>
      <c r="F4665" s="25">
        <v>1.0</v>
      </c>
      <c r="G4665" s="25">
        <v>116.0</v>
      </c>
      <c r="H4665" s="25">
        <v>40.0</v>
      </c>
      <c r="I4665" s="26">
        <f t="array" ref="I4665">XLOOKUP($A4665,product!A:A,product!E:E)</f>
        <v>5.17</v>
      </c>
      <c r="J4665" s="25">
        <f t="shared" si="2"/>
        <v>206.8</v>
      </c>
      <c r="K4665" s="27">
        <f t="shared" si="3"/>
        <v>1</v>
      </c>
      <c r="L4665" s="25">
        <f t="shared" si="4"/>
        <v>1</v>
      </c>
    </row>
    <row r="4666">
      <c r="A4666" s="19">
        <v>159110.0</v>
      </c>
      <c r="B4666" s="20" t="str">
        <f t="array" ref="B4666">xlookup($A4666,product!$A:$A,product!B:B)</f>
        <v>Epicerie salée</v>
      </c>
      <c r="C4666" s="20" t="str">
        <f t="array" ref="C4666">xlookup($A4666,product!$A:$A,product!C:C)</f>
        <v>Huiles alimentaires bio</v>
      </c>
      <c r="D4666" s="20" t="str">
        <f t="array" ref="D4666">xlookup($A4666,product!$A:$A,product!D:D)</f>
        <v>Mélanges d'huiles</v>
      </c>
      <c r="E4666" s="4" t="str">
        <f t="shared" si="1"/>
        <v>159110-Huiles alimentaires bio-Mélanges d'huiles</v>
      </c>
      <c r="F4666" s="4">
        <v>1.0</v>
      </c>
      <c r="G4666" s="4">
        <v>351.0</v>
      </c>
      <c r="H4666" s="4">
        <v>341.0</v>
      </c>
      <c r="I4666" s="21">
        <f t="array" ref="I4666">XLOOKUP($A4666,product!A:A,product!E:E)</f>
        <v>3.73</v>
      </c>
      <c r="J4666" s="4">
        <f t="shared" si="2"/>
        <v>1271.93</v>
      </c>
      <c r="K4666" s="22">
        <f t="shared" si="3"/>
        <v>1</v>
      </c>
      <c r="L4666" s="4">
        <f t="shared" si="4"/>
        <v>1</v>
      </c>
    </row>
    <row r="4667">
      <c r="A4667" s="23">
        <v>46913.0</v>
      </c>
      <c r="B4667" s="24" t="str">
        <f t="array" ref="B4667">xlookup($A4667,product!$A:$A,product!B:B)</f>
        <v>Epicerie salée</v>
      </c>
      <c r="C4667" s="24" t="str">
        <f t="array" ref="C4667">xlookup($A4667,product!$A:$A,product!C:C)</f>
        <v>Huiles alimentaires bio</v>
      </c>
      <c r="D4667" s="24" t="str">
        <f t="array" ref="D4667">xlookup($A4667,product!$A:$A,product!D:D)</f>
        <v>Mélanges d'huiles</v>
      </c>
      <c r="E4667" s="25" t="str">
        <f t="shared" si="1"/>
        <v>46913-Huiles alimentaires bio-Mélanges d'huiles</v>
      </c>
      <c r="F4667" s="25">
        <v>0.0</v>
      </c>
      <c r="G4667" s="25">
        <v>583.0</v>
      </c>
      <c r="H4667" s="25">
        <v>78.0</v>
      </c>
      <c r="I4667" s="26">
        <f t="array" ref="I4667">XLOOKUP($A4667,product!A:A,product!E:E)</f>
        <v>4.53</v>
      </c>
      <c r="J4667" s="25">
        <f t="shared" si="2"/>
        <v>353.34</v>
      </c>
      <c r="K4667" s="27">
        <f t="shared" si="3"/>
        <v>1</v>
      </c>
      <c r="L4667" s="25">
        <f t="shared" si="4"/>
        <v>1</v>
      </c>
    </row>
    <row r="4668">
      <c r="A4668" s="19">
        <v>71400.0</v>
      </c>
      <c r="B4668" s="20" t="str">
        <f t="array" ref="B4668">xlookup($A4668,product!$A:$A,product!B:B)</f>
        <v>Epicerie salée</v>
      </c>
      <c r="C4668" s="20" t="str">
        <f t="array" ref="C4668">xlookup($A4668,product!$A:$A,product!C:C)</f>
        <v>Huiles alimentaires bio</v>
      </c>
      <c r="D4668" s="20" t="str">
        <f t="array" ref="D4668">xlookup($A4668,product!$A:$A,product!D:D)</f>
        <v>Mélanges d'huiles</v>
      </c>
      <c r="E4668" s="4" t="str">
        <f t="shared" si="1"/>
        <v>71400-Huiles alimentaires bio-Mélanges d'huiles</v>
      </c>
      <c r="F4668" s="4">
        <v>1.0</v>
      </c>
      <c r="G4668" s="4">
        <v>203.0</v>
      </c>
      <c r="H4668" s="4">
        <v>90.0</v>
      </c>
      <c r="I4668" s="21">
        <f t="array" ref="I4668">XLOOKUP($A4668,product!A:A,product!E:E)</f>
        <v>5.54</v>
      </c>
      <c r="J4668" s="4">
        <f t="shared" si="2"/>
        <v>498.6</v>
      </c>
      <c r="K4668" s="22">
        <f t="shared" si="3"/>
        <v>1</v>
      </c>
      <c r="L4668" s="4">
        <f t="shared" si="4"/>
        <v>1</v>
      </c>
    </row>
    <row r="4669">
      <c r="A4669" s="23">
        <v>46914.0</v>
      </c>
      <c r="B4669" s="24" t="str">
        <f t="array" ref="B4669">xlookup($A4669,product!$A:$A,product!B:B)</f>
        <v>Epicerie salée</v>
      </c>
      <c r="C4669" s="24" t="str">
        <f t="array" ref="C4669">xlookup($A4669,product!$A:$A,product!C:C)</f>
        <v>Huiles alimentaires bio</v>
      </c>
      <c r="D4669" s="24" t="str">
        <f t="array" ref="D4669">xlookup($A4669,product!$A:$A,product!D:D)</f>
        <v>Mélanges d'huiles</v>
      </c>
      <c r="E4669" s="25" t="str">
        <f t="shared" si="1"/>
        <v>46914-Huiles alimentaires bio-Mélanges d'huiles</v>
      </c>
      <c r="F4669" s="25">
        <v>0.0</v>
      </c>
      <c r="G4669" s="25">
        <v>186.0</v>
      </c>
      <c r="H4669" s="25">
        <v>98.0</v>
      </c>
      <c r="I4669" s="26">
        <f t="array" ref="I4669">XLOOKUP($A4669,product!A:A,product!E:E)</f>
        <v>5.36</v>
      </c>
      <c r="J4669" s="25">
        <f t="shared" si="2"/>
        <v>525.28</v>
      </c>
      <c r="K4669" s="27">
        <f t="shared" si="3"/>
        <v>1</v>
      </c>
      <c r="L4669" s="25">
        <f t="shared" si="4"/>
        <v>1</v>
      </c>
    </row>
    <row r="4670">
      <c r="A4670" s="19">
        <v>120300.0</v>
      </c>
      <c r="B4670" s="20" t="str">
        <f t="array" ref="B4670">xlookup($A4670,product!$A:$A,product!B:B)</f>
        <v>Epicerie salée</v>
      </c>
      <c r="C4670" s="20" t="str">
        <f t="array" ref="C4670">xlookup($A4670,product!$A:$A,product!C:C)</f>
        <v>Huiles alimentaires bio</v>
      </c>
      <c r="D4670" s="20" t="str">
        <f t="array" ref="D4670">xlookup($A4670,product!$A:$A,product!D:D)</f>
        <v>Mélanges d'huiles</v>
      </c>
      <c r="E4670" s="4" t="str">
        <f t="shared" si="1"/>
        <v>120300-Huiles alimentaires bio-Mélanges d'huiles</v>
      </c>
      <c r="F4670" s="4">
        <v>0.0</v>
      </c>
      <c r="G4670" s="4">
        <v>309.0</v>
      </c>
      <c r="H4670" s="4">
        <v>271.0</v>
      </c>
      <c r="I4670" s="21">
        <f t="array" ref="I4670">XLOOKUP($A4670,product!A:A,product!E:E)</f>
        <v>7.08</v>
      </c>
      <c r="J4670" s="4">
        <f t="shared" si="2"/>
        <v>1918.68</v>
      </c>
      <c r="K4670" s="22">
        <f t="shared" si="3"/>
        <v>1</v>
      </c>
      <c r="L4670" s="4">
        <f t="shared" si="4"/>
        <v>1</v>
      </c>
    </row>
    <row r="4671">
      <c r="A4671" s="23">
        <v>71412.0</v>
      </c>
      <c r="B4671" s="24" t="str">
        <f t="array" ref="B4671">xlookup($A4671,product!$A:$A,product!B:B)</f>
        <v>Epicerie salée</v>
      </c>
      <c r="C4671" s="24" t="str">
        <f t="array" ref="C4671">xlookup($A4671,product!$A:$A,product!C:C)</f>
        <v>Huiles alimentaires bio</v>
      </c>
      <c r="D4671" s="24" t="str">
        <f t="array" ref="D4671">xlookup($A4671,product!$A:$A,product!D:D)</f>
        <v>Mélanges d'huiles</v>
      </c>
      <c r="E4671" s="25" t="str">
        <f t="shared" si="1"/>
        <v>71412-Huiles alimentaires bio-Mélanges d'huiles</v>
      </c>
      <c r="F4671" s="25">
        <v>1.0</v>
      </c>
      <c r="G4671" s="25">
        <v>742.0</v>
      </c>
      <c r="H4671" s="25">
        <v>439.0</v>
      </c>
      <c r="I4671" s="26">
        <f t="array" ref="I4671">XLOOKUP($A4671,product!A:A,product!E:E)</f>
        <v>5.33</v>
      </c>
      <c r="J4671" s="25">
        <f t="shared" si="2"/>
        <v>2339.87</v>
      </c>
      <c r="K4671" s="27">
        <f t="shared" si="3"/>
        <v>1</v>
      </c>
      <c r="L4671" s="25">
        <f t="shared" si="4"/>
        <v>1</v>
      </c>
    </row>
    <row r="4672">
      <c r="A4672" s="19">
        <v>71415.0</v>
      </c>
      <c r="B4672" s="20" t="str">
        <f t="array" ref="B4672">xlookup($A4672,product!$A:$A,product!B:B)</f>
        <v>Epicerie salée</v>
      </c>
      <c r="C4672" s="20" t="str">
        <f t="array" ref="C4672">xlookup($A4672,product!$A:$A,product!C:C)</f>
        <v>Huiles alimentaires bio</v>
      </c>
      <c r="D4672" s="20" t="str">
        <f t="array" ref="D4672">xlookup($A4672,product!$A:$A,product!D:D)</f>
        <v>Mélanges d'huiles</v>
      </c>
      <c r="E4672" s="4" t="str">
        <f t="shared" si="1"/>
        <v>71415-Huiles alimentaires bio-Mélanges d'huiles</v>
      </c>
      <c r="F4672" s="4">
        <v>0.0</v>
      </c>
      <c r="G4672" s="4">
        <v>752.0</v>
      </c>
      <c r="H4672" s="4">
        <v>262.0</v>
      </c>
      <c r="I4672" s="21">
        <f t="array" ref="I4672">XLOOKUP($A4672,product!A:A,product!E:E)</f>
        <v>3.64</v>
      </c>
      <c r="J4672" s="4">
        <f t="shared" si="2"/>
        <v>953.68</v>
      </c>
      <c r="K4672" s="22">
        <f t="shared" si="3"/>
        <v>1</v>
      </c>
      <c r="L4672" s="4">
        <f t="shared" si="4"/>
        <v>1</v>
      </c>
    </row>
    <row r="4673">
      <c r="A4673" s="23">
        <v>71414.0</v>
      </c>
      <c r="B4673" s="24" t="str">
        <f t="array" ref="B4673">xlookup($A4673,product!$A:$A,product!B:B)</f>
        <v>Epicerie salée</v>
      </c>
      <c r="C4673" s="24" t="str">
        <f t="array" ref="C4673">xlookup($A4673,product!$A:$A,product!C:C)</f>
        <v>Huiles alimentaires bio</v>
      </c>
      <c r="D4673" s="24" t="str">
        <f t="array" ref="D4673">xlookup($A4673,product!$A:$A,product!D:D)</f>
        <v>Mélanges d'huiles</v>
      </c>
      <c r="E4673" s="25" t="str">
        <f t="shared" si="1"/>
        <v>71414-Huiles alimentaires bio-Mélanges d'huiles</v>
      </c>
      <c r="F4673" s="25">
        <v>0.0</v>
      </c>
      <c r="G4673" s="25">
        <v>183.0</v>
      </c>
      <c r="H4673" s="25">
        <v>105.0</v>
      </c>
      <c r="I4673" s="26">
        <f t="array" ref="I4673">XLOOKUP($A4673,product!A:A,product!E:E)</f>
        <v>4.01</v>
      </c>
      <c r="J4673" s="25">
        <f t="shared" si="2"/>
        <v>421.05</v>
      </c>
      <c r="K4673" s="27">
        <f t="shared" si="3"/>
        <v>1</v>
      </c>
      <c r="L4673" s="25">
        <f t="shared" si="4"/>
        <v>1</v>
      </c>
    </row>
    <row r="4674">
      <c r="A4674" s="19">
        <v>10336.0</v>
      </c>
      <c r="B4674" s="20" t="str">
        <f t="array" ref="B4674">xlookup($A4674,product!$A:$A,product!B:B)</f>
        <v>Enfant</v>
      </c>
      <c r="C4674" s="20" t="str">
        <f t="array" ref="C4674">xlookup($A4674,product!$A:$A,product!C:C)</f>
        <v>Hygiène Change et Soins</v>
      </c>
      <c r="D4674" s="20" t="str">
        <f t="array" ref="D4674">xlookup($A4674,product!$A:$A,product!D:D)</f>
        <v>Accessoires Puériculture</v>
      </c>
      <c r="E4674" s="4" t="str">
        <f t="shared" si="1"/>
        <v>10336-Hygiène Change et Soins-Accessoires Puériculture</v>
      </c>
      <c r="F4674" s="4">
        <v>0.0</v>
      </c>
      <c r="G4674" s="4">
        <v>281.0</v>
      </c>
      <c r="H4674" s="4">
        <v>37.0</v>
      </c>
      <c r="I4674" s="21">
        <f t="array" ref="I4674">XLOOKUP($A4674,product!A:A,product!E:E)</f>
        <v>4.98</v>
      </c>
      <c r="J4674" s="4">
        <f t="shared" si="2"/>
        <v>184.26</v>
      </c>
      <c r="K4674" s="22">
        <f t="shared" si="3"/>
        <v>1</v>
      </c>
      <c r="L4674" s="4">
        <f t="shared" si="4"/>
        <v>1</v>
      </c>
    </row>
    <row r="4675">
      <c r="A4675" s="23">
        <v>125173.0</v>
      </c>
      <c r="B4675" s="24" t="str">
        <f t="array" ref="B4675">xlookup($A4675,product!$A:$A,product!B:B)</f>
        <v>Enfant</v>
      </c>
      <c r="C4675" s="24" t="str">
        <f t="array" ref="C4675">xlookup($A4675,product!$A:$A,product!C:C)</f>
        <v>Hygiène Change et Soins</v>
      </c>
      <c r="D4675" s="24" t="str">
        <f t="array" ref="D4675">xlookup($A4675,product!$A:$A,product!D:D)</f>
        <v>Baignoires, jouets de bain</v>
      </c>
      <c r="E4675" s="25" t="str">
        <f t="shared" si="1"/>
        <v>125173-Hygiène Change et Soins-Baignoires, jouets de bain</v>
      </c>
      <c r="F4675" s="25">
        <v>0.0</v>
      </c>
      <c r="G4675" s="25">
        <v>258.0</v>
      </c>
      <c r="H4675" s="25">
        <v>135.0</v>
      </c>
      <c r="I4675" s="26">
        <f t="array" ref="I4675">XLOOKUP($A4675,product!A:A,product!E:E)</f>
        <v>2.08</v>
      </c>
      <c r="J4675" s="25">
        <f t="shared" si="2"/>
        <v>280.8</v>
      </c>
      <c r="K4675" s="27">
        <f t="shared" si="3"/>
        <v>1</v>
      </c>
      <c r="L4675" s="25">
        <f t="shared" si="4"/>
        <v>1</v>
      </c>
    </row>
    <row r="4676">
      <c r="A4676" s="19">
        <v>112994.0</v>
      </c>
      <c r="B4676" s="20" t="str">
        <f t="array" ref="B4676">xlookup($A4676,product!$A:$A,product!B:B)</f>
        <v>Enfant</v>
      </c>
      <c r="C4676" s="20" t="str">
        <f t="array" ref="C4676">xlookup($A4676,product!$A:$A,product!C:C)</f>
        <v>Hygiène Change et Soins</v>
      </c>
      <c r="D4676" s="20" t="str">
        <f t="array" ref="D4676">xlookup($A4676,product!$A:$A,product!D:D)</f>
        <v>Baignoires, jouets de bain</v>
      </c>
      <c r="E4676" s="4" t="str">
        <f t="shared" si="1"/>
        <v>112994-Hygiène Change et Soins-Baignoires, jouets de bain</v>
      </c>
      <c r="F4676" s="4">
        <v>0.0</v>
      </c>
      <c r="G4676" s="4">
        <v>64.0</v>
      </c>
      <c r="H4676" s="4">
        <v>14.0</v>
      </c>
      <c r="I4676" s="21">
        <f t="array" ref="I4676">XLOOKUP($A4676,product!A:A,product!E:E)</f>
        <v>7.98</v>
      </c>
      <c r="J4676" s="4">
        <f t="shared" si="2"/>
        <v>111.72</v>
      </c>
      <c r="K4676" s="22">
        <f t="shared" si="3"/>
        <v>1</v>
      </c>
      <c r="L4676" s="4">
        <f t="shared" si="4"/>
        <v>1</v>
      </c>
    </row>
    <row r="4677">
      <c r="A4677" s="23">
        <v>125182.0</v>
      </c>
      <c r="B4677" s="24" t="str">
        <f t="array" ref="B4677">xlookup($A4677,product!$A:$A,product!B:B)</f>
        <v>Enfant</v>
      </c>
      <c r="C4677" s="24" t="str">
        <f t="array" ref="C4677">xlookup($A4677,product!$A:$A,product!C:C)</f>
        <v>Hygiène Change et Soins</v>
      </c>
      <c r="D4677" s="24" t="str">
        <f t="array" ref="D4677">xlookup($A4677,product!$A:$A,product!D:D)</f>
        <v>Baignoires, jouets de bain</v>
      </c>
      <c r="E4677" s="25" t="str">
        <f t="shared" si="1"/>
        <v>125182-Hygiène Change et Soins-Baignoires, jouets de bain</v>
      </c>
      <c r="F4677" s="25">
        <v>1.0</v>
      </c>
      <c r="G4677" s="25">
        <v>886.0</v>
      </c>
      <c r="H4677" s="25">
        <v>858.0</v>
      </c>
      <c r="I4677" s="26">
        <f t="array" ref="I4677">XLOOKUP($A4677,product!A:A,product!E:E)</f>
        <v>1.74</v>
      </c>
      <c r="J4677" s="25">
        <f t="shared" si="2"/>
        <v>1492.92</v>
      </c>
      <c r="K4677" s="27">
        <f t="shared" si="3"/>
        <v>1</v>
      </c>
      <c r="L4677" s="25">
        <f t="shared" si="4"/>
        <v>1</v>
      </c>
    </row>
    <row r="4678">
      <c r="A4678" s="19">
        <v>121112.0</v>
      </c>
      <c r="B4678" s="20" t="str">
        <f t="array" ref="B4678">xlookup($A4678,product!$A:$A,product!B:B)</f>
        <v>Enfant</v>
      </c>
      <c r="C4678" s="20" t="str">
        <f t="array" ref="C4678">xlookup($A4678,product!$A:$A,product!C:C)</f>
        <v>Hygiène Change et Soins</v>
      </c>
      <c r="D4678" s="20" t="str">
        <f t="array" ref="D4678">xlookup($A4678,product!$A:$A,product!D:D)</f>
        <v>Baignoires, jouets de bain</v>
      </c>
      <c r="E4678" s="4" t="str">
        <f t="shared" si="1"/>
        <v>121112-Hygiène Change et Soins-Baignoires, jouets de bain</v>
      </c>
      <c r="F4678" s="4">
        <v>1.0</v>
      </c>
      <c r="G4678" s="4">
        <v>795.0</v>
      </c>
      <c r="H4678" s="4">
        <v>124.0</v>
      </c>
      <c r="I4678" s="21">
        <f t="array" ref="I4678">XLOOKUP($A4678,product!A:A,product!E:E)</f>
        <v>9.18</v>
      </c>
      <c r="J4678" s="4">
        <f t="shared" si="2"/>
        <v>1138.32</v>
      </c>
      <c r="K4678" s="22">
        <f t="shared" si="3"/>
        <v>1</v>
      </c>
      <c r="L4678" s="4">
        <f t="shared" si="4"/>
        <v>1</v>
      </c>
    </row>
    <row r="4679">
      <c r="A4679" s="23">
        <v>125172.0</v>
      </c>
      <c r="B4679" s="24" t="str">
        <f t="array" ref="B4679">xlookup($A4679,product!$A:$A,product!B:B)</f>
        <v>Enfant</v>
      </c>
      <c r="C4679" s="24" t="str">
        <f t="array" ref="C4679">xlookup($A4679,product!$A:$A,product!C:C)</f>
        <v>Hygiène Change et Soins</v>
      </c>
      <c r="D4679" s="24" t="str">
        <f t="array" ref="D4679">xlookup($A4679,product!$A:$A,product!D:D)</f>
        <v>Baignoires, jouets de bain</v>
      </c>
      <c r="E4679" s="25" t="str">
        <f t="shared" si="1"/>
        <v>125172-Hygiène Change et Soins-Baignoires, jouets de bain</v>
      </c>
      <c r="F4679" s="25">
        <v>0.0</v>
      </c>
      <c r="G4679" s="25">
        <v>185.0</v>
      </c>
      <c r="H4679" s="25">
        <v>172.0</v>
      </c>
      <c r="I4679" s="26">
        <f t="array" ref="I4679">XLOOKUP($A4679,product!A:A,product!E:E)</f>
        <v>2.2</v>
      </c>
      <c r="J4679" s="25">
        <f t="shared" si="2"/>
        <v>378.4</v>
      </c>
      <c r="K4679" s="27">
        <f t="shared" si="3"/>
        <v>1</v>
      </c>
      <c r="L4679" s="25">
        <f t="shared" si="4"/>
        <v>1</v>
      </c>
    </row>
    <row r="4680">
      <c r="A4680" s="19">
        <v>125196.0</v>
      </c>
      <c r="B4680" s="20" t="str">
        <f t="array" ref="B4680">xlookup($A4680,product!$A:$A,product!B:B)</f>
        <v>Enfant</v>
      </c>
      <c r="C4680" s="20" t="str">
        <f t="array" ref="C4680">xlookup($A4680,product!$A:$A,product!C:C)</f>
        <v>Hygiène Change et Soins</v>
      </c>
      <c r="D4680" s="20" t="str">
        <f t="array" ref="D4680">xlookup($A4680,product!$A:$A,product!D:D)</f>
        <v>Baignoires, jouets de bain</v>
      </c>
      <c r="E4680" s="4" t="str">
        <f t="shared" si="1"/>
        <v>125196-Hygiène Change et Soins-Baignoires, jouets de bain</v>
      </c>
      <c r="F4680" s="4">
        <v>0.0</v>
      </c>
      <c r="G4680" s="4">
        <v>373.0</v>
      </c>
      <c r="H4680" s="4">
        <v>144.0</v>
      </c>
      <c r="I4680" s="21">
        <f t="array" ref="I4680">XLOOKUP($A4680,product!A:A,product!E:E)</f>
        <v>2.15</v>
      </c>
      <c r="J4680" s="4">
        <f t="shared" si="2"/>
        <v>309.6</v>
      </c>
      <c r="K4680" s="22">
        <f t="shared" si="3"/>
        <v>1</v>
      </c>
      <c r="L4680" s="4">
        <f t="shared" si="4"/>
        <v>1</v>
      </c>
    </row>
    <row r="4681">
      <c r="A4681" s="23">
        <v>125192.0</v>
      </c>
      <c r="B4681" s="24" t="str">
        <f t="array" ref="B4681">xlookup($A4681,product!$A:$A,product!B:B)</f>
        <v>Enfant</v>
      </c>
      <c r="C4681" s="24" t="str">
        <f t="array" ref="C4681">xlookup($A4681,product!$A:$A,product!C:C)</f>
        <v>Hygiène Change et Soins</v>
      </c>
      <c r="D4681" s="24" t="str">
        <f t="array" ref="D4681">xlookup($A4681,product!$A:$A,product!D:D)</f>
        <v>Baignoires, jouets de bain</v>
      </c>
      <c r="E4681" s="25" t="str">
        <f t="shared" si="1"/>
        <v>125192-Hygiène Change et Soins-Baignoires, jouets de bain</v>
      </c>
      <c r="F4681" s="25">
        <v>1.0</v>
      </c>
      <c r="G4681" s="25">
        <v>853.0</v>
      </c>
      <c r="H4681" s="25">
        <v>553.0</v>
      </c>
      <c r="I4681" s="26">
        <f t="array" ref="I4681">XLOOKUP($A4681,product!A:A,product!E:E)</f>
        <v>2.2</v>
      </c>
      <c r="J4681" s="25">
        <f t="shared" si="2"/>
        <v>1216.6</v>
      </c>
      <c r="K4681" s="27">
        <f t="shared" si="3"/>
        <v>1</v>
      </c>
      <c r="L4681" s="25">
        <f t="shared" si="4"/>
        <v>1</v>
      </c>
    </row>
    <row r="4682">
      <c r="A4682" s="19">
        <v>125194.0</v>
      </c>
      <c r="B4682" s="20" t="str">
        <f t="array" ref="B4682">xlookup($A4682,product!$A:$A,product!B:B)</f>
        <v>Enfant</v>
      </c>
      <c r="C4682" s="20" t="str">
        <f t="array" ref="C4682">xlookup($A4682,product!$A:$A,product!C:C)</f>
        <v>Hygiène Change et Soins</v>
      </c>
      <c r="D4682" s="20" t="str">
        <f t="array" ref="D4682">xlookup($A4682,product!$A:$A,product!D:D)</f>
        <v>Baignoires, jouets de bain</v>
      </c>
      <c r="E4682" s="4" t="str">
        <f t="shared" si="1"/>
        <v>125194-Hygiène Change et Soins-Baignoires, jouets de bain</v>
      </c>
      <c r="F4682" s="4">
        <v>0.0</v>
      </c>
      <c r="G4682" s="4">
        <v>632.0</v>
      </c>
      <c r="H4682" s="4">
        <v>168.0</v>
      </c>
      <c r="I4682" s="21">
        <f t="array" ref="I4682">XLOOKUP($A4682,product!A:A,product!E:E)</f>
        <v>2.15</v>
      </c>
      <c r="J4682" s="4">
        <f t="shared" si="2"/>
        <v>361.2</v>
      </c>
      <c r="K4682" s="22">
        <f t="shared" si="3"/>
        <v>1</v>
      </c>
      <c r="L4682" s="4">
        <f t="shared" si="4"/>
        <v>1</v>
      </c>
    </row>
    <row r="4683">
      <c r="A4683" s="23">
        <v>125198.0</v>
      </c>
      <c r="B4683" s="24" t="str">
        <f t="array" ref="B4683">xlookup($A4683,product!$A:$A,product!B:B)</f>
        <v>Enfant</v>
      </c>
      <c r="C4683" s="24" t="str">
        <f t="array" ref="C4683">xlookup($A4683,product!$A:$A,product!C:C)</f>
        <v>Hygiène Change et Soins</v>
      </c>
      <c r="D4683" s="24" t="str">
        <f t="array" ref="D4683">xlookup($A4683,product!$A:$A,product!D:D)</f>
        <v>Baignoires, jouets de bain</v>
      </c>
      <c r="E4683" s="25" t="str">
        <f t="shared" si="1"/>
        <v>125198-Hygiène Change et Soins-Baignoires, jouets de bain</v>
      </c>
      <c r="F4683" s="25">
        <v>1.0</v>
      </c>
      <c r="G4683" s="25">
        <v>407.0</v>
      </c>
      <c r="H4683" s="25">
        <v>129.0</v>
      </c>
      <c r="I4683" s="26">
        <f t="array" ref="I4683">XLOOKUP($A4683,product!A:A,product!E:E)</f>
        <v>1.33</v>
      </c>
      <c r="J4683" s="25">
        <f t="shared" si="2"/>
        <v>171.57</v>
      </c>
      <c r="K4683" s="27">
        <f t="shared" si="3"/>
        <v>1</v>
      </c>
      <c r="L4683" s="25">
        <f t="shared" si="4"/>
        <v>1</v>
      </c>
    </row>
    <row r="4684">
      <c r="A4684" s="19">
        <v>111220.0</v>
      </c>
      <c r="B4684" s="20" t="str">
        <f t="array" ref="B4684">xlookup($A4684,product!$A:$A,product!B:B)</f>
        <v>Enfant</v>
      </c>
      <c r="C4684" s="20" t="str">
        <f t="array" ref="C4684">xlookup($A4684,product!$A:$A,product!C:C)</f>
        <v>Hygiène Change et Soins</v>
      </c>
      <c r="D4684" s="20" t="str">
        <f t="array" ref="D4684">xlookup($A4684,product!$A:$A,product!D:D)</f>
        <v>Baignoires, jouets de bain</v>
      </c>
      <c r="E4684" s="4" t="str">
        <f t="shared" si="1"/>
        <v>111220-Hygiène Change et Soins-Baignoires, jouets de bain</v>
      </c>
      <c r="F4684" s="4">
        <v>0.0</v>
      </c>
      <c r="G4684" s="4">
        <v>169.0</v>
      </c>
      <c r="H4684" s="4">
        <v>37.0</v>
      </c>
      <c r="I4684" s="21">
        <f t="array" ref="I4684">XLOOKUP($A4684,product!A:A,product!E:E)</f>
        <v>12.74</v>
      </c>
      <c r="J4684" s="4">
        <f t="shared" si="2"/>
        <v>471.38</v>
      </c>
      <c r="K4684" s="22">
        <f t="shared" si="3"/>
        <v>1</v>
      </c>
      <c r="L4684" s="4">
        <f t="shared" si="4"/>
        <v>1</v>
      </c>
    </row>
    <row r="4685">
      <c r="A4685" s="23">
        <v>105969.0</v>
      </c>
      <c r="B4685" s="24" t="str">
        <f t="array" ref="B4685">xlookup($A4685,product!$A:$A,product!B:B)</f>
        <v>Enfant</v>
      </c>
      <c r="C4685" s="24" t="str">
        <f t="array" ref="C4685">xlookup($A4685,product!$A:$A,product!C:C)</f>
        <v>Hygiène Change et Soins</v>
      </c>
      <c r="D4685" s="24" t="str">
        <f t="array" ref="D4685">xlookup($A4685,product!$A:$A,product!D:D)</f>
        <v>Baignoires, jouets de bain</v>
      </c>
      <c r="E4685" s="25" t="str">
        <f t="shared" si="1"/>
        <v>105969-Hygiène Change et Soins-Baignoires, jouets de bain</v>
      </c>
      <c r="F4685" s="25">
        <v>1.0</v>
      </c>
      <c r="G4685" s="25">
        <v>120.0</v>
      </c>
      <c r="H4685" s="25">
        <v>48.0</v>
      </c>
      <c r="I4685" s="26">
        <f t="array" ref="I4685">XLOOKUP($A4685,product!A:A,product!E:E)</f>
        <v>10.82</v>
      </c>
      <c r="J4685" s="25">
        <f t="shared" si="2"/>
        <v>519.36</v>
      </c>
      <c r="K4685" s="27">
        <f t="shared" si="3"/>
        <v>1</v>
      </c>
      <c r="L4685" s="25">
        <f t="shared" si="4"/>
        <v>1</v>
      </c>
    </row>
    <row r="4686">
      <c r="A4686" s="19">
        <v>105981.0</v>
      </c>
      <c r="B4686" s="20" t="str">
        <f t="array" ref="B4686">xlookup($A4686,product!$A:$A,product!B:B)</f>
        <v>Enfant</v>
      </c>
      <c r="C4686" s="20" t="str">
        <f t="array" ref="C4686">xlookup($A4686,product!$A:$A,product!C:C)</f>
        <v>Hygiène Change et Soins</v>
      </c>
      <c r="D4686" s="20" t="str">
        <f t="array" ref="D4686">xlookup($A4686,product!$A:$A,product!D:D)</f>
        <v>Baignoires, jouets de bain</v>
      </c>
      <c r="E4686" s="4" t="str">
        <f t="shared" si="1"/>
        <v>105981-Hygiène Change et Soins-Baignoires, jouets de bain</v>
      </c>
      <c r="F4686" s="4">
        <v>0.0</v>
      </c>
      <c r="G4686" s="4">
        <v>653.0</v>
      </c>
      <c r="H4686" s="4">
        <v>55.0</v>
      </c>
      <c r="I4686" s="21">
        <f t="array" ref="I4686">XLOOKUP($A4686,product!A:A,product!E:E)</f>
        <v>7.57</v>
      </c>
      <c r="J4686" s="4">
        <f t="shared" si="2"/>
        <v>416.35</v>
      </c>
      <c r="K4686" s="22">
        <f t="shared" si="3"/>
        <v>1</v>
      </c>
      <c r="L4686" s="4">
        <f t="shared" si="4"/>
        <v>1</v>
      </c>
    </row>
    <row r="4687">
      <c r="A4687" s="23">
        <v>125185.0</v>
      </c>
      <c r="B4687" s="24" t="str">
        <f t="array" ref="B4687">xlookup($A4687,product!$A:$A,product!B:B)</f>
        <v>Enfant</v>
      </c>
      <c r="C4687" s="24" t="str">
        <f t="array" ref="C4687">xlookup($A4687,product!$A:$A,product!C:C)</f>
        <v>Hygiène Change et Soins</v>
      </c>
      <c r="D4687" s="24" t="str">
        <f t="array" ref="D4687">xlookup($A4687,product!$A:$A,product!D:D)</f>
        <v>Baignoires, jouets de bain</v>
      </c>
      <c r="E4687" s="25" t="str">
        <f t="shared" si="1"/>
        <v>125185-Hygiène Change et Soins-Baignoires, jouets de bain</v>
      </c>
      <c r="F4687" s="25">
        <v>1.0</v>
      </c>
      <c r="G4687" s="25">
        <v>200.0</v>
      </c>
      <c r="H4687" s="25">
        <v>145.0</v>
      </c>
      <c r="I4687" s="26">
        <f t="array" ref="I4687">XLOOKUP($A4687,product!A:A,product!E:E)</f>
        <v>2.15</v>
      </c>
      <c r="J4687" s="25">
        <f t="shared" si="2"/>
        <v>311.75</v>
      </c>
      <c r="K4687" s="27">
        <f t="shared" si="3"/>
        <v>1</v>
      </c>
      <c r="L4687" s="25">
        <f t="shared" si="4"/>
        <v>1</v>
      </c>
    </row>
    <row r="4688">
      <c r="A4688" s="19">
        <v>111605.0</v>
      </c>
      <c r="B4688" s="20" t="str">
        <f t="array" ref="B4688">xlookup($A4688,product!$A:$A,product!B:B)</f>
        <v>Boisson</v>
      </c>
      <c r="C4688" s="20" t="str">
        <f t="array" ref="C4688">xlookup($A4688,product!$A:$A,product!C:C)</f>
        <v>Lait de vache et chèvre</v>
      </c>
      <c r="D4688" s="20" t="str">
        <f t="array" ref="D4688">xlookup($A4688,product!$A:$A,product!D:D)</f>
        <v/>
      </c>
      <c r="E4688" s="4" t="str">
        <f t="shared" si="1"/>
        <v>111605-Lait de vache et chèvre-</v>
      </c>
      <c r="F4688" s="4">
        <v>0.0</v>
      </c>
      <c r="G4688" s="4">
        <v>227.0</v>
      </c>
      <c r="H4688" s="4">
        <v>192.0</v>
      </c>
      <c r="I4688" s="21">
        <f t="array" ref="I4688">XLOOKUP($A4688,product!A:A,product!E:E)</f>
        <v>1.33</v>
      </c>
      <c r="J4688" s="4">
        <f t="shared" si="2"/>
        <v>255.36</v>
      </c>
      <c r="K4688" s="22">
        <f t="shared" si="3"/>
        <v>1</v>
      </c>
      <c r="L4688" s="4">
        <f t="shared" si="4"/>
        <v>1</v>
      </c>
    </row>
    <row r="4689">
      <c r="A4689" s="23">
        <v>111608.0</v>
      </c>
      <c r="B4689" s="24" t="str">
        <f t="array" ref="B4689">xlookup($A4689,product!$A:$A,product!B:B)</f>
        <v>Boisson</v>
      </c>
      <c r="C4689" s="24" t="str">
        <f t="array" ref="C4689">xlookup($A4689,product!$A:$A,product!C:C)</f>
        <v>Lait de vache et chèvre</v>
      </c>
      <c r="D4689" s="24" t="str">
        <f t="array" ref="D4689">xlookup($A4689,product!$A:$A,product!D:D)</f>
        <v/>
      </c>
      <c r="E4689" s="25" t="str">
        <f t="shared" si="1"/>
        <v>111608-Lait de vache et chèvre-</v>
      </c>
      <c r="F4689" s="25">
        <v>1.0</v>
      </c>
      <c r="G4689" s="25">
        <v>447.0</v>
      </c>
      <c r="H4689" s="25">
        <v>37.0</v>
      </c>
      <c r="I4689" s="26">
        <f t="array" ref="I4689">XLOOKUP($A4689,product!A:A,product!E:E)</f>
        <v>0.99</v>
      </c>
      <c r="J4689" s="25">
        <f t="shared" si="2"/>
        <v>36.63</v>
      </c>
      <c r="K4689" s="27">
        <f t="shared" si="3"/>
        <v>1</v>
      </c>
      <c r="L4689" s="25">
        <f t="shared" si="4"/>
        <v>1</v>
      </c>
    </row>
    <row r="4690">
      <c r="A4690" s="19">
        <v>97023.0</v>
      </c>
      <c r="B4690" s="20" t="str">
        <f t="array" ref="B4690">xlookup($A4690,product!$A:$A,product!B:B)</f>
        <v>Boisson</v>
      </c>
      <c r="C4690" s="20" t="str">
        <f t="array" ref="C4690">xlookup($A4690,product!$A:$A,product!C:C)</f>
        <v>Lait de vache et chèvre</v>
      </c>
      <c r="D4690" s="20" t="str">
        <f t="array" ref="D4690">xlookup($A4690,product!$A:$A,product!D:D)</f>
        <v/>
      </c>
      <c r="E4690" s="4" t="str">
        <f t="shared" si="1"/>
        <v>97023-Lait de vache et chèvre-</v>
      </c>
      <c r="F4690" s="4">
        <v>1.0</v>
      </c>
      <c r="G4690" s="4">
        <v>77.0</v>
      </c>
      <c r="H4690" s="4">
        <v>10.0</v>
      </c>
      <c r="I4690" s="21">
        <f t="array" ref="I4690">XLOOKUP($A4690,product!A:A,product!E:E)</f>
        <v>1.13</v>
      </c>
      <c r="J4690" s="4">
        <f t="shared" si="2"/>
        <v>11.3</v>
      </c>
      <c r="K4690" s="22">
        <f t="shared" si="3"/>
        <v>1</v>
      </c>
      <c r="L4690" s="4">
        <f t="shared" si="4"/>
        <v>1</v>
      </c>
    </row>
    <row r="4691">
      <c r="A4691" s="23">
        <v>111607.0</v>
      </c>
      <c r="B4691" s="24" t="str">
        <f t="array" ref="B4691">xlookup($A4691,product!$A:$A,product!B:B)</f>
        <v>Boisson</v>
      </c>
      <c r="C4691" s="24" t="str">
        <f t="array" ref="C4691">xlookup($A4691,product!$A:$A,product!C:C)</f>
        <v>Lait de vache et chèvre</v>
      </c>
      <c r="D4691" s="24" t="str">
        <f t="array" ref="D4691">xlookup($A4691,product!$A:$A,product!D:D)</f>
        <v/>
      </c>
      <c r="E4691" s="25" t="str">
        <f t="shared" si="1"/>
        <v>111607-Lait de vache et chèvre-</v>
      </c>
      <c r="F4691" s="25">
        <v>1.0</v>
      </c>
      <c r="G4691" s="25">
        <v>39.0</v>
      </c>
      <c r="H4691" s="25">
        <v>30.0</v>
      </c>
      <c r="I4691" s="26">
        <f t="array" ref="I4691">XLOOKUP($A4691,product!A:A,product!E:E)</f>
        <v>0.7</v>
      </c>
      <c r="J4691" s="25">
        <f t="shared" si="2"/>
        <v>21</v>
      </c>
      <c r="K4691" s="27">
        <f t="shared" si="3"/>
        <v>1</v>
      </c>
      <c r="L4691" s="25">
        <f t="shared" si="4"/>
        <v>1</v>
      </c>
    </row>
    <row r="4692">
      <c r="A4692" s="19">
        <v>71083.0</v>
      </c>
      <c r="B4692" s="20" t="str">
        <f t="array" ref="B4692">xlookup($A4692,product!$A:$A,product!B:B)</f>
        <v>Epicerie salée</v>
      </c>
      <c r="C4692" s="20" t="str">
        <f t="array" ref="C4692">xlookup($A4692,product!$A:$A,product!C:C)</f>
        <v>Poisson, viande, pâtés</v>
      </c>
      <c r="D4692" s="20" t="str">
        <f t="array" ref="D4692">xlookup($A4692,product!$A:$A,product!D:D)</f>
        <v>Produits de la mer</v>
      </c>
      <c r="E4692" s="4" t="str">
        <f t="shared" si="1"/>
        <v>71083-Poisson, viande, pâtés-Produits de la mer</v>
      </c>
      <c r="F4692" s="4">
        <v>1.0</v>
      </c>
      <c r="G4692" s="4">
        <v>671.0</v>
      </c>
      <c r="H4692" s="4">
        <v>252.0</v>
      </c>
      <c r="I4692" s="21">
        <f t="array" ref="I4692">XLOOKUP($A4692,product!A:A,product!E:E)</f>
        <v>2.28</v>
      </c>
      <c r="J4692" s="4">
        <f t="shared" si="2"/>
        <v>574.56</v>
      </c>
      <c r="K4692" s="22">
        <f t="shared" si="3"/>
        <v>1</v>
      </c>
      <c r="L4692" s="4">
        <f t="shared" si="4"/>
        <v>1</v>
      </c>
    </row>
    <row r="4693">
      <c r="A4693" s="23">
        <v>118178.0</v>
      </c>
      <c r="B4693" s="24" t="str">
        <f t="array" ref="B4693">xlookup($A4693,product!$A:$A,product!B:B)</f>
        <v>Epicerie salée</v>
      </c>
      <c r="C4693" s="24" t="str">
        <f t="array" ref="C4693">xlookup($A4693,product!$A:$A,product!C:C)</f>
        <v>Poisson, viande, pâtés</v>
      </c>
      <c r="D4693" s="24" t="str">
        <f t="array" ref="D4693">xlookup($A4693,product!$A:$A,product!D:D)</f>
        <v>Produits de la mer</v>
      </c>
      <c r="E4693" s="25" t="str">
        <f t="shared" si="1"/>
        <v>118178-Poisson, viande, pâtés-Produits de la mer</v>
      </c>
      <c r="F4693" s="25">
        <v>0.0</v>
      </c>
      <c r="G4693" s="25">
        <v>620.0</v>
      </c>
      <c r="H4693" s="25">
        <v>0.0</v>
      </c>
      <c r="I4693" s="26">
        <f t="array" ref="I4693">XLOOKUP($A4693,product!A:A,product!E:E)</f>
        <v>3.53</v>
      </c>
      <c r="J4693" s="25">
        <f t="shared" si="2"/>
        <v>0</v>
      </c>
      <c r="K4693" s="27">
        <f t="shared" si="3"/>
        <v>0</v>
      </c>
      <c r="L4693" s="25">
        <f t="shared" si="4"/>
        <v>1</v>
      </c>
    </row>
    <row r="4694">
      <c r="A4694" s="19">
        <v>81767.0</v>
      </c>
      <c r="B4694" s="20" t="str">
        <f t="array" ref="B4694">xlookup($A4694,product!$A:$A,product!B:B)</f>
        <v>Epicerie salée</v>
      </c>
      <c r="C4694" s="20" t="str">
        <f t="array" ref="C4694">xlookup($A4694,product!$A:$A,product!C:C)</f>
        <v>Poisson, viande, pâtés</v>
      </c>
      <c r="D4694" s="20" t="str">
        <f t="array" ref="D4694">xlookup($A4694,product!$A:$A,product!D:D)</f>
        <v>Produits de la mer</v>
      </c>
      <c r="E4694" s="4" t="str">
        <f t="shared" si="1"/>
        <v>81767-Poisson, viande, pâtés-Produits de la mer</v>
      </c>
      <c r="F4694" s="4">
        <v>0.0</v>
      </c>
      <c r="G4694" s="4">
        <v>863.0</v>
      </c>
      <c r="H4694" s="4">
        <v>131.0</v>
      </c>
      <c r="I4694" s="21">
        <f t="array" ref="I4694">XLOOKUP($A4694,product!A:A,product!E:E)</f>
        <v>2.38</v>
      </c>
      <c r="J4694" s="4">
        <f t="shared" si="2"/>
        <v>311.78</v>
      </c>
      <c r="K4694" s="22">
        <f t="shared" si="3"/>
        <v>1</v>
      </c>
      <c r="L4694" s="4">
        <f t="shared" si="4"/>
        <v>1</v>
      </c>
    </row>
    <row r="4695">
      <c r="A4695" s="23">
        <v>118186.0</v>
      </c>
      <c r="B4695" s="24" t="str">
        <f t="array" ref="B4695">xlookup($A4695,product!$A:$A,product!B:B)</f>
        <v>Epicerie salée</v>
      </c>
      <c r="C4695" s="24" t="str">
        <f t="array" ref="C4695">xlookup($A4695,product!$A:$A,product!C:C)</f>
        <v>Poisson, viande, pâtés</v>
      </c>
      <c r="D4695" s="24" t="str">
        <f t="array" ref="D4695">xlookup($A4695,product!$A:$A,product!D:D)</f>
        <v>Produits de la mer</v>
      </c>
      <c r="E4695" s="25" t="str">
        <f t="shared" si="1"/>
        <v>118186-Poisson, viande, pâtés-Produits de la mer</v>
      </c>
      <c r="F4695" s="25">
        <v>0.0</v>
      </c>
      <c r="G4695" s="25">
        <v>619.0</v>
      </c>
      <c r="H4695" s="25">
        <v>298.0</v>
      </c>
      <c r="I4695" s="26">
        <f t="array" ref="I4695">XLOOKUP($A4695,product!A:A,product!E:E)</f>
        <v>1.42</v>
      </c>
      <c r="J4695" s="25">
        <f t="shared" si="2"/>
        <v>423.16</v>
      </c>
      <c r="K4695" s="27">
        <f t="shared" si="3"/>
        <v>1</v>
      </c>
      <c r="L4695" s="25">
        <f t="shared" si="4"/>
        <v>1</v>
      </c>
    </row>
    <row r="4696">
      <c r="A4696" s="19">
        <v>43228.0</v>
      </c>
      <c r="B4696" s="20" t="str">
        <f t="array" ref="B4696">xlookup($A4696,product!$A:$A,product!B:B)</f>
        <v>Epicerie salée</v>
      </c>
      <c r="C4696" s="20" t="str">
        <f t="array" ref="C4696">xlookup($A4696,product!$A:$A,product!C:C)</f>
        <v>Poisson, viande, pâtés</v>
      </c>
      <c r="D4696" s="20" t="str">
        <f t="array" ref="D4696">xlookup($A4696,product!$A:$A,product!D:D)</f>
        <v>Produits de la mer</v>
      </c>
      <c r="E4696" s="4" t="str">
        <f t="shared" si="1"/>
        <v>43228-Poisson, viande, pâtés-Produits de la mer</v>
      </c>
      <c r="F4696" s="4">
        <v>1.0</v>
      </c>
      <c r="G4696" s="4">
        <v>650.0</v>
      </c>
      <c r="H4696" s="4">
        <v>244.0</v>
      </c>
      <c r="I4696" s="21">
        <f t="array" ref="I4696">XLOOKUP($A4696,product!A:A,product!E:E)</f>
        <v>2.75</v>
      </c>
      <c r="J4696" s="4">
        <f t="shared" si="2"/>
        <v>671</v>
      </c>
      <c r="K4696" s="22">
        <f t="shared" si="3"/>
        <v>1</v>
      </c>
      <c r="L4696" s="4">
        <f t="shared" si="4"/>
        <v>1</v>
      </c>
    </row>
    <row r="4697">
      <c r="A4697" s="23">
        <v>199268.0</v>
      </c>
      <c r="B4697" s="24" t="str">
        <f t="array" ref="B4697">xlookup($A4697,product!$A:$A,product!B:B)</f>
        <v>Epicerie salée</v>
      </c>
      <c r="C4697" s="24" t="str">
        <f t="array" ref="C4697">xlookup($A4697,product!$A:$A,product!C:C)</f>
        <v>Poisson, viande, pâtés</v>
      </c>
      <c r="D4697" s="24" t="str">
        <f t="array" ref="D4697">xlookup($A4697,product!$A:$A,product!D:D)</f>
        <v>Produits de la mer</v>
      </c>
      <c r="E4697" s="25" t="str">
        <f t="shared" si="1"/>
        <v>199268-Poisson, viande, pâtés-Produits de la mer</v>
      </c>
      <c r="F4697" s="25">
        <v>1.0</v>
      </c>
      <c r="G4697" s="25">
        <v>365.0</v>
      </c>
      <c r="H4697" s="25">
        <v>291.0</v>
      </c>
      <c r="I4697" s="26">
        <f t="array" ref="I4697">XLOOKUP($A4697,product!A:A,product!E:E)</f>
        <v>2.72</v>
      </c>
      <c r="J4697" s="25">
        <f t="shared" si="2"/>
        <v>791.52</v>
      </c>
      <c r="K4697" s="27">
        <f t="shared" si="3"/>
        <v>1</v>
      </c>
      <c r="L4697" s="25">
        <f t="shared" si="4"/>
        <v>1</v>
      </c>
    </row>
    <row r="4698">
      <c r="A4698" s="19">
        <v>118196.0</v>
      </c>
      <c r="B4698" s="20" t="str">
        <f t="array" ref="B4698">xlookup($A4698,product!$A:$A,product!B:B)</f>
        <v>Epicerie salée</v>
      </c>
      <c r="C4698" s="20" t="str">
        <f t="array" ref="C4698">xlookup($A4698,product!$A:$A,product!C:C)</f>
        <v>Poisson, viande, pâtés</v>
      </c>
      <c r="D4698" s="20" t="str">
        <f t="array" ref="D4698">xlookup($A4698,product!$A:$A,product!D:D)</f>
        <v>Produits de la mer</v>
      </c>
      <c r="E4698" s="4" t="str">
        <f t="shared" si="1"/>
        <v>118196-Poisson, viande, pâtés-Produits de la mer</v>
      </c>
      <c r="F4698" s="4">
        <v>0.0</v>
      </c>
      <c r="G4698" s="4">
        <v>312.0</v>
      </c>
      <c r="H4698" s="4">
        <v>143.0</v>
      </c>
      <c r="I4698" s="21">
        <f t="array" ref="I4698">XLOOKUP($A4698,product!A:A,product!E:E)</f>
        <v>2.48</v>
      </c>
      <c r="J4698" s="4">
        <f t="shared" si="2"/>
        <v>354.64</v>
      </c>
      <c r="K4698" s="22">
        <f t="shared" si="3"/>
        <v>1</v>
      </c>
      <c r="L4698" s="4">
        <f t="shared" si="4"/>
        <v>1</v>
      </c>
    </row>
    <row r="4699">
      <c r="A4699" s="23">
        <v>71084.0</v>
      </c>
      <c r="B4699" s="24" t="str">
        <f t="array" ref="B4699">xlookup($A4699,product!$A:$A,product!B:B)</f>
        <v>Epicerie salée</v>
      </c>
      <c r="C4699" s="24" t="str">
        <f t="array" ref="C4699">xlookup($A4699,product!$A:$A,product!C:C)</f>
        <v>Poisson, viande, pâtés</v>
      </c>
      <c r="D4699" s="24" t="str">
        <f t="array" ref="D4699">xlookup($A4699,product!$A:$A,product!D:D)</f>
        <v>Produits de la mer</v>
      </c>
      <c r="E4699" s="25" t="str">
        <f t="shared" si="1"/>
        <v>71084-Poisson, viande, pâtés-Produits de la mer</v>
      </c>
      <c r="F4699" s="25">
        <v>1.0</v>
      </c>
      <c r="G4699" s="25">
        <v>897.0</v>
      </c>
      <c r="H4699" s="25">
        <v>250.0</v>
      </c>
      <c r="I4699" s="26">
        <f t="array" ref="I4699">XLOOKUP($A4699,product!A:A,product!E:E)</f>
        <v>2.28</v>
      </c>
      <c r="J4699" s="25">
        <f t="shared" si="2"/>
        <v>570</v>
      </c>
      <c r="K4699" s="27">
        <f t="shared" si="3"/>
        <v>1</v>
      </c>
      <c r="L4699" s="25">
        <f t="shared" si="4"/>
        <v>1</v>
      </c>
    </row>
    <row r="4700">
      <c r="A4700" s="19">
        <v>120587.0</v>
      </c>
      <c r="B4700" s="20" t="str">
        <f t="array" ref="B4700">xlookup($A4700,product!$A:$A,product!B:B)</f>
        <v>Epicerie salée</v>
      </c>
      <c r="C4700" s="20" t="str">
        <f t="array" ref="C4700">xlookup($A4700,product!$A:$A,product!C:C)</f>
        <v>Poisson, viande, pâtés</v>
      </c>
      <c r="D4700" s="20" t="str">
        <f t="array" ref="D4700">xlookup($A4700,product!$A:$A,product!D:D)</f>
        <v>Produits de la mer</v>
      </c>
      <c r="E4700" s="4" t="str">
        <f t="shared" si="1"/>
        <v>120587-Poisson, viande, pâtés-Produits de la mer</v>
      </c>
      <c r="F4700" s="4">
        <v>1.0</v>
      </c>
      <c r="G4700" s="4">
        <v>898.0</v>
      </c>
      <c r="H4700" s="4">
        <v>832.0</v>
      </c>
      <c r="I4700" s="21">
        <f t="array" ref="I4700">XLOOKUP($A4700,product!A:A,product!E:E)</f>
        <v>2.17</v>
      </c>
      <c r="J4700" s="4">
        <f t="shared" si="2"/>
        <v>1805.44</v>
      </c>
      <c r="K4700" s="22">
        <f t="shared" si="3"/>
        <v>1</v>
      </c>
      <c r="L4700" s="4">
        <f t="shared" si="4"/>
        <v>1</v>
      </c>
    </row>
    <row r="4701">
      <c r="A4701" s="23">
        <v>80952.0</v>
      </c>
      <c r="B4701" s="24" t="str">
        <f t="array" ref="B4701">xlookup($A4701,product!$A:$A,product!B:B)</f>
        <v>Epicerie salée</v>
      </c>
      <c r="C4701" s="24" t="str">
        <f t="array" ref="C4701">xlookup($A4701,product!$A:$A,product!C:C)</f>
        <v>Poisson, viande, pâtés</v>
      </c>
      <c r="D4701" s="24" t="str">
        <f t="array" ref="D4701">xlookup($A4701,product!$A:$A,product!D:D)</f>
        <v>Produits de la mer</v>
      </c>
      <c r="E4701" s="25" t="str">
        <f t="shared" si="1"/>
        <v>80952-Poisson, viande, pâtés-Produits de la mer</v>
      </c>
      <c r="F4701" s="25">
        <v>0.0</v>
      </c>
      <c r="G4701" s="25">
        <v>706.0</v>
      </c>
      <c r="H4701" s="25">
        <v>180.0</v>
      </c>
      <c r="I4701" s="26">
        <f t="array" ref="I4701">XLOOKUP($A4701,product!A:A,product!E:E)</f>
        <v>3.77</v>
      </c>
      <c r="J4701" s="25">
        <f t="shared" si="2"/>
        <v>678.6</v>
      </c>
      <c r="K4701" s="27">
        <f t="shared" si="3"/>
        <v>1</v>
      </c>
      <c r="L4701" s="25">
        <f t="shared" si="4"/>
        <v>1</v>
      </c>
    </row>
    <row r="4702">
      <c r="A4702" s="19">
        <v>120575.0</v>
      </c>
      <c r="B4702" s="20" t="str">
        <f t="array" ref="B4702">xlookup($A4702,product!$A:$A,product!B:B)</f>
        <v>Epicerie salée</v>
      </c>
      <c r="C4702" s="20" t="str">
        <f t="array" ref="C4702">xlookup($A4702,product!$A:$A,product!C:C)</f>
        <v>Poisson, viande, pâtés</v>
      </c>
      <c r="D4702" s="20" t="str">
        <f t="array" ref="D4702">xlookup($A4702,product!$A:$A,product!D:D)</f>
        <v>Produits de la mer</v>
      </c>
      <c r="E4702" s="4" t="str">
        <f t="shared" si="1"/>
        <v>120575-Poisson, viande, pâtés-Produits de la mer</v>
      </c>
      <c r="F4702" s="4">
        <v>0.0</v>
      </c>
      <c r="G4702" s="4">
        <v>422.0</v>
      </c>
      <c r="H4702" s="4">
        <v>279.0</v>
      </c>
      <c r="I4702" s="21">
        <f t="array" ref="I4702">XLOOKUP($A4702,product!A:A,product!E:E)</f>
        <v>2.15</v>
      </c>
      <c r="J4702" s="4">
        <f t="shared" si="2"/>
        <v>599.85</v>
      </c>
      <c r="K4702" s="22">
        <f t="shared" si="3"/>
        <v>1</v>
      </c>
      <c r="L4702" s="4">
        <f t="shared" si="4"/>
        <v>1</v>
      </c>
    </row>
    <row r="4703">
      <c r="A4703" s="23">
        <v>43244.0</v>
      </c>
      <c r="B4703" s="24" t="str">
        <f t="array" ref="B4703">xlookup($A4703,product!$A:$A,product!B:B)</f>
        <v>Epicerie salée</v>
      </c>
      <c r="C4703" s="24" t="str">
        <f t="array" ref="C4703">xlookup($A4703,product!$A:$A,product!C:C)</f>
        <v>Poisson, viande, pâtés</v>
      </c>
      <c r="D4703" s="24" t="str">
        <f t="array" ref="D4703">xlookup($A4703,product!$A:$A,product!D:D)</f>
        <v>Produits de la mer</v>
      </c>
      <c r="E4703" s="25" t="str">
        <f t="shared" si="1"/>
        <v>43244-Poisson, viande, pâtés-Produits de la mer</v>
      </c>
      <c r="F4703" s="25">
        <v>1.0</v>
      </c>
      <c r="G4703" s="25">
        <v>765.0</v>
      </c>
      <c r="H4703" s="25">
        <v>528.0</v>
      </c>
      <c r="I4703" s="26">
        <f t="array" ref="I4703">XLOOKUP($A4703,product!A:A,product!E:E)</f>
        <v>4.59</v>
      </c>
      <c r="J4703" s="25">
        <f t="shared" si="2"/>
        <v>2423.52</v>
      </c>
      <c r="K4703" s="27">
        <f t="shared" si="3"/>
        <v>1</v>
      </c>
      <c r="L4703" s="25">
        <f t="shared" si="4"/>
        <v>1</v>
      </c>
    </row>
    <row r="4704">
      <c r="A4704" s="19">
        <v>116477.0</v>
      </c>
      <c r="B4704" s="20" t="str">
        <f t="array" ref="B4704">xlookup($A4704,product!$A:$A,product!B:B)</f>
        <v>Epicerie salée</v>
      </c>
      <c r="C4704" s="20" t="str">
        <f t="array" ref="C4704">xlookup($A4704,product!$A:$A,product!C:C)</f>
        <v>Poisson, viande, pâtés</v>
      </c>
      <c r="D4704" s="20" t="str">
        <f t="array" ref="D4704">xlookup($A4704,product!$A:$A,product!D:D)</f>
        <v>Produits de la mer</v>
      </c>
      <c r="E4704" s="4" t="str">
        <f t="shared" si="1"/>
        <v>116477-Poisson, viande, pâtés-Produits de la mer</v>
      </c>
      <c r="F4704" s="4">
        <v>1.0</v>
      </c>
      <c r="G4704" s="4">
        <v>212.0</v>
      </c>
      <c r="H4704" s="4">
        <v>158.0</v>
      </c>
      <c r="I4704" s="21">
        <f t="array" ref="I4704">XLOOKUP($A4704,product!A:A,product!E:E)</f>
        <v>1.59</v>
      </c>
      <c r="J4704" s="4">
        <f t="shared" si="2"/>
        <v>251.22</v>
      </c>
      <c r="K4704" s="22">
        <f t="shared" si="3"/>
        <v>1</v>
      </c>
      <c r="L4704" s="4">
        <f t="shared" si="4"/>
        <v>1</v>
      </c>
    </row>
    <row r="4705">
      <c r="A4705" s="23">
        <v>110480.0</v>
      </c>
      <c r="B4705" s="24" t="str">
        <f t="array" ref="B4705">xlookup($A4705,product!$A:$A,product!B:B)</f>
        <v>Epicerie salée</v>
      </c>
      <c r="C4705" s="24" t="str">
        <f t="array" ref="C4705">xlookup($A4705,product!$A:$A,product!C:C)</f>
        <v>Poisson, viande, pâtés</v>
      </c>
      <c r="D4705" s="24" t="str">
        <f t="array" ref="D4705">xlookup($A4705,product!$A:$A,product!D:D)</f>
        <v>Produits de la mer</v>
      </c>
      <c r="E4705" s="25" t="str">
        <f t="shared" si="1"/>
        <v>110480-Poisson, viande, pâtés-Produits de la mer</v>
      </c>
      <c r="F4705" s="25">
        <v>0.0</v>
      </c>
      <c r="G4705" s="25">
        <v>550.0</v>
      </c>
      <c r="H4705" s="25">
        <v>422.0</v>
      </c>
      <c r="I4705" s="26">
        <f t="array" ref="I4705">XLOOKUP($A4705,product!A:A,product!E:E)</f>
        <v>2.18</v>
      </c>
      <c r="J4705" s="25">
        <f t="shared" si="2"/>
        <v>919.96</v>
      </c>
      <c r="K4705" s="27">
        <f t="shared" si="3"/>
        <v>1</v>
      </c>
      <c r="L4705" s="25">
        <f t="shared" si="4"/>
        <v>1</v>
      </c>
    </row>
    <row r="4706">
      <c r="A4706" s="19">
        <v>87548.0</v>
      </c>
      <c r="B4706" s="20" t="str">
        <f t="array" ref="B4706">xlookup($A4706,product!$A:$A,product!B:B)</f>
        <v>Epicerie salée</v>
      </c>
      <c r="C4706" s="20" t="str">
        <f t="array" ref="C4706">xlookup($A4706,product!$A:$A,product!C:C)</f>
        <v>Poisson, viande, pâtés</v>
      </c>
      <c r="D4706" s="20" t="str">
        <f t="array" ref="D4706">xlookup($A4706,product!$A:$A,product!D:D)</f>
        <v>Produits de la mer</v>
      </c>
      <c r="E4706" s="4" t="str">
        <f t="shared" si="1"/>
        <v>87548-Poisson, viande, pâtés-Produits de la mer</v>
      </c>
      <c r="F4706" s="4">
        <v>1.0</v>
      </c>
      <c r="G4706" s="4">
        <v>827.0</v>
      </c>
      <c r="H4706" s="4">
        <v>380.0</v>
      </c>
      <c r="I4706" s="21">
        <f t="array" ref="I4706">XLOOKUP($A4706,product!A:A,product!E:E)</f>
        <v>1.59</v>
      </c>
      <c r="J4706" s="4">
        <f t="shared" si="2"/>
        <v>604.2</v>
      </c>
      <c r="K4706" s="22">
        <f t="shared" si="3"/>
        <v>1</v>
      </c>
      <c r="L4706" s="4">
        <f t="shared" si="4"/>
        <v>1</v>
      </c>
    </row>
    <row r="4707">
      <c r="A4707" s="23">
        <v>77223.0</v>
      </c>
      <c r="B4707" s="24" t="str">
        <f t="array" ref="B4707">xlookup($A4707,product!$A:$A,product!B:B)</f>
        <v>Epicerie salée</v>
      </c>
      <c r="C4707" s="24" t="str">
        <f t="array" ref="C4707">xlookup($A4707,product!$A:$A,product!C:C)</f>
        <v>Poisson, viande, pâtés</v>
      </c>
      <c r="D4707" s="24" t="str">
        <f t="array" ref="D4707">xlookup($A4707,product!$A:$A,product!D:D)</f>
        <v>Produits de la mer</v>
      </c>
      <c r="E4707" s="25" t="str">
        <f t="shared" si="1"/>
        <v>77223-Poisson, viande, pâtés-Produits de la mer</v>
      </c>
      <c r="F4707" s="25">
        <v>1.0</v>
      </c>
      <c r="G4707" s="25">
        <v>941.0</v>
      </c>
      <c r="H4707" s="25">
        <v>485.0</v>
      </c>
      <c r="I4707" s="26">
        <f t="array" ref="I4707">XLOOKUP($A4707,product!A:A,product!E:E)</f>
        <v>1.48</v>
      </c>
      <c r="J4707" s="25">
        <f t="shared" si="2"/>
        <v>717.8</v>
      </c>
      <c r="K4707" s="27">
        <f t="shared" si="3"/>
        <v>1</v>
      </c>
      <c r="L4707" s="25">
        <f t="shared" si="4"/>
        <v>1</v>
      </c>
    </row>
    <row r="4708">
      <c r="A4708" s="19">
        <v>43241.0</v>
      </c>
      <c r="B4708" s="20" t="str">
        <f t="array" ref="B4708">xlookup($A4708,product!$A:$A,product!B:B)</f>
        <v>Epicerie salée</v>
      </c>
      <c r="C4708" s="20" t="str">
        <f t="array" ref="C4708">xlookup($A4708,product!$A:$A,product!C:C)</f>
        <v>Poisson, viande, pâtés</v>
      </c>
      <c r="D4708" s="20" t="str">
        <f t="array" ref="D4708">xlookup($A4708,product!$A:$A,product!D:D)</f>
        <v>Produits de la mer</v>
      </c>
      <c r="E4708" s="4" t="str">
        <f t="shared" si="1"/>
        <v>43241-Poisson, viande, pâtés-Produits de la mer</v>
      </c>
      <c r="F4708" s="4">
        <v>1.0</v>
      </c>
      <c r="G4708" s="4">
        <v>221.0</v>
      </c>
      <c r="H4708" s="4">
        <v>79.0</v>
      </c>
      <c r="I4708" s="21">
        <f t="array" ref="I4708">XLOOKUP($A4708,product!A:A,product!E:E)</f>
        <v>2.13</v>
      </c>
      <c r="J4708" s="4">
        <f t="shared" si="2"/>
        <v>168.27</v>
      </c>
      <c r="K4708" s="22">
        <f t="shared" si="3"/>
        <v>1</v>
      </c>
      <c r="L4708" s="4">
        <f t="shared" si="4"/>
        <v>1</v>
      </c>
    </row>
    <row r="4709">
      <c r="A4709" s="23">
        <v>71161.0</v>
      </c>
      <c r="B4709" s="24" t="str">
        <f t="array" ref="B4709">xlookup($A4709,product!$A:$A,product!B:B)</f>
        <v>Epicerie salée</v>
      </c>
      <c r="C4709" s="24" t="str">
        <f t="array" ref="C4709">xlookup($A4709,product!$A:$A,product!C:C)</f>
        <v>Poisson, viande, pâtés</v>
      </c>
      <c r="D4709" s="24" t="str">
        <f t="array" ref="D4709">xlookup($A4709,product!$A:$A,product!D:D)</f>
        <v>Produits de la mer</v>
      </c>
      <c r="E4709" s="25" t="str">
        <f t="shared" si="1"/>
        <v>71161-Poisson, viande, pâtés-Produits de la mer</v>
      </c>
      <c r="F4709" s="25">
        <v>1.0</v>
      </c>
      <c r="G4709" s="25">
        <v>643.0</v>
      </c>
      <c r="H4709" s="25">
        <v>246.0</v>
      </c>
      <c r="I4709" s="26">
        <f t="array" ref="I4709">XLOOKUP($A4709,product!A:A,product!E:E)</f>
        <v>1.94</v>
      </c>
      <c r="J4709" s="25">
        <f t="shared" si="2"/>
        <v>477.24</v>
      </c>
      <c r="K4709" s="27">
        <f t="shared" si="3"/>
        <v>1</v>
      </c>
      <c r="L4709" s="25">
        <f t="shared" si="4"/>
        <v>1</v>
      </c>
    </row>
    <row r="4710">
      <c r="A4710" s="19">
        <v>77224.0</v>
      </c>
      <c r="B4710" s="20" t="str">
        <f t="array" ref="B4710">xlookup($A4710,product!$A:$A,product!B:B)</f>
        <v>Epicerie salée</v>
      </c>
      <c r="C4710" s="20" t="str">
        <f t="array" ref="C4710">xlookup($A4710,product!$A:$A,product!C:C)</f>
        <v>Poisson, viande, pâtés</v>
      </c>
      <c r="D4710" s="20" t="str">
        <f t="array" ref="D4710">xlookup($A4710,product!$A:$A,product!D:D)</f>
        <v>Produits de la mer</v>
      </c>
      <c r="E4710" s="4" t="str">
        <f t="shared" si="1"/>
        <v>77224-Poisson, viande, pâtés-Produits de la mer</v>
      </c>
      <c r="F4710" s="4">
        <v>0.0</v>
      </c>
      <c r="G4710" s="4">
        <v>714.0</v>
      </c>
      <c r="H4710" s="4">
        <v>75.0</v>
      </c>
      <c r="I4710" s="21">
        <f t="array" ref="I4710">XLOOKUP($A4710,product!A:A,product!E:E)</f>
        <v>1.73</v>
      </c>
      <c r="J4710" s="4">
        <f t="shared" si="2"/>
        <v>129.75</v>
      </c>
      <c r="K4710" s="22">
        <f t="shared" si="3"/>
        <v>1</v>
      </c>
      <c r="L4710" s="4">
        <f t="shared" si="4"/>
        <v>1</v>
      </c>
    </row>
    <row r="4711">
      <c r="A4711" s="23">
        <v>113992.0</v>
      </c>
      <c r="B4711" s="24" t="str">
        <f t="array" ref="B4711">xlookup($A4711,product!$A:$A,product!B:B)</f>
        <v>Epicerie salée</v>
      </c>
      <c r="C4711" s="24" t="str">
        <f t="array" ref="C4711">xlookup($A4711,product!$A:$A,product!C:C)</f>
        <v>Poisson, viande, pâtés</v>
      </c>
      <c r="D4711" s="24" t="str">
        <f t="array" ref="D4711">xlookup($A4711,product!$A:$A,product!D:D)</f>
        <v>Produits de la mer</v>
      </c>
      <c r="E4711" s="25" t="str">
        <f t="shared" si="1"/>
        <v>113992-Poisson, viande, pâtés-Produits de la mer</v>
      </c>
      <c r="F4711" s="25">
        <v>0.0</v>
      </c>
      <c r="G4711" s="25">
        <v>181.0</v>
      </c>
      <c r="H4711" s="25">
        <v>93.0</v>
      </c>
      <c r="I4711" s="26">
        <f t="array" ref="I4711">XLOOKUP($A4711,product!A:A,product!E:E)</f>
        <v>2.09</v>
      </c>
      <c r="J4711" s="25">
        <f t="shared" si="2"/>
        <v>194.37</v>
      </c>
      <c r="K4711" s="27">
        <f t="shared" si="3"/>
        <v>1</v>
      </c>
      <c r="L4711" s="25">
        <f t="shared" si="4"/>
        <v>1</v>
      </c>
    </row>
    <row r="4712">
      <c r="A4712" s="19">
        <v>112611.0</v>
      </c>
      <c r="B4712" s="20" t="str">
        <f t="array" ref="B4712">xlookup($A4712,product!$A:$A,product!B:B)</f>
        <v>Epicerie salée</v>
      </c>
      <c r="C4712" s="20" t="str">
        <f t="array" ref="C4712">xlookup($A4712,product!$A:$A,product!C:C)</f>
        <v>Poisson, viande, pâtés</v>
      </c>
      <c r="D4712" s="20" t="str">
        <f t="array" ref="D4712">xlookup($A4712,product!$A:$A,product!D:D)</f>
        <v>Produits de la mer</v>
      </c>
      <c r="E4712" s="4" t="str">
        <f t="shared" si="1"/>
        <v>112611-Poisson, viande, pâtés-Produits de la mer</v>
      </c>
      <c r="F4712" s="4">
        <v>1.0</v>
      </c>
      <c r="G4712" s="4">
        <v>332.0</v>
      </c>
      <c r="H4712" s="4">
        <v>95.0</v>
      </c>
      <c r="I4712" s="21">
        <f t="array" ref="I4712">XLOOKUP($A4712,product!A:A,product!E:E)</f>
        <v>2.21</v>
      </c>
      <c r="J4712" s="4">
        <f t="shared" si="2"/>
        <v>209.95</v>
      </c>
      <c r="K4712" s="22">
        <f t="shared" si="3"/>
        <v>1</v>
      </c>
      <c r="L4712" s="4">
        <f t="shared" si="4"/>
        <v>1</v>
      </c>
    </row>
    <row r="4713">
      <c r="A4713" s="23">
        <v>116482.0</v>
      </c>
      <c r="B4713" s="24" t="str">
        <f t="array" ref="B4713">xlookup($A4713,product!$A:$A,product!B:B)</f>
        <v>Epicerie salée</v>
      </c>
      <c r="C4713" s="24" t="str">
        <f t="array" ref="C4713">xlookup($A4713,product!$A:$A,product!C:C)</f>
        <v>Poisson, viande, pâtés</v>
      </c>
      <c r="D4713" s="24" t="str">
        <f t="array" ref="D4713">xlookup($A4713,product!$A:$A,product!D:D)</f>
        <v>Produits de la mer</v>
      </c>
      <c r="E4713" s="25" t="str">
        <f t="shared" si="1"/>
        <v>116482-Poisson, viande, pâtés-Produits de la mer</v>
      </c>
      <c r="F4713" s="25">
        <v>0.0</v>
      </c>
      <c r="G4713" s="25">
        <v>520.0</v>
      </c>
      <c r="H4713" s="25">
        <v>141.0</v>
      </c>
      <c r="I4713" s="26">
        <f t="array" ref="I4713">XLOOKUP($A4713,product!A:A,product!E:E)</f>
        <v>1.59</v>
      </c>
      <c r="J4713" s="25">
        <f t="shared" si="2"/>
        <v>224.19</v>
      </c>
      <c r="K4713" s="27">
        <f t="shared" si="3"/>
        <v>1</v>
      </c>
      <c r="L4713" s="25">
        <f t="shared" si="4"/>
        <v>1</v>
      </c>
    </row>
    <row r="4714">
      <c r="A4714" s="19">
        <v>77246.0</v>
      </c>
      <c r="B4714" s="20" t="str">
        <f t="array" ref="B4714">xlookup($A4714,product!$A:$A,product!B:B)</f>
        <v>Epicerie salée</v>
      </c>
      <c r="C4714" s="20" t="str">
        <f t="array" ref="C4714">xlookup($A4714,product!$A:$A,product!C:C)</f>
        <v>Poisson, viande, pâtés</v>
      </c>
      <c r="D4714" s="20" t="str">
        <f t="array" ref="D4714">xlookup($A4714,product!$A:$A,product!D:D)</f>
        <v>Produits de la mer</v>
      </c>
      <c r="E4714" s="4" t="str">
        <f t="shared" si="1"/>
        <v>77246-Poisson, viande, pâtés-Produits de la mer</v>
      </c>
      <c r="F4714" s="4">
        <v>1.0</v>
      </c>
      <c r="G4714" s="4">
        <v>159.0</v>
      </c>
      <c r="H4714" s="4">
        <v>71.0</v>
      </c>
      <c r="I4714" s="21">
        <f t="array" ref="I4714">XLOOKUP($A4714,product!A:A,product!E:E)</f>
        <v>3.71</v>
      </c>
      <c r="J4714" s="4">
        <f t="shared" si="2"/>
        <v>263.41</v>
      </c>
      <c r="K4714" s="22">
        <f t="shared" si="3"/>
        <v>1</v>
      </c>
      <c r="L4714" s="4">
        <f t="shared" si="4"/>
        <v>1</v>
      </c>
    </row>
    <row r="4715">
      <c r="A4715" s="23">
        <v>122798.0</v>
      </c>
      <c r="B4715" s="24" t="str">
        <f t="array" ref="B4715">xlookup($A4715,product!$A:$A,product!B:B)</f>
        <v>Epicerie salée</v>
      </c>
      <c r="C4715" s="24" t="str">
        <f t="array" ref="C4715">xlookup($A4715,product!$A:$A,product!C:C)</f>
        <v>Poisson, viande, pâtés</v>
      </c>
      <c r="D4715" s="24" t="str">
        <f t="array" ref="D4715">xlookup($A4715,product!$A:$A,product!D:D)</f>
        <v>Produits de la mer</v>
      </c>
      <c r="E4715" s="25" t="str">
        <f t="shared" si="1"/>
        <v>122798-Poisson, viande, pâtés-Produits de la mer</v>
      </c>
      <c r="F4715" s="25">
        <v>1.0</v>
      </c>
      <c r="G4715" s="25">
        <v>313.0</v>
      </c>
      <c r="H4715" s="25">
        <v>70.0</v>
      </c>
      <c r="I4715" s="26">
        <f t="array" ref="I4715">XLOOKUP($A4715,product!A:A,product!E:E)</f>
        <v>2.67</v>
      </c>
      <c r="J4715" s="25">
        <f t="shared" si="2"/>
        <v>186.9</v>
      </c>
      <c r="K4715" s="27">
        <f t="shared" si="3"/>
        <v>1</v>
      </c>
      <c r="L4715" s="25">
        <f t="shared" si="4"/>
        <v>1</v>
      </c>
    </row>
    <row r="4716">
      <c r="A4716" s="19">
        <v>120590.0</v>
      </c>
      <c r="B4716" s="20" t="str">
        <f t="array" ref="B4716">xlookup($A4716,product!$A:$A,product!B:B)</f>
        <v>Epicerie salée</v>
      </c>
      <c r="C4716" s="20" t="str">
        <f t="array" ref="C4716">xlookup($A4716,product!$A:$A,product!C:C)</f>
        <v>Poisson, viande, pâtés</v>
      </c>
      <c r="D4716" s="20" t="str">
        <f t="array" ref="D4716">xlookup($A4716,product!$A:$A,product!D:D)</f>
        <v>Produits de la mer</v>
      </c>
      <c r="E4716" s="4" t="str">
        <f t="shared" si="1"/>
        <v>120590-Poisson, viande, pâtés-Produits de la mer</v>
      </c>
      <c r="F4716" s="4">
        <v>0.0</v>
      </c>
      <c r="G4716" s="4">
        <v>165.0</v>
      </c>
      <c r="H4716" s="4">
        <v>71.0</v>
      </c>
      <c r="I4716" s="21">
        <f t="array" ref="I4716">XLOOKUP($A4716,product!A:A,product!E:E)</f>
        <v>2.44</v>
      </c>
      <c r="J4716" s="4">
        <f t="shared" si="2"/>
        <v>173.24</v>
      </c>
      <c r="K4716" s="22">
        <f t="shared" si="3"/>
        <v>1</v>
      </c>
      <c r="L4716" s="4">
        <f t="shared" si="4"/>
        <v>1</v>
      </c>
    </row>
    <row r="4717">
      <c r="A4717" s="23">
        <v>71914.0</v>
      </c>
      <c r="B4717" s="24" t="str">
        <f t="array" ref="B4717">xlookup($A4717,product!$A:$A,product!B:B)</f>
        <v>Epicerie salée</v>
      </c>
      <c r="C4717" s="24" t="str">
        <f t="array" ref="C4717">xlookup($A4717,product!$A:$A,product!C:C)</f>
        <v>Poisson, viande, pâtés</v>
      </c>
      <c r="D4717" s="24" t="str">
        <f t="array" ref="D4717">xlookup($A4717,product!$A:$A,product!D:D)</f>
        <v>Produits de la mer</v>
      </c>
      <c r="E4717" s="25" t="str">
        <f t="shared" si="1"/>
        <v>71914-Poisson, viande, pâtés-Produits de la mer</v>
      </c>
      <c r="F4717" s="25">
        <v>0.0</v>
      </c>
      <c r="G4717" s="25">
        <v>952.0</v>
      </c>
      <c r="H4717" s="25">
        <v>720.0</v>
      </c>
      <c r="I4717" s="26">
        <f t="array" ref="I4717">XLOOKUP($A4717,product!A:A,product!E:E)</f>
        <v>2.43</v>
      </c>
      <c r="J4717" s="25">
        <f t="shared" si="2"/>
        <v>1749.6</v>
      </c>
      <c r="K4717" s="27">
        <f t="shared" si="3"/>
        <v>1</v>
      </c>
      <c r="L4717" s="25">
        <f t="shared" si="4"/>
        <v>1</v>
      </c>
    </row>
    <row r="4718">
      <c r="A4718" s="19">
        <v>118206.0</v>
      </c>
      <c r="B4718" s="20" t="str">
        <f t="array" ref="B4718">xlookup($A4718,product!$A:$A,product!B:B)</f>
        <v>Epicerie salée</v>
      </c>
      <c r="C4718" s="20" t="str">
        <f t="array" ref="C4718">xlookup($A4718,product!$A:$A,product!C:C)</f>
        <v>Poisson, viande, pâtés</v>
      </c>
      <c r="D4718" s="20" t="str">
        <f t="array" ref="D4718">xlookup($A4718,product!$A:$A,product!D:D)</f>
        <v>Produits de la mer</v>
      </c>
      <c r="E4718" s="4" t="str">
        <f t="shared" si="1"/>
        <v>118206-Poisson, viande, pâtés-Produits de la mer</v>
      </c>
      <c r="F4718" s="4">
        <v>1.0</v>
      </c>
      <c r="G4718" s="4">
        <v>185.0</v>
      </c>
      <c r="H4718" s="4">
        <v>181.0</v>
      </c>
      <c r="I4718" s="21">
        <f t="array" ref="I4718">XLOOKUP($A4718,product!A:A,product!E:E)</f>
        <v>1.6</v>
      </c>
      <c r="J4718" s="4">
        <f t="shared" si="2"/>
        <v>289.6</v>
      </c>
      <c r="K4718" s="22">
        <f t="shared" si="3"/>
        <v>1</v>
      </c>
      <c r="L4718" s="4">
        <f t="shared" si="4"/>
        <v>1</v>
      </c>
    </row>
    <row r="4719">
      <c r="A4719" s="23">
        <v>118179.0</v>
      </c>
      <c r="B4719" s="24" t="str">
        <f t="array" ref="B4719">xlookup($A4719,product!$A:$A,product!B:B)</f>
        <v>Epicerie salée</v>
      </c>
      <c r="C4719" s="24" t="str">
        <f t="array" ref="C4719">xlookup($A4719,product!$A:$A,product!C:C)</f>
        <v>Poisson, viande, pâtés</v>
      </c>
      <c r="D4719" s="24" t="str">
        <f t="array" ref="D4719">xlookup($A4719,product!$A:$A,product!D:D)</f>
        <v>Produits de la mer</v>
      </c>
      <c r="E4719" s="25" t="str">
        <f t="shared" si="1"/>
        <v>118179-Poisson, viande, pâtés-Produits de la mer</v>
      </c>
      <c r="F4719" s="25">
        <v>0.0</v>
      </c>
      <c r="G4719" s="25">
        <v>584.0</v>
      </c>
      <c r="H4719" s="25">
        <v>104.0</v>
      </c>
      <c r="I4719" s="26">
        <f t="array" ref="I4719">XLOOKUP($A4719,product!A:A,product!E:E)</f>
        <v>3.13</v>
      </c>
      <c r="J4719" s="25">
        <f t="shared" si="2"/>
        <v>325.52</v>
      </c>
      <c r="K4719" s="27">
        <f t="shared" si="3"/>
        <v>1</v>
      </c>
      <c r="L4719" s="25">
        <f t="shared" si="4"/>
        <v>1</v>
      </c>
    </row>
    <row r="4720">
      <c r="A4720" s="19">
        <v>43247.0</v>
      </c>
      <c r="B4720" s="20" t="str">
        <f t="array" ref="B4720">xlookup($A4720,product!$A:$A,product!B:B)</f>
        <v>Epicerie salée</v>
      </c>
      <c r="C4720" s="20" t="str">
        <f t="array" ref="C4720">xlookup($A4720,product!$A:$A,product!C:C)</f>
        <v>Poisson, viande, pâtés</v>
      </c>
      <c r="D4720" s="20" t="str">
        <f t="array" ref="D4720">xlookup($A4720,product!$A:$A,product!D:D)</f>
        <v>Produits de la mer</v>
      </c>
      <c r="E4720" s="4" t="str">
        <f t="shared" si="1"/>
        <v>43247-Poisson, viande, pâtés-Produits de la mer</v>
      </c>
      <c r="F4720" s="4">
        <v>1.0</v>
      </c>
      <c r="G4720" s="4">
        <v>503.0</v>
      </c>
      <c r="H4720" s="4">
        <v>364.0</v>
      </c>
      <c r="I4720" s="21">
        <f t="array" ref="I4720">XLOOKUP($A4720,product!A:A,product!E:E)</f>
        <v>3.19</v>
      </c>
      <c r="J4720" s="4">
        <f t="shared" si="2"/>
        <v>1161.16</v>
      </c>
      <c r="K4720" s="22">
        <f t="shared" si="3"/>
        <v>1</v>
      </c>
      <c r="L4720" s="4">
        <f t="shared" si="4"/>
        <v>1</v>
      </c>
    </row>
    <row r="4721">
      <c r="A4721" s="23">
        <v>71166.0</v>
      </c>
      <c r="B4721" s="24" t="str">
        <f t="array" ref="B4721">xlookup($A4721,product!$A:$A,product!B:B)</f>
        <v>Epicerie salée</v>
      </c>
      <c r="C4721" s="24" t="str">
        <f t="array" ref="C4721">xlookup($A4721,product!$A:$A,product!C:C)</f>
        <v>Poisson, viande, pâtés</v>
      </c>
      <c r="D4721" s="24" t="str">
        <f t="array" ref="D4721">xlookup($A4721,product!$A:$A,product!D:D)</f>
        <v>Produits de la mer</v>
      </c>
      <c r="E4721" s="25" t="str">
        <f t="shared" si="1"/>
        <v>71166-Poisson, viande, pâtés-Produits de la mer</v>
      </c>
      <c r="F4721" s="25">
        <v>1.0</v>
      </c>
      <c r="G4721" s="25">
        <v>650.0</v>
      </c>
      <c r="H4721" s="25">
        <v>184.0</v>
      </c>
      <c r="I4721" s="26">
        <f t="array" ref="I4721">XLOOKUP($A4721,product!A:A,product!E:E)</f>
        <v>1.98</v>
      </c>
      <c r="J4721" s="25">
        <f t="shared" si="2"/>
        <v>364.32</v>
      </c>
      <c r="K4721" s="27">
        <f t="shared" si="3"/>
        <v>1</v>
      </c>
      <c r="L4721" s="25">
        <f t="shared" si="4"/>
        <v>1</v>
      </c>
    </row>
    <row r="4722">
      <c r="A4722" s="19">
        <v>43238.0</v>
      </c>
      <c r="B4722" s="20" t="str">
        <f t="array" ref="B4722">xlookup($A4722,product!$A:$A,product!B:B)</f>
        <v>Epicerie salée</v>
      </c>
      <c r="C4722" s="20" t="str">
        <f t="array" ref="C4722">xlookup($A4722,product!$A:$A,product!C:C)</f>
        <v>Poisson, viande, pâtés</v>
      </c>
      <c r="D4722" s="20" t="str">
        <f t="array" ref="D4722">xlookup($A4722,product!$A:$A,product!D:D)</f>
        <v>Produits de la mer</v>
      </c>
      <c r="E4722" s="4" t="str">
        <f t="shared" si="1"/>
        <v>43238-Poisson, viande, pâtés-Produits de la mer</v>
      </c>
      <c r="F4722" s="4">
        <v>1.0</v>
      </c>
      <c r="G4722" s="4">
        <v>540.0</v>
      </c>
      <c r="H4722" s="4">
        <v>291.0</v>
      </c>
      <c r="I4722" s="21">
        <f t="array" ref="I4722">XLOOKUP($A4722,product!A:A,product!E:E)</f>
        <v>5.61</v>
      </c>
      <c r="J4722" s="4">
        <f t="shared" si="2"/>
        <v>1632.51</v>
      </c>
      <c r="K4722" s="22">
        <f t="shared" si="3"/>
        <v>1</v>
      </c>
      <c r="L4722" s="4">
        <f t="shared" si="4"/>
        <v>1</v>
      </c>
    </row>
    <row r="4723">
      <c r="A4723" s="23">
        <v>114003.0</v>
      </c>
      <c r="B4723" s="24" t="str">
        <f t="array" ref="B4723">xlookup($A4723,product!$A:$A,product!B:B)</f>
        <v>Epicerie salée</v>
      </c>
      <c r="C4723" s="24" t="str">
        <f t="array" ref="C4723">xlookup($A4723,product!$A:$A,product!C:C)</f>
        <v>Poisson, viande, pâtés</v>
      </c>
      <c r="D4723" s="24" t="str">
        <f t="array" ref="D4723">xlookup($A4723,product!$A:$A,product!D:D)</f>
        <v>Produits de la mer</v>
      </c>
      <c r="E4723" s="25" t="str">
        <f t="shared" si="1"/>
        <v>114003-Poisson, viande, pâtés-Produits de la mer</v>
      </c>
      <c r="F4723" s="25">
        <v>0.0</v>
      </c>
      <c r="G4723" s="25">
        <v>501.0</v>
      </c>
      <c r="H4723" s="25">
        <v>298.0</v>
      </c>
      <c r="I4723" s="26">
        <f t="array" ref="I4723">XLOOKUP($A4723,product!A:A,product!E:E)</f>
        <v>2.64</v>
      </c>
      <c r="J4723" s="25">
        <f t="shared" si="2"/>
        <v>786.72</v>
      </c>
      <c r="K4723" s="27">
        <f t="shared" si="3"/>
        <v>1</v>
      </c>
      <c r="L4723" s="25">
        <f t="shared" si="4"/>
        <v>1</v>
      </c>
    </row>
    <row r="4724">
      <c r="A4724" s="19">
        <v>87540.0</v>
      </c>
      <c r="B4724" s="20" t="str">
        <f t="array" ref="B4724">xlookup($A4724,product!$A:$A,product!B:B)</f>
        <v>Epicerie salée</v>
      </c>
      <c r="C4724" s="20" t="str">
        <f t="array" ref="C4724">xlookup($A4724,product!$A:$A,product!C:C)</f>
        <v>Poisson, viande, pâtés</v>
      </c>
      <c r="D4724" s="20" t="str">
        <f t="array" ref="D4724">xlookup($A4724,product!$A:$A,product!D:D)</f>
        <v>Produits de la mer</v>
      </c>
      <c r="E4724" s="4" t="str">
        <f t="shared" si="1"/>
        <v>87540-Poisson, viande, pâtés-Produits de la mer</v>
      </c>
      <c r="F4724" s="4">
        <v>1.0</v>
      </c>
      <c r="G4724" s="4">
        <v>56.0</v>
      </c>
      <c r="H4724" s="4">
        <v>9.0</v>
      </c>
      <c r="I4724" s="21">
        <f t="array" ref="I4724">XLOOKUP($A4724,product!A:A,product!E:E)</f>
        <v>1.89</v>
      </c>
      <c r="J4724" s="4">
        <f t="shared" si="2"/>
        <v>17.01</v>
      </c>
      <c r="K4724" s="22">
        <f t="shared" si="3"/>
        <v>1</v>
      </c>
      <c r="L4724" s="4">
        <f t="shared" si="4"/>
        <v>1</v>
      </c>
    </row>
    <row r="4725">
      <c r="A4725" s="23">
        <v>77229.0</v>
      </c>
      <c r="B4725" s="24" t="str">
        <f t="array" ref="B4725">xlookup($A4725,product!$A:$A,product!B:B)</f>
        <v>Epicerie salée</v>
      </c>
      <c r="C4725" s="24" t="str">
        <f t="array" ref="C4725">xlookup($A4725,product!$A:$A,product!C:C)</f>
        <v>Poisson, viande, pâtés</v>
      </c>
      <c r="D4725" s="24" t="str">
        <f t="array" ref="D4725">xlookup($A4725,product!$A:$A,product!D:D)</f>
        <v>Produits de la mer</v>
      </c>
      <c r="E4725" s="25" t="str">
        <f t="shared" si="1"/>
        <v>77229-Poisson, viande, pâtés-Produits de la mer</v>
      </c>
      <c r="F4725" s="25">
        <v>1.0</v>
      </c>
      <c r="G4725" s="25">
        <v>718.0</v>
      </c>
      <c r="H4725" s="25">
        <v>351.0</v>
      </c>
      <c r="I4725" s="26">
        <f t="array" ref="I4725">XLOOKUP($A4725,product!A:A,product!E:E)</f>
        <v>1.55</v>
      </c>
      <c r="J4725" s="25">
        <f t="shared" si="2"/>
        <v>544.05</v>
      </c>
      <c r="K4725" s="27">
        <f t="shared" si="3"/>
        <v>1</v>
      </c>
      <c r="L4725" s="25">
        <f t="shared" si="4"/>
        <v>1</v>
      </c>
    </row>
    <row r="4726">
      <c r="A4726" s="19">
        <v>113994.0</v>
      </c>
      <c r="B4726" s="20" t="str">
        <f t="array" ref="B4726">xlookup($A4726,product!$A:$A,product!B:B)</f>
        <v>Epicerie salée</v>
      </c>
      <c r="C4726" s="20" t="str">
        <f t="array" ref="C4726">xlookup($A4726,product!$A:$A,product!C:C)</f>
        <v>Poisson, viande, pâtés</v>
      </c>
      <c r="D4726" s="20" t="str">
        <f t="array" ref="D4726">xlookup($A4726,product!$A:$A,product!D:D)</f>
        <v>Produits de la mer</v>
      </c>
      <c r="E4726" s="4" t="str">
        <f t="shared" si="1"/>
        <v>113994-Poisson, viande, pâtés-Produits de la mer</v>
      </c>
      <c r="F4726" s="4">
        <v>1.0</v>
      </c>
      <c r="G4726" s="4">
        <v>390.0</v>
      </c>
      <c r="H4726" s="4">
        <v>282.0</v>
      </c>
      <c r="I4726" s="21">
        <f t="array" ref="I4726">XLOOKUP($A4726,product!A:A,product!E:E)</f>
        <v>2.44</v>
      </c>
      <c r="J4726" s="4">
        <f t="shared" si="2"/>
        <v>688.08</v>
      </c>
      <c r="K4726" s="22">
        <f t="shared" si="3"/>
        <v>1</v>
      </c>
      <c r="L4726" s="4">
        <f t="shared" si="4"/>
        <v>1</v>
      </c>
    </row>
    <row r="4727">
      <c r="A4727" s="23">
        <v>106725.0</v>
      </c>
      <c r="B4727" s="24" t="str">
        <f t="array" ref="B4727">xlookup($A4727,product!$A:$A,product!B:B)</f>
        <v>Epicerie salée</v>
      </c>
      <c r="C4727" s="24" t="str">
        <f t="array" ref="C4727">xlookup($A4727,product!$A:$A,product!C:C)</f>
        <v>Poisson, viande, pâtés</v>
      </c>
      <c r="D4727" s="24" t="str">
        <f t="array" ref="D4727">xlookup($A4727,product!$A:$A,product!D:D)</f>
        <v>Produits de la mer</v>
      </c>
      <c r="E4727" s="25" t="str">
        <f t="shared" si="1"/>
        <v>106725-Poisson, viande, pâtés-Produits de la mer</v>
      </c>
      <c r="F4727" s="25">
        <v>1.0</v>
      </c>
      <c r="G4727" s="25">
        <v>192.0</v>
      </c>
      <c r="H4727" s="25">
        <v>118.0</v>
      </c>
      <c r="I4727" s="26">
        <f t="array" ref="I4727">XLOOKUP($A4727,product!A:A,product!E:E)</f>
        <v>1.89</v>
      </c>
      <c r="J4727" s="25">
        <f t="shared" si="2"/>
        <v>223.02</v>
      </c>
      <c r="K4727" s="27">
        <f t="shared" si="3"/>
        <v>1</v>
      </c>
      <c r="L4727" s="25">
        <f t="shared" si="4"/>
        <v>1</v>
      </c>
    </row>
    <row r="4728">
      <c r="A4728" s="19">
        <v>43235.0</v>
      </c>
      <c r="B4728" s="20" t="str">
        <f t="array" ref="B4728">xlookup($A4728,product!$A:$A,product!B:B)</f>
        <v>Epicerie salée</v>
      </c>
      <c r="C4728" s="20" t="str">
        <f t="array" ref="C4728">xlookup($A4728,product!$A:$A,product!C:C)</f>
        <v>Poisson, viande, pâtés</v>
      </c>
      <c r="D4728" s="20" t="str">
        <f t="array" ref="D4728">xlookup($A4728,product!$A:$A,product!D:D)</f>
        <v>Produits de la mer</v>
      </c>
      <c r="E4728" s="4" t="str">
        <f t="shared" si="1"/>
        <v>43235-Poisson, viande, pâtés-Produits de la mer</v>
      </c>
      <c r="F4728" s="4">
        <v>0.0</v>
      </c>
      <c r="G4728" s="4">
        <v>594.0</v>
      </c>
      <c r="H4728" s="4">
        <v>521.0</v>
      </c>
      <c r="I4728" s="21">
        <f t="array" ref="I4728">XLOOKUP($A4728,product!A:A,product!E:E)</f>
        <v>2.93</v>
      </c>
      <c r="J4728" s="4">
        <f t="shared" si="2"/>
        <v>1526.53</v>
      </c>
      <c r="K4728" s="22">
        <f t="shared" si="3"/>
        <v>1</v>
      </c>
      <c r="L4728" s="4">
        <f t="shared" si="4"/>
        <v>1</v>
      </c>
    </row>
    <row r="4729">
      <c r="A4729" s="23">
        <v>118176.0</v>
      </c>
      <c r="B4729" s="24" t="str">
        <f t="array" ref="B4729">xlookup($A4729,product!$A:$A,product!B:B)</f>
        <v>Epicerie salée</v>
      </c>
      <c r="C4729" s="24" t="str">
        <f t="array" ref="C4729">xlookup($A4729,product!$A:$A,product!C:C)</f>
        <v>Poisson, viande, pâtés</v>
      </c>
      <c r="D4729" s="24" t="str">
        <f t="array" ref="D4729">xlookup($A4729,product!$A:$A,product!D:D)</f>
        <v>Produits de la mer</v>
      </c>
      <c r="E4729" s="25" t="str">
        <f t="shared" si="1"/>
        <v>118176-Poisson, viande, pâtés-Produits de la mer</v>
      </c>
      <c r="F4729" s="25">
        <v>0.0</v>
      </c>
      <c r="G4729" s="25">
        <v>548.0</v>
      </c>
      <c r="H4729" s="25">
        <v>467.0</v>
      </c>
      <c r="I4729" s="26">
        <f t="array" ref="I4729">XLOOKUP($A4729,product!A:A,product!E:E)</f>
        <v>2.15</v>
      </c>
      <c r="J4729" s="25">
        <f t="shared" si="2"/>
        <v>1004.05</v>
      </c>
      <c r="K4729" s="27">
        <f t="shared" si="3"/>
        <v>1</v>
      </c>
      <c r="L4729" s="25">
        <f t="shared" si="4"/>
        <v>1</v>
      </c>
    </row>
    <row r="4730">
      <c r="A4730" s="19">
        <v>114018.0</v>
      </c>
      <c r="B4730" s="20" t="str">
        <f t="array" ref="B4730">xlookup($A4730,product!$A:$A,product!B:B)</f>
        <v>Epicerie salée</v>
      </c>
      <c r="C4730" s="20" t="str">
        <f t="array" ref="C4730">xlookup($A4730,product!$A:$A,product!C:C)</f>
        <v>Poisson, viande, pâtés</v>
      </c>
      <c r="D4730" s="20" t="str">
        <f t="array" ref="D4730">xlookup($A4730,product!$A:$A,product!D:D)</f>
        <v>Produits de la mer</v>
      </c>
      <c r="E4730" s="4" t="str">
        <f t="shared" si="1"/>
        <v>114018-Poisson, viande, pâtés-Produits de la mer</v>
      </c>
      <c r="F4730" s="4">
        <v>0.0</v>
      </c>
      <c r="G4730" s="4">
        <v>302.0</v>
      </c>
      <c r="H4730" s="4">
        <v>261.0</v>
      </c>
      <c r="I4730" s="21">
        <f t="array" ref="I4730">XLOOKUP($A4730,product!A:A,product!E:E)</f>
        <v>1.91</v>
      </c>
      <c r="J4730" s="4">
        <f t="shared" si="2"/>
        <v>498.51</v>
      </c>
      <c r="K4730" s="22">
        <f t="shared" si="3"/>
        <v>1</v>
      </c>
      <c r="L4730" s="4">
        <f t="shared" si="4"/>
        <v>1</v>
      </c>
    </row>
    <row r="4731">
      <c r="A4731" s="23">
        <v>116480.0</v>
      </c>
      <c r="B4731" s="24" t="str">
        <f t="array" ref="B4731">xlookup($A4731,product!$A:$A,product!B:B)</f>
        <v>Epicerie salée</v>
      </c>
      <c r="C4731" s="24" t="str">
        <f t="array" ref="C4731">xlookup($A4731,product!$A:$A,product!C:C)</f>
        <v>Poisson, viande, pâtés</v>
      </c>
      <c r="D4731" s="24" t="str">
        <f t="array" ref="D4731">xlookup($A4731,product!$A:$A,product!D:D)</f>
        <v>Produits de la mer</v>
      </c>
      <c r="E4731" s="25" t="str">
        <f t="shared" si="1"/>
        <v>116480-Poisson, viande, pâtés-Produits de la mer</v>
      </c>
      <c r="F4731" s="25">
        <v>0.0</v>
      </c>
      <c r="G4731" s="25">
        <v>262.0</v>
      </c>
      <c r="H4731" s="25">
        <v>88.0</v>
      </c>
      <c r="I4731" s="26">
        <f t="array" ref="I4731">XLOOKUP($A4731,product!A:A,product!E:E)</f>
        <v>1.59</v>
      </c>
      <c r="J4731" s="25">
        <f t="shared" si="2"/>
        <v>139.92</v>
      </c>
      <c r="K4731" s="27">
        <f t="shared" si="3"/>
        <v>1</v>
      </c>
      <c r="L4731" s="25">
        <f t="shared" si="4"/>
        <v>1</v>
      </c>
    </row>
    <row r="4732">
      <c r="A4732" s="19">
        <v>120577.0</v>
      </c>
      <c r="B4732" s="20" t="str">
        <f t="array" ref="B4732">xlookup($A4732,product!$A:$A,product!B:B)</f>
        <v>Epicerie salée</v>
      </c>
      <c r="C4732" s="20" t="str">
        <f t="array" ref="C4732">xlookup($A4732,product!$A:$A,product!C:C)</f>
        <v>Poisson, viande, pâtés</v>
      </c>
      <c r="D4732" s="20" t="str">
        <f t="array" ref="D4732">xlookup($A4732,product!$A:$A,product!D:D)</f>
        <v>Produits de la mer</v>
      </c>
      <c r="E4732" s="4" t="str">
        <f t="shared" si="1"/>
        <v>120577-Poisson, viande, pâtés-Produits de la mer</v>
      </c>
      <c r="F4732" s="4">
        <v>0.0</v>
      </c>
      <c r="G4732" s="4">
        <v>331.0</v>
      </c>
      <c r="H4732" s="4">
        <v>328.0</v>
      </c>
      <c r="I4732" s="21">
        <f t="array" ref="I4732">XLOOKUP($A4732,product!A:A,product!E:E)</f>
        <v>2.15</v>
      </c>
      <c r="J4732" s="4">
        <f t="shared" si="2"/>
        <v>705.2</v>
      </c>
      <c r="K4732" s="22">
        <f t="shared" si="3"/>
        <v>1</v>
      </c>
      <c r="L4732" s="4">
        <f t="shared" si="4"/>
        <v>1</v>
      </c>
    </row>
    <row r="4733">
      <c r="A4733" s="23">
        <v>118201.0</v>
      </c>
      <c r="B4733" s="24" t="str">
        <f t="array" ref="B4733">xlookup($A4733,product!$A:$A,product!B:B)</f>
        <v>Epicerie salée</v>
      </c>
      <c r="C4733" s="24" t="str">
        <f t="array" ref="C4733">xlookup($A4733,product!$A:$A,product!C:C)</f>
        <v>Poisson, viande, pâtés</v>
      </c>
      <c r="D4733" s="24" t="str">
        <f t="array" ref="D4733">xlookup($A4733,product!$A:$A,product!D:D)</f>
        <v>Produits de la mer</v>
      </c>
      <c r="E4733" s="25" t="str">
        <f t="shared" si="1"/>
        <v>118201-Poisson, viande, pâtés-Produits de la mer</v>
      </c>
      <c r="F4733" s="25">
        <v>1.0</v>
      </c>
      <c r="G4733" s="25">
        <v>227.0</v>
      </c>
      <c r="H4733" s="25">
        <v>148.0</v>
      </c>
      <c r="I4733" s="26">
        <f t="array" ref="I4733">XLOOKUP($A4733,product!A:A,product!E:E)</f>
        <v>2.54</v>
      </c>
      <c r="J4733" s="25">
        <f t="shared" si="2"/>
        <v>375.92</v>
      </c>
      <c r="K4733" s="27">
        <f t="shared" si="3"/>
        <v>1</v>
      </c>
      <c r="L4733" s="25">
        <f t="shared" si="4"/>
        <v>1</v>
      </c>
    </row>
    <row r="4734">
      <c r="A4734" s="19">
        <v>77245.0</v>
      </c>
      <c r="B4734" s="20" t="str">
        <f t="array" ref="B4734">xlookup($A4734,product!$A:$A,product!B:B)</f>
        <v>Epicerie salée</v>
      </c>
      <c r="C4734" s="20" t="str">
        <f t="array" ref="C4734">xlookup($A4734,product!$A:$A,product!C:C)</f>
        <v>Poisson, viande, pâtés</v>
      </c>
      <c r="D4734" s="20" t="str">
        <f t="array" ref="D4734">xlookup($A4734,product!$A:$A,product!D:D)</f>
        <v>Produits de la mer</v>
      </c>
      <c r="E4734" s="4" t="str">
        <f t="shared" si="1"/>
        <v>77245-Poisson, viande, pâtés-Produits de la mer</v>
      </c>
      <c r="F4734" s="4">
        <v>1.0</v>
      </c>
      <c r="G4734" s="4">
        <v>538.0</v>
      </c>
      <c r="H4734" s="4">
        <v>476.0</v>
      </c>
      <c r="I4734" s="21">
        <f t="array" ref="I4734">XLOOKUP($A4734,product!A:A,product!E:E)</f>
        <v>1.33</v>
      </c>
      <c r="J4734" s="4">
        <f t="shared" si="2"/>
        <v>633.08</v>
      </c>
      <c r="K4734" s="22">
        <f t="shared" si="3"/>
        <v>1</v>
      </c>
      <c r="L4734" s="4">
        <f t="shared" si="4"/>
        <v>1</v>
      </c>
    </row>
    <row r="4735">
      <c r="A4735" s="23">
        <v>118195.0</v>
      </c>
      <c r="B4735" s="24" t="str">
        <f t="array" ref="B4735">xlookup($A4735,product!$A:$A,product!B:B)</f>
        <v>Epicerie salée</v>
      </c>
      <c r="C4735" s="24" t="str">
        <f t="array" ref="C4735">xlookup($A4735,product!$A:$A,product!C:C)</f>
        <v>Poisson, viande, pâtés</v>
      </c>
      <c r="D4735" s="24" t="str">
        <f t="array" ref="D4735">xlookup($A4735,product!$A:$A,product!D:D)</f>
        <v>Produits de la mer</v>
      </c>
      <c r="E4735" s="25" t="str">
        <f t="shared" si="1"/>
        <v>118195-Poisson, viande, pâtés-Produits de la mer</v>
      </c>
      <c r="F4735" s="25">
        <v>1.0</v>
      </c>
      <c r="G4735" s="25">
        <v>281.0</v>
      </c>
      <c r="H4735" s="25">
        <v>20.0</v>
      </c>
      <c r="I4735" s="26">
        <f t="array" ref="I4735">XLOOKUP($A4735,product!A:A,product!E:E)</f>
        <v>1.93</v>
      </c>
      <c r="J4735" s="25">
        <f t="shared" si="2"/>
        <v>38.6</v>
      </c>
      <c r="K4735" s="27">
        <f t="shared" si="3"/>
        <v>1</v>
      </c>
      <c r="L4735" s="25">
        <f t="shared" si="4"/>
        <v>1</v>
      </c>
    </row>
    <row r="4736">
      <c r="A4736" s="19">
        <v>118197.0</v>
      </c>
      <c r="B4736" s="20" t="str">
        <f t="array" ref="B4736">xlookup($A4736,product!$A:$A,product!B:B)</f>
        <v>Epicerie salée</v>
      </c>
      <c r="C4736" s="20" t="str">
        <f t="array" ref="C4736">xlookup($A4736,product!$A:$A,product!C:C)</f>
        <v>Poisson, viande, pâtés</v>
      </c>
      <c r="D4736" s="20" t="str">
        <f t="array" ref="D4736">xlookup($A4736,product!$A:$A,product!D:D)</f>
        <v>Produits de la mer</v>
      </c>
      <c r="E4736" s="4" t="str">
        <f t="shared" si="1"/>
        <v>118197-Poisson, viande, pâtés-Produits de la mer</v>
      </c>
      <c r="F4736" s="4">
        <v>1.0</v>
      </c>
      <c r="G4736" s="4">
        <v>422.0</v>
      </c>
      <c r="H4736" s="4">
        <v>56.0</v>
      </c>
      <c r="I4736" s="21">
        <f t="array" ref="I4736">XLOOKUP($A4736,product!A:A,product!E:E)</f>
        <v>2.02</v>
      </c>
      <c r="J4736" s="4">
        <f t="shared" si="2"/>
        <v>113.12</v>
      </c>
      <c r="K4736" s="22">
        <f t="shared" si="3"/>
        <v>1</v>
      </c>
      <c r="L4736" s="4">
        <f t="shared" si="4"/>
        <v>1</v>
      </c>
    </row>
    <row r="4737">
      <c r="A4737" s="23">
        <v>187317.0</v>
      </c>
      <c r="B4737" s="24" t="str">
        <f t="array" ref="B4737">xlookup($A4737,product!$A:$A,product!B:B)</f>
        <v>Epicerie salée</v>
      </c>
      <c r="C4737" s="24" t="str">
        <f t="array" ref="C4737">xlookup($A4737,product!$A:$A,product!C:C)</f>
        <v>Poisson, viande, pâtés</v>
      </c>
      <c r="D4737" s="24" t="str">
        <f t="array" ref="D4737">xlookup($A4737,product!$A:$A,product!D:D)</f>
        <v>Produits de la mer</v>
      </c>
      <c r="E4737" s="25" t="str">
        <f t="shared" si="1"/>
        <v>187317-Poisson, viande, pâtés-Produits de la mer</v>
      </c>
      <c r="F4737" s="25">
        <v>0.0</v>
      </c>
      <c r="G4737" s="25">
        <v>478.0</v>
      </c>
      <c r="H4737" s="25">
        <v>275.0</v>
      </c>
      <c r="I4737" s="26">
        <f t="array" ref="I4737">XLOOKUP($A4737,product!A:A,product!E:E)</f>
        <v>2.15</v>
      </c>
      <c r="J4737" s="25">
        <f t="shared" si="2"/>
        <v>591.25</v>
      </c>
      <c r="K4737" s="27">
        <f t="shared" si="3"/>
        <v>1</v>
      </c>
      <c r="L4737" s="25">
        <f t="shared" si="4"/>
        <v>1</v>
      </c>
    </row>
    <row r="4738">
      <c r="A4738" s="19">
        <v>199484.0</v>
      </c>
      <c r="B4738" s="20" t="str">
        <f t="array" ref="B4738">xlookup($A4738,product!$A:$A,product!B:B)</f>
        <v>Epicerie salée</v>
      </c>
      <c r="C4738" s="20" t="str">
        <f t="array" ref="C4738">xlookup($A4738,product!$A:$A,product!C:C)</f>
        <v>Poisson, viande, pâtés</v>
      </c>
      <c r="D4738" s="20" t="str">
        <f t="array" ref="D4738">xlookup($A4738,product!$A:$A,product!D:D)</f>
        <v>Produits de la mer</v>
      </c>
      <c r="E4738" s="4" t="str">
        <f t="shared" si="1"/>
        <v>199484-Poisson, viande, pâtés-Produits de la mer</v>
      </c>
      <c r="F4738" s="4">
        <v>1.0</v>
      </c>
      <c r="G4738" s="4">
        <v>866.0</v>
      </c>
      <c r="H4738" s="4">
        <v>783.0</v>
      </c>
      <c r="I4738" s="21">
        <f t="array" ref="I4738">XLOOKUP($A4738,product!A:A,product!E:E)</f>
        <v>2.98</v>
      </c>
      <c r="J4738" s="4">
        <f t="shared" si="2"/>
        <v>2333.34</v>
      </c>
      <c r="K4738" s="22">
        <f t="shared" si="3"/>
        <v>1</v>
      </c>
      <c r="L4738" s="4">
        <f t="shared" si="4"/>
        <v>1</v>
      </c>
    </row>
    <row r="4739">
      <c r="A4739" s="23">
        <v>113995.0</v>
      </c>
      <c r="B4739" s="24" t="str">
        <f t="array" ref="B4739">xlookup($A4739,product!$A:$A,product!B:B)</f>
        <v>Epicerie salée</v>
      </c>
      <c r="C4739" s="24" t="str">
        <f t="array" ref="C4739">xlookup($A4739,product!$A:$A,product!C:C)</f>
        <v>Poisson, viande, pâtés</v>
      </c>
      <c r="D4739" s="24" t="str">
        <f t="array" ref="D4739">xlookup($A4739,product!$A:$A,product!D:D)</f>
        <v>Produits de la mer</v>
      </c>
      <c r="E4739" s="25" t="str">
        <f t="shared" si="1"/>
        <v>113995-Poisson, viande, pâtés-Produits de la mer</v>
      </c>
      <c r="F4739" s="25">
        <v>0.0</v>
      </c>
      <c r="G4739" s="25">
        <v>915.0</v>
      </c>
      <c r="H4739" s="25">
        <v>798.0</v>
      </c>
      <c r="I4739" s="26">
        <f t="array" ref="I4739">XLOOKUP($A4739,product!A:A,product!E:E)</f>
        <v>1.93</v>
      </c>
      <c r="J4739" s="25">
        <f t="shared" si="2"/>
        <v>1540.14</v>
      </c>
      <c r="K4739" s="27">
        <f t="shared" si="3"/>
        <v>1</v>
      </c>
      <c r="L4739" s="25">
        <f t="shared" si="4"/>
        <v>1</v>
      </c>
    </row>
    <row r="4740">
      <c r="A4740" s="19">
        <v>113669.0</v>
      </c>
      <c r="B4740" s="20" t="str">
        <f t="array" ref="B4740">xlookup($A4740,product!$A:$A,product!B:B)</f>
        <v>Epicerie salée</v>
      </c>
      <c r="C4740" s="20" t="str">
        <f t="array" ref="C4740">xlookup($A4740,product!$A:$A,product!C:C)</f>
        <v>Poisson, viande, pâtés</v>
      </c>
      <c r="D4740" s="20" t="str">
        <f t="array" ref="D4740">xlookup($A4740,product!$A:$A,product!D:D)</f>
        <v>Terrines de viande et pâtés</v>
      </c>
      <c r="E4740" s="4" t="str">
        <f t="shared" si="1"/>
        <v>113669-Poisson, viande, pâtés-Terrines de viande et pâtés</v>
      </c>
      <c r="F4740" s="4">
        <v>0.0</v>
      </c>
      <c r="G4740" s="4">
        <v>409.0</v>
      </c>
      <c r="H4740" s="4">
        <v>224.0</v>
      </c>
      <c r="I4740" s="21">
        <f t="array" ref="I4740">XLOOKUP($A4740,product!A:A,product!E:E)</f>
        <v>3.08</v>
      </c>
      <c r="J4740" s="4">
        <f t="shared" si="2"/>
        <v>689.92</v>
      </c>
      <c r="K4740" s="22">
        <f t="shared" si="3"/>
        <v>1</v>
      </c>
      <c r="L4740" s="4">
        <f t="shared" si="4"/>
        <v>1</v>
      </c>
    </row>
    <row r="4741">
      <c r="A4741" s="23">
        <v>111584.0</v>
      </c>
      <c r="B4741" s="24" t="str">
        <f t="array" ref="B4741">xlookup($A4741,product!$A:$A,product!B:B)</f>
        <v>Epicerie salée</v>
      </c>
      <c r="C4741" s="24" t="str">
        <f t="array" ref="C4741">xlookup($A4741,product!$A:$A,product!C:C)</f>
        <v>Poisson, viande, pâtés</v>
      </c>
      <c r="D4741" s="24" t="str">
        <f t="array" ref="D4741">xlookup($A4741,product!$A:$A,product!D:D)</f>
        <v>Terrines de viande et pâtés</v>
      </c>
      <c r="E4741" s="25" t="str">
        <f t="shared" si="1"/>
        <v>111584-Poisson, viande, pâtés-Terrines de viande et pâtés</v>
      </c>
      <c r="F4741" s="25">
        <v>0.0</v>
      </c>
      <c r="G4741" s="25">
        <v>745.0</v>
      </c>
      <c r="H4741" s="25">
        <v>609.0</v>
      </c>
      <c r="I4741" s="26">
        <f t="array" ref="I4741">XLOOKUP($A4741,product!A:A,product!E:E)</f>
        <v>3.15</v>
      </c>
      <c r="J4741" s="25">
        <f t="shared" si="2"/>
        <v>1918.35</v>
      </c>
      <c r="K4741" s="27">
        <f t="shared" si="3"/>
        <v>1</v>
      </c>
      <c r="L4741" s="25">
        <f t="shared" si="4"/>
        <v>1</v>
      </c>
    </row>
    <row r="4742">
      <c r="A4742" s="19">
        <v>26123.0</v>
      </c>
      <c r="B4742" s="20" t="str">
        <f t="array" ref="B4742">xlookup($A4742,product!$A:$A,product!B:B)</f>
        <v>Epicerie salée</v>
      </c>
      <c r="C4742" s="20" t="str">
        <f t="array" ref="C4742">xlookup($A4742,product!$A:$A,product!C:C)</f>
        <v>Poisson, viande, pâtés</v>
      </c>
      <c r="D4742" s="20" t="str">
        <f t="array" ref="D4742">xlookup($A4742,product!$A:$A,product!D:D)</f>
        <v>Terrines de viande et pâtés</v>
      </c>
      <c r="E4742" s="4" t="str">
        <f t="shared" si="1"/>
        <v>26123-Poisson, viande, pâtés-Terrines de viande et pâtés</v>
      </c>
      <c r="F4742" s="4">
        <v>0.0</v>
      </c>
      <c r="G4742" s="4">
        <v>141.0</v>
      </c>
      <c r="H4742" s="4">
        <v>82.0</v>
      </c>
      <c r="I4742" s="21">
        <f t="array" ref="I4742">XLOOKUP($A4742,product!A:A,product!E:E)</f>
        <v>3.79</v>
      </c>
      <c r="J4742" s="4">
        <f t="shared" si="2"/>
        <v>310.78</v>
      </c>
      <c r="K4742" s="22">
        <f t="shared" si="3"/>
        <v>1</v>
      </c>
      <c r="L4742" s="4">
        <f t="shared" si="4"/>
        <v>1</v>
      </c>
    </row>
    <row r="4743">
      <c r="A4743" s="23">
        <v>113665.0</v>
      </c>
      <c r="B4743" s="24" t="str">
        <f t="array" ref="B4743">xlookup($A4743,product!$A:$A,product!B:B)</f>
        <v>Epicerie salée</v>
      </c>
      <c r="C4743" s="24" t="str">
        <f t="array" ref="C4743">xlookup($A4743,product!$A:$A,product!C:C)</f>
        <v>Poisson, viande, pâtés</v>
      </c>
      <c r="D4743" s="24" t="str">
        <f t="array" ref="D4743">xlookup($A4743,product!$A:$A,product!D:D)</f>
        <v>Terrines de viande et pâtés</v>
      </c>
      <c r="E4743" s="25" t="str">
        <f t="shared" si="1"/>
        <v>113665-Poisson, viande, pâtés-Terrines de viande et pâtés</v>
      </c>
      <c r="F4743" s="25">
        <v>0.0</v>
      </c>
      <c r="G4743" s="25">
        <v>905.0</v>
      </c>
      <c r="H4743" s="25">
        <v>710.0</v>
      </c>
      <c r="I4743" s="26">
        <f t="array" ref="I4743">XLOOKUP($A4743,product!A:A,product!E:E)</f>
        <v>2.73</v>
      </c>
      <c r="J4743" s="25">
        <f t="shared" si="2"/>
        <v>1938.3</v>
      </c>
      <c r="K4743" s="27">
        <f t="shared" si="3"/>
        <v>1</v>
      </c>
      <c r="L4743" s="25">
        <f t="shared" si="4"/>
        <v>1</v>
      </c>
    </row>
    <row r="4744">
      <c r="A4744" s="19">
        <v>181241.0</v>
      </c>
      <c r="B4744" s="20" t="str">
        <f t="array" ref="B4744">xlookup($A4744,product!$A:$A,product!B:B)</f>
        <v>Epicerie salée</v>
      </c>
      <c r="C4744" s="20" t="str">
        <f t="array" ref="C4744">xlookup($A4744,product!$A:$A,product!C:C)</f>
        <v>Poisson, viande, pâtés</v>
      </c>
      <c r="D4744" s="20" t="str">
        <f t="array" ref="D4744">xlookup($A4744,product!$A:$A,product!D:D)</f>
        <v>Terrines de viande et pâtés</v>
      </c>
      <c r="E4744" s="4" t="str">
        <f t="shared" si="1"/>
        <v>181241-Poisson, viande, pâtés-Terrines de viande et pâtés</v>
      </c>
      <c r="F4744" s="4">
        <v>1.0</v>
      </c>
      <c r="G4744" s="4">
        <v>793.0</v>
      </c>
      <c r="H4744" s="4">
        <v>514.0</v>
      </c>
      <c r="I4744" s="21">
        <f t="array" ref="I4744">XLOOKUP($A4744,product!A:A,product!E:E)</f>
        <v>4.14</v>
      </c>
      <c r="J4744" s="4">
        <f t="shared" si="2"/>
        <v>2127.96</v>
      </c>
      <c r="K4744" s="22">
        <f t="shared" si="3"/>
        <v>1</v>
      </c>
      <c r="L4744" s="4">
        <f t="shared" si="4"/>
        <v>1</v>
      </c>
    </row>
    <row r="4745">
      <c r="A4745" s="23">
        <v>113664.0</v>
      </c>
      <c r="B4745" s="24" t="str">
        <f t="array" ref="B4745">xlookup($A4745,product!$A:$A,product!B:B)</f>
        <v>Epicerie salée</v>
      </c>
      <c r="C4745" s="24" t="str">
        <f t="array" ref="C4745">xlookup($A4745,product!$A:$A,product!C:C)</f>
        <v>Poisson, viande, pâtés</v>
      </c>
      <c r="D4745" s="24" t="str">
        <f t="array" ref="D4745">xlookup($A4745,product!$A:$A,product!D:D)</f>
        <v>Terrines de viande et pâtés</v>
      </c>
      <c r="E4745" s="25" t="str">
        <f t="shared" si="1"/>
        <v>113664-Poisson, viande, pâtés-Terrines de viande et pâtés</v>
      </c>
      <c r="F4745" s="25">
        <v>1.0</v>
      </c>
      <c r="G4745" s="25">
        <v>221.0</v>
      </c>
      <c r="H4745" s="25">
        <v>107.0</v>
      </c>
      <c r="I4745" s="26">
        <f t="array" ref="I4745">XLOOKUP($A4745,product!A:A,product!E:E)</f>
        <v>3.13</v>
      </c>
      <c r="J4745" s="25">
        <f t="shared" si="2"/>
        <v>334.91</v>
      </c>
      <c r="K4745" s="27">
        <f t="shared" si="3"/>
        <v>1</v>
      </c>
      <c r="L4745" s="25">
        <f t="shared" si="4"/>
        <v>1</v>
      </c>
    </row>
    <row r="4746">
      <c r="A4746" s="19">
        <v>113677.0</v>
      </c>
      <c r="B4746" s="20" t="str">
        <f t="array" ref="B4746">xlookup($A4746,product!$A:$A,product!B:B)</f>
        <v>Epicerie salée</v>
      </c>
      <c r="C4746" s="20" t="str">
        <f t="array" ref="C4746">xlookup($A4746,product!$A:$A,product!C:C)</f>
        <v>Poisson, viande, pâtés</v>
      </c>
      <c r="D4746" s="20" t="str">
        <f t="array" ref="D4746">xlookup($A4746,product!$A:$A,product!D:D)</f>
        <v>Terrines de viande et pâtés</v>
      </c>
      <c r="E4746" s="4" t="str">
        <f t="shared" si="1"/>
        <v>113677-Poisson, viande, pâtés-Terrines de viande et pâtés</v>
      </c>
      <c r="F4746" s="4">
        <v>0.0</v>
      </c>
      <c r="G4746" s="4">
        <v>433.0</v>
      </c>
      <c r="H4746" s="4">
        <v>339.0</v>
      </c>
      <c r="I4746" s="21">
        <f t="array" ref="I4746">XLOOKUP($A4746,product!A:A,product!E:E)</f>
        <v>2.78</v>
      </c>
      <c r="J4746" s="4">
        <f t="shared" si="2"/>
        <v>942.42</v>
      </c>
      <c r="K4746" s="22">
        <f t="shared" si="3"/>
        <v>1</v>
      </c>
      <c r="L4746" s="4">
        <f t="shared" si="4"/>
        <v>1</v>
      </c>
    </row>
    <row r="4747">
      <c r="A4747" s="23">
        <v>120343.0</v>
      </c>
      <c r="B4747" s="24" t="str">
        <f t="array" ref="B4747">xlookup($A4747,product!$A:$A,product!B:B)</f>
        <v>Epicerie salée</v>
      </c>
      <c r="C4747" s="24" t="str">
        <f t="array" ref="C4747">xlookup($A4747,product!$A:$A,product!C:C)</f>
        <v>Poisson, viande, pâtés</v>
      </c>
      <c r="D4747" s="24" t="str">
        <f t="array" ref="D4747">xlookup($A4747,product!$A:$A,product!D:D)</f>
        <v>Terrines de viande et pâtés</v>
      </c>
      <c r="E4747" s="25" t="str">
        <f t="shared" si="1"/>
        <v>120343-Poisson, viande, pâtés-Terrines de viande et pâtés</v>
      </c>
      <c r="F4747" s="25">
        <v>1.0</v>
      </c>
      <c r="G4747" s="25">
        <v>517.0</v>
      </c>
      <c r="H4747" s="25">
        <v>136.0</v>
      </c>
      <c r="I4747" s="26">
        <f t="array" ref="I4747">XLOOKUP($A4747,product!A:A,product!E:E)</f>
        <v>2.37</v>
      </c>
      <c r="J4747" s="25">
        <f t="shared" si="2"/>
        <v>322.32</v>
      </c>
      <c r="K4747" s="27">
        <f t="shared" si="3"/>
        <v>1</v>
      </c>
      <c r="L4747" s="25">
        <f t="shared" si="4"/>
        <v>1</v>
      </c>
    </row>
    <row r="4748">
      <c r="A4748" s="19">
        <v>113666.0</v>
      </c>
      <c r="B4748" s="20" t="str">
        <f t="array" ref="B4748">xlookup($A4748,product!$A:$A,product!B:B)</f>
        <v>Epicerie salée</v>
      </c>
      <c r="C4748" s="20" t="str">
        <f t="array" ref="C4748">xlookup($A4748,product!$A:$A,product!C:C)</f>
        <v>Poisson, viande, pâtés</v>
      </c>
      <c r="D4748" s="20" t="str">
        <f t="array" ref="D4748">xlookup($A4748,product!$A:$A,product!D:D)</f>
        <v>Terrines de viande et pâtés</v>
      </c>
      <c r="E4748" s="4" t="str">
        <f t="shared" si="1"/>
        <v>113666-Poisson, viande, pâtés-Terrines de viande et pâtés</v>
      </c>
      <c r="F4748" s="4">
        <v>1.0</v>
      </c>
      <c r="G4748" s="4">
        <v>819.0</v>
      </c>
      <c r="H4748" s="4">
        <v>516.0</v>
      </c>
      <c r="I4748" s="21">
        <f t="array" ref="I4748">XLOOKUP($A4748,product!A:A,product!E:E)</f>
        <v>4.49</v>
      </c>
      <c r="J4748" s="4">
        <f t="shared" si="2"/>
        <v>2316.84</v>
      </c>
      <c r="K4748" s="22">
        <f t="shared" si="3"/>
        <v>1</v>
      </c>
      <c r="L4748" s="4">
        <f t="shared" si="4"/>
        <v>1</v>
      </c>
    </row>
    <row r="4749">
      <c r="A4749" s="23">
        <v>113663.0</v>
      </c>
      <c r="B4749" s="24" t="str">
        <f t="array" ref="B4749">xlookup($A4749,product!$A:$A,product!B:B)</f>
        <v>Epicerie salée</v>
      </c>
      <c r="C4749" s="24" t="str">
        <f t="array" ref="C4749">xlookup($A4749,product!$A:$A,product!C:C)</f>
        <v>Poisson, viande, pâtés</v>
      </c>
      <c r="D4749" s="24" t="str">
        <f t="array" ref="D4749">xlookup($A4749,product!$A:$A,product!D:D)</f>
        <v>Terrines de viande et pâtés</v>
      </c>
      <c r="E4749" s="25" t="str">
        <f t="shared" si="1"/>
        <v>113663-Poisson, viande, pâtés-Terrines de viande et pâtés</v>
      </c>
      <c r="F4749" s="25">
        <v>1.0</v>
      </c>
      <c r="G4749" s="25">
        <v>393.0</v>
      </c>
      <c r="H4749" s="25">
        <v>361.0</v>
      </c>
      <c r="I4749" s="26">
        <f t="array" ref="I4749">XLOOKUP($A4749,product!A:A,product!E:E)</f>
        <v>3.13</v>
      </c>
      <c r="J4749" s="25">
        <f t="shared" si="2"/>
        <v>1129.93</v>
      </c>
      <c r="K4749" s="27">
        <f t="shared" si="3"/>
        <v>1</v>
      </c>
      <c r="L4749" s="25">
        <f t="shared" si="4"/>
        <v>1</v>
      </c>
    </row>
    <row r="4750">
      <c r="A4750" s="19">
        <v>116983.0</v>
      </c>
      <c r="B4750" s="20" t="str">
        <f t="array" ref="B4750">xlookup($A4750,product!$A:$A,product!B:B)</f>
        <v>Santé &amp; Bien-être</v>
      </c>
      <c r="C4750" s="20" t="str">
        <f t="array" ref="C4750">xlookup($A4750,product!$A:$A,product!C:C)</f>
        <v>Résistance et vitalité</v>
      </c>
      <c r="D4750" s="20" t="str">
        <f t="array" ref="D4750">xlookup($A4750,product!$A:$A,product!D:D)</f>
        <v>Spiruline</v>
      </c>
      <c r="E4750" s="4" t="str">
        <f t="shared" si="1"/>
        <v>116983-Résistance et vitalité-Spiruline</v>
      </c>
      <c r="F4750" s="4">
        <v>1.0</v>
      </c>
      <c r="G4750" s="4">
        <v>141.0</v>
      </c>
      <c r="H4750" s="4">
        <v>127.0</v>
      </c>
      <c r="I4750" s="21">
        <f t="array" ref="I4750">XLOOKUP($A4750,product!A:A,product!E:E)</f>
        <v>9.04</v>
      </c>
      <c r="J4750" s="4">
        <f t="shared" si="2"/>
        <v>1148.08</v>
      </c>
      <c r="K4750" s="22">
        <f t="shared" si="3"/>
        <v>1</v>
      </c>
      <c r="L4750" s="4">
        <f t="shared" si="4"/>
        <v>1</v>
      </c>
    </row>
    <row r="4751">
      <c r="A4751" s="23">
        <v>94043.0</v>
      </c>
      <c r="B4751" s="24" t="str">
        <f t="array" ref="B4751">xlookup($A4751,product!$A:$A,product!B:B)</f>
        <v>Santé &amp; Bien-être</v>
      </c>
      <c r="C4751" s="24" t="str">
        <f t="array" ref="C4751">xlookup($A4751,product!$A:$A,product!C:C)</f>
        <v>Résistance et vitalité</v>
      </c>
      <c r="D4751" s="24" t="str">
        <f t="array" ref="D4751">xlookup($A4751,product!$A:$A,product!D:D)</f>
        <v>Spiruline</v>
      </c>
      <c r="E4751" s="25" t="str">
        <f t="shared" si="1"/>
        <v>94043-Résistance et vitalité-Spiruline</v>
      </c>
      <c r="F4751" s="25">
        <v>0.0</v>
      </c>
      <c r="G4751" s="25">
        <v>240.0</v>
      </c>
      <c r="H4751" s="25">
        <v>215.0</v>
      </c>
      <c r="I4751" s="26">
        <f t="array" ref="I4751">XLOOKUP($A4751,product!A:A,product!E:E)</f>
        <v>6.76</v>
      </c>
      <c r="J4751" s="25">
        <f t="shared" si="2"/>
        <v>1453.4</v>
      </c>
      <c r="K4751" s="27">
        <f t="shared" si="3"/>
        <v>1</v>
      </c>
      <c r="L4751" s="25">
        <f t="shared" si="4"/>
        <v>1</v>
      </c>
    </row>
    <row r="4752">
      <c r="A4752" s="19">
        <v>68216.0</v>
      </c>
      <c r="B4752" s="20" t="str">
        <f t="array" ref="B4752">xlookup($A4752,product!$A:$A,product!B:B)</f>
        <v>Santé &amp; Bien-être</v>
      </c>
      <c r="C4752" s="20" t="str">
        <f t="array" ref="C4752">xlookup($A4752,product!$A:$A,product!C:C)</f>
        <v>Résistance et vitalité</v>
      </c>
      <c r="D4752" s="20" t="str">
        <f t="array" ref="D4752">xlookup($A4752,product!$A:$A,product!D:D)</f>
        <v>Spiruline</v>
      </c>
      <c r="E4752" s="4" t="str">
        <f t="shared" si="1"/>
        <v>68216-Résistance et vitalité-Spiruline</v>
      </c>
      <c r="F4752" s="4">
        <v>0.0</v>
      </c>
      <c r="G4752" s="4">
        <v>631.0</v>
      </c>
      <c r="H4752" s="4">
        <v>401.0</v>
      </c>
      <c r="I4752" s="21">
        <f t="array" ref="I4752">XLOOKUP($A4752,product!A:A,product!E:E)</f>
        <v>8.16</v>
      </c>
      <c r="J4752" s="4">
        <f t="shared" si="2"/>
        <v>3272.16</v>
      </c>
      <c r="K4752" s="22">
        <f t="shared" si="3"/>
        <v>1</v>
      </c>
      <c r="L4752" s="4">
        <f t="shared" si="4"/>
        <v>1</v>
      </c>
    </row>
    <row r="4753">
      <c r="A4753" s="23">
        <v>80131.0</v>
      </c>
      <c r="B4753" s="24" t="str">
        <f t="array" ref="B4753">xlookup($A4753,product!$A:$A,product!B:B)</f>
        <v>Santé &amp; Bien-être</v>
      </c>
      <c r="C4753" s="24" t="str">
        <f t="array" ref="C4753">xlookup($A4753,product!$A:$A,product!C:C)</f>
        <v>Résistance et vitalité</v>
      </c>
      <c r="D4753" s="24" t="str">
        <f t="array" ref="D4753">xlookup($A4753,product!$A:$A,product!D:D)</f>
        <v>Spiruline</v>
      </c>
      <c r="E4753" s="25" t="str">
        <f t="shared" si="1"/>
        <v>80131-Résistance et vitalité-Spiruline</v>
      </c>
      <c r="F4753" s="25">
        <v>0.0</v>
      </c>
      <c r="G4753" s="25">
        <v>826.0</v>
      </c>
      <c r="H4753" s="25">
        <v>735.0</v>
      </c>
      <c r="I4753" s="26">
        <f t="array" ref="I4753">XLOOKUP($A4753,product!A:A,product!E:E)</f>
        <v>6.71</v>
      </c>
      <c r="J4753" s="25">
        <f t="shared" si="2"/>
        <v>4931.85</v>
      </c>
      <c r="K4753" s="27">
        <f t="shared" si="3"/>
        <v>1</v>
      </c>
      <c r="L4753" s="25">
        <f t="shared" si="4"/>
        <v>1</v>
      </c>
    </row>
    <row r="4754">
      <c r="A4754" s="19">
        <v>80998.0</v>
      </c>
      <c r="B4754" s="20" t="str">
        <f t="array" ref="B4754">xlookup($A4754,product!$A:$A,product!B:B)</f>
        <v>Santé &amp; Bien-être</v>
      </c>
      <c r="C4754" s="20" t="str">
        <f t="array" ref="C4754">xlookup($A4754,product!$A:$A,product!C:C)</f>
        <v>Résistance et vitalité</v>
      </c>
      <c r="D4754" s="20" t="str">
        <f t="array" ref="D4754">xlookup($A4754,product!$A:$A,product!D:D)</f>
        <v>Spiruline</v>
      </c>
      <c r="E4754" s="4" t="str">
        <f t="shared" si="1"/>
        <v>80998-Résistance et vitalité-Spiruline</v>
      </c>
      <c r="F4754" s="4">
        <v>0.0</v>
      </c>
      <c r="G4754" s="4">
        <v>696.0</v>
      </c>
      <c r="H4754" s="4">
        <v>467.0</v>
      </c>
      <c r="I4754" s="21">
        <f t="array" ref="I4754">XLOOKUP($A4754,product!A:A,product!E:E)</f>
        <v>17.92</v>
      </c>
      <c r="J4754" s="4">
        <f t="shared" si="2"/>
        <v>8368.64</v>
      </c>
      <c r="K4754" s="22">
        <f t="shared" si="3"/>
        <v>1</v>
      </c>
      <c r="L4754" s="4">
        <f t="shared" si="4"/>
        <v>1</v>
      </c>
    </row>
    <row r="4755">
      <c r="A4755" s="23">
        <v>87014.0</v>
      </c>
      <c r="B4755" s="24" t="str">
        <f t="array" ref="B4755">xlookup($A4755,product!$A:$A,product!B:B)</f>
        <v>Santé &amp; Bien-être</v>
      </c>
      <c r="C4755" s="24" t="str">
        <f t="array" ref="C4755">xlookup($A4755,product!$A:$A,product!C:C)</f>
        <v>Résistance et vitalité</v>
      </c>
      <c r="D4755" s="24" t="str">
        <f t="array" ref="D4755">xlookup($A4755,product!$A:$A,product!D:D)</f>
        <v>Spiruline</v>
      </c>
      <c r="E4755" s="25" t="str">
        <f t="shared" si="1"/>
        <v>87014-Résistance et vitalité-Spiruline</v>
      </c>
      <c r="F4755" s="25">
        <v>0.0</v>
      </c>
      <c r="G4755" s="25">
        <v>827.0</v>
      </c>
      <c r="H4755" s="25">
        <v>656.0</v>
      </c>
      <c r="I4755" s="26">
        <f t="array" ref="I4755">XLOOKUP($A4755,product!A:A,product!E:E)</f>
        <v>12.28</v>
      </c>
      <c r="J4755" s="25">
        <f t="shared" si="2"/>
        <v>8055.68</v>
      </c>
      <c r="K4755" s="27">
        <f t="shared" si="3"/>
        <v>1</v>
      </c>
      <c r="L4755" s="25">
        <f t="shared" si="4"/>
        <v>1</v>
      </c>
    </row>
    <row r="4756">
      <c r="A4756" s="19">
        <v>102900.0</v>
      </c>
      <c r="B4756" s="20" t="str">
        <f t="array" ref="B4756">xlookup($A4756,product!$A:$A,product!B:B)</f>
        <v>Santé &amp; Bien-être</v>
      </c>
      <c r="C4756" s="20" t="str">
        <f t="array" ref="C4756">xlookup($A4756,product!$A:$A,product!C:C)</f>
        <v>Résistance et vitalité</v>
      </c>
      <c r="D4756" s="20" t="str">
        <f t="array" ref="D4756">xlookup($A4756,product!$A:$A,product!D:D)</f>
        <v>Spiruline</v>
      </c>
      <c r="E4756" s="4" t="str">
        <f t="shared" si="1"/>
        <v>102900-Résistance et vitalité-Spiruline</v>
      </c>
      <c r="F4756" s="4">
        <v>0.0</v>
      </c>
      <c r="G4756" s="4">
        <v>912.0</v>
      </c>
      <c r="H4756" s="4">
        <v>383.0</v>
      </c>
      <c r="I4756" s="21">
        <f t="array" ref="I4756">XLOOKUP($A4756,product!A:A,product!E:E)</f>
        <v>10.14</v>
      </c>
      <c r="J4756" s="4">
        <f t="shared" si="2"/>
        <v>3883.62</v>
      </c>
      <c r="K4756" s="22">
        <f t="shared" si="3"/>
        <v>1</v>
      </c>
      <c r="L4756" s="4">
        <f t="shared" si="4"/>
        <v>1</v>
      </c>
    </row>
    <row r="4757">
      <c r="A4757" s="23">
        <v>80997.0</v>
      </c>
      <c r="B4757" s="24" t="str">
        <f t="array" ref="B4757">xlookup($A4757,product!$A:$A,product!B:B)</f>
        <v>Santé &amp; Bien-être</v>
      </c>
      <c r="C4757" s="24" t="str">
        <f t="array" ref="C4757">xlookup($A4757,product!$A:$A,product!C:C)</f>
        <v>Résistance et vitalité</v>
      </c>
      <c r="D4757" s="24" t="str">
        <f t="array" ref="D4757">xlookup($A4757,product!$A:$A,product!D:D)</f>
        <v>Spiruline</v>
      </c>
      <c r="E4757" s="25" t="str">
        <f t="shared" si="1"/>
        <v>80997-Résistance et vitalité-Spiruline</v>
      </c>
      <c r="F4757" s="25">
        <v>1.0</v>
      </c>
      <c r="G4757" s="25">
        <v>18.0</v>
      </c>
      <c r="H4757" s="25">
        <v>11.0</v>
      </c>
      <c r="I4757" s="26">
        <f t="array" ref="I4757">XLOOKUP($A4757,product!A:A,product!E:E)</f>
        <v>11.52</v>
      </c>
      <c r="J4757" s="25">
        <f t="shared" si="2"/>
        <v>126.72</v>
      </c>
      <c r="K4757" s="27">
        <f t="shared" si="3"/>
        <v>1</v>
      </c>
      <c r="L4757" s="25">
        <f t="shared" si="4"/>
        <v>1</v>
      </c>
    </row>
    <row r="4758">
      <c r="A4758" s="19">
        <v>116989.0</v>
      </c>
      <c r="B4758" s="20" t="str">
        <f t="array" ref="B4758">xlookup($A4758,product!$A:$A,product!B:B)</f>
        <v>Santé &amp; Bien-être</v>
      </c>
      <c r="C4758" s="20" t="str">
        <f t="array" ref="C4758">xlookup($A4758,product!$A:$A,product!C:C)</f>
        <v>Résistance et vitalité</v>
      </c>
      <c r="D4758" s="20" t="str">
        <f t="array" ref="D4758">xlookup($A4758,product!$A:$A,product!D:D)</f>
        <v>Spiruline</v>
      </c>
      <c r="E4758" s="4" t="str">
        <f t="shared" si="1"/>
        <v>116989-Résistance et vitalité-Spiruline</v>
      </c>
      <c r="F4758" s="4">
        <v>1.0</v>
      </c>
      <c r="G4758" s="4">
        <v>24.0</v>
      </c>
      <c r="H4758" s="4">
        <v>22.0</v>
      </c>
      <c r="I4758" s="21">
        <f t="array" ref="I4758">XLOOKUP($A4758,product!A:A,product!E:E)</f>
        <v>13.02</v>
      </c>
      <c r="J4758" s="4">
        <f t="shared" si="2"/>
        <v>286.44</v>
      </c>
      <c r="K4758" s="22">
        <f t="shared" si="3"/>
        <v>1</v>
      </c>
      <c r="L4758" s="4">
        <f t="shared" si="4"/>
        <v>1</v>
      </c>
    </row>
    <row r="4759">
      <c r="A4759" s="23">
        <v>43826.0</v>
      </c>
      <c r="B4759" s="24" t="str">
        <f t="array" ref="B4759">xlookup($A4759,product!$A:$A,product!B:B)</f>
        <v>Santé &amp; Bien-être</v>
      </c>
      <c r="C4759" s="24" t="str">
        <f t="array" ref="C4759">xlookup($A4759,product!$A:$A,product!C:C)</f>
        <v>Résistance et vitalité</v>
      </c>
      <c r="D4759" s="24" t="str">
        <f t="array" ref="D4759">xlookup($A4759,product!$A:$A,product!D:D)</f>
        <v>Spiruline</v>
      </c>
      <c r="E4759" s="25" t="str">
        <f t="shared" si="1"/>
        <v>43826-Résistance et vitalité-Spiruline</v>
      </c>
      <c r="F4759" s="25">
        <v>0.0</v>
      </c>
      <c r="G4759" s="25">
        <v>482.0</v>
      </c>
      <c r="H4759" s="25">
        <v>106.0</v>
      </c>
      <c r="I4759" s="26">
        <f t="array" ref="I4759">XLOOKUP($A4759,product!A:A,product!E:E)</f>
        <v>10.1</v>
      </c>
      <c r="J4759" s="25">
        <f t="shared" si="2"/>
        <v>1070.6</v>
      </c>
      <c r="K4759" s="27">
        <f t="shared" si="3"/>
        <v>1</v>
      </c>
      <c r="L4759" s="25">
        <f t="shared" si="4"/>
        <v>1</v>
      </c>
    </row>
    <row r="4760">
      <c r="A4760" s="19">
        <v>8769.0</v>
      </c>
      <c r="B4760" s="20" t="str">
        <f t="array" ref="B4760">xlookup($A4760,product!$A:$A,product!B:B)</f>
        <v>Santé &amp; Bien-être</v>
      </c>
      <c r="C4760" s="20" t="str">
        <f t="array" ref="C4760">xlookup($A4760,product!$A:$A,product!C:C)</f>
        <v>Résistance et vitalité</v>
      </c>
      <c r="D4760" s="20" t="str">
        <f t="array" ref="D4760">xlookup($A4760,product!$A:$A,product!D:D)</f>
        <v>Spiruline</v>
      </c>
      <c r="E4760" s="4" t="str">
        <f t="shared" si="1"/>
        <v>8769-Résistance et vitalité-Spiruline</v>
      </c>
      <c r="F4760" s="4">
        <v>1.0</v>
      </c>
      <c r="G4760" s="4">
        <v>761.0</v>
      </c>
      <c r="H4760" s="4">
        <v>201.0</v>
      </c>
      <c r="I4760" s="21">
        <f t="array" ref="I4760">XLOOKUP($A4760,product!A:A,product!E:E)</f>
        <v>21.94</v>
      </c>
      <c r="J4760" s="4">
        <f t="shared" si="2"/>
        <v>4409.94</v>
      </c>
      <c r="K4760" s="22">
        <f t="shared" si="3"/>
        <v>1</v>
      </c>
      <c r="L4760" s="4">
        <f t="shared" si="4"/>
        <v>1</v>
      </c>
    </row>
    <row r="4761">
      <c r="A4761" s="23">
        <v>104427.0</v>
      </c>
      <c r="B4761" s="24" t="str">
        <f t="array" ref="B4761">xlookup($A4761,product!$A:$A,product!B:B)</f>
        <v>Santé &amp; Bien-être</v>
      </c>
      <c r="C4761" s="24" t="str">
        <f t="array" ref="C4761">xlookup($A4761,product!$A:$A,product!C:C)</f>
        <v>Résistance et vitalité</v>
      </c>
      <c r="D4761" s="24" t="str">
        <f t="array" ref="D4761">xlookup($A4761,product!$A:$A,product!D:D)</f>
        <v>Spiruline</v>
      </c>
      <c r="E4761" s="25" t="str">
        <f t="shared" si="1"/>
        <v>104427-Résistance et vitalité-Spiruline</v>
      </c>
      <c r="F4761" s="25">
        <v>0.0</v>
      </c>
      <c r="G4761" s="25">
        <v>240.0</v>
      </c>
      <c r="H4761" s="25">
        <v>23.0</v>
      </c>
      <c r="I4761" s="26">
        <f t="array" ref="I4761">XLOOKUP($A4761,product!A:A,product!E:E)</f>
        <v>5.23</v>
      </c>
      <c r="J4761" s="25">
        <f t="shared" si="2"/>
        <v>120.29</v>
      </c>
      <c r="K4761" s="27">
        <f t="shared" si="3"/>
        <v>1</v>
      </c>
      <c r="L4761" s="25">
        <f t="shared" si="4"/>
        <v>1</v>
      </c>
    </row>
    <row r="4762">
      <c r="A4762" s="19">
        <v>8770.0</v>
      </c>
      <c r="B4762" s="20" t="str">
        <f t="array" ref="B4762">xlookup($A4762,product!$A:$A,product!B:B)</f>
        <v>Santé &amp; Bien-être</v>
      </c>
      <c r="C4762" s="20" t="str">
        <f t="array" ref="C4762">xlookup($A4762,product!$A:$A,product!C:C)</f>
        <v>Résistance et vitalité</v>
      </c>
      <c r="D4762" s="20" t="str">
        <f t="array" ref="D4762">xlookup($A4762,product!$A:$A,product!D:D)</f>
        <v>Spiruline</v>
      </c>
      <c r="E4762" s="4" t="str">
        <f t="shared" si="1"/>
        <v>8770-Résistance et vitalité-Spiruline</v>
      </c>
      <c r="F4762" s="4">
        <v>0.0</v>
      </c>
      <c r="G4762" s="4">
        <v>172.0</v>
      </c>
      <c r="H4762" s="4">
        <v>107.0</v>
      </c>
      <c r="I4762" s="21">
        <f t="array" ref="I4762">XLOOKUP($A4762,product!A:A,product!E:E)</f>
        <v>8.96</v>
      </c>
      <c r="J4762" s="4">
        <f t="shared" si="2"/>
        <v>958.72</v>
      </c>
      <c r="K4762" s="22">
        <f t="shared" si="3"/>
        <v>1</v>
      </c>
      <c r="L4762" s="4">
        <f t="shared" si="4"/>
        <v>1</v>
      </c>
    </row>
    <row r="4763">
      <c r="A4763" s="23">
        <v>94930.0</v>
      </c>
      <c r="B4763" s="24" t="str">
        <f t="array" ref="B4763">xlookup($A4763,product!$A:$A,product!B:B)</f>
        <v>Santé &amp; Bien-être</v>
      </c>
      <c r="C4763" s="24" t="str">
        <f t="array" ref="C4763">xlookup($A4763,product!$A:$A,product!C:C)</f>
        <v>Résistance et vitalité</v>
      </c>
      <c r="D4763" s="24" t="str">
        <f t="array" ref="D4763">xlookup($A4763,product!$A:$A,product!D:D)</f>
        <v>Anti-oxydant</v>
      </c>
      <c r="E4763" s="25" t="str">
        <f t="shared" si="1"/>
        <v>94930-Résistance et vitalité-Anti-oxydant</v>
      </c>
      <c r="F4763" s="25">
        <v>0.0</v>
      </c>
      <c r="G4763" s="25">
        <v>176.0</v>
      </c>
      <c r="H4763" s="25">
        <v>59.0</v>
      </c>
      <c r="I4763" s="26">
        <f t="array" ref="I4763">XLOOKUP($A4763,product!A:A,product!E:E)</f>
        <v>11.22</v>
      </c>
      <c r="J4763" s="25">
        <f t="shared" si="2"/>
        <v>661.98</v>
      </c>
      <c r="K4763" s="27">
        <f t="shared" si="3"/>
        <v>1</v>
      </c>
      <c r="L4763" s="25">
        <f t="shared" si="4"/>
        <v>1</v>
      </c>
    </row>
    <row r="4764">
      <c r="A4764" s="19">
        <v>111576.0</v>
      </c>
      <c r="B4764" s="20" t="str">
        <f t="array" ref="B4764">xlookup($A4764,product!$A:$A,product!B:B)</f>
        <v>Santé &amp; Bien-être</v>
      </c>
      <c r="C4764" s="20" t="str">
        <f t="array" ref="C4764">xlookup($A4764,product!$A:$A,product!C:C)</f>
        <v>Résistance et vitalité</v>
      </c>
      <c r="D4764" s="20" t="str">
        <f t="array" ref="D4764">xlookup($A4764,product!$A:$A,product!D:D)</f>
        <v>Anti-oxydant</v>
      </c>
      <c r="E4764" s="4" t="str">
        <f t="shared" si="1"/>
        <v>111576-Résistance et vitalité-Anti-oxydant</v>
      </c>
      <c r="F4764" s="4">
        <v>1.0</v>
      </c>
      <c r="G4764" s="4">
        <v>388.0</v>
      </c>
      <c r="H4764" s="4">
        <v>13.0</v>
      </c>
      <c r="I4764" s="21">
        <f t="array" ref="I4764">XLOOKUP($A4764,product!A:A,product!E:E)</f>
        <v>6.29</v>
      </c>
      <c r="J4764" s="4">
        <f t="shared" si="2"/>
        <v>81.77</v>
      </c>
      <c r="K4764" s="22">
        <f t="shared" si="3"/>
        <v>1</v>
      </c>
      <c r="L4764" s="4">
        <f t="shared" si="4"/>
        <v>1</v>
      </c>
    </row>
    <row r="4765">
      <c r="A4765" s="23">
        <v>71715.0</v>
      </c>
      <c r="B4765" s="24" t="str">
        <f t="array" ref="B4765">xlookup($A4765,product!$A:$A,product!B:B)</f>
        <v>Santé &amp; Bien-être</v>
      </c>
      <c r="C4765" s="24" t="str">
        <f t="array" ref="C4765">xlookup($A4765,product!$A:$A,product!C:C)</f>
        <v>Résistance et vitalité</v>
      </c>
      <c r="D4765" s="24" t="str">
        <f t="array" ref="D4765">xlookup($A4765,product!$A:$A,product!D:D)</f>
        <v>Anti-oxydant</v>
      </c>
      <c r="E4765" s="25" t="str">
        <f t="shared" si="1"/>
        <v>71715-Résistance et vitalité-Anti-oxydant</v>
      </c>
      <c r="F4765" s="25">
        <v>0.0</v>
      </c>
      <c r="G4765" s="25">
        <v>843.0</v>
      </c>
      <c r="H4765" s="25">
        <v>373.0</v>
      </c>
      <c r="I4765" s="26">
        <f t="array" ref="I4765">XLOOKUP($A4765,product!A:A,product!E:E)</f>
        <v>5.62</v>
      </c>
      <c r="J4765" s="25">
        <f t="shared" si="2"/>
        <v>2096.26</v>
      </c>
      <c r="K4765" s="27">
        <f t="shared" si="3"/>
        <v>1</v>
      </c>
      <c r="L4765" s="25">
        <f t="shared" si="4"/>
        <v>1</v>
      </c>
    </row>
    <row r="4766">
      <c r="A4766" s="19">
        <v>71710.0</v>
      </c>
      <c r="B4766" s="20" t="str">
        <f t="array" ref="B4766">xlookup($A4766,product!$A:$A,product!B:B)</f>
        <v>Santé &amp; Bien-être</v>
      </c>
      <c r="C4766" s="20" t="str">
        <f t="array" ref="C4766">xlookup($A4766,product!$A:$A,product!C:C)</f>
        <v>Résistance et vitalité</v>
      </c>
      <c r="D4766" s="20" t="str">
        <f t="array" ref="D4766">xlookup($A4766,product!$A:$A,product!D:D)</f>
        <v>Anti-oxydant</v>
      </c>
      <c r="E4766" s="4" t="str">
        <f t="shared" si="1"/>
        <v>71710-Résistance et vitalité-Anti-oxydant</v>
      </c>
      <c r="F4766" s="4">
        <v>1.0</v>
      </c>
      <c r="G4766" s="4">
        <v>446.0</v>
      </c>
      <c r="H4766" s="4">
        <v>64.0</v>
      </c>
      <c r="I4766" s="21">
        <f t="array" ref="I4766">XLOOKUP($A4766,product!A:A,product!E:E)</f>
        <v>2.71</v>
      </c>
      <c r="J4766" s="4">
        <f t="shared" si="2"/>
        <v>173.44</v>
      </c>
      <c r="K4766" s="22">
        <f t="shared" si="3"/>
        <v>1</v>
      </c>
      <c r="L4766" s="4">
        <f t="shared" si="4"/>
        <v>1</v>
      </c>
    </row>
    <row r="4767">
      <c r="A4767" s="23">
        <v>102790.0</v>
      </c>
      <c r="B4767" s="24" t="str">
        <f t="array" ref="B4767">xlookup($A4767,product!$A:$A,product!B:B)</f>
        <v>Santé &amp; Bien-être</v>
      </c>
      <c r="C4767" s="24" t="str">
        <f t="array" ref="C4767">xlookup($A4767,product!$A:$A,product!C:C)</f>
        <v>Résistance et vitalité</v>
      </c>
      <c r="D4767" s="24" t="str">
        <f t="array" ref="D4767">xlookup($A4767,product!$A:$A,product!D:D)</f>
        <v>Jus d'herbe, Green Magma</v>
      </c>
      <c r="E4767" s="25" t="str">
        <f t="shared" si="1"/>
        <v>102790-Résistance et vitalité-Jus d'herbe, Green Magma</v>
      </c>
      <c r="F4767" s="25">
        <v>1.0</v>
      </c>
      <c r="G4767" s="25">
        <v>910.0</v>
      </c>
      <c r="H4767" s="25">
        <v>536.0</v>
      </c>
      <c r="I4767" s="26">
        <f t="array" ref="I4767">XLOOKUP($A4767,product!A:A,product!E:E)</f>
        <v>7.69</v>
      </c>
      <c r="J4767" s="25">
        <f t="shared" si="2"/>
        <v>4121.84</v>
      </c>
      <c r="K4767" s="27">
        <f t="shared" si="3"/>
        <v>1</v>
      </c>
      <c r="L4767" s="25">
        <f t="shared" si="4"/>
        <v>1</v>
      </c>
    </row>
    <row r="4768">
      <c r="A4768" s="19">
        <v>3518.0</v>
      </c>
      <c r="B4768" s="20" t="str">
        <f t="array" ref="B4768">xlookup($A4768,product!$A:$A,product!B:B)</f>
        <v>Santé &amp; Bien-être</v>
      </c>
      <c r="C4768" s="20" t="str">
        <f t="array" ref="C4768">xlookup($A4768,product!$A:$A,product!C:C)</f>
        <v>Résistance et vitalité</v>
      </c>
      <c r="D4768" s="20" t="str">
        <f t="array" ref="D4768">xlookup($A4768,product!$A:$A,product!D:D)</f>
        <v>Jus d'herbe, Green Magma</v>
      </c>
      <c r="E4768" s="4" t="str">
        <f t="shared" si="1"/>
        <v>3518-Résistance et vitalité-Jus d'herbe, Green Magma</v>
      </c>
      <c r="F4768" s="4">
        <v>1.0</v>
      </c>
      <c r="G4768" s="4">
        <v>634.0</v>
      </c>
      <c r="H4768" s="4">
        <v>629.0</v>
      </c>
      <c r="I4768" s="21">
        <f t="array" ref="I4768">XLOOKUP($A4768,product!A:A,product!E:E)</f>
        <v>12.96</v>
      </c>
      <c r="J4768" s="4">
        <f t="shared" si="2"/>
        <v>8151.84</v>
      </c>
      <c r="K4768" s="22">
        <f t="shared" si="3"/>
        <v>1</v>
      </c>
      <c r="L4768" s="4">
        <f t="shared" si="4"/>
        <v>1</v>
      </c>
    </row>
    <row r="4769">
      <c r="A4769" s="23">
        <v>18318.0</v>
      </c>
      <c r="B4769" s="24" t="str">
        <f t="array" ref="B4769">xlookup($A4769,product!$A:$A,product!B:B)</f>
        <v>Santé &amp; Bien-être</v>
      </c>
      <c r="C4769" s="24" t="str">
        <f t="array" ref="C4769">xlookup($A4769,product!$A:$A,product!C:C)</f>
        <v>Résistance et vitalité</v>
      </c>
      <c r="D4769" s="24" t="str">
        <f t="array" ref="D4769">xlookup($A4769,product!$A:$A,product!D:D)</f>
        <v>Jus d'herbe, Green Magma</v>
      </c>
      <c r="E4769" s="25" t="str">
        <f t="shared" si="1"/>
        <v>18318-Résistance et vitalité-Jus d'herbe, Green Magma</v>
      </c>
      <c r="F4769" s="25">
        <v>1.0</v>
      </c>
      <c r="G4769" s="25">
        <v>498.0</v>
      </c>
      <c r="H4769" s="25">
        <v>494.0</v>
      </c>
      <c r="I4769" s="26">
        <f t="array" ref="I4769">XLOOKUP($A4769,product!A:A,product!E:E)</f>
        <v>6.5</v>
      </c>
      <c r="J4769" s="25">
        <f t="shared" si="2"/>
        <v>3211</v>
      </c>
      <c r="K4769" s="27">
        <f t="shared" si="3"/>
        <v>1</v>
      </c>
      <c r="L4769" s="25">
        <f t="shared" si="4"/>
        <v>1</v>
      </c>
    </row>
    <row r="4770">
      <c r="A4770" s="19">
        <v>104220.0</v>
      </c>
      <c r="B4770" s="20" t="str">
        <f t="array" ref="B4770">xlookup($A4770,product!$A:$A,product!B:B)</f>
        <v>Santé &amp; Bien-être</v>
      </c>
      <c r="C4770" s="20" t="str">
        <f t="array" ref="C4770">xlookup($A4770,product!$A:$A,product!C:C)</f>
        <v>Résistance et vitalité</v>
      </c>
      <c r="D4770" s="20" t="str">
        <f t="array" ref="D4770">xlookup($A4770,product!$A:$A,product!D:D)</f>
        <v>Energie, Vitalité, Tonus</v>
      </c>
      <c r="E4770" s="4" t="str">
        <f t="shared" si="1"/>
        <v>104220-Résistance et vitalité-Energie, Vitalité, Tonus</v>
      </c>
      <c r="F4770" s="4">
        <v>0.0</v>
      </c>
      <c r="G4770" s="4">
        <v>966.0</v>
      </c>
      <c r="H4770" s="4">
        <v>481.0</v>
      </c>
      <c r="I4770" s="21">
        <f t="array" ref="I4770">XLOOKUP($A4770,product!A:A,product!E:E)</f>
        <v>8.37</v>
      </c>
      <c r="J4770" s="4">
        <f t="shared" si="2"/>
        <v>4025.97</v>
      </c>
      <c r="K4770" s="22">
        <f t="shared" si="3"/>
        <v>1</v>
      </c>
      <c r="L4770" s="4">
        <f t="shared" si="4"/>
        <v>1</v>
      </c>
    </row>
    <row r="4771">
      <c r="A4771" s="23">
        <v>106109.0</v>
      </c>
      <c r="B4771" s="24" t="str">
        <f t="array" ref="B4771">xlookup($A4771,product!$A:$A,product!B:B)</f>
        <v>Santé &amp; Bien-être</v>
      </c>
      <c r="C4771" s="24" t="str">
        <f t="array" ref="C4771">xlookup($A4771,product!$A:$A,product!C:C)</f>
        <v>Résistance et vitalité</v>
      </c>
      <c r="D4771" s="24" t="str">
        <f t="array" ref="D4771">xlookup($A4771,product!$A:$A,product!D:D)</f>
        <v>Energie, Vitalité, Tonus</v>
      </c>
      <c r="E4771" s="25" t="str">
        <f t="shared" si="1"/>
        <v>106109-Résistance et vitalité-Energie, Vitalité, Tonus</v>
      </c>
      <c r="F4771" s="25">
        <v>1.0</v>
      </c>
      <c r="G4771" s="25">
        <v>580.0</v>
      </c>
      <c r="H4771" s="25">
        <v>528.0</v>
      </c>
      <c r="I4771" s="26">
        <f t="array" ref="I4771">XLOOKUP($A4771,product!A:A,product!E:E)</f>
        <v>7.15</v>
      </c>
      <c r="J4771" s="25">
        <f t="shared" si="2"/>
        <v>3775.2</v>
      </c>
      <c r="K4771" s="27">
        <f t="shared" si="3"/>
        <v>1</v>
      </c>
      <c r="L4771" s="25">
        <f t="shared" si="4"/>
        <v>1</v>
      </c>
    </row>
    <row r="4772">
      <c r="A4772" s="19">
        <v>72162.0</v>
      </c>
      <c r="B4772" s="20" t="str">
        <f t="array" ref="B4772">xlookup($A4772,product!$A:$A,product!B:B)</f>
        <v>Santé &amp; Bien-être</v>
      </c>
      <c r="C4772" s="20" t="str">
        <f t="array" ref="C4772">xlookup($A4772,product!$A:$A,product!C:C)</f>
        <v>Résistance et vitalité</v>
      </c>
      <c r="D4772" s="20" t="str">
        <f t="array" ref="D4772">xlookup($A4772,product!$A:$A,product!D:D)</f>
        <v>Energie, Vitalité, Tonus</v>
      </c>
      <c r="E4772" s="4" t="str">
        <f t="shared" si="1"/>
        <v>72162-Résistance et vitalité-Energie, Vitalité, Tonus</v>
      </c>
      <c r="F4772" s="4">
        <v>1.0</v>
      </c>
      <c r="G4772" s="4">
        <v>353.0</v>
      </c>
      <c r="H4772" s="4">
        <v>311.0</v>
      </c>
      <c r="I4772" s="21">
        <f t="array" ref="I4772">XLOOKUP($A4772,product!A:A,product!E:E)</f>
        <v>17.63</v>
      </c>
      <c r="J4772" s="4">
        <f t="shared" si="2"/>
        <v>5482.93</v>
      </c>
      <c r="K4772" s="22">
        <f t="shared" si="3"/>
        <v>1</v>
      </c>
      <c r="L4772" s="4">
        <f t="shared" si="4"/>
        <v>1</v>
      </c>
    </row>
    <row r="4773">
      <c r="A4773" s="23">
        <v>104410.0</v>
      </c>
      <c r="B4773" s="24" t="str">
        <f t="array" ref="B4773">xlookup($A4773,product!$A:$A,product!B:B)</f>
        <v>Santé &amp; Bien-être</v>
      </c>
      <c r="C4773" s="24" t="str">
        <f t="array" ref="C4773">xlookup($A4773,product!$A:$A,product!C:C)</f>
        <v>Résistance et vitalité</v>
      </c>
      <c r="D4773" s="24" t="str">
        <f t="array" ref="D4773">xlookup($A4773,product!$A:$A,product!D:D)</f>
        <v>Energie, Vitalité, Tonus</v>
      </c>
      <c r="E4773" s="25" t="str">
        <f t="shared" si="1"/>
        <v>104410-Résistance et vitalité-Energie, Vitalité, Tonus</v>
      </c>
      <c r="F4773" s="25">
        <v>0.0</v>
      </c>
      <c r="G4773" s="25">
        <v>436.0</v>
      </c>
      <c r="H4773" s="25">
        <v>47.0</v>
      </c>
      <c r="I4773" s="26">
        <f t="array" ref="I4773">XLOOKUP($A4773,product!A:A,product!E:E)</f>
        <v>6.23</v>
      </c>
      <c r="J4773" s="25">
        <f t="shared" si="2"/>
        <v>292.81</v>
      </c>
      <c r="K4773" s="27">
        <f t="shared" si="3"/>
        <v>1</v>
      </c>
      <c r="L4773" s="25">
        <f t="shared" si="4"/>
        <v>1</v>
      </c>
    </row>
    <row r="4774">
      <c r="A4774" s="19">
        <v>88825.0</v>
      </c>
      <c r="B4774" s="20" t="str">
        <f t="array" ref="B4774">xlookup($A4774,product!$A:$A,product!B:B)</f>
        <v>Santé &amp; Bien-être</v>
      </c>
      <c r="C4774" s="20" t="str">
        <f t="array" ref="C4774">xlookup($A4774,product!$A:$A,product!C:C)</f>
        <v>Résistance et vitalité</v>
      </c>
      <c r="D4774" s="20" t="str">
        <f t="array" ref="D4774">xlookup($A4774,product!$A:$A,product!D:D)</f>
        <v>Energie, Vitalité, Tonus</v>
      </c>
      <c r="E4774" s="4" t="str">
        <f t="shared" si="1"/>
        <v>88825-Résistance et vitalité-Energie, Vitalité, Tonus</v>
      </c>
      <c r="F4774" s="4">
        <v>1.0</v>
      </c>
      <c r="G4774" s="4">
        <v>540.0</v>
      </c>
      <c r="H4774" s="4">
        <v>154.0</v>
      </c>
      <c r="I4774" s="21">
        <f t="array" ref="I4774">XLOOKUP($A4774,product!A:A,product!E:E)</f>
        <v>10.18</v>
      </c>
      <c r="J4774" s="4">
        <f t="shared" si="2"/>
        <v>1567.72</v>
      </c>
      <c r="K4774" s="22">
        <f t="shared" si="3"/>
        <v>1</v>
      </c>
      <c r="L4774" s="4">
        <f t="shared" si="4"/>
        <v>1</v>
      </c>
    </row>
    <row r="4775">
      <c r="A4775" s="23">
        <v>13928.0</v>
      </c>
      <c r="B4775" s="24" t="str">
        <f t="array" ref="B4775">xlookup($A4775,product!$A:$A,product!B:B)</f>
        <v>Santé &amp; Bien-être</v>
      </c>
      <c r="C4775" s="24" t="str">
        <f t="array" ref="C4775">xlookup($A4775,product!$A:$A,product!C:C)</f>
        <v>Résistance et vitalité</v>
      </c>
      <c r="D4775" s="24" t="str">
        <f t="array" ref="D4775">xlookup($A4775,product!$A:$A,product!D:D)</f>
        <v>Energie, Vitalité, Tonus</v>
      </c>
      <c r="E4775" s="25" t="str">
        <f t="shared" si="1"/>
        <v>13928-Résistance et vitalité-Energie, Vitalité, Tonus</v>
      </c>
      <c r="F4775" s="25">
        <v>0.0</v>
      </c>
      <c r="G4775" s="25">
        <v>182.0</v>
      </c>
      <c r="H4775" s="25">
        <v>138.0</v>
      </c>
      <c r="I4775" s="26">
        <f t="array" ref="I4775">XLOOKUP($A4775,product!A:A,product!E:E)</f>
        <v>15.66</v>
      </c>
      <c r="J4775" s="25">
        <f t="shared" si="2"/>
        <v>2161.08</v>
      </c>
      <c r="K4775" s="27">
        <f t="shared" si="3"/>
        <v>1</v>
      </c>
      <c r="L4775" s="25">
        <f t="shared" si="4"/>
        <v>1</v>
      </c>
    </row>
    <row r="4776">
      <c r="A4776" s="19">
        <v>45368.0</v>
      </c>
      <c r="B4776" s="20" t="str">
        <f t="array" ref="B4776">xlookup($A4776,product!$A:$A,product!B:B)</f>
        <v>Santé &amp; Bien-être</v>
      </c>
      <c r="C4776" s="20" t="str">
        <f t="array" ref="C4776">xlookup($A4776,product!$A:$A,product!C:C)</f>
        <v>Résistance et vitalité</v>
      </c>
      <c r="D4776" s="20" t="str">
        <f t="array" ref="D4776">xlookup($A4776,product!$A:$A,product!D:D)</f>
        <v>Energie, Vitalité, Tonus</v>
      </c>
      <c r="E4776" s="4" t="str">
        <f t="shared" si="1"/>
        <v>45368-Résistance et vitalité-Energie, Vitalité, Tonus</v>
      </c>
      <c r="F4776" s="4">
        <v>1.0</v>
      </c>
      <c r="G4776" s="4">
        <v>24.0</v>
      </c>
      <c r="H4776" s="4">
        <v>8.0</v>
      </c>
      <c r="I4776" s="21">
        <f t="array" ref="I4776">XLOOKUP($A4776,product!A:A,product!E:E)</f>
        <v>28.79</v>
      </c>
      <c r="J4776" s="4">
        <f t="shared" si="2"/>
        <v>230.32</v>
      </c>
      <c r="K4776" s="22">
        <f t="shared" si="3"/>
        <v>1</v>
      </c>
      <c r="L4776" s="4">
        <f t="shared" si="4"/>
        <v>1</v>
      </c>
    </row>
    <row r="4777">
      <c r="A4777" s="23">
        <v>119732.0</v>
      </c>
      <c r="B4777" s="24" t="str">
        <f t="array" ref="B4777">xlookup($A4777,product!$A:$A,product!B:B)</f>
        <v>Santé &amp; Bien-être</v>
      </c>
      <c r="C4777" s="24" t="str">
        <f t="array" ref="C4777">xlookup($A4777,product!$A:$A,product!C:C)</f>
        <v>Résistance et vitalité</v>
      </c>
      <c r="D4777" s="24" t="str">
        <f t="array" ref="D4777">xlookup($A4777,product!$A:$A,product!D:D)</f>
        <v>Energie, Vitalité, Tonus</v>
      </c>
      <c r="E4777" s="25" t="str">
        <f t="shared" si="1"/>
        <v>119732-Résistance et vitalité-Energie, Vitalité, Tonus</v>
      </c>
      <c r="F4777" s="25">
        <v>1.0</v>
      </c>
      <c r="G4777" s="25">
        <v>307.0</v>
      </c>
      <c r="H4777" s="25">
        <v>264.0</v>
      </c>
      <c r="I4777" s="26">
        <f t="array" ref="I4777">XLOOKUP($A4777,product!A:A,product!E:E)</f>
        <v>13.41</v>
      </c>
      <c r="J4777" s="25">
        <f t="shared" si="2"/>
        <v>3540.24</v>
      </c>
      <c r="K4777" s="27">
        <f t="shared" si="3"/>
        <v>1</v>
      </c>
      <c r="L4777" s="25">
        <f t="shared" si="4"/>
        <v>1</v>
      </c>
    </row>
    <row r="4778">
      <c r="A4778" s="19">
        <v>90467.0</v>
      </c>
      <c r="B4778" s="20" t="str">
        <f t="array" ref="B4778">xlookup($A4778,product!$A:$A,product!B:B)</f>
        <v>Santé &amp; Bien-être</v>
      </c>
      <c r="C4778" s="20" t="str">
        <f t="array" ref="C4778">xlookup($A4778,product!$A:$A,product!C:C)</f>
        <v>Résistance et vitalité</v>
      </c>
      <c r="D4778" s="20" t="str">
        <f t="array" ref="D4778">xlookup($A4778,product!$A:$A,product!D:D)</f>
        <v>Energie, Vitalité, Tonus</v>
      </c>
      <c r="E4778" s="4" t="str">
        <f t="shared" si="1"/>
        <v>90467-Résistance et vitalité-Energie, Vitalité, Tonus</v>
      </c>
      <c r="F4778" s="4">
        <v>0.0</v>
      </c>
      <c r="G4778" s="4">
        <v>98.0</v>
      </c>
      <c r="H4778" s="4">
        <v>77.0</v>
      </c>
      <c r="I4778" s="21">
        <f t="array" ref="I4778">XLOOKUP($A4778,product!A:A,product!E:E)</f>
        <v>4.42</v>
      </c>
      <c r="J4778" s="4">
        <f t="shared" si="2"/>
        <v>340.34</v>
      </c>
      <c r="K4778" s="22">
        <f t="shared" si="3"/>
        <v>1</v>
      </c>
      <c r="L4778" s="4">
        <f t="shared" si="4"/>
        <v>1</v>
      </c>
    </row>
    <row r="4779">
      <c r="A4779" s="23">
        <v>119874.0</v>
      </c>
      <c r="B4779" s="24" t="str">
        <f t="array" ref="B4779">xlookup($A4779,product!$A:$A,product!B:B)</f>
        <v>Santé &amp; Bien-être</v>
      </c>
      <c r="C4779" s="24" t="str">
        <f t="array" ref="C4779">xlookup($A4779,product!$A:$A,product!C:C)</f>
        <v>Résistance et vitalité</v>
      </c>
      <c r="D4779" s="24" t="str">
        <f t="array" ref="D4779">xlookup($A4779,product!$A:$A,product!D:D)</f>
        <v>Energie, Vitalité, Tonus</v>
      </c>
      <c r="E4779" s="25" t="str">
        <f t="shared" si="1"/>
        <v>119874-Résistance et vitalité-Energie, Vitalité, Tonus</v>
      </c>
      <c r="F4779" s="25">
        <v>0.0</v>
      </c>
      <c r="G4779" s="25">
        <v>738.0</v>
      </c>
      <c r="H4779" s="25">
        <v>35.0</v>
      </c>
      <c r="I4779" s="26">
        <f t="array" ref="I4779">XLOOKUP($A4779,product!A:A,product!E:E)</f>
        <v>13.14</v>
      </c>
      <c r="J4779" s="25">
        <f t="shared" si="2"/>
        <v>459.9</v>
      </c>
      <c r="K4779" s="27">
        <f t="shared" si="3"/>
        <v>1</v>
      </c>
      <c r="L4779" s="25">
        <f t="shared" si="4"/>
        <v>1</v>
      </c>
    </row>
    <row r="4780">
      <c r="A4780" s="19">
        <v>121316.0</v>
      </c>
      <c r="B4780" s="20" t="str">
        <f t="array" ref="B4780">xlookup($A4780,product!$A:$A,product!B:B)</f>
        <v>Santé &amp; Bien-être</v>
      </c>
      <c r="C4780" s="20" t="str">
        <f t="array" ref="C4780">xlookup($A4780,product!$A:$A,product!C:C)</f>
        <v>Résistance et vitalité</v>
      </c>
      <c r="D4780" s="20" t="str">
        <f t="array" ref="D4780">xlookup($A4780,product!$A:$A,product!D:D)</f>
        <v>Energie, Vitalité, Tonus</v>
      </c>
      <c r="E4780" s="4" t="str">
        <f t="shared" si="1"/>
        <v>121316-Résistance et vitalité-Energie, Vitalité, Tonus</v>
      </c>
      <c r="F4780" s="4">
        <v>1.0</v>
      </c>
      <c r="G4780" s="4">
        <v>878.0</v>
      </c>
      <c r="H4780" s="4">
        <v>406.0</v>
      </c>
      <c r="I4780" s="21">
        <f t="array" ref="I4780">XLOOKUP($A4780,product!A:A,product!E:E)</f>
        <v>5.69</v>
      </c>
      <c r="J4780" s="4">
        <f t="shared" si="2"/>
        <v>2310.14</v>
      </c>
      <c r="K4780" s="22">
        <f t="shared" si="3"/>
        <v>1</v>
      </c>
      <c r="L4780" s="4">
        <f t="shared" si="4"/>
        <v>1</v>
      </c>
    </row>
    <row r="4781">
      <c r="A4781" s="23">
        <v>77390.0</v>
      </c>
      <c r="B4781" s="24" t="str">
        <f t="array" ref="B4781">xlookup($A4781,product!$A:$A,product!B:B)</f>
        <v>Santé &amp; Bien-être</v>
      </c>
      <c r="C4781" s="24" t="str">
        <f t="array" ref="C4781">xlookup($A4781,product!$A:$A,product!C:C)</f>
        <v>Résistance et vitalité</v>
      </c>
      <c r="D4781" s="24" t="str">
        <f t="array" ref="D4781">xlookup($A4781,product!$A:$A,product!D:D)</f>
        <v>Energie, Vitalité, Tonus</v>
      </c>
      <c r="E4781" s="25" t="str">
        <f t="shared" si="1"/>
        <v>77390-Résistance et vitalité-Energie, Vitalité, Tonus</v>
      </c>
      <c r="F4781" s="25">
        <v>0.0</v>
      </c>
      <c r="G4781" s="25">
        <v>676.0</v>
      </c>
      <c r="H4781" s="25">
        <v>507.0</v>
      </c>
      <c r="I4781" s="26">
        <f t="array" ref="I4781">XLOOKUP($A4781,product!A:A,product!E:E)</f>
        <v>9.27</v>
      </c>
      <c r="J4781" s="25">
        <f t="shared" si="2"/>
        <v>4699.89</v>
      </c>
      <c r="K4781" s="27">
        <f t="shared" si="3"/>
        <v>1</v>
      </c>
      <c r="L4781" s="25">
        <f t="shared" si="4"/>
        <v>1</v>
      </c>
    </row>
    <row r="4782">
      <c r="A4782" s="19">
        <v>11444.0</v>
      </c>
      <c r="B4782" s="20" t="str">
        <f t="array" ref="B4782">xlookup($A4782,product!$A:$A,product!B:B)</f>
        <v>Santé &amp; Bien-être</v>
      </c>
      <c r="C4782" s="20" t="str">
        <f t="array" ref="C4782">xlookup($A4782,product!$A:$A,product!C:C)</f>
        <v>Résistance et vitalité</v>
      </c>
      <c r="D4782" s="20" t="str">
        <f t="array" ref="D4782">xlookup($A4782,product!$A:$A,product!D:D)</f>
        <v>Refroidissement, défenses</v>
      </c>
      <c r="E4782" s="4" t="str">
        <f t="shared" si="1"/>
        <v>11444-Résistance et vitalité-Refroidissement, défenses</v>
      </c>
      <c r="F4782" s="4">
        <v>0.0</v>
      </c>
      <c r="G4782" s="4">
        <v>890.0</v>
      </c>
      <c r="H4782" s="4">
        <v>610.0</v>
      </c>
      <c r="I4782" s="21">
        <f t="array" ref="I4782">XLOOKUP($A4782,product!A:A,product!E:E)</f>
        <v>7.06</v>
      </c>
      <c r="J4782" s="4">
        <f t="shared" si="2"/>
        <v>4306.6</v>
      </c>
      <c r="K4782" s="22">
        <f t="shared" si="3"/>
        <v>1</v>
      </c>
      <c r="L4782" s="4">
        <f t="shared" si="4"/>
        <v>1</v>
      </c>
    </row>
    <row r="4783">
      <c r="A4783" s="23">
        <v>74416.0</v>
      </c>
      <c r="B4783" s="24" t="str">
        <f t="array" ref="B4783">xlookup($A4783,product!$A:$A,product!B:B)</f>
        <v>Santé &amp; Bien-être</v>
      </c>
      <c r="C4783" s="24" t="str">
        <f t="array" ref="C4783">xlookup($A4783,product!$A:$A,product!C:C)</f>
        <v>Résistance et vitalité</v>
      </c>
      <c r="D4783" s="24" t="str">
        <f t="array" ref="D4783">xlookup($A4783,product!$A:$A,product!D:D)</f>
        <v>Refroidissement, défenses</v>
      </c>
      <c r="E4783" s="25" t="str">
        <f t="shared" si="1"/>
        <v>74416-Résistance et vitalité-Refroidissement, défenses</v>
      </c>
      <c r="F4783" s="25">
        <v>0.0</v>
      </c>
      <c r="G4783" s="25">
        <v>733.0</v>
      </c>
      <c r="H4783" s="25">
        <v>157.0</v>
      </c>
      <c r="I4783" s="26">
        <f t="array" ref="I4783">XLOOKUP($A4783,product!A:A,product!E:E)</f>
        <v>7.83</v>
      </c>
      <c r="J4783" s="25">
        <f t="shared" si="2"/>
        <v>1229.31</v>
      </c>
      <c r="K4783" s="27">
        <f t="shared" si="3"/>
        <v>1</v>
      </c>
      <c r="L4783" s="25">
        <f t="shared" si="4"/>
        <v>1</v>
      </c>
    </row>
    <row r="4784">
      <c r="A4784" s="19">
        <v>75323.0</v>
      </c>
      <c r="B4784" s="20" t="str">
        <f t="array" ref="B4784">xlookup($A4784,product!$A:$A,product!B:B)</f>
        <v>Santé &amp; Bien-être</v>
      </c>
      <c r="C4784" s="20" t="str">
        <f t="array" ref="C4784">xlookup($A4784,product!$A:$A,product!C:C)</f>
        <v>Résistance et vitalité</v>
      </c>
      <c r="D4784" s="20" t="str">
        <f t="array" ref="D4784">xlookup($A4784,product!$A:$A,product!D:D)</f>
        <v>Refroidissement, défenses</v>
      </c>
      <c r="E4784" s="4" t="str">
        <f t="shared" si="1"/>
        <v>75323-Résistance et vitalité-Refroidissement, défenses</v>
      </c>
      <c r="F4784" s="4">
        <v>1.0</v>
      </c>
      <c r="G4784" s="4">
        <v>327.0</v>
      </c>
      <c r="H4784" s="4">
        <v>164.0</v>
      </c>
      <c r="I4784" s="21">
        <f t="array" ref="I4784">XLOOKUP($A4784,product!A:A,product!E:E)</f>
        <v>6.07</v>
      </c>
      <c r="J4784" s="4">
        <f t="shared" si="2"/>
        <v>995.48</v>
      </c>
      <c r="K4784" s="22">
        <f t="shared" si="3"/>
        <v>1</v>
      </c>
      <c r="L4784" s="4">
        <f t="shared" si="4"/>
        <v>1</v>
      </c>
    </row>
    <row r="4785">
      <c r="A4785" s="23">
        <v>86619.0</v>
      </c>
      <c r="B4785" s="24" t="str">
        <f t="array" ref="B4785">xlookup($A4785,product!$A:$A,product!B:B)</f>
        <v>Santé &amp; Bien-être</v>
      </c>
      <c r="C4785" s="24" t="str">
        <f t="array" ref="C4785">xlookup($A4785,product!$A:$A,product!C:C)</f>
        <v>Résistance et vitalité</v>
      </c>
      <c r="D4785" s="24" t="str">
        <f t="array" ref="D4785">xlookup($A4785,product!$A:$A,product!D:D)</f>
        <v>Refroidissement, défenses</v>
      </c>
      <c r="E4785" s="25" t="str">
        <f t="shared" si="1"/>
        <v>86619-Résistance et vitalité-Refroidissement, défenses</v>
      </c>
      <c r="F4785" s="25">
        <v>0.0</v>
      </c>
      <c r="G4785" s="25">
        <v>37.0</v>
      </c>
      <c r="H4785" s="25">
        <v>2.0</v>
      </c>
      <c r="I4785" s="26">
        <f t="array" ref="I4785">XLOOKUP($A4785,product!A:A,product!E:E)</f>
        <v>4.66</v>
      </c>
      <c r="J4785" s="25">
        <f t="shared" si="2"/>
        <v>9.32</v>
      </c>
      <c r="K4785" s="27">
        <f t="shared" si="3"/>
        <v>1</v>
      </c>
      <c r="L4785" s="25">
        <f t="shared" si="4"/>
        <v>1</v>
      </c>
    </row>
    <row r="4786">
      <c r="A4786" s="19">
        <v>119801.0</v>
      </c>
      <c r="B4786" s="20" t="str">
        <f t="array" ref="B4786">xlookup($A4786,product!$A:$A,product!B:B)</f>
        <v>Santé &amp; Bien-être</v>
      </c>
      <c r="C4786" s="20" t="str">
        <f t="array" ref="C4786">xlookup($A4786,product!$A:$A,product!C:C)</f>
        <v>Résistance et vitalité</v>
      </c>
      <c r="D4786" s="20" t="str">
        <f t="array" ref="D4786">xlookup($A4786,product!$A:$A,product!D:D)</f>
        <v>Refroidissement, défenses</v>
      </c>
      <c r="E4786" s="4" t="str">
        <f t="shared" si="1"/>
        <v>119801-Résistance et vitalité-Refroidissement, défenses</v>
      </c>
      <c r="F4786" s="4">
        <v>1.0</v>
      </c>
      <c r="G4786" s="4">
        <v>562.0</v>
      </c>
      <c r="H4786" s="4">
        <v>278.0</v>
      </c>
      <c r="I4786" s="21">
        <f t="array" ref="I4786">XLOOKUP($A4786,product!A:A,product!E:E)</f>
        <v>11.56</v>
      </c>
      <c r="J4786" s="4">
        <f t="shared" si="2"/>
        <v>3213.68</v>
      </c>
      <c r="K4786" s="22">
        <f t="shared" si="3"/>
        <v>1</v>
      </c>
      <c r="L4786" s="4">
        <f t="shared" si="4"/>
        <v>1</v>
      </c>
    </row>
    <row r="4787">
      <c r="A4787" s="23">
        <v>126576.0</v>
      </c>
      <c r="B4787" s="24" t="str">
        <f t="array" ref="B4787">xlookup($A4787,product!$A:$A,product!B:B)</f>
        <v>Santé &amp; Bien-être</v>
      </c>
      <c r="C4787" s="24" t="str">
        <f t="array" ref="C4787">xlookup($A4787,product!$A:$A,product!C:C)</f>
        <v>Résistance et vitalité</v>
      </c>
      <c r="D4787" s="24" t="str">
        <f t="array" ref="D4787">xlookup($A4787,product!$A:$A,product!D:D)</f>
        <v>Refroidissement, défenses</v>
      </c>
      <c r="E4787" s="25" t="str">
        <f t="shared" si="1"/>
        <v>126576-Résistance et vitalité-Refroidissement, défenses</v>
      </c>
      <c r="F4787" s="25">
        <v>0.0</v>
      </c>
      <c r="G4787" s="25">
        <v>792.0</v>
      </c>
      <c r="H4787" s="25">
        <v>719.0</v>
      </c>
      <c r="I4787" s="26">
        <f t="array" ref="I4787">XLOOKUP($A4787,product!A:A,product!E:E)</f>
        <v>5.77</v>
      </c>
      <c r="J4787" s="25">
        <f t="shared" si="2"/>
        <v>4148.63</v>
      </c>
      <c r="K4787" s="27">
        <f t="shared" si="3"/>
        <v>1</v>
      </c>
      <c r="L4787" s="25">
        <f t="shared" si="4"/>
        <v>1</v>
      </c>
    </row>
    <row r="4788">
      <c r="A4788" s="19">
        <v>108841.0</v>
      </c>
      <c r="B4788" s="20" t="str">
        <f t="array" ref="B4788">xlookup($A4788,product!$A:$A,product!B:B)</f>
        <v>Santé &amp; Bien-être</v>
      </c>
      <c r="C4788" s="20" t="str">
        <f t="array" ref="C4788">xlookup($A4788,product!$A:$A,product!C:C)</f>
        <v>Résistance et vitalité</v>
      </c>
      <c r="D4788" s="20" t="str">
        <f t="array" ref="D4788">xlookup($A4788,product!$A:$A,product!D:D)</f>
        <v>Refroidissement, défenses</v>
      </c>
      <c r="E4788" s="4" t="str">
        <f t="shared" si="1"/>
        <v>108841-Résistance et vitalité-Refroidissement, défenses</v>
      </c>
      <c r="F4788" s="4">
        <v>1.0</v>
      </c>
      <c r="G4788" s="4">
        <v>99.0</v>
      </c>
      <c r="H4788" s="4">
        <v>59.0</v>
      </c>
      <c r="I4788" s="21">
        <f t="array" ref="I4788">XLOOKUP($A4788,product!A:A,product!E:E)</f>
        <v>4.04</v>
      </c>
      <c r="J4788" s="4">
        <f t="shared" si="2"/>
        <v>238.36</v>
      </c>
      <c r="K4788" s="22">
        <f t="shared" si="3"/>
        <v>1</v>
      </c>
      <c r="L4788" s="4">
        <f t="shared" si="4"/>
        <v>1</v>
      </c>
    </row>
    <row r="4789">
      <c r="A4789" s="23">
        <v>82820.0</v>
      </c>
      <c r="B4789" s="24" t="str">
        <f t="array" ref="B4789">xlookup($A4789,product!$A:$A,product!B:B)</f>
        <v>Santé &amp; Bien-être</v>
      </c>
      <c r="C4789" s="24" t="str">
        <f t="array" ref="C4789">xlookup($A4789,product!$A:$A,product!C:C)</f>
        <v>Résistance et vitalité</v>
      </c>
      <c r="D4789" s="24" t="str">
        <f t="array" ref="D4789">xlookup($A4789,product!$A:$A,product!D:D)</f>
        <v>Refroidissement, défenses</v>
      </c>
      <c r="E4789" s="25" t="str">
        <f t="shared" si="1"/>
        <v>82820-Résistance et vitalité-Refroidissement, défenses</v>
      </c>
      <c r="F4789" s="25">
        <v>1.0</v>
      </c>
      <c r="G4789" s="25">
        <v>399.0</v>
      </c>
      <c r="H4789" s="25">
        <v>210.0</v>
      </c>
      <c r="I4789" s="26">
        <f t="array" ref="I4789">XLOOKUP($A4789,product!A:A,product!E:E)</f>
        <v>4.66</v>
      </c>
      <c r="J4789" s="25">
        <f t="shared" si="2"/>
        <v>978.6</v>
      </c>
      <c r="K4789" s="27">
        <f t="shared" si="3"/>
        <v>1</v>
      </c>
      <c r="L4789" s="25">
        <f t="shared" si="4"/>
        <v>1</v>
      </c>
    </row>
    <row r="4790">
      <c r="A4790" s="19">
        <v>116826.0</v>
      </c>
      <c r="B4790" s="20" t="str">
        <f t="array" ref="B4790">xlookup($A4790,product!$A:$A,product!B:B)</f>
        <v>Santé &amp; Bien-être</v>
      </c>
      <c r="C4790" s="20" t="str">
        <f t="array" ref="C4790">xlookup($A4790,product!$A:$A,product!C:C)</f>
        <v>Résistance et vitalité</v>
      </c>
      <c r="D4790" s="20" t="str">
        <f t="array" ref="D4790">xlookup($A4790,product!$A:$A,product!D:D)</f>
        <v>Refroidissement, défenses</v>
      </c>
      <c r="E4790" s="4" t="str">
        <f t="shared" si="1"/>
        <v>116826-Résistance et vitalité-Refroidissement, défenses</v>
      </c>
      <c r="F4790" s="4">
        <v>1.0</v>
      </c>
      <c r="G4790" s="4">
        <v>861.0</v>
      </c>
      <c r="H4790" s="4">
        <v>274.0</v>
      </c>
      <c r="I4790" s="21">
        <f t="array" ref="I4790">XLOOKUP($A4790,product!A:A,product!E:E)</f>
        <v>5.37</v>
      </c>
      <c r="J4790" s="4">
        <f t="shared" si="2"/>
        <v>1471.38</v>
      </c>
      <c r="K4790" s="22">
        <f t="shared" si="3"/>
        <v>1</v>
      </c>
      <c r="L4790" s="4">
        <f t="shared" si="4"/>
        <v>1</v>
      </c>
    </row>
    <row r="4791">
      <c r="A4791" s="23">
        <v>126965.0</v>
      </c>
      <c r="B4791" s="24" t="str">
        <f t="array" ref="B4791">xlookup($A4791,product!$A:$A,product!B:B)</f>
        <v>Santé &amp; Bien-être</v>
      </c>
      <c r="C4791" s="24" t="str">
        <f t="array" ref="C4791">xlookup($A4791,product!$A:$A,product!C:C)</f>
        <v>Résistance et vitalité</v>
      </c>
      <c r="D4791" s="24" t="str">
        <f t="array" ref="D4791">xlookup($A4791,product!$A:$A,product!D:D)</f>
        <v>Refroidissement, défenses</v>
      </c>
      <c r="E4791" s="25" t="str">
        <f t="shared" si="1"/>
        <v>126965-Résistance et vitalité-Refroidissement, défenses</v>
      </c>
      <c r="F4791" s="25">
        <v>1.0</v>
      </c>
      <c r="G4791" s="25">
        <v>552.0</v>
      </c>
      <c r="H4791" s="25">
        <v>211.0</v>
      </c>
      <c r="I4791" s="26">
        <f t="array" ref="I4791">XLOOKUP($A4791,product!A:A,product!E:E)</f>
        <v>5.99</v>
      </c>
      <c r="J4791" s="25">
        <f t="shared" si="2"/>
        <v>1263.89</v>
      </c>
      <c r="K4791" s="27">
        <f t="shared" si="3"/>
        <v>1</v>
      </c>
      <c r="L4791" s="25">
        <f t="shared" si="4"/>
        <v>1</v>
      </c>
    </row>
    <row r="4792">
      <c r="A4792" s="19">
        <v>103795.0</v>
      </c>
      <c r="B4792" s="20" t="str">
        <f t="array" ref="B4792">xlookup($A4792,product!$A:$A,product!B:B)</f>
        <v>Santé &amp; Bien-être</v>
      </c>
      <c r="C4792" s="20" t="str">
        <f t="array" ref="C4792">xlookup($A4792,product!$A:$A,product!C:C)</f>
        <v>Résistance et vitalité</v>
      </c>
      <c r="D4792" s="20" t="str">
        <f t="array" ref="D4792">xlookup($A4792,product!$A:$A,product!D:D)</f>
        <v>Refroidissement, défenses</v>
      </c>
      <c r="E4792" s="4" t="str">
        <f t="shared" si="1"/>
        <v>103795-Résistance et vitalité-Refroidissement, défenses</v>
      </c>
      <c r="F4792" s="4">
        <v>0.0</v>
      </c>
      <c r="G4792" s="4">
        <v>326.0</v>
      </c>
      <c r="H4792" s="4">
        <v>53.0</v>
      </c>
      <c r="I4792" s="21">
        <f t="array" ref="I4792">XLOOKUP($A4792,product!A:A,product!E:E)</f>
        <v>5.39</v>
      </c>
      <c r="J4792" s="4">
        <f t="shared" si="2"/>
        <v>285.67</v>
      </c>
      <c r="K4792" s="22">
        <f t="shared" si="3"/>
        <v>1</v>
      </c>
      <c r="L4792" s="4">
        <f t="shared" si="4"/>
        <v>1</v>
      </c>
    </row>
    <row r="4793">
      <c r="A4793" s="23">
        <v>116821.0</v>
      </c>
      <c r="B4793" s="24" t="str">
        <f t="array" ref="B4793">xlookup($A4793,product!$A:$A,product!B:B)</f>
        <v>Santé &amp; Bien-être</v>
      </c>
      <c r="C4793" s="24" t="str">
        <f t="array" ref="C4793">xlookup($A4793,product!$A:$A,product!C:C)</f>
        <v>Résistance et vitalité</v>
      </c>
      <c r="D4793" s="24" t="str">
        <f t="array" ref="D4793">xlookup($A4793,product!$A:$A,product!D:D)</f>
        <v>Refroidissement, défenses</v>
      </c>
      <c r="E4793" s="25" t="str">
        <f t="shared" si="1"/>
        <v>116821-Résistance et vitalité-Refroidissement, défenses</v>
      </c>
      <c r="F4793" s="25">
        <v>0.0</v>
      </c>
      <c r="G4793" s="25">
        <v>285.0</v>
      </c>
      <c r="H4793" s="25">
        <v>85.0</v>
      </c>
      <c r="I4793" s="26">
        <f t="array" ref="I4793">XLOOKUP($A4793,product!A:A,product!E:E)</f>
        <v>4.55</v>
      </c>
      <c r="J4793" s="25">
        <f t="shared" si="2"/>
        <v>386.75</v>
      </c>
      <c r="K4793" s="27">
        <f t="shared" si="3"/>
        <v>1</v>
      </c>
      <c r="L4793" s="25">
        <f t="shared" si="4"/>
        <v>1</v>
      </c>
    </row>
    <row r="4794">
      <c r="A4794" s="19">
        <v>126577.0</v>
      </c>
      <c r="B4794" s="20" t="str">
        <f t="array" ref="B4794">xlookup($A4794,product!$A:$A,product!B:B)</f>
        <v>Santé &amp; Bien-être</v>
      </c>
      <c r="C4794" s="20" t="str">
        <f t="array" ref="C4794">xlookup($A4794,product!$A:$A,product!C:C)</f>
        <v>Résistance et vitalité</v>
      </c>
      <c r="D4794" s="20" t="str">
        <f t="array" ref="D4794">xlookup($A4794,product!$A:$A,product!D:D)</f>
        <v>Refroidissement, défenses</v>
      </c>
      <c r="E4794" s="4" t="str">
        <f t="shared" si="1"/>
        <v>126577-Résistance et vitalité-Refroidissement, défenses</v>
      </c>
      <c r="F4794" s="4">
        <v>0.0</v>
      </c>
      <c r="G4794" s="4">
        <v>3.0</v>
      </c>
      <c r="H4794" s="4">
        <v>1.0</v>
      </c>
      <c r="I4794" s="21">
        <f t="array" ref="I4794">XLOOKUP($A4794,product!A:A,product!E:E)</f>
        <v>4.54</v>
      </c>
      <c r="J4794" s="4">
        <f t="shared" si="2"/>
        <v>4.54</v>
      </c>
      <c r="K4794" s="22">
        <f t="shared" si="3"/>
        <v>1</v>
      </c>
      <c r="L4794" s="4">
        <f t="shared" si="4"/>
        <v>1</v>
      </c>
    </row>
    <row r="4795">
      <c r="A4795" s="23">
        <v>82806.0</v>
      </c>
      <c r="B4795" s="24" t="str">
        <f t="array" ref="B4795">xlookup($A4795,product!$A:$A,product!B:B)</f>
        <v>Santé &amp; Bien-être</v>
      </c>
      <c r="C4795" s="24" t="str">
        <f t="array" ref="C4795">xlookup($A4795,product!$A:$A,product!C:C)</f>
        <v>Résistance et vitalité</v>
      </c>
      <c r="D4795" s="24" t="str">
        <f t="array" ref="D4795">xlookup($A4795,product!$A:$A,product!D:D)</f>
        <v>Refroidissement, défenses</v>
      </c>
      <c r="E4795" s="25" t="str">
        <f t="shared" si="1"/>
        <v>82806-Résistance et vitalité-Refroidissement, défenses</v>
      </c>
      <c r="F4795" s="25">
        <v>0.0</v>
      </c>
      <c r="G4795" s="25">
        <v>800.0</v>
      </c>
      <c r="H4795" s="25">
        <v>191.0</v>
      </c>
      <c r="I4795" s="26">
        <f t="array" ref="I4795">XLOOKUP($A4795,product!A:A,product!E:E)</f>
        <v>1.78</v>
      </c>
      <c r="J4795" s="25">
        <f t="shared" si="2"/>
        <v>339.98</v>
      </c>
      <c r="K4795" s="27">
        <f t="shared" si="3"/>
        <v>1</v>
      </c>
      <c r="L4795" s="25">
        <f t="shared" si="4"/>
        <v>1</v>
      </c>
    </row>
    <row r="4796">
      <c r="A4796" s="19">
        <v>68099.0</v>
      </c>
      <c r="B4796" s="20" t="str">
        <f t="array" ref="B4796">xlookup($A4796,product!$A:$A,product!B:B)</f>
        <v>Santé &amp; Bien-être</v>
      </c>
      <c r="C4796" s="20" t="str">
        <f t="array" ref="C4796">xlookup($A4796,product!$A:$A,product!C:C)</f>
        <v>Résistance et vitalité</v>
      </c>
      <c r="D4796" s="20" t="str">
        <f t="array" ref="D4796">xlookup($A4796,product!$A:$A,product!D:D)</f>
        <v>Refroidissement, défenses</v>
      </c>
      <c r="E4796" s="4" t="str">
        <f t="shared" si="1"/>
        <v>68099-Résistance et vitalité-Refroidissement, défenses</v>
      </c>
      <c r="F4796" s="4">
        <v>1.0</v>
      </c>
      <c r="G4796" s="4">
        <v>141.0</v>
      </c>
      <c r="H4796" s="4">
        <v>25.0</v>
      </c>
      <c r="I4796" s="21">
        <f t="array" ref="I4796">XLOOKUP($A4796,product!A:A,product!E:E)</f>
        <v>3.99</v>
      </c>
      <c r="J4796" s="4">
        <f t="shared" si="2"/>
        <v>99.75</v>
      </c>
      <c r="K4796" s="22">
        <f t="shared" si="3"/>
        <v>1</v>
      </c>
      <c r="L4796" s="4">
        <f t="shared" si="4"/>
        <v>1</v>
      </c>
    </row>
    <row r="4797">
      <c r="A4797" s="23">
        <v>82827.0</v>
      </c>
      <c r="B4797" s="24" t="str">
        <f t="array" ref="B4797">xlookup($A4797,product!$A:$A,product!B:B)</f>
        <v>Santé &amp; Bien-être</v>
      </c>
      <c r="C4797" s="24" t="str">
        <f t="array" ref="C4797">xlookup($A4797,product!$A:$A,product!C:C)</f>
        <v>Résistance et vitalité</v>
      </c>
      <c r="D4797" s="24" t="str">
        <f t="array" ref="D4797">xlookup($A4797,product!$A:$A,product!D:D)</f>
        <v>Refroidissement, défenses</v>
      </c>
      <c r="E4797" s="25" t="str">
        <f t="shared" si="1"/>
        <v>82827-Résistance et vitalité-Refroidissement, défenses</v>
      </c>
      <c r="F4797" s="25">
        <v>0.0</v>
      </c>
      <c r="G4797" s="25">
        <v>635.0</v>
      </c>
      <c r="H4797" s="25">
        <v>183.0</v>
      </c>
      <c r="I4797" s="26">
        <f t="array" ref="I4797">XLOOKUP($A4797,product!A:A,product!E:E)</f>
        <v>7.99</v>
      </c>
      <c r="J4797" s="25">
        <f t="shared" si="2"/>
        <v>1462.17</v>
      </c>
      <c r="K4797" s="27">
        <f t="shared" si="3"/>
        <v>1</v>
      </c>
      <c r="L4797" s="25">
        <f t="shared" si="4"/>
        <v>1</v>
      </c>
    </row>
    <row r="4798">
      <c r="A4798" s="19">
        <v>77127.0</v>
      </c>
      <c r="B4798" s="20" t="str">
        <f t="array" ref="B4798">xlookup($A4798,product!$A:$A,product!B:B)</f>
        <v>Santé &amp; Bien-être</v>
      </c>
      <c r="C4798" s="20" t="str">
        <f t="array" ref="C4798">xlookup($A4798,product!$A:$A,product!C:C)</f>
        <v>Résistance et vitalité</v>
      </c>
      <c r="D4798" s="20" t="str">
        <f t="array" ref="D4798">xlookup($A4798,product!$A:$A,product!D:D)</f>
        <v>Refroidissement, défenses</v>
      </c>
      <c r="E4798" s="4" t="str">
        <f t="shared" si="1"/>
        <v>77127-Résistance et vitalité-Refroidissement, défenses</v>
      </c>
      <c r="F4798" s="4">
        <v>1.0</v>
      </c>
      <c r="G4798" s="4">
        <v>774.0</v>
      </c>
      <c r="H4798" s="4">
        <v>512.0</v>
      </c>
      <c r="I4798" s="21">
        <f t="array" ref="I4798">XLOOKUP($A4798,product!A:A,product!E:E)</f>
        <v>6.17</v>
      </c>
      <c r="J4798" s="4">
        <f t="shared" si="2"/>
        <v>3159.04</v>
      </c>
      <c r="K4798" s="22">
        <f t="shared" si="3"/>
        <v>1</v>
      </c>
      <c r="L4798" s="4">
        <f t="shared" si="4"/>
        <v>1</v>
      </c>
    </row>
    <row r="4799">
      <c r="A4799" s="23">
        <v>69002.0</v>
      </c>
      <c r="B4799" s="24" t="str">
        <f t="array" ref="B4799">xlookup($A4799,product!$A:$A,product!B:B)</f>
        <v>Santé &amp; Bien-être</v>
      </c>
      <c r="C4799" s="24" t="str">
        <f t="array" ref="C4799">xlookup($A4799,product!$A:$A,product!C:C)</f>
        <v>Résistance et vitalité</v>
      </c>
      <c r="D4799" s="24" t="str">
        <f t="array" ref="D4799">xlookup($A4799,product!$A:$A,product!D:D)</f>
        <v>Refroidissement, défenses</v>
      </c>
      <c r="E4799" s="25" t="str">
        <f t="shared" si="1"/>
        <v>69002-Résistance et vitalité-Refroidissement, défenses</v>
      </c>
      <c r="F4799" s="25">
        <v>1.0</v>
      </c>
      <c r="G4799" s="25">
        <v>42.0</v>
      </c>
      <c r="H4799" s="25">
        <v>40.0</v>
      </c>
      <c r="I4799" s="26">
        <f t="array" ref="I4799">XLOOKUP($A4799,product!A:A,product!E:E)</f>
        <v>15.1</v>
      </c>
      <c r="J4799" s="25">
        <f t="shared" si="2"/>
        <v>604</v>
      </c>
      <c r="K4799" s="27">
        <f t="shared" si="3"/>
        <v>1</v>
      </c>
      <c r="L4799" s="25">
        <f t="shared" si="4"/>
        <v>1</v>
      </c>
    </row>
    <row r="4800">
      <c r="A4800" s="19">
        <v>119847.0</v>
      </c>
      <c r="B4800" s="20" t="str">
        <f t="array" ref="B4800">xlookup($A4800,product!$A:$A,product!B:B)</f>
        <v>Santé &amp; Bien-être</v>
      </c>
      <c r="C4800" s="20" t="str">
        <f t="array" ref="C4800">xlookup($A4800,product!$A:$A,product!C:C)</f>
        <v>Résistance et vitalité</v>
      </c>
      <c r="D4800" s="20" t="str">
        <f t="array" ref="D4800">xlookup($A4800,product!$A:$A,product!D:D)</f>
        <v>Refroidissement, défenses</v>
      </c>
      <c r="E4800" s="4" t="str">
        <f t="shared" si="1"/>
        <v>119847-Résistance et vitalité-Refroidissement, défenses</v>
      </c>
      <c r="F4800" s="4">
        <v>0.0</v>
      </c>
      <c r="G4800" s="4">
        <v>177.0</v>
      </c>
      <c r="H4800" s="4">
        <v>103.0</v>
      </c>
      <c r="I4800" s="21">
        <f t="array" ref="I4800">XLOOKUP($A4800,product!A:A,product!E:E)</f>
        <v>9.39</v>
      </c>
      <c r="J4800" s="4">
        <f t="shared" si="2"/>
        <v>967.17</v>
      </c>
      <c r="K4800" s="22">
        <f t="shared" si="3"/>
        <v>1</v>
      </c>
      <c r="L4800" s="4">
        <f t="shared" si="4"/>
        <v>1</v>
      </c>
    </row>
    <row r="4801">
      <c r="A4801" s="23">
        <v>11446.0</v>
      </c>
      <c r="B4801" s="24" t="str">
        <f t="array" ref="B4801">xlookup($A4801,product!$A:$A,product!B:B)</f>
        <v>Santé &amp; Bien-être</v>
      </c>
      <c r="C4801" s="24" t="str">
        <f t="array" ref="C4801">xlookup($A4801,product!$A:$A,product!C:C)</f>
        <v>Résistance et vitalité</v>
      </c>
      <c r="D4801" s="24" t="str">
        <f t="array" ref="D4801">xlookup($A4801,product!$A:$A,product!D:D)</f>
        <v>Refroidissement, défenses</v>
      </c>
      <c r="E4801" s="25" t="str">
        <f t="shared" si="1"/>
        <v>11446-Résistance et vitalité-Refroidissement, défenses</v>
      </c>
      <c r="F4801" s="25">
        <v>1.0</v>
      </c>
      <c r="G4801" s="25">
        <v>935.0</v>
      </c>
      <c r="H4801" s="25">
        <v>672.0</v>
      </c>
      <c r="I4801" s="26">
        <f t="array" ref="I4801">XLOOKUP($A4801,product!A:A,product!E:E)</f>
        <v>7.06</v>
      </c>
      <c r="J4801" s="25">
        <f t="shared" si="2"/>
        <v>4744.32</v>
      </c>
      <c r="K4801" s="27">
        <f t="shared" si="3"/>
        <v>1</v>
      </c>
      <c r="L4801" s="25">
        <f t="shared" si="4"/>
        <v>1</v>
      </c>
    </row>
    <row r="4802">
      <c r="A4802" s="19">
        <v>30628.0</v>
      </c>
      <c r="B4802" s="20" t="str">
        <f t="array" ref="B4802">xlookup($A4802,product!$A:$A,product!B:B)</f>
        <v>Santé &amp; Bien-être</v>
      </c>
      <c r="C4802" s="20" t="str">
        <f t="array" ref="C4802">xlookup($A4802,product!$A:$A,product!C:C)</f>
        <v>Résistance et vitalité</v>
      </c>
      <c r="D4802" s="20" t="str">
        <f t="array" ref="D4802">xlookup($A4802,product!$A:$A,product!D:D)</f>
        <v>Refroidissement, défenses</v>
      </c>
      <c r="E4802" s="4" t="str">
        <f t="shared" si="1"/>
        <v>30628-Résistance et vitalité-Refroidissement, défenses</v>
      </c>
      <c r="F4802" s="4">
        <v>0.0</v>
      </c>
      <c r="G4802" s="4">
        <v>494.0</v>
      </c>
      <c r="H4802" s="4">
        <v>289.0</v>
      </c>
      <c r="I4802" s="21">
        <f t="array" ref="I4802">XLOOKUP($A4802,product!A:A,product!E:E)</f>
        <v>6.33</v>
      </c>
      <c r="J4802" s="4">
        <f t="shared" si="2"/>
        <v>1829.37</v>
      </c>
      <c r="K4802" s="22">
        <f t="shared" si="3"/>
        <v>1</v>
      </c>
      <c r="L4802" s="4">
        <f t="shared" si="4"/>
        <v>1</v>
      </c>
    </row>
    <row r="4803">
      <c r="A4803" s="23">
        <v>113003.0</v>
      </c>
      <c r="B4803" s="24" t="str">
        <f t="array" ref="B4803">xlookup($A4803,product!$A:$A,product!B:B)</f>
        <v>Santé &amp; Bien-être</v>
      </c>
      <c r="C4803" s="24" t="str">
        <f t="array" ref="C4803">xlookup($A4803,product!$A:$A,product!C:C)</f>
        <v>Résistance et vitalité</v>
      </c>
      <c r="D4803" s="24" t="str">
        <f t="array" ref="D4803">xlookup($A4803,product!$A:$A,product!D:D)</f>
        <v>Refroidissement, défenses</v>
      </c>
      <c r="E4803" s="25" t="str">
        <f t="shared" si="1"/>
        <v>113003-Résistance et vitalité-Refroidissement, défenses</v>
      </c>
      <c r="F4803" s="25">
        <v>0.0</v>
      </c>
      <c r="G4803" s="25">
        <v>647.0</v>
      </c>
      <c r="H4803" s="25">
        <v>396.0</v>
      </c>
      <c r="I4803" s="26">
        <f t="array" ref="I4803">XLOOKUP($A4803,product!A:A,product!E:E)</f>
        <v>8.81</v>
      </c>
      <c r="J4803" s="25">
        <f t="shared" si="2"/>
        <v>3488.76</v>
      </c>
      <c r="K4803" s="27">
        <f t="shared" si="3"/>
        <v>1</v>
      </c>
      <c r="L4803" s="25">
        <f t="shared" si="4"/>
        <v>1</v>
      </c>
    </row>
    <row r="4804">
      <c r="A4804" s="19">
        <v>30631.0</v>
      </c>
      <c r="B4804" s="20" t="str">
        <f t="array" ref="B4804">xlookup($A4804,product!$A:$A,product!B:B)</f>
        <v>Santé &amp; Bien-être</v>
      </c>
      <c r="C4804" s="20" t="str">
        <f t="array" ref="C4804">xlookup($A4804,product!$A:$A,product!C:C)</f>
        <v>Résistance et vitalité</v>
      </c>
      <c r="D4804" s="20" t="str">
        <f t="array" ref="D4804">xlookup($A4804,product!$A:$A,product!D:D)</f>
        <v>Refroidissement, défenses</v>
      </c>
      <c r="E4804" s="4" t="str">
        <f t="shared" si="1"/>
        <v>30631-Résistance et vitalité-Refroidissement, défenses</v>
      </c>
      <c r="F4804" s="4">
        <v>1.0</v>
      </c>
      <c r="G4804" s="4">
        <v>894.0</v>
      </c>
      <c r="H4804" s="4">
        <v>849.0</v>
      </c>
      <c r="I4804" s="21">
        <f t="array" ref="I4804">XLOOKUP($A4804,product!A:A,product!E:E)</f>
        <v>6.66</v>
      </c>
      <c r="J4804" s="4">
        <f t="shared" si="2"/>
        <v>5654.34</v>
      </c>
      <c r="K4804" s="22">
        <f t="shared" si="3"/>
        <v>1</v>
      </c>
      <c r="L4804" s="4">
        <f t="shared" si="4"/>
        <v>1</v>
      </c>
    </row>
    <row r="4805">
      <c r="A4805" s="23">
        <v>188351.0</v>
      </c>
      <c r="B4805" s="24" t="str">
        <f t="array" ref="B4805">xlookup($A4805,product!$A:$A,product!B:B)</f>
        <v>Santé &amp; Bien-être</v>
      </c>
      <c r="C4805" s="24" t="str">
        <f t="array" ref="C4805">xlookup($A4805,product!$A:$A,product!C:C)</f>
        <v>Résistance et vitalité</v>
      </c>
      <c r="D4805" s="24" t="str">
        <f t="array" ref="D4805">xlookup($A4805,product!$A:$A,product!D:D)</f>
        <v>Refroidissement, défenses</v>
      </c>
      <c r="E4805" s="25" t="str">
        <f t="shared" si="1"/>
        <v>188351-Résistance et vitalité-Refroidissement, défenses</v>
      </c>
      <c r="F4805" s="25">
        <v>0.0</v>
      </c>
      <c r="G4805" s="25">
        <v>506.0</v>
      </c>
      <c r="H4805" s="25">
        <v>138.0</v>
      </c>
      <c r="I4805" s="26">
        <f t="array" ref="I4805">XLOOKUP($A4805,product!A:A,product!E:E)</f>
        <v>3.99</v>
      </c>
      <c r="J4805" s="25">
        <f t="shared" si="2"/>
        <v>550.62</v>
      </c>
      <c r="K4805" s="27">
        <f t="shared" si="3"/>
        <v>1</v>
      </c>
      <c r="L4805" s="25">
        <f t="shared" si="4"/>
        <v>1</v>
      </c>
    </row>
    <row r="4806">
      <c r="A4806" s="19">
        <v>67025.0</v>
      </c>
      <c r="B4806" s="20" t="str">
        <f t="array" ref="B4806">xlookup($A4806,product!$A:$A,product!B:B)</f>
        <v>Santé &amp; Bien-être</v>
      </c>
      <c r="C4806" s="20" t="str">
        <f t="array" ref="C4806">xlookup($A4806,product!$A:$A,product!C:C)</f>
        <v>Résistance et vitalité</v>
      </c>
      <c r="D4806" s="20" t="str">
        <f t="array" ref="D4806">xlookup($A4806,product!$A:$A,product!D:D)</f>
        <v>Citrobiotic, pépins pamplemousse</v>
      </c>
      <c r="E4806" s="4" t="str">
        <f t="shared" si="1"/>
        <v>67025-Résistance et vitalité-Citrobiotic, pépins pamplemousse</v>
      </c>
      <c r="F4806" s="4">
        <v>0.0</v>
      </c>
      <c r="G4806" s="4">
        <v>63.0</v>
      </c>
      <c r="H4806" s="4">
        <v>55.0</v>
      </c>
      <c r="I4806" s="21">
        <f t="array" ref="I4806">XLOOKUP($A4806,product!A:A,product!E:E)</f>
        <v>5.93</v>
      </c>
      <c r="J4806" s="4">
        <f t="shared" si="2"/>
        <v>326.15</v>
      </c>
      <c r="K4806" s="22">
        <f t="shared" si="3"/>
        <v>1</v>
      </c>
      <c r="L4806" s="4">
        <f t="shared" si="4"/>
        <v>1</v>
      </c>
    </row>
    <row r="4807">
      <c r="A4807" s="23">
        <v>119797.0</v>
      </c>
      <c r="B4807" s="24" t="str">
        <f t="array" ref="B4807">xlookup($A4807,product!$A:$A,product!B:B)</f>
        <v>Santé &amp; Bien-être</v>
      </c>
      <c r="C4807" s="24" t="str">
        <f t="array" ref="C4807">xlookup($A4807,product!$A:$A,product!C:C)</f>
        <v>Résistance et vitalité</v>
      </c>
      <c r="D4807" s="24" t="str">
        <f t="array" ref="D4807">xlookup($A4807,product!$A:$A,product!D:D)</f>
        <v>Citrobiotic, pépins pamplemousse</v>
      </c>
      <c r="E4807" s="25" t="str">
        <f t="shared" si="1"/>
        <v>119797-Résistance et vitalité-Citrobiotic, pépins pamplemousse</v>
      </c>
      <c r="F4807" s="25">
        <v>1.0</v>
      </c>
      <c r="G4807" s="25">
        <v>890.0</v>
      </c>
      <c r="H4807" s="25">
        <v>358.0</v>
      </c>
      <c r="I4807" s="26">
        <f t="array" ref="I4807">XLOOKUP($A4807,product!A:A,product!E:E)</f>
        <v>5.57</v>
      </c>
      <c r="J4807" s="25">
        <f t="shared" si="2"/>
        <v>1994.06</v>
      </c>
      <c r="K4807" s="27">
        <f t="shared" si="3"/>
        <v>1</v>
      </c>
      <c r="L4807" s="25">
        <f t="shared" si="4"/>
        <v>1</v>
      </c>
    </row>
    <row r="4808">
      <c r="A4808" s="19">
        <v>3592.0</v>
      </c>
      <c r="B4808" s="20" t="str">
        <f t="array" ref="B4808">xlookup($A4808,product!$A:$A,product!B:B)</f>
        <v>Santé &amp; Bien-être</v>
      </c>
      <c r="C4808" s="20" t="str">
        <f t="array" ref="C4808">xlookup($A4808,product!$A:$A,product!C:C)</f>
        <v>Résistance et vitalité</v>
      </c>
      <c r="D4808" s="20" t="str">
        <f t="array" ref="D4808">xlookup($A4808,product!$A:$A,product!D:D)</f>
        <v>Citrobiotic, pépins pamplemousse</v>
      </c>
      <c r="E4808" s="4" t="str">
        <f t="shared" si="1"/>
        <v>3592-Résistance et vitalité-Citrobiotic, pépins pamplemousse</v>
      </c>
      <c r="F4808" s="4">
        <v>1.0</v>
      </c>
      <c r="G4808" s="4">
        <v>156.0</v>
      </c>
      <c r="H4808" s="4">
        <v>114.0</v>
      </c>
      <c r="I4808" s="21">
        <f t="array" ref="I4808">XLOOKUP($A4808,product!A:A,product!E:E)</f>
        <v>11.01</v>
      </c>
      <c r="J4808" s="4">
        <f t="shared" si="2"/>
        <v>1255.14</v>
      </c>
      <c r="K4808" s="22">
        <f t="shared" si="3"/>
        <v>1</v>
      </c>
      <c r="L4808" s="4">
        <f t="shared" si="4"/>
        <v>1</v>
      </c>
    </row>
    <row r="4809">
      <c r="A4809" s="23">
        <v>3586.0</v>
      </c>
      <c r="B4809" s="24" t="str">
        <f t="array" ref="B4809">xlookup($A4809,product!$A:$A,product!B:B)</f>
        <v>Santé &amp; Bien-être</v>
      </c>
      <c r="C4809" s="24" t="str">
        <f t="array" ref="C4809">xlookup($A4809,product!$A:$A,product!C:C)</f>
        <v>Résistance et vitalité</v>
      </c>
      <c r="D4809" s="24" t="str">
        <f t="array" ref="D4809">xlookup($A4809,product!$A:$A,product!D:D)</f>
        <v>Citrobiotic, pépins pamplemousse</v>
      </c>
      <c r="E4809" s="25" t="str">
        <f t="shared" si="1"/>
        <v>3586-Résistance et vitalité-Citrobiotic, pépins pamplemousse</v>
      </c>
      <c r="F4809" s="25">
        <v>0.0</v>
      </c>
      <c r="G4809" s="25">
        <v>24.0</v>
      </c>
      <c r="H4809" s="25">
        <v>23.0</v>
      </c>
      <c r="I4809" s="26">
        <f t="array" ref="I4809">XLOOKUP($A4809,product!A:A,product!E:E)</f>
        <v>7.44</v>
      </c>
      <c r="J4809" s="25">
        <f t="shared" si="2"/>
        <v>171.12</v>
      </c>
      <c r="K4809" s="27">
        <f t="shared" si="3"/>
        <v>1</v>
      </c>
      <c r="L4809" s="25">
        <f t="shared" si="4"/>
        <v>1</v>
      </c>
    </row>
    <row r="4810">
      <c r="A4810" s="19">
        <v>3591.0</v>
      </c>
      <c r="B4810" s="20" t="str">
        <f t="array" ref="B4810">xlookup($A4810,product!$A:$A,product!B:B)</f>
        <v>Santé &amp; Bien-être</v>
      </c>
      <c r="C4810" s="20" t="str">
        <f t="array" ref="C4810">xlookup($A4810,product!$A:$A,product!C:C)</f>
        <v>Résistance et vitalité</v>
      </c>
      <c r="D4810" s="20" t="str">
        <f t="array" ref="D4810">xlookup($A4810,product!$A:$A,product!D:D)</f>
        <v>Citrobiotic, pépins pamplemousse</v>
      </c>
      <c r="E4810" s="4" t="str">
        <f t="shared" si="1"/>
        <v>3591-Résistance et vitalité-Citrobiotic, pépins pamplemousse</v>
      </c>
      <c r="F4810" s="4">
        <v>0.0</v>
      </c>
      <c r="G4810" s="4">
        <v>766.0</v>
      </c>
      <c r="H4810" s="4">
        <v>104.0</v>
      </c>
      <c r="I4810" s="21">
        <f t="array" ref="I4810">XLOOKUP($A4810,product!A:A,product!E:E)</f>
        <v>23.38</v>
      </c>
      <c r="J4810" s="4">
        <f t="shared" si="2"/>
        <v>2431.52</v>
      </c>
      <c r="K4810" s="22">
        <f t="shared" si="3"/>
        <v>1</v>
      </c>
      <c r="L4810" s="4">
        <f t="shared" si="4"/>
        <v>1</v>
      </c>
    </row>
    <row r="4811">
      <c r="A4811" s="23">
        <v>73847.0</v>
      </c>
      <c r="B4811" s="24" t="str">
        <f t="array" ref="B4811">xlookup($A4811,product!$A:$A,product!B:B)</f>
        <v>Santé &amp; Bien-être</v>
      </c>
      <c r="C4811" s="24" t="str">
        <f t="array" ref="C4811">xlookup($A4811,product!$A:$A,product!C:C)</f>
        <v>Résistance et vitalité</v>
      </c>
      <c r="D4811" s="24" t="str">
        <f t="array" ref="D4811">xlookup($A4811,product!$A:$A,product!D:D)</f>
        <v>Citrobiotic, pépins pamplemousse</v>
      </c>
      <c r="E4811" s="25" t="str">
        <f t="shared" si="1"/>
        <v>73847-Résistance et vitalité-Citrobiotic, pépins pamplemousse</v>
      </c>
      <c r="F4811" s="25">
        <v>1.0</v>
      </c>
      <c r="G4811" s="25">
        <v>517.0</v>
      </c>
      <c r="H4811" s="25">
        <v>286.0</v>
      </c>
      <c r="I4811" s="26">
        <f t="array" ref="I4811">XLOOKUP($A4811,product!A:A,product!E:E)</f>
        <v>6.85</v>
      </c>
      <c r="J4811" s="25">
        <f t="shared" si="2"/>
        <v>1959.1</v>
      </c>
      <c r="K4811" s="27">
        <f t="shared" si="3"/>
        <v>1</v>
      </c>
      <c r="L4811" s="25">
        <f t="shared" si="4"/>
        <v>1</v>
      </c>
    </row>
    <row r="4812">
      <c r="A4812" s="19">
        <v>3590.0</v>
      </c>
      <c r="B4812" s="20" t="str">
        <f t="array" ref="B4812">xlookup($A4812,product!$A:$A,product!B:B)</f>
        <v>Santé &amp; Bien-être</v>
      </c>
      <c r="C4812" s="20" t="str">
        <f t="array" ref="C4812">xlookup($A4812,product!$A:$A,product!C:C)</f>
        <v>Résistance et vitalité</v>
      </c>
      <c r="D4812" s="20" t="str">
        <f t="array" ref="D4812">xlookup($A4812,product!$A:$A,product!D:D)</f>
        <v>Citrobiotic, pépins pamplemousse</v>
      </c>
      <c r="E4812" s="4" t="str">
        <f t="shared" si="1"/>
        <v>3590-Résistance et vitalité-Citrobiotic, pépins pamplemousse</v>
      </c>
      <c r="F4812" s="4">
        <v>0.0</v>
      </c>
      <c r="G4812" s="4">
        <v>170.0</v>
      </c>
      <c r="H4812" s="4">
        <v>157.0</v>
      </c>
      <c r="I4812" s="21">
        <f t="array" ref="I4812">XLOOKUP($A4812,product!A:A,product!E:E)</f>
        <v>11.46</v>
      </c>
      <c r="J4812" s="4">
        <f t="shared" si="2"/>
        <v>1799.22</v>
      </c>
      <c r="K4812" s="22">
        <f t="shared" si="3"/>
        <v>1</v>
      </c>
      <c r="L4812" s="4">
        <f t="shared" si="4"/>
        <v>1</v>
      </c>
    </row>
    <row r="4813">
      <c r="A4813" s="23">
        <v>116903.0</v>
      </c>
      <c r="B4813" s="24" t="str">
        <f t="array" ref="B4813">xlookup($A4813,product!$A:$A,product!B:B)</f>
        <v>Santé &amp; Bien-être</v>
      </c>
      <c r="C4813" s="24" t="str">
        <f t="array" ref="C4813">xlookup($A4813,product!$A:$A,product!C:C)</f>
        <v>Résistance et vitalité</v>
      </c>
      <c r="D4813" s="24" t="str">
        <f t="array" ref="D4813">xlookup($A4813,product!$A:$A,product!D:D)</f>
        <v>Citrobiotic, pépins pamplemousse</v>
      </c>
      <c r="E4813" s="25" t="str">
        <f t="shared" si="1"/>
        <v>116903-Résistance et vitalité-Citrobiotic, pépins pamplemousse</v>
      </c>
      <c r="F4813" s="25">
        <v>0.0</v>
      </c>
      <c r="G4813" s="25">
        <v>419.0</v>
      </c>
      <c r="H4813" s="25">
        <v>320.0</v>
      </c>
      <c r="I4813" s="26">
        <f t="array" ref="I4813">XLOOKUP($A4813,product!A:A,product!E:E)</f>
        <v>7.21</v>
      </c>
      <c r="J4813" s="25">
        <f t="shared" si="2"/>
        <v>2307.2</v>
      </c>
      <c r="K4813" s="27">
        <f t="shared" si="3"/>
        <v>1</v>
      </c>
      <c r="L4813" s="25">
        <f t="shared" si="4"/>
        <v>1</v>
      </c>
    </row>
    <row r="4814">
      <c r="A4814" s="19">
        <v>116780.0</v>
      </c>
      <c r="B4814" s="20" t="str">
        <f t="array" ref="B4814">xlookup($A4814,product!$A:$A,product!B:B)</f>
        <v>Santé &amp; Bien-être</v>
      </c>
      <c r="C4814" s="20" t="str">
        <f t="array" ref="C4814">xlookup($A4814,product!$A:$A,product!C:C)</f>
        <v>Résistance et vitalité</v>
      </c>
      <c r="D4814" s="20" t="str">
        <f t="array" ref="D4814">xlookup($A4814,product!$A:$A,product!D:D)</f>
        <v>Citrobiotic, pépins pamplemousse</v>
      </c>
      <c r="E4814" s="4" t="str">
        <f t="shared" si="1"/>
        <v>116780-Résistance et vitalité-Citrobiotic, pépins pamplemousse</v>
      </c>
      <c r="F4814" s="4">
        <v>0.0</v>
      </c>
      <c r="G4814" s="4">
        <v>450.0</v>
      </c>
      <c r="H4814" s="4">
        <v>344.0</v>
      </c>
      <c r="I4814" s="21">
        <f t="array" ref="I4814">XLOOKUP($A4814,product!A:A,product!E:E)</f>
        <v>12.9</v>
      </c>
      <c r="J4814" s="4">
        <f t="shared" si="2"/>
        <v>4437.6</v>
      </c>
      <c r="K4814" s="22">
        <f t="shared" si="3"/>
        <v>1</v>
      </c>
      <c r="L4814" s="4">
        <f t="shared" si="4"/>
        <v>1</v>
      </c>
    </row>
    <row r="4815">
      <c r="A4815" s="23">
        <v>114912.0</v>
      </c>
      <c r="B4815" s="24" t="str">
        <f t="array" ref="B4815">xlookup($A4815,product!$A:$A,product!B:B)</f>
        <v>Alimentation Bébé</v>
      </c>
      <c r="C4815" s="24" t="str">
        <f t="array" ref="C4815">xlookup($A4815,product!$A:$A,product!C:C)</f>
        <v>Alimentation future maman</v>
      </c>
      <c r="D4815" s="24" t="str">
        <f t="array" ref="D4815">xlookup($A4815,product!$A:$A,product!D:D)</f>
        <v/>
      </c>
      <c r="E4815" s="25" t="str">
        <f t="shared" si="1"/>
        <v>114912-Alimentation future maman-</v>
      </c>
      <c r="F4815" s="25">
        <v>1.0</v>
      </c>
      <c r="G4815" s="25">
        <v>626.0</v>
      </c>
      <c r="H4815" s="25">
        <v>623.0</v>
      </c>
      <c r="I4815" s="26">
        <f t="array" ref="I4815">XLOOKUP($A4815,product!A:A,product!E:E)</f>
        <v>4.79</v>
      </c>
      <c r="J4815" s="25">
        <f t="shared" si="2"/>
        <v>2984.17</v>
      </c>
      <c r="K4815" s="27">
        <f t="shared" si="3"/>
        <v>1</v>
      </c>
      <c r="L4815" s="25">
        <f t="shared" si="4"/>
        <v>1</v>
      </c>
    </row>
    <row r="4816">
      <c r="A4816" s="19">
        <v>111970.0</v>
      </c>
      <c r="B4816" s="20" t="str">
        <f t="array" ref="B4816">xlookup($A4816,product!$A:$A,product!B:B)</f>
        <v>Enfant</v>
      </c>
      <c r="C4816" s="20" t="str">
        <f t="array" ref="C4816">xlookup($A4816,product!$A:$A,product!C:C)</f>
        <v>Chambre &amp; mobilier enfant</v>
      </c>
      <c r="D4816" s="20" t="str">
        <f t="array" ref="D4816">xlookup($A4816,product!$A:$A,product!D:D)</f>
        <v>Parcs &amp; Tapis de Jeux</v>
      </c>
      <c r="E4816" s="4" t="str">
        <f t="shared" si="1"/>
        <v>111970-Chambre &amp; mobilier enfant-Parcs &amp; Tapis de Jeux</v>
      </c>
      <c r="F4816" s="4">
        <v>1.0</v>
      </c>
      <c r="G4816" s="4">
        <v>535.0</v>
      </c>
      <c r="H4816" s="4">
        <v>525.0</v>
      </c>
      <c r="I4816" s="21">
        <f t="array" ref="I4816">XLOOKUP($A4816,product!A:A,product!E:E)</f>
        <v>38.44</v>
      </c>
      <c r="J4816" s="4">
        <f t="shared" si="2"/>
        <v>20181</v>
      </c>
      <c r="K4816" s="22">
        <f t="shared" si="3"/>
        <v>1</v>
      </c>
      <c r="L4816" s="4">
        <f t="shared" si="4"/>
        <v>1</v>
      </c>
    </row>
    <row r="4817">
      <c r="A4817" s="23">
        <v>126973.0</v>
      </c>
      <c r="B4817" s="24" t="str">
        <f t="array" ref="B4817">xlookup($A4817,product!$A:$A,product!B:B)</f>
        <v>Enfant</v>
      </c>
      <c r="C4817" s="24" t="str">
        <f t="array" ref="C4817">xlookup($A4817,product!$A:$A,product!C:C)</f>
        <v>Chambre &amp; mobilier enfant</v>
      </c>
      <c r="D4817" s="24" t="str">
        <f t="array" ref="D4817">xlookup($A4817,product!$A:$A,product!D:D)</f>
        <v>Chaises hautes et réhausseurs</v>
      </c>
      <c r="E4817" s="25" t="str">
        <f t="shared" si="1"/>
        <v>126973-Chambre &amp; mobilier enfant-Chaises hautes et réhausseurs</v>
      </c>
      <c r="F4817" s="25">
        <v>1.0</v>
      </c>
      <c r="G4817" s="25">
        <v>803.0</v>
      </c>
      <c r="H4817" s="25">
        <v>663.0</v>
      </c>
      <c r="I4817" s="26">
        <f t="array" ref="I4817">XLOOKUP($A4817,product!A:A,product!E:E)</f>
        <v>53.14</v>
      </c>
      <c r="J4817" s="25">
        <f t="shared" si="2"/>
        <v>35231.82</v>
      </c>
      <c r="K4817" s="27">
        <f t="shared" si="3"/>
        <v>1</v>
      </c>
      <c r="L4817" s="25">
        <f t="shared" si="4"/>
        <v>1</v>
      </c>
    </row>
    <row r="4818">
      <c r="A4818" s="19">
        <v>116964.0</v>
      </c>
      <c r="B4818" s="20" t="str">
        <f t="array" ref="B4818">xlookup($A4818,product!$A:$A,product!B:B)</f>
        <v>Santé &amp; Bien-être</v>
      </c>
      <c r="C4818" s="20" t="str">
        <f t="array" ref="C4818">xlookup($A4818,product!$A:$A,product!C:C)</f>
        <v>Compléments alimentaires</v>
      </c>
      <c r="D4818" s="20" t="str">
        <f t="array" ref="D4818">xlookup($A4818,product!$A:$A,product!D:D)</f>
        <v>Peaux</v>
      </c>
      <c r="E4818" s="4" t="str">
        <f t="shared" si="1"/>
        <v>116964-Compléments alimentaires-Peaux</v>
      </c>
      <c r="F4818" s="4">
        <v>0.0</v>
      </c>
      <c r="G4818" s="4">
        <v>138.0</v>
      </c>
      <c r="H4818" s="4">
        <v>115.0</v>
      </c>
      <c r="I4818" s="21">
        <f t="array" ref="I4818">XLOOKUP($A4818,product!A:A,product!E:E)</f>
        <v>13.64</v>
      </c>
      <c r="J4818" s="4">
        <f t="shared" si="2"/>
        <v>1568.6</v>
      </c>
      <c r="K4818" s="22">
        <f t="shared" si="3"/>
        <v>1</v>
      </c>
      <c r="L4818" s="4">
        <f t="shared" si="4"/>
        <v>1</v>
      </c>
    </row>
    <row r="4819">
      <c r="A4819" s="23">
        <v>122340.0</v>
      </c>
      <c r="B4819" s="24" t="str">
        <f t="array" ref="B4819">xlookup($A4819,product!$A:$A,product!B:B)</f>
        <v>Santé &amp; Bien-être</v>
      </c>
      <c r="C4819" s="24" t="str">
        <f t="array" ref="C4819">xlookup($A4819,product!$A:$A,product!C:C)</f>
        <v>Compléments alimentaires</v>
      </c>
      <c r="D4819" s="24" t="str">
        <f t="array" ref="D4819">xlookup($A4819,product!$A:$A,product!D:D)</f>
        <v>Peaux</v>
      </c>
      <c r="E4819" s="25" t="str">
        <f t="shared" si="1"/>
        <v>122340-Compléments alimentaires-Peaux</v>
      </c>
      <c r="F4819" s="25">
        <v>0.0</v>
      </c>
      <c r="G4819" s="25">
        <v>318.0</v>
      </c>
      <c r="H4819" s="25">
        <v>154.0</v>
      </c>
      <c r="I4819" s="26">
        <f t="array" ref="I4819">XLOOKUP($A4819,product!A:A,product!E:E)</f>
        <v>2.49</v>
      </c>
      <c r="J4819" s="25">
        <f t="shared" si="2"/>
        <v>383.46</v>
      </c>
      <c r="K4819" s="27">
        <f t="shared" si="3"/>
        <v>1</v>
      </c>
      <c r="L4819" s="25">
        <f t="shared" si="4"/>
        <v>1</v>
      </c>
    </row>
    <row r="4820">
      <c r="A4820" s="19">
        <v>116963.0</v>
      </c>
      <c r="B4820" s="20" t="str">
        <f t="array" ref="B4820">xlookup($A4820,product!$A:$A,product!B:B)</f>
        <v>Santé &amp; Bien-être</v>
      </c>
      <c r="C4820" s="20" t="str">
        <f t="array" ref="C4820">xlookup($A4820,product!$A:$A,product!C:C)</f>
        <v>Compléments alimentaires</v>
      </c>
      <c r="D4820" s="20" t="str">
        <f t="array" ref="D4820">xlookup($A4820,product!$A:$A,product!D:D)</f>
        <v>Peaux</v>
      </c>
      <c r="E4820" s="4" t="str">
        <f t="shared" si="1"/>
        <v>116963-Compléments alimentaires-Peaux</v>
      </c>
      <c r="F4820" s="4">
        <v>0.0</v>
      </c>
      <c r="G4820" s="4">
        <v>372.0</v>
      </c>
      <c r="H4820" s="4">
        <v>151.0</v>
      </c>
      <c r="I4820" s="21">
        <f t="array" ref="I4820">XLOOKUP($A4820,product!A:A,product!E:E)</f>
        <v>13.52</v>
      </c>
      <c r="J4820" s="4">
        <f t="shared" si="2"/>
        <v>2041.52</v>
      </c>
      <c r="K4820" s="22">
        <f t="shared" si="3"/>
        <v>1</v>
      </c>
      <c r="L4820" s="4">
        <f t="shared" si="4"/>
        <v>1</v>
      </c>
    </row>
    <row r="4821">
      <c r="A4821" s="23">
        <v>120241.0</v>
      </c>
      <c r="B4821" s="24" t="str">
        <f t="array" ref="B4821">xlookup($A4821,product!$A:$A,product!B:B)</f>
        <v>Santé &amp; Bien-être</v>
      </c>
      <c r="C4821" s="24" t="str">
        <f t="array" ref="C4821">xlookup($A4821,product!$A:$A,product!C:C)</f>
        <v>Compléments alimentaires</v>
      </c>
      <c r="D4821" s="24" t="str">
        <f t="array" ref="D4821">xlookup($A4821,product!$A:$A,product!D:D)</f>
        <v>Peaux</v>
      </c>
      <c r="E4821" s="25" t="str">
        <f t="shared" si="1"/>
        <v>120241-Compléments alimentaires-Peaux</v>
      </c>
      <c r="F4821" s="25">
        <v>1.0</v>
      </c>
      <c r="G4821" s="25">
        <v>929.0</v>
      </c>
      <c r="H4821" s="25">
        <v>820.0</v>
      </c>
      <c r="I4821" s="26">
        <f t="array" ref="I4821">XLOOKUP($A4821,product!A:A,product!E:E)</f>
        <v>8.41</v>
      </c>
      <c r="J4821" s="25">
        <f t="shared" si="2"/>
        <v>6896.2</v>
      </c>
      <c r="K4821" s="27">
        <f t="shared" si="3"/>
        <v>1</v>
      </c>
      <c r="L4821" s="25">
        <f t="shared" si="4"/>
        <v>1</v>
      </c>
    </row>
    <row r="4822">
      <c r="A4822" s="19">
        <v>120205.0</v>
      </c>
      <c r="B4822" s="20" t="str">
        <f t="array" ref="B4822">xlookup($A4822,product!$A:$A,product!B:B)</f>
        <v>Santé &amp; Bien-être</v>
      </c>
      <c r="C4822" s="20" t="str">
        <f t="array" ref="C4822">xlookup($A4822,product!$A:$A,product!C:C)</f>
        <v>Compléments alimentaires</v>
      </c>
      <c r="D4822" s="20" t="str">
        <f t="array" ref="D4822">xlookup($A4822,product!$A:$A,product!D:D)</f>
        <v>Peaux</v>
      </c>
      <c r="E4822" s="4" t="str">
        <f t="shared" si="1"/>
        <v>120205-Compléments alimentaires-Peaux</v>
      </c>
      <c r="F4822" s="4">
        <v>0.0</v>
      </c>
      <c r="G4822" s="4">
        <v>843.0</v>
      </c>
      <c r="H4822" s="4">
        <v>243.0</v>
      </c>
      <c r="I4822" s="21">
        <f t="array" ref="I4822">XLOOKUP($A4822,product!A:A,product!E:E)</f>
        <v>5.78</v>
      </c>
      <c r="J4822" s="4">
        <f t="shared" si="2"/>
        <v>1404.54</v>
      </c>
      <c r="K4822" s="22">
        <f t="shared" si="3"/>
        <v>1</v>
      </c>
      <c r="L4822" s="4">
        <f t="shared" si="4"/>
        <v>1</v>
      </c>
    </row>
    <row r="4823">
      <c r="A4823" s="23">
        <v>104162.0</v>
      </c>
      <c r="B4823" s="24" t="str">
        <f t="array" ref="B4823">xlookup($A4823,product!$A:$A,product!B:B)</f>
        <v>Santé &amp; Bien-être</v>
      </c>
      <c r="C4823" s="24" t="str">
        <f t="array" ref="C4823">xlookup($A4823,product!$A:$A,product!C:C)</f>
        <v>Compléments alimentaires</v>
      </c>
      <c r="D4823" s="24" t="str">
        <f t="array" ref="D4823">xlookup($A4823,product!$A:$A,product!D:D)</f>
        <v>Peaux</v>
      </c>
      <c r="E4823" s="25" t="str">
        <f t="shared" si="1"/>
        <v>104162-Compléments alimentaires-Peaux</v>
      </c>
      <c r="F4823" s="25">
        <v>1.0</v>
      </c>
      <c r="G4823" s="25">
        <v>505.0</v>
      </c>
      <c r="H4823" s="25">
        <v>348.0</v>
      </c>
      <c r="I4823" s="26">
        <f t="array" ref="I4823">XLOOKUP($A4823,product!A:A,product!E:E)</f>
        <v>5.21</v>
      </c>
      <c r="J4823" s="25">
        <f t="shared" si="2"/>
        <v>1813.08</v>
      </c>
      <c r="K4823" s="27">
        <f t="shared" si="3"/>
        <v>1</v>
      </c>
      <c r="L4823" s="25">
        <f t="shared" si="4"/>
        <v>1</v>
      </c>
    </row>
    <row r="4824">
      <c r="A4824" s="19">
        <v>110792.0</v>
      </c>
      <c r="B4824" s="20" t="str">
        <f t="array" ref="B4824">xlookup($A4824,product!$A:$A,product!B:B)</f>
        <v>Santé &amp; Bien-être</v>
      </c>
      <c r="C4824" s="20" t="str">
        <f t="array" ref="C4824">xlookup($A4824,product!$A:$A,product!C:C)</f>
        <v>Compléments alimentaires</v>
      </c>
      <c r="D4824" s="20" t="str">
        <f t="array" ref="D4824">xlookup($A4824,product!$A:$A,product!D:D)</f>
        <v>Peaux</v>
      </c>
      <c r="E4824" s="4" t="str">
        <f t="shared" si="1"/>
        <v>110792-Compléments alimentaires-Peaux</v>
      </c>
      <c r="F4824" s="4">
        <v>0.0</v>
      </c>
      <c r="G4824" s="4">
        <v>439.0</v>
      </c>
      <c r="H4824" s="4">
        <v>343.0</v>
      </c>
      <c r="I4824" s="21">
        <f t="array" ref="I4824">XLOOKUP($A4824,product!A:A,product!E:E)</f>
        <v>10.55</v>
      </c>
      <c r="J4824" s="4">
        <f t="shared" si="2"/>
        <v>3618.65</v>
      </c>
      <c r="K4824" s="22">
        <f t="shared" si="3"/>
        <v>1</v>
      </c>
      <c r="L4824" s="4">
        <f t="shared" si="4"/>
        <v>1</v>
      </c>
    </row>
    <row r="4825">
      <c r="A4825" s="23">
        <v>104169.0</v>
      </c>
      <c r="B4825" s="24" t="str">
        <f t="array" ref="B4825">xlookup($A4825,product!$A:$A,product!B:B)</f>
        <v>Santé &amp; Bien-être</v>
      </c>
      <c r="C4825" s="24" t="str">
        <f t="array" ref="C4825">xlookup($A4825,product!$A:$A,product!C:C)</f>
        <v>Compléments alimentaires</v>
      </c>
      <c r="D4825" s="24" t="str">
        <f t="array" ref="D4825">xlookup($A4825,product!$A:$A,product!D:D)</f>
        <v>Curcuma</v>
      </c>
      <c r="E4825" s="25" t="str">
        <f t="shared" si="1"/>
        <v>104169-Compléments alimentaires-Curcuma</v>
      </c>
      <c r="F4825" s="25">
        <v>0.0</v>
      </c>
      <c r="G4825" s="25">
        <v>313.0</v>
      </c>
      <c r="H4825" s="25">
        <v>235.0</v>
      </c>
      <c r="I4825" s="26">
        <f t="array" ref="I4825">XLOOKUP($A4825,product!A:A,product!E:E)</f>
        <v>6.23</v>
      </c>
      <c r="J4825" s="25">
        <f t="shared" si="2"/>
        <v>1464.05</v>
      </c>
      <c r="K4825" s="27">
        <f t="shared" si="3"/>
        <v>1</v>
      </c>
      <c r="L4825" s="25">
        <f t="shared" si="4"/>
        <v>1</v>
      </c>
    </row>
    <row r="4826">
      <c r="A4826" s="19">
        <v>111957.0</v>
      </c>
      <c r="B4826" s="20" t="str">
        <f t="array" ref="B4826">xlookup($A4826,product!$A:$A,product!B:B)</f>
        <v>Santé &amp; Bien-être</v>
      </c>
      <c r="C4826" s="20" t="str">
        <f t="array" ref="C4826">xlookup($A4826,product!$A:$A,product!C:C)</f>
        <v>Compléments alimentaires</v>
      </c>
      <c r="D4826" s="20" t="str">
        <f t="array" ref="D4826">xlookup($A4826,product!$A:$A,product!D:D)</f>
        <v>Oméga 3</v>
      </c>
      <c r="E4826" s="4" t="str">
        <f t="shared" si="1"/>
        <v>111957-Compléments alimentaires-Oméga 3</v>
      </c>
      <c r="F4826" s="4">
        <v>0.0</v>
      </c>
      <c r="G4826" s="4">
        <v>498.0</v>
      </c>
      <c r="H4826" s="4">
        <v>214.0</v>
      </c>
      <c r="I4826" s="21">
        <f t="array" ref="I4826">XLOOKUP($A4826,product!A:A,product!E:E)</f>
        <v>11.41</v>
      </c>
      <c r="J4826" s="4">
        <f t="shared" si="2"/>
        <v>2441.74</v>
      </c>
      <c r="K4826" s="22">
        <f t="shared" si="3"/>
        <v>1</v>
      </c>
      <c r="L4826" s="4">
        <f t="shared" si="4"/>
        <v>1</v>
      </c>
    </row>
    <row r="4827">
      <c r="A4827" s="23">
        <v>89201.0</v>
      </c>
      <c r="B4827" s="24" t="str">
        <f t="array" ref="B4827">xlookup($A4827,product!$A:$A,product!B:B)</f>
        <v>Santé &amp; Bien-être</v>
      </c>
      <c r="C4827" s="24" t="str">
        <f t="array" ref="C4827">xlookup($A4827,product!$A:$A,product!C:C)</f>
        <v>Compléments alimentaires</v>
      </c>
      <c r="D4827" s="24" t="str">
        <f t="array" ref="D4827">xlookup($A4827,product!$A:$A,product!D:D)</f>
        <v>Oméga 3</v>
      </c>
      <c r="E4827" s="25" t="str">
        <f t="shared" si="1"/>
        <v>89201-Compléments alimentaires-Oméga 3</v>
      </c>
      <c r="F4827" s="25">
        <v>0.0</v>
      </c>
      <c r="G4827" s="25">
        <v>634.0</v>
      </c>
      <c r="H4827" s="25">
        <v>386.0</v>
      </c>
      <c r="I4827" s="26">
        <f t="array" ref="I4827">XLOOKUP($A4827,product!A:A,product!E:E)</f>
        <v>12.2</v>
      </c>
      <c r="J4827" s="25">
        <f t="shared" si="2"/>
        <v>4709.2</v>
      </c>
      <c r="K4827" s="27">
        <f t="shared" si="3"/>
        <v>1</v>
      </c>
      <c r="L4827" s="25">
        <f t="shared" si="4"/>
        <v>1</v>
      </c>
    </row>
    <row r="4828">
      <c r="A4828" s="19">
        <v>87305.0</v>
      </c>
      <c r="B4828" s="20" t="str">
        <f t="array" ref="B4828">xlookup($A4828,product!$A:$A,product!B:B)</f>
        <v>Santé &amp; Bien-être</v>
      </c>
      <c r="C4828" s="20" t="str">
        <f t="array" ref="C4828">xlookup($A4828,product!$A:$A,product!C:C)</f>
        <v>Compléments alimentaires</v>
      </c>
      <c r="D4828" s="20" t="str">
        <f t="array" ref="D4828">xlookup($A4828,product!$A:$A,product!D:D)</f>
        <v>Oméga 3</v>
      </c>
      <c r="E4828" s="4" t="str">
        <f t="shared" si="1"/>
        <v>87305-Compléments alimentaires-Oméga 3</v>
      </c>
      <c r="F4828" s="4">
        <v>1.0</v>
      </c>
      <c r="G4828" s="4">
        <v>503.0</v>
      </c>
      <c r="H4828" s="4">
        <v>421.0</v>
      </c>
      <c r="I4828" s="21">
        <f t="array" ref="I4828">XLOOKUP($A4828,product!A:A,product!E:E)</f>
        <v>2.97</v>
      </c>
      <c r="J4828" s="4">
        <f t="shared" si="2"/>
        <v>1250.37</v>
      </c>
      <c r="K4828" s="22">
        <f t="shared" si="3"/>
        <v>1</v>
      </c>
      <c r="L4828" s="4">
        <f t="shared" si="4"/>
        <v>1</v>
      </c>
    </row>
    <row r="4829">
      <c r="A4829" s="23">
        <v>3480.0</v>
      </c>
      <c r="B4829" s="24" t="str">
        <f t="array" ref="B4829">xlookup($A4829,product!$A:$A,product!B:B)</f>
        <v>Santé &amp; Bien-être</v>
      </c>
      <c r="C4829" s="24" t="str">
        <f t="array" ref="C4829">xlookup($A4829,product!$A:$A,product!C:C)</f>
        <v>Compléments alimentaires</v>
      </c>
      <c r="D4829" s="24" t="str">
        <f t="array" ref="D4829">xlookup($A4829,product!$A:$A,product!D:D)</f>
        <v>Oméga 3</v>
      </c>
      <c r="E4829" s="25" t="str">
        <f t="shared" si="1"/>
        <v>3480-Compléments alimentaires-Oméga 3</v>
      </c>
      <c r="F4829" s="25">
        <v>1.0</v>
      </c>
      <c r="G4829" s="25">
        <v>658.0</v>
      </c>
      <c r="H4829" s="25">
        <v>14.0</v>
      </c>
      <c r="I4829" s="26">
        <f t="array" ref="I4829">XLOOKUP($A4829,product!A:A,product!E:E)</f>
        <v>13.02</v>
      </c>
      <c r="J4829" s="25">
        <f t="shared" si="2"/>
        <v>182.28</v>
      </c>
      <c r="K4829" s="27">
        <f t="shared" si="3"/>
        <v>1</v>
      </c>
      <c r="L4829" s="25">
        <f t="shared" si="4"/>
        <v>1</v>
      </c>
    </row>
    <row r="4830">
      <c r="A4830" s="19">
        <v>116817.0</v>
      </c>
      <c r="B4830" s="20" t="str">
        <f t="array" ref="B4830">xlookup($A4830,product!$A:$A,product!B:B)</f>
        <v>Santé &amp; Bien-être</v>
      </c>
      <c r="C4830" s="20" t="str">
        <f t="array" ref="C4830">xlookup($A4830,product!$A:$A,product!C:C)</f>
        <v>Compléments alimentaires</v>
      </c>
      <c r="D4830" s="20" t="str">
        <f t="array" ref="D4830">xlookup($A4830,product!$A:$A,product!D:D)</f>
        <v>Oméga 3</v>
      </c>
      <c r="E4830" s="4" t="str">
        <f t="shared" si="1"/>
        <v>116817-Compléments alimentaires-Oméga 3</v>
      </c>
      <c r="F4830" s="4">
        <v>0.0</v>
      </c>
      <c r="G4830" s="4">
        <v>351.0</v>
      </c>
      <c r="H4830" s="4">
        <v>191.0</v>
      </c>
      <c r="I4830" s="21">
        <f t="array" ref="I4830">XLOOKUP($A4830,product!A:A,product!E:E)</f>
        <v>10.82</v>
      </c>
      <c r="J4830" s="4">
        <f t="shared" si="2"/>
        <v>2066.62</v>
      </c>
      <c r="K4830" s="22">
        <f t="shared" si="3"/>
        <v>1</v>
      </c>
      <c r="L4830" s="4">
        <f t="shared" si="4"/>
        <v>1</v>
      </c>
    </row>
    <row r="4831">
      <c r="A4831" s="23">
        <v>47209.0</v>
      </c>
      <c r="B4831" s="24" t="str">
        <f t="array" ref="B4831">xlookup($A4831,product!$A:$A,product!B:B)</f>
        <v>Santé &amp; Bien-être</v>
      </c>
      <c r="C4831" s="24" t="str">
        <f t="array" ref="C4831">xlookup($A4831,product!$A:$A,product!C:C)</f>
        <v>Compléments alimentaires</v>
      </c>
      <c r="D4831" s="24" t="str">
        <f t="array" ref="D4831">xlookup($A4831,product!$A:$A,product!D:D)</f>
        <v>Oméga 3</v>
      </c>
      <c r="E4831" s="25" t="str">
        <f t="shared" si="1"/>
        <v>47209-Compléments alimentaires-Oméga 3</v>
      </c>
      <c r="F4831" s="25">
        <v>0.0</v>
      </c>
      <c r="G4831" s="25">
        <v>468.0</v>
      </c>
      <c r="H4831" s="25">
        <v>385.0</v>
      </c>
      <c r="I4831" s="26">
        <f t="array" ref="I4831">XLOOKUP($A4831,product!A:A,product!E:E)</f>
        <v>9.9</v>
      </c>
      <c r="J4831" s="25">
        <f t="shared" si="2"/>
        <v>3811.5</v>
      </c>
      <c r="K4831" s="27">
        <f t="shared" si="3"/>
        <v>1</v>
      </c>
      <c r="L4831" s="25">
        <f t="shared" si="4"/>
        <v>1</v>
      </c>
    </row>
    <row r="4832">
      <c r="A4832" s="19">
        <v>68213.0</v>
      </c>
      <c r="B4832" s="20" t="str">
        <f t="array" ref="B4832">xlookup($A4832,product!$A:$A,product!B:B)</f>
        <v>Santé &amp; Bien-être</v>
      </c>
      <c r="C4832" s="20" t="str">
        <f t="array" ref="C4832">xlookup($A4832,product!$A:$A,product!C:C)</f>
        <v>Compléments alimentaires</v>
      </c>
      <c r="D4832" s="20" t="str">
        <f t="array" ref="D4832">xlookup($A4832,product!$A:$A,product!D:D)</f>
        <v>Féminité</v>
      </c>
      <c r="E4832" s="4" t="str">
        <f t="shared" si="1"/>
        <v>68213-Compléments alimentaires-Féminité</v>
      </c>
      <c r="F4832" s="4">
        <v>1.0</v>
      </c>
      <c r="G4832" s="4">
        <v>568.0</v>
      </c>
      <c r="H4832" s="4">
        <v>94.0</v>
      </c>
      <c r="I4832" s="21">
        <f t="array" ref="I4832">XLOOKUP($A4832,product!A:A,product!E:E)</f>
        <v>6.15</v>
      </c>
      <c r="J4832" s="4">
        <f t="shared" si="2"/>
        <v>578.1</v>
      </c>
      <c r="K4832" s="22">
        <f t="shared" si="3"/>
        <v>1</v>
      </c>
      <c r="L4832" s="4">
        <f t="shared" si="4"/>
        <v>1</v>
      </c>
    </row>
    <row r="4833">
      <c r="A4833" s="23">
        <v>100999.0</v>
      </c>
      <c r="B4833" s="24" t="str">
        <f t="array" ref="B4833">xlookup($A4833,product!$A:$A,product!B:B)</f>
        <v>Santé &amp; Bien-être</v>
      </c>
      <c r="C4833" s="24" t="str">
        <f t="array" ref="C4833">xlookup($A4833,product!$A:$A,product!C:C)</f>
        <v>Compléments alimentaires</v>
      </c>
      <c r="D4833" s="24" t="str">
        <f t="array" ref="D4833">xlookup($A4833,product!$A:$A,product!D:D)</f>
        <v>Féminité</v>
      </c>
      <c r="E4833" s="25" t="str">
        <f t="shared" si="1"/>
        <v>100999-Compléments alimentaires-Féminité</v>
      </c>
      <c r="F4833" s="25">
        <v>0.0</v>
      </c>
      <c r="G4833" s="25">
        <v>717.0</v>
      </c>
      <c r="H4833" s="25">
        <v>242.0</v>
      </c>
      <c r="I4833" s="26">
        <f t="array" ref="I4833">XLOOKUP($A4833,product!A:A,product!E:E)</f>
        <v>14.28</v>
      </c>
      <c r="J4833" s="25">
        <f t="shared" si="2"/>
        <v>3455.76</v>
      </c>
      <c r="K4833" s="27">
        <f t="shared" si="3"/>
        <v>1</v>
      </c>
      <c r="L4833" s="25">
        <f t="shared" si="4"/>
        <v>1</v>
      </c>
    </row>
    <row r="4834">
      <c r="A4834" s="19">
        <v>119241.0</v>
      </c>
      <c r="B4834" s="20" t="str">
        <f t="array" ref="B4834">xlookup($A4834,product!$A:$A,product!B:B)</f>
        <v>Santé &amp; Bien-être</v>
      </c>
      <c r="C4834" s="20" t="str">
        <f t="array" ref="C4834">xlookup($A4834,product!$A:$A,product!C:C)</f>
        <v>Compléments alimentaires</v>
      </c>
      <c r="D4834" s="20" t="str">
        <f t="array" ref="D4834">xlookup($A4834,product!$A:$A,product!D:D)</f>
        <v>Féminité</v>
      </c>
      <c r="E4834" s="4" t="str">
        <f t="shared" si="1"/>
        <v>119241-Compléments alimentaires-Féminité</v>
      </c>
      <c r="F4834" s="4">
        <v>1.0</v>
      </c>
      <c r="G4834" s="4">
        <v>779.0</v>
      </c>
      <c r="H4834" s="4">
        <v>177.0</v>
      </c>
      <c r="I4834" s="21">
        <f t="array" ref="I4834">XLOOKUP($A4834,product!A:A,product!E:E)</f>
        <v>1.85</v>
      </c>
      <c r="J4834" s="4">
        <f t="shared" si="2"/>
        <v>327.45</v>
      </c>
      <c r="K4834" s="22">
        <f t="shared" si="3"/>
        <v>1</v>
      </c>
      <c r="L4834" s="4">
        <f t="shared" si="4"/>
        <v>1</v>
      </c>
    </row>
    <row r="4835">
      <c r="A4835" s="23">
        <v>133917.0</v>
      </c>
      <c r="B4835" s="24" t="str">
        <f t="array" ref="B4835">xlookup($A4835,product!$A:$A,product!B:B)</f>
        <v>Santé &amp; Bien-être</v>
      </c>
      <c r="C4835" s="24" t="str">
        <f t="array" ref="C4835">xlookup($A4835,product!$A:$A,product!C:C)</f>
        <v>Compléments alimentaires</v>
      </c>
      <c r="D4835" s="24" t="str">
        <f t="array" ref="D4835">xlookup($A4835,product!$A:$A,product!D:D)</f>
        <v>Féminité</v>
      </c>
      <c r="E4835" s="25" t="str">
        <f t="shared" si="1"/>
        <v>133917-Compléments alimentaires-Féminité</v>
      </c>
      <c r="F4835" s="25">
        <v>1.0</v>
      </c>
      <c r="G4835" s="25">
        <v>152.0</v>
      </c>
      <c r="H4835" s="25">
        <v>18.0</v>
      </c>
      <c r="I4835" s="26">
        <f t="array" ref="I4835">XLOOKUP($A4835,product!A:A,product!E:E)</f>
        <v>5.76</v>
      </c>
      <c r="J4835" s="25">
        <f t="shared" si="2"/>
        <v>103.68</v>
      </c>
      <c r="K4835" s="27">
        <f t="shared" si="3"/>
        <v>1</v>
      </c>
      <c r="L4835" s="25">
        <f t="shared" si="4"/>
        <v>1</v>
      </c>
    </row>
    <row r="4836">
      <c r="A4836" s="19">
        <v>128334.0</v>
      </c>
      <c r="B4836" s="20" t="str">
        <f t="array" ref="B4836">xlookup($A4836,product!$A:$A,product!B:B)</f>
        <v>Santé &amp; Bien-être</v>
      </c>
      <c r="C4836" s="20" t="str">
        <f t="array" ref="C4836">xlookup($A4836,product!$A:$A,product!C:C)</f>
        <v>Compléments alimentaires</v>
      </c>
      <c r="D4836" s="20" t="str">
        <f t="array" ref="D4836">xlookup($A4836,product!$A:$A,product!D:D)</f>
        <v>Féminité</v>
      </c>
      <c r="E4836" s="4" t="str">
        <f t="shared" si="1"/>
        <v>128334-Compléments alimentaires-Féminité</v>
      </c>
      <c r="F4836" s="4">
        <v>1.0</v>
      </c>
      <c r="G4836" s="4">
        <v>614.0</v>
      </c>
      <c r="H4836" s="4">
        <v>441.0</v>
      </c>
      <c r="I4836" s="21">
        <f t="array" ref="I4836">XLOOKUP($A4836,product!A:A,product!E:E)</f>
        <v>23.55</v>
      </c>
      <c r="J4836" s="4">
        <f t="shared" si="2"/>
        <v>10385.55</v>
      </c>
      <c r="K4836" s="22">
        <f t="shared" si="3"/>
        <v>1</v>
      </c>
      <c r="L4836" s="4">
        <f t="shared" si="4"/>
        <v>1</v>
      </c>
    </row>
    <row r="4837">
      <c r="A4837" s="23">
        <v>113235.0</v>
      </c>
      <c r="B4837" s="24" t="str">
        <f t="array" ref="B4837">xlookup($A4837,product!$A:$A,product!B:B)</f>
        <v>Santé &amp; Bien-être</v>
      </c>
      <c r="C4837" s="24" t="str">
        <f t="array" ref="C4837">xlookup($A4837,product!$A:$A,product!C:C)</f>
        <v>Compléments alimentaires</v>
      </c>
      <c r="D4837" s="24" t="str">
        <f t="array" ref="D4837">xlookup($A4837,product!$A:$A,product!D:D)</f>
        <v>Féminité</v>
      </c>
      <c r="E4837" s="25" t="str">
        <f t="shared" si="1"/>
        <v>113235-Compléments alimentaires-Féminité</v>
      </c>
      <c r="F4837" s="25">
        <v>1.0</v>
      </c>
      <c r="G4837" s="25">
        <v>769.0</v>
      </c>
      <c r="H4837" s="25">
        <v>449.0</v>
      </c>
      <c r="I4837" s="26">
        <f t="array" ref="I4837">XLOOKUP($A4837,product!A:A,product!E:E)</f>
        <v>6.62</v>
      </c>
      <c r="J4837" s="25">
        <f t="shared" si="2"/>
        <v>2972.38</v>
      </c>
      <c r="K4837" s="27">
        <f t="shared" si="3"/>
        <v>1</v>
      </c>
      <c r="L4837" s="25">
        <f t="shared" si="4"/>
        <v>1</v>
      </c>
    </row>
    <row r="4838">
      <c r="A4838" s="19">
        <v>113249.0</v>
      </c>
      <c r="B4838" s="20" t="str">
        <f t="array" ref="B4838">xlookup($A4838,product!$A:$A,product!B:B)</f>
        <v>Santé &amp; Bien-être</v>
      </c>
      <c r="C4838" s="20" t="str">
        <f t="array" ref="C4838">xlookup($A4838,product!$A:$A,product!C:C)</f>
        <v>Compléments alimentaires</v>
      </c>
      <c r="D4838" s="20" t="str">
        <f t="array" ref="D4838">xlookup($A4838,product!$A:$A,product!D:D)</f>
        <v>Vision, yeux</v>
      </c>
      <c r="E4838" s="4" t="str">
        <f t="shared" si="1"/>
        <v>113249-Compléments alimentaires-Vision, yeux</v>
      </c>
      <c r="F4838" s="4">
        <v>0.0</v>
      </c>
      <c r="G4838" s="4">
        <v>549.0</v>
      </c>
      <c r="H4838" s="4">
        <v>281.0</v>
      </c>
      <c r="I4838" s="21">
        <f t="array" ref="I4838">XLOOKUP($A4838,product!A:A,product!E:E)</f>
        <v>7.27</v>
      </c>
      <c r="J4838" s="4">
        <f t="shared" si="2"/>
        <v>2042.87</v>
      </c>
      <c r="K4838" s="22">
        <f t="shared" si="3"/>
        <v>1</v>
      </c>
      <c r="L4838" s="4">
        <f t="shared" si="4"/>
        <v>1</v>
      </c>
    </row>
    <row r="4839">
      <c r="A4839" s="23">
        <v>89210.0</v>
      </c>
      <c r="B4839" s="24" t="str">
        <f t="array" ref="B4839">xlookup($A4839,product!$A:$A,product!B:B)</f>
        <v>Santé &amp; Bien-être</v>
      </c>
      <c r="C4839" s="24" t="str">
        <f t="array" ref="C4839">xlookup($A4839,product!$A:$A,product!C:C)</f>
        <v>Compléments alimentaires</v>
      </c>
      <c r="D4839" s="24" t="str">
        <f t="array" ref="D4839">xlookup($A4839,product!$A:$A,product!D:D)</f>
        <v>Vision, yeux</v>
      </c>
      <c r="E4839" s="25" t="str">
        <f t="shared" si="1"/>
        <v>89210-Compléments alimentaires-Vision, yeux</v>
      </c>
      <c r="F4839" s="25">
        <v>1.0</v>
      </c>
      <c r="G4839" s="25">
        <v>300.0</v>
      </c>
      <c r="H4839" s="25">
        <v>166.0</v>
      </c>
      <c r="I4839" s="26">
        <f t="array" ref="I4839">XLOOKUP($A4839,product!A:A,product!E:E)</f>
        <v>12.44</v>
      </c>
      <c r="J4839" s="25">
        <f t="shared" si="2"/>
        <v>2065.04</v>
      </c>
      <c r="K4839" s="27">
        <f t="shared" si="3"/>
        <v>1</v>
      </c>
      <c r="L4839" s="25">
        <f t="shared" si="4"/>
        <v>1</v>
      </c>
    </row>
    <row r="4840">
      <c r="A4840" s="19">
        <v>104170.0</v>
      </c>
      <c r="B4840" s="20" t="str">
        <f t="array" ref="B4840">xlookup($A4840,product!$A:$A,product!B:B)</f>
        <v>Santé &amp; Bien-être</v>
      </c>
      <c r="C4840" s="20" t="str">
        <f t="array" ref="C4840">xlookup($A4840,product!$A:$A,product!C:C)</f>
        <v>Compléments alimentaires</v>
      </c>
      <c r="D4840" s="20" t="str">
        <f t="array" ref="D4840">xlookup($A4840,product!$A:$A,product!D:D)</f>
        <v>Articulations</v>
      </c>
      <c r="E4840" s="4" t="str">
        <f t="shared" si="1"/>
        <v>104170-Compléments alimentaires-Articulations</v>
      </c>
      <c r="F4840" s="4">
        <v>1.0</v>
      </c>
      <c r="G4840" s="4">
        <v>272.0</v>
      </c>
      <c r="H4840" s="4">
        <v>42.0</v>
      </c>
      <c r="I4840" s="21">
        <f t="array" ref="I4840">XLOOKUP($A4840,product!A:A,product!E:E)</f>
        <v>6.23</v>
      </c>
      <c r="J4840" s="4">
        <f t="shared" si="2"/>
        <v>261.66</v>
      </c>
      <c r="K4840" s="22">
        <f t="shared" si="3"/>
        <v>1</v>
      </c>
      <c r="L4840" s="4">
        <f t="shared" si="4"/>
        <v>1</v>
      </c>
    </row>
    <row r="4841">
      <c r="A4841" s="23">
        <v>18671.0</v>
      </c>
      <c r="B4841" s="24" t="str">
        <f t="array" ref="B4841">xlookup($A4841,product!$A:$A,product!B:B)</f>
        <v>Santé &amp; Bien-être</v>
      </c>
      <c r="C4841" s="24" t="str">
        <f t="array" ref="C4841">xlookup($A4841,product!$A:$A,product!C:C)</f>
        <v>Compléments alimentaires</v>
      </c>
      <c r="D4841" s="24" t="str">
        <f t="array" ref="D4841">xlookup($A4841,product!$A:$A,product!D:D)</f>
        <v>Articulations</v>
      </c>
      <c r="E4841" s="25" t="str">
        <f t="shared" si="1"/>
        <v>18671-Compléments alimentaires-Articulations</v>
      </c>
      <c r="F4841" s="25">
        <v>1.0</v>
      </c>
      <c r="G4841" s="25">
        <v>540.0</v>
      </c>
      <c r="H4841" s="25">
        <v>89.0</v>
      </c>
      <c r="I4841" s="26">
        <f t="array" ref="I4841">XLOOKUP($A4841,product!A:A,product!E:E)</f>
        <v>16.67</v>
      </c>
      <c r="J4841" s="25">
        <f t="shared" si="2"/>
        <v>1483.63</v>
      </c>
      <c r="K4841" s="27">
        <f t="shared" si="3"/>
        <v>1</v>
      </c>
      <c r="L4841" s="25">
        <f t="shared" si="4"/>
        <v>1</v>
      </c>
    </row>
    <row r="4842">
      <c r="A4842" s="19">
        <v>83804.0</v>
      </c>
      <c r="B4842" s="20" t="str">
        <f t="array" ref="B4842">xlookup($A4842,product!$A:$A,product!B:B)</f>
        <v>Santé &amp; Bien-être</v>
      </c>
      <c r="C4842" s="20" t="str">
        <f t="array" ref="C4842">xlookup($A4842,product!$A:$A,product!C:C)</f>
        <v>Compléments alimentaires</v>
      </c>
      <c r="D4842" s="20" t="str">
        <f t="array" ref="D4842">xlookup($A4842,product!$A:$A,product!D:D)</f>
        <v>Articulations</v>
      </c>
      <c r="E4842" s="4" t="str">
        <f t="shared" si="1"/>
        <v>83804-Compléments alimentaires-Articulations</v>
      </c>
      <c r="F4842" s="4">
        <v>0.0</v>
      </c>
      <c r="G4842" s="4">
        <v>190.0</v>
      </c>
      <c r="H4842" s="4">
        <v>81.0</v>
      </c>
      <c r="I4842" s="21">
        <f t="array" ref="I4842">XLOOKUP($A4842,product!A:A,product!E:E)</f>
        <v>10.54</v>
      </c>
      <c r="J4842" s="4">
        <f t="shared" si="2"/>
        <v>853.74</v>
      </c>
      <c r="K4842" s="22">
        <f t="shared" si="3"/>
        <v>1</v>
      </c>
      <c r="L4842" s="4">
        <f t="shared" si="4"/>
        <v>1</v>
      </c>
    </row>
    <row r="4843">
      <c r="A4843" s="23">
        <v>104415.0</v>
      </c>
      <c r="B4843" s="24" t="str">
        <f t="array" ref="B4843">xlookup($A4843,product!$A:$A,product!B:B)</f>
        <v>Santé &amp; Bien-être</v>
      </c>
      <c r="C4843" s="24" t="str">
        <f t="array" ref="C4843">xlookup($A4843,product!$A:$A,product!C:C)</f>
        <v>Compléments alimentaires</v>
      </c>
      <c r="D4843" s="24" t="str">
        <f t="array" ref="D4843">xlookup($A4843,product!$A:$A,product!D:D)</f>
        <v>Articulations</v>
      </c>
      <c r="E4843" s="25" t="str">
        <f t="shared" si="1"/>
        <v>104415-Compléments alimentaires-Articulations</v>
      </c>
      <c r="F4843" s="25">
        <v>0.0</v>
      </c>
      <c r="G4843" s="25">
        <v>482.0</v>
      </c>
      <c r="H4843" s="25">
        <v>202.0</v>
      </c>
      <c r="I4843" s="26">
        <f t="array" ref="I4843">XLOOKUP($A4843,product!A:A,product!E:E)</f>
        <v>6.23</v>
      </c>
      <c r="J4843" s="25">
        <f t="shared" si="2"/>
        <v>1258.46</v>
      </c>
      <c r="K4843" s="27">
        <f t="shared" si="3"/>
        <v>1</v>
      </c>
      <c r="L4843" s="25">
        <f t="shared" si="4"/>
        <v>1</v>
      </c>
    </row>
    <row r="4844">
      <c r="A4844" s="19">
        <v>78351.0</v>
      </c>
      <c r="B4844" s="20" t="str">
        <f t="array" ref="B4844">xlookup($A4844,product!$A:$A,product!B:B)</f>
        <v>Santé &amp; Bien-être</v>
      </c>
      <c r="C4844" s="20" t="str">
        <f t="array" ref="C4844">xlookup($A4844,product!$A:$A,product!C:C)</f>
        <v>Compléments alimentaires</v>
      </c>
      <c r="D4844" s="20" t="str">
        <f t="array" ref="D4844">xlookup($A4844,product!$A:$A,product!D:D)</f>
        <v>Articulations</v>
      </c>
      <c r="E4844" s="4" t="str">
        <f t="shared" si="1"/>
        <v>78351-Compléments alimentaires-Articulations</v>
      </c>
      <c r="F4844" s="4">
        <v>1.0</v>
      </c>
      <c r="G4844" s="4">
        <v>935.0</v>
      </c>
      <c r="H4844" s="4">
        <v>488.0</v>
      </c>
      <c r="I4844" s="21">
        <f t="array" ref="I4844">XLOOKUP($A4844,product!A:A,product!E:E)</f>
        <v>11.41</v>
      </c>
      <c r="J4844" s="4">
        <f t="shared" si="2"/>
        <v>5568.08</v>
      </c>
      <c r="K4844" s="22">
        <f t="shared" si="3"/>
        <v>1</v>
      </c>
      <c r="L4844" s="4">
        <f t="shared" si="4"/>
        <v>1</v>
      </c>
    </row>
    <row r="4845">
      <c r="A4845" s="23">
        <v>112174.0</v>
      </c>
      <c r="B4845" s="24" t="str">
        <f t="array" ref="B4845">xlookup($A4845,product!$A:$A,product!B:B)</f>
        <v>Santé &amp; Bien-être</v>
      </c>
      <c r="C4845" s="24" t="str">
        <f t="array" ref="C4845">xlookup($A4845,product!$A:$A,product!C:C)</f>
        <v>Compléments alimentaires</v>
      </c>
      <c r="D4845" s="24" t="str">
        <f t="array" ref="D4845">xlookup($A4845,product!$A:$A,product!D:D)</f>
        <v>Articulations</v>
      </c>
      <c r="E4845" s="25" t="str">
        <f t="shared" si="1"/>
        <v>112174-Compléments alimentaires-Articulations</v>
      </c>
      <c r="F4845" s="25">
        <v>1.0</v>
      </c>
      <c r="G4845" s="25">
        <v>261.0</v>
      </c>
      <c r="H4845" s="25">
        <v>259.0</v>
      </c>
      <c r="I4845" s="26">
        <f t="array" ref="I4845">XLOOKUP($A4845,product!A:A,product!E:E)</f>
        <v>15.39</v>
      </c>
      <c r="J4845" s="25">
        <f t="shared" si="2"/>
        <v>3986.01</v>
      </c>
      <c r="K4845" s="27">
        <f t="shared" si="3"/>
        <v>1</v>
      </c>
      <c r="L4845" s="25">
        <f t="shared" si="4"/>
        <v>1</v>
      </c>
    </row>
    <row r="4846">
      <c r="A4846" s="19">
        <v>120248.0</v>
      </c>
      <c r="B4846" s="20" t="str">
        <f t="array" ref="B4846">xlookup($A4846,product!$A:$A,product!B:B)</f>
        <v>Santé &amp; Bien-être</v>
      </c>
      <c r="C4846" s="20" t="str">
        <f t="array" ref="C4846">xlookup($A4846,product!$A:$A,product!C:C)</f>
        <v>Compléments alimentaires</v>
      </c>
      <c r="D4846" s="20" t="str">
        <f t="array" ref="D4846">xlookup($A4846,product!$A:$A,product!D:D)</f>
        <v>Articulations</v>
      </c>
      <c r="E4846" s="4" t="str">
        <f t="shared" si="1"/>
        <v>120248-Compléments alimentaires-Articulations</v>
      </c>
      <c r="F4846" s="4">
        <v>0.0</v>
      </c>
      <c r="G4846" s="4">
        <v>319.0</v>
      </c>
      <c r="H4846" s="4">
        <v>15.0</v>
      </c>
      <c r="I4846" s="21">
        <f t="array" ref="I4846">XLOOKUP($A4846,product!A:A,product!E:E)</f>
        <v>6.98</v>
      </c>
      <c r="J4846" s="4">
        <f t="shared" si="2"/>
        <v>104.7</v>
      </c>
      <c r="K4846" s="22">
        <f t="shared" si="3"/>
        <v>1</v>
      </c>
      <c r="L4846" s="4">
        <f t="shared" si="4"/>
        <v>1</v>
      </c>
    </row>
    <row r="4847">
      <c r="A4847" s="23">
        <v>18672.0</v>
      </c>
      <c r="B4847" s="24" t="str">
        <f t="array" ref="B4847">xlookup($A4847,product!$A:$A,product!B:B)</f>
        <v>Santé &amp; Bien-être</v>
      </c>
      <c r="C4847" s="24" t="str">
        <f t="array" ref="C4847">xlookup($A4847,product!$A:$A,product!C:C)</f>
        <v>Compléments alimentaires</v>
      </c>
      <c r="D4847" s="24" t="str">
        <f t="array" ref="D4847">xlookup($A4847,product!$A:$A,product!D:D)</f>
        <v>Articulations</v>
      </c>
      <c r="E4847" s="25" t="str">
        <f t="shared" si="1"/>
        <v>18672-Compléments alimentaires-Articulations</v>
      </c>
      <c r="F4847" s="25">
        <v>0.0</v>
      </c>
      <c r="G4847" s="25">
        <v>829.0</v>
      </c>
      <c r="H4847" s="25">
        <v>247.0</v>
      </c>
      <c r="I4847" s="26">
        <f t="array" ref="I4847">XLOOKUP($A4847,product!A:A,product!E:E)</f>
        <v>20</v>
      </c>
      <c r="J4847" s="25">
        <f t="shared" si="2"/>
        <v>4940</v>
      </c>
      <c r="K4847" s="27">
        <f t="shared" si="3"/>
        <v>1</v>
      </c>
      <c r="L4847" s="25">
        <f t="shared" si="4"/>
        <v>1</v>
      </c>
    </row>
    <row r="4848">
      <c r="A4848" s="19">
        <v>13517.0</v>
      </c>
      <c r="B4848" s="20" t="str">
        <f t="array" ref="B4848">xlookup($A4848,product!$A:$A,product!B:B)</f>
        <v>Santé &amp; Bien-être</v>
      </c>
      <c r="C4848" s="20" t="str">
        <f t="array" ref="C4848">xlookup($A4848,product!$A:$A,product!C:C)</f>
        <v>Compléments alimentaires</v>
      </c>
      <c r="D4848" s="20" t="str">
        <f t="array" ref="D4848">xlookup($A4848,product!$A:$A,product!D:D)</f>
        <v>Articulations</v>
      </c>
      <c r="E4848" s="4" t="str">
        <f t="shared" si="1"/>
        <v>13517-Compléments alimentaires-Articulations</v>
      </c>
      <c r="F4848" s="4">
        <v>1.0</v>
      </c>
      <c r="G4848" s="4">
        <v>251.0</v>
      </c>
      <c r="H4848" s="4">
        <v>80.0</v>
      </c>
      <c r="I4848" s="21">
        <f t="array" ref="I4848">XLOOKUP($A4848,product!A:A,product!E:E)</f>
        <v>3.57</v>
      </c>
      <c r="J4848" s="4">
        <f t="shared" si="2"/>
        <v>285.6</v>
      </c>
      <c r="K4848" s="22">
        <f t="shared" si="3"/>
        <v>1</v>
      </c>
      <c r="L4848" s="4">
        <f t="shared" si="4"/>
        <v>1</v>
      </c>
    </row>
    <row r="4849">
      <c r="A4849" s="23">
        <v>119896.0</v>
      </c>
      <c r="B4849" s="24" t="str">
        <f t="array" ref="B4849">xlookup($A4849,product!$A:$A,product!B:B)</f>
        <v>Santé &amp; Bien-être</v>
      </c>
      <c r="C4849" s="24" t="str">
        <f t="array" ref="C4849">xlookup($A4849,product!$A:$A,product!C:C)</f>
        <v>Compléments alimentaires</v>
      </c>
      <c r="D4849" s="24" t="str">
        <f t="array" ref="D4849">xlookup($A4849,product!$A:$A,product!D:D)</f>
        <v>Articulations</v>
      </c>
      <c r="E4849" s="25" t="str">
        <f t="shared" si="1"/>
        <v>119896-Compléments alimentaires-Articulations</v>
      </c>
      <c r="F4849" s="25">
        <v>1.0</v>
      </c>
      <c r="G4849" s="25">
        <v>671.0</v>
      </c>
      <c r="H4849" s="25">
        <v>620.0</v>
      </c>
      <c r="I4849" s="26">
        <f t="array" ref="I4849">XLOOKUP($A4849,product!A:A,product!E:E)</f>
        <v>10.29</v>
      </c>
      <c r="J4849" s="25">
        <f t="shared" si="2"/>
        <v>6379.8</v>
      </c>
      <c r="K4849" s="27">
        <f t="shared" si="3"/>
        <v>1</v>
      </c>
      <c r="L4849" s="25">
        <f t="shared" si="4"/>
        <v>1</v>
      </c>
    </row>
    <row r="4850">
      <c r="A4850" s="19">
        <v>120249.0</v>
      </c>
      <c r="B4850" s="20" t="str">
        <f t="array" ref="B4850">xlookup($A4850,product!$A:$A,product!B:B)</f>
        <v>Santé &amp; Bien-être</v>
      </c>
      <c r="C4850" s="20" t="str">
        <f t="array" ref="C4850">xlookup($A4850,product!$A:$A,product!C:C)</f>
        <v>Compléments alimentaires</v>
      </c>
      <c r="D4850" s="20" t="str">
        <f t="array" ref="D4850">xlookup($A4850,product!$A:$A,product!D:D)</f>
        <v>Articulations</v>
      </c>
      <c r="E4850" s="4" t="str">
        <f t="shared" si="1"/>
        <v>120249-Compléments alimentaires-Articulations</v>
      </c>
      <c r="F4850" s="4">
        <v>1.0</v>
      </c>
      <c r="G4850" s="4">
        <v>236.0</v>
      </c>
      <c r="H4850" s="4">
        <v>97.0</v>
      </c>
      <c r="I4850" s="21">
        <f t="array" ref="I4850">XLOOKUP($A4850,product!A:A,product!E:E)</f>
        <v>7.47</v>
      </c>
      <c r="J4850" s="4">
        <f t="shared" si="2"/>
        <v>724.59</v>
      </c>
      <c r="K4850" s="22">
        <f t="shared" si="3"/>
        <v>1</v>
      </c>
      <c r="L4850" s="4">
        <f t="shared" si="4"/>
        <v>1</v>
      </c>
    </row>
    <row r="4851">
      <c r="A4851" s="23">
        <v>78352.0</v>
      </c>
      <c r="B4851" s="24" t="str">
        <f t="array" ref="B4851">xlookup($A4851,product!$A:$A,product!B:B)</f>
        <v>Santé &amp; Bien-être</v>
      </c>
      <c r="C4851" s="24" t="str">
        <f t="array" ref="C4851">xlookup($A4851,product!$A:$A,product!C:C)</f>
        <v>Compléments alimentaires</v>
      </c>
      <c r="D4851" s="24" t="str">
        <f t="array" ref="D4851">xlookup($A4851,product!$A:$A,product!D:D)</f>
        <v>Articulations</v>
      </c>
      <c r="E4851" s="25" t="str">
        <f t="shared" si="1"/>
        <v>78352-Compléments alimentaires-Articulations</v>
      </c>
      <c r="F4851" s="25">
        <v>1.0</v>
      </c>
      <c r="G4851" s="25">
        <v>66.0</v>
      </c>
      <c r="H4851" s="25">
        <v>13.0</v>
      </c>
      <c r="I4851" s="26">
        <f t="array" ref="I4851">XLOOKUP($A4851,product!A:A,product!E:E)</f>
        <v>6.33</v>
      </c>
      <c r="J4851" s="25">
        <f t="shared" si="2"/>
        <v>82.29</v>
      </c>
      <c r="K4851" s="27">
        <f t="shared" si="3"/>
        <v>1</v>
      </c>
      <c r="L4851" s="25">
        <f t="shared" si="4"/>
        <v>1</v>
      </c>
    </row>
    <row r="4852">
      <c r="A4852" s="19">
        <v>45630.0</v>
      </c>
      <c r="B4852" s="20" t="str">
        <f t="array" ref="B4852">xlookup($A4852,product!$A:$A,product!B:B)</f>
        <v>Santé &amp; Bien-être</v>
      </c>
      <c r="C4852" s="20" t="str">
        <f t="array" ref="C4852">xlookup($A4852,product!$A:$A,product!C:C)</f>
        <v>Compléments alimentaires</v>
      </c>
      <c r="D4852" s="20" t="str">
        <f t="array" ref="D4852">xlookup($A4852,product!$A:$A,product!D:D)</f>
        <v>Cheveux, ongles</v>
      </c>
      <c r="E4852" s="4" t="str">
        <f t="shared" si="1"/>
        <v>45630-Compléments alimentaires-Cheveux, ongles</v>
      </c>
      <c r="F4852" s="4">
        <v>1.0</v>
      </c>
      <c r="G4852" s="4">
        <v>744.0</v>
      </c>
      <c r="H4852" s="4">
        <v>250.0</v>
      </c>
      <c r="I4852" s="21">
        <f t="array" ref="I4852">XLOOKUP($A4852,product!A:A,product!E:E)</f>
        <v>4.18</v>
      </c>
      <c r="J4852" s="4">
        <f t="shared" si="2"/>
        <v>1045</v>
      </c>
      <c r="K4852" s="22">
        <f t="shared" si="3"/>
        <v>1</v>
      </c>
      <c r="L4852" s="4">
        <f t="shared" si="4"/>
        <v>1</v>
      </c>
    </row>
    <row r="4853">
      <c r="A4853" s="23">
        <v>99726.0</v>
      </c>
      <c r="B4853" s="24" t="str">
        <f t="array" ref="B4853">xlookup($A4853,product!$A:$A,product!B:B)</f>
        <v>Santé &amp; Bien-être</v>
      </c>
      <c r="C4853" s="24" t="str">
        <f t="array" ref="C4853">xlookup($A4853,product!$A:$A,product!C:C)</f>
        <v>Compléments alimentaires</v>
      </c>
      <c r="D4853" s="24" t="str">
        <f t="array" ref="D4853">xlookup($A4853,product!$A:$A,product!D:D)</f>
        <v>Cheveux, ongles</v>
      </c>
      <c r="E4853" s="25" t="str">
        <f t="shared" si="1"/>
        <v>99726-Compléments alimentaires-Cheveux, ongles</v>
      </c>
      <c r="F4853" s="25">
        <v>1.0</v>
      </c>
      <c r="G4853" s="25">
        <v>865.0</v>
      </c>
      <c r="H4853" s="25">
        <v>178.0</v>
      </c>
      <c r="I4853" s="26">
        <f t="array" ref="I4853">XLOOKUP($A4853,product!A:A,product!E:E)</f>
        <v>7.79</v>
      </c>
      <c r="J4853" s="25">
        <f t="shared" si="2"/>
        <v>1386.62</v>
      </c>
      <c r="K4853" s="27">
        <f t="shared" si="3"/>
        <v>1</v>
      </c>
      <c r="L4853" s="25">
        <f t="shared" si="4"/>
        <v>1</v>
      </c>
    </row>
    <row r="4854">
      <c r="A4854" s="19">
        <v>88619.0</v>
      </c>
      <c r="B4854" s="20" t="str">
        <f t="array" ref="B4854">xlookup($A4854,product!$A:$A,product!B:B)</f>
        <v>Santé &amp; Bien-être</v>
      </c>
      <c r="C4854" s="20" t="str">
        <f t="array" ref="C4854">xlookup($A4854,product!$A:$A,product!C:C)</f>
        <v>Compléments alimentaires</v>
      </c>
      <c r="D4854" s="20" t="str">
        <f t="array" ref="D4854">xlookup($A4854,product!$A:$A,product!D:D)</f>
        <v>Cheveux, ongles</v>
      </c>
      <c r="E4854" s="4" t="str">
        <f t="shared" si="1"/>
        <v>88619-Compléments alimentaires-Cheveux, ongles</v>
      </c>
      <c r="F4854" s="4">
        <v>1.0</v>
      </c>
      <c r="G4854" s="4">
        <v>402.0</v>
      </c>
      <c r="H4854" s="4">
        <v>335.0</v>
      </c>
      <c r="I4854" s="21">
        <f t="array" ref="I4854">XLOOKUP($A4854,product!A:A,product!E:E)</f>
        <v>4.77</v>
      </c>
      <c r="J4854" s="4">
        <f t="shared" si="2"/>
        <v>1597.95</v>
      </c>
      <c r="K4854" s="22">
        <f t="shared" si="3"/>
        <v>1</v>
      </c>
      <c r="L4854" s="4">
        <f t="shared" si="4"/>
        <v>1</v>
      </c>
    </row>
    <row r="4855">
      <c r="A4855" s="23">
        <v>73430.0</v>
      </c>
      <c r="B4855" s="24" t="str">
        <f t="array" ref="B4855">xlookup($A4855,product!$A:$A,product!B:B)</f>
        <v>Santé &amp; Bien-être</v>
      </c>
      <c r="C4855" s="24" t="str">
        <f t="array" ref="C4855">xlookup($A4855,product!$A:$A,product!C:C)</f>
        <v>Compléments alimentaires</v>
      </c>
      <c r="D4855" s="24" t="str">
        <f t="array" ref="D4855">xlookup($A4855,product!$A:$A,product!D:D)</f>
        <v>Cheveux, ongles</v>
      </c>
      <c r="E4855" s="25" t="str">
        <f t="shared" si="1"/>
        <v>73430-Compléments alimentaires-Cheveux, ongles</v>
      </c>
      <c r="F4855" s="25">
        <v>1.0</v>
      </c>
      <c r="G4855" s="25">
        <v>271.0</v>
      </c>
      <c r="H4855" s="25">
        <v>202.0</v>
      </c>
      <c r="I4855" s="26">
        <f t="array" ref="I4855">XLOOKUP($A4855,product!A:A,product!E:E)</f>
        <v>6.85</v>
      </c>
      <c r="J4855" s="25">
        <f t="shared" si="2"/>
        <v>1383.7</v>
      </c>
      <c r="K4855" s="27">
        <f t="shared" si="3"/>
        <v>1</v>
      </c>
      <c r="L4855" s="25">
        <f t="shared" si="4"/>
        <v>1</v>
      </c>
    </row>
    <row r="4856">
      <c r="A4856" s="19">
        <v>98939.0</v>
      </c>
      <c r="B4856" s="20" t="str">
        <f t="array" ref="B4856">xlookup($A4856,product!$A:$A,product!B:B)</f>
        <v>Santé &amp; Bien-être</v>
      </c>
      <c r="C4856" s="20" t="str">
        <f t="array" ref="C4856">xlookup($A4856,product!$A:$A,product!C:C)</f>
        <v>Compléments alimentaires</v>
      </c>
      <c r="D4856" s="20" t="str">
        <f t="array" ref="D4856">xlookup($A4856,product!$A:$A,product!D:D)</f>
        <v>Argent colloïdal</v>
      </c>
      <c r="E4856" s="4" t="str">
        <f t="shared" si="1"/>
        <v>98939-Compléments alimentaires-Argent colloïdal</v>
      </c>
      <c r="F4856" s="4">
        <v>1.0</v>
      </c>
      <c r="G4856" s="4">
        <v>870.0</v>
      </c>
      <c r="H4856" s="4">
        <v>58.0</v>
      </c>
      <c r="I4856" s="21">
        <f t="array" ref="I4856">XLOOKUP($A4856,product!A:A,product!E:E)</f>
        <v>11.34</v>
      </c>
      <c r="J4856" s="4">
        <f t="shared" si="2"/>
        <v>657.72</v>
      </c>
      <c r="K4856" s="22">
        <f t="shared" si="3"/>
        <v>1</v>
      </c>
      <c r="L4856" s="4">
        <f t="shared" si="4"/>
        <v>1</v>
      </c>
    </row>
    <row r="4857">
      <c r="A4857" s="23">
        <v>45826.0</v>
      </c>
      <c r="B4857" s="24" t="str">
        <f t="array" ref="B4857">xlookup($A4857,product!$A:$A,product!B:B)</f>
        <v>Santé &amp; Bien-être</v>
      </c>
      <c r="C4857" s="24" t="str">
        <f t="array" ref="C4857">xlookup($A4857,product!$A:$A,product!C:C)</f>
        <v>Compléments alimentaires</v>
      </c>
      <c r="D4857" s="24" t="str">
        <f t="array" ref="D4857">xlookup($A4857,product!$A:$A,product!D:D)</f>
        <v>Argent colloïdal</v>
      </c>
      <c r="E4857" s="25" t="str">
        <f t="shared" si="1"/>
        <v>45826-Compléments alimentaires-Argent colloïdal</v>
      </c>
      <c r="F4857" s="25">
        <v>0.0</v>
      </c>
      <c r="G4857" s="25">
        <v>418.0</v>
      </c>
      <c r="H4857" s="25">
        <v>366.0</v>
      </c>
      <c r="I4857" s="26">
        <f t="array" ref="I4857">XLOOKUP($A4857,product!A:A,product!E:E)</f>
        <v>13.07</v>
      </c>
      <c r="J4857" s="25">
        <f t="shared" si="2"/>
        <v>4783.62</v>
      </c>
      <c r="K4857" s="27">
        <f t="shared" si="3"/>
        <v>1</v>
      </c>
      <c r="L4857" s="25">
        <f t="shared" si="4"/>
        <v>1</v>
      </c>
    </row>
    <row r="4858">
      <c r="A4858" s="19">
        <v>100797.0</v>
      </c>
      <c r="B4858" s="20" t="str">
        <f t="array" ref="B4858">xlookup($A4858,product!$A:$A,product!B:B)</f>
        <v>Santé &amp; Bien-être</v>
      </c>
      <c r="C4858" s="20" t="str">
        <f t="array" ref="C4858">xlookup($A4858,product!$A:$A,product!C:C)</f>
        <v>Compléments alimentaires</v>
      </c>
      <c r="D4858" s="20" t="str">
        <f t="array" ref="D4858">xlookup($A4858,product!$A:$A,product!D:D)</f>
        <v>Argent colloïdal</v>
      </c>
      <c r="E4858" s="4" t="str">
        <f t="shared" si="1"/>
        <v>100797-Compléments alimentaires-Argent colloïdal</v>
      </c>
      <c r="F4858" s="4">
        <v>1.0</v>
      </c>
      <c r="G4858" s="4">
        <v>696.0</v>
      </c>
      <c r="H4858" s="4">
        <v>270.0</v>
      </c>
      <c r="I4858" s="21">
        <f t="array" ref="I4858">XLOOKUP($A4858,product!A:A,product!E:E)</f>
        <v>5.65</v>
      </c>
      <c r="J4858" s="4">
        <f t="shared" si="2"/>
        <v>1525.5</v>
      </c>
      <c r="K4858" s="22">
        <f t="shared" si="3"/>
        <v>1</v>
      </c>
      <c r="L4858" s="4">
        <f t="shared" si="4"/>
        <v>1</v>
      </c>
    </row>
    <row r="4859">
      <c r="A4859" s="23">
        <v>104429.0</v>
      </c>
      <c r="B4859" s="24" t="str">
        <f t="array" ref="B4859">xlookup($A4859,product!$A:$A,product!B:B)</f>
        <v>Santé &amp; Bien-être</v>
      </c>
      <c r="C4859" s="24" t="str">
        <f t="array" ref="C4859">xlookup($A4859,product!$A:$A,product!C:C)</f>
        <v>Compléments alimentaires</v>
      </c>
      <c r="D4859" s="24" t="str">
        <f t="array" ref="D4859">xlookup($A4859,product!$A:$A,product!D:D)</f>
        <v>Circulation veineuse, sang</v>
      </c>
      <c r="E4859" s="25" t="str">
        <f t="shared" si="1"/>
        <v>104429-Compléments alimentaires-Circulation veineuse, sang</v>
      </c>
      <c r="F4859" s="25">
        <v>0.0</v>
      </c>
      <c r="G4859" s="25">
        <v>362.0</v>
      </c>
      <c r="H4859" s="25">
        <v>198.0</v>
      </c>
      <c r="I4859" s="26">
        <f t="array" ref="I4859">XLOOKUP($A4859,product!A:A,product!E:E)</f>
        <v>6.23</v>
      </c>
      <c r="J4859" s="25">
        <f t="shared" si="2"/>
        <v>1233.54</v>
      </c>
      <c r="K4859" s="27">
        <f t="shared" si="3"/>
        <v>1</v>
      </c>
      <c r="L4859" s="25">
        <f t="shared" si="4"/>
        <v>1</v>
      </c>
    </row>
    <row r="4860">
      <c r="A4860" s="19">
        <v>119806.0</v>
      </c>
      <c r="B4860" s="20" t="str">
        <f t="array" ref="B4860">xlookup($A4860,product!$A:$A,product!B:B)</f>
        <v>Santé &amp; Bien-être</v>
      </c>
      <c r="C4860" s="20" t="str">
        <f t="array" ref="C4860">xlookup($A4860,product!$A:$A,product!C:C)</f>
        <v>Compléments alimentaires</v>
      </c>
      <c r="D4860" s="20" t="str">
        <f t="array" ref="D4860">xlookup($A4860,product!$A:$A,product!D:D)</f>
        <v>Circulation veineuse, sang</v>
      </c>
      <c r="E4860" s="4" t="str">
        <f t="shared" si="1"/>
        <v>119806-Compléments alimentaires-Circulation veineuse, sang</v>
      </c>
      <c r="F4860" s="4">
        <v>0.0</v>
      </c>
      <c r="G4860" s="4">
        <v>292.0</v>
      </c>
      <c r="H4860" s="4">
        <v>146.0</v>
      </c>
      <c r="I4860" s="21">
        <f t="array" ref="I4860">XLOOKUP($A4860,product!A:A,product!E:E)</f>
        <v>8.64</v>
      </c>
      <c r="J4860" s="4">
        <f t="shared" si="2"/>
        <v>1261.44</v>
      </c>
      <c r="K4860" s="22">
        <f t="shared" si="3"/>
        <v>1</v>
      </c>
      <c r="L4860" s="4">
        <f t="shared" si="4"/>
        <v>1</v>
      </c>
    </row>
    <row r="4861">
      <c r="A4861" s="23">
        <v>120734.0</v>
      </c>
      <c r="B4861" s="24" t="str">
        <f t="array" ref="B4861">xlookup($A4861,product!$A:$A,product!B:B)</f>
        <v>Santé &amp; Bien-être</v>
      </c>
      <c r="C4861" s="24" t="str">
        <f t="array" ref="C4861">xlookup($A4861,product!$A:$A,product!C:C)</f>
        <v>Compléments alimentaires</v>
      </c>
      <c r="D4861" s="24" t="str">
        <f t="array" ref="D4861">xlookup($A4861,product!$A:$A,product!D:D)</f>
        <v>Cardiovasculaire, levure de riz</v>
      </c>
      <c r="E4861" s="25" t="str">
        <f t="shared" si="1"/>
        <v>120734-Compléments alimentaires-Cardiovasculaire, levure de riz</v>
      </c>
      <c r="F4861" s="25">
        <v>0.0</v>
      </c>
      <c r="G4861" s="25">
        <v>399.0</v>
      </c>
      <c r="H4861" s="25">
        <v>65.0</v>
      </c>
      <c r="I4861" s="26">
        <f t="array" ref="I4861">XLOOKUP($A4861,product!A:A,product!E:E)</f>
        <v>10.77</v>
      </c>
      <c r="J4861" s="25">
        <f t="shared" si="2"/>
        <v>700.05</v>
      </c>
      <c r="K4861" s="27">
        <f t="shared" si="3"/>
        <v>1</v>
      </c>
      <c r="L4861" s="25">
        <f t="shared" si="4"/>
        <v>1</v>
      </c>
    </row>
    <row r="4862">
      <c r="A4862" s="19">
        <v>104423.0</v>
      </c>
      <c r="B4862" s="20" t="str">
        <f t="array" ref="B4862">xlookup($A4862,product!$A:$A,product!B:B)</f>
        <v>Santé &amp; Bien-être</v>
      </c>
      <c r="C4862" s="20" t="str">
        <f t="array" ref="C4862">xlookup($A4862,product!$A:$A,product!C:C)</f>
        <v>Compléments alimentaires</v>
      </c>
      <c r="D4862" s="20" t="str">
        <f t="array" ref="D4862">xlookup($A4862,product!$A:$A,product!D:D)</f>
        <v>Cardiovasculaire, levure de riz</v>
      </c>
      <c r="E4862" s="4" t="str">
        <f t="shared" si="1"/>
        <v>104423-Compléments alimentaires-Cardiovasculaire, levure de riz</v>
      </c>
      <c r="F4862" s="4">
        <v>0.0</v>
      </c>
      <c r="G4862" s="4">
        <v>694.0</v>
      </c>
      <c r="H4862" s="4">
        <v>204.0</v>
      </c>
      <c r="I4862" s="21">
        <f t="array" ref="I4862">XLOOKUP($A4862,product!A:A,product!E:E)</f>
        <v>7.84</v>
      </c>
      <c r="J4862" s="4">
        <f t="shared" si="2"/>
        <v>1599.36</v>
      </c>
      <c r="K4862" s="22">
        <f t="shared" si="3"/>
        <v>1</v>
      </c>
      <c r="L4862" s="4">
        <f t="shared" si="4"/>
        <v>1</v>
      </c>
    </row>
    <row r="4863">
      <c r="A4863" s="23">
        <v>120286.0</v>
      </c>
      <c r="B4863" s="24" t="str">
        <f t="array" ref="B4863">xlookup($A4863,product!$A:$A,product!B:B)</f>
        <v>Santé &amp; Bien-être</v>
      </c>
      <c r="C4863" s="24" t="str">
        <f t="array" ref="C4863">xlookup($A4863,product!$A:$A,product!C:C)</f>
        <v>Compléments alimentaires</v>
      </c>
      <c r="D4863" s="24" t="str">
        <f t="array" ref="D4863">xlookup($A4863,product!$A:$A,product!D:D)</f>
        <v>Cardiovasculaire, levure de riz</v>
      </c>
      <c r="E4863" s="25" t="str">
        <f t="shared" si="1"/>
        <v>120286-Compléments alimentaires-Cardiovasculaire, levure de riz</v>
      </c>
      <c r="F4863" s="25">
        <v>0.0</v>
      </c>
      <c r="G4863" s="25">
        <v>653.0</v>
      </c>
      <c r="H4863" s="25">
        <v>102.0</v>
      </c>
      <c r="I4863" s="26">
        <f t="array" ref="I4863">XLOOKUP($A4863,product!A:A,product!E:E)</f>
        <v>9.99</v>
      </c>
      <c r="J4863" s="25">
        <f t="shared" si="2"/>
        <v>1018.98</v>
      </c>
      <c r="K4863" s="27">
        <f t="shared" si="3"/>
        <v>1</v>
      </c>
      <c r="L4863" s="25">
        <f t="shared" si="4"/>
        <v>1</v>
      </c>
    </row>
    <row r="4864">
      <c r="A4864" s="19">
        <v>81838.0</v>
      </c>
      <c r="B4864" s="20" t="str">
        <f t="array" ref="B4864">xlookup($A4864,product!$A:$A,product!B:B)</f>
        <v>Santé &amp; Bien-être</v>
      </c>
      <c r="C4864" s="20" t="str">
        <f t="array" ref="C4864">xlookup($A4864,product!$A:$A,product!C:C)</f>
        <v>Compléments alimentaires</v>
      </c>
      <c r="D4864" s="20" t="str">
        <f t="array" ref="D4864">xlookup($A4864,product!$A:$A,product!D:D)</f>
        <v>Cardiovasculaire, levure de riz</v>
      </c>
      <c r="E4864" s="4" t="str">
        <f t="shared" si="1"/>
        <v>81838-Compléments alimentaires-Cardiovasculaire, levure de riz</v>
      </c>
      <c r="F4864" s="4">
        <v>1.0</v>
      </c>
      <c r="G4864" s="4">
        <v>8.0</v>
      </c>
      <c r="H4864" s="4">
        <v>4.0</v>
      </c>
      <c r="I4864" s="21">
        <f t="array" ref="I4864">XLOOKUP($A4864,product!A:A,product!E:E)</f>
        <v>6.97</v>
      </c>
      <c r="J4864" s="4">
        <f t="shared" si="2"/>
        <v>27.88</v>
      </c>
      <c r="K4864" s="22">
        <f t="shared" si="3"/>
        <v>1</v>
      </c>
      <c r="L4864" s="4">
        <f t="shared" si="4"/>
        <v>1</v>
      </c>
    </row>
    <row r="4865">
      <c r="A4865" s="23">
        <v>117718.0</v>
      </c>
      <c r="B4865" s="24" t="str">
        <f t="array" ref="B4865">xlookup($A4865,product!$A:$A,product!B:B)</f>
        <v>Santé &amp; Bien-être</v>
      </c>
      <c r="C4865" s="24" t="str">
        <f t="array" ref="C4865">xlookup($A4865,product!$A:$A,product!C:C)</f>
        <v>Compléments alimentaires</v>
      </c>
      <c r="D4865" s="24" t="str">
        <f t="array" ref="D4865">xlookup($A4865,product!$A:$A,product!D:D)</f>
        <v>Cardiovasculaire, levure de riz</v>
      </c>
      <c r="E4865" s="25" t="str">
        <f t="shared" si="1"/>
        <v>117718-Compléments alimentaires-Cardiovasculaire, levure de riz</v>
      </c>
      <c r="F4865" s="25">
        <v>1.0</v>
      </c>
      <c r="G4865" s="25">
        <v>339.0</v>
      </c>
      <c r="H4865" s="25">
        <v>244.0</v>
      </c>
      <c r="I4865" s="26">
        <f t="array" ref="I4865">XLOOKUP($A4865,product!A:A,product!E:E)</f>
        <v>5.39</v>
      </c>
      <c r="J4865" s="25">
        <f t="shared" si="2"/>
        <v>1315.16</v>
      </c>
      <c r="K4865" s="27">
        <f t="shared" si="3"/>
        <v>1</v>
      </c>
      <c r="L4865" s="25">
        <f t="shared" si="4"/>
        <v>1</v>
      </c>
    </row>
    <row r="4866">
      <c r="A4866" s="19">
        <v>70611.0</v>
      </c>
      <c r="B4866" s="20" t="str">
        <f t="array" ref="B4866">xlookup($A4866,product!$A:$A,product!B:B)</f>
        <v>Santé &amp; Bien-être</v>
      </c>
      <c r="C4866" s="20" t="str">
        <f t="array" ref="C4866">xlookup($A4866,product!$A:$A,product!C:C)</f>
        <v>Compléments alimentaires</v>
      </c>
      <c r="D4866" s="20" t="str">
        <f t="array" ref="D4866">xlookup($A4866,product!$A:$A,product!D:D)</f>
        <v>Relaxation, sérénité, mémoire</v>
      </c>
      <c r="E4866" s="4" t="str">
        <f t="shared" si="1"/>
        <v>70611-Compléments alimentaires-Relaxation, sérénité, mémoire</v>
      </c>
      <c r="F4866" s="4">
        <v>1.0</v>
      </c>
      <c r="G4866" s="4">
        <v>672.0</v>
      </c>
      <c r="H4866" s="4">
        <v>596.0</v>
      </c>
      <c r="I4866" s="21">
        <f t="array" ref="I4866">XLOOKUP($A4866,product!A:A,product!E:E)</f>
        <v>5.8</v>
      </c>
      <c r="J4866" s="4">
        <f t="shared" si="2"/>
        <v>3456.8</v>
      </c>
      <c r="K4866" s="22">
        <f t="shared" si="3"/>
        <v>1</v>
      </c>
      <c r="L4866" s="4">
        <f t="shared" si="4"/>
        <v>1</v>
      </c>
    </row>
    <row r="4867">
      <c r="A4867" s="23">
        <v>110848.0</v>
      </c>
      <c r="B4867" s="24" t="str">
        <f t="array" ref="B4867">xlookup($A4867,product!$A:$A,product!B:B)</f>
        <v>Santé &amp; Bien-être</v>
      </c>
      <c r="C4867" s="24" t="str">
        <f t="array" ref="C4867">xlookup($A4867,product!$A:$A,product!C:C)</f>
        <v>Compléments alimentaires</v>
      </c>
      <c r="D4867" s="24" t="str">
        <f t="array" ref="D4867">xlookup($A4867,product!$A:$A,product!D:D)</f>
        <v>Relaxation, sérénité, mémoire</v>
      </c>
      <c r="E4867" s="25" t="str">
        <f t="shared" si="1"/>
        <v>110848-Compléments alimentaires-Relaxation, sérénité, mémoire</v>
      </c>
      <c r="F4867" s="25">
        <v>0.0</v>
      </c>
      <c r="G4867" s="25">
        <v>610.0</v>
      </c>
      <c r="H4867" s="25">
        <v>288.0</v>
      </c>
      <c r="I4867" s="26">
        <f t="array" ref="I4867">XLOOKUP($A4867,product!A:A,product!E:E)</f>
        <v>4.77</v>
      </c>
      <c r="J4867" s="25">
        <f t="shared" si="2"/>
        <v>1373.76</v>
      </c>
      <c r="K4867" s="27">
        <f t="shared" si="3"/>
        <v>1</v>
      </c>
      <c r="L4867" s="25">
        <f t="shared" si="4"/>
        <v>1</v>
      </c>
    </row>
    <row r="4868">
      <c r="A4868" s="19">
        <v>107925.0</v>
      </c>
      <c r="B4868" s="20" t="str">
        <f t="array" ref="B4868">xlookup($A4868,product!$A:$A,product!B:B)</f>
        <v>Santé &amp; Bien-être</v>
      </c>
      <c r="C4868" s="20" t="str">
        <f t="array" ref="C4868">xlookup($A4868,product!$A:$A,product!C:C)</f>
        <v>Compléments alimentaires</v>
      </c>
      <c r="D4868" s="20" t="str">
        <f t="array" ref="D4868">xlookup($A4868,product!$A:$A,product!D:D)</f>
        <v>Relaxation, sérénité, mémoire</v>
      </c>
      <c r="E4868" s="4" t="str">
        <f t="shared" si="1"/>
        <v>107925-Compléments alimentaires-Relaxation, sérénité, mémoire</v>
      </c>
      <c r="F4868" s="4">
        <v>1.0</v>
      </c>
      <c r="G4868" s="4">
        <v>537.0</v>
      </c>
      <c r="H4868" s="4">
        <v>343.0</v>
      </c>
      <c r="I4868" s="21">
        <f t="array" ref="I4868">XLOOKUP($A4868,product!A:A,product!E:E)</f>
        <v>10.88</v>
      </c>
      <c r="J4868" s="4">
        <f t="shared" si="2"/>
        <v>3731.84</v>
      </c>
      <c r="K4868" s="22">
        <f t="shared" si="3"/>
        <v>1</v>
      </c>
      <c r="L4868" s="4">
        <f t="shared" si="4"/>
        <v>1</v>
      </c>
    </row>
    <row r="4869">
      <c r="A4869" s="23">
        <v>156038.0</v>
      </c>
      <c r="B4869" s="24" t="str">
        <f t="array" ref="B4869">xlookup($A4869,product!$A:$A,product!B:B)</f>
        <v>Santé &amp; Bien-être</v>
      </c>
      <c r="C4869" s="24" t="str">
        <f t="array" ref="C4869">xlookup($A4869,product!$A:$A,product!C:C)</f>
        <v>Compléments alimentaires</v>
      </c>
      <c r="D4869" s="24" t="str">
        <f t="array" ref="D4869">xlookup($A4869,product!$A:$A,product!D:D)</f>
        <v>Relaxation, sérénité, mémoire</v>
      </c>
      <c r="E4869" s="25" t="str">
        <f t="shared" si="1"/>
        <v>156038-Compléments alimentaires-Relaxation, sérénité, mémoire</v>
      </c>
      <c r="F4869" s="25">
        <v>0.0</v>
      </c>
      <c r="G4869" s="25">
        <v>737.0</v>
      </c>
      <c r="H4869" s="25">
        <v>644.0</v>
      </c>
      <c r="I4869" s="26">
        <f t="array" ref="I4869">XLOOKUP($A4869,product!A:A,product!E:E)</f>
        <v>12.62</v>
      </c>
      <c r="J4869" s="25">
        <f t="shared" si="2"/>
        <v>8127.28</v>
      </c>
      <c r="K4869" s="27">
        <f t="shared" si="3"/>
        <v>1</v>
      </c>
      <c r="L4869" s="25">
        <f t="shared" si="4"/>
        <v>1</v>
      </c>
    </row>
    <row r="4870">
      <c r="A4870" s="19">
        <v>117392.0</v>
      </c>
      <c r="B4870" s="20" t="str">
        <f t="array" ref="B4870">xlookup($A4870,product!$A:$A,product!B:B)</f>
        <v>Santé &amp; Bien-être</v>
      </c>
      <c r="C4870" s="20" t="str">
        <f t="array" ref="C4870">xlookup($A4870,product!$A:$A,product!C:C)</f>
        <v>Compléments alimentaires</v>
      </c>
      <c r="D4870" s="20" t="str">
        <f t="array" ref="D4870">xlookup($A4870,product!$A:$A,product!D:D)</f>
        <v>Relaxation, sérénité, mémoire</v>
      </c>
      <c r="E4870" s="4" t="str">
        <f t="shared" si="1"/>
        <v>117392-Compléments alimentaires-Relaxation, sérénité, mémoire</v>
      </c>
      <c r="F4870" s="4">
        <v>0.0</v>
      </c>
      <c r="G4870" s="4">
        <v>48.0</v>
      </c>
      <c r="H4870" s="4">
        <v>35.0</v>
      </c>
      <c r="I4870" s="21">
        <f t="array" ref="I4870">XLOOKUP($A4870,product!A:A,product!E:E)</f>
        <v>6.22</v>
      </c>
      <c r="J4870" s="4">
        <f t="shared" si="2"/>
        <v>217.7</v>
      </c>
      <c r="K4870" s="22">
        <f t="shared" si="3"/>
        <v>1</v>
      </c>
      <c r="L4870" s="4">
        <f t="shared" si="4"/>
        <v>1</v>
      </c>
    </row>
    <row r="4871">
      <c r="A4871" s="23">
        <v>86620.0</v>
      </c>
      <c r="B4871" s="24" t="str">
        <f t="array" ref="B4871">xlookup($A4871,product!$A:$A,product!B:B)</f>
        <v>Santé &amp; Bien-être</v>
      </c>
      <c r="C4871" s="24" t="str">
        <f t="array" ref="C4871">xlookup($A4871,product!$A:$A,product!C:C)</f>
        <v>Compléments alimentaires</v>
      </c>
      <c r="D4871" s="24" t="str">
        <f t="array" ref="D4871">xlookup($A4871,product!$A:$A,product!D:D)</f>
        <v>Relaxation, sérénité, mémoire</v>
      </c>
      <c r="E4871" s="25" t="str">
        <f t="shared" si="1"/>
        <v>86620-Compléments alimentaires-Relaxation, sérénité, mémoire</v>
      </c>
      <c r="F4871" s="25">
        <v>1.0</v>
      </c>
      <c r="G4871" s="25">
        <v>270.0</v>
      </c>
      <c r="H4871" s="25">
        <v>9.0</v>
      </c>
      <c r="I4871" s="26">
        <f t="array" ref="I4871">XLOOKUP($A4871,product!A:A,product!E:E)</f>
        <v>4.66</v>
      </c>
      <c r="J4871" s="25">
        <f t="shared" si="2"/>
        <v>41.94</v>
      </c>
      <c r="K4871" s="27">
        <f t="shared" si="3"/>
        <v>1</v>
      </c>
      <c r="L4871" s="25">
        <f t="shared" si="4"/>
        <v>1</v>
      </c>
    </row>
    <row r="4872">
      <c r="A4872" s="19">
        <v>27871.0</v>
      </c>
      <c r="B4872" s="20" t="str">
        <f t="array" ref="B4872">xlookup($A4872,product!$A:$A,product!B:B)</f>
        <v>Santé &amp; Bien-être</v>
      </c>
      <c r="C4872" s="20" t="str">
        <f t="array" ref="C4872">xlookup($A4872,product!$A:$A,product!C:C)</f>
        <v>Compléments alimentaires</v>
      </c>
      <c r="D4872" s="20" t="str">
        <f t="array" ref="D4872">xlookup($A4872,product!$A:$A,product!D:D)</f>
        <v>Relaxation, sérénité, mémoire</v>
      </c>
      <c r="E4872" s="4" t="str">
        <f t="shared" si="1"/>
        <v>27871-Compléments alimentaires-Relaxation, sérénité, mémoire</v>
      </c>
      <c r="F4872" s="4">
        <v>0.0</v>
      </c>
      <c r="G4872" s="4">
        <v>542.0</v>
      </c>
      <c r="H4872" s="4">
        <v>416.0</v>
      </c>
      <c r="I4872" s="21">
        <f t="array" ref="I4872">XLOOKUP($A4872,product!A:A,product!E:E)</f>
        <v>7.7</v>
      </c>
      <c r="J4872" s="4">
        <f t="shared" si="2"/>
        <v>3203.2</v>
      </c>
      <c r="K4872" s="22">
        <f t="shared" si="3"/>
        <v>1</v>
      </c>
      <c r="L4872" s="4">
        <f t="shared" si="4"/>
        <v>1</v>
      </c>
    </row>
    <row r="4873">
      <c r="A4873" s="23">
        <v>82874.0</v>
      </c>
      <c r="B4873" s="24" t="str">
        <f t="array" ref="B4873">xlookup($A4873,product!$A:$A,product!B:B)</f>
        <v>Santé &amp; Bien-être</v>
      </c>
      <c r="C4873" s="24" t="str">
        <f t="array" ref="C4873">xlookup($A4873,product!$A:$A,product!C:C)</f>
        <v>Compléments alimentaires</v>
      </c>
      <c r="D4873" s="24" t="str">
        <f t="array" ref="D4873">xlookup($A4873,product!$A:$A,product!D:D)</f>
        <v>Relaxation, sérénité, mémoire</v>
      </c>
      <c r="E4873" s="25" t="str">
        <f t="shared" si="1"/>
        <v>82874-Compléments alimentaires-Relaxation, sérénité, mémoire</v>
      </c>
      <c r="F4873" s="25">
        <v>0.0</v>
      </c>
      <c r="G4873" s="25">
        <v>378.0</v>
      </c>
      <c r="H4873" s="25">
        <v>59.0</v>
      </c>
      <c r="I4873" s="26">
        <f t="array" ref="I4873">XLOOKUP($A4873,product!A:A,product!E:E)</f>
        <v>7.99</v>
      </c>
      <c r="J4873" s="25">
        <f t="shared" si="2"/>
        <v>471.41</v>
      </c>
      <c r="K4873" s="27">
        <f t="shared" si="3"/>
        <v>1</v>
      </c>
      <c r="L4873" s="25">
        <f t="shared" si="4"/>
        <v>1</v>
      </c>
    </row>
    <row r="4874">
      <c r="A4874" s="19">
        <v>120292.0</v>
      </c>
      <c r="B4874" s="20" t="str">
        <f t="array" ref="B4874">xlookup($A4874,product!$A:$A,product!B:B)</f>
        <v>Santé &amp; Bien-être</v>
      </c>
      <c r="C4874" s="20" t="str">
        <f t="array" ref="C4874">xlookup($A4874,product!$A:$A,product!C:C)</f>
        <v>Compléments alimentaires</v>
      </c>
      <c r="D4874" s="20" t="str">
        <f t="array" ref="D4874">xlookup($A4874,product!$A:$A,product!D:D)</f>
        <v>Relaxation, sérénité, mémoire</v>
      </c>
      <c r="E4874" s="4" t="str">
        <f t="shared" si="1"/>
        <v>120292-Compléments alimentaires-Relaxation, sérénité, mémoire</v>
      </c>
      <c r="F4874" s="4">
        <v>0.0</v>
      </c>
      <c r="G4874" s="4">
        <v>388.0</v>
      </c>
      <c r="H4874" s="4">
        <v>43.0</v>
      </c>
      <c r="I4874" s="21">
        <f t="array" ref="I4874">XLOOKUP($A4874,product!A:A,product!E:E)</f>
        <v>6.31</v>
      </c>
      <c r="J4874" s="4">
        <f t="shared" si="2"/>
        <v>271.33</v>
      </c>
      <c r="K4874" s="22">
        <f t="shared" si="3"/>
        <v>1</v>
      </c>
      <c r="L4874" s="4">
        <f t="shared" si="4"/>
        <v>1</v>
      </c>
    </row>
    <row r="4875">
      <c r="A4875" s="23">
        <v>120293.0</v>
      </c>
      <c r="B4875" s="24" t="str">
        <f t="array" ref="B4875">xlookup($A4875,product!$A:$A,product!B:B)</f>
        <v>Santé &amp; Bien-être</v>
      </c>
      <c r="C4875" s="24" t="str">
        <f t="array" ref="C4875">xlookup($A4875,product!$A:$A,product!C:C)</f>
        <v>Compléments alimentaires</v>
      </c>
      <c r="D4875" s="24" t="str">
        <f t="array" ref="D4875">xlookup($A4875,product!$A:$A,product!D:D)</f>
        <v>Relaxation, sérénité, mémoire</v>
      </c>
      <c r="E4875" s="25" t="str">
        <f t="shared" si="1"/>
        <v>120293-Compléments alimentaires-Relaxation, sérénité, mémoire</v>
      </c>
      <c r="F4875" s="25">
        <v>0.0</v>
      </c>
      <c r="G4875" s="25">
        <v>925.0</v>
      </c>
      <c r="H4875" s="25">
        <v>461.0</v>
      </c>
      <c r="I4875" s="26">
        <f t="array" ref="I4875">XLOOKUP($A4875,product!A:A,product!E:E)</f>
        <v>8</v>
      </c>
      <c r="J4875" s="25">
        <f t="shared" si="2"/>
        <v>3688</v>
      </c>
      <c r="K4875" s="27">
        <f t="shared" si="3"/>
        <v>1</v>
      </c>
      <c r="L4875" s="25">
        <f t="shared" si="4"/>
        <v>1</v>
      </c>
    </row>
    <row r="4876">
      <c r="A4876" s="19">
        <v>44522.0</v>
      </c>
      <c r="B4876" s="20" t="str">
        <f t="array" ref="B4876">xlookup($A4876,product!$A:$A,product!B:B)</f>
        <v>Santé &amp; Bien-être</v>
      </c>
      <c r="C4876" s="20" t="str">
        <f t="array" ref="C4876">xlookup($A4876,product!$A:$A,product!C:C)</f>
        <v>Compléments alimentaires</v>
      </c>
      <c r="D4876" s="20" t="str">
        <f t="array" ref="D4876">xlookup($A4876,product!$A:$A,product!D:D)</f>
        <v>Relaxation, sérénité, mémoire</v>
      </c>
      <c r="E4876" s="4" t="str">
        <f t="shared" si="1"/>
        <v>44522-Compléments alimentaires-Relaxation, sérénité, mémoire</v>
      </c>
      <c r="F4876" s="4">
        <v>0.0</v>
      </c>
      <c r="G4876" s="4">
        <v>588.0</v>
      </c>
      <c r="H4876" s="4">
        <v>450.0</v>
      </c>
      <c r="I4876" s="21">
        <f t="array" ref="I4876">XLOOKUP($A4876,product!A:A,product!E:E)</f>
        <v>5.8</v>
      </c>
      <c r="J4876" s="4">
        <f t="shared" si="2"/>
        <v>2610</v>
      </c>
      <c r="K4876" s="22">
        <f t="shared" si="3"/>
        <v>1</v>
      </c>
      <c r="L4876" s="4">
        <f t="shared" si="4"/>
        <v>1</v>
      </c>
    </row>
    <row r="4877">
      <c r="A4877" s="23">
        <v>143999.0</v>
      </c>
      <c r="B4877" s="24" t="str">
        <f t="array" ref="B4877">xlookup($A4877,product!$A:$A,product!B:B)</f>
        <v>Santé &amp; Bien-être</v>
      </c>
      <c r="C4877" s="24" t="str">
        <f t="array" ref="C4877">xlookup($A4877,product!$A:$A,product!C:C)</f>
        <v>Compléments alimentaires</v>
      </c>
      <c r="D4877" s="24" t="str">
        <f t="array" ref="D4877">xlookup($A4877,product!$A:$A,product!D:D)</f>
        <v>Relaxation, sérénité, mémoire</v>
      </c>
      <c r="E4877" s="25" t="str">
        <f t="shared" si="1"/>
        <v>143999-Compléments alimentaires-Relaxation, sérénité, mémoire</v>
      </c>
      <c r="F4877" s="25">
        <v>1.0</v>
      </c>
      <c r="G4877" s="25">
        <v>900.0</v>
      </c>
      <c r="H4877" s="25">
        <v>114.0</v>
      </c>
      <c r="I4877" s="26">
        <f t="array" ref="I4877">XLOOKUP($A4877,product!A:A,product!E:E)</f>
        <v>16.07</v>
      </c>
      <c r="J4877" s="25">
        <f t="shared" si="2"/>
        <v>1831.98</v>
      </c>
      <c r="K4877" s="27">
        <f t="shared" si="3"/>
        <v>1</v>
      </c>
      <c r="L4877" s="25">
        <f t="shared" si="4"/>
        <v>1</v>
      </c>
    </row>
    <row r="4878">
      <c r="A4878" s="19">
        <v>144000.0</v>
      </c>
      <c r="B4878" s="20" t="str">
        <f t="array" ref="B4878">xlookup($A4878,product!$A:$A,product!B:B)</f>
        <v>Santé &amp; Bien-être</v>
      </c>
      <c r="C4878" s="20" t="str">
        <f t="array" ref="C4878">xlookup($A4878,product!$A:$A,product!C:C)</f>
        <v>Compléments alimentaires</v>
      </c>
      <c r="D4878" s="20" t="str">
        <f t="array" ref="D4878">xlookup($A4878,product!$A:$A,product!D:D)</f>
        <v>Relaxation, sérénité, mémoire</v>
      </c>
      <c r="E4878" s="4" t="str">
        <f t="shared" si="1"/>
        <v>144000-Compléments alimentaires-Relaxation, sérénité, mémoire</v>
      </c>
      <c r="F4878" s="4">
        <v>0.0</v>
      </c>
      <c r="G4878" s="4">
        <v>759.0</v>
      </c>
      <c r="H4878" s="4">
        <v>54.0</v>
      </c>
      <c r="I4878" s="21">
        <f t="array" ref="I4878">XLOOKUP($A4878,product!A:A,product!E:E)</f>
        <v>25.57</v>
      </c>
      <c r="J4878" s="4">
        <f t="shared" si="2"/>
        <v>1380.78</v>
      </c>
      <c r="K4878" s="22">
        <f t="shared" si="3"/>
        <v>1</v>
      </c>
      <c r="L4878" s="4">
        <f t="shared" si="4"/>
        <v>1</v>
      </c>
    </row>
    <row r="4879">
      <c r="A4879" s="23">
        <v>91236.0</v>
      </c>
      <c r="B4879" s="24" t="str">
        <f t="array" ref="B4879">xlookup($A4879,product!$A:$A,product!B:B)</f>
        <v>Santé &amp; Bien-être</v>
      </c>
      <c r="C4879" s="24" t="str">
        <f t="array" ref="C4879">xlookup($A4879,product!$A:$A,product!C:C)</f>
        <v>Digestion, transit, flore</v>
      </c>
      <c r="D4879" s="24" t="str">
        <f t="array" ref="D4879">xlookup($A4879,product!$A:$A,product!D:D)</f>
        <v>Psyllium</v>
      </c>
      <c r="E4879" s="25" t="str">
        <f t="shared" si="1"/>
        <v>91236-Digestion, transit, flore-Psyllium</v>
      </c>
      <c r="F4879" s="25">
        <v>1.0</v>
      </c>
      <c r="G4879" s="25">
        <v>381.0</v>
      </c>
      <c r="H4879" s="25">
        <v>135.0</v>
      </c>
      <c r="I4879" s="26">
        <f t="array" ref="I4879">XLOOKUP($A4879,product!A:A,product!E:E)</f>
        <v>15.81</v>
      </c>
      <c r="J4879" s="25">
        <f t="shared" si="2"/>
        <v>2134.35</v>
      </c>
      <c r="K4879" s="27">
        <f t="shared" si="3"/>
        <v>1</v>
      </c>
      <c r="L4879" s="25">
        <f t="shared" si="4"/>
        <v>1</v>
      </c>
    </row>
    <row r="4880">
      <c r="A4880" s="19">
        <v>78213.0</v>
      </c>
      <c r="B4880" s="20" t="str">
        <f t="array" ref="B4880">xlookup($A4880,product!$A:$A,product!B:B)</f>
        <v>Santé &amp; Bien-être</v>
      </c>
      <c r="C4880" s="20" t="str">
        <f t="array" ref="C4880">xlookup($A4880,product!$A:$A,product!C:C)</f>
        <v>Digestion, transit, flore</v>
      </c>
      <c r="D4880" s="20" t="str">
        <f t="array" ref="D4880">xlookup($A4880,product!$A:$A,product!D:D)</f>
        <v>Psyllium</v>
      </c>
      <c r="E4880" s="4" t="str">
        <f t="shared" si="1"/>
        <v>78213-Digestion, transit, flore-Psyllium</v>
      </c>
      <c r="F4880" s="4">
        <v>0.0</v>
      </c>
      <c r="G4880" s="4">
        <v>474.0</v>
      </c>
      <c r="H4880" s="4">
        <v>203.0</v>
      </c>
      <c r="I4880" s="21">
        <f t="array" ref="I4880">XLOOKUP($A4880,product!A:A,product!E:E)</f>
        <v>10.32</v>
      </c>
      <c r="J4880" s="4">
        <f t="shared" si="2"/>
        <v>2094.96</v>
      </c>
      <c r="K4880" s="22">
        <f t="shared" si="3"/>
        <v>1</v>
      </c>
      <c r="L4880" s="4">
        <f t="shared" si="4"/>
        <v>1</v>
      </c>
    </row>
    <row r="4881">
      <c r="A4881" s="23">
        <v>119254.0</v>
      </c>
      <c r="B4881" s="24" t="str">
        <f t="array" ref="B4881">xlookup($A4881,product!$A:$A,product!B:B)</f>
        <v>Santé &amp; Bien-être</v>
      </c>
      <c r="C4881" s="24" t="str">
        <f t="array" ref="C4881">xlookup($A4881,product!$A:$A,product!C:C)</f>
        <v>Digestion, transit, flore</v>
      </c>
      <c r="D4881" s="24" t="str">
        <f t="array" ref="D4881">xlookup($A4881,product!$A:$A,product!D:D)</f>
        <v>Psyllium</v>
      </c>
      <c r="E4881" s="25" t="str">
        <f t="shared" si="1"/>
        <v>119254-Digestion, transit, flore-Psyllium</v>
      </c>
      <c r="F4881" s="25">
        <v>1.0</v>
      </c>
      <c r="G4881" s="25">
        <v>701.0</v>
      </c>
      <c r="H4881" s="25">
        <v>548.0</v>
      </c>
      <c r="I4881" s="26">
        <f t="array" ref="I4881">XLOOKUP($A4881,product!A:A,product!E:E)</f>
        <v>2.47</v>
      </c>
      <c r="J4881" s="25">
        <f t="shared" si="2"/>
        <v>1353.56</v>
      </c>
      <c r="K4881" s="27">
        <f t="shared" si="3"/>
        <v>1</v>
      </c>
      <c r="L4881" s="25">
        <f t="shared" si="4"/>
        <v>1</v>
      </c>
    </row>
    <row r="4882">
      <c r="A4882" s="19">
        <v>82149.0</v>
      </c>
      <c r="B4882" s="20" t="str">
        <f t="array" ref="B4882">xlookup($A4882,product!$A:$A,product!B:B)</f>
        <v>Santé &amp; Bien-être</v>
      </c>
      <c r="C4882" s="20" t="str">
        <f t="array" ref="C4882">xlookup($A4882,product!$A:$A,product!C:C)</f>
        <v>Digestion, transit, flore</v>
      </c>
      <c r="D4882" s="20" t="str">
        <f t="array" ref="D4882">xlookup($A4882,product!$A:$A,product!D:D)</f>
        <v>Psyllium</v>
      </c>
      <c r="E4882" s="4" t="str">
        <f t="shared" si="1"/>
        <v>82149-Digestion, transit, flore-Psyllium</v>
      </c>
      <c r="F4882" s="4">
        <v>1.0</v>
      </c>
      <c r="G4882" s="4">
        <v>621.0</v>
      </c>
      <c r="H4882" s="4">
        <v>95.0</v>
      </c>
      <c r="I4882" s="21">
        <f t="array" ref="I4882">XLOOKUP($A4882,product!A:A,product!E:E)</f>
        <v>10.4</v>
      </c>
      <c r="J4882" s="4">
        <f t="shared" si="2"/>
        <v>988</v>
      </c>
      <c r="K4882" s="22">
        <f t="shared" si="3"/>
        <v>1</v>
      </c>
      <c r="L4882" s="4">
        <f t="shared" si="4"/>
        <v>1</v>
      </c>
    </row>
    <row r="4883">
      <c r="A4883" s="23">
        <v>30864.0</v>
      </c>
      <c r="B4883" s="24" t="str">
        <f t="array" ref="B4883">xlookup($A4883,product!$A:$A,product!B:B)</f>
        <v>Santé &amp; Bien-être</v>
      </c>
      <c r="C4883" s="24" t="str">
        <f t="array" ref="C4883">xlookup($A4883,product!$A:$A,product!C:C)</f>
        <v>Digestion, transit, flore</v>
      </c>
      <c r="D4883" s="24" t="str">
        <f t="array" ref="D4883">xlookup($A4883,product!$A:$A,product!D:D)</f>
        <v>Psyllium</v>
      </c>
      <c r="E4883" s="25" t="str">
        <f t="shared" si="1"/>
        <v>30864-Digestion, transit, flore-Psyllium</v>
      </c>
      <c r="F4883" s="25">
        <v>0.0</v>
      </c>
      <c r="G4883" s="25">
        <v>316.0</v>
      </c>
      <c r="H4883" s="25">
        <v>63.0</v>
      </c>
      <c r="I4883" s="26">
        <f t="array" ref="I4883">XLOOKUP($A4883,product!A:A,product!E:E)</f>
        <v>4.69</v>
      </c>
      <c r="J4883" s="25">
        <f t="shared" si="2"/>
        <v>295.47</v>
      </c>
      <c r="K4883" s="27">
        <f t="shared" si="3"/>
        <v>1</v>
      </c>
      <c r="L4883" s="25">
        <f t="shared" si="4"/>
        <v>1</v>
      </c>
    </row>
    <row r="4884">
      <c r="A4884" s="19">
        <v>82148.0</v>
      </c>
      <c r="B4884" s="20" t="str">
        <f t="array" ref="B4884">xlookup($A4884,product!$A:$A,product!B:B)</f>
        <v>Santé &amp; Bien-être</v>
      </c>
      <c r="C4884" s="20" t="str">
        <f t="array" ref="C4884">xlookup($A4884,product!$A:$A,product!C:C)</f>
        <v>Digestion, transit, flore</v>
      </c>
      <c r="D4884" s="20" t="str">
        <f t="array" ref="D4884">xlookup($A4884,product!$A:$A,product!D:D)</f>
        <v>Psyllium</v>
      </c>
      <c r="E4884" s="4" t="str">
        <f t="shared" si="1"/>
        <v>82148-Digestion, transit, flore-Psyllium</v>
      </c>
      <c r="F4884" s="4">
        <v>0.0</v>
      </c>
      <c r="G4884" s="4">
        <v>833.0</v>
      </c>
      <c r="H4884" s="4">
        <v>331.0</v>
      </c>
      <c r="I4884" s="21">
        <f t="array" ref="I4884">XLOOKUP($A4884,product!A:A,product!E:E)</f>
        <v>4.41</v>
      </c>
      <c r="J4884" s="4">
        <f t="shared" si="2"/>
        <v>1459.71</v>
      </c>
      <c r="K4884" s="22">
        <f t="shared" si="3"/>
        <v>1</v>
      </c>
      <c r="L4884" s="4">
        <f t="shared" si="4"/>
        <v>1</v>
      </c>
    </row>
    <row r="4885">
      <c r="A4885" s="23">
        <v>78069.0</v>
      </c>
      <c r="B4885" s="24" t="str">
        <f t="array" ref="B4885">xlookup($A4885,product!$A:$A,product!B:B)</f>
        <v>Santé &amp; Bien-être</v>
      </c>
      <c r="C4885" s="24" t="str">
        <f t="array" ref="C4885">xlookup($A4885,product!$A:$A,product!C:C)</f>
        <v>Digestion, transit, flore</v>
      </c>
      <c r="D4885" s="24" t="str">
        <f t="array" ref="D4885">xlookup($A4885,product!$A:$A,product!D:D)</f>
        <v>Psyllium</v>
      </c>
      <c r="E4885" s="25" t="str">
        <f t="shared" si="1"/>
        <v>78069-Digestion, transit, flore-Psyllium</v>
      </c>
      <c r="F4885" s="25">
        <v>1.0</v>
      </c>
      <c r="G4885" s="25">
        <v>939.0</v>
      </c>
      <c r="H4885" s="25">
        <v>4.0</v>
      </c>
      <c r="I4885" s="26">
        <f t="array" ref="I4885">XLOOKUP($A4885,product!A:A,product!E:E)</f>
        <v>6.08</v>
      </c>
      <c r="J4885" s="25">
        <f t="shared" si="2"/>
        <v>24.32</v>
      </c>
      <c r="K4885" s="27">
        <f t="shared" si="3"/>
        <v>1</v>
      </c>
      <c r="L4885" s="25">
        <f t="shared" si="4"/>
        <v>1</v>
      </c>
    </row>
    <row r="4886">
      <c r="A4886" s="19">
        <v>68623.0</v>
      </c>
      <c r="B4886" s="20" t="str">
        <f t="array" ref="B4886">xlookup($A4886,product!$A:$A,product!B:B)</f>
        <v>Santé &amp; Bien-être</v>
      </c>
      <c r="C4886" s="20" t="str">
        <f t="array" ref="C4886">xlookup($A4886,product!$A:$A,product!C:C)</f>
        <v>Digestion, transit, flore</v>
      </c>
      <c r="D4886" s="20" t="str">
        <f t="array" ref="D4886">xlookup($A4886,product!$A:$A,product!D:D)</f>
        <v>Psyllium</v>
      </c>
      <c r="E4886" s="4" t="str">
        <f t="shared" si="1"/>
        <v>68623-Digestion, transit, flore-Psyllium</v>
      </c>
      <c r="F4886" s="4">
        <v>0.0</v>
      </c>
      <c r="G4886" s="4">
        <v>508.0</v>
      </c>
      <c r="H4886" s="4">
        <v>110.0</v>
      </c>
      <c r="I4886" s="21">
        <f t="array" ref="I4886">XLOOKUP($A4886,product!A:A,product!E:E)</f>
        <v>11.15</v>
      </c>
      <c r="J4886" s="4">
        <f t="shared" si="2"/>
        <v>1226.5</v>
      </c>
      <c r="K4886" s="22">
        <f t="shared" si="3"/>
        <v>1</v>
      </c>
      <c r="L4886" s="4">
        <f t="shared" si="4"/>
        <v>1</v>
      </c>
    </row>
    <row r="4887">
      <c r="A4887" s="23">
        <v>108904.0</v>
      </c>
      <c r="B4887" s="24" t="str">
        <f t="array" ref="B4887">xlookup($A4887,product!$A:$A,product!B:B)</f>
        <v>Santé &amp; Bien-être</v>
      </c>
      <c r="C4887" s="24" t="str">
        <f t="array" ref="C4887">xlookup($A4887,product!$A:$A,product!C:C)</f>
        <v>Digestion, transit, flore</v>
      </c>
      <c r="D4887" s="24" t="str">
        <f t="array" ref="D4887">xlookup($A4887,product!$A:$A,product!D:D)</f>
        <v>Psyllium</v>
      </c>
      <c r="E4887" s="25" t="str">
        <f t="shared" si="1"/>
        <v>108904-Digestion, transit, flore-Psyllium</v>
      </c>
      <c r="F4887" s="25">
        <v>1.0</v>
      </c>
      <c r="G4887" s="25">
        <v>605.0</v>
      </c>
      <c r="H4887" s="25">
        <v>575.0</v>
      </c>
      <c r="I4887" s="26">
        <f t="array" ref="I4887">XLOOKUP($A4887,product!A:A,product!E:E)</f>
        <v>6.21</v>
      </c>
      <c r="J4887" s="25">
        <f t="shared" si="2"/>
        <v>3570.75</v>
      </c>
      <c r="K4887" s="27">
        <f t="shared" si="3"/>
        <v>1</v>
      </c>
      <c r="L4887" s="25">
        <f t="shared" si="4"/>
        <v>1</v>
      </c>
    </row>
    <row r="4888">
      <c r="A4888" s="19">
        <v>113967.0</v>
      </c>
      <c r="B4888" s="20" t="str">
        <f t="array" ref="B4888">xlookup($A4888,product!$A:$A,product!B:B)</f>
        <v>Santé &amp; Bien-être</v>
      </c>
      <c r="C4888" s="20" t="str">
        <f t="array" ref="C4888">xlookup($A4888,product!$A:$A,product!C:C)</f>
        <v>Digestion, transit, flore</v>
      </c>
      <c r="D4888" s="20" t="str">
        <f t="array" ref="D4888">xlookup($A4888,product!$A:$A,product!D:D)</f>
        <v>Psyllium</v>
      </c>
      <c r="E4888" s="4" t="str">
        <f t="shared" si="1"/>
        <v>113967-Digestion, transit, flore-Psyllium</v>
      </c>
      <c r="F4888" s="4">
        <v>1.0</v>
      </c>
      <c r="G4888" s="4">
        <v>826.0</v>
      </c>
      <c r="H4888" s="4">
        <v>90.0</v>
      </c>
      <c r="I4888" s="21">
        <f t="array" ref="I4888">XLOOKUP($A4888,product!A:A,product!E:E)</f>
        <v>9.2</v>
      </c>
      <c r="J4888" s="4">
        <f t="shared" si="2"/>
        <v>828</v>
      </c>
      <c r="K4888" s="22">
        <f t="shared" si="3"/>
        <v>1</v>
      </c>
      <c r="L4888" s="4">
        <f t="shared" si="4"/>
        <v>1</v>
      </c>
    </row>
    <row r="4889">
      <c r="A4889" s="23">
        <v>10145.0</v>
      </c>
      <c r="B4889" s="24" t="str">
        <f t="array" ref="B4889">xlookup($A4889,product!$A:$A,product!B:B)</f>
        <v>Santé &amp; Bien-être</v>
      </c>
      <c r="C4889" s="24" t="str">
        <f t="array" ref="C4889">xlookup($A4889,product!$A:$A,product!C:C)</f>
        <v>Digestion, transit, flore</v>
      </c>
      <c r="D4889" s="24" t="str">
        <f t="array" ref="D4889">xlookup($A4889,product!$A:$A,product!D:D)</f>
        <v>Charbon végétal</v>
      </c>
      <c r="E4889" s="25" t="str">
        <f t="shared" si="1"/>
        <v>10145-Digestion, transit, flore-Charbon végétal</v>
      </c>
      <c r="F4889" s="25">
        <v>1.0</v>
      </c>
      <c r="G4889" s="25">
        <v>147.0</v>
      </c>
      <c r="H4889" s="25">
        <v>11.0</v>
      </c>
      <c r="I4889" s="26">
        <f t="array" ref="I4889">XLOOKUP($A4889,product!A:A,product!E:E)</f>
        <v>5.49</v>
      </c>
      <c r="J4889" s="25">
        <f t="shared" si="2"/>
        <v>60.39</v>
      </c>
      <c r="K4889" s="27">
        <f t="shared" si="3"/>
        <v>1</v>
      </c>
      <c r="L4889" s="25">
        <f t="shared" si="4"/>
        <v>1</v>
      </c>
    </row>
    <row r="4890">
      <c r="A4890" s="19">
        <v>116960.0</v>
      </c>
      <c r="B4890" s="20" t="str">
        <f t="array" ref="B4890">xlookup($A4890,product!$A:$A,product!B:B)</f>
        <v>Santé &amp; Bien-être</v>
      </c>
      <c r="C4890" s="20" t="str">
        <f t="array" ref="C4890">xlookup($A4890,product!$A:$A,product!C:C)</f>
        <v>Digestion, transit, flore</v>
      </c>
      <c r="D4890" s="20" t="str">
        <f t="array" ref="D4890">xlookup($A4890,product!$A:$A,product!D:D)</f>
        <v>Charbon végétal</v>
      </c>
      <c r="E4890" s="4" t="str">
        <f t="shared" si="1"/>
        <v>116960-Digestion, transit, flore-Charbon végétal</v>
      </c>
      <c r="F4890" s="4">
        <v>1.0</v>
      </c>
      <c r="G4890" s="4">
        <v>823.0</v>
      </c>
      <c r="H4890" s="4">
        <v>400.0</v>
      </c>
      <c r="I4890" s="21">
        <f t="array" ref="I4890">XLOOKUP($A4890,product!A:A,product!E:E)</f>
        <v>7.72</v>
      </c>
      <c r="J4890" s="4">
        <f t="shared" si="2"/>
        <v>3088</v>
      </c>
      <c r="K4890" s="22">
        <f t="shared" si="3"/>
        <v>1</v>
      </c>
      <c r="L4890" s="4">
        <f t="shared" si="4"/>
        <v>1</v>
      </c>
    </row>
    <row r="4891">
      <c r="A4891" s="23">
        <v>103663.0</v>
      </c>
      <c r="B4891" s="24" t="str">
        <f t="array" ref="B4891">xlookup($A4891,product!$A:$A,product!B:B)</f>
        <v>Santé &amp; Bien-être</v>
      </c>
      <c r="C4891" s="24" t="str">
        <f t="array" ref="C4891">xlookup($A4891,product!$A:$A,product!C:C)</f>
        <v>Digestion, transit, flore</v>
      </c>
      <c r="D4891" s="24" t="str">
        <f t="array" ref="D4891">xlookup($A4891,product!$A:$A,product!D:D)</f>
        <v>Charbon végétal</v>
      </c>
      <c r="E4891" s="25" t="str">
        <f t="shared" si="1"/>
        <v>103663-Digestion, transit, flore-Charbon végétal</v>
      </c>
      <c r="F4891" s="25">
        <v>0.0</v>
      </c>
      <c r="G4891" s="25">
        <v>75.0</v>
      </c>
      <c r="H4891" s="25">
        <v>65.0</v>
      </c>
      <c r="I4891" s="26">
        <f t="array" ref="I4891">XLOOKUP($A4891,product!A:A,product!E:E)</f>
        <v>7.68</v>
      </c>
      <c r="J4891" s="25">
        <f t="shared" si="2"/>
        <v>499.2</v>
      </c>
      <c r="K4891" s="27">
        <f t="shared" si="3"/>
        <v>1</v>
      </c>
      <c r="L4891" s="25">
        <f t="shared" si="4"/>
        <v>1</v>
      </c>
    </row>
    <row r="4892">
      <c r="A4892" s="19">
        <v>45983.0</v>
      </c>
      <c r="B4892" s="20" t="str">
        <f t="array" ref="B4892">xlookup($A4892,product!$A:$A,product!B:B)</f>
        <v>Santé &amp; Bien-être</v>
      </c>
      <c r="C4892" s="20" t="str">
        <f t="array" ref="C4892">xlookup($A4892,product!$A:$A,product!C:C)</f>
        <v>Digestion, transit, flore</v>
      </c>
      <c r="D4892" s="20" t="str">
        <f t="array" ref="D4892">xlookup($A4892,product!$A:$A,product!D:D)</f>
        <v>Charbon végétal</v>
      </c>
      <c r="E4892" s="4" t="str">
        <f t="shared" si="1"/>
        <v>45983-Digestion, transit, flore-Charbon végétal</v>
      </c>
      <c r="F4892" s="4">
        <v>0.0</v>
      </c>
      <c r="G4892" s="4">
        <v>387.0</v>
      </c>
      <c r="H4892" s="4">
        <v>321.0</v>
      </c>
      <c r="I4892" s="21">
        <f t="array" ref="I4892">XLOOKUP($A4892,product!A:A,product!E:E)</f>
        <v>7.06</v>
      </c>
      <c r="J4892" s="4">
        <f t="shared" si="2"/>
        <v>2266.26</v>
      </c>
      <c r="K4892" s="22">
        <f t="shared" si="3"/>
        <v>1</v>
      </c>
      <c r="L4892" s="4">
        <f t="shared" si="4"/>
        <v>1</v>
      </c>
    </row>
    <row r="4893">
      <c r="A4893" s="23">
        <v>103662.0</v>
      </c>
      <c r="B4893" s="24" t="str">
        <f t="array" ref="B4893">xlookup($A4893,product!$A:$A,product!B:B)</f>
        <v>Santé &amp; Bien-être</v>
      </c>
      <c r="C4893" s="24" t="str">
        <f t="array" ref="C4893">xlookup($A4893,product!$A:$A,product!C:C)</f>
        <v>Digestion, transit, flore</v>
      </c>
      <c r="D4893" s="24" t="str">
        <f t="array" ref="D4893">xlookup($A4893,product!$A:$A,product!D:D)</f>
        <v>Charbon végétal</v>
      </c>
      <c r="E4893" s="25" t="str">
        <f t="shared" si="1"/>
        <v>103662-Digestion, transit, flore-Charbon végétal</v>
      </c>
      <c r="F4893" s="25">
        <v>0.0</v>
      </c>
      <c r="G4893" s="25">
        <v>352.0</v>
      </c>
      <c r="H4893" s="25">
        <v>235.0</v>
      </c>
      <c r="I4893" s="26">
        <f t="array" ref="I4893">XLOOKUP($A4893,product!A:A,product!E:E)</f>
        <v>6.4</v>
      </c>
      <c r="J4893" s="25">
        <f t="shared" si="2"/>
        <v>1504</v>
      </c>
      <c r="K4893" s="27">
        <f t="shared" si="3"/>
        <v>1</v>
      </c>
      <c r="L4893" s="25">
        <f t="shared" si="4"/>
        <v>1</v>
      </c>
    </row>
    <row r="4894">
      <c r="A4894" s="19">
        <v>78318.0</v>
      </c>
      <c r="B4894" s="20" t="str">
        <f t="array" ref="B4894">xlookup($A4894,product!$A:$A,product!B:B)</f>
        <v>Santé &amp; Bien-être</v>
      </c>
      <c r="C4894" s="20" t="str">
        <f t="array" ref="C4894">xlookup($A4894,product!$A:$A,product!C:C)</f>
        <v>Digestion, transit, flore</v>
      </c>
      <c r="D4894" s="20" t="str">
        <f t="array" ref="D4894">xlookup($A4894,product!$A:$A,product!D:D)</f>
        <v>Charbon végétal</v>
      </c>
      <c r="E4894" s="4" t="str">
        <f t="shared" si="1"/>
        <v>78318-Digestion, transit, flore-Charbon végétal</v>
      </c>
      <c r="F4894" s="4">
        <v>0.0</v>
      </c>
      <c r="G4894" s="4">
        <v>917.0</v>
      </c>
      <c r="H4894" s="4">
        <v>529.0</v>
      </c>
      <c r="I4894" s="21">
        <f t="array" ref="I4894">XLOOKUP($A4894,product!A:A,product!E:E)</f>
        <v>6.72</v>
      </c>
      <c r="J4894" s="4">
        <f t="shared" si="2"/>
        <v>3554.88</v>
      </c>
      <c r="K4894" s="22">
        <f t="shared" si="3"/>
        <v>1</v>
      </c>
      <c r="L4894" s="4">
        <f t="shared" si="4"/>
        <v>1</v>
      </c>
    </row>
    <row r="4895">
      <c r="A4895" s="23">
        <v>120179.0</v>
      </c>
      <c r="B4895" s="24" t="str">
        <f t="array" ref="B4895">xlookup($A4895,product!$A:$A,product!B:B)</f>
        <v>Santé &amp; Bien-être</v>
      </c>
      <c r="C4895" s="24" t="str">
        <f t="array" ref="C4895">xlookup($A4895,product!$A:$A,product!C:C)</f>
        <v>Digestion, transit, flore</v>
      </c>
      <c r="D4895" s="24" t="str">
        <f t="array" ref="D4895">xlookup($A4895,product!$A:$A,product!D:D)</f>
        <v>Charbon végétal</v>
      </c>
      <c r="E4895" s="25" t="str">
        <f t="shared" si="1"/>
        <v>120179-Digestion, transit, flore-Charbon végétal</v>
      </c>
      <c r="F4895" s="25">
        <v>1.0</v>
      </c>
      <c r="G4895" s="25">
        <v>932.0</v>
      </c>
      <c r="H4895" s="25">
        <v>719.0</v>
      </c>
      <c r="I4895" s="26">
        <f t="array" ref="I4895">XLOOKUP($A4895,product!A:A,product!E:E)</f>
        <v>6.06</v>
      </c>
      <c r="J4895" s="25">
        <f t="shared" si="2"/>
        <v>4357.14</v>
      </c>
      <c r="K4895" s="27">
        <f t="shared" si="3"/>
        <v>1</v>
      </c>
      <c r="L4895" s="25">
        <f t="shared" si="4"/>
        <v>1</v>
      </c>
    </row>
    <row r="4896">
      <c r="A4896" s="19">
        <v>10144.0</v>
      </c>
      <c r="B4896" s="20" t="str">
        <f t="array" ref="B4896">xlookup($A4896,product!$A:$A,product!B:B)</f>
        <v>Santé &amp; Bien-être</v>
      </c>
      <c r="C4896" s="20" t="str">
        <f t="array" ref="C4896">xlookup($A4896,product!$A:$A,product!C:C)</f>
        <v>Digestion, transit, flore</v>
      </c>
      <c r="D4896" s="20" t="str">
        <f t="array" ref="D4896">xlookup($A4896,product!$A:$A,product!D:D)</f>
        <v>Charbon végétal</v>
      </c>
      <c r="E4896" s="4" t="str">
        <f t="shared" si="1"/>
        <v>10144-Digestion, transit, flore-Charbon végétal</v>
      </c>
      <c r="F4896" s="4">
        <v>1.0</v>
      </c>
      <c r="G4896" s="4">
        <v>886.0</v>
      </c>
      <c r="H4896" s="4">
        <v>429.0</v>
      </c>
      <c r="I4896" s="21">
        <f t="array" ref="I4896">XLOOKUP($A4896,product!A:A,product!E:E)</f>
        <v>6.73</v>
      </c>
      <c r="J4896" s="4">
        <f t="shared" si="2"/>
        <v>2887.17</v>
      </c>
      <c r="K4896" s="22">
        <f t="shared" si="3"/>
        <v>1</v>
      </c>
      <c r="L4896" s="4">
        <f t="shared" si="4"/>
        <v>1</v>
      </c>
    </row>
    <row r="4897">
      <c r="A4897" s="23">
        <v>78304.0</v>
      </c>
      <c r="B4897" s="24" t="str">
        <f t="array" ref="B4897">xlookup($A4897,product!$A:$A,product!B:B)</f>
        <v>Santé &amp; Bien-être</v>
      </c>
      <c r="C4897" s="24" t="str">
        <f t="array" ref="C4897">xlookup($A4897,product!$A:$A,product!C:C)</f>
        <v>Digestion, transit, flore</v>
      </c>
      <c r="D4897" s="24" t="str">
        <f t="array" ref="D4897">xlookup($A4897,product!$A:$A,product!D:D)</f>
        <v>Charbon végétal</v>
      </c>
      <c r="E4897" s="25" t="str">
        <f t="shared" si="1"/>
        <v>78304-Digestion, transit, flore-Charbon végétal</v>
      </c>
      <c r="F4897" s="25">
        <v>1.0</v>
      </c>
      <c r="G4897" s="25">
        <v>178.0</v>
      </c>
      <c r="H4897" s="25">
        <v>122.0</v>
      </c>
      <c r="I4897" s="26">
        <f t="array" ref="I4897">XLOOKUP($A4897,product!A:A,product!E:E)</f>
        <v>6.06</v>
      </c>
      <c r="J4897" s="25">
        <f t="shared" si="2"/>
        <v>739.32</v>
      </c>
      <c r="K4897" s="27">
        <f t="shared" si="3"/>
        <v>1</v>
      </c>
      <c r="L4897" s="25">
        <f t="shared" si="4"/>
        <v>1</v>
      </c>
    </row>
    <row r="4898">
      <c r="A4898" s="19">
        <v>86598.0</v>
      </c>
      <c r="B4898" s="20" t="str">
        <f t="array" ref="B4898">xlookup($A4898,product!$A:$A,product!B:B)</f>
        <v>Santé &amp; Bien-être</v>
      </c>
      <c r="C4898" s="20" t="str">
        <f t="array" ref="C4898">xlookup($A4898,product!$A:$A,product!C:C)</f>
        <v>Digestion, transit, flore</v>
      </c>
      <c r="D4898" s="20" t="str">
        <f t="array" ref="D4898">xlookup($A4898,product!$A:$A,product!D:D)</f>
        <v>Charbon végétal</v>
      </c>
      <c r="E4898" s="4" t="str">
        <f t="shared" si="1"/>
        <v>86598-Digestion, transit, flore-Charbon végétal</v>
      </c>
      <c r="F4898" s="4">
        <v>0.0</v>
      </c>
      <c r="G4898" s="4">
        <v>199.0</v>
      </c>
      <c r="H4898" s="4">
        <v>66.0</v>
      </c>
      <c r="I4898" s="21">
        <f t="array" ref="I4898">XLOOKUP($A4898,product!A:A,product!E:E)</f>
        <v>5.96</v>
      </c>
      <c r="J4898" s="4">
        <f t="shared" si="2"/>
        <v>393.36</v>
      </c>
      <c r="K4898" s="22">
        <f t="shared" si="3"/>
        <v>1</v>
      </c>
      <c r="L4898" s="4">
        <f t="shared" si="4"/>
        <v>1</v>
      </c>
    </row>
    <row r="4899">
      <c r="A4899" s="23">
        <v>103665.0</v>
      </c>
      <c r="B4899" s="24" t="str">
        <f t="array" ref="B4899">xlookup($A4899,product!$A:$A,product!B:B)</f>
        <v>Santé &amp; Bien-être</v>
      </c>
      <c r="C4899" s="24" t="str">
        <f t="array" ref="C4899">xlookup($A4899,product!$A:$A,product!C:C)</f>
        <v>Digestion, transit, flore</v>
      </c>
      <c r="D4899" s="24" t="str">
        <f t="array" ref="D4899">xlookup($A4899,product!$A:$A,product!D:D)</f>
        <v>Charbon végétal</v>
      </c>
      <c r="E4899" s="25" t="str">
        <f t="shared" si="1"/>
        <v>103665-Digestion, transit, flore-Charbon végétal</v>
      </c>
      <c r="F4899" s="25">
        <v>1.0</v>
      </c>
      <c r="G4899" s="25">
        <v>601.0</v>
      </c>
      <c r="H4899" s="25">
        <v>360.0</v>
      </c>
      <c r="I4899" s="26">
        <f t="array" ref="I4899">XLOOKUP($A4899,product!A:A,product!E:E)</f>
        <v>7.68</v>
      </c>
      <c r="J4899" s="25">
        <f t="shared" si="2"/>
        <v>2764.8</v>
      </c>
      <c r="K4899" s="27">
        <f t="shared" si="3"/>
        <v>1</v>
      </c>
      <c r="L4899" s="25">
        <f t="shared" si="4"/>
        <v>1</v>
      </c>
    </row>
    <row r="4900">
      <c r="A4900" s="19">
        <v>77771.0</v>
      </c>
      <c r="B4900" s="20" t="str">
        <f t="array" ref="B4900">xlookup($A4900,product!$A:$A,product!B:B)</f>
        <v>Santé &amp; Bien-être</v>
      </c>
      <c r="C4900" s="20" t="str">
        <f t="array" ref="C4900">xlookup($A4900,product!$A:$A,product!C:C)</f>
        <v>Digestion, transit, flore</v>
      </c>
      <c r="D4900" s="20" t="str">
        <f t="array" ref="D4900">xlookup($A4900,product!$A:$A,product!D:D)</f>
        <v>Bien être du foie</v>
      </c>
      <c r="E4900" s="4" t="str">
        <f t="shared" si="1"/>
        <v>77771-Digestion, transit, flore-Bien être du foie</v>
      </c>
      <c r="F4900" s="4">
        <v>0.0</v>
      </c>
      <c r="G4900" s="4">
        <v>263.0</v>
      </c>
      <c r="H4900" s="4">
        <v>7.0</v>
      </c>
      <c r="I4900" s="21">
        <f t="array" ref="I4900">XLOOKUP($A4900,product!A:A,product!E:E)</f>
        <v>2.21</v>
      </c>
      <c r="J4900" s="4">
        <f t="shared" si="2"/>
        <v>15.47</v>
      </c>
      <c r="K4900" s="22">
        <f t="shared" si="3"/>
        <v>1</v>
      </c>
      <c r="L4900" s="4">
        <f t="shared" si="4"/>
        <v>1</v>
      </c>
    </row>
    <row r="4901">
      <c r="A4901" s="23">
        <v>116798.0</v>
      </c>
      <c r="B4901" s="24" t="str">
        <f t="array" ref="B4901">xlookup($A4901,product!$A:$A,product!B:B)</f>
        <v>Santé &amp; Bien-être</v>
      </c>
      <c r="C4901" s="24" t="str">
        <f t="array" ref="C4901">xlookup($A4901,product!$A:$A,product!C:C)</f>
        <v>Digestion, transit, flore</v>
      </c>
      <c r="D4901" s="24" t="str">
        <f t="array" ref="D4901">xlookup($A4901,product!$A:$A,product!D:D)</f>
        <v>Bien être du foie</v>
      </c>
      <c r="E4901" s="25" t="str">
        <f t="shared" si="1"/>
        <v>116798-Digestion, transit, flore-Bien être du foie</v>
      </c>
      <c r="F4901" s="25">
        <v>1.0</v>
      </c>
      <c r="G4901" s="25">
        <v>535.0</v>
      </c>
      <c r="H4901" s="25">
        <v>62.0</v>
      </c>
      <c r="I4901" s="26">
        <f t="array" ref="I4901">XLOOKUP($A4901,product!A:A,product!E:E)</f>
        <v>11.41</v>
      </c>
      <c r="J4901" s="25">
        <f t="shared" si="2"/>
        <v>707.42</v>
      </c>
      <c r="K4901" s="27">
        <f t="shared" si="3"/>
        <v>1</v>
      </c>
      <c r="L4901" s="25">
        <f t="shared" si="4"/>
        <v>1</v>
      </c>
    </row>
    <row r="4902">
      <c r="A4902" s="19">
        <v>100610.0</v>
      </c>
      <c r="B4902" s="20" t="str">
        <f t="array" ref="B4902">xlookup($A4902,product!$A:$A,product!B:B)</f>
        <v>Santé &amp; Bien-être</v>
      </c>
      <c r="C4902" s="20" t="str">
        <f t="array" ref="C4902">xlookup($A4902,product!$A:$A,product!C:C)</f>
        <v>Digestion, transit, flore</v>
      </c>
      <c r="D4902" s="20" t="str">
        <f t="array" ref="D4902">xlookup($A4902,product!$A:$A,product!D:D)</f>
        <v>Bien être du foie</v>
      </c>
      <c r="E4902" s="4" t="str">
        <f t="shared" si="1"/>
        <v>100610-Digestion, transit, flore-Bien être du foie</v>
      </c>
      <c r="F4902" s="4">
        <v>0.0</v>
      </c>
      <c r="G4902" s="4">
        <v>303.0</v>
      </c>
      <c r="H4902" s="4">
        <v>132.0</v>
      </c>
      <c r="I4902" s="21">
        <f t="array" ref="I4902">XLOOKUP($A4902,product!A:A,product!E:E)</f>
        <v>7.6</v>
      </c>
      <c r="J4902" s="4">
        <f t="shared" si="2"/>
        <v>1003.2</v>
      </c>
      <c r="K4902" s="22">
        <f t="shared" si="3"/>
        <v>1</v>
      </c>
      <c r="L4902" s="4">
        <f t="shared" si="4"/>
        <v>1</v>
      </c>
    </row>
    <row r="4903">
      <c r="A4903" s="23">
        <v>77772.0</v>
      </c>
      <c r="B4903" s="24" t="str">
        <f t="array" ref="B4903">xlookup($A4903,product!$A:$A,product!B:B)</f>
        <v>Santé &amp; Bien-être</v>
      </c>
      <c r="C4903" s="24" t="str">
        <f t="array" ref="C4903">xlookup($A4903,product!$A:$A,product!C:C)</f>
        <v>Digestion, transit, flore</v>
      </c>
      <c r="D4903" s="24" t="str">
        <f t="array" ref="D4903">xlookup($A4903,product!$A:$A,product!D:D)</f>
        <v>Bien être du foie</v>
      </c>
      <c r="E4903" s="25" t="str">
        <f t="shared" si="1"/>
        <v>77772-Digestion, transit, flore-Bien être du foie</v>
      </c>
      <c r="F4903" s="25">
        <v>1.0</v>
      </c>
      <c r="G4903" s="25">
        <v>21.0</v>
      </c>
      <c r="H4903" s="25">
        <v>1.0</v>
      </c>
      <c r="I4903" s="26">
        <f t="array" ref="I4903">XLOOKUP($A4903,product!A:A,product!E:E)</f>
        <v>10.14</v>
      </c>
      <c r="J4903" s="25">
        <f t="shared" si="2"/>
        <v>10.14</v>
      </c>
      <c r="K4903" s="27">
        <f t="shared" si="3"/>
        <v>1</v>
      </c>
      <c r="L4903" s="25">
        <f t="shared" si="4"/>
        <v>1</v>
      </c>
    </row>
    <row r="4904">
      <c r="A4904" s="19">
        <v>119914.0</v>
      </c>
      <c r="B4904" s="20" t="str">
        <f t="array" ref="B4904">xlookup($A4904,product!$A:$A,product!B:B)</f>
        <v>Santé &amp; Bien-être</v>
      </c>
      <c r="C4904" s="20" t="str">
        <f t="array" ref="C4904">xlookup($A4904,product!$A:$A,product!C:C)</f>
        <v>Digestion, transit, flore</v>
      </c>
      <c r="D4904" s="20" t="str">
        <f t="array" ref="D4904">xlookup($A4904,product!$A:$A,product!D:D)</f>
        <v>Bien être du foie</v>
      </c>
      <c r="E4904" s="4" t="str">
        <f t="shared" si="1"/>
        <v>119914-Digestion, transit, flore-Bien être du foie</v>
      </c>
      <c r="F4904" s="4">
        <v>0.0</v>
      </c>
      <c r="G4904" s="4">
        <v>704.0</v>
      </c>
      <c r="H4904" s="4">
        <v>359.0</v>
      </c>
      <c r="I4904" s="21">
        <f t="array" ref="I4904">XLOOKUP($A4904,product!A:A,product!E:E)</f>
        <v>6.08</v>
      </c>
      <c r="J4904" s="4">
        <f t="shared" si="2"/>
        <v>2182.72</v>
      </c>
      <c r="K4904" s="22">
        <f t="shared" si="3"/>
        <v>1</v>
      </c>
      <c r="L4904" s="4">
        <f t="shared" si="4"/>
        <v>1</v>
      </c>
    </row>
    <row r="4905">
      <c r="A4905" s="23">
        <v>88495.0</v>
      </c>
      <c r="B4905" s="24" t="str">
        <f t="array" ref="B4905">xlookup($A4905,product!$A:$A,product!B:B)</f>
        <v>Santé &amp; Bien-être</v>
      </c>
      <c r="C4905" s="24" t="str">
        <f t="array" ref="C4905">xlookup($A4905,product!$A:$A,product!C:C)</f>
        <v>Digestion, transit, flore</v>
      </c>
      <c r="D4905" s="24" t="str">
        <f t="array" ref="D4905">xlookup($A4905,product!$A:$A,product!D:D)</f>
        <v>Jus et gel d'Aloé</v>
      </c>
      <c r="E4905" s="25" t="str">
        <f t="shared" si="1"/>
        <v>88495-Digestion, transit, flore-Jus et gel d'Aloé</v>
      </c>
      <c r="F4905" s="25">
        <v>0.0</v>
      </c>
      <c r="G4905" s="25">
        <v>899.0</v>
      </c>
      <c r="H4905" s="25">
        <v>127.0</v>
      </c>
      <c r="I4905" s="26">
        <f t="array" ref="I4905">XLOOKUP($A4905,product!A:A,product!E:E)</f>
        <v>7.97</v>
      </c>
      <c r="J4905" s="25">
        <f t="shared" si="2"/>
        <v>1012.19</v>
      </c>
      <c r="K4905" s="27">
        <f t="shared" si="3"/>
        <v>1</v>
      </c>
      <c r="L4905" s="25">
        <f t="shared" si="4"/>
        <v>1</v>
      </c>
    </row>
    <row r="4906">
      <c r="A4906" s="19">
        <v>88487.0</v>
      </c>
      <c r="B4906" s="20" t="str">
        <f t="array" ref="B4906">xlookup($A4906,product!$A:$A,product!B:B)</f>
        <v>Santé &amp; Bien-être</v>
      </c>
      <c r="C4906" s="20" t="str">
        <f t="array" ref="C4906">xlookup($A4906,product!$A:$A,product!C:C)</f>
        <v>Digestion, transit, flore</v>
      </c>
      <c r="D4906" s="20" t="str">
        <f t="array" ref="D4906">xlookup($A4906,product!$A:$A,product!D:D)</f>
        <v>Jus et gel d'Aloé</v>
      </c>
      <c r="E4906" s="4" t="str">
        <f t="shared" si="1"/>
        <v>88487-Digestion, transit, flore-Jus et gel d'Aloé</v>
      </c>
      <c r="F4906" s="4">
        <v>1.0</v>
      </c>
      <c r="G4906" s="4">
        <v>326.0</v>
      </c>
      <c r="H4906" s="4">
        <v>252.0</v>
      </c>
      <c r="I4906" s="21">
        <f t="array" ref="I4906">XLOOKUP($A4906,product!A:A,product!E:E)</f>
        <v>7.82</v>
      </c>
      <c r="J4906" s="4">
        <f t="shared" si="2"/>
        <v>1970.64</v>
      </c>
      <c r="K4906" s="22">
        <f t="shared" si="3"/>
        <v>1</v>
      </c>
      <c r="L4906" s="4">
        <f t="shared" si="4"/>
        <v>1</v>
      </c>
    </row>
    <row r="4907">
      <c r="A4907" s="23">
        <v>109488.0</v>
      </c>
      <c r="B4907" s="24" t="str">
        <f t="array" ref="B4907">xlookup($A4907,product!$A:$A,product!B:B)</f>
        <v>Santé &amp; Bien-être</v>
      </c>
      <c r="C4907" s="24" t="str">
        <f t="array" ref="C4907">xlookup($A4907,product!$A:$A,product!C:C)</f>
        <v>Digestion, transit, flore</v>
      </c>
      <c r="D4907" s="24" t="str">
        <f t="array" ref="D4907">xlookup($A4907,product!$A:$A,product!D:D)</f>
        <v>Jus et gel d'Aloé</v>
      </c>
      <c r="E4907" s="25" t="str">
        <f t="shared" si="1"/>
        <v>109488-Digestion, transit, flore-Jus et gel d'Aloé</v>
      </c>
      <c r="F4907" s="25">
        <v>0.0</v>
      </c>
      <c r="G4907" s="25">
        <v>612.0</v>
      </c>
      <c r="H4907" s="25">
        <v>407.0</v>
      </c>
      <c r="I4907" s="26">
        <f t="array" ref="I4907">XLOOKUP($A4907,product!A:A,product!E:E)</f>
        <v>4.41</v>
      </c>
      <c r="J4907" s="25">
        <f t="shared" si="2"/>
        <v>1794.87</v>
      </c>
      <c r="K4907" s="27">
        <f t="shared" si="3"/>
        <v>1</v>
      </c>
      <c r="L4907" s="25">
        <f t="shared" si="4"/>
        <v>1</v>
      </c>
    </row>
    <row r="4908">
      <c r="A4908" s="19">
        <v>11401.0</v>
      </c>
      <c r="B4908" s="20" t="str">
        <f t="array" ref="B4908">xlookup($A4908,product!$A:$A,product!B:B)</f>
        <v>Santé &amp; Bien-être</v>
      </c>
      <c r="C4908" s="20" t="str">
        <f t="array" ref="C4908">xlookup($A4908,product!$A:$A,product!C:C)</f>
        <v>Digestion, transit, flore</v>
      </c>
      <c r="D4908" s="20" t="str">
        <f t="array" ref="D4908">xlookup($A4908,product!$A:$A,product!D:D)</f>
        <v>Digestion, ballonnements</v>
      </c>
      <c r="E4908" s="4" t="str">
        <f t="shared" si="1"/>
        <v>11401-Digestion, transit, flore-Digestion, ballonnements</v>
      </c>
      <c r="F4908" s="4">
        <v>1.0</v>
      </c>
      <c r="G4908" s="4">
        <v>407.0</v>
      </c>
      <c r="H4908" s="4">
        <v>324.0</v>
      </c>
      <c r="I4908" s="21">
        <f t="array" ref="I4908">XLOOKUP($A4908,product!A:A,product!E:E)</f>
        <v>8.36</v>
      </c>
      <c r="J4908" s="4">
        <f t="shared" si="2"/>
        <v>2708.64</v>
      </c>
      <c r="K4908" s="22">
        <f t="shared" si="3"/>
        <v>1</v>
      </c>
      <c r="L4908" s="4">
        <f t="shared" si="4"/>
        <v>1</v>
      </c>
    </row>
    <row r="4909">
      <c r="A4909" s="23">
        <v>45530.0</v>
      </c>
      <c r="B4909" s="24" t="str">
        <f t="array" ref="B4909">xlookup($A4909,product!$A:$A,product!B:B)</f>
        <v>Santé &amp; Bien-être</v>
      </c>
      <c r="C4909" s="24" t="str">
        <f t="array" ref="C4909">xlookup($A4909,product!$A:$A,product!C:C)</f>
        <v>Digestion, transit, flore</v>
      </c>
      <c r="D4909" s="24" t="str">
        <f t="array" ref="D4909">xlookup($A4909,product!$A:$A,product!D:D)</f>
        <v>Digestion, ballonnements</v>
      </c>
      <c r="E4909" s="25" t="str">
        <f t="shared" si="1"/>
        <v>45530-Digestion, transit, flore-Digestion, ballonnements</v>
      </c>
      <c r="F4909" s="25">
        <v>1.0</v>
      </c>
      <c r="G4909" s="25">
        <v>388.0</v>
      </c>
      <c r="H4909" s="25">
        <v>347.0</v>
      </c>
      <c r="I4909" s="26">
        <f t="array" ref="I4909">XLOOKUP($A4909,product!A:A,product!E:E)</f>
        <v>5.49</v>
      </c>
      <c r="J4909" s="25">
        <f t="shared" si="2"/>
        <v>1905.03</v>
      </c>
      <c r="K4909" s="27">
        <f t="shared" si="3"/>
        <v>1</v>
      </c>
      <c r="L4909" s="25">
        <f t="shared" si="4"/>
        <v>1</v>
      </c>
    </row>
    <row r="4910">
      <c r="A4910" s="19">
        <v>104426.0</v>
      </c>
      <c r="B4910" s="20" t="str">
        <f t="array" ref="B4910">xlookup($A4910,product!$A:$A,product!B:B)</f>
        <v>Santé &amp; Bien-être</v>
      </c>
      <c r="C4910" s="20" t="str">
        <f t="array" ref="C4910">xlookup($A4910,product!$A:$A,product!C:C)</f>
        <v>Digestion, transit, flore</v>
      </c>
      <c r="D4910" s="20" t="str">
        <f t="array" ref="D4910">xlookup($A4910,product!$A:$A,product!D:D)</f>
        <v>Digestion, ballonnements</v>
      </c>
      <c r="E4910" s="4" t="str">
        <f t="shared" si="1"/>
        <v>104426-Digestion, transit, flore-Digestion, ballonnements</v>
      </c>
      <c r="F4910" s="4">
        <v>0.0</v>
      </c>
      <c r="G4910" s="4">
        <v>248.0</v>
      </c>
      <c r="H4910" s="4">
        <v>94.0</v>
      </c>
      <c r="I4910" s="21">
        <f t="array" ref="I4910">XLOOKUP($A4910,product!A:A,product!E:E)</f>
        <v>6.23</v>
      </c>
      <c r="J4910" s="4">
        <f t="shared" si="2"/>
        <v>585.62</v>
      </c>
      <c r="K4910" s="22">
        <f t="shared" si="3"/>
        <v>1</v>
      </c>
      <c r="L4910" s="4">
        <f t="shared" si="4"/>
        <v>1</v>
      </c>
    </row>
    <row r="4911">
      <c r="A4911" s="23">
        <v>119827.0</v>
      </c>
      <c r="B4911" s="24" t="str">
        <f t="array" ref="B4911">xlookup($A4911,product!$A:$A,product!B:B)</f>
        <v>Santé &amp; Bien-être</v>
      </c>
      <c r="C4911" s="24" t="str">
        <f t="array" ref="C4911">xlookup($A4911,product!$A:$A,product!C:C)</f>
        <v>Digestion, transit, flore</v>
      </c>
      <c r="D4911" s="24" t="str">
        <f t="array" ref="D4911">xlookup($A4911,product!$A:$A,product!D:D)</f>
        <v>Digestion, ballonnements</v>
      </c>
      <c r="E4911" s="25" t="str">
        <f t="shared" si="1"/>
        <v>119827-Digestion, transit, flore-Digestion, ballonnements</v>
      </c>
      <c r="F4911" s="25">
        <v>0.0</v>
      </c>
      <c r="G4911" s="25">
        <v>321.0</v>
      </c>
      <c r="H4911" s="25">
        <v>250.0</v>
      </c>
      <c r="I4911" s="26">
        <f t="array" ref="I4911">XLOOKUP($A4911,product!A:A,product!E:E)</f>
        <v>8.94</v>
      </c>
      <c r="J4911" s="25">
        <f t="shared" si="2"/>
        <v>2235</v>
      </c>
      <c r="K4911" s="27">
        <f t="shared" si="3"/>
        <v>1</v>
      </c>
      <c r="L4911" s="25">
        <f t="shared" si="4"/>
        <v>1</v>
      </c>
    </row>
    <row r="4912">
      <c r="A4912" s="19">
        <v>104384.0</v>
      </c>
      <c r="B4912" s="20" t="str">
        <f t="array" ref="B4912">xlookup($A4912,product!$A:$A,product!B:B)</f>
        <v>Santé &amp; Bien-être</v>
      </c>
      <c r="C4912" s="20" t="str">
        <f t="array" ref="C4912">xlookup($A4912,product!$A:$A,product!C:C)</f>
        <v>Digestion, transit, flore</v>
      </c>
      <c r="D4912" s="20" t="str">
        <f t="array" ref="D4912">xlookup($A4912,product!$A:$A,product!D:D)</f>
        <v>Digestion, ballonnements</v>
      </c>
      <c r="E4912" s="4" t="str">
        <f t="shared" si="1"/>
        <v>104384-Digestion, transit, flore-Digestion, ballonnements</v>
      </c>
      <c r="F4912" s="4">
        <v>1.0</v>
      </c>
      <c r="G4912" s="4">
        <v>542.0</v>
      </c>
      <c r="H4912" s="4">
        <v>130.0</v>
      </c>
      <c r="I4912" s="21">
        <f t="array" ref="I4912">XLOOKUP($A4912,product!A:A,product!E:E)</f>
        <v>8.08</v>
      </c>
      <c r="J4912" s="4">
        <f t="shared" si="2"/>
        <v>1050.4</v>
      </c>
      <c r="K4912" s="22">
        <f t="shared" si="3"/>
        <v>1</v>
      </c>
      <c r="L4912" s="4">
        <f t="shared" si="4"/>
        <v>1</v>
      </c>
    </row>
    <row r="4913">
      <c r="A4913" s="23">
        <v>121966.0</v>
      </c>
      <c r="B4913" s="24" t="str">
        <f t="array" ref="B4913">xlookup($A4913,product!$A:$A,product!B:B)</f>
        <v>Santé &amp; Bien-être</v>
      </c>
      <c r="C4913" s="24" t="str">
        <f t="array" ref="C4913">xlookup($A4913,product!$A:$A,product!C:C)</f>
        <v>Digestion, transit, flore</v>
      </c>
      <c r="D4913" s="24" t="str">
        <f t="array" ref="D4913">xlookup($A4913,product!$A:$A,product!D:D)</f>
        <v>Digestion, ballonnements</v>
      </c>
      <c r="E4913" s="25" t="str">
        <f t="shared" si="1"/>
        <v>121966-Digestion, transit, flore-Digestion, ballonnements</v>
      </c>
      <c r="F4913" s="25">
        <v>1.0</v>
      </c>
      <c r="G4913" s="25">
        <v>471.0</v>
      </c>
      <c r="H4913" s="25">
        <v>392.0</v>
      </c>
      <c r="I4913" s="26">
        <f t="array" ref="I4913">XLOOKUP($A4913,product!A:A,product!E:E)</f>
        <v>4.77</v>
      </c>
      <c r="J4913" s="25">
        <f t="shared" si="2"/>
        <v>1869.84</v>
      </c>
      <c r="K4913" s="27">
        <f t="shared" si="3"/>
        <v>1</v>
      </c>
      <c r="L4913" s="25">
        <f t="shared" si="4"/>
        <v>1</v>
      </c>
    </row>
    <row r="4914">
      <c r="A4914" s="19">
        <v>120183.0</v>
      </c>
      <c r="B4914" s="20" t="str">
        <f t="array" ref="B4914">xlookup($A4914,product!$A:$A,product!B:B)</f>
        <v>Santé &amp; Bien-être</v>
      </c>
      <c r="C4914" s="20" t="str">
        <f t="array" ref="C4914">xlookup($A4914,product!$A:$A,product!C:C)</f>
        <v>Digestion, transit, flore</v>
      </c>
      <c r="D4914" s="20" t="str">
        <f t="array" ref="D4914">xlookup($A4914,product!$A:$A,product!D:D)</f>
        <v>Equilibre intestinal, transit</v>
      </c>
      <c r="E4914" s="4" t="str">
        <f t="shared" si="1"/>
        <v>120183-Digestion, transit, flore-Equilibre intestinal, transit</v>
      </c>
      <c r="F4914" s="4">
        <v>1.0</v>
      </c>
      <c r="G4914" s="4">
        <v>347.0</v>
      </c>
      <c r="H4914" s="4">
        <v>249.0</v>
      </c>
      <c r="I4914" s="21">
        <f t="array" ref="I4914">XLOOKUP($A4914,product!A:A,product!E:E)</f>
        <v>8.03</v>
      </c>
      <c r="J4914" s="4">
        <f t="shared" si="2"/>
        <v>1999.47</v>
      </c>
      <c r="K4914" s="22">
        <f t="shared" si="3"/>
        <v>1</v>
      </c>
      <c r="L4914" s="4">
        <f t="shared" si="4"/>
        <v>1</v>
      </c>
    </row>
    <row r="4915">
      <c r="A4915" s="23">
        <v>82832.0</v>
      </c>
      <c r="B4915" s="24" t="str">
        <f t="array" ref="B4915">xlookup($A4915,product!$A:$A,product!B:B)</f>
        <v>Santé &amp; Bien-être</v>
      </c>
      <c r="C4915" s="24" t="str">
        <f t="array" ref="C4915">xlookup($A4915,product!$A:$A,product!C:C)</f>
        <v>Digestion, transit, flore</v>
      </c>
      <c r="D4915" s="24" t="str">
        <f t="array" ref="D4915">xlookup($A4915,product!$A:$A,product!D:D)</f>
        <v>Probiotiques, flore intestinale</v>
      </c>
      <c r="E4915" s="25" t="str">
        <f t="shared" si="1"/>
        <v>82832-Digestion, transit, flore-Probiotiques, flore intestinale</v>
      </c>
      <c r="F4915" s="25">
        <v>0.0</v>
      </c>
      <c r="G4915" s="25">
        <v>88.0</v>
      </c>
      <c r="H4915" s="25">
        <v>67.0</v>
      </c>
      <c r="I4915" s="26">
        <f t="array" ref="I4915">XLOOKUP($A4915,product!A:A,product!E:E)</f>
        <v>4.66</v>
      </c>
      <c r="J4915" s="25">
        <f t="shared" si="2"/>
        <v>312.22</v>
      </c>
      <c r="K4915" s="27">
        <f t="shared" si="3"/>
        <v>1</v>
      </c>
      <c r="L4915" s="25">
        <f t="shared" si="4"/>
        <v>1</v>
      </c>
    </row>
    <row r="4916">
      <c r="A4916" s="19">
        <v>117607.0</v>
      </c>
      <c r="B4916" s="20" t="str">
        <f t="array" ref="B4916">xlookup($A4916,product!$A:$A,product!B:B)</f>
        <v>Santé &amp; Bien-être</v>
      </c>
      <c r="C4916" s="20" t="str">
        <f t="array" ref="C4916">xlookup($A4916,product!$A:$A,product!C:C)</f>
        <v>Digestion, transit, flore</v>
      </c>
      <c r="D4916" s="20" t="str">
        <f t="array" ref="D4916">xlookup($A4916,product!$A:$A,product!D:D)</f>
        <v>Probiotiques, flore intestinale</v>
      </c>
      <c r="E4916" s="4" t="str">
        <f t="shared" si="1"/>
        <v>117607-Digestion, transit, flore-Probiotiques, flore intestinale</v>
      </c>
      <c r="F4916" s="4">
        <v>1.0</v>
      </c>
      <c r="G4916" s="4">
        <v>540.0</v>
      </c>
      <c r="H4916" s="4">
        <v>64.0</v>
      </c>
      <c r="I4916" s="21">
        <f t="array" ref="I4916">XLOOKUP($A4916,product!A:A,product!E:E)</f>
        <v>4.92</v>
      </c>
      <c r="J4916" s="4">
        <f t="shared" si="2"/>
        <v>314.88</v>
      </c>
      <c r="K4916" s="22">
        <f t="shared" si="3"/>
        <v>1</v>
      </c>
      <c r="L4916" s="4">
        <f t="shared" si="4"/>
        <v>1</v>
      </c>
    </row>
    <row r="4917">
      <c r="A4917" s="23">
        <v>116244.0</v>
      </c>
      <c r="B4917" s="24" t="str">
        <f t="array" ref="B4917">xlookup($A4917,product!$A:$A,product!B:B)</f>
        <v>Santé &amp; Bien-être</v>
      </c>
      <c r="C4917" s="24" t="str">
        <f t="array" ref="C4917">xlookup($A4917,product!$A:$A,product!C:C)</f>
        <v>Digestion, transit, flore</v>
      </c>
      <c r="D4917" s="24" t="str">
        <f t="array" ref="D4917">xlookup($A4917,product!$A:$A,product!D:D)</f>
        <v>Probiotiques, flore intestinale</v>
      </c>
      <c r="E4917" s="25" t="str">
        <f t="shared" si="1"/>
        <v>116244-Digestion, transit, flore-Probiotiques, flore intestinale</v>
      </c>
      <c r="F4917" s="25">
        <v>1.0</v>
      </c>
      <c r="G4917" s="25">
        <v>961.0</v>
      </c>
      <c r="H4917" s="25">
        <v>887.0</v>
      </c>
      <c r="I4917" s="26">
        <f t="array" ref="I4917">XLOOKUP($A4917,product!A:A,product!E:E)</f>
        <v>19.92</v>
      </c>
      <c r="J4917" s="25">
        <f t="shared" si="2"/>
        <v>17669.04</v>
      </c>
      <c r="K4917" s="27">
        <f t="shared" si="3"/>
        <v>1</v>
      </c>
      <c r="L4917" s="25">
        <f t="shared" si="4"/>
        <v>1</v>
      </c>
    </row>
    <row r="4918">
      <c r="A4918" s="19">
        <v>81045.0</v>
      </c>
      <c r="B4918" s="20" t="str">
        <f t="array" ref="B4918">xlookup($A4918,product!$A:$A,product!B:B)</f>
        <v>Santé &amp; Bien-être</v>
      </c>
      <c r="C4918" s="20" t="str">
        <f t="array" ref="C4918">xlookup($A4918,product!$A:$A,product!C:C)</f>
        <v>Digestion, transit, flore</v>
      </c>
      <c r="D4918" s="20" t="str">
        <f t="array" ref="D4918">xlookup($A4918,product!$A:$A,product!D:D)</f>
        <v>Probiotiques, flore intestinale</v>
      </c>
      <c r="E4918" s="4" t="str">
        <f t="shared" si="1"/>
        <v>81045-Digestion, transit, flore-Probiotiques, flore intestinale</v>
      </c>
      <c r="F4918" s="4">
        <v>1.0</v>
      </c>
      <c r="G4918" s="4">
        <v>951.0</v>
      </c>
      <c r="H4918" s="4">
        <v>600.0</v>
      </c>
      <c r="I4918" s="21">
        <f t="array" ref="I4918">XLOOKUP($A4918,product!A:A,product!E:E)</f>
        <v>7.16</v>
      </c>
      <c r="J4918" s="4">
        <f t="shared" si="2"/>
        <v>4296</v>
      </c>
      <c r="K4918" s="22">
        <f t="shared" si="3"/>
        <v>1</v>
      </c>
      <c r="L4918" s="4">
        <f t="shared" si="4"/>
        <v>1</v>
      </c>
    </row>
    <row r="4919">
      <c r="A4919" s="23">
        <v>106021.0</v>
      </c>
      <c r="B4919" s="24" t="str">
        <f t="array" ref="B4919">xlookup($A4919,product!$A:$A,product!B:B)</f>
        <v>Santé &amp; Bien-être</v>
      </c>
      <c r="C4919" s="24" t="str">
        <f t="array" ref="C4919">xlookup($A4919,product!$A:$A,product!C:C)</f>
        <v>Digestion, transit, flore</v>
      </c>
      <c r="D4919" s="24" t="str">
        <f t="array" ref="D4919">xlookup($A4919,product!$A:$A,product!D:D)</f>
        <v>Probiotiques, flore intestinale</v>
      </c>
      <c r="E4919" s="25" t="str">
        <f t="shared" si="1"/>
        <v>106021-Digestion, transit, flore-Probiotiques, flore intestinale</v>
      </c>
      <c r="F4919" s="25">
        <v>1.0</v>
      </c>
      <c r="G4919" s="25">
        <v>392.0</v>
      </c>
      <c r="H4919" s="25">
        <v>203.0</v>
      </c>
      <c r="I4919" s="26">
        <f t="array" ref="I4919">XLOOKUP($A4919,product!A:A,product!E:E)</f>
        <v>4.77</v>
      </c>
      <c r="J4919" s="25">
        <f t="shared" si="2"/>
        <v>968.31</v>
      </c>
      <c r="K4919" s="27">
        <f t="shared" si="3"/>
        <v>1</v>
      </c>
      <c r="L4919" s="25">
        <f t="shared" si="4"/>
        <v>1</v>
      </c>
    </row>
    <row r="4920">
      <c r="A4920" s="19">
        <v>86622.0</v>
      </c>
      <c r="B4920" s="20" t="str">
        <f t="array" ref="B4920">xlookup($A4920,product!$A:$A,product!B:B)</f>
        <v>Santé &amp; Bien-être</v>
      </c>
      <c r="C4920" s="20" t="str">
        <f t="array" ref="C4920">xlookup($A4920,product!$A:$A,product!C:C)</f>
        <v>Digestion, transit, flore</v>
      </c>
      <c r="D4920" s="20" t="str">
        <f t="array" ref="D4920">xlookup($A4920,product!$A:$A,product!D:D)</f>
        <v>Probiotiques, flore intestinale</v>
      </c>
      <c r="E4920" s="4" t="str">
        <f t="shared" si="1"/>
        <v>86622-Digestion, transit, flore-Probiotiques, flore intestinale</v>
      </c>
      <c r="F4920" s="4">
        <v>0.0</v>
      </c>
      <c r="G4920" s="4">
        <v>15.0</v>
      </c>
      <c r="H4920" s="4">
        <v>12.0</v>
      </c>
      <c r="I4920" s="21">
        <f t="array" ref="I4920">XLOOKUP($A4920,product!A:A,product!E:E)</f>
        <v>4.66</v>
      </c>
      <c r="J4920" s="4">
        <f t="shared" si="2"/>
        <v>55.92</v>
      </c>
      <c r="K4920" s="22">
        <f t="shared" si="3"/>
        <v>1</v>
      </c>
      <c r="L4920" s="4">
        <f t="shared" si="4"/>
        <v>1</v>
      </c>
    </row>
    <row r="4921">
      <c r="A4921" s="23">
        <v>82834.0</v>
      </c>
      <c r="B4921" s="24" t="str">
        <f t="array" ref="B4921">xlookup($A4921,product!$A:$A,product!B:B)</f>
        <v>Santé &amp; Bien-être</v>
      </c>
      <c r="C4921" s="24" t="str">
        <f t="array" ref="C4921">xlookup($A4921,product!$A:$A,product!C:C)</f>
        <v>Digestion, transit, flore</v>
      </c>
      <c r="D4921" s="24" t="str">
        <f t="array" ref="D4921">xlookup($A4921,product!$A:$A,product!D:D)</f>
        <v>Probiotiques, flore intestinale</v>
      </c>
      <c r="E4921" s="25" t="str">
        <f t="shared" si="1"/>
        <v>82834-Digestion, transit, flore-Probiotiques, flore intestinale</v>
      </c>
      <c r="F4921" s="25">
        <v>1.0</v>
      </c>
      <c r="G4921" s="25">
        <v>676.0</v>
      </c>
      <c r="H4921" s="25">
        <v>572.0</v>
      </c>
      <c r="I4921" s="26">
        <f t="array" ref="I4921">XLOOKUP($A4921,product!A:A,product!E:E)</f>
        <v>6.65</v>
      </c>
      <c r="J4921" s="25">
        <f t="shared" si="2"/>
        <v>3803.8</v>
      </c>
      <c r="K4921" s="27">
        <f t="shared" si="3"/>
        <v>1</v>
      </c>
      <c r="L4921" s="25">
        <f t="shared" si="4"/>
        <v>1</v>
      </c>
    </row>
    <row r="4922">
      <c r="A4922" s="19">
        <v>81008.0</v>
      </c>
      <c r="B4922" s="20" t="str">
        <f t="array" ref="B4922">xlookup($A4922,product!$A:$A,product!B:B)</f>
        <v>Santé &amp; Bien-être</v>
      </c>
      <c r="C4922" s="20" t="str">
        <f t="array" ref="C4922">xlookup($A4922,product!$A:$A,product!C:C)</f>
        <v>Digestion, transit, flore</v>
      </c>
      <c r="D4922" s="20" t="str">
        <f t="array" ref="D4922">xlookup($A4922,product!$A:$A,product!D:D)</f>
        <v>Probiotiques, flore intestinale</v>
      </c>
      <c r="E4922" s="4" t="str">
        <f t="shared" si="1"/>
        <v>81008-Digestion, transit, flore-Probiotiques, flore intestinale</v>
      </c>
      <c r="F4922" s="4">
        <v>0.0</v>
      </c>
      <c r="G4922" s="4">
        <v>492.0</v>
      </c>
      <c r="H4922" s="4">
        <v>41.0</v>
      </c>
      <c r="I4922" s="21">
        <f t="array" ref="I4922">XLOOKUP($A4922,product!A:A,product!E:E)</f>
        <v>9.48</v>
      </c>
      <c r="J4922" s="4">
        <f t="shared" si="2"/>
        <v>388.68</v>
      </c>
      <c r="K4922" s="22">
        <f t="shared" si="3"/>
        <v>1</v>
      </c>
      <c r="L4922" s="4">
        <f t="shared" si="4"/>
        <v>1</v>
      </c>
    </row>
    <row r="4923">
      <c r="A4923" s="23">
        <v>83167.0</v>
      </c>
      <c r="B4923" s="24" t="str">
        <f t="array" ref="B4923">xlookup($A4923,product!$A:$A,product!B:B)</f>
        <v>Santé &amp; Bien-être</v>
      </c>
      <c r="C4923" s="24" t="str">
        <f t="array" ref="C4923">xlookup($A4923,product!$A:$A,product!C:C)</f>
        <v>Digestion, transit, flore</v>
      </c>
      <c r="D4923" s="24" t="str">
        <f t="array" ref="D4923">xlookup($A4923,product!$A:$A,product!D:D)</f>
        <v>Probiotiques, flore intestinale</v>
      </c>
      <c r="E4923" s="25" t="str">
        <f t="shared" si="1"/>
        <v>83167-Digestion, transit, flore-Probiotiques, flore intestinale</v>
      </c>
      <c r="F4923" s="25">
        <v>1.0</v>
      </c>
      <c r="G4923" s="25">
        <v>664.0</v>
      </c>
      <c r="H4923" s="25">
        <v>333.0</v>
      </c>
      <c r="I4923" s="26">
        <f t="array" ref="I4923">XLOOKUP($A4923,product!A:A,product!E:E)</f>
        <v>11.71</v>
      </c>
      <c r="J4923" s="25">
        <f t="shared" si="2"/>
        <v>3899.43</v>
      </c>
      <c r="K4923" s="27">
        <f t="shared" si="3"/>
        <v>1</v>
      </c>
      <c r="L4923" s="25">
        <f t="shared" si="4"/>
        <v>1</v>
      </c>
    </row>
    <row r="4924">
      <c r="A4924" s="19">
        <v>86584.0</v>
      </c>
      <c r="B4924" s="20" t="str">
        <f t="array" ref="B4924">xlookup($A4924,product!$A:$A,product!B:B)</f>
        <v>Santé &amp; Bien-être</v>
      </c>
      <c r="C4924" s="20" t="str">
        <f t="array" ref="C4924">xlookup($A4924,product!$A:$A,product!C:C)</f>
        <v>Digestion, transit, flore</v>
      </c>
      <c r="D4924" s="20" t="str">
        <f t="array" ref="D4924">xlookup($A4924,product!$A:$A,product!D:D)</f>
        <v>Acidités, équilibre acidobasique</v>
      </c>
      <c r="E4924" s="4" t="str">
        <f t="shared" si="1"/>
        <v>86584-Digestion, transit, flore-Acidités, équilibre acidobasique</v>
      </c>
      <c r="F4924" s="4">
        <v>0.0</v>
      </c>
      <c r="G4924" s="4">
        <v>289.0</v>
      </c>
      <c r="H4924" s="4">
        <v>273.0</v>
      </c>
      <c r="I4924" s="21">
        <f t="array" ref="I4924">XLOOKUP($A4924,product!A:A,product!E:E)</f>
        <v>4.59</v>
      </c>
      <c r="J4924" s="4">
        <f t="shared" si="2"/>
        <v>1253.07</v>
      </c>
      <c r="K4924" s="22">
        <f t="shared" si="3"/>
        <v>1</v>
      </c>
      <c r="L4924" s="4">
        <f t="shared" si="4"/>
        <v>1</v>
      </c>
    </row>
    <row r="4925">
      <c r="A4925" s="23">
        <v>79902.0</v>
      </c>
      <c r="B4925" s="24" t="str">
        <f t="array" ref="B4925">xlookup($A4925,product!$A:$A,product!B:B)</f>
        <v>Alimentation Bébé</v>
      </c>
      <c r="C4925" s="24" t="str">
        <f t="array" ref="C4925">xlookup($A4925,product!$A:$A,product!C:C)</f>
        <v>Petits pots fruits bébé</v>
      </c>
      <c r="D4925" s="24" t="str">
        <f t="array" ref="D4925">xlookup($A4925,product!$A:$A,product!D:D)</f>
        <v/>
      </c>
      <c r="E4925" s="25" t="str">
        <f t="shared" si="1"/>
        <v>79902-Petits pots fruits bébé-</v>
      </c>
      <c r="F4925" s="25">
        <v>1.0</v>
      </c>
      <c r="G4925" s="25">
        <v>912.0</v>
      </c>
      <c r="H4925" s="25">
        <v>856.0</v>
      </c>
      <c r="I4925" s="26">
        <f t="array" ref="I4925">XLOOKUP($A4925,product!A:A,product!E:E)</f>
        <v>1.18</v>
      </c>
      <c r="J4925" s="25">
        <f t="shared" si="2"/>
        <v>1010.08</v>
      </c>
      <c r="K4925" s="27">
        <f t="shared" si="3"/>
        <v>1</v>
      </c>
      <c r="L4925" s="25">
        <f t="shared" si="4"/>
        <v>1</v>
      </c>
    </row>
    <row r="4926">
      <c r="A4926" s="19">
        <v>41328.0</v>
      </c>
      <c r="B4926" s="20" t="str">
        <f t="array" ref="B4926">xlookup($A4926,product!$A:$A,product!B:B)</f>
        <v>Alimentation Bébé</v>
      </c>
      <c r="C4926" s="20" t="str">
        <f t="array" ref="C4926">xlookup($A4926,product!$A:$A,product!C:C)</f>
        <v>Petits pots fruits bébé</v>
      </c>
      <c r="D4926" s="20" t="str">
        <f t="array" ref="D4926">xlookup($A4926,product!$A:$A,product!D:D)</f>
        <v/>
      </c>
      <c r="E4926" s="4" t="str">
        <f t="shared" si="1"/>
        <v>41328-Petits pots fruits bébé-</v>
      </c>
      <c r="F4926" s="4">
        <v>0.0</v>
      </c>
      <c r="G4926" s="4">
        <v>747.0</v>
      </c>
      <c r="H4926" s="4">
        <v>170.0</v>
      </c>
      <c r="I4926" s="21">
        <f t="array" ref="I4926">XLOOKUP($A4926,product!A:A,product!E:E)</f>
        <v>2.2</v>
      </c>
      <c r="J4926" s="4">
        <f t="shared" si="2"/>
        <v>374</v>
      </c>
      <c r="K4926" s="22">
        <f t="shared" si="3"/>
        <v>1</v>
      </c>
      <c r="L4926" s="4">
        <f t="shared" si="4"/>
        <v>1</v>
      </c>
    </row>
    <row r="4927">
      <c r="A4927" s="23">
        <v>79907.0</v>
      </c>
      <c r="B4927" s="24" t="str">
        <f t="array" ref="B4927">xlookup($A4927,product!$A:$A,product!B:B)</f>
        <v>Alimentation Bébé</v>
      </c>
      <c r="C4927" s="24" t="str">
        <f t="array" ref="C4927">xlookup($A4927,product!$A:$A,product!C:C)</f>
        <v>Petits pots fruits bébé</v>
      </c>
      <c r="D4927" s="24" t="str">
        <f t="array" ref="D4927">xlookup($A4927,product!$A:$A,product!D:D)</f>
        <v/>
      </c>
      <c r="E4927" s="25" t="str">
        <f t="shared" si="1"/>
        <v>79907-Petits pots fruits bébé-</v>
      </c>
      <c r="F4927" s="25">
        <v>0.0</v>
      </c>
      <c r="G4927" s="25">
        <v>158.0</v>
      </c>
      <c r="H4927" s="25">
        <v>29.0</v>
      </c>
      <c r="I4927" s="26">
        <f t="array" ref="I4927">XLOOKUP($A4927,product!A:A,product!E:E)</f>
        <v>0.64</v>
      </c>
      <c r="J4927" s="25">
        <f t="shared" si="2"/>
        <v>18.56</v>
      </c>
      <c r="K4927" s="27">
        <f t="shared" si="3"/>
        <v>1</v>
      </c>
      <c r="L4927" s="25">
        <f t="shared" si="4"/>
        <v>1</v>
      </c>
    </row>
    <row r="4928">
      <c r="A4928" s="19">
        <v>70588.0</v>
      </c>
      <c r="B4928" s="20" t="str">
        <f t="array" ref="B4928">xlookup($A4928,product!$A:$A,product!B:B)</f>
        <v>Alimentation Bébé</v>
      </c>
      <c r="C4928" s="20" t="str">
        <f t="array" ref="C4928">xlookup($A4928,product!$A:$A,product!C:C)</f>
        <v>Petits pots fruits bébé</v>
      </c>
      <c r="D4928" s="20" t="str">
        <f t="array" ref="D4928">xlookup($A4928,product!$A:$A,product!D:D)</f>
        <v/>
      </c>
      <c r="E4928" s="4" t="str">
        <f t="shared" si="1"/>
        <v>70588-Petits pots fruits bébé-</v>
      </c>
      <c r="F4928" s="4">
        <v>0.0</v>
      </c>
      <c r="G4928" s="4">
        <v>846.0</v>
      </c>
      <c r="H4928" s="4">
        <v>186.0</v>
      </c>
      <c r="I4928" s="21">
        <f t="array" ref="I4928">XLOOKUP($A4928,product!A:A,product!E:E)</f>
        <v>0.64</v>
      </c>
      <c r="J4928" s="4">
        <f t="shared" si="2"/>
        <v>119.04</v>
      </c>
      <c r="K4928" s="22">
        <f t="shared" si="3"/>
        <v>1</v>
      </c>
      <c r="L4928" s="4">
        <f t="shared" si="4"/>
        <v>1</v>
      </c>
    </row>
    <row r="4929">
      <c r="A4929" s="23">
        <v>70587.0</v>
      </c>
      <c r="B4929" s="24" t="str">
        <f t="array" ref="B4929">xlookup($A4929,product!$A:$A,product!B:B)</f>
        <v>Alimentation Bébé</v>
      </c>
      <c r="C4929" s="24" t="str">
        <f t="array" ref="C4929">xlookup($A4929,product!$A:$A,product!C:C)</f>
        <v>Petits pots fruits bébé</v>
      </c>
      <c r="D4929" s="24" t="str">
        <f t="array" ref="D4929">xlookup($A4929,product!$A:$A,product!D:D)</f>
        <v/>
      </c>
      <c r="E4929" s="25" t="str">
        <f t="shared" si="1"/>
        <v>70587-Petits pots fruits bébé-</v>
      </c>
      <c r="F4929" s="25">
        <v>0.0</v>
      </c>
      <c r="G4929" s="25">
        <v>30.0</v>
      </c>
      <c r="H4929" s="25">
        <v>28.0</v>
      </c>
      <c r="I4929" s="26">
        <f t="array" ref="I4929">XLOOKUP($A4929,product!A:A,product!E:E)</f>
        <v>0.64</v>
      </c>
      <c r="J4929" s="25">
        <f t="shared" si="2"/>
        <v>17.92</v>
      </c>
      <c r="K4929" s="27">
        <f t="shared" si="3"/>
        <v>1</v>
      </c>
      <c r="L4929" s="25">
        <f t="shared" si="4"/>
        <v>1</v>
      </c>
    </row>
    <row r="4930">
      <c r="A4930" s="19">
        <v>109356.0</v>
      </c>
      <c r="B4930" s="20" t="str">
        <f t="array" ref="B4930">xlookup($A4930,product!$A:$A,product!B:B)</f>
        <v>Alimentation Bébé</v>
      </c>
      <c r="C4930" s="20" t="str">
        <f t="array" ref="C4930">xlookup($A4930,product!$A:$A,product!C:C)</f>
        <v>Petits pots fruits bébé</v>
      </c>
      <c r="D4930" s="20" t="str">
        <f t="array" ref="D4930">xlookup($A4930,product!$A:$A,product!D:D)</f>
        <v/>
      </c>
      <c r="E4930" s="4" t="str">
        <f t="shared" si="1"/>
        <v>109356-Petits pots fruits bébé-</v>
      </c>
      <c r="F4930" s="4">
        <v>1.0</v>
      </c>
      <c r="G4930" s="4">
        <v>534.0</v>
      </c>
      <c r="H4930" s="4">
        <v>435.0</v>
      </c>
      <c r="I4930" s="21">
        <f t="array" ref="I4930">XLOOKUP($A4930,product!A:A,product!E:E)</f>
        <v>2.99</v>
      </c>
      <c r="J4930" s="4">
        <f t="shared" si="2"/>
        <v>1300.65</v>
      </c>
      <c r="K4930" s="22">
        <f t="shared" si="3"/>
        <v>1</v>
      </c>
      <c r="L4930" s="4">
        <f t="shared" si="4"/>
        <v>1</v>
      </c>
    </row>
    <row r="4931">
      <c r="A4931" s="23">
        <v>47892.0</v>
      </c>
      <c r="B4931" s="24" t="str">
        <f t="array" ref="B4931">xlookup($A4931,product!$A:$A,product!B:B)</f>
        <v>Alimentation Bébé</v>
      </c>
      <c r="C4931" s="24" t="str">
        <f t="array" ref="C4931">xlookup($A4931,product!$A:$A,product!C:C)</f>
        <v>Petits pots fruits bébé</v>
      </c>
      <c r="D4931" s="24" t="str">
        <f t="array" ref="D4931">xlookup($A4931,product!$A:$A,product!D:D)</f>
        <v/>
      </c>
      <c r="E4931" s="25" t="str">
        <f t="shared" si="1"/>
        <v>47892-Petits pots fruits bébé-</v>
      </c>
      <c r="F4931" s="25">
        <v>1.0</v>
      </c>
      <c r="G4931" s="25">
        <v>409.0</v>
      </c>
      <c r="H4931" s="25">
        <v>226.0</v>
      </c>
      <c r="I4931" s="26">
        <f t="array" ref="I4931">XLOOKUP($A4931,product!A:A,product!E:E)</f>
        <v>1.86</v>
      </c>
      <c r="J4931" s="25">
        <f t="shared" si="2"/>
        <v>420.36</v>
      </c>
      <c r="K4931" s="27">
        <f t="shared" si="3"/>
        <v>1</v>
      </c>
      <c r="L4931" s="25">
        <f t="shared" si="4"/>
        <v>1</v>
      </c>
    </row>
    <row r="4932">
      <c r="A4932" s="19">
        <v>79901.0</v>
      </c>
      <c r="B4932" s="20" t="str">
        <f t="array" ref="B4932">xlookup($A4932,product!$A:$A,product!B:B)</f>
        <v>Alimentation Bébé</v>
      </c>
      <c r="C4932" s="20" t="str">
        <f t="array" ref="C4932">xlookup($A4932,product!$A:$A,product!C:C)</f>
        <v>Petits pots fruits bébé</v>
      </c>
      <c r="D4932" s="20" t="str">
        <f t="array" ref="D4932">xlookup($A4932,product!$A:$A,product!D:D)</f>
        <v/>
      </c>
      <c r="E4932" s="4" t="str">
        <f t="shared" si="1"/>
        <v>79901-Petits pots fruits bébé-</v>
      </c>
      <c r="F4932" s="4">
        <v>1.0</v>
      </c>
      <c r="G4932" s="4">
        <v>223.0</v>
      </c>
      <c r="H4932" s="4">
        <v>156.0</v>
      </c>
      <c r="I4932" s="21">
        <f t="array" ref="I4932">XLOOKUP($A4932,product!A:A,product!E:E)</f>
        <v>1.18</v>
      </c>
      <c r="J4932" s="4">
        <f t="shared" si="2"/>
        <v>184.08</v>
      </c>
      <c r="K4932" s="22">
        <f t="shared" si="3"/>
        <v>1</v>
      </c>
      <c r="L4932" s="4">
        <f t="shared" si="4"/>
        <v>1</v>
      </c>
    </row>
    <row r="4933">
      <c r="A4933" s="23">
        <v>70585.0</v>
      </c>
      <c r="B4933" s="24" t="str">
        <f t="array" ref="B4933">xlookup($A4933,product!$A:$A,product!B:B)</f>
        <v>Alimentation Bébé</v>
      </c>
      <c r="C4933" s="24" t="str">
        <f t="array" ref="C4933">xlookup($A4933,product!$A:$A,product!C:C)</f>
        <v>Petits pots fruits bébé</v>
      </c>
      <c r="D4933" s="24" t="str">
        <f t="array" ref="D4933">xlookup($A4933,product!$A:$A,product!D:D)</f>
        <v/>
      </c>
      <c r="E4933" s="25" t="str">
        <f t="shared" si="1"/>
        <v>70585-Petits pots fruits bébé-</v>
      </c>
      <c r="F4933" s="25">
        <v>0.0</v>
      </c>
      <c r="G4933" s="25">
        <v>104.0</v>
      </c>
      <c r="H4933" s="25">
        <v>24.0</v>
      </c>
      <c r="I4933" s="26">
        <f t="array" ref="I4933">XLOOKUP($A4933,product!A:A,product!E:E)</f>
        <v>1.65</v>
      </c>
      <c r="J4933" s="25">
        <f t="shared" si="2"/>
        <v>39.6</v>
      </c>
      <c r="K4933" s="27">
        <f t="shared" si="3"/>
        <v>1</v>
      </c>
      <c r="L4933" s="25">
        <f t="shared" si="4"/>
        <v>1</v>
      </c>
    </row>
    <row r="4934">
      <c r="A4934" s="19">
        <v>4375.0</v>
      </c>
      <c r="B4934" s="20" t="str">
        <f t="array" ref="B4934">xlookup($A4934,product!$A:$A,product!B:B)</f>
        <v>Alimentation Bébé</v>
      </c>
      <c r="C4934" s="20" t="str">
        <f t="array" ref="C4934">xlookup($A4934,product!$A:$A,product!C:C)</f>
        <v>Petits pots fruits bébé</v>
      </c>
      <c r="D4934" s="20" t="str">
        <f t="array" ref="D4934">xlookup($A4934,product!$A:$A,product!D:D)</f>
        <v>Fruits en coupelle 4 mois</v>
      </c>
      <c r="E4934" s="4" t="str">
        <f t="shared" si="1"/>
        <v>4375-Petits pots fruits bébé-Fruits en coupelle 4 mois</v>
      </c>
      <c r="F4934" s="4">
        <v>0.0</v>
      </c>
      <c r="G4934" s="4">
        <v>747.0</v>
      </c>
      <c r="H4934" s="4">
        <v>257.0</v>
      </c>
      <c r="I4934" s="21">
        <f t="array" ref="I4934">XLOOKUP($A4934,product!A:A,product!E:E)</f>
        <v>1.92</v>
      </c>
      <c r="J4934" s="4">
        <f t="shared" si="2"/>
        <v>493.44</v>
      </c>
      <c r="K4934" s="22">
        <f t="shared" si="3"/>
        <v>1</v>
      </c>
      <c r="L4934" s="4">
        <f t="shared" si="4"/>
        <v>1</v>
      </c>
    </row>
    <row r="4935">
      <c r="A4935" s="23">
        <v>4380.0</v>
      </c>
      <c r="B4935" s="24" t="str">
        <f t="array" ref="B4935">xlookup($A4935,product!$A:$A,product!B:B)</f>
        <v>Alimentation Bébé</v>
      </c>
      <c r="C4935" s="24" t="str">
        <f t="array" ref="C4935">xlookup($A4935,product!$A:$A,product!C:C)</f>
        <v>Petits pots fruits bébé</v>
      </c>
      <c r="D4935" s="24" t="str">
        <f t="array" ref="D4935">xlookup($A4935,product!$A:$A,product!D:D)</f>
        <v>Fruits en coupelle 4 mois</v>
      </c>
      <c r="E4935" s="25" t="str">
        <f t="shared" si="1"/>
        <v>4380-Petits pots fruits bébé-Fruits en coupelle 4 mois</v>
      </c>
      <c r="F4935" s="25">
        <v>1.0</v>
      </c>
      <c r="G4935" s="25">
        <v>932.0</v>
      </c>
      <c r="H4935" s="25">
        <v>877.0</v>
      </c>
      <c r="I4935" s="26">
        <f t="array" ref="I4935">XLOOKUP($A4935,product!A:A,product!E:E)</f>
        <v>1.92</v>
      </c>
      <c r="J4935" s="25">
        <f t="shared" si="2"/>
        <v>1683.84</v>
      </c>
      <c r="K4935" s="27">
        <f t="shared" si="3"/>
        <v>1</v>
      </c>
      <c r="L4935" s="25">
        <f t="shared" si="4"/>
        <v>1</v>
      </c>
    </row>
    <row r="4936">
      <c r="A4936" s="19">
        <v>84967.0</v>
      </c>
      <c r="B4936" s="20" t="str">
        <f t="array" ref="B4936">xlookup($A4936,product!$A:$A,product!B:B)</f>
        <v>Alimentation Bébé</v>
      </c>
      <c r="C4936" s="20" t="str">
        <f t="array" ref="C4936">xlookup($A4936,product!$A:$A,product!C:C)</f>
        <v>Petits pots fruits bébé</v>
      </c>
      <c r="D4936" s="20" t="str">
        <f t="array" ref="D4936">xlookup($A4936,product!$A:$A,product!D:D)</f>
        <v>Fruits en coupelle 4 mois</v>
      </c>
      <c r="E4936" s="4" t="str">
        <f t="shared" si="1"/>
        <v>84967-Petits pots fruits bébé-Fruits en coupelle 4 mois</v>
      </c>
      <c r="F4936" s="4">
        <v>1.0</v>
      </c>
      <c r="G4936" s="4">
        <v>761.0</v>
      </c>
      <c r="H4936" s="4">
        <v>323.0</v>
      </c>
      <c r="I4936" s="21">
        <f t="array" ref="I4936">XLOOKUP($A4936,product!A:A,product!E:E)</f>
        <v>1.2</v>
      </c>
      <c r="J4936" s="4">
        <f t="shared" si="2"/>
        <v>387.6</v>
      </c>
      <c r="K4936" s="22">
        <f t="shared" si="3"/>
        <v>1</v>
      </c>
      <c r="L4936" s="4">
        <f t="shared" si="4"/>
        <v>1</v>
      </c>
    </row>
    <row r="4937">
      <c r="A4937" s="23">
        <v>4381.0</v>
      </c>
      <c r="B4937" s="24" t="str">
        <f t="array" ref="B4937">xlookup($A4937,product!$A:$A,product!B:B)</f>
        <v>Alimentation Bébé</v>
      </c>
      <c r="C4937" s="24" t="str">
        <f t="array" ref="C4937">xlookup($A4937,product!$A:$A,product!C:C)</f>
        <v>Petits pots fruits bébé</v>
      </c>
      <c r="D4937" s="24" t="str">
        <f t="array" ref="D4937">xlookup($A4937,product!$A:$A,product!D:D)</f>
        <v>Fruits en coupelle 4 mois</v>
      </c>
      <c r="E4937" s="25" t="str">
        <f t="shared" si="1"/>
        <v>4381-Petits pots fruits bébé-Fruits en coupelle 4 mois</v>
      </c>
      <c r="F4937" s="25">
        <v>1.0</v>
      </c>
      <c r="G4937" s="25">
        <v>260.0</v>
      </c>
      <c r="H4937" s="25">
        <v>179.0</v>
      </c>
      <c r="I4937" s="26">
        <f t="array" ref="I4937">XLOOKUP($A4937,product!A:A,product!E:E)</f>
        <v>1.92</v>
      </c>
      <c r="J4937" s="25">
        <f t="shared" si="2"/>
        <v>343.68</v>
      </c>
      <c r="K4937" s="27">
        <f t="shared" si="3"/>
        <v>1</v>
      </c>
      <c r="L4937" s="25">
        <f t="shared" si="4"/>
        <v>1</v>
      </c>
    </row>
    <row r="4938">
      <c r="A4938" s="19">
        <v>4379.0</v>
      </c>
      <c r="B4938" s="20" t="str">
        <f t="array" ref="B4938">xlookup($A4938,product!$A:$A,product!B:B)</f>
        <v>Alimentation Bébé</v>
      </c>
      <c r="C4938" s="20" t="str">
        <f t="array" ref="C4938">xlookup($A4938,product!$A:$A,product!C:C)</f>
        <v>Petits pots fruits bébé</v>
      </c>
      <c r="D4938" s="20" t="str">
        <f t="array" ref="D4938">xlookup($A4938,product!$A:$A,product!D:D)</f>
        <v>Fruits en coupelle 4 mois</v>
      </c>
      <c r="E4938" s="4" t="str">
        <f t="shared" si="1"/>
        <v>4379-Petits pots fruits bébé-Fruits en coupelle 4 mois</v>
      </c>
      <c r="F4938" s="4">
        <v>0.0</v>
      </c>
      <c r="G4938" s="4">
        <v>607.0</v>
      </c>
      <c r="H4938" s="4">
        <v>351.0</v>
      </c>
      <c r="I4938" s="21">
        <f t="array" ref="I4938">XLOOKUP($A4938,product!A:A,product!E:E)</f>
        <v>1.92</v>
      </c>
      <c r="J4938" s="4">
        <f t="shared" si="2"/>
        <v>673.92</v>
      </c>
      <c r="K4938" s="22">
        <f t="shared" si="3"/>
        <v>1</v>
      </c>
      <c r="L4938" s="4">
        <f t="shared" si="4"/>
        <v>1</v>
      </c>
    </row>
    <row r="4939">
      <c r="A4939" s="23">
        <v>4383.0</v>
      </c>
      <c r="B4939" s="24" t="str">
        <f t="array" ref="B4939">xlookup($A4939,product!$A:$A,product!B:B)</f>
        <v>Alimentation Bébé</v>
      </c>
      <c r="C4939" s="24" t="str">
        <f t="array" ref="C4939">xlookup($A4939,product!$A:$A,product!C:C)</f>
        <v>Petits pots fruits bébé</v>
      </c>
      <c r="D4939" s="24" t="str">
        <f t="array" ref="D4939">xlookup($A4939,product!$A:$A,product!D:D)</f>
        <v>Fruits en coupelle 4 mois</v>
      </c>
      <c r="E4939" s="25" t="str">
        <f t="shared" si="1"/>
        <v>4383-Petits pots fruits bébé-Fruits en coupelle 4 mois</v>
      </c>
      <c r="F4939" s="25">
        <v>1.0</v>
      </c>
      <c r="G4939" s="25">
        <v>758.0</v>
      </c>
      <c r="H4939" s="25">
        <v>653.0</v>
      </c>
      <c r="I4939" s="26">
        <f t="array" ref="I4939">XLOOKUP($A4939,product!A:A,product!E:E)</f>
        <v>1.92</v>
      </c>
      <c r="J4939" s="25">
        <f t="shared" si="2"/>
        <v>1253.76</v>
      </c>
      <c r="K4939" s="27">
        <f t="shared" si="3"/>
        <v>1</v>
      </c>
      <c r="L4939" s="25">
        <f t="shared" si="4"/>
        <v>1</v>
      </c>
    </row>
    <row r="4940">
      <c r="A4940" s="19">
        <v>110770.0</v>
      </c>
      <c r="B4940" s="20" t="str">
        <f t="array" ref="B4940">xlookup($A4940,product!$A:$A,product!B:B)</f>
        <v>Alimentation Bébé</v>
      </c>
      <c r="C4940" s="20" t="str">
        <f t="array" ref="C4940">xlookup($A4940,product!$A:$A,product!C:C)</f>
        <v>Petits pots fruits bébé</v>
      </c>
      <c r="D4940" s="20" t="str">
        <f t="array" ref="D4940">xlookup($A4940,product!$A:$A,product!D:D)</f>
        <v>Gourdes de fruits 12 mois</v>
      </c>
      <c r="E4940" s="4" t="str">
        <f t="shared" si="1"/>
        <v>110770-Petits pots fruits bébé-Gourdes de fruits 12 mois</v>
      </c>
      <c r="F4940" s="4">
        <v>1.0</v>
      </c>
      <c r="G4940" s="4">
        <v>747.0</v>
      </c>
      <c r="H4940" s="4">
        <v>255.0</v>
      </c>
      <c r="I4940" s="21">
        <f t="array" ref="I4940">XLOOKUP($A4940,product!A:A,product!E:E)</f>
        <v>0.79</v>
      </c>
      <c r="J4940" s="4">
        <f t="shared" si="2"/>
        <v>201.45</v>
      </c>
      <c r="K4940" s="22">
        <f t="shared" si="3"/>
        <v>1</v>
      </c>
      <c r="L4940" s="4">
        <f t="shared" si="4"/>
        <v>1</v>
      </c>
    </row>
    <row r="4941">
      <c r="A4941" s="23">
        <v>110764.0</v>
      </c>
      <c r="B4941" s="24" t="str">
        <f t="array" ref="B4941">xlookup($A4941,product!$A:$A,product!B:B)</f>
        <v>Alimentation Bébé</v>
      </c>
      <c r="C4941" s="24" t="str">
        <f t="array" ref="C4941">xlookup($A4941,product!$A:$A,product!C:C)</f>
        <v>Petits pots fruits bébé</v>
      </c>
      <c r="D4941" s="24" t="str">
        <f t="array" ref="D4941">xlookup($A4941,product!$A:$A,product!D:D)</f>
        <v>Gourdes de fruits 12 mois</v>
      </c>
      <c r="E4941" s="25" t="str">
        <f t="shared" si="1"/>
        <v>110764-Petits pots fruits bébé-Gourdes de fruits 12 mois</v>
      </c>
      <c r="F4941" s="25">
        <v>0.0</v>
      </c>
      <c r="G4941" s="25">
        <v>507.0</v>
      </c>
      <c r="H4941" s="25">
        <v>347.0</v>
      </c>
      <c r="I4941" s="26">
        <f t="array" ref="I4941">XLOOKUP($A4941,product!A:A,product!E:E)</f>
        <v>0.79</v>
      </c>
      <c r="J4941" s="25">
        <f t="shared" si="2"/>
        <v>274.13</v>
      </c>
      <c r="K4941" s="27">
        <f t="shared" si="3"/>
        <v>1</v>
      </c>
      <c r="L4941" s="25">
        <f t="shared" si="4"/>
        <v>1</v>
      </c>
    </row>
    <row r="4942">
      <c r="A4942" s="19">
        <v>109355.0</v>
      </c>
      <c r="B4942" s="20" t="str">
        <f t="array" ref="B4942">xlookup($A4942,product!$A:$A,product!B:B)</f>
        <v>Alimentation Bébé</v>
      </c>
      <c r="C4942" s="20" t="str">
        <f t="array" ref="C4942">xlookup($A4942,product!$A:$A,product!C:C)</f>
        <v>Petits pots fruits bébé</v>
      </c>
      <c r="D4942" s="20" t="str">
        <f t="array" ref="D4942">xlookup($A4942,product!$A:$A,product!D:D)</f>
        <v>Gourdes de fruits 12 mois</v>
      </c>
      <c r="E4942" s="4" t="str">
        <f t="shared" si="1"/>
        <v>109355-Petits pots fruits bébé-Gourdes de fruits 12 mois</v>
      </c>
      <c r="F4942" s="4">
        <v>0.0</v>
      </c>
      <c r="G4942" s="4">
        <v>82.0</v>
      </c>
      <c r="H4942" s="4">
        <v>14.0</v>
      </c>
      <c r="I4942" s="21">
        <f t="array" ref="I4942">XLOOKUP($A4942,product!A:A,product!E:E)</f>
        <v>1.07</v>
      </c>
      <c r="J4942" s="4">
        <f t="shared" si="2"/>
        <v>14.98</v>
      </c>
      <c r="K4942" s="22">
        <f t="shared" si="3"/>
        <v>1</v>
      </c>
      <c r="L4942" s="4">
        <f t="shared" si="4"/>
        <v>1</v>
      </c>
    </row>
    <row r="4943">
      <c r="A4943" s="23">
        <v>110765.0</v>
      </c>
      <c r="B4943" s="24" t="str">
        <f t="array" ref="B4943">xlookup($A4943,product!$A:$A,product!B:B)</f>
        <v>Alimentation Bébé</v>
      </c>
      <c r="C4943" s="24" t="str">
        <f t="array" ref="C4943">xlookup($A4943,product!$A:$A,product!C:C)</f>
        <v>Petits pots fruits bébé</v>
      </c>
      <c r="D4943" s="24" t="str">
        <f t="array" ref="D4943">xlookup($A4943,product!$A:$A,product!D:D)</f>
        <v>Gourdes de fruits 12 mois</v>
      </c>
      <c r="E4943" s="25" t="str">
        <f t="shared" si="1"/>
        <v>110765-Petits pots fruits bébé-Gourdes de fruits 12 mois</v>
      </c>
      <c r="F4943" s="25">
        <v>1.0</v>
      </c>
      <c r="G4943" s="25">
        <v>949.0</v>
      </c>
      <c r="H4943" s="25">
        <v>12.0</v>
      </c>
      <c r="I4943" s="26">
        <f t="array" ref="I4943">XLOOKUP($A4943,product!A:A,product!E:E)</f>
        <v>0.79</v>
      </c>
      <c r="J4943" s="25">
        <f t="shared" si="2"/>
        <v>9.48</v>
      </c>
      <c r="K4943" s="27">
        <f t="shared" si="3"/>
        <v>1</v>
      </c>
      <c r="L4943" s="25">
        <f t="shared" si="4"/>
        <v>1</v>
      </c>
    </row>
    <row r="4944">
      <c r="A4944" s="19">
        <v>103510.0</v>
      </c>
      <c r="B4944" s="20" t="str">
        <f t="array" ref="B4944">xlookup($A4944,product!$A:$A,product!B:B)</f>
        <v>Alimentation Bébé</v>
      </c>
      <c r="C4944" s="20" t="str">
        <f t="array" ref="C4944">xlookup($A4944,product!$A:$A,product!C:C)</f>
        <v>Petits pots fruits bébé</v>
      </c>
      <c r="D4944" s="20" t="str">
        <f t="array" ref="D4944">xlookup($A4944,product!$A:$A,product!D:D)</f>
        <v>Gourdes de fruits 12 mois</v>
      </c>
      <c r="E4944" s="4" t="str">
        <f t="shared" si="1"/>
        <v>103510-Petits pots fruits bébé-Gourdes de fruits 12 mois</v>
      </c>
      <c r="F4944" s="4">
        <v>1.0</v>
      </c>
      <c r="G4944" s="4">
        <v>609.0</v>
      </c>
      <c r="H4944" s="4">
        <v>174.0</v>
      </c>
      <c r="I4944" s="21">
        <f t="array" ref="I4944">XLOOKUP($A4944,product!A:A,product!E:E)</f>
        <v>7.22</v>
      </c>
      <c r="J4944" s="4">
        <f t="shared" si="2"/>
        <v>1256.28</v>
      </c>
      <c r="K4944" s="22">
        <f t="shared" si="3"/>
        <v>1</v>
      </c>
      <c r="L4944" s="4">
        <f t="shared" si="4"/>
        <v>1</v>
      </c>
    </row>
    <row r="4945">
      <c r="A4945" s="23">
        <v>114936.0</v>
      </c>
      <c r="B4945" s="24" t="str">
        <f t="array" ref="B4945">xlookup($A4945,product!$A:$A,product!B:B)</f>
        <v>Alimentation Bébé</v>
      </c>
      <c r="C4945" s="24" t="str">
        <f t="array" ref="C4945">xlookup($A4945,product!$A:$A,product!C:C)</f>
        <v>Petits pots fruits bébé</v>
      </c>
      <c r="D4945" s="24" t="str">
        <f t="array" ref="D4945">xlookup($A4945,product!$A:$A,product!D:D)</f>
        <v>Gourdes de fruits 12 mois</v>
      </c>
      <c r="E4945" s="25" t="str">
        <f t="shared" si="1"/>
        <v>114936-Petits pots fruits bébé-Gourdes de fruits 12 mois</v>
      </c>
      <c r="F4945" s="25">
        <v>1.0</v>
      </c>
      <c r="G4945" s="25">
        <v>184.0</v>
      </c>
      <c r="H4945" s="25">
        <v>7.0</v>
      </c>
      <c r="I4945" s="26">
        <f t="array" ref="I4945">XLOOKUP($A4945,product!A:A,product!E:E)</f>
        <v>0.79</v>
      </c>
      <c r="J4945" s="25">
        <f t="shared" si="2"/>
        <v>5.53</v>
      </c>
      <c r="K4945" s="27">
        <f t="shared" si="3"/>
        <v>1</v>
      </c>
      <c r="L4945" s="25">
        <f t="shared" si="4"/>
        <v>1</v>
      </c>
    </row>
    <row r="4946">
      <c r="A4946" s="19">
        <v>114935.0</v>
      </c>
      <c r="B4946" s="20" t="str">
        <f t="array" ref="B4946">xlookup($A4946,product!$A:$A,product!B:B)</f>
        <v>Alimentation Bébé</v>
      </c>
      <c r="C4946" s="20" t="str">
        <f t="array" ref="C4946">xlookup($A4946,product!$A:$A,product!C:C)</f>
        <v>Petits pots fruits bébé</v>
      </c>
      <c r="D4946" s="20" t="str">
        <f t="array" ref="D4946">xlookup($A4946,product!$A:$A,product!D:D)</f>
        <v>Gourdes de fruits 12 mois</v>
      </c>
      <c r="E4946" s="4" t="str">
        <f t="shared" si="1"/>
        <v>114935-Petits pots fruits bébé-Gourdes de fruits 12 mois</v>
      </c>
      <c r="F4946" s="4">
        <v>1.0</v>
      </c>
      <c r="G4946" s="4">
        <v>310.0</v>
      </c>
      <c r="H4946" s="4">
        <v>93.0</v>
      </c>
      <c r="I4946" s="21">
        <f t="array" ref="I4946">XLOOKUP($A4946,product!A:A,product!E:E)</f>
        <v>0.79</v>
      </c>
      <c r="J4946" s="4">
        <f t="shared" si="2"/>
        <v>73.47</v>
      </c>
      <c r="K4946" s="22">
        <f t="shared" si="3"/>
        <v>1</v>
      </c>
      <c r="L4946" s="4">
        <f t="shared" si="4"/>
        <v>1</v>
      </c>
    </row>
    <row r="4947">
      <c r="A4947" s="23">
        <v>110768.0</v>
      </c>
      <c r="B4947" s="24" t="str">
        <f t="array" ref="B4947">xlookup($A4947,product!$A:$A,product!B:B)</f>
        <v>Alimentation Bébé</v>
      </c>
      <c r="C4947" s="24" t="str">
        <f t="array" ref="C4947">xlookup($A4947,product!$A:$A,product!C:C)</f>
        <v>Petits pots fruits bébé</v>
      </c>
      <c r="D4947" s="24" t="str">
        <f t="array" ref="D4947">xlookup($A4947,product!$A:$A,product!D:D)</f>
        <v>Gourdes de fruits 12 mois</v>
      </c>
      <c r="E4947" s="25" t="str">
        <f t="shared" si="1"/>
        <v>110768-Petits pots fruits bébé-Gourdes de fruits 12 mois</v>
      </c>
      <c r="F4947" s="25">
        <v>1.0</v>
      </c>
      <c r="G4947" s="25">
        <v>437.0</v>
      </c>
      <c r="H4947" s="25">
        <v>34.0</v>
      </c>
      <c r="I4947" s="26">
        <f t="array" ref="I4947">XLOOKUP($A4947,product!A:A,product!E:E)</f>
        <v>0.79</v>
      </c>
      <c r="J4947" s="25">
        <f t="shared" si="2"/>
        <v>26.86</v>
      </c>
      <c r="K4947" s="27">
        <f t="shared" si="3"/>
        <v>1</v>
      </c>
      <c r="L4947" s="25">
        <f t="shared" si="4"/>
        <v>1</v>
      </c>
    </row>
    <row r="4948">
      <c r="A4948" s="19">
        <v>120256.0</v>
      </c>
      <c r="B4948" s="20" t="str">
        <f t="array" ref="B4948">xlookup($A4948,product!$A:$A,product!B:B)</f>
        <v>Alimentation Bébé</v>
      </c>
      <c r="C4948" s="20" t="str">
        <f t="array" ref="C4948">xlookup($A4948,product!$A:$A,product!C:C)</f>
        <v>Petits pots fruits bébé</v>
      </c>
      <c r="D4948" s="20" t="str">
        <f t="array" ref="D4948">xlookup($A4948,product!$A:$A,product!D:D)</f>
        <v>Gourdes de fruits 4-6 mois</v>
      </c>
      <c r="E4948" s="4" t="str">
        <f t="shared" si="1"/>
        <v>120256-Petits pots fruits bébé-Gourdes de fruits 4-6 mois</v>
      </c>
      <c r="F4948" s="4">
        <v>0.0</v>
      </c>
      <c r="G4948" s="4">
        <v>961.0</v>
      </c>
      <c r="H4948" s="4">
        <v>769.0</v>
      </c>
      <c r="I4948" s="21">
        <f t="array" ref="I4948">XLOOKUP($A4948,product!A:A,product!E:E)</f>
        <v>1.13</v>
      </c>
      <c r="J4948" s="4">
        <f t="shared" si="2"/>
        <v>868.97</v>
      </c>
      <c r="K4948" s="22">
        <f t="shared" si="3"/>
        <v>1</v>
      </c>
      <c r="L4948" s="4">
        <f t="shared" si="4"/>
        <v>1</v>
      </c>
    </row>
    <row r="4949">
      <c r="A4949" s="23">
        <v>101783.0</v>
      </c>
      <c r="B4949" s="24" t="str">
        <f t="array" ref="B4949">xlookup($A4949,product!$A:$A,product!B:B)</f>
        <v>Alimentation Bébé</v>
      </c>
      <c r="C4949" s="24" t="str">
        <f t="array" ref="C4949">xlookup($A4949,product!$A:$A,product!C:C)</f>
        <v>Petits pots fruits bébé</v>
      </c>
      <c r="D4949" s="24" t="str">
        <f t="array" ref="D4949">xlookup($A4949,product!$A:$A,product!D:D)</f>
        <v>Gourdes de fruits 4-6 mois</v>
      </c>
      <c r="E4949" s="25" t="str">
        <f t="shared" si="1"/>
        <v>101783-Petits pots fruits bébé-Gourdes de fruits 4-6 mois</v>
      </c>
      <c r="F4949" s="25">
        <v>1.0</v>
      </c>
      <c r="G4949" s="25">
        <v>618.0</v>
      </c>
      <c r="H4949" s="25">
        <v>112.0</v>
      </c>
      <c r="I4949" s="26">
        <f t="array" ref="I4949">XLOOKUP($A4949,product!A:A,product!E:E)</f>
        <v>0.95</v>
      </c>
      <c r="J4949" s="25">
        <f t="shared" si="2"/>
        <v>106.4</v>
      </c>
      <c r="K4949" s="27">
        <f t="shared" si="3"/>
        <v>1</v>
      </c>
      <c r="L4949" s="25">
        <f t="shared" si="4"/>
        <v>1</v>
      </c>
    </row>
    <row r="4950">
      <c r="A4950" s="19">
        <v>75766.0</v>
      </c>
      <c r="B4950" s="20" t="str">
        <f t="array" ref="B4950">xlookup($A4950,product!$A:$A,product!B:B)</f>
        <v>Alimentation Bébé</v>
      </c>
      <c r="C4950" s="20" t="str">
        <f t="array" ref="C4950">xlookup($A4950,product!$A:$A,product!C:C)</f>
        <v>Petits pots fruits bébé</v>
      </c>
      <c r="D4950" s="20" t="str">
        <f t="array" ref="D4950">xlookup($A4950,product!$A:$A,product!D:D)</f>
        <v>Gourdes de fruits 4-6 mois</v>
      </c>
      <c r="E4950" s="4" t="str">
        <f t="shared" si="1"/>
        <v>75766-Petits pots fruits bébé-Gourdes de fruits 4-6 mois</v>
      </c>
      <c r="F4950" s="4">
        <v>0.0</v>
      </c>
      <c r="G4950" s="4">
        <v>842.0</v>
      </c>
      <c r="H4950" s="4">
        <v>123.0</v>
      </c>
      <c r="I4950" s="21">
        <f t="array" ref="I4950">XLOOKUP($A4950,product!A:A,product!E:E)</f>
        <v>0.83</v>
      </c>
      <c r="J4950" s="4">
        <f t="shared" si="2"/>
        <v>102.09</v>
      </c>
      <c r="K4950" s="22">
        <f t="shared" si="3"/>
        <v>1</v>
      </c>
      <c r="L4950" s="4">
        <f t="shared" si="4"/>
        <v>1</v>
      </c>
    </row>
    <row r="4951">
      <c r="A4951" s="23">
        <v>69756.0</v>
      </c>
      <c r="B4951" s="24" t="str">
        <f t="array" ref="B4951">xlookup($A4951,product!$A:$A,product!B:B)</f>
        <v>Alimentation Bébé</v>
      </c>
      <c r="C4951" s="24" t="str">
        <f t="array" ref="C4951">xlookup($A4951,product!$A:$A,product!C:C)</f>
        <v>Petits pots fruits bébé</v>
      </c>
      <c r="D4951" s="24" t="str">
        <f t="array" ref="D4951">xlookup($A4951,product!$A:$A,product!D:D)</f>
        <v>Gourdes de fruits 4-6 mois</v>
      </c>
      <c r="E4951" s="25" t="str">
        <f t="shared" si="1"/>
        <v>69756-Petits pots fruits bébé-Gourdes de fruits 4-6 mois</v>
      </c>
      <c r="F4951" s="25">
        <v>0.0</v>
      </c>
      <c r="G4951" s="25">
        <v>104.0</v>
      </c>
      <c r="H4951" s="25">
        <v>77.0</v>
      </c>
      <c r="I4951" s="26">
        <f t="array" ref="I4951">XLOOKUP($A4951,product!A:A,product!E:E)</f>
        <v>0.95</v>
      </c>
      <c r="J4951" s="25">
        <f t="shared" si="2"/>
        <v>73.15</v>
      </c>
      <c r="K4951" s="27">
        <f t="shared" si="3"/>
        <v>1</v>
      </c>
      <c r="L4951" s="25">
        <f t="shared" si="4"/>
        <v>1</v>
      </c>
    </row>
    <row r="4952">
      <c r="A4952" s="19">
        <v>112471.0</v>
      </c>
      <c r="B4952" s="20" t="str">
        <f t="array" ref="B4952">xlookup($A4952,product!$A:$A,product!B:B)</f>
        <v>Alimentation Bébé</v>
      </c>
      <c r="C4952" s="20" t="str">
        <f t="array" ref="C4952">xlookup($A4952,product!$A:$A,product!C:C)</f>
        <v>Petits pots fruits bébé</v>
      </c>
      <c r="D4952" s="20" t="str">
        <f t="array" ref="D4952">xlookup($A4952,product!$A:$A,product!D:D)</f>
        <v>Gourdes de fruits 4-6 mois</v>
      </c>
      <c r="E4952" s="4" t="str">
        <f t="shared" si="1"/>
        <v>112471-Petits pots fruits bébé-Gourdes de fruits 4-6 mois</v>
      </c>
      <c r="F4952" s="4">
        <v>1.0</v>
      </c>
      <c r="G4952" s="4">
        <v>933.0</v>
      </c>
      <c r="H4952" s="4">
        <v>640.0</v>
      </c>
      <c r="I4952" s="21">
        <f t="array" ref="I4952">XLOOKUP($A4952,product!A:A,product!E:E)</f>
        <v>0.79</v>
      </c>
      <c r="J4952" s="4">
        <f t="shared" si="2"/>
        <v>505.6</v>
      </c>
      <c r="K4952" s="22">
        <f t="shared" si="3"/>
        <v>1</v>
      </c>
      <c r="L4952" s="4">
        <f t="shared" si="4"/>
        <v>1</v>
      </c>
    </row>
    <row r="4953">
      <c r="A4953" s="23">
        <v>99040.0</v>
      </c>
      <c r="B4953" s="24" t="str">
        <f t="array" ref="B4953">xlookup($A4953,product!$A:$A,product!B:B)</f>
        <v>Alimentation Bébé</v>
      </c>
      <c r="C4953" s="24" t="str">
        <f t="array" ref="C4953">xlookup($A4953,product!$A:$A,product!C:C)</f>
        <v>Petits pots fruits bébé</v>
      </c>
      <c r="D4953" s="24" t="str">
        <f t="array" ref="D4953">xlookup($A4953,product!$A:$A,product!D:D)</f>
        <v>Gourdes de fruits 4-6 mois</v>
      </c>
      <c r="E4953" s="25" t="str">
        <f t="shared" si="1"/>
        <v>99040-Petits pots fruits bébé-Gourdes de fruits 4-6 mois</v>
      </c>
      <c r="F4953" s="25">
        <v>0.0</v>
      </c>
      <c r="G4953" s="25">
        <v>354.0</v>
      </c>
      <c r="H4953" s="25">
        <v>28.0</v>
      </c>
      <c r="I4953" s="26">
        <f t="array" ref="I4953">XLOOKUP($A4953,product!A:A,product!E:E)</f>
        <v>2.44</v>
      </c>
      <c r="J4953" s="25">
        <f t="shared" si="2"/>
        <v>68.32</v>
      </c>
      <c r="K4953" s="27">
        <f t="shared" si="3"/>
        <v>1</v>
      </c>
      <c r="L4953" s="25">
        <f t="shared" si="4"/>
        <v>1</v>
      </c>
    </row>
    <row r="4954">
      <c r="A4954" s="19">
        <v>112321.0</v>
      </c>
      <c r="B4954" s="20" t="str">
        <f t="array" ref="B4954">xlookup($A4954,product!$A:$A,product!B:B)</f>
        <v>Alimentation Bébé</v>
      </c>
      <c r="C4954" s="20" t="str">
        <f t="array" ref="C4954">xlookup($A4954,product!$A:$A,product!C:C)</f>
        <v>Petits pots fruits bébé</v>
      </c>
      <c r="D4954" s="20" t="str">
        <f t="array" ref="D4954">xlookup($A4954,product!$A:$A,product!D:D)</f>
        <v>Gourdes de fruits 4-6 mois</v>
      </c>
      <c r="E4954" s="4" t="str">
        <f t="shared" si="1"/>
        <v>112321-Petits pots fruits bébé-Gourdes de fruits 4-6 mois</v>
      </c>
      <c r="F4954" s="4">
        <v>0.0</v>
      </c>
      <c r="G4954" s="4">
        <v>83.0</v>
      </c>
      <c r="H4954" s="4">
        <v>71.0</v>
      </c>
      <c r="I4954" s="21">
        <f t="array" ref="I4954">XLOOKUP($A4954,product!A:A,product!E:E)</f>
        <v>0.79</v>
      </c>
      <c r="J4954" s="4">
        <f t="shared" si="2"/>
        <v>56.09</v>
      </c>
      <c r="K4954" s="22">
        <f t="shared" si="3"/>
        <v>1</v>
      </c>
      <c r="L4954" s="4">
        <f t="shared" si="4"/>
        <v>1</v>
      </c>
    </row>
    <row r="4955">
      <c r="A4955" s="23">
        <v>139296.0</v>
      </c>
      <c r="B4955" s="24" t="str">
        <f t="array" ref="B4955">xlookup($A4955,product!$A:$A,product!B:B)</f>
        <v>Alimentation Bébé</v>
      </c>
      <c r="C4955" s="24" t="str">
        <f t="array" ref="C4955">xlookup($A4955,product!$A:$A,product!C:C)</f>
        <v>Petits pots fruits bébé</v>
      </c>
      <c r="D4955" s="24" t="str">
        <f t="array" ref="D4955">xlookup($A4955,product!$A:$A,product!D:D)</f>
        <v>Gourdes de fruits 4-6 mois</v>
      </c>
      <c r="E4955" s="25" t="str">
        <f t="shared" si="1"/>
        <v>139296-Petits pots fruits bébé-Gourdes de fruits 4-6 mois</v>
      </c>
      <c r="F4955" s="25">
        <v>1.0</v>
      </c>
      <c r="G4955" s="25">
        <v>548.0</v>
      </c>
      <c r="H4955" s="25">
        <v>125.0</v>
      </c>
      <c r="I4955" s="26">
        <f t="array" ref="I4955">XLOOKUP($A4955,product!A:A,product!E:E)</f>
        <v>0.95</v>
      </c>
      <c r="J4955" s="25">
        <f t="shared" si="2"/>
        <v>118.75</v>
      </c>
      <c r="K4955" s="27">
        <f t="shared" si="3"/>
        <v>1</v>
      </c>
      <c r="L4955" s="25">
        <f t="shared" si="4"/>
        <v>1</v>
      </c>
    </row>
    <row r="4956">
      <c r="A4956" s="19">
        <v>112318.0</v>
      </c>
      <c r="B4956" s="20" t="str">
        <f t="array" ref="B4956">xlookup($A4956,product!$A:$A,product!B:B)</f>
        <v>Alimentation Bébé</v>
      </c>
      <c r="C4956" s="20" t="str">
        <f t="array" ref="C4956">xlookup($A4956,product!$A:$A,product!C:C)</f>
        <v>Petits pots fruits bébé</v>
      </c>
      <c r="D4956" s="20" t="str">
        <f t="array" ref="D4956">xlookup($A4956,product!$A:$A,product!D:D)</f>
        <v>Gourdes de fruits 4-6 mois</v>
      </c>
      <c r="E4956" s="4" t="str">
        <f t="shared" si="1"/>
        <v>112318-Petits pots fruits bébé-Gourdes de fruits 4-6 mois</v>
      </c>
      <c r="F4956" s="4">
        <v>0.0</v>
      </c>
      <c r="G4956" s="4">
        <v>804.0</v>
      </c>
      <c r="H4956" s="4">
        <v>788.0</v>
      </c>
      <c r="I4956" s="21">
        <f t="array" ref="I4956">XLOOKUP($A4956,product!A:A,product!E:E)</f>
        <v>0.79</v>
      </c>
      <c r="J4956" s="4">
        <f t="shared" si="2"/>
        <v>622.52</v>
      </c>
      <c r="K4956" s="22">
        <f t="shared" si="3"/>
        <v>1</v>
      </c>
      <c r="L4956" s="4">
        <f t="shared" si="4"/>
        <v>1</v>
      </c>
    </row>
    <row r="4957">
      <c r="A4957" s="23">
        <v>86119.0</v>
      </c>
      <c r="B4957" s="24" t="str">
        <f t="array" ref="B4957">xlookup($A4957,product!$A:$A,product!B:B)</f>
        <v>Alimentation Bébé</v>
      </c>
      <c r="C4957" s="24" t="str">
        <f t="array" ref="C4957">xlookup($A4957,product!$A:$A,product!C:C)</f>
        <v>Petits pots fruits bébé</v>
      </c>
      <c r="D4957" s="24" t="str">
        <f t="array" ref="D4957">xlookup($A4957,product!$A:$A,product!D:D)</f>
        <v>Gourdes de fruits 4-6 mois</v>
      </c>
      <c r="E4957" s="25" t="str">
        <f t="shared" si="1"/>
        <v>86119-Petits pots fruits bébé-Gourdes de fruits 4-6 mois</v>
      </c>
      <c r="F4957" s="25">
        <v>0.0</v>
      </c>
      <c r="G4957" s="25">
        <v>527.0</v>
      </c>
      <c r="H4957" s="25">
        <v>38.0</v>
      </c>
      <c r="I4957" s="26">
        <f t="array" ref="I4957">XLOOKUP($A4957,product!A:A,product!E:E)</f>
        <v>2.44</v>
      </c>
      <c r="J4957" s="25">
        <f t="shared" si="2"/>
        <v>92.72</v>
      </c>
      <c r="K4957" s="27">
        <f t="shared" si="3"/>
        <v>1</v>
      </c>
      <c r="L4957" s="25">
        <f t="shared" si="4"/>
        <v>1</v>
      </c>
    </row>
    <row r="4958">
      <c r="A4958" s="19">
        <v>79895.0</v>
      </c>
      <c r="B4958" s="20" t="str">
        <f t="array" ref="B4958">xlookup($A4958,product!$A:$A,product!B:B)</f>
        <v>Alimentation Bébé</v>
      </c>
      <c r="C4958" s="20" t="str">
        <f t="array" ref="C4958">xlookup($A4958,product!$A:$A,product!C:C)</f>
        <v>Petits pots fruits bébé</v>
      </c>
      <c r="D4958" s="20" t="str">
        <f t="array" ref="D4958">xlookup($A4958,product!$A:$A,product!D:D)</f>
        <v>Gourdes de fruits 4-6 mois</v>
      </c>
      <c r="E4958" s="4" t="str">
        <f t="shared" si="1"/>
        <v>79895-Petits pots fruits bébé-Gourdes de fruits 4-6 mois</v>
      </c>
      <c r="F4958" s="4">
        <v>1.0</v>
      </c>
      <c r="G4958" s="4">
        <v>831.0</v>
      </c>
      <c r="H4958" s="4">
        <v>433.0</v>
      </c>
      <c r="I4958" s="21">
        <f t="array" ref="I4958">XLOOKUP($A4958,product!A:A,product!E:E)</f>
        <v>6.46</v>
      </c>
      <c r="J4958" s="4">
        <f t="shared" si="2"/>
        <v>2797.18</v>
      </c>
      <c r="K4958" s="22">
        <f t="shared" si="3"/>
        <v>1</v>
      </c>
      <c r="L4958" s="4">
        <f t="shared" si="4"/>
        <v>1</v>
      </c>
    </row>
    <row r="4959">
      <c r="A4959" s="23">
        <v>133909.0</v>
      </c>
      <c r="B4959" s="24" t="str">
        <f t="array" ref="B4959">xlookup($A4959,product!$A:$A,product!B:B)</f>
        <v>Alimentation Bébé</v>
      </c>
      <c r="C4959" s="24" t="str">
        <f t="array" ref="C4959">xlookup($A4959,product!$A:$A,product!C:C)</f>
        <v>Petits pots fruits bébé</v>
      </c>
      <c r="D4959" s="24" t="str">
        <f t="array" ref="D4959">xlookup($A4959,product!$A:$A,product!D:D)</f>
        <v>Gourdes de fruits 4-6 mois</v>
      </c>
      <c r="E4959" s="25" t="str">
        <f t="shared" si="1"/>
        <v>133909-Petits pots fruits bébé-Gourdes de fruits 4-6 mois</v>
      </c>
      <c r="F4959" s="25">
        <v>0.0</v>
      </c>
      <c r="G4959" s="25">
        <v>428.0</v>
      </c>
      <c r="H4959" s="25">
        <v>296.0</v>
      </c>
      <c r="I4959" s="26">
        <f t="array" ref="I4959">XLOOKUP($A4959,product!A:A,product!E:E)</f>
        <v>2.68</v>
      </c>
      <c r="J4959" s="25">
        <f t="shared" si="2"/>
        <v>793.28</v>
      </c>
      <c r="K4959" s="27">
        <f t="shared" si="3"/>
        <v>1</v>
      </c>
      <c r="L4959" s="25">
        <f t="shared" si="4"/>
        <v>1</v>
      </c>
    </row>
    <row r="4960">
      <c r="A4960" s="19">
        <v>128338.0</v>
      </c>
      <c r="B4960" s="20" t="str">
        <f t="array" ref="B4960">xlookup($A4960,product!$A:$A,product!B:B)</f>
        <v>Alimentation Bébé</v>
      </c>
      <c r="C4960" s="20" t="str">
        <f t="array" ref="C4960">xlookup($A4960,product!$A:$A,product!C:C)</f>
        <v>Petits pots fruits bébé</v>
      </c>
      <c r="D4960" s="20" t="str">
        <f t="array" ref="D4960">xlookup($A4960,product!$A:$A,product!D:D)</f>
        <v>Gourdes de fruits 4-6 mois</v>
      </c>
      <c r="E4960" s="4" t="str">
        <f t="shared" si="1"/>
        <v>128338-Petits pots fruits bébé-Gourdes de fruits 4-6 mois</v>
      </c>
      <c r="F4960" s="4">
        <v>0.0</v>
      </c>
      <c r="G4960" s="4">
        <v>777.0</v>
      </c>
      <c r="H4960" s="4">
        <v>115.0</v>
      </c>
      <c r="I4960" s="21">
        <f t="array" ref="I4960">XLOOKUP($A4960,product!A:A,product!E:E)</f>
        <v>3.73</v>
      </c>
      <c r="J4960" s="4">
        <f t="shared" si="2"/>
        <v>428.95</v>
      </c>
      <c r="K4960" s="22">
        <f t="shared" si="3"/>
        <v>1</v>
      </c>
      <c r="L4960" s="4">
        <f t="shared" si="4"/>
        <v>1</v>
      </c>
    </row>
    <row r="4961">
      <c r="A4961" s="23">
        <v>42990.0</v>
      </c>
      <c r="B4961" s="24" t="str">
        <f t="array" ref="B4961">xlookup($A4961,product!$A:$A,product!B:B)</f>
        <v>Alimentation Bébé</v>
      </c>
      <c r="C4961" s="24" t="str">
        <f t="array" ref="C4961">xlookup($A4961,product!$A:$A,product!C:C)</f>
        <v>Petits pots fruits bébé</v>
      </c>
      <c r="D4961" s="24" t="str">
        <f t="array" ref="D4961">xlookup($A4961,product!$A:$A,product!D:D)</f>
        <v>Gourdes de fruits 4-6 mois</v>
      </c>
      <c r="E4961" s="25" t="str">
        <f t="shared" si="1"/>
        <v>42990-Petits pots fruits bébé-Gourdes de fruits 4-6 mois</v>
      </c>
      <c r="F4961" s="25">
        <v>0.0</v>
      </c>
      <c r="G4961" s="25">
        <v>852.0</v>
      </c>
      <c r="H4961" s="25">
        <v>83.0</v>
      </c>
      <c r="I4961" s="26">
        <f t="array" ref="I4961">XLOOKUP($A4961,product!A:A,product!E:E)</f>
        <v>0.95</v>
      </c>
      <c r="J4961" s="25">
        <f t="shared" si="2"/>
        <v>78.85</v>
      </c>
      <c r="K4961" s="27">
        <f t="shared" si="3"/>
        <v>1</v>
      </c>
      <c r="L4961" s="25">
        <f t="shared" si="4"/>
        <v>1</v>
      </c>
    </row>
    <row r="4962">
      <c r="A4962" s="19">
        <v>128339.0</v>
      </c>
      <c r="B4962" s="20" t="str">
        <f t="array" ref="B4962">xlookup($A4962,product!$A:$A,product!B:B)</f>
        <v>Alimentation Bébé</v>
      </c>
      <c r="C4962" s="20" t="str">
        <f t="array" ref="C4962">xlookup($A4962,product!$A:$A,product!C:C)</f>
        <v>Petits pots fruits bébé</v>
      </c>
      <c r="D4962" s="20" t="str">
        <f t="array" ref="D4962">xlookup($A4962,product!$A:$A,product!D:D)</f>
        <v>Gourdes de fruits 4-6 mois</v>
      </c>
      <c r="E4962" s="4" t="str">
        <f t="shared" si="1"/>
        <v>128339-Petits pots fruits bébé-Gourdes de fruits 4-6 mois</v>
      </c>
      <c r="F4962" s="4">
        <v>1.0</v>
      </c>
      <c r="G4962" s="4">
        <v>296.0</v>
      </c>
      <c r="H4962" s="4">
        <v>143.0</v>
      </c>
      <c r="I4962" s="21">
        <f t="array" ref="I4962">XLOOKUP($A4962,product!A:A,product!E:E)</f>
        <v>3.73</v>
      </c>
      <c r="J4962" s="4">
        <f t="shared" si="2"/>
        <v>533.39</v>
      </c>
      <c r="K4962" s="22">
        <f t="shared" si="3"/>
        <v>1</v>
      </c>
      <c r="L4962" s="4">
        <f t="shared" si="4"/>
        <v>1</v>
      </c>
    </row>
    <row r="4963">
      <c r="A4963" s="23">
        <v>42008.0</v>
      </c>
      <c r="B4963" s="24" t="str">
        <f t="array" ref="B4963">xlookup($A4963,product!$A:$A,product!B:B)</f>
        <v>Alimentation Bébé</v>
      </c>
      <c r="C4963" s="24" t="str">
        <f t="array" ref="C4963">xlookup($A4963,product!$A:$A,product!C:C)</f>
        <v>Petits pots fruits bébé</v>
      </c>
      <c r="D4963" s="24" t="str">
        <f t="array" ref="D4963">xlookup($A4963,product!$A:$A,product!D:D)</f>
        <v>Gourdes de fruits 4-6 mois</v>
      </c>
      <c r="E4963" s="25" t="str">
        <f t="shared" si="1"/>
        <v>42008-Petits pots fruits bébé-Gourdes de fruits 4-6 mois</v>
      </c>
      <c r="F4963" s="25">
        <v>1.0</v>
      </c>
      <c r="G4963" s="25">
        <v>47.0</v>
      </c>
      <c r="H4963" s="25">
        <v>0.0</v>
      </c>
      <c r="I4963" s="26">
        <f t="array" ref="I4963">XLOOKUP($A4963,product!A:A,product!E:E)</f>
        <v>2.44</v>
      </c>
      <c r="J4963" s="25">
        <f t="shared" si="2"/>
        <v>0</v>
      </c>
      <c r="K4963" s="27">
        <f t="shared" si="3"/>
        <v>0</v>
      </c>
      <c r="L4963" s="25">
        <f t="shared" si="4"/>
        <v>1</v>
      </c>
    </row>
    <row r="4964">
      <c r="A4964" s="19">
        <v>112320.0</v>
      </c>
      <c r="B4964" s="20" t="str">
        <f t="array" ref="B4964">xlookup($A4964,product!$A:$A,product!B:B)</f>
        <v>Alimentation Bébé</v>
      </c>
      <c r="C4964" s="20" t="str">
        <f t="array" ref="C4964">xlookup($A4964,product!$A:$A,product!C:C)</f>
        <v>Petits pots fruits bébé</v>
      </c>
      <c r="D4964" s="20" t="str">
        <f t="array" ref="D4964">xlookup($A4964,product!$A:$A,product!D:D)</f>
        <v>Gourdes de fruits 4-6 mois</v>
      </c>
      <c r="E4964" s="4" t="str">
        <f t="shared" si="1"/>
        <v>112320-Petits pots fruits bébé-Gourdes de fruits 4-6 mois</v>
      </c>
      <c r="F4964" s="4">
        <v>1.0</v>
      </c>
      <c r="G4964" s="4">
        <v>258.0</v>
      </c>
      <c r="H4964" s="4">
        <v>207.0</v>
      </c>
      <c r="I4964" s="21">
        <f t="array" ref="I4964">XLOOKUP($A4964,product!A:A,product!E:E)</f>
        <v>0.79</v>
      </c>
      <c r="J4964" s="4">
        <f t="shared" si="2"/>
        <v>163.53</v>
      </c>
      <c r="K4964" s="22">
        <f t="shared" si="3"/>
        <v>1</v>
      </c>
      <c r="L4964" s="4">
        <f t="shared" si="4"/>
        <v>1</v>
      </c>
    </row>
    <row r="4965">
      <c r="A4965" s="23">
        <v>111150.0</v>
      </c>
      <c r="B4965" s="24" t="str">
        <f t="array" ref="B4965">xlookup($A4965,product!$A:$A,product!B:B)</f>
        <v>Alimentation Bébé</v>
      </c>
      <c r="C4965" s="24" t="str">
        <f t="array" ref="C4965">xlookup($A4965,product!$A:$A,product!C:C)</f>
        <v>Petits pots fruits bébé</v>
      </c>
      <c r="D4965" s="24" t="str">
        <f t="array" ref="D4965">xlookup($A4965,product!$A:$A,product!D:D)</f>
        <v>Gourdes de fruits 4-6 mois</v>
      </c>
      <c r="E4965" s="25" t="str">
        <f t="shared" si="1"/>
        <v>111150-Petits pots fruits bébé-Gourdes de fruits 4-6 mois</v>
      </c>
      <c r="F4965" s="25">
        <v>1.0</v>
      </c>
      <c r="G4965" s="25">
        <v>607.0</v>
      </c>
      <c r="H4965" s="25">
        <v>110.0</v>
      </c>
      <c r="I4965" s="26">
        <f t="array" ref="I4965">XLOOKUP($A4965,product!A:A,product!E:E)</f>
        <v>2.58</v>
      </c>
      <c r="J4965" s="25">
        <f t="shared" si="2"/>
        <v>283.8</v>
      </c>
      <c r="K4965" s="27">
        <f t="shared" si="3"/>
        <v>1</v>
      </c>
      <c r="L4965" s="25">
        <f t="shared" si="4"/>
        <v>1</v>
      </c>
    </row>
    <row r="4966">
      <c r="A4966" s="19">
        <v>101782.0</v>
      </c>
      <c r="B4966" s="20" t="str">
        <f t="array" ref="B4966">xlookup($A4966,product!$A:$A,product!B:B)</f>
        <v>Alimentation Bébé</v>
      </c>
      <c r="C4966" s="20" t="str">
        <f t="array" ref="C4966">xlookup($A4966,product!$A:$A,product!C:C)</f>
        <v>Petits pots fruits bébé</v>
      </c>
      <c r="D4966" s="20" t="str">
        <f t="array" ref="D4966">xlookup($A4966,product!$A:$A,product!D:D)</f>
        <v>Gourdes de fruits 4-6 mois</v>
      </c>
      <c r="E4966" s="4" t="str">
        <f t="shared" si="1"/>
        <v>101782-Petits pots fruits bébé-Gourdes de fruits 4-6 mois</v>
      </c>
      <c r="F4966" s="4">
        <v>1.0</v>
      </c>
      <c r="G4966" s="4">
        <v>596.0</v>
      </c>
      <c r="H4966" s="4">
        <v>269.0</v>
      </c>
      <c r="I4966" s="21">
        <f t="array" ref="I4966">XLOOKUP($A4966,product!A:A,product!E:E)</f>
        <v>1.13</v>
      </c>
      <c r="J4966" s="4">
        <f t="shared" si="2"/>
        <v>303.97</v>
      </c>
      <c r="K4966" s="22">
        <f t="shared" si="3"/>
        <v>1</v>
      </c>
      <c r="L4966" s="4">
        <f t="shared" si="4"/>
        <v>1</v>
      </c>
    </row>
    <row r="4967">
      <c r="A4967" s="23">
        <v>128402.0</v>
      </c>
      <c r="B4967" s="24" t="str">
        <f t="array" ref="B4967">xlookup($A4967,product!$A:$A,product!B:B)</f>
        <v>Alimentation Bébé</v>
      </c>
      <c r="C4967" s="24" t="str">
        <f t="array" ref="C4967">xlookup($A4967,product!$A:$A,product!C:C)</f>
        <v>Petits pots fruits bébé</v>
      </c>
      <c r="D4967" s="24" t="str">
        <f t="array" ref="D4967">xlookup($A4967,product!$A:$A,product!D:D)</f>
        <v>Gourdes de fruits 4-6 mois</v>
      </c>
      <c r="E4967" s="25" t="str">
        <f t="shared" si="1"/>
        <v>128402-Petits pots fruits bébé-Gourdes de fruits 4-6 mois</v>
      </c>
      <c r="F4967" s="25">
        <v>1.0</v>
      </c>
      <c r="G4967" s="25">
        <v>788.0</v>
      </c>
      <c r="H4967" s="25">
        <v>656.0</v>
      </c>
      <c r="I4967" s="26">
        <f t="array" ref="I4967">XLOOKUP($A4967,product!A:A,product!E:E)</f>
        <v>2.68</v>
      </c>
      <c r="J4967" s="25">
        <f t="shared" si="2"/>
        <v>1758.08</v>
      </c>
      <c r="K4967" s="27">
        <f t="shared" si="3"/>
        <v>1</v>
      </c>
      <c r="L4967" s="25">
        <f t="shared" si="4"/>
        <v>1</v>
      </c>
    </row>
    <row r="4968">
      <c r="A4968" s="19">
        <v>112322.0</v>
      </c>
      <c r="B4968" s="20" t="str">
        <f t="array" ref="B4968">xlookup($A4968,product!$A:$A,product!B:B)</f>
        <v>Alimentation Bébé</v>
      </c>
      <c r="C4968" s="20" t="str">
        <f t="array" ref="C4968">xlookup($A4968,product!$A:$A,product!C:C)</f>
        <v>Petits pots fruits bébé</v>
      </c>
      <c r="D4968" s="20" t="str">
        <f t="array" ref="D4968">xlookup($A4968,product!$A:$A,product!D:D)</f>
        <v>Gourdes de fruits 4-6 mois</v>
      </c>
      <c r="E4968" s="4" t="str">
        <f t="shared" si="1"/>
        <v>112322-Petits pots fruits bébé-Gourdes de fruits 4-6 mois</v>
      </c>
      <c r="F4968" s="4">
        <v>1.0</v>
      </c>
      <c r="G4968" s="4">
        <v>942.0</v>
      </c>
      <c r="H4968" s="4">
        <v>159.0</v>
      </c>
      <c r="I4968" s="21">
        <f t="array" ref="I4968">XLOOKUP($A4968,product!A:A,product!E:E)</f>
        <v>0.79</v>
      </c>
      <c r="J4968" s="4">
        <f t="shared" si="2"/>
        <v>125.61</v>
      </c>
      <c r="K4968" s="22">
        <f t="shared" si="3"/>
        <v>1</v>
      </c>
      <c r="L4968" s="4">
        <f t="shared" si="4"/>
        <v>1</v>
      </c>
    </row>
    <row r="4969">
      <c r="A4969" s="23">
        <v>41994.0</v>
      </c>
      <c r="B4969" s="24" t="str">
        <f t="array" ref="B4969">xlookup($A4969,product!$A:$A,product!B:B)</f>
        <v>Alimentation Bébé</v>
      </c>
      <c r="C4969" s="24" t="str">
        <f t="array" ref="C4969">xlookup($A4969,product!$A:$A,product!C:C)</f>
        <v>Petits pots fruits bébé</v>
      </c>
      <c r="D4969" s="24" t="str">
        <f t="array" ref="D4969">xlookup($A4969,product!$A:$A,product!D:D)</f>
        <v>Gourdes de fruits 4-6 mois</v>
      </c>
      <c r="E4969" s="25" t="str">
        <f t="shared" si="1"/>
        <v>41994-Petits pots fruits bébé-Gourdes de fruits 4-6 mois</v>
      </c>
      <c r="F4969" s="25">
        <v>1.0</v>
      </c>
      <c r="G4969" s="25">
        <v>372.0</v>
      </c>
      <c r="H4969" s="25">
        <v>258.0</v>
      </c>
      <c r="I4969" s="26">
        <f t="array" ref="I4969">XLOOKUP($A4969,product!A:A,product!E:E)</f>
        <v>2.44</v>
      </c>
      <c r="J4969" s="25">
        <f t="shared" si="2"/>
        <v>629.52</v>
      </c>
      <c r="K4969" s="27">
        <f t="shared" si="3"/>
        <v>1</v>
      </c>
      <c r="L4969" s="25">
        <f t="shared" si="4"/>
        <v>1</v>
      </c>
    </row>
    <row r="4970">
      <c r="A4970" s="19">
        <v>112319.0</v>
      </c>
      <c r="B4970" s="20" t="str">
        <f t="array" ref="B4970">xlookup($A4970,product!$A:$A,product!B:B)</f>
        <v>Alimentation Bébé</v>
      </c>
      <c r="C4970" s="20" t="str">
        <f t="array" ref="C4970">xlookup($A4970,product!$A:$A,product!C:C)</f>
        <v>Petits pots fruits bébé</v>
      </c>
      <c r="D4970" s="20" t="str">
        <f t="array" ref="D4970">xlookup($A4970,product!$A:$A,product!D:D)</f>
        <v>Gourdes de fruits 4-6 mois</v>
      </c>
      <c r="E4970" s="4" t="str">
        <f t="shared" si="1"/>
        <v>112319-Petits pots fruits bébé-Gourdes de fruits 4-6 mois</v>
      </c>
      <c r="F4970" s="4">
        <v>0.0</v>
      </c>
      <c r="G4970" s="4">
        <v>571.0</v>
      </c>
      <c r="H4970" s="4">
        <v>12.0</v>
      </c>
      <c r="I4970" s="21">
        <f t="array" ref="I4970">XLOOKUP($A4970,product!A:A,product!E:E)</f>
        <v>0.79</v>
      </c>
      <c r="J4970" s="4">
        <f t="shared" si="2"/>
        <v>9.48</v>
      </c>
      <c r="K4970" s="22">
        <f t="shared" si="3"/>
        <v>1</v>
      </c>
      <c r="L4970" s="4">
        <f t="shared" si="4"/>
        <v>1</v>
      </c>
    </row>
    <row r="4971">
      <c r="A4971" s="23">
        <v>42002.0</v>
      </c>
      <c r="B4971" s="24" t="str">
        <f t="array" ref="B4971">xlookup($A4971,product!$A:$A,product!B:B)</f>
        <v>Alimentation Bébé</v>
      </c>
      <c r="C4971" s="24" t="str">
        <f t="array" ref="C4971">xlookup($A4971,product!$A:$A,product!C:C)</f>
        <v>Petits pots fruits bébé</v>
      </c>
      <c r="D4971" s="24" t="str">
        <f t="array" ref="D4971">xlookup($A4971,product!$A:$A,product!D:D)</f>
        <v>Gourdes de fruits 4-6 mois</v>
      </c>
      <c r="E4971" s="25" t="str">
        <f t="shared" si="1"/>
        <v>42002-Petits pots fruits bébé-Gourdes de fruits 4-6 mois</v>
      </c>
      <c r="F4971" s="25">
        <v>1.0</v>
      </c>
      <c r="G4971" s="25">
        <v>403.0</v>
      </c>
      <c r="H4971" s="25">
        <v>160.0</v>
      </c>
      <c r="I4971" s="26">
        <f t="array" ref="I4971">XLOOKUP($A4971,product!A:A,product!E:E)</f>
        <v>2.44</v>
      </c>
      <c r="J4971" s="25">
        <f t="shared" si="2"/>
        <v>390.4</v>
      </c>
      <c r="K4971" s="27">
        <f t="shared" si="3"/>
        <v>1</v>
      </c>
      <c r="L4971" s="25">
        <f t="shared" si="4"/>
        <v>1</v>
      </c>
    </row>
    <row r="4972">
      <c r="A4972" s="19">
        <v>120263.0</v>
      </c>
      <c r="B4972" s="20" t="str">
        <f t="array" ref="B4972">xlookup($A4972,product!$A:$A,product!B:B)</f>
        <v>Alimentation Bébé</v>
      </c>
      <c r="C4972" s="20" t="str">
        <f t="array" ref="C4972">xlookup($A4972,product!$A:$A,product!C:C)</f>
        <v>Petits pots fruits bébé</v>
      </c>
      <c r="D4972" s="20" t="str">
        <f t="array" ref="D4972">xlookup($A4972,product!$A:$A,product!D:D)</f>
        <v>Gourdes de fruits 4-6 mois</v>
      </c>
      <c r="E4972" s="4" t="str">
        <f t="shared" si="1"/>
        <v>120263-Petits pots fruits bébé-Gourdes de fruits 4-6 mois</v>
      </c>
      <c r="F4972" s="4">
        <v>1.0</v>
      </c>
      <c r="G4972" s="4">
        <v>411.0</v>
      </c>
      <c r="H4972" s="4">
        <v>374.0</v>
      </c>
      <c r="I4972" s="21">
        <f t="array" ref="I4972">XLOOKUP($A4972,product!A:A,product!E:E)</f>
        <v>0.9</v>
      </c>
      <c r="J4972" s="4">
        <f t="shared" si="2"/>
        <v>336.6</v>
      </c>
      <c r="K4972" s="22">
        <f t="shared" si="3"/>
        <v>1</v>
      </c>
      <c r="L4972" s="4">
        <f t="shared" si="4"/>
        <v>1</v>
      </c>
    </row>
    <row r="4973">
      <c r="A4973" s="23">
        <v>112855.0</v>
      </c>
      <c r="B4973" s="24" t="str">
        <f t="array" ref="B4973">xlookup($A4973,product!$A:$A,product!B:B)</f>
        <v>Alimentation Bébé</v>
      </c>
      <c r="C4973" s="24" t="str">
        <f t="array" ref="C4973">xlookup($A4973,product!$A:$A,product!C:C)</f>
        <v>Petits pots fruits bébé</v>
      </c>
      <c r="D4973" s="24" t="str">
        <f t="array" ref="D4973">xlookup($A4973,product!$A:$A,product!D:D)</f>
        <v>Gourdes de fruits 4-6 mois</v>
      </c>
      <c r="E4973" s="25" t="str">
        <f t="shared" si="1"/>
        <v>112855-Petits pots fruits bébé-Gourdes de fruits 4-6 mois</v>
      </c>
      <c r="F4973" s="25">
        <v>1.0</v>
      </c>
      <c r="G4973" s="25">
        <v>636.0</v>
      </c>
      <c r="H4973" s="25">
        <v>275.0</v>
      </c>
      <c r="I4973" s="26">
        <f t="array" ref="I4973">XLOOKUP($A4973,product!A:A,product!E:E)</f>
        <v>0.79</v>
      </c>
      <c r="J4973" s="25">
        <f t="shared" si="2"/>
        <v>217.25</v>
      </c>
      <c r="K4973" s="27">
        <f t="shared" si="3"/>
        <v>1</v>
      </c>
      <c r="L4973" s="25">
        <f t="shared" si="4"/>
        <v>1</v>
      </c>
    </row>
    <row r="4974">
      <c r="A4974" s="19">
        <v>111151.0</v>
      </c>
      <c r="B4974" s="20" t="str">
        <f t="array" ref="B4974">xlookup($A4974,product!$A:$A,product!B:B)</f>
        <v>Alimentation Bébé</v>
      </c>
      <c r="C4974" s="20" t="str">
        <f t="array" ref="C4974">xlookup($A4974,product!$A:$A,product!C:C)</f>
        <v>Petits pots fruits bébé</v>
      </c>
      <c r="D4974" s="20" t="str">
        <f t="array" ref="D4974">xlookup($A4974,product!$A:$A,product!D:D)</f>
        <v>Gourdes de fruits 4-6 mois</v>
      </c>
      <c r="E4974" s="4" t="str">
        <f t="shared" si="1"/>
        <v>111151-Petits pots fruits bébé-Gourdes de fruits 4-6 mois</v>
      </c>
      <c r="F4974" s="4">
        <v>0.0</v>
      </c>
      <c r="G4974" s="4">
        <v>397.0</v>
      </c>
      <c r="H4974" s="4">
        <v>65.0</v>
      </c>
      <c r="I4974" s="21">
        <f t="array" ref="I4974">XLOOKUP($A4974,product!A:A,product!E:E)</f>
        <v>2.58</v>
      </c>
      <c r="J4974" s="4">
        <f t="shared" si="2"/>
        <v>167.7</v>
      </c>
      <c r="K4974" s="22">
        <f t="shared" si="3"/>
        <v>1</v>
      </c>
      <c r="L4974" s="4">
        <f t="shared" si="4"/>
        <v>1</v>
      </c>
    </row>
    <row r="4975">
      <c r="A4975" s="23">
        <v>111152.0</v>
      </c>
      <c r="B4975" s="24" t="str">
        <f t="array" ref="B4975">xlookup($A4975,product!$A:$A,product!B:B)</f>
        <v>Alimentation Bébé</v>
      </c>
      <c r="C4975" s="24" t="str">
        <f t="array" ref="C4975">xlookup($A4975,product!$A:$A,product!C:C)</f>
        <v>Petits pots fruits bébé</v>
      </c>
      <c r="D4975" s="24" t="str">
        <f t="array" ref="D4975">xlookup($A4975,product!$A:$A,product!D:D)</f>
        <v>Gourdes de fruits 4-6 mois</v>
      </c>
      <c r="E4975" s="25" t="str">
        <f t="shared" si="1"/>
        <v>111152-Petits pots fruits bébé-Gourdes de fruits 4-6 mois</v>
      </c>
      <c r="F4975" s="25">
        <v>1.0</v>
      </c>
      <c r="G4975" s="25">
        <v>296.0</v>
      </c>
      <c r="H4975" s="25">
        <v>14.0</v>
      </c>
      <c r="I4975" s="26">
        <f t="array" ref="I4975">XLOOKUP($A4975,product!A:A,product!E:E)</f>
        <v>2.58</v>
      </c>
      <c r="J4975" s="25">
        <f t="shared" si="2"/>
        <v>36.12</v>
      </c>
      <c r="K4975" s="27">
        <f t="shared" si="3"/>
        <v>1</v>
      </c>
      <c r="L4975" s="25">
        <f t="shared" si="4"/>
        <v>1</v>
      </c>
    </row>
    <row r="4976">
      <c r="A4976" s="19">
        <v>122224.0</v>
      </c>
      <c r="B4976" s="20" t="str">
        <f t="array" ref="B4976">xlookup($A4976,product!$A:$A,product!B:B)</f>
        <v>Alimentation Bébé</v>
      </c>
      <c r="C4976" s="20" t="str">
        <f t="array" ref="C4976">xlookup($A4976,product!$A:$A,product!C:C)</f>
        <v>Petits pots fruits bébé</v>
      </c>
      <c r="D4976" s="20" t="str">
        <f t="array" ref="D4976">xlookup($A4976,product!$A:$A,product!D:D)</f>
        <v>Gourdes de fruits 4-6 mois</v>
      </c>
      <c r="E4976" s="4" t="str">
        <f t="shared" si="1"/>
        <v>122224-Petits pots fruits bébé-Gourdes de fruits 4-6 mois</v>
      </c>
      <c r="F4976" s="4">
        <v>1.0</v>
      </c>
      <c r="G4976" s="4">
        <v>437.0</v>
      </c>
      <c r="H4976" s="4">
        <v>238.0</v>
      </c>
      <c r="I4976" s="21">
        <f t="array" ref="I4976">XLOOKUP($A4976,product!A:A,product!E:E)</f>
        <v>0.97</v>
      </c>
      <c r="J4976" s="4">
        <f t="shared" si="2"/>
        <v>230.86</v>
      </c>
      <c r="K4976" s="22">
        <f t="shared" si="3"/>
        <v>1</v>
      </c>
      <c r="L4976" s="4">
        <f t="shared" si="4"/>
        <v>1</v>
      </c>
    </row>
    <row r="4977">
      <c r="A4977" s="23">
        <v>124709.0</v>
      </c>
      <c r="B4977" s="24" t="str">
        <f t="array" ref="B4977">xlookup($A4977,product!$A:$A,product!B:B)</f>
        <v>Alimentation Bébé</v>
      </c>
      <c r="C4977" s="24" t="str">
        <f t="array" ref="C4977">xlookup($A4977,product!$A:$A,product!C:C)</f>
        <v>Petits pots fruits bébé</v>
      </c>
      <c r="D4977" s="24" t="str">
        <f t="array" ref="D4977">xlookup($A4977,product!$A:$A,product!D:D)</f>
        <v>Gourdes de fruits 4-6 mois</v>
      </c>
      <c r="E4977" s="25" t="str">
        <f t="shared" si="1"/>
        <v>124709-Petits pots fruits bébé-Gourdes de fruits 4-6 mois</v>
      </c>
      <c r="F4977" s="25">
        <v>1.0</v>
      </c>
      <c r="G4977" s="25">
        <v>87.0</v>
      </c>
      <c r="H4977" s="25">
        <v>61.0</v>
      </c>
      <c r="I4977" s="26">
        <f t="array" ref="I4977">XLOOKUP($A4977,product!A:A,product!E:E)</f>
        <v>0.92</v>
      </c>
      <c r="J4977" s="25">
        <f t="shared" si="2"/>
        <v>56.12</v>
      </c>
      <c r="K4977" s="27">
        <f t="shared" si="3"/>
        <v>1</v>
      </c>
      <c r="L4977" s="25">
        <f t="shared" si="4"/>
        <v>1</v>
      </c>
    </row>
    <row r="4978">
      <c r="A4978" s="19">
        <v>99039.0</v>
      </c>
      <c r="B4978" s="20" t="str">
        <f t="array" ref="B4978">xlookup($A4978,product!$A:$A,product!B:B)</f>
        <v>Alimentation Bébé</v>
      </c>
      <c r="C4978" s="20" t="str">
        <f t="array" ref="C4978">xlookup($A4978,product!$A:$A,product!C:C)</f>
        <v>Petits pots fruits bébé</v>
      </c>
      <c r="D4978" s="20" t="str">
        <f t="array" ref="D4978">xlookup($A4978,product!$A:$A,product!D:D)</f>
        <v>Gourdes de fruits 4-6 mois</v>
      </c>
      <c r="E4978" s="4" t="str">
        <f t="shared" si="1"/>
        <v>99039-Petits pots fruits bébé-Gourdes de fruits 4-6 mois</v>
      </c>
      <c r="F4978" s="4">
        <v>1.0</v>
      </c>
      <c r="G4978" s="4">
        <v>156.0</v>
      </c>
      <c r="H4978" s="4">
        <v>106.0</v>
      </c>
      <c r="I4978" s="21">
        <f t="array" ref="I4978">XLOOKUP($A4978,product!A:A,product!E:E)</f>
        <v>2.33</v>
      </c>
      <c r="J4978" s="4">
        <f t="shared" si="2"/>
        <v>246.98</v>
      </c>
      <c r="K4978" s="22">
        <f t="shared" si="3"/>
        <v>1</v>
      </c>
      <c r="L4978" s="4">
        <f t="shared" si="4"/>
        <v>1</v>
      </c>
    </row>
    <row r="4979">
      <c r="A4979" s="23">
        <v>82928.0</v>
      </c>
      <c r="B4979" s="24" t="str">
        <f t="array" ref="B4979">xlookup($A4979,product!$A:$A,product!B:B)</f>
        <v>Alimentation Bébé</v>
      </c>
      <c r="C4979" s="24" t="str">
        <f t="array" ref="C4979">xlookup($A4979,product!$A:$A,product!C:C)</f>
        <v>Petits pots fruits bébé</v>
      </c>
      <c r="D4979" s="24" t="str">
        <f t="array" ref="D4979">xlookup($A4979,product!$A:$A,product!D:D)</f>
        <v>Gourdes de fruits 4-6 mois</v>
      </c>
      <c r="E4979" s="25" t="str">
        <f t="shared" si="1"/>
        <v>82928-Petits pots fruits bébé-Gourdes de fruits 4-6 mois</v>
      </c>
      <c r="F4979" s="25">
        <v>0.0</v>
      </c>
      <c r="G4979" s="25">
        <v>144.0</v>
      </c>
      <c r="H4979" s="25">
        <v>69.0</v>
      </c>
      <c r="I4979" s="26">
        <f t="array" ref="I4979">XLOOKUP($A4979,product!A:A,product!E:E)</f>
        <v>0.95</v>
      </c>
      <c r="J4979" s="25">
        <f t="shared" si="2"/>
        <v>65.55</v>
      </c>
      <c r="K4979" s="27">
        <f t="shared" si="3"/>
        <v>1</v>
      </c>
      <c r="L4979" s="25">
        <f t="shared" si="4"/>
        <v>1</v>
      </c>
    </row>
    <row r="4980">
      <c r="A4980" s="19">
        <v>111149.0</v>
      </c>
      <c r="B4980" s="20" t="str">
        <f t="array" ref="B4980">xlookup($A4980,product!$A:$A,product!B:B)</f>
        <v>Alimentation Bébé</v>
      </c>
      <c r="C4980" s="20" t="str">
        <f t="array" ref="C4980">xlookup($A4980,product!$A:$A,product!C:C)</f>
        <v>Petits pots fruits bébé</v>
      </c>
      <c r="D4980" s="20" t="str">
        <f t="array" ref="D4980">xlookup($A4980,product!$A:$A,product!D:D)</f>
        <v>Gourdes de fruits 4-6 mois</v>
      </c>
      <c r="E4980" s="4" t="str">
        <f t="shared" si="1"/>
        <v>111149-Petits pots fruits bébé-Gourdes de fruits 4-6 mois</v>
      </c>
      <c r="F4980" s="4">
        <v>1.0</v>
      </c>
      <c r="G4980" s="4">
        <v>635.0</v>
      </c>
      <c r="H4980" s="4">
        <v>635.0</v>
      </c>
      <c r="I4980" s="21">
        <f t="array" ref="I4980">XLOOKUP($A4980,product!A:A,product!E:E)</f>
        <v>3.03</v>
      </c>
      <c r="J4980" s="4">
        <f t="shared" si="2"/>
        <v>1924.05</v>
      </c>
      <c r="K4980" s="22">
        <f t="shared" si="3"/>
        <v>1</v>
      </c>
      <c r="L4980" s="4">
        <f t="shared" si="4"/>
        <v>1</v>
      </c>
    </row>
    <row r="4981">
      <c r="A4981" s="23">
        <v>82927.0</v>
      </c>
      <c r="B4981" s="24" t="str">
        <f t="array" ref="B4981">xlookup($A4981,product!$A:$A,product!B:B)</f>
        <v>Alimentation Bébé</v>
      </c>
      <c r="C4981" s="24" t="str">
        <f t="array" ref="C4981">xlookup($A4981,product!$A:$A,product!C:C)</f>
        <v>Petits pots fruits bébé</v>
      </c>
      <c r="D4981" s="24" t="str">
        <f t="array" ref="D4981">xlookup($A4981,product!$A:$A,product!D:D)</f>
        <v>Gourdes de fruits 4-6 mois</v>
      </c>
      <c r="E4981" s="25" t="str">
        <f t="shared" si="1"/>
        <v>82927-Petits pots fruits bébé-Gourdes de fruits 4-6 mois</v>
      </c>
      <c r="F4981" s="25">
        <v>0.0</v>
      </c>
      <c r="G4981" s="25">
        <v>509.0</v>
      </c>
      <c r="H4981" s="25">
        <v>141.0</v>
      </c>
      <c r="I4981" s="26">
        <f t="array" ref="I4981">XLOOKUP($A4981,product!A:A,product!E:E)</f>
        <v>0.95</v>
      </c>
      <c r="J4981" s="25">
        <f t="shared" si="2"/>
        <v>133.95</v>
      </c>
      <c r="K4981" s="27">
        <f t="shared" si="3"/>
        <v>1</v>
      </c>
      <c r="L4981" s="25">
        <f t="shared" si="4"/>
        <v>1</v>
      </c>
    </row>
    <row r="4982">
      <c r="A4982" s="19">
        <v>112317.0</v>
      </c>
      <c r="B4982" s="20" t="str">
        <f t="array" ref="B4982">xlookup($A4982,product!$A:$A,product!B:B)</f>
        <v>Alimentation Bébé</v>
      </c>
      <c r="C4982" s="20" t="str">
        <f t="array" ref="C4982">xlookup($A4982,product!$A:$A,product!C:C)</f>
        <v>Petits pots fruits bébé</v>
      </c>
      <c r="D4982" s="20" t="str">
        <f t="array" ref="D4982">xlookup($A4982,product!$A:$A,product!D:D)</f>
        <v>Gourdes de fruits 4-6 mois</v>
      </c>
      <c r="E4982" s="4" t="str">
        <f t="shared" si="1"/>
        <v>112317-Petits pots fruits bébé-Gourdes de fruits 4-6 mois</v>
      </c>
      <c r="F4982" s="4">
        <v>0.0</v>
      </c>
      <c r="G4982" s="4">
        <v>328.0</v>
      </c>
      <c r="H4982" s="4">
        <v>300.0</v>
      </c>
      <c r="I4982" s="21">
        <f t="array" ref="I4982">XLOOKUP($A4982,product!A:A,product!E:E)</f>
        <v>0.79</v>
      </c>
      <c r="J4982" s="4">
        <f t="shared" si="2"/>
        <v>237</v>
      </c>
      <c r="K4982" s="22">
        <f t="shared" si="3"/>
        <v>1</v>
      </c>
      <c r="L4982" s="4">
        <f t="shared" si="4"/>
        <v>1</v>
      </c>
    </row>
    <row r="4983">
      <c r="A4983" s="23">
        <v>140597.0</v>
      </c>
      <c r="B4983" s="24" t="str">
        <f t="array" ref="B4983">xlookup($A4983,product!$A:$A,product!B:B)</f>
        <v>Alimentation Bébé</v>
      </c>
      <c r="C4983" s="24" t="str">
        <f t="array" ref="C4983">xlookup($A4983,product!$A:$A,product!C:C)</f>
        <v>Petits pots fruits bébé</v>
      </c>
      <c r="D4983" s="24" t="str">
        <f t="array" ref="D4983">xlookup($A4983,product!$A:$A,product!D:D)</f>
        <v>Gourdes de fruits 4-6 mois</v>
      </c>
      <c r="E4983" s="25" t="str">
        <f t="shared" si="1"/>
        <v>140597-Petits pots fruits bébé-Gourdes de fruits 4-6 mois</v>
      </c>
      <c r="F4983" s="25">
        <v>0.0</v>
      </c>
      <c r="G4983" s="25">
        <v>577.0</v>
      </c>
      <c r="H4983" s="25">
        <v>301.0</v>
      </c>
      <c r="I4983" s="26">
        <f t="array" ref="I4983">XLOOKUP($A4983,product!A:A,product!E:E)</f>
        <v>1.13</v>
      </c>
      <c r="J4983" s="25">
        <f t="shared" si="2"/>
        <v>340.13</v>
      </c>
      <c r="K4983" s="27">
        <f t="shared" si="3"/>
        <v>1</v>
      </c>
      <c r="L4983" s="25">
        <f t="shared" si="4"/>
        <v>1</v>
      </c>
    </row>
    <row r="4984">
      <c r="A4984" s="19">
        <v>122229.0</v>
      </c>
      <c r="B4984" s="20" t="str">
        <f t="array" ref="B4984">xlookup($A4984,product!$A:$A,product!B:B)</f>
        <v>Alimentation Bébé</v>
      </c>
      <c r="C4984" s="20" t="str">
        <f t="array" ref="C4984">xlookup($A4984,product!$A:$A,product!C:C)</f>
        <v>Petits pots fruits bébé</v>
      </c>
      <c r="D4984" s="20" t="str">
        <f t="array" ref="D4984">xlookup($A4984,product!$A:$A,product!D:D)</f>
        <v>Gourdes de fruits 4-6 mois</v>
      </c>
      <c r="E4984" s="4" t="str">
        <f t="shared" si="1"/>
        <v>122229-Petits pots fruits bébé-Gourdes de fruits 4-6 mois</v>
      </c>
      <c r="F4984" s="4">
        <v>0.0</v>
      </c>
      <c r="G4984" s="4">
        <v>609.0</v>
      </c>
      <c r="H4984" s="4">
        <v>139.0</v>
      </c>
      <c r="I4984" s="21">
        <f t="array" ref="I4984">XLOOKUP($A4984,product!A:A,product!E:E)</f>
        <v>0.97</v>
      </c>
      <c r="J4984" s="4">
        <f t="shared" si="2"/>
        <v>134.83</v>
      </c>
      <c r="K4984" s="22">
        <f t="shared" si="3"/>
        <v>1</v>
      </c>
      <c r="L4984" s="4">
        <f t="shared" si="4"/>
        <v>1</v>
      </c>
    </row>
    <row r="4985">
      <c r="A4985" s="23">
        <v>112473.0</v>
      </c>
      <c r="B4985" s="24" t="str">
        <f t="array" ref="B4985">xlookup($A4985,product!$A:$A,product!B:B)</f>
        <v>Alimentation Bébé</v>
      </c>
      <c r="C4985" s="24" t="str">
        <f t="array" ref="C4985">xlookup($A4985,product!$A:$A,product!C:C)</f>
        <v>Petits pots fruits bébé</v>
      </c>
      <c r="D4985" s="24" t="str">
        <f t="array" ref="D4985">xlookup($A4985,product!$A:$A,product!D:D)</f>
        <v>Gourdes de fruits 4-6 mois</v>
      </c>
      <c r="E4985" s="25" t="str">
        <f t="shared" si="1"/>
        <v>112473-Petits pots fruits bébé-Gourdes de fruits 4-6 mois</v>
      </c>
      <c r="F4985" s="25">
        <v>0.0</v>
      </c>
      <c r="G4985" s="25">
        <v>320.0</v>
      </c>
      <c r="H4985" s="25">
        <v>231.0</v>
      </c>
      <c r="I4985" s="26">
        <f t="array" ref="I4985">XLOOKUP($A4985,product!A:A,product!E:E)</f>
        <v>0.79</v>
      </c>
      <c r="J4985" s="25">
        <f t="shared" si="2"/>
        <v>182.49</v>
      </c>
      <c r="K4985" s="27">
        <f t="shared" si="3"/>
        <v>1</v>
      </c>
      <c r="L4985" s="25">
        <f t="shared" si="4"/>
        <v>1</v>
      </c>
    </row>
    <row r="4986">
      <c r="A4986" s="19">
        <v>122226.0</v>
      </c>
      <c r="B4986" s="20" t="str">
        <f t="array" ref="B4986">xlookup($A4986,product!$A:$A,product!B:B)</f>
        <v>Alimentation Bébé</v>
      </c>
      <c r="C4986" s="20" t="str">
        <f t="array" ref="C4986">xlookup($A4986,product!$A:$A,product!C:C)</f>
        <v>Petits pots fruits bébé</v>
      </c>
      <c r="D4986" s="20" t="str">
        <f t="array" ref="D4986">xlookup($A4986,product!$A:$A,product!D:D)</f>
        <v>Gourdes de fruits 4-6 mois</v>
      </c>
      <c r="E4986" s="4" t="str">
        <f t="shared" si="1"/>
        <v>122226-Petits pots fruits bébé-Gourdes de fruits 4-6 mois</v>
      </c>
      <c r="F4986" s="4">
        <v>0.0</v>
      </c>
      <c r="G4986" s="4">
        <v>412.0</v>
      </c>
      <c r="H4986" s="4">
        <v>38.0</v>
      </c>
      <c r="I4986" s="21">
        <f t="array" ref="I4986">XLOOKUP($A4986,product!A:A,product!E:E)</f>
        <v>0.97</v>
      </c>
      <c r="J4986" s="4">
        <f t="shared" si="2"/>
        <v>36.86</v>
      </c>
      <c r="K4986" s="22">
        <f t="shared" si="3"/>
        <v>1</v>
      </c>
      <c r="L4986" s="4">
        <f t="shared" si="4"/>
        <v>1</v>
      </c>
    </row>
    <row r="4987">
      <c r="A4987" s="23">
        <v>4385.0</v>
      </c>
      <c r="B4987" s="24" t="str">
        <f t="array" ref="B4987">xlookup($A4987,product!$A:$A,product!B:B)</f>
        <v>Alimentation Bébé</v>
      </c>
      <c r="C4987" s="24" t="str">
        <f t="array" ref="C4987">xlookup($A4987,product!$A:$A,product!C:C)</f>
        <v>Petits pots fruits bébé</v>
      </c>
      <c r="D4987" s="24" t="str">
        <f t="array" ref="D4987">xlookup($A4987,product!$A:$A,product!D:D)</f>
        <v>Fruits en coupelle 6-8 mois</v>
      </c>
      <c r="E4987" s="25" t="str">
        <f t="shared" si="1"/>
        <v>4385-Petits pots fruits bébé-Fruits en coupelle 6-8 mois</v>
      </c>
      <c r="F4987" s="25">
        <v>1.0</v>
      </c>
      <c r="G4987" s="25">
        <v>504.0</v>
      </c>
      <c r="H4987" s="25">
        <v>274.0</v>
      </c>
      <c r="I4987" s="26">
        <f t="array" ref="I4987">XLOOKUP($A4987,product!A:A,product!E:E)</f>
        <v>1.92</v>
      </c>
      <c r="J4987" s="25">
        <f t="shared" si="2"/>
        <v>526.08</v>
      </c>
      <c r="K4987" s="27">
        <f t="shared" si="3"/>
        <v>1</v>
      </c>
      <c r="L4987" s="25">
        <f t="shared" si="4"/>
        <v>1</v>
      </c>
    </row>
    <row r="4988">
      <c r="A4988" s="19">
        <v>41029.0</v>
      </c>
      <c r="B4988" s="20" t="str">
        <f t="array" ref="B4988">xlookup($A4988,product!$A:$A,product!B:B)</f>
        <v>Alimentation Bébé</v>
      </c>
      <c r="C4988" s="20" t="str">
        <f t="array" ref="C4988">xlookup($A4988,product!$A:$A,product!C:C)</f>
        <v>Petits pots fruits bébé</v>
      </c>
      <c r="D4988" s="20" t="str">
        <f t="array" ref="D4988">xlookup($A4988,product!$A:$A,product!D:D)</f>
        <v>Fruits en coupelle 6-8 mois</v>
      </c>
      <c r="E4988" s="4" t="str">
        <f t="shared" si="1"/>
        <v>41029-Petits pots fruits bébé-Fruits en coupelle 6-8 mois</v>
      </c>
      <c r="F4988" s="4">
        <v>0.0</v>
      </c>
      <c r="G4988" s="4">
        <v>110.0</v>
      </c>
      <c r="H4988" s="4">
        <v>101.0</v>
      </c>
      <c r="I4988" s="21">
        <f t="array" ref="I4988">XLOOKUP($A4988,product!A:A,product!E:E)</f>
        <v>1.92</v>
      </c>
      <c r="J4988" s="4">
        <f t="shared" si="2"/>
        <v>193.92</v>
      </c>
      <c r="K4988" s="22">
        <f t="shared" si="3"/>
        <v>1</v>
      </c>
      <c r="L4988" s="4">
        <f t="shared" si="4"/>
        <v>1</v>
      </c>
    </row>
    <row r="4989">
      <c r="A4989" s="23">
        <v>4386.0</v>
      </c>
      <c r="B4989" s="24" t="str">
        <f t="array" ref="B4989">xlookup($A4989,product!$A:$A,product!B:B)</f>
        <v>Alimentation Bébé</v>
      </c>
      <c r="C4989" s="24" t="str">
        <f t="array" ref="C4989">xlookup($A4989,product!$A:$A,product!C:C)</f>
        <v>Petits pots fruits bébé</v>
      </c>
      <c r="D4989" s="24" t="str">
        <f t="array" ref="D4989">xlookup($A4989,product!$A:$A,product!D:D)</f>
        <v>Fruits en coupelle 6-8 mois</v>
      </c>
      <c r="E4989" s="25" t="str">
        <f t="shared" si="1"/>
        <v>4386-Petits pots fruits bébé-Fruits en coupelle 6-8 mois</v>
      </c>
      <c r="F4989" s="25">
        <v>0.0</v>
      </c>
      <c r="G4989" s="25">
        <v>977.0</v>
      </c>
      <c r="H4989" s="25">
        <v>367.0</v>
      </c>
      <c r="I4989" s="26">
        <f t="array" ref="I4989">XLOOKUP($A4989,product!A:A,product!E:E)</f>
        <v>1.92</v>
      </c>
      <c r="J4989" s="25">
        <f t="shared" si="2"/>
        <v>704.64</v>
      </c>
      <c r="K4989" s="27">
        <f t="shared" si="3"/>
        <v>1</v>
      </c>
      <c r="L4989" s="25">
        <f t="shared" si="4"/>
        <v>1</v>
      </c>
    </row>
    <row r="4990">
      <c r="A4990" s="19">
        <v>41030.0</v>
      </c>
      <c r="B4990" s="20" t="str">
        <f t="array" ref="B4990">xlookup($A4990,product!$A:$A,product!B:B)</f>
        <v>Alimentation Bébé</v>
      </c>
      <c r="C4990" s="20" t="str">
        <f t="array" ref="C4990">xlookup($A4990,product!$A:$A,product!C:C)</f>
        <v>Petits pots fruits bébé</v>
      </c>
      <c r="D4990" s="20" t="str">
        <f t="array" ref="D4990">xlookup($A4990,product!$A:$A,product!D:D)</f>
        <v>Fruits en coupelle 6-8 mois</v>
      </c>
      <c r="E4990" s="4" t="str">
        <f t="shared" si="1"/>
        <v>41030-Petits pots fruits bébé-Fruits en coupelle 6-8 mois</v>
      </c>
      <c r="F4990" s="4">
        <v>1.0</v>
      </c>
      <c r="G4990" s="4">
        <v>349.0</v>
      </c>
      <c r="H4990" s="4">
        <v>236.0</v>
      </c>
      <c r="I4990" s="21">
        <f t="array" ref="I4990">XLOOKUP($A4990,product!A:A,product!E:E)</f>
        <v>1.92</v>
      </c>
      <c r="J4990" s="4">
        <f t="shared" si="2"/>
        <v>453.12</v>
      </c>
      <c r="K4990" s="22">
        <f t="shared" si="3"/>
        <v>1</v>
      </c>
      <c r="L4990" s="4">
        <f t="shared" si="4"/>
        <v>1</v>
      </c>
    </row>
    <row r="4991">
      <c r="A4991" s="23">
        <v>84950.0</v>
      </c>
      <c r="B4991" s="24" t="str">
        <f t="array" ref="B4991">xlookup($A4991,product!$A:$A,product!B:B)</f>
        <v>Alimentation Bébé</v>
      </c>
      <c r="C4991" s="24" t="str">
        <f t="array" ref="C4991">xlookup($A4991,product!$A:$A,product!C:C)</f>
        <v>Petits pots fruits bébé</v>
      </c>
      <c r="D4991" s="24" t="str">
        <f t="array" ref="D4991">xlookup($A4991,product!$A:$A,product!D:D)</f>
        <v>Fruits en coupelle 6-8 mois</v>
      </c>
      <c r="E4991" s="25" t="str">
        <f t="shared" si="1"/>
        <v>84950-Petits pots fruits bébé-Fruits en coupelle 6-8 mois</v>
      </c>
      <c r="F4991" s="25">
        <v>1.0</v>
      </c>
      <c r="G4991" s="25">
        <v>296.0</v>
      </c>
      <c r="H4991" s="25">
        <v>212.0</v>
      </c>
      <c r="I4991" s="26">
        <f t="array" ref="I4991">XLOOKUP($A4991,product!A:A,product!E:E)</f>
        <v>1.92</v>
      </c>
      <c r="J4991" s="25">
        <f t="shared" si="2"/>
        <v>407.04</v>
      </c>
      <c r="K4991" s="27">
        <f t="shared" si="3"/>
        <v>1</v>
      </c>
      <c r="L4991" s="25">
        <f t="shared" si="4"/>
        <v>1</v>
      </c>
    </row>
    <row r="4992">
      <c r="A4992" s="19">
        <v>45255.0</v>
      </c>
      <c r="B4992" s="20" t="str">
        <f t="array" ref="B4992">xlookup($A4992,product!$A:$A,product!B:B)</f>
        <v>Alimentation Bébé</v>
      </c>
      <c r="C4992" s="20" t="str">
        <f t="array" ref="C4992">xlookup($A4992,product!$A:$A,product!C:C)</f>
        <v>Petits pots fruits bébé</v>
      </c>
      <c r="D4992" s="20" t="str">
        <f t="array" ref="D4992">xlookup($A4992,product!$A:$A,product!D:D)</f>
        <v>Petits pots de fruits +8 mois</v>
      </c>
      <c r="E4992" s="4" t="str">
        <f t="shared" si="1"/>
        <v>45255-Petits pots fruits bébé-Petits pots de fruits +8 mois</v>
      </c>
      <c r="F4992" s="4">
        <v>1.0</v>
      </c>
      <c r="G4992" s="4">
        <v>298.0</v>
      </c>
      <c r="H4992" s="4">
        <v>164.0</v>
      </c>
      <c r="I4992" s="21">
        <f t="array" ref="I4992">XLOOKUP($A4992,product!A:A,product!E:E)</f>
        <v>1.02</v>
      </c>
      <c r="J4992" s="4">
        <f t="shared" si="2"/>
        <v>167.28</v>
      </c>
      <c r="K4992" s="22">
        <f t="shared" si="3"/>
        <v>1</v>
      </c>
      <c r="L4992" s="4">
        <f t="shared" si="4"/>
        <v>1</v>
      </c>
    </row>
    <row r="4993">
      <c r="A4993" s="23">
        <v>108070.0</v>
      </c>
      <c r="B4993" s="24" t="str">
        <f t="array" ref="B4993">xlookup($A4993,product!$A:$A,product!B:B)</f>
        <v>Alimentation Bébé</v>
      </c>
      <c r="C4993" s="24" t="str">
        <f t="array" ref="C4993">xlookup($A4993,product!$A:$A,product!C:C)</f>
        <v>Petits pots fruits bébé</v>
      </c>
      <c r="D4993" s="24" t="str">
        <f t="array" ref="D4993">xlookup($A4993,product!$A:$A,product!D:D)</f>
        <v>Petits pots de fruits +8 mois</v>
      </c>
      <c r="E4993" s="25" t="str">
        <f t="shared" si="1"/>
        <v>108070-Petits pots fruits bébé-Petits pots de fruits +8 mois</v>
      </c>
      <c r="F4993" s="25">
        <v>0.0</v>
      </c>
      <c r="G4993" s="25">
        <v>867.0</v>
      </c>
      <c r="H4993" s="25">
        <v>330.0</v>
      </c>
      <c r="I4993" s="26">
        <f t="array" ref="I4993">XLOOKUP($A4993,product!A:A,product!E:E)</f>
        <v>0.74</v>
      </c>
      <c r="J4993" s="25">
        <f t="shared" si="2"/>
        <v>244.2</v>
      </c>
      <c r="K4993" s="27">
        <f t="shared" si="3"/>
        <v>1</v>
      </c>
      <c r="L4993" s="25">
        <f t="shared" si="4"/>
        <v>1</v>
      </c>
    </row>
    <row r="4994">
      <c r="A4994" s="19">
        <v>108069.0</v>
      </c>
      <c r="B4994" s="20" t="str">
        <f t="array" ref="B4994">xlookup($A4994,product!$A:$A,product!B:B)</f>
        <v>Alimentation Bébé</v>
      </c>
      <c r="C4994" s="20" t="str">
        <f t="array" ref="C4994">xlookup($A4994,product!$A:$A,product!C:C)</f>
        <v>Petits pots fruits bébé</v>
      </c>
      <c r="D4994" s="20" t="str">
        <f t="array" ref="D4994">xlookup($A4994,product!$A:$A,product!D:D)</f>
        <v>Petits pots de fruits +8 mois</v>
      </c>
      <c r="E4994" s="4" t="str">
        <f t="shared" si="1"/>
        <v>108069-Petits pots fruits bébé-Petits pots de fruits +8 mois</v>
      </c>
      <c r="F4994" s="4">
        <v>0.0</v>
      </c>
      <c r="G4994" s="4">
        <v>916.0</v>
      </c>
      <c r="H4994" s="4">
        <v>59.0</v>
      </c>
      <c r="I4994" s="21">
        <f t="array" ref="I4994">XLOOKUP($A4994,product!A:A,product!E:E)</f>
        <v>0.74</v>
      </c>
      <c r="J4994" s="4">
        <f t="shared" si="2"/>
        <v>43.66</v>
      </c>
      <c r="K4994" s="22">
        <f t="shared" si="3"/>
        <v>1</v>
      </c>
      <c r="L4994" s="4">
        <f t="shared" si="4"/>
        <v>1</v>
      </c>
    </row>
    <row r="4995">
      <c r="A4995" s="23">
        <v>9668.0</v>
      </c>
      <c r="B4995" s="24" t="str">
        <f t="array" ref="B4995">xlookup($A4995,product!$A:$A,product!B:B)</f>
        <v>Alimentation Bébé</v>
      </c>
      <c r="C4995" s="24" t="str">
        <f t="array" ref="C4995">xlookup($A4995,product!$A:$A,product!C:C)</f>
        <v>Petits pots fruits bébé</v>
      </c>
      <c r="D4995" s="24" t="str">
        <f t="array" ref="D4995">xlookup($A4995,product!$A:$A,product!D:D)</f>
        <v>Petits pots de fruits 4-6 mois</v>
      </c>
      <c r="E4995" s="25" t="str">
        <f t="shared" si="1"/>
        <v>9668-Petits pots fruits bébé-Petits pots de fruits 4-6 mois</v>
      </c>
      <c r="F4995" s="25">
        <v>0.0</v>
      </c>
      <c r="G4995" s="25">
        <v>459.0</v>
      </c>
      <c r="H4995" s="25">
        <v>451.0</v>
      </c>
      <c r="I4995" s="26">
        <f t="array" ref="I4995">XLOOKUP($A4995,product!A:A,product!E:E)</f>
        <v>1.46</v>
      </c>
      <c r="J4995" s="25">
        <f t="shared" si="2"/>
        <v>658.46</v>
      </c>
      <c r="K4995" s="27">
        <f t="shared" si="3"/>
        <v>1</v>
      </c>
      <c r="L4995" s="25">
        <f t="shared" si="4"/>
        <v>1</v>
      </c>
    </row>
    <row r="4996">
      <c r="A4996" s="19">
        <v>26322.0</v>
      </c>
      <c r="B4996" s="20" t="str">
        <f t="array" ref="B4996">xlookup($A4996,product!$A:$A,product!B:B)</f>
        <v>Alimentation Bébé</v>
      </c>
      <c r="C4996" s="20" t="str">
        <f t="array" ref="C4996">xlookup($A4996,product!$A:$A,product!C:C)</f>
        <v>Petits pots fruits bébé</v>
      </c>
      <c r="D4996" s="20" t="str">
        <f t="array" ref="D4996">xlookup($A4996,product!$A:$A,product!D:D)</f>
        <v>Petits pots de fruits 4-6 mois</v>
      </c>
      <c r="E4996" s="4" t="str">
        <f t="shared" si="1"/>
        <v>26322-Petits pots fruits bébé-Petits pots de fruits 4-6 mois</v>
      </c>
      <c r="F4996" s="4">
        <v>0.0</v>
      </c>
      <c r="G4996" s="4">
        <v>407.0</v>
      </c>
      <c r="H4996" s="4">
        <v>402.0</v>
      </c>
      <c r="I4996" s="21">
        <f t="array" ref="I4996">XLOOKUP($A4996,product!A:A,product!E:E)</f>
        <v>2.76</v>
      </c>
      <c r="J4996" s="4">
        <f t="shared" si="2"/>
        <v>1109.52</v>
      </c>
      <c r="K4996" s="22">
        <f t="shared" si="3"/>
        <v>1</v>
      </c>
      <c r="L4996" s="4">
        <f t="shared" si="4"/>
        <v>1</v>
      </c>
    </row>
    <row r="4997">
      <c r="A4997" s="23">
        <v>70413.0</v>
      </c>
      <c r="B4997" s="24" t="str">
        <f t="array" ref="B4997">xlookup($A4997,product!$A:$A,product!B:B)</f>
        <v>Alimentation Bébé</v>
      </c>
      <c r="C4997" s="24" t="str">
        <f t="array" ref="C4997">xlookup($A4997,product!$A:$A,product!C:C)</f>
        <v>Petits pots fruits bébé</v>
      </c>
      <c r="D4997" s="24" t="str">
        <f t="array" ref="D4997">xlookup($A4997,product!$A:$A,product!D:D)</f>
        <v>Petits pots de fruits 4-6 mois</v>
      </c>
      <c r="E4997" s="25" t="str">
        <f t="shared" si="1"/>
        <v>70413-Petits pots fruits bébé-Petits pots de fruits 4-6 mois</v>
      </c>
      <c r="F4997" s="25">
        <v>0.0</v>
      </c>
      <c r="G4997" s="25">
        <v>193.0</v>
      </c>
      <c r="H4997" s="25">
        <v>44.0</v>
      </c>
      <c r="I4997" s="26">
        <f t="array" ref="I4997">XLOOKUP($A4997,product!A:A,product!E:E)</f>
        <v>1.51</v>
      </c>
      <c r="J4997" s="25">
        <f t="shared" si="2"/>
        <v>66.44</v>
      </c>
      <c r="K4997" s="27">
        <f t="shared" si="3"/>
        <v>1</v>
      </c>
      <c r="L4997" s="25">
        <f t="shared" si="4"/>
        <v>1</v>
      </c>
    </row>
    <row r="4998">
      <c r="A4998" s="19">
        <v>4389.0</v>
      </c>
      <c r="B4998" s="20" t="str">
        <f t="array" ref="B4998">xlookup($A4998,product!$A:$A,product!B:B)</f>
        <v>Alimentation Bébé</v>
      </c>
      <c r="C4998" s="20" t="str">
        <f t="array" ref="C4998">xlookup($A4998,product!$A:$A,product!C:C)</f>
        <v>Petits pots fruits bébé</v>
      </c>
      <c r="D4998" s="20" t="str">
        <f t="array" ref="D4998">xlookup($A4998,product!$A:$A,product!D:D)</f>
        <v>Petits pots de fruits 4-6 mois</v>
      </c>
      <c r="E4998" s="4" t="str">
        <f t="shared" si="1"/>
        <v>4389-Petits pots fruits bébé-Petits pots de fruits 4-6 mois</v>
      </c>
      <c r="F4998" s="4">
        <v>1.0</v>
      </c>
      <c r="G4998" s="4">
        <v>198.0</v>
      </c>
      <c r="H4998" s="4">
        <v>180.0</v>
      </c>
      <c r="I4998" s="21">
        <f t="array" ref="I4998">XLOOKUP($A4998,product!A:A,product!E:E)</f>
        <v>2.1</v>
      </c>
      <c r="J4998" s="4">
        <f t="shared" si="2"/>
        <v>378</v>
      </c>
      <c r="K4998" s="22">
        <f t="shared" si="3"/>
        <v>1</v>
      </c>
      <c r="L4998" s="4">
        <f t="shared" si="4"/>
        <v>1</v>
      </c>
    </row>
    <row r="4999">
      <c r="A4999" s="23">
        <v>128340.0</v>
      </c>
      <c r="B4999" s="24" t="str">
        <f t="array" ref="B4999">xlookup($A4999,product!$A:$A,product!B:B)</f>
        <v>Alimentation Bébé</v>
      </c>
      <c r="C4999" s="24" t="str">
        <f t="array" ref="C4999">xlookup($A4999,product!$A:$A,product!C:C)</f>
        <v>Petits pots fruits bébé</v>
      </c>
      <c r="D4999" s="24" t="str">
        <f t="array" ref="D4999">xlookup($A4999,product!$A:$A,product!D:D)</f>
        <v>Petits pots de fruits 4-6 mois</v>
      </c>
      <c r="E4999" s="25" t="str">
        <f t="shared" si="1"/>
        <v>128340-Petits pots fruits bébé-Petits pots de fruits 4-6 mois</v>
      </c>
      <c r="F4999" s="25">
        <v>0.0</v>
      </c>
      <c r="G4999" s="25">
        <v>48.0</v>
      </c>
      <c r="H4999" s="25">
        <v>1.0</v>
      </c>
      <c r="I4999" s="26">
        <f t="array" ref="I4999">XLOOKUP($A4999,product!A:A,product!E:E)</f>
        <v>2.81</v>
      </c>
      <c r="J4999" s="25">
        <f t="shared" si="2"/>
        <v>2.81</v>
      </c>
      <c r="K4999" s="27">
        <f t="shared" si="3"/>
        <v>1</v>
      </c>
      <c r="L4999" s="25">
        <f t="shared" si="4"/>
        <v>1</v>
      </c>
    </row>
    <row r="5000">
      <c r="A5000" s="19">
        <v>108071.0</v>
      </c>
      <c r="B5000" s="20" t="str">
        <f t="array" ref="B5000">xlookup($A5000,product!$A:$A,product!B:B)</f>
        <v>Alimentation Bébé</v>
      </c>
      <c r="C5000" s="20" t="str">
        <f t="array" ref="C5000">xlookup($A5000,product!$A:$A,product!C:C)</f>
        <v>Petits pots fruits bébé</v>
      </c>
      <c r="D5000" s="20" t="str">
        <f t="array" ref="D5000">xlookup($A5000,product!$A:$A,product!D:D)</f>
        <v>Petits pots de fruits 4-6 mois</v>
      </c>
      <c r="E5000" s="4" t="str">
        <f t="shared" si="1"/>
        <v>108071-Petits pots fruits bébé-Petits pots de fruits 4-6 mois</v>
      </c>
      <c r="F5000" s="4">
        <v>1.0</v>
      </c>
      <c r="G5000" s="4">
        <v>919.0</v>
      </c>
      <c r="H5000" s="4">
        <v>733.0</v>
      </c>
      <c r="I5000" s="21">
        <f t="array" ref="I5000">XLOOKUP($A5000,product!A:A,product!E:E)</f>
        <v>1</v>
      </c>
      <c r="J5000" s="4">
        <f t="shared" si="2"/>
        <v>733</v>
      </c>
      <c r="K5000" s="22">
        <f t="shared" si="3"/>
        <v>1</v>
      </c>
      <c r="L5000" s="4">
        <f t="shared" si="4"/>
        <v>1</v>
      </c>
    </row>
    <row r="5001">
      <c r="A5001" s="23">
        <v>108068.0</v>
      </c>
      <c r="B5001" s="24" t="str">
        <f t="array" ref="B5001">xlookup($A5001,product!$A:$A,product!B:B)</f>
        <v>Alimentation Bébé</v>
      </c>
      <c r="C5001" s="24" t="str">
        <f t="array" ref="C5001">xlookup($A5001,product!$A:$A,product!C:C)</f>
        <v>Petits pots fruits bébé</v>
      </c>
      <c r="D5001" s="24" t="str">
        <f t="array" ref="D5001">xlookup($A5001,product!$A:$A,product!D:D)</f>
        <v>Petits pots de fruits 4-6 mois</v>
      </c>
      <c r="E5001" s="25" t="str">
        <f t="shared" si="1"/>
        <v>108068-Petits pots fruits bébé-Petits pots de fruits 4-6 mois</v>
      </c>
      <c r="F5001" s="25">
        <v>1.0</v>
      </c>
      <c r="G5001" s="25">
        <v>363.0</v>
      </c>
      <c r="H5001" s="25">
        <v>214.0</v>
      </c>
      <c r="I5001" s="26">
        <f t="array" ref="I5001">XLOOKUP($A5001,product!A:A,product!E:E)</f>
        <v>0.8</v>
      </c>
      <c r="J5001" s="25">
        <f t="shared" si="2"/>
        <v>171.2</v>
      </c>
      <c r="K5001" s="27">
        <f t="shared" si="3"/>
        <v>1</v>
      </c>
      <c r="L5001" s="25">
        <f t="shared" si="4"/>
        <v>1</v>
      </c>
    </row>
    <row r="5002">
      <c r="A5002" s="19">
        <v>9662.0</v>
      </c>
      <c r="B5002" s="20" t="str">
        <f t="array" ref="B5002">xlookup($A5002,product!$A:$A,product!B:B)</f>
        <v>Alimentation Bébé</v>
      </c>
      <c r="C5002" s="20" t="str">
        <f t="array" ref="C5002">xlookup($A5002,product!$A:$A,product!C:C)</f>
        <v>Petits pots fruits bébé</v>
      </c>
      <c r="D5002" s="20" t="str">
        <f t="array" ref="D5002">xlookup($A5002,product!$A:$A,product!D:D)</f>
        <v>Petits pots de fruits 4-6 mois</v>
      </c>
      <c r="E5002" s="4" t="str">
        <f t="shared" si="1"/>
        <v>9662-Petits pots fruits bébé-Petits pots de fruits 4-6 mois</v>
      </c>
      <c r="F5002" s="4">
        <v>1.0</v>
      </c>
      <c r="G5002" s="4">
        <v>530.0</v>
      </c>
      <c r="H5002" s="4">
        <v>481.0</v>
      </c>
      <c r="I5002" s="21">
        <f t="array" ref="I5002">XLOOKUP($A5002,product!A:A,product!E:E)</f>
        <v>1.46</v>
      </c>
      <c r="J5002" s="4">
        <f t="shared" si="2"/>
        <v>702.26</v>
      </c>
      <c r="K5002" s="22">
        <f t="shared" si="3"/>
        <v>1</v>
      </c>
      <c r="L5002" s="4">
        <f t="shared" si="4"/>
        <v>1</v>
      </c>
    </row>
    <row r="5003">
      <c r="A5003" s="23">
        <v>117611.0</v>
      </c>
      <c r="B5003" s="24" t="str">
        <f t="array" ref="B5003">xlookup($A5003,product!$A:$A,product!B:B)</f>
        <v>Alimentation Bébé</v>
      </c>
      <c r="C5003" s="24" t="str">
        <f t="array" ref="C5003">xlookup($A5003,product!$A:$A,product!C:C)</f>
        <v>Petits pots fruits bébé</v>
      </c>
      <c r="D5003" s="24" t="str">
        <f t="array" ref="D5003">xlookup($A5003,product!$A:$A,product!D:D)</f>
        <v>Petits pots de fruits 4-6 mois</v>
      </c>
      <c r="E5003" s="25" t="str">
        <f t="shared" si="1"/>
        <v>117611-Petits pots fruits bébé-Petits pots de fruits 4-6 mois</v>
      </c>
      <c r="F5003" s="25">
        <v>1.0</v>
      </c>
      <c r="G5003" s="25">
        <v>875.0</v>
      </c>
      <c r="H5003" s="25">
        <v>447.0</v>
      </c>
      <c r="I5003" s="26">
        <f t="array" ref="I5003">XLOOKUP($A5003,product!A:A,product!E:E)</f>
        <v>1.03</v>
      </c>
      <c r="J5003" s="25">
        <f t="shared" si="2"/>
        <v>460.41</v>
      </c>
      <c r="K5003" s="27">
        <f t="shared" si="3"/>
        <v>1</v>
      </c>
      <c r="L5003" s="25">
        <f t="shared" si="4"/>
        <v>1</v>
      </c>
    </row>
    <row r="5004">
      <c r="A5004" s="19">
        <v>111148.0</v>
      </c>
      <c r="B5004" s="20" t="str">
        <f t="array" ref="B5004">xlookup($A5004,product!$A:$A,product!B:B)</f>
        <v>Alimentation Bébé</v>
      </c>
      <c r="C5004" s="20" t="str">
        <f t="array" ref="C5004">xlookup($A5004,product!$A:$A,product!C:C)</f>
        <v>Petits pots fruits bébé</v>
      </c>
      <c r="D5004" s="20" t="str">
        <f t="array" ref="D5004">xlookup($A5004,product!$A:$A,product!D:D)</f>
        <v>Petits pots de fruits 4-6 mois</v>
      </c>
      <c r="E5004" s="4" t="str">
        <f t="shared" si="1"/>
        <v>111148-Petits pots fruits bébé-Petits pots de fruits 4-6 mois</v>
      </c>
      <c r="F5004" s="4">
        <v>0.0</v>
      </c>
      <c r="G5004" s="4">
        <v>198.0</v>
      </c>
      <c r="H5004" s="4">
        <v>41.0</v>
      </c>
      <c r="I5004" s="21">
        <f t="array" ref="I5004">XLOOKUP($A5004,product!A:A,product!E:E)</f>
        <v>1.62</v>
      </c>
      <c r="J5004" s="4">
        <f t="shared" si="2"/>
        <v>66.42</v>
      </c>
      <c r="K5004" s="22">
        <f t="shared" si="3"/>
        <v>1</v>
      </c>
      <c r="L5004" s="4">
        <f t="shared" si="4"/>
        <v>1</v>
      </c>
    </row>
    <row r="5005">
      <c r="A5005" s="23">
        <v>9680.0</v>
      </c>
      <c r="B5005" s="24" t="str">
        <f t="array" ref="B5005">xlookup($A5005,product!$A:$A,product!B:B)</f>
        <v>Alimentation Bébé</v>
      </c>
      <c r="C5005" s="24" t="str">
        <f t="array" ref="C5005">xlookup($A5005,product!$A:$A,product!C:C)</f>
        <v>Petits pots fruits bébé</v>
      </c>
      <c r="D5005" s="24" t="str">
        <f t="array" ref="D5005">xlookup($A5005,product!$A:$A,product!D:D)</f>
        <v>Petits pots de fruits 4-6 mois</v>
      </c>
      <c r="E5005" s="25" t="str">
        <f t="shared" si="1"/>
        <v>9680-Petits pots fruits bébé-Petits pots de fruits 4-6 mois</v>
      </c>
      <c r="F5005" s="25">
        <v>0.0</v>
      </c>
      <c r="G5005" s="25">
        <v>690.0</v>
      </c>
      <c r="H5005" s="25">
        <v>515.0</v>
      </c>
      <c r="I5005" s="26">
        <f t="array" ref="I5005">XLOOKUP($A5005,product!A:A,product!E:E)</f>
        <v>1.46</v>
      </c>
      <c r="J5005" s="25">
        <f t="shared" si="2"/>
        <v>751.9</v>
      </c>
      <c r="K5005" s="27">
        <f t="shared" si="3"/>
        <v>1</v>
      </c>
      <c r="L5005" s="25">
        <f t="shared" si="4"/>
        <v>1</v>
      </c>
    </row>
    <row r="5006">
      <c r="A5006" s="19">
        <v>117605.0</v>
      </c>
      <c r="B5006" s="20" t="str">
        <f t="array" ref="B5006">xlookup($A5006,product!$A:$A,product!B:B)</f>
        <v>Alimentation Bébé</v>
      </c>
      <c r="C5006" s="20" t="str">
        <f t="array" ref="C5006">xlookup($A5006,product!$A:$A,product!C:C)</f>
        <v>Petits pots fruits bébé</v>
      </c>
      <c r="D5006" s="20" t="str">
        <f t="array" ref="D5006">xlookup($A5006,product!$A:$A,product!D:D)</f>
        <v>Petits pots de fruits 4-6 mois</v>
      </c>
      <c r="E5006" s="4" t="str">
        <f t="shared" si="1"/>
        <v>117605-Petits pots fruits bébé-Petits pots de fruits 4-6 mois</v>
      </c>
      <c r="F5006" s="4">
        <v>1.0</v>
      </c>
      <c r="G5006" s="4">
        <v>357.0</v>
      </c>
      <c r="H5006" s="4">
        <v>276.0</v>
      </c>
      <c r="I5006" s="21">
        <f t="array" ref="I5006">XLOOKUP($A5006,product!A:A,product!E:E)</f>
        <v>1.03</v>
      </c>
      <c r="J5006" s="4">
        <f t="shared" si="2"/>
        <v>284.28</v>
      </c>
      <c r="K5006" s="22">
        <f t="shared" si="3"/>
        <v>1</v>
      </c>
      <c r="L5006" s="4">
        <f t="shared" si="4"/>
        <v>1</v>
      </c>
    </row>
    <row r="5007">
      <c r="A5007" s="23">
        <v>108077.0</v>
      </c>
      <c r="B5007" s="24" t="str">
        <f t="array" ref="B5007">xlookup($A5007,product!$A:$A,product!B:B)</f>
        <v>Alimentation Bébé</v>
      </c>
      <c r="C5007" s="24" t="str">
        <f t="array" ref="C5007">xlookup($A5007,product!$A:$A,product!C:C)</f>
        <v>Petits pots fruits bébé</v>
      </c>
      <c r="D5007" s="24" t="str">
        <f t="array" ref="D5007">xlookup($A5007,product!$A:$A,product!D:D)</f>
        <v>Petits pots de fruits 4-6 mois</v>
      </c>
      <c r="E5007" s="25" t="str">
        <f t="shared" si="1"/>
        <v>108077-Petits pots fruits bébé-Petits pots de fruits 4-6 mois</v>
      </c>
      <c r="F5007" s="25">
        <v>1.0</v>
      </c>
      <c r="G5007" s="25">
        <v>704.0</v>
      </c>
      <c r="H5007" s="25">
        <v>264.0</v>
      </c>
      <c r="I5007" s="26">
        <f t="array" ref="I5007">XLOOKUP($A5007,product!A:A,product!E:E)</f>
        <v>0.74</v>
      </c>
      <c r="J5007" s="25">
        <f t="shared" si="2"/>
        <v>195.36</v>
      </c>
      <c r="K5007" s="27">
        <f t="shared" si="3"/>
        <v>1</v>
      </c>
      <c r="L5007" s="25">
        <f t="shared" si="4"/>
        <v>1</v>
      </c>
    </row>
    <row r="5008">
      <c r="A5008" s="19">
        <v>9681.0</v>
      </c>
      <c r="B5008" s="20" t="str">
        <f t="array" ref="B5008">xlookup($A5008,product!$A:$A,product!B:B)</f>
        <v>Alimentation Bébé</v>
      </c>
      <c r="C5008" s="20" t="str">
        <f t="array" ref="C5008">xlookup($A5008,product!$A:$A,product!C:C)</f>
        <v>Petits pots fruits bébé</v>
      </c>
      <c r="D5008" s="20" t="str">
        <f t="array" ref="D5008">xlookup($A5008,product!$A:$A,product!D:D)</f>
        <v>Petits pots de fruits 4-6 mois</v>
      </c>
      <c r="E5008" s="4" t="str">
        <f t="shared" si="1"/>
        <v>9681-Petits pots fruits bébé-Petits pots de fruits 4-6 mois</v>
      </c>
      <c r="F5008" s="4">
        <v>1.0</v>
      </c>
      <c r="G5008" s="4">
        <v>395.0</v>
      </c>
      <c r="H5008" s="4">
        <v>209.0</v>
      </c>
      <c r="I5008" s="21">
        <f t="array" ref="I5008">XLOOKUP($A5008,product!A:A,product!E:E)</f>
        <v>1.46</v>
      </c>
      <c r="J5008" s="4">
        <f t="shared" si="2"/>
        <v>305.14</v>
      </c>
      <c r="K5008" s="22">
        <f t="shared" si="3"/>
        <v>1</v>
      </c>
      <c r="L5008" s="4">
        <f t="shared" si="4"/>
        <v>1</v>
      </c>
    </row>
    <row r="5009">
      <c r="A5009" s="23">
        <v>4388.0</v>
      </c>
      <c r="B5009" s="24" t="str">
        <f t="array" ref="B5009">xlookup($A5009,product!$A:$A,product!B:B)</f>
        <v>Alimentation Bébé</v>
      </c>
      <c r="C5009" s="24" t="str">
        <f t="array" ref="C5009">xlookup($A5009,product!$A:$A,product!C:C)</f>
        <v>Petits pots fruits bébé</v>
      </c>
      <c r="D5009" s="24" t="str">
        <f t="array" ref="D5009">xlookup($A5009,product!$A:$A,product!D:D)</f>
        <v>Petits pots de fruits 4-6 mois</v>
      </c>
      <c r="E5009" s="25" t="str">
        <f t="shared" si="1"/>
        <v>4388-Petits pots fruits bébé-Petits pots de fruits 4-6 mois</v>
      </c>
      <c r="F5009" s="25">
        <v>0.0</v>
      </c>
      <c r="G5009" s="25">
        <v>129.0</v>
      </c>
      <c r="H5009" s="25">
        <v>58.0</v>
      </c>
      <c r="I5009" s="26">
        <f t="array" ref="I5009">XLOOKUP($A5009,product!A:A,product!E:E)</f>
        <v>2.1</v>
      </c>
      <c r="J5009" s="25">
        <f t="shared" si="2"/>
        <v>121.8</v>
      </c>
      <c r="K5009" s="27">
        <f t="shared" si="3"/>
        <v>1</v>
      </c>
      <c r="L5009" s="25">
        <f t="shared" si="4"/>
        <v>1</v>
      </c>
    </row>
    <row r="5010">
      <c r="A5010" s="19">
        <v>99036.0</v>
      </c>
      <c r="B5010" s="20" t="str">
        <f t="array" ref="B5010">xlookup($A5010,product!$A:$A,product!B:B)</f>
        <v>Alimentation Bébé</v>
      </c>
      <c r="C5010" s="20" t="str">
        <f t="array" ref="C5010">xlookup($A5010,product!$A:$A,product!C:C)</f>
        <v>Petits pots fruits bébé</v>
      </c>
      <c r="D5010" s="20" t="str">
        <f t="array" ref="D5010">xlookup($A5010,product!$A:$A,product!D:D)</f>
        <v>Petits pots de fruits 4-6 mois</v>
      </c>
      <c r="E5010" s="4" t="str">
        <f t="shared" si="1"/>
        <v>99036-Petits pots fruits bébé-Petits pots de fruits 4-6 mois</v>
      </c>
      <c r="F5010" s="4">
        <v>0.0</v>
      </c>
      <c r="G5010" s="4">
        <v>338.0</v>
      </c>
      <c r="H5010" s="4">
        <v>168.0</v>
      </c>
      <c r="I5010" s="21">
        <f t="array" ref="I5010">XLOOKUP($A5010,product!A:A,product!E:E)</f>
        <v>1.8</v>
      </c>
      <c r="J5010" s="4">
        <f t="shared" si="2"/>
        <v>302.4</v>
      </c>
      <c r="K5010" s="22">
        <f t="shared" si="3"/>
        <v>1</v>
      </c>
      <c r="L5010" s="4">
        <f t="shared" si="4"/>
        <v>1</v>
      </c>
    </row>
    <row r="5011">
      <c r="A5011" s="23">
        <v>109344.0</v>
      </c>
      <c r="B5011" s="24" t="str">
        <f t="array" ref="B5011">xlookup($A5011,product!$A:$A,product!B:B)</f>
        <v>Alimentation Bébé</v>
      </c>
      <c r="C5011" s="24" t="str">
        <f t="array" ref="C5011">xlookup($A5011,product!$A:$A,product!C:C)</f>
        <v>Petits pots fruits bébé</v>
      </c>
      <c r="D5011" s="24" t="str">
        <f t="array" ref="D5011">xlookup($A5011,product!$A:$A,product!D:D)</f>
        <v>Petits pots de fruits 4-6 mois</v>
      </c>
      <c r="E5011" s="25" t="str">
        <f t="shared" si="1"/>
        <v>109344-Petits pots fruits bébé-Petits pots de fruits 4-6 mois</v>
      </c>
      <c r="F5011" s="25">
        <v>0.0</v>
      </c>
      <c r="G5011" s="25">
        <v>475.0</v>
      </c>
      <c r="H5011" s="25">
        <v>331.0</v>
      </c>
      <c r="I5011" s="26">
        <f t="array" ref="I5011">XLOOKUP($A5011,product!A:A,product!E:E)</f>
        <v>2.23</v>
      </c>
      <c r="J5011" s="25">
        <f t="shared" si="2"/>
        <v>738.13</v>
      </c>
      <c r="K5011" s="27">
        <f t="shared" si="3"/>
        <v>1</v>
      </c>
      <c r="L5011" s="25">
        <f t="shared" si="4"/>
        <v>1</v>
      </c>
    </row>
    <row r="5012">
      <c r="A5012" s="19">
        <v>9663.0</v>
      </c>
      <c r="B5012" s="20" t="str">
        <f t="array" ref="B5012">xlookup($A5012,product!$A:$A,product!B:B)</f>
        <v>Alimentation Bébé</v>
      </c>
      <c r="C5012" s="20" t="str">
        <f t="array" ref="C5012">xlookup($A5012,product!$A:$A,product!C:C)</f>
        <v>Petits pots fruits bébé</v>
      </c>
      <c r="D5012" s="20" t="str">
        <f t="array" ref="D5012">xlookup($A5012,product!$A:$A,product!D:D)</f>
        <v>Petits pots de fruits 4-6 mois</v>
      </c>
      <c r="E5012" s="4" t="str">
        <f t="shared" si="1"/>
        <v>9663-Petits pots fruits bébé-Petits pots de fruits 4-6 mois</v>
      </c>
      <c r="F5012" s="4">
        <v>0.0</v>
      </c>
      <c r="G5012" s="4">
        <v>867.0</v>
      </c>
      <c r="H5012" s="4">
        <v>247.0</v>
      </c>
      <c r="I5012" s="21">
        <f t="array" ref="I5012">XLOOKUP($A5012,product!A:A,product!E:E)</f>
        <v>1.51</v>
      </c>
      <c r="J5012" s="4">
        <f t="shared" si="2"/>
        <v>372.97</v>
      </c>
      <c r="K5012" s="22">
        <f t="shared" si="3"/>
        <v>1</v>
      </c>
      <c r="L5012" s="4">
        <f t="shared" si="4"/>
        <v>1</v>
      </c>
    </row>
    <row r="5013">
      <c r="A5013" s="23">
        <v>119106.0</v>
      </c>
      <c r="B5013" s="24" t="str">
        <f t="array" ref="B5013">xlookup($A5013,product!$A:$A,product!B:B)</f>
        <v>Alimentation Bébé</v>
      </c>
      <c r="C5013" s="24" t="str">
        <f t="array" ref="C5013">xlookup($A5013,product!$A:$A,product!C:C)</f>
        <v>Petits pots fruits bébé</v>
      </c>
      <c r="D5013" s="24" t="str">
        <f t="array" ref="D5013">xlookup($A5013,product!$A:$A,product!D:D)</f>
        <v>Petits pots de fruits 4-6 mois</v>
      </c>
      <c r="E5013" s="25" t="str">
        <f t="shared" si="1"/>
        <v>119106-Petits pots fruits bébé-Petits pots de fruits 4-6 mois</v>
      </c>
      <c r="F5013" s="25">
        <v>0.0</v>
      </c>
      <c r="G5013" s="25">
        <v>488.0</v>
      </c>
      <c r="H5013" s="25">
        <v>450.0</v>
      </c>
      <c r="I5013" s="26">
        <f t="array" ref="I5013">XLOOKUP($A5013,product!A:A,product!E:E)</f>
        <v>2.25</v>
      </c>
      <c r="J5013" s="25">
        <f t="shared" si="2"/>
        <v>1012.5</v>
      </c>
      <c r="K5013" s="27">
        <f t="shared" si="3"/>
        <v>1</v>
      </c>
      <c r="L5013" s="25">
        <f t="shared" si="4"/>
        <v>1</v>
      </c>
    </row>
    <row r="5014">
      <c r="A5014" s="19">
        <v>9664.0</v>
      </c>
      <c r="B5014" s="20" t="str">
        <f t="array" ref="B5014">xlookup($A5014,product!$A:$A,product!B:B)</f>
        <v>Alimentation Bébé</v>
      </c>
      <c r="C5014" s="20" t="str">
        <f t="array" ref="C5014">xlookup($A5014,product!$A:$A,product!C:C)</f>
        <v>Petits pots fruits bébé</v>
      </c>
      <c r="D5014" s="20" t="str">
        <f t="array" ref="D5014">xlookup($A5014,product!$A:$A,product!D:D)</f>
        <v>Petits pots de fruits 4-6 mois</v>
      </c>
      <c r="E5014" s="4" t="str">
        <f t="shared" si="1"/>
        <v>9664-Petits pots fruits bébé-Petits pots de fruits 4-6 mois</v>
      </c>
      <c r="F5014" s="4">
        <v>1.0</v>
      </c>
      <c r="G5014" s="4">
        <v>604.0</v>
      </c>
      <c r="H5014" s="4">
        <v>365.0</v>
      </c>
      <c r="I5014" s="21">
        <f t="array" ref="I5014">XLOOKUP($A5014,product!A:A,product!E:E)</f>
        <v>1.46</v>
      </c>
      <c r="J5014" s="4">
        <f t="shared" si="2"/>
        <v>532.9</v>
      </c>
      <c r="K5014" s="22">
        <f t="shared" si="3"/>
        <v>1</v>
      </c>
      <c r="L5014" s="4">
        <f t="shared" si="4"/>
        <v>1</v>
      </c>
    </row>
    <row r="5015">
      <c r="A5015" s="23">
        <v>108064.0</v>
      </c>
      <c r="B5015" s="24" t="str">
        <f t="array" ref="B5015">xlookup($A5015,product!$A:$A,product!B:B)</f>
        <v>Alimentation Bébé</v>
      </c>
      <c r="C5015" s="24" t="str">
        <f t="array" ref="C5015">xlookup($A5015,product!$A:$A,product!C:C)</f>
        <v>Petits pots fruits bébé</v>
      </c>
      <c r="D5015" s="24" t="str">
        <f t="array" ref="D5015">xlookup($A5015,product!$A:$A,product!D:D)</f>
        <v>Petits pots de fruits 4-6 mois</v>
      </c>
      <c r="E5015" s="25" t="str">
        <f t="shared" si="1"/>
        <v>108064-Petits pots fruits bébé-Petits pots de fruits 4-6 mois</v>
      </c>
      <c r="F5015" s="25">
        <v>1.0</v>
      </c>
      <c r="G5015" s="25">
        <v>87.0</v>
      </c>
      <c r="H5015" s="25">
        <v>11.0</v>
      </c>
      <c r="I5015" s="26">
        <f t="array" ref="I5015">XLOOKUP($A5015,product!A:A,product!E:E)</f>
        <v>1.46</v>
      </c>
      <c r="J5015" s="25">
        <f t="shared" si="2"/>
        <v>16.06</v>
      </c>
      <c r="K5015" s="27">
        <f t="shared" si="3"/>
        <v>1</v>
      </c>
      <c r="L5015" s="25">
        <f t="shared" si="4"/>
        <v>1</v>
      </c>
    </row>
    <row r="5016">
      <c r="A5016" s="19">
        <v>70414.0</v>
      </c>
      <c r="B5016" s="20" t="str">
        <f t="array" ref="B5016">xlookup($A5016,product!$A:$A,product!B:B)</f>
        <v>Alimentation Bébé</v>
      </c>
      <c r="C5016" s="20" t="str">
        <f t="array" ref="C5016">xlookup($A5016,product!$A:$A,product!C:C)</f>
        <v>Petits pots fruits bébé</v>
      </c>
      <c r="D5016" s="20" t="str">
        <f t="array" ref="D5016">xlookup($A5016,product!$A:$A,product!D:D)</f>
        <v>Petits pots de fruits 4-6 mois</v>
      </c>
      <c r="E5016" s="4" t="str">
        <f t="shared" si="1"/>
        <v>70414-Petits pots fruits bébé-Petits pots de fruits 4-6 mois</v>
      </c>
      <c r="F5016" s="4">
        <v>1.0</v>
      </c>
      <c r="G5016" s="4">
        <v>248.0</v>
      </c>
      <c r="H5016" s="4">
        <v>25.0</v>
      </c>
      <c r="I5016" s="21">
        <f t="array" ref="I5016">XLOOKUP($A5016,product!A:A,product!E:E)</f>
        <v>1.51</v>
      </c>
      <c r="J5016" s="4">
        <f t="shared" si="2"/>
        <v>37.75</v>
      </c>
      <c r="K5016" s="22">
        <f t="shared" si="3"/>
        <v>1</v>
      </c>
      <c r="L5016" s="4">
        <f t="shared" si="4"/>
        <v>1</v>
      </c>
    </row>
    <row r="5017">
      <c r="A5017" s="23">
        <v>9673.0</v>
      </c>
      <c r="B5017" s="24" t="str">
        <f t="array" ref="B5017">xlookup($A5017,product!$A:$A,product!B:B)</f>
        <v>Alimentation Bébé</v>
      </c>
      <c r="C5017" s="24" t="str">
        <f t="array" ref="C5017">xlookup($A5017,product!$A:$A,product!C:C)</f>
        <v>Petits pots fruits bébé</v>
      </c>
      <c r="D5017" s="24" t="str">
        <f t="array" ref="D5017">xlookup($A5017,product!$A:$A,product!D:D)</f>
        <v>Petits pots de fruits 4-6 mois</v>
      </c>
      <c r="E5017" s="25" t="str">
        <f t="shared" si="1"/>
        <v>9673-Petits pots fruits bébé-Petits pots de fruits 4-6 mois</v>
      </c>
      <c r="F5017" s="25">
        <v>0.0</v>
      </c>
      <c r="G5017" s="25">
        <v>537.0</v>
      </c>
      <c r="H5017" s="25">
        <v>307.0</v>
      </c>
      <c r="I5017" s="26">
        <f t="array" ref="I5017">XLOOKUP($A5017,product!A:A,product!E:E)</f>
        <v>1.51</v>
      </c>
      <c r="J5017" s="25">
        <f t="shared" si="2"/>
        <v>463.57</v>
      </c>
      <c r="K5017" s="27">
        <f t="shared" si="3"/>
        <v>1</v>
      </c>
      <c r="L5017" s="25">
        <f t="shared" si="4"/>
        <v>1</v>
      </c>
    </row>
    <row r="5018">
      <c r="A5018" s="19">
        <v>117604.0</v>
      </c>
      <c r="B5018" s="20" t="str">
        <f t="array" ref="B5018">xlookup($A5018,product!$A:$A,product!B:B)</f>
        <v>Alimentation Bébé</v>
      </c>
      <c r="C5018" s="20" t="str">
        <f t="array" ref="C5018">xlookup($A5018,product!$A:$A,product!C:C)</f>
        <v>Petits pots fruits bébé</v>
      </c>
      <c r="D5018" s="20" t="str">
        <f t="array" ref="D5018">xlookup($A5018,product!$A:$A,product!D:D)</f>
        <v>Petits pots de fruits 4-6 mois</v>
      </c>
      <c r="E5018" s="4" t="str">
        <f t="shared" si="1"/>
        <v>117604-Petits pots fruits bébé-Petits pots de fruits 4-6 mois</v>
      </c>
      <c r="F5018" s="4">
        <v>0.0</v>
      </c>
      <c r="G5018" s="4">
        <v>687.0</v>
      </c>
      <c r="H5018" s="4">
        <v>283.0</v>
      </c>
      <c r="I5018" s="21">
        <f t="array" ref="I5018">XLOOKUP($A5018,product!A:A,product!E:E)</f>
        <v>1.03</v>
      </c>
      <c r="J5018" s="4">
        <f t="shared" si="2"/>
        <v>291.49</v>
      </c>
      <c r="K5018" s="22">
        <f t="shared" si="3"/>
        <v>1</v>
      </c>
      <c r="L5018" s="4">
        <f t="shared" si="4"/>
        <v>1</v>
      </c>
    </row>
    <row r="5019">
      <c r="A5019" s="23">
        <v>45165.0</v>
      </c>
      <c r="B5019" s="24" t="str">
        <f t="array" ref="B5019">xlookup($A5019,product!$A:$A,product!B:B)</f>
        <v>Alimentation Bébé</v>
      </c>
      <c r="C5019" s="24" t="str">
        <f t="array" ref="C5019">xlookup($A5019,product!$A:$A,product!C:C)</f>
        <v>Petits pots fruits bébé</v>
      </c>
      <c r="D5019" s="24" t="str">
        <f t="array" ref="D5019">xlookup($A5019,product!$A:$A,product!D:D)</f>
        <v>Petits pots de fruits 4-6 mois</v>
      </c>
      <c r="E5019" s="25" t="str">
        <f t="shared" si="1"/>
        <v>45165-Petits pots fruits bébé-Petits pots de fruits 4-6 mois</v>
      </c>
      <c r="F5019" s="25">
        <v>1.0</v>
      </c>
      <c r="G5019" s="25">
        <v>889.0</v>
      </c>
      <c r="H5019" s="25">
        <v>769.0</v>
      </c>
      <c r="I5019" s="26">
        <f t="array" ref="I5019">XLOOKUP($A5019,product!A:A,product!E:E)</f>
        <v>1</v>
      </c>
      <c r="J5019" s="25">
        <f t="shared" si="2"/>
        <v>769</v>
      </c>
      <c r="K5019" s="27">
        <f t="shared" si="3"/>
        <v>1</v>
      </c>
      <c r="L5019" s="25">
        <f t="shared" si="4"/>
        <v>1</v>
      </c>
    </row>
    <row r="5020">
      <c r="A5020" s="19">
        <v>128341.0</v>
      </c>
      <c r="B5020" s="20" t="str">
        <f t="array" ref="B5020">xlookup($A5020,product!$A:$A,product!B:B)</f>
        <v>Alimentation Bébé</v>
      </c>
      <c r="C5020" s="20" t="str">
        <f t="array" ref="C5020">xlookup($A5020,product!$A:$A,product!C:C)</f>
        <v>Petits pots fruits bébé</v>
      </c>
      <c r="D5020" s="20" t="str">
        <f t="array" ref="D5020">xlookup($A5020,product!$A:$A,product!D:D)</f>
        <v>Petits pots de fruits 4-6 mois</v>
      </c>
      <c r="E5020" s="4" t="str">
        <f t="shared" si="1"/>
        <v>128341-Petits pots fruits bébé-Petits pots de fruits 4-6 mois</v>
      </c>
      <c r="F5020" s="4">
        <v>1.0</v>
      </c>
      <c r="G5020" s="4">
        <v>858.0</v>
      </c>
      <c r="H5020" s="4">
        <v>532.0</v>
      </c>
      <c r="I5020" s="21">
        <f t="array" ref="I5020">XLOOKUP($A5020,product!A:A,product!E:E)</f>
        <v>2.81</v>
      </c>
      <c r="J5020" s="4">
        <f t="shared" si="2"/>
        <v>1494.92</v>
      </c>
      <c r="K5020" s="22">
        <f t="shared" si="3"/>
        <v>1</v>
      </c>
      <c r="L5020" s="4">
        <f t="shared" si="4"/>
        <v>1</v>
      </c>
    </row>
    <row r="5021">
      <c r="A5021" s="23">
        <v>101917.0</v>
      </c>
      <c r="B5021" s="24" t="str">
        <f t="array" ref="B5021">xlookup($A5021,product!$A:$A,product!B:B)</f>
        <v>Alimentation Bébé</v>
      </c>
      <c r="C5021" s="24" t="str">
        <f t="array" ref="C5021">xlookup($A5021,product!$A:$A,product!C:C)</f>
        <v>Petits pots fruits bébé</v>
      </c>
      <c r="D5021" s="24" t="str">
        <f t="array" ref="D5021">xlookup($A5021,product!$A:$A,product!D:D)</f>
        <v>Petits pots de fruits 4-6 mois</v>
      </c>
      <c r="E5021" s="25" t="str">
        <f t="shared" si="1"/>
        <v>101917-Petits pots fruits bébé-Petits pots de fruits 4-6 mois</v>
      </c>
      <c r="F5021" s="25">
        <v>0.0</v>
      </c>
      <c r="G5021" s="25">
        <v>127.0</v>
      </c>
      <c r="H5021" s="25">
        <v>13.0</v>
      </c>
      <c r="I5021" s="26">
        <f t="array" ref="I5021">XLOOKUP($A5021,product!A:A,product!E:E)</f>
        <v>1.62</v>
      </c>
      <c r="J5021" s="25">
        <f t="shared" si="2"/>
        <v>21.06</v>
      </c>
      <c r="K5021" s="27">
        <f t="shared" si="3"/>
        <v>1</v>
      </c>
      <c r="L5021" s="25">
        <f t="shared" si="4"/>
        <v>1</v>
      </c>
    </row>
    <row r="5022">
      <c r="A5022" s="19">
        <v>79419.0</v>
      </c>
      <c r="B5022" s="20" t="str">
        <f t="array" ref="B5022">xlookup($A5022,product!$A:$A,product!B:B)</f>
        <v>Alimentation Bébé</v>
      </c>
      <c r="C5022" s="20" t="str">
        <f t="array" ref="C5022">xlookup($A5022,product!$A:$A,product!C:C)</f>
        <v>Petits pots fruits bébé</v>
      </c>
      <c r="D5022" s="20" t="str">
        <f t="array" ref="D5022">xlookup($A5022,product!$A:$A,product!D:D)</f>
        <v>Petits pots de fruits 4-6 mois</v>
      </c>
      <c r="E5022" s="4" t="str">
        <f t="shared" si="1"/>
        <v>79419-Petits pots fruits bébé-Petits pots de fruits 4-6 mois</v>
      </c>
      <c r="F5022" s="4">
        <v>0.0</v>
      </c>
      <c r="G5022" s="4">
        <v>764.0</v>
      </c>
      <c r="H5022" s="4">
        <v>476.0</v>
      </c>
      <c r="I5022" s="21">
        <f t="array" ref="I5022">XLOOKUP($A5022,product!A:A,product!E:E)</f>
        <v>1.55</v>
      </c>
      <c r="J5022" s="4">
        <f t="shared" si="2"/>
        <v>737.8</v>
      </c>
      <c r="K5022" s="22">
        <f t="shared" si="3"/>
        <v>1</v>
      </c>
      <c r="L5022" s="4">
        <f t="shared" si="4"/>
        <v>1</v>
      </c>
    </row>
    <row r="5023">
      <c r="A5023" s="23">
        <v>9675.0</v>
      </c>
      <c r="B5023" s="24" t="str">
        <f t="array" ref="B5023">xlookup($A5023,product!$A:$A,product!B:B)</f>
        <v>Alimentation Bébé</v>
      </c>
      <c r="C5023" s="24" t="str">
        <f t="array" ref="C5023">xlookup($A5023,product!$A:$A,product!C:C)</f>
        <v>Petits pots fruits bébé</v>
      </c>
      <c r="D5023" s="24" t="str">
        <f t="array" ref="D5023">xlookup($A5023,product!$A:$A,product!D:D)</f>
        <v>Petits pots de fruits 4-6 mois</v>
      </c>
      <c r="E5023" s="25" t="str">
        <f t="shared" si="1"/>
        <v>9675-Petits pots fruits bébé-Petits pots de fruits 4-6 mois</v>
      </c>
      <c r="F5023" s="25">
        <v>1.0</v>
      </c>
      <c r="G5023" s="25">
        <v>976.0</v>
      </c>
      <c r="H5023" s="25">
        <v>363.0</v>
      </c>
      <c r="I5023" s="26">
        <f t="array" ref="I5023">XLOOKUP($A5023,product!A:A,product!E:E)</f>
        <v>1.51</v>
      </c>
      <c r="J5023" s="25">
        <f t="shared" si="2"/>
        <v>548.13</v>
      </c>
      <c r="K5023" s="27">
        <f t="shared" si="3"/>
        <v>1</v>
      </c>
      <c r="L5023" s="25">
        <f t="shared" si="4"/>
        <v>1</v>
      </c>
    </row>
    <row r="5024">
      <c r="A5024" s="19">
        <v>9671.0</v>
      </c>
      <c r="B5024" s="20" t="str">
        <f t="array" ref="B5024">xlookup($A5024,product!$A:$A,product!B:B)</f>
        <v>Alimentation Bébé</v>
      </c>
      <c r="C5024" s="20" t="str">
        <f t="array" ref="C5024">xlookup($A5024,product!$A:$A,product!C:C)</f>
        <v>Petits pots fruits bébé</v>
      </c>
      <c r="D5024" s="20" t="str">
        <f t="array" ref="D5024">xlookup($A5024,product!$A:$A,product!D:D)</f>
        <v>Petits pots de fruits 4-6 mois</v>
      </c>
      <c r="E5024" s="4" t="str">
        <f t="shared" si="1"/>
        <v>9671-Petits pots fruits bébé-Petits pots de fruits 4-6 mois</v>
      </c>
      <c r="F5024" s="4">
        <v>1.0</v>
      </c>
      <c r="G5024" s="4">
        <v>354.0</v>
      </c>
      <c r="H5024" s="4">
        <v>90.0</v>
      </c>
      <c r="I5024" s="21">
        <f t="array" ref="I5024">XLOOKUP($A5024,product!A:A,product!E:E)</f>
        <v>1.62</v>
      </c>
      <c r="J5024" s="4">
        <f t="shared" si="2"/>
        <v>145.8</v>
      </c>
      <c r="K5024" s="22">
        <f t="shared" si="3"/>
        <v>1</v>
      </c>
      <c r="L5024" s="4">
        <f t="shared" si="4"/>
        <v>1</v>
      </c>
    </row>
    <row r="5025">
      <c r="A5025" s="23">
        <v>20247.0</v>
      </c>
      <c r="B5025" s="24" t="str">
        <f t="array" ref="B5025">xlookup($A5025,product!$A:$A,product!B:B)</f>
        <v>Epicerie sucrée</v>
      </c>
      <c r="C5025" s="24" t="str">
        <f t="array" ref="C5025">xlookup($A5025,product!$A:$A,product!C:C)</f>
        <v>Céréales petit déjeuner</v>
      </c>
      <c r="D5025" s="24" t="str">
        <f t="array" ref="D5025">xlookup($A5025,product!$A:$A,product!D:D)</f>
        <v>Porridge</v>
      </c>
      <c r="E5025" s="25" t="str">
        <f t="shared" si="1"/>
        <v>20247-Céréales petit déjeuner-Porridge</v>
      </c>
      <c r="F5025" s="25">
        <v>1.0</v>
      </c>
      <c r="G5025" s="25">
        <v>745.0</v>
      </c>
      <c r="H5025" s="25">
        <v>734.0</v>
      </c>
      <c r="I5025" s="26">
        <f t="array" ref="I5025">XLOOKUP($A5025,product!A:A,product!E:E)</f>
        <v>10.76</v>
      </c>
      <c r="J5025" s="25">
        <f t="shared" si="2"/>
        <v>7897.84</v>
      </c>
      <c r="K5025" s="27">
        <f t="shared" si="3"/>
        <v>1</v>
      </c>
      <c r="L5025" s="25">
        <f t="shared" si="4"/>
        <v>1</v>
      </c>
    </row>
    <row r="5026">
      <c r="A5026" s="19">
        <v>109240.0</v>
      </c>
      <c r="B5026" s="20" t="str">
        <f t="array" ref="B5026">xlookup($A5026,product!$A:$A,product!B:B)</f>
        <v>Epicerie sucrée</v>
      </c>
      <c r="C5026" s="20" t="str">
        <f t="array" ref="C5026">xlookup($A5026,product!$A:$A,product!C:C)</f>
        <v>Céréales petit déjeuner</v>
      </c>
      <c r="D5026" s="20" t="str">
        <f t="array" ref="D5026">xlookup($A5026,product!$A:$A,product!D:D)</f>
        <v>Porridge</v>
      </c>
      <c r="E5026" s="4" t="str">
        <f t="shared" si="1"/>
        <v>109240-Céréales petit déjeuner-Porridge</v>
      </c>
      <c r="F5026" s="4">
        <v>1.0</v>
      </c>
      <c r="G5026" s="4">
        <v>485.0</v>
      </c>
      <c r="H5026" s="4">
        <v>371.0</v>
      </c>
      <c r="I5026" s="21">
        <f t="array" ref="I5026">XLOOKUP($A5026,product!A:A,product!E:E)</f>
        <v>3.03</v>
      </c>
      <c r="J5026" s="4">
        <f t="shared" si="2"/>
        <v>1124.13</v>
      </c>
      <c r="K5026" s="22">
        <f t="shared" si="3"/>
        <v>1</v>
      </c>
      <c r="L5026" s="4">
        <f t="shared" si="4"/>
        <v>1</v>
      </c>
    </row>
    <row r="5027">
      <c r="A5027" s="23">
        <v>104079.0</v>
      </c>
      <c r="B5027" s="24" t="str">
        <f t="array" ref="B5027">xlookup($A5027,product!$A:$A,product!B:B)</f>
        <v>Epicerie sucrée</v>
      </c>
      <c r="C5027" s="24" t="str">
        <f t="array" ref="C5027">xlookup($A5027,product!$A:$A,product!C:C)</f>
        <v>Céréales petit déjeuner</v>
      </c>
      <c r="D5027" s="24" t="str">
        <f t="array" ref="D5027">xlookup($A5027,product!$A:$A,product!D:D)</f>
        <v>Porridge</v>
      </c>
      <c r="E5027" s="25" t="str">
        <f t="shared" si="1"/>
        <v>104079-Céréales petit déjeuner-Porridge</v>
      </c>
      <c r="F5027" s="25">
        <v>0.0</v>
      </c>
      <c r="G5027" s="25">
        <v>74.0</v>
      </c>
      <c r="H5027" s="25">
        <v>63.0</v>
      </c>
      <c r="I5027" s="26">
        <f t="array" ref="I5027">XLOOKUP($A5027,product!A:A,product!E:E)</f>
        <v>1.83</v>
      </c>
      <c r="J5027" s="25">
        <f t="shared" si="2"/>
        <v>115.29</v>
      </c>
      <c r="K5027" s="27">
        <f t="shared" si="3"/>
        <v>1</v>
      </c>
      <c r="L5027" s="25">
        <f t="shared" si="4"/>
        <v>1</v>
      </c>
    </row>
    <row r="5028">
      <c r="A5028" s="19">
        <v>126567.0</v>
      </c>
      <c r="B5028" s="20" t="str">
        <f t="array" ref="B5028">xlookup($A5028,product!$A:$A,product!B:B)</f>
        <v>Epicerie sucrée</v>
      </c>
      <c r="C5028" s="20" t="str">
        <f t="array" ref="C5028">xlookup($A5028,product!$A:$A,product!C:C)</f>
        <v>Céréales petit déjeuner</v>
      </c>
      <c r="D5028" s="20" t="str">
        <f t="array" ref="D5028">xlookup($A5028,product!$A:$A,product!D:D)</f>
        <v>Porridge</v>
      </c>
      <c r="E5028" s="4" t="str">
        <f t="shared" si="1"/>
        <v>126567-Céréales petit déjeuner-Porridge</v>
      </c>
      <c r="F5028" s="4">
        <v>0.0</v>
      </c>
      <c r="G5028" s="4">
        <v>957.0</v>
      </c>
      <c r="H5028" s="4">
        <v>716.0</v>
      </c>
      <c r="I5028" s="21">
        <f t="array" ref="I5028">XLOOKUP($A5028,product!A:A,product!E:E)</f>
        <v>2.23</v>
      </c>
      <c r="J5028" s="4">
        <f t="shared" si="2"/>
        <v>1596.68</v>
      </c>
      <c r="K5028" s="22">
        <f t="shared" si="3"/>
        <v>1</v>
      </c>
      <c r="L5028" s="4">
        <f t="shared" si="4"/>
        <v>1</v>
      </c>
    </row>
    <row r="5029">
      <c r="A5029" s="23">
        <v>45567.0</v>
      </c>
      <c r="B5029" s="24" t="str">
        <f t="array" ref="B5029">xlookup($A5029,product!$A:$A,product!B:B)</f>
        <v>Epicerie sucrée</v>
      </c>
      <c r="C5029" s="24" t="str">
        <f t="array" ref="C5029">xlookup($A5029,product!$A:$A,product!C:C)</f>
        <v>Céréales petit déjeuner</v>
      </c>
      <c r="D5029" s="24" t="str">
        <f t="array" ref="D5029">xlookup($A5029,product!$A:$A,product!D:D)</f>
        <v>Porridge</v>
      </c>
      <c r="E5029" s="25" t="str">
        <f t="shared" si="1"/>
        <v>45567-Céréales petit déjeuner-Porridge</v>
      </c>
      <c r="F5029" s="25">
        <v>1.0</v>
      </c>
      <c r="G5029" s="25">
        <v>804.0</v>
      </c>
      <c r="H5029" s="25">
        <v>459.0</v>
      </c>
      <c r="I5029" s="26">
        <f t="array" ref="I5029">XLOOKUP($A5029,product!A:A,product!E:E)</f>
        <v>18.51</v>
      </c>
      <c r="J5029" s="25">
        <f t="shared" si="2"/>
        <v>8496.09</v>
      </c>
      <c r="K5029" s="27">
        <f t="shared" si="3"/>
        <v>1</v>
      </c>
      <c r="L5029" s="25">
        <f t="shared" si="4"/>
        <v>1</v>
      </c>
    </row>
    <row r="5030">
      <c r="A5030" s="19">
        <v>109241.0</v>
      </c>
      <c r="B5030" s="20" t="str">
        <f t="array" ref="B5030">xlookup($A5030,product!$A:$A,product!B:B)</f>
        <v>Epicerie sucrée</v>
      </c>
      <c r="C5030" s="20" t="str">
        <f t="array" ref="C5030">xlookup($A5030,product!$A:$A,product!C:C)</f>
        <v>Céréales petit déjeuner</v>
      </c>
      <c r="D5030" s="20" t="str">
        <f t="array" ref="D5030">xlookup($A5030,product!$A:$A,product!D:D)</f>
        <v>Porridge</v>
      </c>
      <c r="E5030" s="4" t="str">
        <f t="shared" si="1"/>
        <v>109241-Céréales petit déjeuner-Porridge</v>
      </c>
      <c r="F5030" s="4">
        <v>1.0</v>
      </c>
      <c r="G5030" s="4">
        <v>674.0</v>
      </c>
      <c r="H5030" s="4">
        <v>62.0</v>
      </c>
      <c r="I5030" s="21">
        <f t="array" ref="I5030">XLOOKUP($A5030,product!A:A,product!E:E)</f>
        <v>3.03</v>
      </c>
      <c r="J5030" s="4">
        <f t="shared" si="2"/>
        <v>187.86</v>
      </c>
      <c r="K5030" s="22">
        <f t="shared" si="3"/>
        <v>1</v>
      </c>
      <c r="L5030" s="4">
        <f t="shared" si="4"/>
        <v>1</v>
      </c>
    </row>
    <row r="5031">
      <c r="A5031" s="23">
        <v>126564.0</v>
      </c>
      <c r="B5031" s="24" t="str">
        <f t="array" ref="B5031">xlookup($A5031,product!$A:$A,product!B:B)</f>
        <v>Epicerie sucrée</v>
      </c>
      <c r="C5031" s="24" t="str">
        <f t="array" ref="C5031">xlookup($A5031,product!$A:$A,product!C:C)</f>
        <v>Céréales petit déjeuner</v>
      </c>
      <c r="D5031" s="24" t="str">
        <f t="array" ref="D5031">xlookup($A5031,product!$A:$A,product!D:D)</f>
        <v>Porridge</v>
      </c>
      <c r="E5031" s="25" t="str">
        <f t="shared" si="1"/>
        <v>126564-Céréales petit déjeuner-Porridge</v>
      </c>
      <c r="F5031" s="25">
        <v>1.0</v>
      </c>
      <c r="G5031" s="25">
        <v>509.0</v>
      </c>
      <c r="H5031" s="25">
        <v>160.0</v>
      </c>
      <c r="I5031" s="26">
        <f t="array" ref="I5031">XLOOKUP($A5031,product!A:A,product!E:E)</f>
        <v>2.23</v>
      </c>
      <c r="J5031" s="25">
        <f t="shared" si="2"/>
        <v>356.8</v>
      </c>
      <c r="K5031" s="27">
        <f t="shared" si="3"/>
        <v>1</v>
      </c>
      <c r="L5031" s="25">
        <f t="shared" si="4"/>
        <v>1</v>
      </c>
    </row>
    <row r="5032">
      <c r="A5032" s="19">
        <v>20246.0</v>
      </c>
      <c r="B5032" s="20" t="str">
        <f t="array" ref="B5032">xlookup($A5032,product!$A:$A,product!B:B)</f>
        <v>Epicerie sucrée</v>
      </c>
      <c r="C5032" s="20" t="str">
        <f t="array" ref="C5032">xlookup($A5032,product!$A:$A,product!C:C)</f>
        <v>Céréales petit déjeuner</v>
      </c>
      <c r="D5032" s="20" t="str">
        <f t="array" ref="D5032">xlookup($A5032,product!$A:$A,product!D:D)</f>
        <v>Porridge</v>
      </c>
      <c r="E5032" s="4" t="str">
        <f t="shared" si="1"/>
        <v>20246-Céréales petit déjeuner-Porridge</v>
      </c>
      <c r="F5032" s="4">
        <v>1.0</v>
      </c>
      <c r="G5032" s="4">
        <v>264.0</v>
      </c>
      <c r="H5032" s="4">
        <v>208.0</v>
      </c>
      <c r="I5032" s="21">
        <f t="array" ref="I5032">XLOOKUP($A5032,product!A:A,product!E:E)</f>
        <v>5.92</v>
      </c>
      <c r="J5032" s="4">
        <f t="shared" si="2"/>
        <v>1231.36</v>
      </c>
      <c r="K5032" s="22">
        <f t="shared" si="3"/>
        <v>1</v>
      </c>
      <c r="L5032" s="4">
        <f t="shared" si="4"/>
        <v>1</v>
      </c>
    </row>
    <row r="5033">
      <c r="A5033" s="23">
        <v>99321.0</v>
      </c>
      <c r="B5033" s="24" t="str">
        <f t="array" ref="B5033">xlookup($A5033,product!$A:$A,product!B:B)</f>
        <v>Epicerie sucrée</v>
      </c>
      <c r="C5033" s="24" t="str">
        <f t="array" ref="C5033">xlookup($A5033,product!$A:$A,product!C:C)</f>
        <v>Céréales petit déjeuner</v>
      </c>
      <c r="D5033" s="24" t="str">
        <f t="array" ref="D5033">xlookup($A5033,product!$A:$A,product!D:D)</f>
        <v>Porridge</v>
      </c>
      <c r="E5033" s="25" t="str">
        <f t="shared" si="1"/>
        <v>99321-Céréales petit déjeuner-Porridge</v>
      </c>
      <c r="F5033" s="25">
        <v>0.0</v>
      </c>
      <c r="G5033" s="25">
        <v>106.0</v>
      </c>
      <c r="H5033" s="25">
        <v>89.0</v>
      </c>
      <c r="I5033" s="26">
        <f t="array" ref="I5033">XLOOKUP($A5033,product!A:A,product!E:E)</f>
        <v>1.83</v>
      </c>
      <c r="J5033" s="25">
        <f t="shared" si="2"/>
        <v>162.87</v>
      </c>
      <c r="K5033" s="27">
        <f t="shared" si="3"/>
        <v>1</v>
      </c>
      <c r="L5033" s="25">
        <f t="shared" si="4"/>
        <v>1</v>
      </c>
    </row>
    <row r="5034">
      <c r="A5034" s="19">
        <v>99322.0</v>
      </c>
      <c r="B5034" s="20" t="str">
        <f t="array" ref="B5034">xlookup($A5034,product!$A:$A,product!B:B)</f>
        <v>Epicerie sucrée</v>
      </c>
      <c r="C5034" s="20" t="str">
        <f t="array" ref="C5034">xlookup($A5034,product!$A:$A,product!C:C)</f>
        <v>Céréales petit déjeuner</v>
      </c>
      <c r="D5034" s="20" t="str">
        <f t="array" ref="D5034">xlookup($A5034,product!$A:$A,product!D:D)</f>
        <v>Porridge</v>
      </c>
      <c r="E5034" s="4" t="str">
        <f t="shared" si="1"/>
        <v>99322-Céréales petit déjeuner-Porridge</v>
      </c>
      <c r="F5034" s="4">
        <v>1.0</v>
      </c>
      <c r="G5034" s="4">
        <v>336.0</v>
      </c>
      <c r="H5034" s="4">
        <v>192.0</v>
      </c>
      <c r="I5034" s="21">
        <f t="array" ref="I5034">XLOOKUP($A5034,product!A:A,product!E:E)</f>
        <v>1.83</v>
      </c>
      <c r="J5034" s="4">
        <f t="shared" si="2"/>
        <v>351.36</v>
      </c>
      <c r="K5034" s="22">
        <f t="shared" si="3"/>
        <v>1</v>
      </c>
      <c r="L5034" s="4">
        <f t="shared" si="4"/>
        <v>1</v>
      </c>
    </row>
    <row r="5035">
      <c r="A5035" s="23">
        <v>126561.0</v>
      </c>
      <c r="B5035" s="24" t="str">
        <f t="array" ref="B5035">xlookup($A5035,product!$A:$A,product!B:B)</f>
        <v>Epicerie sucrée</v>
      </c>
      <c r="C5035" s="24" t="str">
        <f t="array" ref="C5035">xlookup($A5035,product!$A:$A,product!C:C)</f>
        <v>Céréales petit déjeuner</v>
      </c>
      <c r="D5035" s="24" t="str">
        <f t="array" ref="D5035">xlookup($A5035,product!$A:$A,product!D:D)</f>
        <v>Porridge</v>
      </c>
      <c r="E5035" s="25" t="str">
        <f t="shared" si="1"/>
        <v>126561-Céréales petit déjeuner-Porridge</v>
      </c>
      <c r="F5035" s="25">
        <v>0.0</v>
      </c>
      <c r="G5035" s="25">
        <v>681.0</v>
      </c>
      <c r="H5035" s="25">
        <v>109.0</v>
      </c>
      <c r="I5035" s="26">
        <f t="array" ref="I5035">XLOOKUP($A5035,product!A:A,product!E:E)</f>
        <v>2.23</v>
      </c>
      <c r="J5035" s="25">
        <f t="shared" si="2"/>
        <v>243.07</v>
      </c>
      <c r="K5035" s="27">
        <f t="shared" si="3"/>
        <v>1</v>
      </c>
      <c r="L5035" s="25">
        <f t="shared" si="4"/>
        <v>1</v>
      </c>
    </row>
    <row r="5036">
      <c r="A5036" s="19">
        <v>113871.0</v>
      </c>
      <c r="B5036" s="20" t="str">
        <f t="array" ref="B5036">xlookup($A5036,product!$A:$A,product!B:B)</f>
        <v>Epicerie sucrée</v>
      </c>
      <c r="C5036" s="20" t="str">
        <f t="array" ref="C5036">xlookup($A5036,product!$A:$A,product!C:C)</f>
        <v>Céréales petit déjeuner</v>
      </c>
      <c r="D5036" s="20" t="str">
        <f t="array" ref="D5036">xlookup($A5036,product!$A:$A,product!D:D)</f>
        <v>Muesli nature</v>
      </c>
      <c r="E5036" s="4" t="str">
        <f t="shared" si="1"/>
        <v>113871-Céréales petit déjeuner-Muesli nature</v>
      </c>
      <c r="F5036" s="4">
        <v>1.0</v>
      </c>
      <c r="G5036" s="4">
        <v>808.0</v>
      </c>
      <c r="H5036" s="4">
        <v>679.0</v>
      </c>
      <c r="I5036" s="21">
        <f t="array" ref="I5036">XLOOKUP($A5036,product!A:A,product!E:E)</f>
        <v>4</v>
      </c>
      <c r="J5036" s="4">
        <f t="shared" si="2"/>
        <v>2716</v>
      </c>
      <c r="K5036" s="22">
        <f t="shared" si="3"/>
        <v>1</v>
      </c>
      <c r="L5036" s="4">
        <f t="shared" si="4"/>
        <v>1</v>
      </c>
    </row>
    <row r="5037">
      <c r="A5037" s="23">
        <v>68332.0</v>
      </c>
      <c r="B5037" s="24" t="str">
        <f t="array" ref="B5037">xlookup($A5037,product!$A:$A,product!B:B)</f>
        <v>Epicerie sucrée</v>
      </c>
      <c r="C5037" s="24" t="str">
        <f t="array" ref="C5037">xlookup($A5037,product!$A:$A,product!C:C)</f>
        <v>Céréales petit déjeuner</v>
      </c>
      <c r="D5037" s="24" t="str">
        <f t="array" ref="D5037">xlookup($A5037,product!$A:$A,product!D:D)</f>
        <v>Muesli nature</v>
      </c>
      <c r="E5037" s="25" t="str">
        <f t="shared" si="1"/>
        <v>68332-Céréales petit déjeuner-Muesli nature</v>
      </c>
      <c r="F5037" s="25">
        <v>1.0</v>
      </c>
      <c r="G5037" s="25">
        <v>381.0</v>
      </c>
      <c r="H5037" s="25">
        <v>111.0</v>
      </c>
      <c r="I5037" s="26">
        <f t="array" ref="I5037">XLOOKUP($A5037,product!A:A,product!E:E)</f>
        <v>1.62</v>
      </c>
      <c r="J5037" s="25">
        <f t="shared" si="2"/>
        <v>179.82</v>
      </c>
      <c r="K5037" s="27">
        <f t="shared" si="3"/>
        <v>1</v>
      </c>
      <c r="L5037" s="25">
        <f t="shared" si="4"/>
        <v>1</v>
      </c>
    </row>
    <row r="5038">
      <c r="A5038" s="19">
        <v>102081.0</v>
      </c>
      <c r="B5038" s="20" t="str">
        <f t="array" ref="B5038">xlookup($A5038,product!$A:$A,product!B:B)</f>
        <v>Epicerie sucrée</v>
      </c>
      <c r="C5038" s="20" t="str">
        <f t="array" ref="C5038">xlookup($A5038,product!$A:$A,product!C:C)</f>
        <v>Céréales petit déjeuner</v>
      </c>
      <c r="D5038" s="20" t="str">
        <f t="array" ref="D5038">xlookup($A5038,product!$A:$A,product!D:D)</f>
        <v>Muesli nature</v>
      </c>
      <c r="E5038" s="4" t="str">
        <f t="shared" si="1"/>
        <v>102081-Céréales petit déjeuner-Muesli nature</v>
      </c>
      <c r="F5038" s="4">
        <v>0.0</v>
      </c>
      <c r="G5038" s="4">
        <v>549.0</v>
      </c>
      <c r="H5038" s="4">
        <v>249.0</v>
      </c>
      <c r="I5038" s="21">
        <f t="array" ref="I5038">XLOOKUP($A5038,product!A:A,product!E:E)</f>
        <v>7.47</v>
      </c>
      <c r="J5038" s="4">
        <f t="shared" si="2"/>
        <v>1860.03</v>
      </c>
      <c r="K5038" s="22">
        <f t="shared" si="3"/>
        <v>1</v>
      </c>
      <c r="L5038" s="4">
        <f t="shared" si="4"/>
        <v>1</v>
      </c>
    </row>
    <row r="5039">
      <c r="A5039" s="23">
        <v>84213.0</v>
      </c>
      <c r="B5039" s="24" t="str">
        <f t="array" ref="B5039">xlookup($A5039,product!$A:$A,product!B:B)</f>
        <v>Epicerie sucrée</v>
      </c>
      <c r="C5039" s="24" t="str">
        <f t="array" ref="C5039">xlookup($A5039,product!$A:$A,product!C:C)</f>
        <v>Céréales petit déjeuner</v>
      </c>
      <c r="D5039" s="24" t="str">
        <f t="array" ref="D5039">xlookup($A5039,product!$A:$A,product!D:D)</f>
        <v>Muesli nature</v>
      </c>
      <c r="E5039" s="25" t="str">
        <f t="shared" si="1"/>
        <v>84213-Céréales petit déjeuner-Muesli nature</v>
      </c>
      <c r="F5039" s="25">
        <v>1.0</v>
      </c>
      <c r="G5039" s="25">
        <v>929.0</v>
      </c>
      <c r="H5039" s="25">
        <v>179.0</v>
      </c>
      <c r="I5039" s="26">
        <f t="array" ref="I5039">XLOOKUP($A5039,product!A:A,product!E:E)</f>
        <v>3.76</v>
      </c>
      <c r="J5039" s="25">
        <f t="shared" si="2"/>
        <v>673.04</v>
      </c>
      <c r="K5039" s="27">
        <f t="shared" si="3"/>
        <v>1</v>
      </c>
      <c r="L5039" s="25">
        <f t="shared" si="4"/>
        <v>1</v>
      </c>
    </row>
    <row r="5040">
      <c r="A5040" s="19">
        <v>68302.0</v>
      </c>
      <c r="B5040" s="20" t="str">
        <f t="array" ref="B5040">xlookup($A5040,product!$A:$A,product!B:B)</f>
        <v>Epicerie sucrée</v>
      </c>
      <c r="C5040" s="20" t="str">
        <f t="array" ref="C5040">xlookup($A5040,product!$A:$A,product!C:C)</f>
        <v>Céréales petit déjeuner</v>
      </c>
      <c r="D5040" s="20" t="str">
        <f t="array" ref="D5040">xlookup($A5040,product!$A:$A,product!D:D)</f>
        <v>Muesli nature</v>
      </c>
      <c r="E5040" s="4" t="str">
        <f t="shared" si="1"/>
        <v>68302-Céréales petit déjeuner-Muesli nature</v>
      </c>
      <c r="F5040" s="4">
        <v>0.0</v>
      </c>
      <c r="G5040" s="4">
        <v>749.0</v>
      </c>
      <c r="H5040" s="4">
        <v>475.0</v>
      </c>
      <c r="I5040" s="21">
        <f t="array" ref="I5040">XLOOKUP($A5040,product!A:A,product!E:E)</f>
        <v>2.2</v>
      </c>
      <c r="J5040" s="4">
        <f t="shared" si="2"/>
        <v>1045</v>
      </c>
      <c r="K5040" s="22">
        <f t="shared" si="3"/>
        <v>1</v>
      </c>
      <c r="L5040" s="4">
        <f t="shared" si="4"/>
        <v>1</v>
      </c>
    </row>
    <row r="5041">
      <c r="A5041" s="23">
        <v>88238.0</v>
      </c>
      <c r="B5041" s="24" t="str">
        <f t="array" ref="B5041">xlookup($A5041,product!$A:$A,product!B:B)</f>
        <v>Epicerie sucrée</v>
      </c>
      <c r="C5041" s="24" t="str">
        <f t="array" ref="C5041">xlookup($A5041,product!$A:$A,product!C:C)</f>
        <v>Céréales petit déjeuner</v>
      </c>
      <c r="D5041" s="24" t="str">
        <f t="array" ref="D5041">xlookup($A5041,product!$A:$A,product!D:D)</f>
        <v>Muesli nature</v>
      </c>
      <c r="E5041" s="25" t="str">
        <f t="shared" si="1"/>
        <v>88238-Céréales petit déjeuner-Muesli nature</v>
      </c>
      <c r="F5041" s="25">
        <v>0.0</v>
      </c>
      <c r="G5041" s="25">
        <v>846.0</v>
      </c>
      <c r="H5041" s="25">
        <v>484.0</v>
      </c>
      <c r="I5041" s="26">
        <f t="array" ref="I5041">XLOOKUP($A5041,product!A:A,product!E:E)</f>
        <v>1.95</v>
      </c>
      <c r="J5041" s="25">
        <f t="shared" si="2"/>
        <v>943.8</v>
      </c>
      <c r="K5041" s="27">
        <f t="shared" si="3"/>
        <v>1</v>
      </c>
      <c r="L5041" s="25">
        <f t="shared" si="4"/>
        <v>1</v>
      </c>
    </row>
    <row r="5042">
      <c r="A5042" s="19">
        <v>84202.0</v>
      </c>
      <c r="B5042" s="20" t="str">
        <f t="array" ref="B5042">xlookup($A5042,product!$A:$A,product!B:B)</f>
        <v>Epicerie sucrée</v>
      </c>
      <c r="C5042" s="20" t="str">
        <f t="array" ref="C5042">xlookup($A5042,product!$A:$A,product!C:C)</f>
        <v>Céréales petit déjeuner</v>
      </c>
      <c r="D5042" s="20" t="str">
        <f t="array" ref="D5042">xlookup($A5042,product!$A:$A,product!D:D)</f>
        <v>Muesli nature</v>
      </c>
      <c r="E5042" s="4" t="str">
        <f t="shared" si="1"/>
        <v>84202-Céréales petit déjeuner-Muesli nature</v>
      </c>
      <c r="F5042" s="4">
        <v>1.0</v>
      </c>
      <c r="G5042" s="4">
        <v>499.0</v>
      </c>
      <c r="H5042" s="4">
        <v>408.0</v>
      </c>
      <c r="I5042" s="21">
        <f t="array" ref="I5042">XLOOKUP($A5042,product!A:A,product!E:E)</f>
        <v>2.15</v>
      </c>
      <c r="J5042" s="4">
        <f t="shared" si="2"/>
        <v>877.2</v>
      </c>
      <c r="K5042" s="22">
        <f t="shared" si="3"/>
        <v>1</v>
      </c>
      <c r="L5042" s="4">
        <f t="shared" si="4"/>
        <v>1</v>
      </c>
    </row>
    <row r="5043">
      <c r="A5043" s="23">
        <v>84226.0</v>
      </c>
      <c r="B5043" s="24" t="str">
        <f t="array" ref="B5043">xlookup($A5043,product!$A:$A,product!B:B)</f>
        <v>Epicerie sucrée</v>
      </c>
      <c r="C5043" s="24" t="str">
        <f t="array" ref="C5043">xlookup($A5043,product!$A:$A,product!C:C)</f>
        <v>Céréales petit déjeuner</v>
      </c>
      <c r="D5043" s="24" t="str">
        <f t="array" ref="D5043">xlookup($A5043,product!$A:$A,product!D:D)</f>
        <v>Muesli aux fruits</v>
      </c>
      <c r="E5043" s="25" t="str">
        <f t="shared" si="1"/>
        <v>84226-Céréales petit déjeuner-Muesli aux fruits</v>
      </c>
      <c r="F5043" s="25">
        <v>1.0</v>
      </c>
      <c r="G5043" s="25">
        <v>385.0</v>
      </c>
      <c r="H5043" s="25">
        <v>207.0</v>
      </c>
      <c r="I5043" s="26">
        <f t="array" ref="I5043">XLOOKUP($A5043,product!A:A,product!E:E)</f>
        <v>3.21</v>
      </c>
      <c r="J5043" s="25">
        <f t="shared" si="2"/>
        <v>664.47</v>
      </c>
      <c r="K5043" s="27">
        <f t="shared" si="3"/>
        <v>1</v>
      </c>
      <c r="L5043" s="25">
        <f t="shared" si="4"/>
        <v>1</v>
      </c>
    </row>
    <row r="5044">
      <c r="A5044" s="19">
        <v>104071.0</v>
      </c>
      <c r="B5044" s="20" t="str">
        <f t="array" ref="B5044">xlookup($A5044,product!$A:$A,product!B:B)</f>
        <v>Epicerie sucrée</v>
      </c>
      <c r="C5044" s="20" t="str">
        <f t="array" ref="C5044">xlookup($A5044,product!$A:$A,product!C:C)</f>
        <v>Céréales petit déjeuner</v>
      </c>
      <c r="D5044" s="20" t="str">
        <f t="array" ref="D5044">xlookup($A5044,product!$A:$A,product!D:D)</f>
        <v>Muesli aux fruits</v>
      </c>
      <c r="E5044" s="4" t="str">
        <f t="shared" si="1"/>
        <v>104071-Céréales petit déjeuner-Muesli aux fruits</v>
      </c>
      <c r="F5044" s="4">
        <v>0.0</v>
      </c>
      <c r="G5044" s="4">
        <v>510.0</v>
      </c>
      <c r="H5044" s="4">
        <v>120.0</v>
      </c>
      <c r="I5044" s="21">
        <f t="array" ref="I5044">XLOOKUP($A5044,product!A:A,product!E:E)</f>
        <v>1.87</v>
      </c>
      <c r="J5044" s="4">
        <f t="shared" si="2"/>
        <v>224.4</v>
      </c>
      <c r="K5044" s="22">
        <f t="shared" si="3"/>
        <v>1</v>
      </c>
      <c r="L5044" s="4">
        <f t="shared" si="4"/>
        <v>1</v>
      </c>
    </row>
    <row r="5045">
      <c r="A5045" s="23">
        <v>104075.0</v>
      </c>
      <c r="B5045" s="24" t="str">
        <f t="array" ref="B5045">xlookup($A5045,product!$A:$A,product!B:B)</f>
        <v>Epicerie sucrée</v>
      </c>
      <c r="C5045" s="24" t="str">
        <f t="array" ref="C5045">xlookup($A5045,product!$A:$A,product!C:C)</f>
        <v>Céréales petit déjeuner</v>
      </c>
      <c r="D5045" s="24" t="str">
        <f t="array" ref="D5045">xlookup($A5045,product!$A:$A,product!D:D)</f>
        <v>Muesli aux fruits</v>
      </c>
      <c r="E5045" s="25" t="str">
        <f t="shared" si="1"/>
        <v>104075-Céréales petit déjeuner-Muesli aux fruits</v>
      </c>
      <c r="F5045" s="25">
        <v>0.0</v>
      </c>
      <c r="G5045" s="25">
        <v>214.0</v>
      </c>
      <c r="H5045" s="25">
        <v>49.0</v>
      </c>
      <c r="I5045" s="26">
        <f t="array" ref="I5045">XLOOKUP($A5045,product!A:A,product!E:E)</f>
        <v>3.22</v>
      </c>
      <c r="J5045" s="25">
        <f t="shared" si="2"/>
        <v>157.78</v>
      </c>
      <c r="K5045" s="27">
        <f t="shared" si="3"/>
        <v>1</v>
      </c>
      <c r="L5045" s="25">
        <f t="shared" si="4"/>
        <v>1</v>
      </c>
    </row>
    <row r="5046">
      <c r="A5046" s="19">
        <v>91042.0</v>
      </c>
      <c r="B5046" s="20" t="str">
        <f t="array" ref="B5046">xlookup($A5046,product!$A:$A,product!B:B)</f>
        <v>Epicerie sucrée</v>
      </c>
      <c r="C5046" s="20" t="str">
        <f t="array" ref="C5046">xlookup($A5046,product!$A:$A,product!C:C)</f>
        <v>Céréales petit déjeuner</v>
      </c>
      <c r="D5046" s="20" t="str">
        <f t="array" ref="D5046">xlookup($A5046,product!$A:$A,product!D:D)</f>
        <v>Muesli aux fruits</v>
      </c>
      <c r="E5046" s="4" t="str">
        <f t="shared" si="1"/>
        <v>91042-Céréales petit déjeuner-Muesli aux fruits</v>
      </c>
      <c r="F5046" s="4">
        <v>0.0</v>
      </c>
      <c r="G5046" s="4">
        <v>234.0</v>
      </c>
      <c r="H5046" s="4">
        <v>29.0</v>
      </c>
      <c r="I5046" s="21">
        <f t="array" ref="I5046">XLOOKUP($A5046,product!A:A,product!E:E)</f>
        <v>2.31</v>
      </c>
      <c r="J5046" s="4">
        <f t="shared" si="2"/>
        <v>66.99</v>
      </c>
      <c r="K5046" s="22">
        <f t="shared" si="3"/>
        <v>1</v>
      </c>
      <c r="L5046" s="4">
        <f t="shared" si="4"/>
        <v>1</v>
      </c>
    </row>
    <row r="5047">
      <c r="A5047" s="23">
        <v>108047.0</v>
      </c>
      <c r="B5047" s="24" t="str">
        <f t="array" ref="B5047">xlookup($A5047,product!$A:$A,product!B:B)</f>
        <v>Epicerie sucrée</v>
      </c>
      <c r="C5047" s="24" t="str">
        <f t="array" ref="C5047">xlookup($A5047,product!$A:$A,product!C:C)</f>
        <v>Céréales petit déjeuner</v>
      </c>
      <c r="D5047" s="24" t="str">
        <f t="array" ref="D5047">xlookup($A5047,product!$A:$A,product!D:D)</f>
        <v>Muesli aux fruits</v>
      </c>
      <c r="E5047" s="25" t="str">
        <f t="shared" si="1"/>
        <v>108047-Céréales petit déjeuner-Muesli aux fruits</v>
      </c>
      <c r="F5047" s="25">
        <v>1.0</v>
      </c>
      <c r="G5047" s="25">
        <v>489.0</v>
      </c>
      <c r="H5047" s="25">
        <v>109.0</v>
      </c>
      <c r="I5047" s="26">
        <f t="array" ref="I5047">XLOOKUP($A5047,product!A:A,product!E:E)</f>
        <v>31.83</v>
      </c>
      <c r="J5047" s="25">
        <f t="shared" si="2"/>
        <v>3469.47</v>
      </c>
      <c r="K5047" s="27">
        <f t="shared" si="3"/>
        <v>1</v>
      </c>
      <c r="L5047" s="25">
        <f t="shared" si="4"/>
        <v>1</v>
      </c>
    </row>
    <row r="5048">
      <c r="A5048" s="19">
        <v>90993.0</v>
      </c>
      <c r="B5048" s="20" t="str">
        <f t="array" ref="B5048">xlookup($A5048,product!$A:$A,product!B:B)</f>
        <v>Epicerie sucrée</v>
      </c>
      <c r="C5048" s="20" t="str">
        <f t="array" ref="C5048">xlookup($A5048,product!$A:$A,product!C:C)</f>
        <v>Céréales petit déjeuner</v>
      </c>
      <c r="D5048" s="20" t="str">
        <f t="array" ref="D5048">xlookup($A5048,product!$A:$A,product!D:D)</f>
        <v>Muesli aux fruits</v>
      </c>
      <c r="E5048" s="4" t="str">
        <f t="shared" si="1"/>
        <v>90993-Céréales petit déjeuner-Muesli aux fruits</v>
      </c>
      <c r="F5048" s="4">
        <v>0.0</v>
      </c>
      <c r="G5048" s="4">
        <v>412.0</v>
      </c>
      <c r="H5048" s="4">
        <v>371.0</v>
      </c>
      <c r="I5048" s="21">
        <f t="array" ref="I5048">XLOOKUP($A5048,product!A:A,product!E:E)</f>
        <v>9.61</v>
      </c>
      <c r="J5048" s="4">
        <f t="shared" si="2"/>
        <v>3565.31</v>
      </c>
      <c r="K5048" s="22">
        <f t="shared" si="3"/>
        <v>1</v>
      </c>
      <c r="L5048" s="4">
        <f t="shared" si="4"/>
        <v>1</v>
      </c>
    </row>
    <row r="5049">
      <c r="A5049" s="23">
        <v>19277.0</v>
      </c>
      <c r="B5049" s="24" t="str">
        <f t="array" ref="B5049">xlookup($A5049,product!$A:$A,product!B:B)</f>
        <v>Epicerie sucrée</v>
      </c>
      <c r="C5049" s="24" t="str">
        <f t="array" ref="C5049">xlookup($A5049,product!$A:$A,product!C:C)</f>
        <v>Céréales petit déjeuner</v>
      </c>
      <c r="D5049" s="24" t="str">
        <f t="array" ref="D5049">xlookup($A5049,product!$A:$A,product!D:D)</f>
        <v>Muesli aux fruits</v>
      </c>
      <c r="E5049" s="25" t="str">
        <f t="shared" si="1"/>
        <v>19277-Céréales petit déjeuner-Muesli aux fruits</v>
      </c>
      <c r="F5049" s="25">
        <v>0.0</v>
      </c>
      <c r="G5049" s="25">
        <v>11.0</v>
      </c>
      <c r="H5049" s="25">
        <v>4.0</v>
      </c>
      <c r="I5049" s="26">
        <f t="array" ref="I5049">XLOOKUP($A5049,product!A:A,product!E:E)</f>
        <v>3.25</v>
      </c>
      <c r="J5049" s="25">
        <f t="shared" si="2"/>
        <v>13</v>
      </c>
      <c r="K5049" s="27">
        <f t="shared" si="3"/>
        <v>1</v>
      </c>
      <c r="L5049" s="25">
        <f t="shared" si="4"/>
        <v>1</v>
      </c>
    </row>
    <row r="5050">
      <c r="A5050" s="19">
        <v>84223.0</v>
      </c>
      <c r="B5050" s="20" t="str">
        <f t="array" ref="B5050">xlookup($A5050,product!$A:$A,product!B:B)</f>
        <v>Epicerie sucrée</v>
      </c>
      <c r="C5050" s="20" t="str">
        <f t="array" ref="C5050">xlookup($A5050,product!$A:$A,product!C:C)</f>
        <v>Céréales petit déjeuner</v>
      </c>
      <c r="D5050" s="20" t="str">
        <f t="array" ref="D5050">xlookup($A5050,product!$A:$A,product!D:D)</f>
        <v>Muesli aux fruits</v>
      </c>
      <c r="E5050" s="4" t="str">
        <f t="shared" si="1"/>
        <v>84223-Céréales petit déjeuner-Muesli aux fruits</v>
      </c>
      <c r="F5050" s="4">
        <v>1.0</v>
      </c>
      <c r="G5050" s="4">
        <v>618.0</v>
      </c>
      <c r="H5050" s="4">
        <v>319.0</v>
      </c>
      <c r="I5050" s="21">
        <f t="array" ref="I5050">XLOOKUP($A5050,product!A:A,product!E:E)</f>
        <v>3.47</v>
      </c>
      <c r="J5050" s="4">
        <f t="shared" si="2"/>
        <v>1106.93</v>
      </c>
      <c r="K5050" s="22">
        <f t="shared" si="3"/>
        <v>1</v>
      </c>
      <c r="L5050" s="4">
        <f t="shared" si="4"/>
        <v>1</v>
      </c>
    </row>
    <row r="5051">
      <c r="A5051" s="23">
        <v>84225.0</v>
      </c>
      <c r="B5051" s="24" t="str">
        <f t="array" ref="B5051">xlookup($A5051,product!$A:$A,product!B:B)</f>
        <v>Epicerie sucrée</v>
      </c>
      <c r="C5051" s="24" t="str">
        <f t="array" ref="C5051">xlookup($A5051,product!$A:$A,product!C:C)</f>
        <v>Céréales petit déjeuner</v>
      </c>
      <c r="D5051" s="24" t="str">
        <f t="array" ref="D5051">xlookup($A5051,product!$A:$A,product!D:D)</f>
        <v>Muesli aux fruits</v>
      </c>
      <c r="E5051" s="25" t="str">
        <f t="shared" si="1"/>
        <v>84225-Céréales petit déjeuner-Muesli aux fruits</v>
      </c>
      <c r="F5051" s="25">
        <v>1.0</v>
      </c>
      <c r="G5051" s="25">
        <v>86.0</v>
      </c>
      <c r="H5051" s="25">
        <v>83.0</v>
      </c>
      <c r="I5051" s="26">
        <f t="array" ref="I5051">XLOOKUP($A5051,product!A:A,product!E:E)</f>
        <v>2.95</v>
      </c>
      <c r="J5051" s="25">
        <f t="shared" si="2"/>
        <v>244.85</v>
      </c>
      <c r="K5051" s="27">
        <f t="shared" si="3"/>
        <v>1</v>
      </c>
      <c r="L5051" s="25">
        <f t="shared" si="4"/>
        <v>1</v>
      </c>
    </row>
    <row r="5052">
      <c r="A5052" s="19">
        <v>113865.0</v>
      </c>
      <c r="B5052" s="20" t="str">
        <f t="array" ref="B5052">xlookup($A5052,product!$A:$A,product!B:B)</f>
        <v>Epicerie sucrée</v>
      </c>
      <c r="C5052" s="20" t="str">
        <f t="array" ref="C5052">xlookup($A5052,product!$A:$A,product!C:C)</f>
        <v>Céréales petit déjeuner</v>
      </c>
      <c r="D5052" s="20" t="str">
        <f t="array" ref="D5052">xlookup($A5052,product!$A:$A,product!D:D)</f>
        <v>Muesli aux fruits</v>
      </c>
      <c r="E5052" s="4" t="str">
        <f t="shared" si="1"/>
        <v>113865-Céréales petit déjeuner-Muesli aux fruits</v>
      </c>
      <c r="F5052" s="4">
        <v>0.0</v>
      </c>
      <c r="G5052" s="4">
        <v>843.0</v>
      </c>
      <c r="H5052" s="4">
        <v>133.0</v>
      </c>
      <c r="I5052" s="21">
        <f t="array" ref="I5052">XLOOKUP($A5052,product!A:A,product!E:E)</f>
        <v>2.88</v>
      </c>
      <c r="J5052" s="4">
        <f t="shared" si="2"/>
        <v>383.04</v>
      </c>
      <c r="K5052" s="22">
        <f t="shared" si="3"/>
        <v>1</v>
      </c>
      <c r="L5052" s="4">
        <f t="shared" si="4"/>
        <v>1</v>
      </c>
    </row>
    <row r="5053">
      <c r="A5053" s="23">
        <v>94645.0</v>
      </c>
      <c r="B5053" s="24" t="str">
        <f t="array" ref="B5053">xlookup($A5053,product!$A:$A,product!B:B)</f>
        <v>Epicerie sucrée</v>
      </c>
      <c r="C5053" s="24" t="str">
        <f t="array" ref="C5053">xlookup($A5053,product!$A:$A,product!C:C)</f>
        <v>Céréales petit déjeuner</v>
      </c>
      <c r="D5053" s="24" t="str">
        <f t="array" ref="D5053">xlookup($A5053,product!$A:$A,product!D:D)</f>
        <v>Muesli aux fruits</v>
      </c>
      <c r="E5053" s="25" t="str">
        <f t="shared" si="1"/>
        <v>94645-Céréales petit déjeuner-Muesli aux fruits</v>
      </c>
      <c r="F5053" s="25">
        <v>0.0</v>
      </c>
      <c r="G5053" s="25">
        <v>638.0</v>
      </c>
      <c r="H5053" s="25">
        <v>315.0</v>
      </c>
      <c r="I5053" s="26">
        <f t="array" ref="I5053">XLOOKUP($A5053,product!A:A,product!E:E)</f>
        <v>3.66</v>
      </c>
      <c r="J5053" s="25">
        <f t="shared" si="2"/>
        <v>1152.9</v>
      </c>
      <c r="K5053" s="27">
        <f t="shared" si="3"/>
        <v>1</v>
      </c>
      <c r="L5053" s="25">
        <f t="shared" si="4"/>
        <v>1</v>
      </c>
    </row>
    <row r="5054">
      <c r="A5054" s="19">
        <v>104073.0</v>
      </c>
      <c r="B5054" s="20" t="str">
        <f t="array" ref="B5054">xlookup($A5054,product!$A:$A,product!B:B)</f>
        <v>Epicerie sucrée</v>
      </c>
      <c r="C5054" s="20" t="str">
        <f t="array" ref="C5054">xlookup($A5054,product!$A:$A,product!C:C)</f>
        <v>Céréales petit déjeuner</v>
      </c>
      <c r="D5054" s="20" t="str">
        <f t="array" ref="D5054">xlookup($A5054,product!$A:$A,product!D:D)</f>
        <v>Muesli aux fruits</v>
      </c>
      <c r="E5054" s="4" t="str">
        <f t="shared" si="1"/>
        <v>104073-Céréales petit déjeuner-Muesli aux fruits</v>
      </c>
      <c r="F5054" s="4">
        <v>0.0</v>
      </c>
      <c r="G5054" s="4">
        <v>977.0</v>
      </c>
      <c r="H5054" s="4">
        <v>17.0</v>
      </c>
      <c r="I5054" s="21">
        <f t="array" ref="I5054">XLOOKUP($A5054,product!A:A,product!E:E)</f>
        <v>2.99</v>
      </c>
      <c r="J5054" s="4">
        <f t="shared" si="2"/>
        <v>50.83</v>
      </c>
      <c r="K5054" s="22">
        <f t="shared" si="3"/>
        <v>1</v>
      </c>
      <c r="L5054" s="4">
        <f t="shared" si="4"/>
        <v>1</v>
      </c>
    </row>
    <row r="5055">
      <c r="A5055" s="23">
        <v>113880.0</v>
      </c>
      <c r="B5055" s="24" t="str">
        <f t="array" ref="B5055">xlookup($A5055,product!$A:$A,product!B:B)</f>
        <v>Epicerie sucrée</v>
      </c>
      <c r="C5055" s="24" t="str">
        <f t="array" ref="C5055">xlookup($A5055,product!$A:$A,product!C:C)</f>
        <v>Céréales petit déjeuner</v>
      </c>
      <c r="D5055" s="24" t="str">
        <f t="array" ref="D5055">xlookup($A5055,product!$A:$A,product!D:D)</f>
        <v>Muesli aux fruits</v>
      </c>
      <c r="E5055" s="25" t="str">
        <f t="shared" si="1"/>
        <v>113880-Céréales petit déjeuner-Muesli aux fruits</v>
      </c>
      <c r="F5055" s="25">
        <v>0.0</v>
      </c>
      <c r="G5055" s="25">
        <v>39.0</v>
      </c>
      <c r="H5055" s="25">
        <v>12.0</v>
      </c>
      <c r="I5055" s="26">
        <f t="array" ref="I5055">XLOOKUP($A5055,product!A:A,product!E:E)</f>
        <v>4.55</v>
      </c>
      <c r="J5055" s="25">
        <f t="shared" si="2"/>
        <v>54.6</v>
      </c>
      <c r="K5055" s="27">
        <f t="shared" si="3"/>
        <v>1</v>
      </c>
      <c r="L5055" s="25">
        <f t="shared" si="4"/>
        <v>1</v>
      </c>
    </row>
    <row r="5056">
      <c r="A5056" s="19">
        <v>91045.0</v>
      </c>
      <c r="B5056" s="20" t="str">
        <f t="array" ref="B5056">xlookup($A5056,product!$A:$A,product!B:B)</f>
        <v>Epicerie sucrée</v>
      </c>
      <c r="C5056" s="20" t="str">
        <f t="array" ref="C5056">xlookup($A5056,product!$A:$A,product!C:C)</f>
        <v>Céréales petit déjeuner</v>
      </c>
      <c r="D5056" s="20" t="str">
        <f t="array" ref="D5056">xlookup($A5056,product!$A:$A,product!D:D)</f>
        <v>Muesli aux fruits</v>
      </c>
      <c r="E5056" s="4" t="str">
        <f t="shared" si="1"/>
        <v>91045-Céréales petit déjeuner-Muesli aux fruits</v>
      </c>
      <c r="F5056" s="4">
        <v>0.0</v>
      </c>
      <c r="G5056" s="4">
        <v>164.0</v>
      </c>
      <c r="H5056" s="4">
        <v>101.0</v>
      </c>
      <c r="I5056" s="21">
        <f t="array" ref="I5056">XLOOKUP($A5056,product!A:A,product!E:E)</f>
        <v>2.63</v>
      </c>
      <c r="J5056" s="4">
        <f t="shared" si="2"/>
        <v>265.63</v>
      </c>
      <c r="K5056" s="22">
        <f t="shared" si="3"/>
        <v>1</v>
      </c>
      <c r="L5056" s="4">
        <f t="shared" si="4"/>
        <v>1</v>
      </c>
    </row>
    <row r="5057">
      <c r="A5057" s="23">
        <v>84231.0</v>
      </c>
      <c r="B5057" s="24" t="str">
        <f t="array" ref="B5057">xlookup($A5057,product!$A:$A,product!B:B)</f>
        <v>Epicerie sucrée</v>
      </c>
      <c r="C5057" s="24" t="str">
        <f t="array" ref="C5057">xlookup($A5057,product!$A:$A,product!C:C)</f>
        <v>Céréales petit déjeuner</v>
      </c>
      <c r="D5057" s="24" t="str">
        <f t="array" ref="D5057">xlookup($A5057,product!$A:$A,product!D:D)</f>
        <v>Muesli aux fruits</v>
      </c>
      <c r="E5057" s="25" t="str">
        <f t="shared" si="1"/>
        <v>84231-Céréales petit déjeuner-Muesli aux fruits</v>
      </c>
      <c r="F5057" s="25">
        <v>0.0</v>
      </c>
      <c r="G5057" s="25">
        <v>192.0</v>
      </c>
      <c r="H5057" s="25">
        <v>27.0</v>
      </c>
      <c r="I5057" s="26">
        <f t="array" ref="I5057">XLOOKUP($A5057,product!A:A,product!E:E)</f>
        <v>3.17</v>
      </c>
      <c r="J5057" s="25">
        <f t="shared" si="2"/>
        <v>85.59</v>
      </c>
      <c r="K5057" s="27">
        <f t="shared" si="3"/>
        <v>1</v>
      </c>
      <c r="L5057" s="25">
        <f t="shared" si="4"/>
        <v>1</v>
      </c>
    </row>
    <row r="5058">
      <c r="A5058" s="19">
        <v>68321.0</v>
      </c>
      <c r="B5058" s="20" t="str">
        <f t="array" ref="B5058">xlookup($A5058,product!$A:$A,product!B:B)</f>
        <v>Epicerie sucrée</v>
      </c>
      <c r="C5058" s="20" t="str">
        <f t="array" ref="C5058">xlookup($A5058,product!$A:$A,product!C:C)</f>
        <v>Céréales petit déjeuner</v>
      </c>
      <c r="D5058" s="20" t="str">
        <f t="array" ref="D5058">xlookup($A5058,product!$A:$A,product!D:D)</f>
        <v>Muesli aux fruits</v>
      </c>
      <c r="E5058" s="4" t="str">
        <f t="shared" si="1"/>
        <v>68321-Céréales petit déjeuner-Muesli aux fruits</v>
      </c>
      <c r="F5058" s="4">
        <v>1.0</v>
      </c>
      <c r="G5058" s="4">
        <v>588.0</v>
      </c>
      <c r="H5058" s="4">
        <v>262.0</v>
      </c>
      <c r="I5058" s="21">
        <f t="array" ref="I5058">XLOOKUP($A5058,product!A:A,product!E:E)</f>
        <v>1.8</v>
      </c>
      <c r="J5058" s="4">
        <f t="shared" si="2"/>
        <v>471.6</v>
      </c>
      <c r="K5058" s="22">
        <f t="shared" si="3"/>
        <v>1</v>
      </c>
      <c r="L5058" s="4">
        <f t="shared" si="4"/>
        <v>1</v>
      </c>
    </row>
    <row r="5059">
      <c r="A5059" s="23">
        <v>84211.0</v>
      </c>
      <c r="B5059" s="24" t="str">
        <f t="array" ref="B5059">xlookup($A5059,product!$A:$A,product!B:B)</f>
        <v>Epicerie sucrée</v>
      </c>
      <c r="C5059" s="24" t="str">
        <f t="array" ref="C5059">xlookup($A5059,product!$A:$A,product!C:C)</f>
        <v>Céréales petit déjeuner</v>
      </c>
      <c r="D5059" s="24" t="str">
        <f t="array" ref="D5059">xlookup($A5059,product!$A:$A,product!D:D)</f>
        <v>Muesli au chocolat</v>
      </c>
      <c r="E5059" s="25" t="str">
        <f t="shared" si="1"/>
        <v>84211-Céréales petit déjeuner-Muesli au chocolat</v>
      </c>
      <c r="F5059" s="25">
        <v>1.0</v>
      </c>
      <c r="G5059" s="25">
        <v>423.0</v>
      </c>
      <c r="H5059" s="25">
        <v>238.0</v>
      </c>
      <c r="I5059" s="26">
        <f t="array" ref="I5059">XLOOKUP($A5059,product!A:A,product!E:E)</f>
        <v>3.25</v>
      </c>
      <c r="J5059" s="25">
        <f t="shared" si="2"/>
        <v>773.5</v>
      </c>
      <c r="K5059" s="27">
        <f t="shared" si="3"/>
        <v>1</v>
      </c>
      <c r="L5059" s="25">
        <f t="shared" si="4"/>
        <v>1</v>
      </c>
    </row>
    <row r="5060">
      <c r="A5060" s="19">
        <v>158663.0</v>
      </c>
      <c r="B5060" s="20" t="str">
        <f t="array" ref="B5060">xlookup($A5060,product!$A:$A,product!B:B)</f>
        <v>Epicerie sucrée</v>
      </c>
      <c r="C5060" s="20" t="str">
        <f t="array" ref="C5060">xlookup($A5060,product!$A:$A,product!C:C)</f>
        <v>Céréales petit déjeuner</v>
      </c>
      <c r="D5060" s="20" t="str">
        <f t="array" ref="D5060">xlookup($A5060,product!$A:$A,product!D:D)</f>
        <v>Muesli au chocolat</v>
      </c>
      <c r="E5060" s="4" t="str">
        <f t="shared" si="1"/>
        <v>158663-Céréales petit déjeuner-Muesli au chocolat</v>
      </c>
      <c r="F5060" s="4">
        <v>0.0</v>
      </c>
      <c r="G5060" s="4">
        <v>778.0</v>
      </c>
      <c r="H5060" s="4">
        <v>44.0</v>
      </c>
      <c r="I5060" s="21">
        <f t="array" ref="I5060">XLOOKUP($A5060,product!A:A,product!E:E)</f>
        <v>1.09</v>
      </c>
      <c r="J5060" s="4">
        <f t="shared" si="2"/>
        <v>47.96</v>
      </c>
      <c r="K5060" s="22">
        <f t="shared" si="3"/>
        <v>1</v>
      </c>
      <c r="L5060" s="4">
        <f t="shared" si="4"/>
        <v>1</v>
      </c>
    </row>
    <row r="5061">
      <c r="A5061" s="23">
        <v>113874.0</v>
      </c>
      <c r="B5061" s="24" t="str">
        <f t="array" ref="B5061">xlookup($A5061,product!$A:$A,product!B:B)</f>
        <v>Epicerie sucrée</v>
      </c>
      <c r="C5061" s="24" t="str">
        <f t="array" ref="C5061">xlookup($A5061,product!$A:$A,product!C:C)</f>
        <v>Céréales petit déjeuner</v>
      </c>
      <c r="D5061" s="24" t="str">
        <f t="array" ref="D5061">xlookup($A5061,product!$A:$A,product!D:D)</f>
        <v>Muesli au chocolat</v>
      </c>
      <c r="E5061" s="25" t="str">
        <f t="shared" si="1"/>
        <v>113874-Céréales petit déjeuner-Muesli au chocolat</v>
      </c>
      <c r="F5061" s="25">
        <v>1.0</v>
      </c>
      <c r="G5061" s="25">
        <v>505.0</v>
      </c>
      <c r="H5061" s="25">
        <v>56.0</v>
      </c>
      <c r="I5061" s="26">
        <f t="array" ref="I5061">XLOOKUP($A5061,product!A:A,product!E:E)</f>
        <v>5.28</v>
      </c>
      <c r="J5061" s="25">
        <f t="shared" si="2"/>
        <v>295.68</v>
      </c>
      <c r="K5061" s="27">
        <f t="shared" si="3"/>
        <v>1</v>
      </c>
      <c r="L5061" s="25">
        <f t="shared" si="4"/>
        <v>1</v>
      </c>
    </row>
    <row r="5062">
      <c r="A5062" s="19">
        <v>84234.0</v>
      </c>
      <c r="B5062" s="20" t="str">
        <f t="array" ref="B5062">xlookup($A5062,product!$A:$A,product!B:B)</f>
        <v>Epicerie sucrée</v>
      </c>
      <c r="C5062" s="20" t="str">
        <f t="array" ref="C5062">xlookup($A5062,product!$A:$A,product!C:C)</f>
        <v>Céréales petit déjeuner</v>
      </c>
      <c r="D5062" s="20" t="str">
        <f t="array" ref="D5062">xlookup($A5062,product!$A:$A,product!D:D)</f>
        <v>Muesli au chocolat</v>
      </c>
      <c r="E5062" s="4" t="str">
        <f t="shared" si="1"/>
        <v>84234-Céréales petit déjeuner-Muesli au chocolat</v>
      </c>
      <c r="F5062" s="4">
        <v>0.0</v>
      </c>
      <c r="G5062" s="4">
        <v>852.0</v>
      </c>
      <c r="H5062" s="4">
        <v>789.0</v>
      </c>
      <c r="I5062" s="21">
        <f t="array" ref="I5062">XLOOKUP($A5062,product!A:A,product!E:E)</f>
        <v>2.67</v>
      </c>
      <c r="J5062" s="4">
        <f t="shared" si="2"/>
        <v>2106.63</v>
      </c>
      <c r="K5062" s="22">
        <f t="shared" si="3"/>
        <v>1</v>
      </c>
      <c r="L5062" s="4">
        <f t="shared" si="4"/>
        <v>1</v>
      </c>
    </row>
    <row r="5063">
      <c r="A5063" s="23">
        <v>76642.0</v>
      </c>
      <c r="B5063" s="24" t="str">
        <f t="array" ref="B5063">xlookup($A5063,product!$A:$A,product!B:B)</f>
        <v>Epicerie sucrée</v>
      </c>
      <c r="C5063" s="24" t="str">
        <f t="array" ref="C5063">xlookup($A5063,product!$A:$A,product!C:C)</f>
        <v>Céréales petit déjeuner</v>
      </c>
      <c r="D5063" s="24" t="str">
        <f t="array" ref="D5063">xlookup($A5063,product!$A:$A,product!D:D)</f>
        <v>Muesli au chocolat</v>
      </c>
      <c r="E5063" s="25" t="str">
        <f t="shared" si="1"/>
        <v>76642-Céréales petit déjeuner-Muesli au chocolat</v>
      </c>
      <c r="F5063" s="25">
        <v>0.0</v>
      </c>
      <c r="G5063" s="25">
        <v>287.0</v>
      </c>
      <c r="H5063" s="25">
        <v>159.0</v>
      </c>
      <c r="I5063" s="26">
        <f t="array" ref="I5063">XLOOKUP($A5063,product!A:A,product!E:E)</f>
        <v>2.1</v>
      </c>
      <c r="J5063" s="25">
        <f t="shared" si="2"/>
        <v>333.9</v>
      </c>
      <c r="K5063" s="27">
        <f t="shared" si="3"/>
        <v>1</v>
      </c>
      <c r="L5063" s="25">
        <f t="shared" si="4"/>
        <v>1</v>
      </c>
    </row>
    <row r="5064">
      <c r="A5064" s="19">
        <v>126573.0</v>
      </c>
      <c r="B5064" s="20" t="str">
        <f t="array" ref="B5064">xlookup($A5064,product!$A:$A,product!B:B)</f>
        <v>Epicerie sucrée</v>
      </c>
      <c r="C5064" s="20" t="str">
        <f t="array" ref="C5064">xlookup($A5064,product!$A:$A,product!C:C)</f>
        <v>Céréales petit déjeuner</v>
      </c>
      <c r="D5064" s="20" t="str">
        <f t="array" ref="D5064">xlookup($A5064,product!$A:$A,product!D:D)</f>
        <v>Muesli au chocolat</v>
      </c>
      <c r="E5064" s="4" t="str">
        <f t="shared" si="1"/>
        <v>126573-Céréales petit déjeuner-Muesli au chocolat</v>
      </c>
      <c r="F5064" s="4">
        <v>1.0</v>
      </c>
      <c r="G5064" s="4">
        <v>118.0</v>
      </c>
      <c r="H5064" s="4">
        <v>37.0</v>
      </c>
      <c r="I5064" s="21">
        <f t="array" ref="I5064">XLOOKUP($A5064,product!A:A,product!E:E)</f>
        <v>1.76</v>
      </c>
      <c r="J5064" s="4">
        <f t="shared" si="2"/>
        <v>65.12</v>
      </c>
      <c r="K5064" s="22">
        <f t="shared" si="3"/>
        <v>1</v>
      </c>
      <c r="L5064" s="4">
        <f t="shared" si="4"/>
        <v>1</v>
      </c>
    </row>
    <row r="5065">
      <c r="A5065" s="23">
        <v>113877.0</v>
      </c>
      <c r="B5065" s="24" t="str">
        <f t="array" ref="B5065">xlookup($A5065,product!$A:$A,product!B:B)</f>
        <v>Epicerie sucrée</v>
      </c>
      <c r="C5065" s="24" t="str">
        <f t="array" ref="C5065">xlookup($A5065,product!$A:$A,product!C:C)</f>
        <v>Céréales petit déjeuner</v>
      </c>
      <c r="D5065" s="24" t="str">
        <f t="array" ref="D5065">xlookup($A5065,product!$A:$A,product!D:D)</f>
        <v>Muesli au chocolat</v>
      </c>
      <c r="E5065" s="25" t="str">
        <f t="shared" si="1"/>
        <v>113877-Céréales petit déjeuner-Muesli au chocolat</v>
      </c>
      <c r="F5065" s="25">
        <v>1.0</v>
      </c>
      <c r="G5065" s="25">
        <v>59.0</v>
      </c>
      <c r="H5065" s="25">
        <v>37.0</v>
      </c>
      <c r="I5065" s="26">
        <f t="array" ref="I5065">XLOOKUP($A5065,product!A:A,product!E:E)</f>
        <v>5.83</v>
      </c>
      <c r="J5065" s="25">
        <f t="shared" si="2"/>
        <v>215.71</v>
      </c>
      <c r="K5065" s="27">
        <f t="shared" si="3"/>
        <v>1</v>
      </c>
      <c r="L5065" s="25">
        <f t="shared" si="4"/>
        <v>1</v>
      </c>
    </row>
    <row r="5066">
      <c r="A5066" s="19">
        <v>84212.0</v>
      </c>
      <c r="B5066" s="20" t="str">
        <f t="array" ref="B5066">xlookup($A5066,product!$A:$A,product!B:B)</f>
        <v>Epicerie sucrée</v>
      </c>
      <c r="C5066" s="20" t="str">
        <f t="array" ref="C5066">xlookup($A5066,product!$A:$A,product!C:C)</f>
        <v>Céréales petit déjeuner</v>
      </c>
      <c r="D5066" s="20" t="str">
        <f t="array" ref="D5066">xlookup($A5066,product!$A:$A,product!D:D)</f>
        <v>Muesli au chocolat</v>
      </c>
      <c r="E5066" s="4" t="str">
        <f t="shared" si="1"/>
        <v>84212-Céréales petit déjeuner-Muesli au chocolat</v>
      </c>
      <c r="F5066" s="4">
        <v>1.0</v>
      </c>
      <c r="G5066" s="4">
        <v>155.0</v>
      </c>
      <c r="H5066" s="4">
        <v>58.0</v>
      </c>
      <c r="I5066" s="21">
        <f t="array" ref="I5066">XLOOKUP($A5066,product!A:A,product!E:E)</f>
        <v>3.28</v>
      </c>
      <c r="J5066" s="4">
        <f t="shared" si="2"/>
        <v>190.24</v>
      </c>
      <c r="K5066" s="22">
        <f t="shared" si="3"/>
        <v>1</v>
      </c>
      <c r="L5066" s="4">
        <f t="shared" si="4"/>
        <v>1</v>
      </c>
    </row>
    <row r="5067">
      <c r="A5067" s="23">
        <v>84203.0</v>
      </c>
      <c r="B5067" s="24" t="str">
        <f t="array" ref="B5067">xlookup($A5067,product!$A:$A,product!B:B)</f>
        <v>Epicerie sucrée</v>
      </c>
      <c r="C5067" s="24" t="str">
        <f t="array" ref="C5067">xlookup($A5067,product!$A:$A,product!C:C)</f>
        <v>Céréales petit déjeuner</v>
      </c>
      <c r="D5067" s="24" t="str">
        <f t="array" ref="D5067">xlookup($A5067,product!$A:$A,product!D:D)</f>
        <v>Muesli au chocolat</v>
      </c>
      <c r="E5067" s="25" t="str">
        <f t="shared" si="1"/>
        <v>84203-Céréales petit déjeuner-Muesli au chocolat</v>
      </c>
      <c r="F5067" s="25">
        <v>0.0</v>
      </c>
      <c r="G5067" s="25">
        <v>454.0</v>
      </c>
      <c r="H5067" s="25">
        <v>37.0</v>
      </c>
      <c r="I5067" s="26">
        <f t="array" ref="I5067">XLOOKUP($A5067,product!A:A,product!E:E)</f>
        <v>2.88</v>
      </c>
      <c r="J5067" s="25">
        <f t="shared" si="2"/>
        <v>106.56</v>
      </c>
      <c r="K5067" s="27">
        <f t="shared" si="3"/>
        <v>1</v>
      </c>
      <c r="L5067" s="25">
        <f t="shared" si="4"/>
        <v>1</v>
      </c>
    </row>
    <row r="5068">
      <c r="A5068" s="19">
        <v>91038.0</v>
      </c>
      <c r="B5068" s="20" t="str">
        <f t="array" ref="B5068">xlookup($A5068,product!$A:$A,product!B:B)</f>
        <v>Epicerie sucrée</v>
      </c>
      <c r="C5068" s="20" t="str">
        <f t="array" ref="C5068">xlookup($A5068,product!$A:$A,product!C:C)</f>
        <v>Céréales petit déjeuner</v>
      </c>
      <c r="D5068" s="20" t="str">
        <f t="array" ref="D5068">xlookup($A5068,product!$A:$A,product!D:D)</f>
        <v>Céréale soufflée</v>
      </c>
      <c r="E5068" s="4" t="str">
        <f t="shared" si="1"/>
        <v>91038-Céréales petit déjeuner-Céréale soufflée</v>
      </c>
      <c r="F5068" s="4">
        <v>0.0</v>
      </c>
      <c r="G5068" s="4">
        <v>11.0</v>
      </c>
      <c r="H5068" s="4">
        <v>2.0</v>
      </c>
      <c r="I5068" s="21">
        <f t="array" ref="I5068">XLOOKUP($A5068,product!A:A,product!E:E)</f>
        <v>2.46</v>
      </c>
      <c r="J5068" s="4">
        <f t="shared" si="2"/>
        <v>4.92</v>
      </c>
      <c r="K5068" s="22">
        <f t="shared" si="3"/>
        <v>1</v>
      </c>
      <c r="L5068" s="4">
        <f t="shared" si="4"/>
        <v>1</v>
      </c>
    </row>
    <row r="5069">
      <c r="A5069" s="23">
        <v>19335.0</v>
      </c>
      <c r="B5069" s="24" t="str">
        <f t="array" ref="B5069">xlookup($A5069,product!$A:$A,product!B:B)</f>
        <v>Epicerie sucrée</v>
      </c>
      <c r="C5069" s="24" t="str">
        <f t="array" ref="C5069">xlookup($A5069,product!$A:$A,product!C:C)</f>
        <v>Céréales petit déjeuner</v>
      </c>
      <c r="D5069" s="24" t="str">
        <f t="array" ref="D5069">xlookup($A5069,product!$A:$A,product!D:D)</f>
        <v>Céréale soufflée</v>
      </c>
      <c r="E5069" s="25" t="str">
        <f t="shared" si="1"/>
        <v>19335-Céréales petit déjeuner-Céréale soufflée</v>
      </c>
      <c r="F5069" s="25">
        <v>1.0</v>
      </c>
      <c r="G5069" s="25">
        <v>687.0</v>
      </c>
      <c r="H5069" s="25">
        <v>287.0</v>
      </c>
      <c r="I5069" s="26">
        <f t="array" ref="I5069">XLOOKUP($A5069,product!A:A,product!E:E)</f>
        <v>1.61</v>
      </c>
      <c r="J5069" s="25">
        <f t="shared" si="2"/>
        <v>462.07</v>
      </c>
      <c r="K5069" s="27">
        <f t="shared" si="3"/>
        <v>1</v>
      </c>
      <c r="L5069" s="25">
        <f t="shared" si="4"/>
        <v>1</v>
      </c>
    </row>
    <row r="5070">
      <c r="A5070" s="19">
        <v>103073.0</v>
      </c>
      <c r="B5070" s="20" t="str">
        <f t="array" ref="B5070">xlookup($A5070,product!$A:$A,product!B:B)</f>
        <v>Epicerie sucrée</v>
      </c>
      <c r="C5070" s="20" t="str">
        <f t="array" ref="C5070">xlookup($A5070,product!$A:$A,product!C:C)</f>
        <v>Céréales petit déjeuner</v>
      </c>
      <c r="D5070" s="20" t="str">
        <f t="array" ref="D5070">xlookup($A5070,product!$A:$A,product!D:D)</f>
        <v>Céréale soufflée</v>
      </c>
      <c r="E5070" s="4" t="str">
        <f t="shared" si="1"/>
        <v>103073-Céréales petit déjeuner-Céréale soufflée</v>
      </c>
      <c r="F5070" s="4">
        <v>1.0</v>
      </c>
      <c r="G5070" s="4">
        <v>719.0</v>
      </c>
      <c r="H5070" s="4">
        <v>267.0</v>
      </c>
      <c r="I5070" s="21">
        <f t="array" ref="I5070">XLOOKUP($A5070,product!A:A,product!E:E)</f>
        <v>1.83</v>
      </c>
      <c r="J5070" s="4">
        <f t="shared" si="2"/>
        <v>488.61</v>
      </c>
      <c r="K5070" s="22">
        <f t="shared" si="3"/>
        <v>1</v>
      </c>
      <c r="L5070" s="4">
        <f t="shared" si="4"/>
        <v>1</v>
      </c>
    </row>
    <row r="5071">
      <c r="A5071" s="23">
        <v>122261.0</v>
      </c>
      <c r="B5071" s="24" t="str">
        <f t="array" ref="B5071">xlookup($A5071,product!$A:$A,product!B:B)</f>
        <v>Epicerie sucrée</v>
      </c>
      <c r="C5071" s="24" t="str">
        <f t="array" ref="C5071">xlookup($A5071,product!$A:$A,product!C:C)</f>
        <v>Céréales petit déjeuner</v>
      </c>
      <c r="D5071" s="24" t="str">
        <f t="array" ref="D5071">xlookup($A5071,product!$A:$A,product!D:D)</f>
        <v>Flocons de Céréales</v>
      </c>
      <c r="E5071" s="25" t="str">
        <f t="shared" si="1"/>
        <v>122261-Céréales petit déjeuner-Flocons de Céréales</v>
      </c>
      <c r="F5071" s="25">
        <v>0.0</v>
      </c>
      <c r="G5071" s="25">
        <v>256.0</v>
      </c>
      <c r="H5071" s="25">
        <v>223.0</v>
      </c>
      <c r="I5071" s="26">
        <f t="array" ref="I5071">XLOOKUP($A5071,product!A:A,product!E:E)</f>
        <v>0.94</v>
      </c>
      <c r="J5071" s="25">
        <f t="shared" si="2"/>
        <v>209.62</v>
      </c>
      <c r="K5071" s="27">
        <f t="shared" si="3"/>
        <v>1</v>
      </c>
      <c r="L5071" s="25">
        <f t="shared" si="4"/>
        <v>1</v>
      </c>
    </row>
    <row r="5072">
      <c r="A5072" s="19">
        <v>68315.0</v>
      </c>
      <c r="B5072" s="20" t="str">
        <f t="array" ref="B5072">xlookup($A5072,product!$A:$A,product!B:B)</f>
        <v>Epicerie sucrée</v>
      </c>
      <c r="C5072" s="20" t="str">
        <f t="array" ref="C5072">xlookup($A5072,product!$A:$A,product!C:C)</f>
        <v>Céréales petit déjeuner</v>
      </c>
      <c r="D5072" s="20" t="str">
        <f t="array" ref="D5072">xlookup($A5072,product!$A:$A,product!D:D)</f>
        <v>Flocons de Céréales</v>
      </c>
      <c r="E5072" s="4" t="str">
        <f t="shared" si="1"/>
        <v>68315-Céréales petit déjeuner-Flocons de Céréales</v>
      </c>
      <c r="F5072" s="4">
        <v>1.0</v>
      </c>
      <c r="G5072" s="4">
        <v>203.0</v>
      </c>
      <c r="H5072" s="4">
        <v>145.0</v>
      </c>
      <c r="I5072" s="21">
        <f t="array" ref="I5072">XLOOKUP($A5072,product!A:A,product!E:E)</f>
        <v>1.59</v>
      </c>
      <c r="J5072" s="4">
        <f t="shared" si="2"/>
        <v>230.55</v>
      </c>
      <c r="K5072" s="22">
        <f t="shared" si="3"/>
        <v>1</v>
      </c>
      <c r="L5072" s="4">
        <f t="shared" si="4"/>
        <v>1</v>
      </c>
    </row>
    <row r="5073">
      <c r="A5073" s="23">
        <v>110229.0</v>
      </c>
      <c r="B5073" s="24" t="str">
        <f t="array" ref="B5073">xlookup($A5073,product!$A:$A,product!B:B)</f>
        <v>Epicerie sucrée</v>
      </c>
      <c r="C5073" s="24" t="str">
        <f t="array" ref="C5073">xlookup($A5073,product!$A:$A,product!C:C)</f>
        <v>Céréales petit déjeuner</v>
      </c>
      <c r="D5073" s="24" t="str">
        <f t="array" ref="D5073">xlookup($A5073,product!$A:$A,product!D:D)</f>
        <v>Flocons de Céréales</v>
      </c>
      <c r="E5073" s="25" t="str">
        <f t="shared" si="1"/>
        <v>110229-Céréales petit déjeuner-Flocons de Céréales</v>
      </c>
      <c r="F5073" s="25">
        <v>0.0</v>
      </c>
      <c r="G5073" s="25">
        <v>571.0</v>
      </c>
      <c r="H5073" s="25">
        <v>310.0</v>
      </c>
      <c r="I5073" s="26">
        <f t="array" ref="I5073">XLOOKUP($A5073,product!A:A,product!E:E)</f>
        <v>1.31</v>
      </c>
      <c r="J5073" s="25">
        <f t="shared" si="2"/>
        <v>406.1</v>
      </c>
      <c r="K5073" s="27">
        <f t="shared" si="3"/>
        <v>1</v>
      </c>
      <c r="L5073" s="25">
        <f t="shared" si="4"/>
        <v>1</v>
      </c>
    </row>
    <row r="5074">
      <c r="A5074" s="19">
        <v>5548.0</v>
      </c>
      <c r="B5074" s="20" t="str">
        <f t="array" ref="B5074">xlookup($A5074,product!$A:$A,product!B:B)</f>
        <v>Epicerie sucrée</v>
      </c>
      <c r="C5074" s="20" t="str">
        <f t="array" ref="C5074">xlookup($A5074,product!$A:$A,product!C:C)</f>
        <v>Céréales petit déjeuner</v>
      </c>
      <c r="D5074" s="20" t="str">
        <f t="array" ref="D5074">xlookup($A5074,product!$A:$A,product!D:D)</f>
        <v>Flocons de Céréales</v>
      </c>
      <c r="E5074" s="4" t="str">
        <f t="shared" si="1"/>
        <v>5548-Céréales petit déjeuner-Flocons de Céréales</v>
      </c>
      <c r="F5074" s="4">
        <v>1.0</v>
      </c>
      <c r="G5074" s="4">
        <v>55.0</v>
      </c>
      <c r="H5074" s="4">
        <v>51.0</v>
      </c>
      <c r="I5074" s="21">
        <f t="array" ref="I5074">XLOOKUP($A5074,product!A:A,product!E:E)</f>
        <v>1.73</v>
      </c>
      <c r="J5074" s="4">
        <f t="shared" si="2"/>
        <v>88.23</v>
      </c>
      <c r="K5074" s="22">
        <f t="shared" si="3"/>
        <v>1</v>
      </c>
      <c r="L5074" s="4">
        <f t="shared" si="4"/>
        <v>1</v>
      </c>
    </row>
    <row r="5075">
      <c r="A5075" s="23">
        <v>126544.0</v>
      </c>
      <c r="B5075" s="24" t="str">
        <f t="array" ref="B5075">xlookup($A5075,product!$A:$A,product!B:B)</f>
        <v>Epicerie sucrée</v>
      </c>
      <c r="C5075" s="24" t="str">
        <f t="array" ref="C5075">xlookup($A5075,product!$A:$A,product!C:C)</f>
        <v>Céréales petit déjeuner</v>
      </c>
      <c r="D5075" s="24" t="str">
        <f t="array" ref="D5075">xlookup($A5075,product!$A:$A,product!D:D)</f>
        <v>Flocons de Céréales</v>
      </c>
      <c r="E5075" s="25" t="str">
        <f t="shared" si="1"/>
        <v>126544-Céréales petit déjeuner-Flocons de Céréales</v>
      </c>
      <c r="F5075" s="25">
        <v>1.0</v>
      </c>
      <c r="G5075" s="25">
        <v>793.0</v>
      </c>
      <c r="H5075" s="25">
        <v>577.0</v>
      </c>
      <c r="I5075" s="26">
        <f t="array" ref="I5075">XLOOKUP($A5075,product!A:A,product!E:E)</f>
        <v>4.35</v>
      </c>
      <c r="J5075" s="25">
        <f t="shared" si="2"/>
        <v>2509.95</v>
      </c>
      <c r="K5075" s="27">
        <f t="shared" si="3"/>
        <v>1</v>
      </c>
      <c r="L5075" s="25">
        <f t="shared" si="4"/>
        <v>1</v>
      </c>
    </row>
    <row r="5076">
      <c r="A5076" s="19">
        <v>90792.0</v>
      </c>
      <c r="B5076" s="20" t="str">
        <f t="array" ref="B5076">xlookup($A5076,product!$A:$A,product!B:B)</f>
        <v>Epicerie sucrée</v>
      </c>
      <c r="C5076" s="20" t="str">
        <f t="array" ref="C5076">xlookup($A5076,product!$A:$A,product!C:C)</f>
        <v>Céréales petit déjeuner</v>
      </c>
      <c r="D5076" s="20" t="str">
        <f t="array" ref="D5076">xlookup($A5076,product!$A:$A,product!D:D)</f>
        <v>Flocons de Céréales</v>
      </c>
      <c r="E5076" s="4" t="str">
        <f t="shared" si="1"/>
        <v>90792-Céréales petit déjeuner-Flocons de Céréales</v>
      </c>
      <c r="F5076" s="4">
        <v>0.0</v>
      </c>
      <c r="G5076" s="4">
        <v>792.0</v>
      </c>
      <c r="H5076" s="4">
        <v>541.0</v>
      </c>
      <c r="I5076" s="21">
        <f t="array" ref="I5076">XLOOKUP($A5076,product!A:A,product!E:E)</f>
        <v>1.98</v>
      </c>
      <c r="J5076" s="4">
        <f t="shared" si="2"/>
        <v>1071.18</v>
      </c>
      <c r="K5076" s="22">
        <f t="shared" si="3"/>
        <v>1</v>
      </c>
      <c r="L5076" s="4">
        <f t="shared" si="4"/>
        <v>1</v>
      </c>
    </row>
    <row r="5077">
      <c r="A5077" s="23">
        <v>126541.0</v>
      </c>
      <c r="B5077" s="24" t="str">
        <f t="array" ref="B5077">xlookup($A5077,product!$A:$A,product!B:B)</f>
        <v>Epicerie sucrée</v>
      </c>
      <c r="C5077" s="24" t="str">
        <f t="array" ref="C5077">xlookup($A5077,product!$A:$A,product!C:C)</f>
        <v>Céréales petit déjeuner</v>
      </c>
      <c r="D5077" s="24" t="str">
        <f t="array" ref="D5077">xlookup($A5077,product!$A:$A,product!D:D)</f>
        <v>Flocons de Céréales</v>
      </c>
      <c r="E5077" s="25" t="str">
        <f t="shared" si="1"/>
        <v>126541-Céréales petit déjeuner-Flocons de Céréales</v>
      </c>
      <c r="F5077" s="25">
        <v>0.0</v>
      </c>
      <c r="G5077" s="25">
        <v>925.0</v>
      </c>
      <c r="H5077" s="25">
        <v>162.0</v>
      </c>
      <c r="I5077" s="26">
        <f t="array" ref="I5077">XLOOKUP($A5077,product!A:A,product!E:E)</f>
        <v>2.11</v>
      </c>
      <c r="J5077" s="25">
        <f t="shared" si="2"/>
        <v>341.82</v>
      </c>
      <c r="K5077" s="27">
        <f t="shared" si="3"/>
        <v>1</v>
      </c>
      <c r="L5077" s="25">
        <f t="shared" si="4"/>
        <v>1</v>
      </c>
    </row>
    <row r="5078">
      <c r="A5078" s="19">
        <v>71190.0</v>
      </c>
      <c r="B5078" s="20" t="str">
        <f t="array" ref="B5078">xlookup($A5078,product!$A:$A,product!B:B)</f>
        <v>Epicerie sucrée</v>
      </c>
      <c r="C5078" s="20" t="str">
        <f t="array" ref="C5078">xlookup($A5078,product!$A:$A,product!C:C)</f>
        <v>Céréales petit déjeuner</v>
      </c>
      <c r="D5078" s="20" t="str">
        <f t="array" ref="D5078">xlookup($A5078,product!$A:$A,product!D:D)</f>
        <v>Flocons de Céréales</v>
      </c>
      <c r="E5078" s="4" t="str">
        <f t="shared" si="1"/>
        <v>71190-Céréales petit déjeuner-Flocons de Céréales</v>
      </c>
      <c r="F5078" s="4">
        <v>0.0</v>
      </c>
      <c r="G5078" s="4">
        <v>552.0</v>
      </c>
      <c r="H5078" s="4">
        <v>312.0</v>
      </c>
      <c r="I5078" s="21">
        <f t="array" ref="I5078">XLOOKUP($A5078,product!A:A,product!E:E)</f>
        <v>1.24</v>
      </c>
      <c r="J5078" s="4">
        <f t="shared" si="2"/>
        <v>386.88</v>
      </c>
      <c r="K5078" s="22">
        <f t="shared" si="3"/>
        <v>1</v>
      </c>
      <c r="L5078" s="4">
        <f t="shared" si="4"/>
        <v>1</v>
      </c>
    </row>
    <row r="5079">
      <c r="A5079" s="23">
        <v>76425.0</v>
      </c>
      <c r="B5079" s="24" t="str">
        <f t="array" ref="B5079">xlookup($A5079,product!$A:$A,product!B:B)</f>
        <v>Epicerie sucrée</v>
      </c>
      <c r="C5079" s="24" t="str">
        <f t="array" ref="C5079">xlookup($A5079,product!$A:$A,product!C:C)</f>
        <v>Céréales petit déjeuner</v>
      </c>
      <c r="D5079" s="24" t="str">
        <f t="array" ref="D5079">xlookup($A5079,product!$A:$A,product!D:D)</f>
        <v>Flocons de Céréales</v>
      </c>
      <c r="E5079" s="25" t="str">
        <f t="shared" si="1"/>
        <v>76425-Céréales petit déjeuner-Flocons de Céréales</v>
      </c>
      <c r="F5079" s="25">
        <v>1.0</v>
      </c>
      <c r="G5079" s="25">
        <v>856.0</v>
      </c>
      <c r="H5079" s="25">
        <v>124.0</v>
      </c>
      <c r="I5079" s="26">
        <f t="array" ref="I5079">XLOOKUP($A5079,product!A:A,product!E:E)</f>
        <v>1.68</v>
      </c>
      <c r="J5079" s="25">
        <f t="shared" si="2"/>
        <v>208.32</v>
      </c>
      <c r="K5079" s="27">
        <f t="shared" si="3"/>
        <v>1</v>
      </c>
      <c r="L5079" s="25">
        <f t="shared" si="4"/>
        <v>1</v>
      </c>
    </row>
    <row r="5080">
      <c r="A5080" s="19">
        <v>76422.0</v>
      </c>
      <c r="B5080" s="20" t="str">
        <f t="array" ref="B5080">xlookup($A5080,product!$A:$A,product!B:B)</f>
        <v>Epicerie sucrée</v>
      </c>
      <c r="C5080" s="20" t="str">
        <f t="array" ref="C5080">xlookup($A5080,product!$A:$A,product!C:C)</f>
        <v>Céréales petit déjeuner</v>
      </c>
      <c r="D5080" s="20" t="str">
        <f t="array" ref="D5080">xlookup($A5080,product!$A:$A,product!D:D)</f>
        <v>Flocons de Céréales</v>
      </c>
      <c r="E5080" s="4" t="str">
        <f t="shared" si="1"/>
        <v>76422-Céréales petit déjeuner-Flocons de Céréales</v>
      </c>
      <c r="F5080" s="4">
        <v>0.0</v>
      </c>
      <c r="G5080" s="4">
        <v>360.0</v>
      </c>
      <c r="H5080" s="4">
        <v>6.0</v>
      </c>
      <c r="I5080" s="21">
        <f t="array" ref="I5080">XLOOKUP($A5080,product!A:A,product!E:E)</f>
        <v>1.19</v>
      </c>
      <c r="J5080" s="4">
        <f t="shared" si="2"/>
        <v>7.14</v>
      </c>
      <c r="K5080" s="22">
        <f t="shared" si="3"/>
        <v>1</v>
      </c>
      <c r="L5080" s="4">
        <f t="shared" si="4"/>
        <v>1</v>
      </c>
    </row>
    <row r="5081">
      <c r="A5081" s="23">
        <v>159201.0</v>
      </c>
      <c r="B5081" s="24" t="str">
        <f t="array" ref="B5081">xlookup($A5081,product!$A:$A,product!B:B)</f>
        <v>Epicerie sucrée</v>
      </c>
      <c r="C5081" s="24" t="str">
        <f t="array" ref="C5081">xlookup($A5081,product!$A:$A,product!C:C)</f>
        <v>Céréales petit déjeuner</v>
      </c>
      <c r="D5081" s="24" t="str">
        <f t="array" ref="D5081">xlookup($A5081,product!$A:$A,product!D:D)</f>
        <v>Flocons de Céréales</v>
      </c>
      <c r="E5081" s="25" t="str">
        <f t="shared" si="1"/>
        <v>159201-Céréales petit déjeuner-Flocons de Céréales</v>
      </c>
      <c r="F5081" s="25">
        <v>0.0</v>
      </c>
      <c r="G5081" s="25">
        <v>184.0</v>
      </c>
      <c r="H5081" s="25">
        <v>64.0</v>
      </c>
      <c r="I5081" s="26">
        <f t="array" ref="I5081">XLOOKUP($A5081,product!A:A,product!E:E)</f>
        <v>1.63</v>
      </c>
      <c r="J5081" s="25">
        <f t="shared" si="2"/>
        <v>104.32</v>
      </c>
      <c r="K5081" s="27">
        <f t="shared" si="3"/>
        <v>1</v>
      </c>
      <c r="L5081" s="25">
        <f t="shared" si="4"/>
        <v>1</v>
      </c>
    </row>
    <row r="5082">
      <c r="A5082" s="19">
        <v>76421.0</v>
      </c>
      <c r="B5082" s="20" t="str">
        <f t="array" ref="B5082">xlookup($A5082,product!$A:$A,product!B:B)</f>
        <v>Epicerie sucrée</v>
      </c>
      <c r="C5082" s="20" t="str">
        <f t="array" ref="C5082">xlookup($A5082,product!$A:$A,product!C:C)</f>
        <v>Céréales petit déjeuner</v>
      </c>
      <c r="D5082" s="20" t="str">
        <f t="array" ref="D5082">xlookup($A5082,product!$A:$A,product!D:D)</f>
        <v>Flocons de Céréales</v>
      </c>
      <c r="E5082" s="4" t="str">
        <f t="shared" si="1"/>
        <v>76421-Céréales petit déjeuner-Flocons de Céréales</v>
      </c>
      <c r="F5082" s="4">
        <v>0.0</v>
      </c>
      <c r="G5082" s="4">
        <v>830.0</v>
      </c>
      <c r="H5082" s="4">
        <v>284.0</v>
      </c>
      <c r="I5082" s="21">
        <f t="array" ref="I5082">XLOOKUP($A5082,product!A:A,product!E:E)</f>
        <v>4.52</v>
      </c>
      <c r="J5082" s="4">
        <f t="shared" si="2"/>
        <v>1283.68</v>
      </c>
      <c r="K5082" s="22">
        <f t="shared" si="3"/>
        <v>1</v>
      </c>
      <c r="L5082" s="4">
        <f t="shared" si="4"/>
        <v>1</v>
      </c>
    </row>
    <row r="5083">
      <c r="A5083" s="23">
        <v>76424.0</v>
      </c>
      <c r="B5083" s="24" t="str">
        <f t="array" ref="B5083">xlookup($A5083,product!$A:$A,product!B:B)</f>
        <v>Epicerie sucrée</v>
      </c>
      <c r="C5083" s="24" t="str">
        <f t="array" ref="C5083">xlookup($A5083,product!$A:$A,product!C:C)</f>
        <v>Céréales petit déjeuner</v>
      </c>
      <c r="D5083" s="24" t="str">
        <f t="array" ref="D5083">xlookup($A5083,product!$A:$A,product!D:D)</f>
        <v>Flocons de Céréales</v>
      </c>
      <c r="E5083" s="25" t="str">
        <f t="shared" si="1"/>
        <v>76424-Céréales petit déjeuner-Flocons de Céréales</v>
      </c>
      <c r="F5083" s="25">
        <v>0.0</v>
      </c>
      <c r="G5083" s="25">
        <v>68.0</v>
      </c>
      <c r="H5083" s="25">
        <v>41.0</v>
      </c>
      <c r="I5083" s="26">
        <f t="array" ref="I5083">XLOOKUP($A5083,product!A:A,product!E:E)</f>
        <v>1.07</v>
      </c>
      <c r="J5083" s="25">
        <f t="shared" si="2"/>
        <v>43.87</v>
      </c>
      <c r="K5083" s="27">
        <f t="shared" si="3"/>
        <v>1</v>
      </c>
      <c r="L5083" s="25">
        <f t="shared" si="4"/>
        <v>1</v>
      </c>
    </row>
    <row r="5084">
      <c r="A5084" s="19">
        <v>90766.0</v>
      </c>
      <c r="B5084" s="20" t="str">
        <f t="array" ref="B5084">xlookup($A5084,product!$A:$A,product!B:B)</f>
        <v>Epicerie sucrée</v>
      </c>
      <c r="C5084" s="20" t="str">
        <f t="array" ref="C5084">xlookup($A5084,product!$A:$A,product!C:C)</f>
        <v>Céréales petit déjeuner</v>
      </c>
      <c r="D5084" s="20" t="str">
        <f t="array" ref="D5084">xlookup($A5084,product!$A:$A,product!D:D)</f>
        <v>Flocons de Céréales</v>
      </c>
      <c r="E5084" s="4" t="str">
        <f t="shared" si="1"/>
        <v>90766-Céréales petit déjeuner-Flocons de Céréales</v>
      </c>
      <c r="F5084" s="4">
        <v>1.0</v>
      </c>
      <c r="G5084" s="4">
        <v>598.0</v>
      </c>
      <c r="H5084" s="4">
        <v>217.0</v>
      </c>
      <c r="I5084" s="21">
        <f t="array" ref="I5084">XLOOKUP($A5084,product!A:A,product!E:E)</f>
        <v>8.66</v>
      </c>
      <c r="J5084" s="4">
        <f t="shared" si="2"/>
        <v>1879.22</v>
      </c>
      <c r="K5084" s="22">
        <f t="shared" si="3"/>
        <v>1</v>
      </c>
      <c r="L5084" s="4">
        <f t="shared" si="4"/>
        <v>1</v>
      </c>
    </row>
    <row r="5085">
      <c r="A5085" s="23">
        <v>5538.0</v>
      </c>
      <c r="B5085" s="24" t="str">
        <f t="array" ref="B5085">xlookup($A5085,product!$A:$A,product!B:B)</f>
        <v>Epicerie sucrée</v>
      </c>
      <c r="C5085" s="24" t="str">
        <f t="array" ref="C5085">xlookup($A5085,product!$A:$A,product!C:C)</f>
        <v>Céréales petit déjeuner</v>
      </c>
      <c r="D5085" s="24" t="str">
        <f t="array" ref="D5085">xlookup($A5085,product!$A:$A,product!D:D)</f>
        <v>Flocons de Céréales</v>
      </c>
      <c r="E5085" s="25" t="str">
        <f t="shared" si="1"/>
        <v>5538-Céréales petit déjeuner-Flocons de Céréales</v>
      </c>
      <c r="F5085" s="25">
        <v>1.0</v>
      </c>
      <c r="G5085" s="25">
        <v>271.0</v>
      </c>
      <c r="H5085" s="25">
        <v>265.0</v>
      </c>
      <c r="I5085" s="26">
        <f t="array" ref="I5085">XLOOKUP($A5085,product!A:A,product!E:E)</f>
        <v>1.12</v>
      </c>
      <c r="J5085" s="25">
        <f t="shared" si="2"/>
        <v>296.8</v>
      </c>
      <c r="K5085" s="27">
        <f t="shared" si="3"/>
        <v>1</v>
      </c>
      <c r="L5085" s="25">
        <f t="shared" si="4"/>
        <v>1</v>
      </c>
    </row>
    <row r="5086">
      <c r="A5086" s="19">
        <v>68371.0</v>
      </c>
      <c r="B5086" s="20" t="str">
        <f t="array" ref="B5086">xlookup($A5086,product!$A:$A,product!B:B)</f>
        <v>Epicerie sucrée</v>
      </c>
      <c r="C5086" s="20" t="str">
        <f t="array" ref="C5086">xlookup($A5086,product!$A:$A,product!C:C)</f>
        <v>Céréales petit déjeuner</v>
      </c>
      <c r="D5086" s="20" t="str">
        <f t="array" ref="D5086">xlookup($A5086,product!$A:$A,product!D:D)</f>
        <v>Flocons de Céréales</v>
      </c>
      <c r="E5086" s="4" t="str">
        <f t="shared" si="1"/>
        <v>68371-Céréales petit déjeuner-Flocons de Céréales</v>
      </c>
      <c r="F5086" s="4">
        <v>0.0</v>
      </c>
      <c r="G5086" s="4">
        <v>584.0</v>
      </c>
      <c r="H5086" s="4">
        <v>294.0</v>
      </c>
      <c r="I5086" s="21">
        <f t="array" ref="I5086">XLOOKUP($A5086,product!A:A,product!E:E)</f>
        <v>1.76</v>
      </c>
      <c r="J5086" s="4">
        <f t="shared" si="2"/>
        <v>517.44</v>
      </c>
      <c r="K5086" s="22">
        <f t="shared" si="3"/>
        <v>1</v>
      </c>
      <c r="L5086" s="4">
        <f t="shared" si="4"/>
        <v>1</v>
      </c>
    </row>
    <row r="5087">
      <c r="A5087" s="23">
        <v>90808.0</v>
      </c>
      <c r="B5087" s="24" t="str">
        <f t="array" ref="B5087">xlookup($A5087,product!$A:$A,product!B:B)</f>
        <v>Epicerie sucrée</v>
      </c>
      <c r="C5087" s="24" t="str">
        <f t="array" ref="C5087">xlookup($A5087,product!$A:$A,product!C:C)</f>
        <v>Céréales petit déjeuner</v>
      </c>
      <c r="D5087" s="24" t="str">
        <f t="array" ref="D5087">xlookup($A5087,product!$A:$A,product!D:D)</f>
        <v>Flocons de Céréales</v>
      </c>
      <c r="E5087" s="25" t="str">
        <f t="shared" si="1"/>
        <v>90808-Céréales petit déjeuner-Flocons de Céréales</v>
      </c>
      <c r="F5087" s="25">
        <v>0.0</v>
      </c>
      <c r="G5087" s="25">
        <v>68.0</v>
      </c>
      <c r="H5087" s="25">
        <v>54.0</v>
      </c>
      <c r="I5087" s="26">
        <f t="array" ref="I5087">XLOOKUP($A5087,product!A:A,product!E:E)</f>
        <v>10.75</v>
      </c>
      <c r="J5087" s="25">
        <f t="shared" si="2"/>
        <v>580.5</v>
      </c>
      <c r="K5087" s="27">
        <f t="shared" si="3"/>
        <v>1</v>
      </c>
      <c r="L5087" s="25">
        <f t="shared" si="4"/>
        <v>1</v>
      </c>
    </row>
    <row r="5088">
      <c r="A5088" s="19">
        <v>5543.0</v>
      </c>
      <c r="B5088" s="20" t="str">
        <f t="array" ref="B5088">xlookup($A5088,product!$A:$A,product!B:B)</f>
        <v>Epicerie sucrée</v>
      </c>
      <c r="C5088" s="20" t="str">
        <f t="array" ref="C5088">xlookup($A5088,product!$A:$A,product!C:C)</f>
        <v>Céréales petit déjeuner</v>
      </c>
      <c r="D5088" s="20" t="str">
        <f t="array" ref="D5088">xlookup($A5088,product!$A:$A,product!D:D)</f>
        <v>Flocons de Céréales</v>
      </c>
      <c r="E5088" s="4" t="str">
        <f t="shared" si="1"/>
        <v>5543-Céréales petit déjeuner-Flocons de Céréales</v>
      </c>
      <c r="F5088" s="4">
        <v>1.0</v>
      </c>
      <c r="G5088" s="4">
        <v>317.0</v>
      </c>
      <c r="H5088" s="4">
        <v>224.0</v>
      </c>
      <c r="I5088" s="21">
        <f t="array" ref="I5088">XLOOKUP($A5088,product!A:A,product!E:E)</f>
        <v>2.03</v>
      </c>
      <c r="J5088" s="4">
        <f t="shared" si="2"/>
        <v>454.72</v>
      </c>
      <c r="K5088" s="22">
        <f t="shared" si="3"/>
        <v>1</v>
      </c>
      <c r="L5088" s="4">
        <f t="shared" si="4"/>
        <v>1</v>
      </c>
    </row>
    <row r="5089">
      <c r="A5089" s="23">
        <v>76420.0</v>
      </c>
      <c r="B5089" s="24" t="str">
        <f t="array" ref="B5089">xlookup($A5089,product!$A:$A,product!B:B)</f>
        <v>Epicerie sucrée</v>
      </c>
      <c r="C5089" s="24" t="str">
        <f t="array" ref="C5089">xlookup($A5089,product!$A:$A,product!C:C)</f>
        <v>Céréales petit déjeuner</v>
      </c>
      <c r="D5089" s="24" t="str">
        <f t="array" ref="D5089">xlookup($A5089,product!$A:$A,product!D:D)</f>
        <v>Flocons de Céréales</v>
      </c>
      <c r="E5089" s="25" t="str">
        <f t="shared" si="1"/>
        <v>76420-Céréales petit déjeuner-Flocons de Céréales</v>
      </c>
      <c r="F5089" s="25">
        <v>0.0</v>
      </c>
      <c r="G5089" s="25">
        <v>680.0</v>
      </c>
      <c r="H5089" s="25">
        <v>171.0</v>
      </c>
      <c r="I5089" s="26">
        <f t="array" ref="I5089">XLOOKUP($A5089,product!A:A,product!E:E)</f>
        <v>0.93</v>
      </c>
      <c r="J5089" s="25">
        <f t="shared" si="2"/>
        <v>159.03</v>
      </c>
      <c r="K5089" s="27">
        <f t="shared" si="3"/>
        <v>1</v>
      </c>
      <c r="L5089" s="25">
        <f t="shared" si="4"/>
        <v>1</v>
      </c>
    </row>
    <row r="5090">
      <c r="A5090" s="19">
        <v>68364.0</v>
      </c>
      <c r="B5090" s="20" t="str">
        <f t="array" ref="B5090">xlookup($A5090,product!$A:$A,product!B:B)</f>
        <v>Epicerie sucrée</v>
      </c>
      <c r="C5090" s="20" t="str">
        <f t="array" ref="C5090">xlookup($A5090,product!$A:$A,product!C:C)</f>
        <v>Céréales petit déjeuner</v>
      </c>
      <c r="D5090" s="20" t="str">
        <f t="array" ref="D5090">xlookup($A5090,product!$A:$A,product!D:D)</f>
        <v>Flocons de Céréales</v>
      </c>
      <c r="E5090" s="4" t="str">
        <f t="shared" si="1"/>
        <v>68364-Céréales petit déjeuner-Flocons de Céréales</v>
      </c>
      <c r="F5090" s="4">
        <v>1.0</v>
      </c>
      <c r="G5090" s="4">
        <v>644.0</v>
      </c>
      <c r="H5090" s="4">
        <v>33.0</v>
      </c>
      <c r="I5090" s="21">
        <f t="array" ref="I5090">XLOOKUP($A5090,product!A:A,product!E:E)</f>
        <v>1.22</v>
      </c>
      <c r="J5090" s="4">
        <f t="shared" si="2"/>
        <v>40.26</v>
      </c>
      <c r="K5090" s="22">
        <f t="shared" si="3"/>
        <v>1</v>
      </c>
      <c r="L5090" s="4">
        <f t="shared" si="4"/>
        <v>1</v>
      </c>
    </row>
    <row r="5091">
      <c r="A5091" s="23">
        <v>5541.0</v>
      </c>
      <c r="B5091" s="24" t="str">
        <f t="array" ref="B5091">xlookup($A5091,product!$A:$A,product!B:B)</f>
        <v>Epicerie sucrée</v>
      </c>
      <c r="C5091" s="24" t="str">
        <f t="array" ref="C5091">xlookup($A5091,product!$A:$A,product!C:C)</f>
        <v>Céréales petit déjeuner</v>
      </c>
      <c r="D5091" s="24" t="str">
        <f t="array" ref="D5091">xlookup($A5091,product!$A:$A,product!D:D)</f>
        <v>Flocons de Céréales</v>
      </c>
      <c r="E5091" s="25" t="str">
        <f t="shared" si="1"/>
        <v>5541-Céréales petit déjeuner-Flocons de Céréales</v>
      </c>
      <c r="F5091" s="25">
        <v>0.0</v>
      </c>
      <c r="G5091" s="25">
        <v>241.0</v>
      </c>
      <c r="H5091" s="25">
        <v>35.0</v>
      </c>
      <c r="I5091" s="26">
        <f t="array" ref="I5091">XLOOKUP($A5091,product!A:A,product!E:E)</f>
        <v>1.31</v>
      </c>
      <c r="J5091" s="25">
        <f t="shared" si="2"/>
        <v>45.85</v>
      </c>
      <c r="K5091" s="27">
        <f t="shared" si="3"/>
        <v>1</v>
      </c>
      <c r="L5091" s="25">
        <f t="shared" si="4"/>
        <v>1</v>
      </c>
    </row>
    <row r="5092">
      <c r="A5092" s="19">
        <v>5544.0</v>
      </c>
      <c r="B5092" s="20" t="str">
        <f t="array" ref="B5092">xlookup($A5092,product!$A:$A,product!B:B)</f>
        <v>Epicerie sucrée</v>
      </c>
      <c r="C5092" s="20" t="str">
        <f t="array" ref="C5092">xlookup($A5092,product!$A:$A,product!C:C)</f>
        <v>Céréales petit déjeuner</v>
      </c>
      <c r="D5092" s="20" t="str">
        <f t="array" ref="D5092">xlookup($A5092,product!$A:$A,product!D:D)</f>
        <v>Flocons de Céréales</v>
      </c>
      <c r="E5092" s="4" t="str">
        <f t="shared" si="1"/>
        <v>5544-Céréales petit déjeuner-Flocons de Céréales</v>
      </c>
      <c r="F5092" s="4">
        <v>0.0</v>
      </c>
      <c r="G5092" s="4">
        <v>805.0</v>
      </c>
      <c r="H5092" s="4">
        <v>184.0</v>
      </c>
      <c r="I5092" s="21">
        <f t="array" ref="I5092">XLOOKUP($A5092,product!A:A,product!E:E)</f>
        <v>1.07</v>
      </c>
      <c r="J5092" s="4">
        <f t="shared" si="2"/>
        <v>196.88</v>
      </c>
      <c r="K5092" s="22">
        <f t="shared" si="3"/>
        <v>1</v>
      </c>
      <c r="L5092" s="4">
        <f t="shared" si="4"/>
        <v>1</v>
      </c>
    </row>
    <row r="5093">
      <c r="A5093" s="23">
        <v>122257.0</v>
      </c>
      <c r="B5093" s="24" t="str">
        <f t="array" ref="B5093">xlookup($A5093,product!$A:$A,product!B:B)</f>
        <v>Epicerie sucrée</v>
      </c>
      <c r="C5093" s="24" t="str">
        <f t="array" ref="C5093">xlookup($A5093,product!$A:$A,product!C:C)</f>
        <v>Céréales petit déjeuner</v>
      </c>
      <c r="D5093" s="24" t="str">
        <f t="array" ref="D5093">xlookup($A5093,product!$A:$A,product!D:D)</f>
        <v>Flocons de Céréales</v>
      </c>
      <c r="E5093" s="25" t="str">
        <f t="shared" si="1"/>
        <v>122257-Céréales petit déjeuner-Flocons de Céréales</v>
      </c>
      <c r="F5093" s="25">
        <v>1.0</v>
      </c>
      <c r="G5093" s="25">
        <v>780.0</v>
      </c>
      <c r="H5093" s="25">
        <v>432.0</v>
      </c>
      <c r="I5093" s="26">
        <f t="array" ref="I5093">XLOOKUP($A5093,product!A:A,product!E:E)</f>
        <v>0.99</v>
      </c>
      <c r="J5093" s="25">
        <f t="shared" si="2"/>
        <v>427.68</v>
      </c>
      <c r="K5093" s="27">
        <f t="shared" si="3"/>
        <v>1</v>
      </c>
      <c r="L5093" s="25">
        <f t="shared" si="4"/>
        <v>1</v>
      </c>
    </row>
    <row r="5094">
      <c r="A5094" s="19">
        <v>90740.0</v>
      </c>
      <c r="B5094" s="20" t="str">
        <f t="array" ref="B5094">xlookup($A5094,product!$A:$A,product!B:B)</f>
        <v>Epicerie sucrée</v>
      </c>
      <c r="C5094" s="20" t="str">
        <f t="array" ref="C5094">xlookup($A5094,product!$A:$A,product!C:C)</f>
        <v>Céréales petit déjeuner</v>
      </c>
      <c r="D5094" s="20" t="str">
        <f t="array" ref="D5094">xlookup($A5094,product!$A:$A,product!D:D)</f>
        <v>Flocons de Céréales</v>
      </c>
      <c r="E5094" s="4" t="str">
        <f t="shared" si="1"/>
        <v>90740-Céréales petit déjeuner-Flocons de Céréales</v>
      </c>
      <c r="F5094" s="4">
        <v>0.0</v>
      </c>
      <c r="G5094" s="4">
        <v>344.0</v>
      </c>
      <c r="H5094" s="4">
        <v>155.0</v>
      </c>
      <c r="I5094" s="21">
        <f t="array" ref="I5094">XLOOKUP($A5094,product!A:A,product!E:E)</f>
        <v>6.89</v>
      </c>
      <c r="J5094" s="4">
        <f t="shared" si="2"/>
        <v>1067.95</v>
      </c>
      <c r="K5094" s="22">
        <f t="shared" si="3"/>
        <v>1</v>
      </c>
      <c r="L5094" s="4">
        <f t="shared" si="4"/>
        <v>1</v>
      </c>
    </row>
    <row r="5095">
      <c r="A5095" s="23">
        <v>48280.0</v>
      </c>
      <c r="B5095" s="24" t="str">
        <f t="array" ref="B5095">xlookup($A5095,product!$A:$A,product!B:B)</f>
        <v>Epicerie sucrée</v>
      </c>
      <c r="C5095" s="24" t="str">
        <f t="array" ref="C5095">xlookup($A5095,product!$A:$A,product!C:C)</f>
        <v>Céréales petit déjeuner</v>
      </c>
      <c r="D5095" s="24" t="str">
        <f t="array" ref="D5095">xlookup($A5095,product!$A:$A,product!D:D)</f>
        <v>Flocons de Céréales</v>
      </c>
      <c r="E5095" s="25" t="str">
        <f t="shared" si="1"/>
        <v>48280-Céréales petit déjeuner-Flocons de Céréales</v>
      </c>
      <c r="F5095" s="25">
        <v>0.0</v>
      </c>
      <c r="G5095" s="25">
        <v>825.0</v>
      </c>
      <c r="H5095" s="25">
        <v>548.0</v>
      </c>
      <c r="I5095" s="26">
        <f t="array" ref="I5095">XLOOKUP($A5095,product!A:A,product!E:E)</f>
        <v>1.1</v>
      </c>
      <c r="J5095" s="25">
        <f t="shared" si="2"/>
        <v>602.8</v>
      </c>
      <c r="K5095" s="27">
        <f t="shared" si="3"/>
        <v>1</v>
      </c>
      <c r="L5095" s="25">
        <f t="shared" si="4"/>
        <v>1</v>
      </c>
    </row>
    <row r="5096">
      <c r="A5096" s="19">
        <v>71191.0</v>
      </c>
      <c r="B5096" s="20" t="str">
        <f t="array" ref="B5096">xlookup($A5096,product!$A:$A,product!B:B)</f>
        <v>Epicerie sucrée</v>
      </c>
      <c r="C5096" s="20" t="str">
        <f t="array" ref="C5096">xlookup($A5096,product!$A:$A,product!C:C)</f>
        <v>Céréales petit déjeuner</v>
      </c>
      <c r="D5096" s="20" t="str">
        <f t="array" ref="D5096">xlookup($A5096,product!$A:$A,product!D:D)</f>
        <v>Flocons de Céréales</v>
      </c>
      <c r="E5096" s="4" t="str">
        <f t="shared" si="1"/>
        <v>71191-Céréales petit déjeuner-Flocons de Céréales</v>
      </c>
      <c r="F5096" s="4">
        <v>1.0</v>
      </c>
      <c r="G5096" s="4">
        <v>210.0</v>
      </c>
      <c r="H5096" s="4">
        <v>168.0</v>
      </c>
      <c r="I5096" s="21">
        <f t="array" ref="I5096">XLOOKUP($A5096,product!A:A,product!E:E)</f>
        <v>2.23</v>
      </c>
      <c r="J5096" s="4">
        <f t="shared" si="2"/>
        <v>374.64</v>
      </c>
      <c r="K5096" s="22">
        <f t="shared" si="3"/>
        <v>1</v>
      </c>
      <c r="L5096" s="4">
        <f t="shared" si="4"/>
        <v>1</v>
      </c>
    </row>
    <row r="5097">
      <c r="A5097" s="23">
        <v>76418.0</v>
      </c>
      <c r="B5097" s="24" t="str">
        <f t="array" ref="B5097">xlookup($A5097,product!$A:$A,product!B:B)</f>
        <v>Epicerie sucrée</v>
      </c>
      <c r="C5097" s="24" t="str">
        <f t="array" ref="C5097">xlookup($A5097,product!$A:$A,product!C:C)</f>
        <v>Céréales petit déjeuner</v>
      </c>
      <c r="D5097" s="24" t="str">
        <f t="array" ref="D5097">xlookup($A5097,product!$A:$A,product!D:D)</f>
        <v>Flocons de Céréales</v>
      </c>
      <c r="E5097" s="25" t="str">
        <f t="shared" si="1"/>
        <v>76418-Céréales petit déjeuner-Flocons de Céréales</v>
      </c>
      <c r="F5097" s="25">
        <v>1.0</v>
      </c>
      <c r="G5097" s="25">
        <v>373.0</v>
      </c>
      <c r="H5097" s="25">
        <v>317.0</v>
      </c>
      <c r="I5097" s="26">
        <f t="array" ref="I5097">XLOOKUP($A5097,product!A:A,product!E:E)</f>
        <v>0.93</v>
      </c>
      <c r="J5097" s="25">
        <f t="shared" si="2"/>
        <v>294.81</v>
      </c>
      <c r="K5097" s="27">
        <f t="shared" si="3"/>
        <v>1</v>
      </c>
      <c r="L5097" s="25">
        <f t="shared" si="4"/>
        <v>1</v>
      </c>
    </row>
    <row r="5098">
      <c r="A5098" s="19">
        <v>87161.0</v>
      </c>
      <c r="B5098" s="20" t="str">
        <f t="array" ref="B5098">xlookup($A5098,product!$A:$A,product!B:B)</f>
        <v>Epicerie sucrée</v>
      </c>
      <c r="C5098" s="20" t="str">
        <f t="array" ref="C5098">xlookup($A5098,product!$A:$A,product!C:C)</f>
        <v>Céréales petit déjeuner</v>
      </c>
      <c r="D5098" s="20" t="str">
        <f t="array" ref="D5098">xlookup($A5098,product!$A:$A,product!D:D)</f>
        <v>Flocons de Céréales</v>
      </c>
      <c r="E5098" s="4" t="str">
        <f t="shared" si="1"/>
        <v>87161-Céréales petit déjeuner-Flocons de Céréales</v>
      </c>
      <c r="F5098" s="4">
        <v>1.0</v>
      </c>
      <c r="G5098" s="4">
        <v>496.0</v>
      </c>
      <c r="H5098" s="4">
        <v>212.0</v>
      </c>
      <c r="I5098" s="21">
        <f t="array" ref="I5098">XLOOKUP($A5098,product!A:A,product!E:E)</f>
        <v>0.82</v>
      </c>
      <c r="J5098" s="4">
        <f t="shared" si="2"/>
        <v>173.84</v>
      </c>
      <c r="K5098" s="22">
        <f t="shared" si="3"/>
        <v>1</v>
      </c>
      <c r="L5098" s="4">
        <f t="shared" si="4"/>
        <v>1</v>
      </c>
    </row>
    <row r="5099">
      <c r="A5099" s="23">
        <v>68323.0</v>
      </c>
      <c r="B5099" s="24" t="str">
        <f t="array" ref="B5099">xlookup($A5099,product!$A:$A,product!B:B)</f>
        <v>Epicerie sucrée</v>
      </c>
      <c r="C5099" s="24" t="str">
        <f t="array" ref="C5099">xlookup($A5099,product!$A:$A,product!C:C)</f>
        <v>Céréales petit déjeuner</v>
      </c>
      <c r="D5099" s="24" t="str">
        <f t="array" ref="D5099">xlookup($A5099,product!$A:$A,product!D:D)</f>
        <v>Flocons de Céréales</v>
      </c>
      <c r="E5099" s="25" t="str">
        <f t="shared" si="1"/>
        <v>68323-Céréales petit déjeuner-Flocons de Céréales</v>
      </c>
      <c r="F5099" s="25">
        <v>1.0</v>
      </c>
      <c r="G5099" s="25">
        <v>298.0</v>
      </c>
      <c r="H5099" s="25">
        <v>27.0</v>
      </c>
      <c r="I5099" s="26">
        <f t="array" ref="I5099">XLOOKUP($A5099,product!A:A,product!E:E)</f>
        <v>1.7</v>
      </c>
      <c r="J5099" s="25">
        <f t="shared" si="2"/>
        <v>45.9</v>
      </c>
      <c r="K5099" s="27">
        <f t="shared" si="3"/>
        <v>1</v>
      </c>
      <c r="L5099" s="25">
        <f t="shared" si="4"/>
        <v>1</v>
      </c>
    </row>
    <row r="5100">
      <c r="A5100" s="19">
        <v>72847.0</v>
      </c>
      <c r="B5100" s="20" t="str">
        <f t="array" ref="B5100">xlookup($A5100,product!$A:$A,product!B:B)</f>
        <v>Epicerie sucrée</v>
      </c>
      <c r="C5100" s="20" t="str">
        <f t="array" ref="C5100">xlookup($A5100,product!$A:$A,product!C:C)</f>
        <v>Céréales petit déjeuner</v>
      </c>
      <c r="D5100" s="20" t="str">
        <f t="array" ref="D5100">xlookup($A5100,product!$A:$A,product!D:D)</f>
        <v>Flocons de Céréales</v>
      </c>
      <c r="E5100" s="4" t="str">
        <f t="shared" si="1"/>
        <v>72847-Céréales petit déjeuner-Flocons de Céréales</v>
      </c>
      <c r="F5100" s="4">
        <v>0.0</v>
      </c>
      <c r="G5100" s="4">
        <v>851.0</v>
      </c>
      <c r="H5100" s="4">
        <v>695.0</v>
      </c>
      <c r="I5100" s="21">
        <f t="array" ref="I5100">XLOOKUP($A5100,product!A:A,product!E:E)</f>
        <v>2.35</v>
      </c>
      <c r="J5100" s="4">
        <f t="shared" si="2"/>
        <v>1633.25</v>
      </c>
      <c r="K5100" s="22">
        <f t="shared" si="3"/>
        <v>1</v>
      </c>
      <c r="L5100" s="4">
        <f t="shared" si="4"/>
        <v>1</v>
      </c>
    </row>
    <row r="5101">
      <c r="A5101" s="23">
        <v>90799.0</v>
      </c>
      <c r="B5101" s="24" t="str">
        <f t="array" ref="B5101">xlookup($A5101,product!$A:$A,product!B:B)</f>
        <v>Epicerie sucrée</v>
      </c>
      <c r="C5101" s="24" t="str">
        <f t="array" ref="C5101">xlookup($A5101,product!$A:$A,product!C:C)</f>
        <v>Céréales petit déjeuner</v>
      </c>
      <c r="D5101" s="24" t="str">
        <f t="array" ref="D5101">xlookup($A5101,product!$A:$A,product!D:D)</f>
        <v>Flocons de Céréales</v>
      </c>
      <c r="E5101" s="25" t="str">
        <f t="shared" si="1"/>
        <v>90799-Céréales petit déjeuner-Flocons de Céréales</v>
      </c>
      <c r="F5101" s="25">
        <v>0.0</v>
      </c>
      <c r="G5101" s="25">
        <v>660.0</v>
      </c>
      <c r="H5101" s="25">
        <v>22.0</v>
      </c>
      <c r="I5101" s="26">
        <f t="array" ref="I5101">XLOOKUP($A5101,product!A:A,product!E:E)</f>
        <v>0.79</v>
      </c>
      <c r="J5101" s="25">
        <f t="shared" si="2"/>
        <v>17.38</v>
      </c>
      <c r="K5101" s="27">
        <f t="shared" si="3"/>
        <v>1</v>
      </c>
      <c r="L5101" s="25">
        <f t="shared" si="4"/>
        <v>1</v>
      </c>
    </row>
    <row r="5102">
      <c r="A5102" s="19">
        <v>71194.0</v>
      </c>
      <c r="B5102" s="20" t="str">
        <f t="array" ref="B5102">xlookup($A5102,product!$A:$A,product!B:B)</f>
        <v>Epicerie sucrée</v>
      </c>
      <c r="C5102" s="20" t="str">
        <f t="array" ref="C5102">xlookup($A5102,product!$A:$A,product!C:C)</f>
        <v>Céréales petit déjeuner</v>
      </c>
      <c r="D5102" s="20" t="str">
        <f t="array" ref="D5102">xlookup($A5102,product!$A:$A,product!D:D)</f>
        <v>Flocons de Céréales</v>
      </c>
      <c r="E5102" s="4" t="str">
        <f t="shared" si="1"/>
        <v>71194-Céréales petit déjeuner-Flocons de Céréales</v>
      </c>
      <c r="F5102" s="4">
        <v>0.0</v>
      </c>
      <c r="G5102" s="4">
        <v>699.0</v>
      </c>
      <c r="H5102" s="4">
        <v>192.0</v>
      </c>
      <c r="I5102" s="21">
        <f t="array" ref="I5102">XLOOKUP($A5102,product!A:A,product!E:E)</f>
        <v>1.24</v>
      </c>
      <c r="J5102" s="4">
        <f t="shared" si="2"/>
        <v>238.08</v>
      </c>
      <c r="K5102" s="22">
        <f t="shared" si="3"/>
        <v>1</v>
      </c>
      <c r="L5102" s="4">
        <f t="shared" si="4"/>
        <v>1</v>
      </c>
    </row>
    <row r="5103">
      <c r="A5103" s="23">
        <v>68378.0</v>
      </c>
      <c r="B5103" s="24" t="str">
        <f t="array" ref="B5103">xlookup($A5103,product!$A:$A,product!B:B)</f>
        <v>Epicerie sucrée</v>
      </c>
      <c r="C5103" s="24" t="str">
        <f t="array" ref="C5103">xlookup($A5103,product!$A:$A,product!C:C)</f>
        <v>Céréales petit déjeuner</v>
      </c>
      <c r="D5103" s="24" t="str">
        <f t="array" ref="D5103">xlookup($A5103,product!$A:$A,product!D:D)</f>
        <v>Flocons de Céréales</v>
      </c>
      <c r="E5103" s="25" t="str">
        <f t="shared" si="1"/>
        <v>68378-Céréales petit déjeuner-Flocons de Céréales</v>
      </c>
      <c r="F5103" s="25">
        <v>1.0</v>
      </c>
      <c r="G5103" s="25">
        <v>908.0</v>
      </c>
      <c r="H5103" s="25">
        <v>592.0</v>
      </c>
      <c r="I5103" s="26">
        <f t="array" ref="I5103">XLOOKUP($A5103,product!A:A,product!E:E)</f>
        <v>1.09</v>
      </c>
      <c r="J5103" s="25">
        <f t="shared" si="2"/>
        <v>645.28</v>
      </c>
      <c r="K5103" s="27">
        <f t="shared" si="3"/>
        <v>1</v>
      </c>
      <c r="L5103" s="25">
        <f t="shared" si="4"/>
        <v>1</v>
      </c>
    </row>
    <row r="5104">
      <c r="A5104" s="19">
        <v>76426.0</v>
      </c>
      <c r="B5104" s="20" t="str">
        <f t="array" ref="B5104">xlookup($A5104,product!$A:$A,product!B:B)</f>
        <v>Epicerie sucrée</v>
      </c>
      <c r="C5104" s="20" t="str">
        <f t="array" ref="C5104">xlookup($A5104,product!$A:$A,product!C:C)</f>
        <v>Céréales petit déjeuner</v>
      </c>
      <c r="D5104" s="20" t="str">
        <f t="array" ref="D5104">xlookup($A5104,product!$A:$A,product!D:D)</f>
        <v>Flocons de Céréales</v>
      </c>
      <c r="E5104" s="4" t="str">
        <f t="shared" si="1"/>
        <v>76426-Céréales petit déjeuner-Flocons de Céréales</v>
      </c>
      <c r="F5104" s="4">
        <v>1.0</v>
      </c>
      <c r="G5104" s="4">
        <v>587.0</v>
      </c>
      <c r="H5104" s="4">
        <v>551.0</v>
      </c>
      <c r="I5104" s="21">
        <f t="array" ref="I5104">XLOOKUP($A5104,product!A:A,product!E:E)</f>
        <v>2.02</v>
      </c>
      <c r="J5104" s="4">
        <f t="shared" si="2"/>
        <v>1113.02</v>
      </c>
      <c r="K5104" s="22">
        <f t="shared" si="3"/>
        <v>1</v>
      </c>
      <c r="L5104" s="4">
        <f t="shared" si="4"/>
        <v>1</v>
      </c>
    </row>
    <row r="5105">
      <c r="A5105" s="23">
        <v>76413.0</v>
      </c>
      <c r="B5105" s="24" t="str">
        <f t="array" ref="B5105">xlookup($A5105,product!$A:$A,product!B:B)</f>
        <v>Epicerie sucrée</v>
      </c>
      <c r="C5105" s="24" t="str">
        <f t="array" ref="C5105">xlookup($A5105,product!$A:$A,product!C:C)</f>
        <v>Céréales petit déjeuner</v>
      </c>
      <c r="D5105" s="24" t="str">
        <f t="array" ref="D5105">xlookup($A5105,product!$A:$A,product!D:D)</f>
        <v>Flocons de Céréales</v>
      </c>
      <c r="E5105" s="25" t="str">
        <f t="shared" si="1"/>
        <v>76413-Céréales petit déjeuner-Flocons de Céréales</v>
      </c>
      <c r="F5105" s="25">
        <v>1.0</v>
      </c>
      <c r="G5105" s="25">
        <v>732.0</v>
      </c>
      <c r="H5105" s="25">
        <v>577.0</v>
      </c>
      <c r="I5105" s="26">
        <f t="array" ref="I5105">XLOOKUP($A5105,product!A:A,product!E:E)</f>
        <v>1.1</v>
      </c>
      <c r="J5105" s="25">
        <f t="shared" si="2"/>
        <v>634.7</v>
      </c>
      <c r="K5105" s="27">
        <f t="shared" si="3"/>
        <v>1</v>
      </c>
      <c r="L5105" s="25">
        <f t="shared" si="4"/>
        <v>1</v>
      </c>
    </row>
    <row r="5106">
      <c r="A5106" s="19">
        <v>68306.0</v>
      </c>
      <c r="B5106" s="20" t="str">
        <f t="array" ref="B5106">xlookup($A5106,product!$A:$A,product!B:B)</f>
        <v>Epicerie sucrée</v>
      </c>
      <c r="C5106" s="20" t="str">
        <f t="array" ref="C5106">xlookup($A5106,product!$A:$A,product!C:C)</f>
        <v>Céréales petit déjeuner</v>
      </c>
      <c r="D5106" s="20" t="str">
        <f t="array" ref="D5106">xlookup($A5106,product!$A:$A,product!D:D)</f>
        <v>Flocons de Céréales</v>
      </c>
      <c r="E5106" s="4" t="str">
        <f t="shared" si="1"/>
        <v>68306-Céréales petit déjeuner-Flocons de Céréales</v>
      </c>
      <c r="F5106" s="4">
        <v>1.0</v>
      </c>
      <c r="G5106" s="4">
        <v>12.0</v>
      </c>
      <c r="H5106" s="4">
        <v>4.0</v>
      </c>
      <c r="I5106" s="21">
        <f t="array" ref="I5106">XLOOKUP($A5106,product!A:A,product!E:E)</f>
        <v>0.94</v>
      </c>
      <c r="J5106" s="4">
        <f t="shared" si="2"/>
        <v>3.76</v>
      </c>
      <c r="K5106" s="22">
        <f t="shared" si="3"/>
        <v>1</v>
      </c>
      <c r="L5106" s="4">
        <f t="shared" si="4"/>
        <v>1</v>
      </c>
    </row>
    <row r="5107">
      <c r="A5107" s="23">
        <v>48283.0</v>
      </c>
      <c r="B5107" s="24" t="str">
        <f t="array" ref="B5107">xlookup($A5107,product!$A:$A,product!B:B)</f>
        <v>Epicerie sucrée</v>
      </c>
      <c r="C5107" s="24" t="str">
        <f t="array" ref="C5107">xlookup($A5107,product!$A:$A,product!C:C)</f>
        <v>Céréales petit déjeuner</v>
      </c>
      <c r="D5107" s="24" t="str">
        <f t="array" ref="D5107">xlookup($A5107,product!$A:$A,product!D:D)</f>
        <v>Flocons de Céréales</v>
      </c>
      <c r="E5107" s="25" t="str">
        <f t="shared" si="1"/>
        <v>48283-Céréales petit déjeuner-Flocons de Céréales</v>
      </c>
      <c r="F5107" s="25">
        <v>1.0</v>
      </c>
      <c r="G5107" s="25">
        <v>264.0</v>
      </c>
      <c r="H5107" s="25">
        <v>7.0</v>
      </c>
      <c r="I5107" s="26">
        <f t="array" ref="I5107">XLOOKUP($A5107,product!A:A,product!E:E)</f>
        <v>1.07</v>
      </c>
      <c r="J5107" s="25">
        <f t="shared" si="2"/>
        <v>7.49</v>
      </c>
      <c r="K5107" s="27">
        <f t="shared" si="3"/>
        <v>1</v>
      </c>
      <c r="L5107" s="25">
        <f t="shared" si="4"/>
        <v>1</v>
      </c>
    </row>
    <row r="5108">
      <c r="A5108" s="19">
        <v>81172.0</v>
      </c>
      <c r="B5108" s="20" t="str">
        <f t="array" ref="B5108">xlookup($A5108,product!$A:$A,product!B:B)</f>
        <v>Epicerie sucrée</v>
      </c>
      <c r="C5108" s="20" t="str">
        <f t="array" ref="C5108">xlookup($A5108,product!$A:$A,product!C:C)</f>
        <v>Céréales petit déjeuner</v>
      </c>
      <c r="D5108" s="20" t="str">
        <f t="array" ref="D5108">xlookup($A5108,product!$A:$A,product!D:D)</f>
        <v>Flocons de Céréales</v>
      </c>
      <c r="E5108" s="4" t="str">
        <f t="shared" si="1"/>
        <v>81172-Céréales petit déjeuner-Flocons de Céréales</v>
      </c>
      <c r="F5108" s="4">
        <v>1.0</v>
      </c>
      <c r="G5108" s="4">
        <v>589.0</v>
      </c>
      <c r="H5108" s="4">
        <v>123.0</v>
      </c>
      <c r="I5108" s="21">
        <f t="array" ref="I5108">XLOOKUP($A5108,product!A:A,product!E:E)</f>
        <v>1.6</v>
      </c>
      <c r="J5108" s="4">
        <f t="shared" si="2"/>
        <v>196.8</v>
      </c>
      <c r="K5108" s="22">
        <f t="shared" si="3"/>
        <v>1</v>
      </c>
      <c r="L5108" s="4">
        <f t="shared" si="4"/>
        <v>1</v>
      </c>
    </row>
    <row r="5109">
      <c r="A5109" s="23">
        <v>68328.0</v>
      </c>
      <c r="B5109" s="24" t="str">
        <f t="array" ref="B5109">xlookup($A5109,product!$A:$A,product!B:B)</f>
        <v>Epicerie sucrée</v>
      </c>
      <c r="C5109" s="24" t="str">
        <f t="array" ref="C5109">xlookup($A5109,product!$A:$A,product!C:C)</f>
        <v>Céréales petit déjeuner</v>
      </c>
      <c r="D5109" s="24" t="str">
        <f t="array" ref="D5109">xlookup($A5109,product!$A:$A,product!D:D)</f>
        <v>Flocons de Céréales</v>
      </c>
      <c r="E5109" s="25" t="str">
        <f t="shared" si="1"/>
        <v>68328-Céréales petit déjeuner-Flocons de Céréales</v>
      </c>
      <c r="F5109" s="25">
        <v>1.0</v>
      </c>
      <c r="G5109" s="25">
        <v>593.0</v>
      </c>
      <c r="H5109" s="25">
        <v>155.0</v>
      </c>
      <c r="I5109" s="26">
        <f t="array" ref="I5109">XLOOKUP($A5109,product!A:A,product!E:E)</f>
        <v>5.27</v>
      </c>
      <c r="J5109" s="25">
        <f t="shared" si="2"/>
        <v>816.85</v>
      </c>
      <c r="K5109" s="27">
        <f t="shared" si="3"/>
        <v>1</v>
      </c>
      <c r="L5109" s="25">
        <f t="shared" si="4"/>
        <v>1</v>
      </c>
    </row>
    <row r="5110">
      <c r="A5110" s="19">
        <v>158667.0</v>
      </c>
      <c r="B5110" s="20" t="str">
        <f t="array" ref="B5110">xlookup($A5110,product!$A:$A,product!B:B)</f>
        <v>Epicerie sucrée</v>
      </c>
      <c r="C5110" s="20" t="str">
        <f t="array" ref="C5110">xlookup($A5110,product!$A:$A,product!C:C)</f>
        <v>Céréales petit déjeuner</v>
      </c>
      <c r="D5110" s="20" t="str">
        <f t="array" ref="D5110">xlookup($A5110,product!$A:$A,product!D:D)</f>
        <v>Flocons de Céréales</v>
      </c>
      <c r="E5110" s="4" t="str">
        <f t="shared" si="1"/>
        <v>158667-Céréales petit déjeuner-Flocons de Céréales</v>
      </c>
      <c r="F5110" s="4">
        <v>0.0</v>
      </c>
      <c r="G5110" s="4">
        <v>518.0</v>
      </c>
      <c r="H5110" s="4">
        <v>195.0</v>
      </c>
      <c r="I5110" s="21">
        <f t="array" ref="I5110">XLOOKUP($A5110,product!A:A,product!E:E)</f>
        <v>2.42</v>
      </c>
      <c r="J5110" s="4">
        <f t="shared" si="2"/>
        <v>471.9</v>
      </c>
      <c r="K5110" s="22">
        <f t="shared" si="3"/>
        <v>1</v>
      </c>
      <c r="L5110" s="4">
        <f t="shared" si="4"/>
        <v>1</v>
      </c>
    </row>
    <row r="5111">
      <c r="A5111" s="23">
        <v>5539.0</v>
      </c>
      <c r="B5111" s="24" t="str">
        <f t="array" ref="B5111">xlookup($A5111,product!$A:$A,product!B:B)</f>
        <v>Epicerie sucrée</v>
      </c>
      <c r="C5111" s="24" t="str">
        <f t="array" ref="C5111">xlookup($A5111,product!$A:$A,product!C:C)</f>
        <v>Céréales petit déjeuner</v>
      </c>
      <c r="D5111" s="24" t="str">
        <f t="array" ref="D5111">xlookup($A5111,product!$A:$A,product!D:D)</f>
        <v>Flocons de Céréales</v>
      </c>
      <c r="E5111" s="25" t="str">
        <f t="shared" si="1"/>
        <v>5539-Céréales petit déjeuner-Flocons de Céréales</v>
      </c>
      <c r="F5111" s="25">
        <v>1.0</v>
      </c>
      <c r="G5111" s="25">
        <v>189.0</v>
      </c>
      <c r="H5111" s="25">
        <v>77.0</v>
      </c>
      <c r="I5111" s="26">
        <f t="array" ref="I5111">XLOOKUP($A5111,product!A:A,product!E:E)</f>
        <v>1.16</v>
      </c>
      <c r="J5111" s="25">
        <f t="shared" si="2"/>
        <v>89.32</v>
      </c>
      <c r="K5111" s="27">
        <f t="shared" si="3"/>
        <v>1</v>
      </c>
      <c r="L5111" s="25">
        <f t="shared" si="4"/>
        <v>1</v>
      </c>
    </row>
    <row r="5112">
      <c r="A5112" s="19">
        <v>68413.0</v>
      </c>
      <c r="B5112" s="20" t="str">
        <f t="array" ref="B5112">xlookup($A5112,product!$A:$A,product!B:B)</f>
        <v>Epicerie sucrée</v>
      </c>
      <c r="C5112" s="20" t="str">
        <f t="array" ref="C5112">xlookup($A5112,product!$A:$A,product!C:C)</f>
        <v>Céréales petit déjeuner</v>
      </c>
      <c r="D5112" s="20" t="str">
        <f t="array" ref="D5112">xlookup($A5112,product!$A:$A,product!D:D)</f>
        <v>Flocons de Céréales</v>
      </c>
      <c r="E5112" s="4" t="str">
        <f t="shared" si="1"/>
        <v>68413-Céréales petit déjeuner-Flocons de Céréales</v>
      </c>
      <c r="F5112" s="4">
        <v>0.0</v>
      </c>
      <c r="G5112" s="4">
        <v>587.0</v>
      </c>
      <c r="H5112" s="4">
        <v>486.0</v>
      </c>
      <c r="I5112" s="21">
        <f t="array" ref="I5112">XLOOKUP($A5112,product!A:A,product!E:E)</f>
        <v>1.62</v>
      </c>
      <c r="J5112" s="4">
        <f t="shared" si="2"/>
        <v>787.32</v>
      </c>
      <c r="K5112" s="22">
        <f t="shared" si="3"/>
        <v>1</v>
      </c>
      <c r="L5112" s="4">
        <f t="shared" si="4"/>
        <v>1</v>
      </c>
    </row>
    <row r="5113">
      <c r="A5113" s="23">
        <v>68345.0</v>
      </c>
      <c r="B5113" s="24" t="str">
        <f t="array" ref="B5113">xlookup($A5113,product!$A:$A,product!B:B)</f>
        <v>Epicerie sucrée</v>
      </c>
      <c r="C5113" s="24" t="str">
        <f t="array" ref="C5113">xlookup($A5113,product!$A:$A,product!C:C)</f>
        <v>Céréales petit déjeuner</v>
      </c>
      <c r="D5113" s="24" t="str">
        <f t="array" ref="D5113">xlookup($A5113,product!$A:$A,product!D:D)</f>
        <v>Flocons de Céréales</v>
      </c>
      <c r="E5113" s="25" t="str">
        <f t="shared" si="1"/>
        <v>68345-Céréales petit déjeuner-Flocons de Céréales</v>
      </c>
      <c r="F5113" s="25">
        <v>1.0</v>
      </c>
      <c r="G5113" s="25">
        <v>736.0</v>
      </c>
      <c r="H5113" s="25">
        <v>288.0</v>
      </c>
      <c r="I5113" s="26">
        <f t="array" ref="I5113">XLOOKUP($A5113,product!A:A,product!E:E)</f>
        <v>1.71</v>
      </c>
      <c r="J5113" s="25">
        <f t="shared" si="2"/>
        <v>492.48</v>
      </c>
      <c r="K5113" s="27">
        <f t="shared" si="3"/>
        <v>1</v>
      </c>
      <c r="L5113" s="25">
        <f t="shared" si="4"/>
        <v>1</v>
      </c>
    </row>
    <row r="5114">
      <c r="A5114" s="19">
        <v>70377.0</v>
      </c>
      <c r="B5114" s="20" t="str">
        <f t="array" ref="B5114">xlookup($A5114,product!$A:$A,product!B:B)</f>
        <v>Epicerie sucrée</v>
      </c>
      <c r="C5114" s="20" t="str">
        <f t="array" ref="C5114">xlookup($A5114,product!$A:$A,product!C:C)</f>
        <v>Céréales petit déjeuner</v>
      </c>
      <c r="D5114" s="20" t="str">
        <f t="array" ref="D5114">xlookup($A5114,product!$A:$A,product!D:D)</f>
        <v>Flocons de Céréales</v>
      </c>
      <c r="E5114" s="4" t="str">
        <f t="shared" si="1"/>
        <v>70377-Céréales petit déjeuner-Flocons de Céréales</v>
      </c>
      <c r="F5114" s="4">
        <v>1.0</v>
      </c>
      <c r="G5114" s="4">
        <v>563.0</v>
      </c>
      <c r="H5114" s="4">
        <v>236.0</v>
      </c>
      <c r="I5114" s="21">
        <f t="array" ref="I5114">XLOOKUP($A5114,product!A:A,product!E:E)</f>
        <v>1.34</v>
      </c>
      <c r="J5114" s="4">
        <f t="shared" si="2"/>
        <v>316.24</v>
      </c>
      <c r="K5114" s="22">
        <f t="shared" si="3"/>
        <v>1</v>
      </c>
      <c r="L5114" s="4">
        <f t="shared" si="4"/>
        <v>1</v>
      </c>
    </row>
    <row r="5115">
      <c r="A5115" s="23">
        <v>126547.0</v>
      </c>
      <c r="B5115" s="24" t="str">
        <f t="array" ref="B5115">xlookup($A5115,product!$A:$A,product!B:B)</f>
        <v>Epicerie sucrée</v>
      </c>
      <c r="C5115" s="24" t="str">
        <f t="array" ref="C5115">xlookup($A5115,product!$A:$A,product!C:C)</f>
        <v>Céréales petit déjeuner</v>
      </c>
      <c r="D5115" s="24" t="str">
        <f t="array" ref="D5115">xlookup($A5115,product!$A:$A,product!D:D)</f>
        <v>Flocons de Céréales</v>
      </c>
      <c r="E5115" s="25" t="str">
        <f t="shared" si="1"/>
        <v>126547-Céréales petit déjeuner-Flocons de Céréales</v>
      </c>
      <c r="F5115" s="25">
        <v>0.0</v>
      </c>
      <c r="G5115" s="25">
        <v>434.0</v>
      </c>
      <c r="H5115" s="25">
        <v>236.0</v>
      </c>
      <c r="I5115" s="26">
        <f t="array" ref="I5115">XLOOKUP($A5115,product!A:A,product!E:E)</f>
        <v>1.43</v>
      </c>
      <c r="J5115" s="25">
        <f t="shared" si="2"/>
        <v>337.48</v>
      </c>
      <c r="K5115" s="27">
        <f t="shared" si="3"/>
        <v>1</v>
      </c>
      <c r="L5115" s="25">
        <f t="shared" si="4"/>
        <v>1</v>
      </c>
    </row>
    <row r="5116">
      <c r="A5116" s="19">
        <v>117218.0</v>
      </c>
      <c r="B5116" s="20" t="str">
        <f t="array" ref="B5116">xlookup($A5116,product!$A:$A,product!B:B)</f>
        <v>Epicerie sucrée</v>
      </c>
      <c r="C5116" s="20" t="str">
        <f t="array" ref="C5116">xlookup($A5116,product!$A:$A,product!C:C)</f>
        <v>Céréales petit déjeuner</v>
      </c>
      <c r="D5116" s="20" t="str">
        <f t="array" ref="D5116">xlookup($A5116,product!$A:$A,product!D:D)</f>
        <v>Flocons de Céréales</v>
      </c>
      <c r="E5116" s="4" t="str">
        <f t="shared" si="1"/>
        <v>117218-Céréales petit déjeuner-Flocons de Céréales</v>
      </c>
      <c r="F5116" s="4">
        <v>0.0</v>
      </c>
      <c r="G5116" s="4">
        <v>433.0</v>
      </c>
      <c r="H5116" s="4">
        <v>274.0</v>
      </c>
      <c r="I5116" s="21">
        <f t="array" ref="I5116">XLOOKUP($A5116,product!A:A,product!E:E)</f>
        <v>2.08</v>
      </c>
      <c r="J5116" s="4">
        <f t="shared" si="2"/>
        <v>569.92</v>
      </c>
      <c r="K5116" s="22">
        <f t="shared" si="3"/>
        <v>1</v>
      </c>
      <c r="L5116" s="4">
        <f t="shared" si="4"/>
        <v>1</v>
      </c>
    </row>
    <row r="5117">
      <c r="A5117" s="23">
        <v>158668.0</v>
      </c>
      <c r="B5117" s="24" t="str">
        <f t="array" ref="B5117">xlookup($A5117,product!$A:$A,product!B:B)</f>
        <v>Epicerie sucrée</v>
      </c>
      <c r="C5117" s="24" t="str">
        <f t="array" ref="C5117">xlookup($A5117,product!$A:$A,product!C:C)</f>
        <v>Céréales petit déjeuner</v>
      </c>
      <c r="D5117" s="24" t="str">
        <f t="array" ref="D5117">xlookup($A5117,product!$A:$A,product!D:D)</f>
        <v>Flocons de Céréales</v>
      </c>
      <c r="E5117" s="25" t="str">
        <f t="shared" si="1"/>
        <v>158668-Céréales petit déjeuner-Flocons de Céréales</v>
      </c>
      <c r="F5117" s="25">
        <v>1.0</v>
      </c>
      <c r="G5117" s="25">
        <v>106.0</v>
      </c>
      <c r="H5117" s="25">
        <v>76.0</v>
      </c>
      <c r="I5117" s="26">
        <f t="array" ref="I5117">XLOOKUP($A5117,product!A:A,product!E:E)</f>
        <v>2.38</v>
      </c>
      <c r="J5117" s="25">
        <f t="shared" si="2"/>
        <v>180.88</v>
      </c>
      <c r="K5117" s="27">
        <f t="shared" si="3"/>
        <v>1</v>
      </c>
      <c r="L5117" s="25">
        <f t="shared" si="4"/>
        <v>1</v>
      </c>
    </row>
    <row r="5118">
      <c r="A5118" s="19">
        <v>19314.0</v>
      </c>
      <c r="B5118" s="20" t="str">
        <f t="array" ref="B5118">xlookup($A5118,product!$A:$A,product!B:B)</f>
        <v>Epicerie sucrée</v>
      </c>
      <c r="C5118" s="20" t="str">
        <f t="array" ref="C5118">xlookup($A5118,product!$A:$A,product!C:C)</f>
        <v>Céréales petit déjeuner</v>
      </c>
      <c r="D5118" s="20" t="str">
        <f t="array" ref="D5118">xlookup($A5118,product!$A:$A,product!D:D)</f>
        <v>Granola, Crunchy, Krounchy</v>
      </c>
      <c r="E5118" s="4" t="str">
        <f t="shared" si="1"/>
        <v>19314-Céréales petit déjeuner-Granola, Crunchy, Krounchy</v>
      </c>
      <c r="F5118" s="4">
        <v>1.0</v>
      </c>
      <c r="G5118" s="4">
        <v>434.0</v>
      </c>
      <c r="H5118" s="4">
        <v>94.0</v>
      </c>
      <c r="I5118" s="21">
        <f t="array" ref="I5118">XLOOKUP($A5118,product!A:A,product!E:E)</f>
        <v>3.24</v>
      </c>
      <c r="J5118" s="4">
        <f t="shared" si="2"/>
        <v>304.56</v>
      </c>
      <c r="K5118" s="22">
        <f t="shared" si="3"/>
        <v>1</v>
      </c>
      <c r="L5118" s="4">
        <f t="shared" si="4"/>
        <v>1</v>
      </c>
    </row>
    <row r="5119">
      <c r="A5119" s="23">
        <v>113867.0</v>
      </c>
      <c r="B5119" s="24" t="str">
        <f t="array" ref="B5119">xlookup($A5119,product!$A:$A,product!B:B)</f>
        <v>Epicerie sucrée</v>
      </c>
      <c r="C5119" s="24" t="str">
        <f t="array" ref="C5119">xlookup($A5119,product!$A:$A,product!C:C)</f>
        <v>Céréales petit déjeuner</v>
      </c>
      <c r="D5119" s="24" t="str">
        <f t="array" ref="D5119">xlookup($A5119,product!$A:$A,product!D:D)</f>
        <v>Granola, Crunchy, Krounchy</v>
      </c>
      <c r="E5119" s="25" t="str">
        <f t="shared" si="1"/>
        <v>113867-Céréales petit déjeuner-Granola, Crunchy, Krounchy</v>
      </c>
      <c r="F5119" s="25">
        <v>0.0</v>
      </c>
      <c r="G5119" s="25">
        <v>890.0</v>
      </c>
      <c r="H5119" s="25">
        <v>24.0</v>
      </c>
      <c r="I5119" s="26">
        <f t="array" ref="I5119">XLOOKUP($A5119,product!A:A,product!E:E)</f>
        <v>2.8</v>
      </c>
      <c r="J5119" s="25">
        <f t="shared" si="2"/>
        <v>67.2</v>
      </c>
      <c r="K5119" s="27">
        <f t="shared" si="3"/>
        <v>1</v>
      </c>
      <c r="L5119" s="25">
        <f t="shared" si="4"/>
        <v>1</v>
      </c>
    </row>
    <row r="5120">
      <c r="A5120" s="19">
        <v>19294.0</v>
      </c>
      <c r="B5120" s="20" t="str">
        <f t="array" ref="B5120">xlookup($A5120,product!$A:$A,product!B:B)</f>
        <v>Epicerie sucrée</v>
      </c>
      <c r="C5120" s="20" t="str">
        <f t="array" ref="C5120">xlookup($A5120,product!$A:$A,product!C:C)</f>
        <v>Céréales petit déjeuner</v>
      </c>
      <c r="D5120" s="20" t="str">
        <f t="array" ref="D5120">xlookup($A5120,product!$A:$A,product!D:D)</f>
        <v>Granola, Crunchy, Krounchy</v>
      </c>
      <c r="E5120" s="4" t="str">
        <f t="shared" si="1"/>
        <v>19294-Céréales petit déjeuner-Granola, Crunchy, Krounchy</v>
      </c>
      <c r="F5120" s="4">
        <v>1.0</v>
      </c>
      <c r="G5120" s="4">
        <v>207.0</v>
      </c>
      <c r="H5120" s="4">
        <v>167.0</v>
      </c>
      <c r="I5120" s="21">
        <f t="array" ref="I5120">XLOOKUP($A5120,product!A:A,product!E:E)</f>
        <v>2.98</v>
      </c>
      <c r="J5120" s="4">
        <f t="shared" si="2"/>
        <v>497.66</v>
      </c>
      <c r="K5120" s="22">
        <f t="shared" si="3"/>
        <v>1</v>
      </c>
      <c r="L5120" s="4">
        <f t="shared" si="4"/>
        <v>1</v>
      </c>
    </row>
    <row r="5121">
      <c r="A5121" s="23">
        <v>90961.0</v>
      </c>
      <c r="B5121" s="24" t="str">
        <f t="array" ref="B5121">xlookup($A5121,product!$A:$A,product!B:B)</f>
        <v>Epicerie sucrée</v>
      </c>
      <c r="C5121" s="24" t="str">
        <f t="array" ref="C5121">xlookup($A5121,product!$A:$A,product!C:C)</f>
        <v>Céréales petit déjeuner</v>
      </c>
      <c r="D5121" s="24" t="str">
        <f t="array" ref="D5121">xlookup($A5121,product!$A:$A,product!D:D)</f>
        <v>Granola, Crunchy, Krounchy</v>
      </c>
      <c r="E5121" s="25" t="str">
        <f t="shared" si="1"/>
        <v>90961-Céréales petit déjeuner-Granola, Crunchy, Krounchy</v>
      </c>
      <c r="F5121" s="25">
        <v>1.0</v>
      </c>
      <c r="G5121" s="25">
        <v>567.0</v>
      </c>
      <c r="H5121" s="25">
        <v>161.0</v>
      </c>
      <c r="I5121" s="26">
        <f t="array" ref="I5121">XLOOKUP($A5121,product!A:A,product!E:E)</f>
        <v>13.05</v>
      </c>
      <c r="J5121" s="25">
        <f t="shared" si="2"/>
        <v>2101.05</v>
      </c>
      <c r="K5121" s="27">
        <f t="shared" si="3"/>
        <v>1</v>
      </c>
      <c r="L5121" s="25">
        <f t="shared" si="4"/>
        <v>1</v>
      </c>
    </row>
    <row r="5122">
      <c r="A5122" s="19">
        <v>118480.0</v>
      </c>
      <c r="B5122" s="20" t="str">
        <f t="array" ref="B5122">xlookup($A5122,product!$A:$A,product!B:B)</f>
        <v>Epicerie sucrée</v>
      </c>
      <c r="C5122" s="20" t="str">
        <f t="array" ref="C5122">xlookup($A5122,product!$A:$A,product!C:C)</f>
        <v>Céréales petit déjeuner</v>
      </c>
      <c r="D5122" s="20" t="str">
        <f t="array" ref="D5122">xlookup($A5122,product!$A:$A,product!D:D)</f>
        <v>Granola, Crunchy, Krounchy</v>
      </c>
      <c r="E5122" s="4" t="str">
        <f t="shared" si="1"/>
        <v>118480-Céréales petit déjeuner-Granola, Crunchy, Krounchy</v>
      </c>
      <c r="F5122" s="4">
        <v>0.0</v>
      </c>
      <c r="G5122" s="4">
        <v>328.0</v>
      </c>
      <c r="H5122" s="4">
        <v>88.0</v>
      </c>
      <c r="I5122" s="21">
        <f t="array" ref="I5122">XLOOKUP($A5122,product!A:A,product!E:E)</f>
        <v>2.33</v>
      </c>
      <c r="J5122" s="4">
        <f t="shared" si="2"/>
        <v>205.04</v>
      </c>
      <c r="K5122" s="22">
        <f t="shared" si="3"/>
        <v>1</v>
      </c>
      <c r="L5122" s="4">
        <f t="shared" si="4"/>
        <v>1</v>
      </c>
    </row>
    <row r="5123">
      <c r="A5123" s="23">
        <v>98337.0</v>
      </c>
      <c r="B5123" s="24" t="str">
        <f t="array" ref="B5123">xlookup($A5123,product!$A:$A,product!B:B)</f>
        <v>Epicerie sucrée</v>
      </c>
      <c r="C5123" s="24" t="str">
        <f t="array" ref="C5123">xlookup($A5123,product!$A:$A,product!C:C)</f>
        <v>Céréales petit déjeuner</v>
      </c>
      <c r="D5123" s="24" t="str">
        <f t="array" ref="D5123">xlookup($A5123,product!$A:$A,product!D:D)</f>
        <v>Granola, Crunchy, Krounchy</v>
      </c>
      <c r="E5123" s="25" t="str">
        <f t="shared" si="1"/>
        <v>98337-Céréales petit déjeuner-Granola, Crunchy, Krounchy</v>
      </c>
      <c r="F5123" s="25">
        <v>0.0</v>
      </c>
      <c r="G5123" s="25">
        <v>592.0</v>
      </c>
      <c r="H5123" s="25">
        <v>262.0</v>
      </c>
      <c r="I5123" s="26">
        <f t="array" ref="I5123">XLOOKUP($A5123,product!A:A,product!E:E)</f>
        <v>2.93</v>
      </c>
      <c r="J5123" s="25">
        <f t="shared" si="2"/>
        <v>767.66</v>
      </c>
      <c r="K5123" s="27">
        <f t="shared" si="3"/>
        <v>1</v>
      </c>
      <c r="L5123" s="25">
        <f t="shared" si="4"/>
        <v>1</v>
      </c>
    </row>
    <row r="5124">
      <c r="A5124" s="19">
        <v>90955.0</v>
      </c>
      <c r="B5124" s="20" t="str">
        <f t="array" ref="B5124">xlookup($A5124,product!$A:$A,product!B:B)</f>
        <v>Epicerie sucrée</v>
      </c>
      <c r="C5124" s="20" t="str">
        <f t="array" ref="C5124">xlookup($A5124,product!$A:$A,product!C:C)</f>
        <v>Céréales petit déjeuner</v>
      </c>
      <c r="D5124" s="20" t="str">
        <f t="array" ref="D5124">xlookup($A5124,product!$A:$A,product!D:D)</f>
        <v>Granola, Crunchy, Krounchy</v>
      </c>
      <c r="E5124" s="4" t="str">
        <f t="shared" si="1"/>
        <v>90955-Céréales petit déjeuner-Granola, Crunchy, Krounchy</v>
      </c>
      <c r="F5124" s="4">
        <v>0.0</v>
      </c>
      <c r="G5124" s="4">
        <v>901.0</v>
      </c>
      <c r="H5124" s="4">
        <v>46.0</v>
      </c>
      <c r="I5124" s="21">
        <f t="array" ref="I5124">XLOOKUP($A5124,product!A:A,product!E:E)</f>
        <v>2.98</v>
      </c>
      <c r="J5124" s="4">
        <f t="shared" si="2"/>
        <v>137.08</v>
      </c>
      <c r="K5124" s="22">
        <f t="shared" si="3"/>
        <v>1</v>
      </c>
      <c r="L5124" s="4">
        <f t="shared" si="4"/>
        <v>1</v>
      </c>
    </row>
    <row r="5125">
      <c r="A5125" s="23">
        <v>19303.0</v>
      </c>
      <c r="B5125" s="24" t="str">
        <f t="array" ref="B5125">xlookup($A5125,product!$A:$A,product!B:B)</f>
        <v>Epicerie sucrée</v>
      </c>
      <c r="C5125" s="24" t="str">
        <f t="array" ref="C5125">xlookup($A5125,product!$A:$A,product!C:C)</f>
        <v>Céréales petit déjeuner</v>
      </c>
      <c r="D5125" s="24" t="str">
        <f t="array" ref="D5125">xlookup($A5125,product!$A:$A,product!D:D)</f>
        <v>Granola, Crunchy, Krounchy</v>
      </c>
      <c r="E5125" s="25" t="str">
        <f t="shared" si="1"/>
        <v>19303-Céréales petit déjeuner-Granola, Crunchy, Krounchy</v>
      </c>
      <c r="F5125" s="25">
        <v>1.0</v>
      </c>
      <c r="G5125" s="25">
        <v>333.0</v>
      </c>
      <c r="H5125" s="25">
        <v>234.0</v>
      </c>
      <c r="I5125" s="26">
        <f t="array" ref="I5125">XLOOKUP($A5125,product!A:A,product!E:E)</f>
        <v>2.83</v>
      </c>
      <c r="J5125" s="25">
        <f t="shared" si="2"/>
        <v>662.22</v>
      </c>
      <c r="K5125" s="27">
        <f t="shared" si="3"/>
        <v>1</v>
      </c>
      <c r="L5125" s="25">
        <f t="shared" si="4"/>
        <v>1</v>
      </c>
    </row>
    <row r="5126">
      <c r="A5126" s="19">
        <v>98338.0</v>
      </c>
      <c r="B5126" s="20" t="str">
        <f t="array" ref="B5126">xlookup($A5126,product!$A:$A,product!B:B)</f>
        <v>Epicerie sucrée</v>
      </c>
      <c r="C5126" s="20" t="str">
        <f t="array" ref="C5126">xlookup($A5126,product!$A:$A,product!C:C)</f>
        <v>Céréales petit déjeuner</v>
      </c>
      <c r="D5126" s="20" t="str">
        <f t="array" ref="D5126">xlookup($A5126,product!$A:$A,product!D:D)</f>
        <v>Granola, Crunchy, Krounchy</v>
      </c>
      <c r="E5126" s="4" t="str">
        <f t="shared" si="1"/>
        <v>98338-Céréales petit déjeuner-Granola, Crunchy, Krounchy</v>
      </c>
      <c r="F5126" s="4">
        <v>0.0</v>
      </c>
      <c r="G5126" s="4">
        <v>894.0</v>
      </c>
      <c r="H5126" s="4">
        <v>591.0</v>
      </c>
      <c r="I5126" s="21">
        <f t="array" ref="I5126">XLOOKUP($A5126,product!A:A,product!E:E)</f>
        <v>3.62</v>
      </c>
      <c r="J5126" s="4">
        <f t="shared" si="2"/>
        <v>2139.42</v>
      </c>
      <c r="K5126" s="22">
        <f t="shared" si="3"/>
        <v>1</v>
      </c>
      <c r="L5126" s="4">
        <f t="shared" si="4"/>
        <v>1</v>
      </c>
    </row>
    <row r="5127">
      <c r="A5127" s="23">
        <v>98339.0</v>
      </c>
      <c r="B5127" s="24" t="str">
        <f t="array" ref="B5127">xlookup($A5127,product!$A:$A,product!B:B)</f>
        <v>Epicerie sucrée</v>
      </c>
      <c r="C5127" s="24" t="str">
        <f t="array" ref="C5127">xlookup($A5127,product!$A:$A,product!C:C)</f>
        <v>Céréales petit déjeuner</v>
      </c>
      <c r="D5127" s="24" t="str">
        <f t="array" ref="D5127">xlookup($A5127,product!$A:$A,product!D:D)</f>
        <v>Granola, Crunchy, Krounchy</v>
      </c>
      <c r="E5127" s="25" t="str">
        <f t="shared" si="1"/>
        <v>98339-Céréales petit déjeuner-Granola, Crunchy, Krounchy</v>
      </c>
      <c r="F5127" s="25">
        <v>1.0</v>
      </c>
      <c r="G5127" s="25">
        <v>400.0</v>
      </c>
      <c r="H5127" s="25">
        <v>284.0</v>
      </c>
      <c r="I5127" s="26">
        <f t="array" ref="I5127">XLOOKUP($A5127,product!A:A,product!E:E)</f>
        <v>3.59</v>
      </c>
      <c r="J5127" s="25">
        <f t="shared" si="2"/>
        <v>1019.56</v>
      </c>
      <c r="K5127" s="27">
        <f t="shared" si="3"/>
        <v>1</v>
      </c>
      <c r="L5127" s="25">
        <f t="shared" si="4"/>
        <v>1</v>
      </c>
    </row>
    <row r="5128">
      <c r="A5128" s="19">
        <v>19296.0</v>
      </c>
      <c r="B5128" s="20" t="str">
        <f t="array" ref="B5128">xlookup($A5128,product!$A:$A,product!B:B)</f>
        <v>Epicerie sucrée</v>
      </c>
      <c r="C5128" s="20" t="str">
        <f t="array" ref="C5128">xlookup($A5128,product!$A:$A,product!C:C)</f>
        <v>Céréales petit déjeuner</v>
      </c>
      <c r="D5128" s="20" t="str">
        <f t="array" ref="D5128">xlookup($A5128,product!$A:$A,product!D:D)</f>
        <v>Granola, Crunchy, Krounchy</v>
      </c>
      <c r="E5128" s="4" t="str">
        <f t="shared" si="1"/>
        <v>19296-Céréales petit déjeuner-Granola, Crunchy, Krounchy</v>
      </c>
      <c r="F5128" s="4">
        <v>1.0</v>
      </c>
      <c r="G5128" s="4">
        <v>42.0</v>
      </c>
      <c r="H5128" s="4">
        <v>28.0</v>
      </c>
      <c r="I5128" s="21">
        <f t="array" ref="I5128">XLOOKUP($A5128,product!A:A,product!E:E)</f>
        <v>4.52</v>
      </c>
      <c r="J5128" s="4">
        <f t="shared" si="2"/>
        <v>126.56</v>
      </c>
      <c r="K5128" s="22">
        <f t="shared" si="3"/>
        <v>1</v>
      </c>
      <c r="L5128" s="4">
        <f t="shared" si="4"/>
        <v>1</v>
      </c>
    </row>
    <row r="5129">
      <c r="A5129" s="23">
        <v>19306.0</v>
      </c>
      <c r="B5129" s="24" t="str">
        <f t="array" ref="B5129">xlookup($A5129,product!$A:$A,product!B:B)</f>
        <v>Epicerie sucrée</v>
      </c>
      <c r="C5129" s="24" t="str">
        <f t="array" ref="C5129">xlookup($A5129,product!$A:$A,product!C:C)</f>
        <v>Céréales petit déjeuner</v>
      </c>
      <c r="D5129" s="24" t="str">
        <f t="array" ref="D5129">xlookup($A5129,product!$A:$A,product!D:D)</f>
        <v>Granola, Crunchy, Krounchy</v>
      </c>
      <c r="E5129" s="25" t="str">
        <f t="shared" si="1"/>
        <v>19306-Céréales petit déjeuner-Granola, Crunchy, Krounchy</v>
      </c>
      <c r="F5129" s="25">
        <v>1.0</v>
      </c>
      <c r="G5129" s="25">
        <v>248.0</v>
      </c>
      <c r="H5129" s="25">
        <v>92.0</v>
      </c>
      <c r="I5129" s="26">
        <f t="array" ref="I5129">XLOOKUP($A5129,product!A:A,product!E:E)</f>
        <v>2.69</v>
      </c>
      <c r="J5129" s="25">
        <f t="shared" si="2"/>
        <v>247.48</v>
      </c>
      <c r="K5129" s="27">
        <f t="shared" si="3"/>
        <v>1</v>
      </c>
      <c r="L5129" s="25">
        <f t="shared" si="4"/>
        <v>1</v>
      </c>
    </row>
    <row r="5130">
      <c r="A5130" s="19">
        <v>90969.0</v>
      </c>
      <c r="B5130" s="20" t="str">
        <f t="array" ref="B5130">xlookup($A5130,product!$A:$A,product!B:B)</f>
        <v>Epicerie sucrée</v>
      </c>
      <c r="C5130" s="20" t="str">
        <f t="array" ref="C5130">xlookup($A5130,product!$A:$A,product!C:C)</f>
        <v>Céréales petit déjeuner</v>
      </c>
      <c r="D5130" s="20" t="str">
        <f t="array" ref="D5130">xlookup($A5130,product!$A:$A,product!D:D)</f>
        <v>Granola, Crunchy, Krounchy</v>
      </c>
      <c r="E5130" s="4" t="str">
        <f t="shared" si="1"/>
        <v>90969-Céréales petit déjeuner-Granola, Crunchy, Krounchy</v>
      </c>
      <c r="F5130" s="4">
        <v>0.0</v>
      </c>
      <c r="G5130" s="4">
        <v>532.0</v>
      </c>
      <c r="H5130" s="4">
        <v>302.0</v>
      </c>
      <c r="I5130" s="21">
        <f t="array" ref="I5130">XLOOKUP($A5130,product!A:A,product!E:E)</f>
        <v>2.41</v>
      </c>
      <c r="J5130" s="4">
        <f t="shared" si="2"/>
        <v>727.82</v>
      </c>
      <c r="K5130" s="22">
        <f t="shared" si="3"/>
        <v>1</v>
      </c>
      <c r="L5130" s="4">
        <f t="shared" si="4"/>
        <v>1</v>
      </c>
    </row>
    <row r="5131">
      <c r="A5131" s="23">
        <v>19299.0</v>
      </c>
      <c r="B5131" s="24" t="str">
        <f t="array" ref="B5131">xlookup($A5131,product!$A:$A,product!B:B)</f>
        <v>Epicerie sucrée</v>
      </c>
      <c r="C5131" s="24" t="str">
        <f t="array" ref="C5131">xlookup($A5131,product!$A:$A,product!C:C)</f>
        <v>Céréales petit déjeuner</v>
      </c>
      <c r="D5131" s="24" t="str">
        <f t="array" ref="D5131">xlookup($A5131,product!$A:$A,product!D:D)</f>
        <v>Granola, Crunchy, Krounchy</v>
      </c>
      <c r="E5131" s="25" t="str">
        <f t="shared" si="1"/>
        <v>19299-Céréales petit déjeuner-Granola, Crunchy, Krounchy</v>
      </c>
      <c r="F5131" s="25">
        <v>0.0</v>
      </c>
      <c r="G5131" s="25">
        <v>326.0</v>
      </c>
      <c r="H5131" s="25">
        <v>206.0</v>
      </c>
      <c r="I5131" s="26">
        <f t="array" ref="I5131">XLOOKUP($A5131,product!A:A,product!E:E)</f>
        <v>3.76</v>
      </c>
      <c r="J5131" s="25">
        <f t="shared" si="2"/>
        <v>774.56</v>
      </c>
      <c r="K5131" s="27">
        <f t="shared" si="3"/>
        <v>1</v>
      </c>
      <c r="L5131" s="25">
        <f t="shared" si="4"/>
        <v>1</v>
      </c>
    </row>
    <row r="5132">
      <c r="A5132" s="19">
        <v>5764.0</v>
      </c>
      <c r="B5132" s="20" t="str">
        <f t="array" ref="B5132">xlookup($A5132,product!$A:$A,product!B:B)</f>
        <v>Epicerie sucrée</v>
      </c>
      <c r="C5132" s="20" t="str">
        <f t="array" ref="C5132">xlookup($A5132,product!$A:$A,product!C:C)</f>
        <v>Céréales petit déjeuner</v>
      </c>
      <c r="D5132" s="20" t="str">
        <f t="array" ref="D5132">xlookup($A5132,product!$A:$A,product!D:D)</f>
        <v>Granola, Crunchy, Krounchy</v>
      </c>
      <c r="E5132" s="4" t="str">
        <f t="shared" si="1"/>
        <v>5764-Céréales petit déjeuner-Granola, Crunchy, Krounchy</v>
      </c>
      <c r="F5132" s="4">
        <v>1.0</v>
      </c>
      <c r="G5132" s="4">
        <v>477.0</v>
      </c>
      <c r="H5132" s="4">
        <v>227.0</v>
      </c>
      <c r="I5132" s="21">
        <f t="array" ref="I5132">XLOOKUP($A5132,product!A:A,product!E:E)</f>
        <v>3.05</v>
      </c>
      <c r="J5132" s="4">
        <f t="shared" si="2"/>
        <v>692.35</v>
      </c>
      <c r="K5132" s="22">
        <f t="shared" si="3"/>
        <v>1</v>
      </c>
      <c r="L5132" s="4">
        <f t="shared" si="4"/>
        <v>1</v>
      </c>
    </row>
    <row r="5133">
      <c r="A5133" s="23">
        <v>114667.0</v>
      </c>
      <c r="B5133" s="24" t="str">
        <f t="array" ref="B5133">xlookup($A5133,product!$A:$A,product!B:B)</f>
        <v>Epicerie sucrée</v>
      </c>
      <c r="C5133" s="24" t="str">
        <f t="array" ref="C5133">xlookup($A5133,product!$A:$A,product!C:C)</f>
        <v>Céréales petit déjeuner</v>
      </c>
      <c r="D5133" s="24" t="str">
        <f t="array" ref="D5133">xlookup($A5133,product!$A:$A,product!D:D)</f>
        <v>Granola, Crunchy, Krounchy</v>
      </c>
      <c r="E5133" s="25" t="str">
        <f t="shared" si="1"/>
        <v>114667-Céréales petit déjeuner-Granola, Crunchy, Krounchy</v>
      </c>
      <c r="F5133" s="25">
        <v>0.0</v>
      </c>
      <c r="G5133" s="25">
        <v>368.0</v>
      </c>
      <c r="H5133" s="25">
        <v>276.0</v>
      </c>
      <c r="I5133" s="26">
        <f t="array" ref="I5133">XLOOKUP($A5133,product!A:A,product!E:E)</f>
        <v>4.91</v>
      </c>
      <c r="J5133" s="25">
        <f t="shared" si="2"/>
        <v>1355.16</v>
      </c>
      <c r="K5133" s="27">
        <f t="shared" si="3"/>
        <v>1</v>
      </c>
      <c r="L5133" s="25">
        <f t="shared" si="4"/>
        <v>1</v>
      </c>
    </row>
    <row r="5134">
      <c r="A5134" s="19">
        <v>113870.0</v>
      </c>
      <c r="B5134" s="20" t="str">
        <f t="array" ref="B5134">xlookup($A5134,product!$A:$A,product!B:B)</f>
        <v>Epicerie sucrée</v>
      </c>
      <c r="C5134" s="20" t="str">
        <f t="array" ref="C5134">xlookup($A5134,product!$A:$A,product!C:C)</f>
        <v>Céréales petit déjeuner</v>
      </c>
      <c r="D5134" s="20" t="str">
        <f t="array" ref="D5134">xlookup($A5134,product!$A:$A,product!D:D)</f>
        <v>Granola, Crunchy, Krounchy</v>
      </c>
      <c r="E5134" s="4" t="str">
        <f t="shared" si="1"/>
        <v>113870-Céréales petit déjeuner-Granola, Crunchy, Krounchy</v>
      </c>
      <c r="F5134" s="4">
        <v>1.0</v>
      </c>
      <c r="G5134" s="4">
        <v>592.0</v>
      </c>
      <c r="H5134" s="4">
        <v>377.0</v>
      </c>
      <c r="I5134" s="21">
        <f t="array" ref="I5134">XLOOKUP($A5134,product!A:A,product!E:E)</f>
        <v>2.88</v>
      </c>
      <c r="J5134" s="4">
        <f t="shared" si="2"/>
        <v>1085.76</v>
      </c>
      <c r="K5134" s="22">
        <f t="shared" si="3"/>
        <v>1</v>
      </c>
      <c r="L5134" s="4">
        <f t="shared" si="4"/>
        <v>1</v>
      </c>
    </row>
    <row r="5135">
      <c r="A5135" s="23">
        <v>127918.0</v>
      </c>
      <c r="B5135" s="24" t="str">
        <f t="array" ref="B5135">xlookup($A5135,product!$A:$A,product!B:B)</f>
        <v>Epicerie sucrée</v>
      </c>
      <c r="C5135" s="24" t="str">
        <f t="array" ref="C5135">xlookup($A5135,product!$A:$A,product!C:C)</f>
        <v>Céréales petit déjeuner</v>
      </c>
      <c r="D5135" s="24" t="str">
        <f t="array" ref="D5135">xlookup($A5135,product!$A:$A,product!D:D)</f>
        <v>Granola, Crunchy, Krounchy</v>
      </c>
      <c r="E5135" s="25" t="str">
        <f t="shared" si="1"/>
        <v>127918-Céréales petit déjeuner-Granola, Crunchy, Krounchy</v>
      </c>
      <c r="F5135" s="25">
        <v>0.0</v>
      </c>
      <c r="G5135" s="25">
        <v>884.0</v>
      </c>
      <c r="H5135" s="25">
        <v>542.0</v>
      </c>
      <c r="I5135" s="26">
        <f t="array" ref="I5135">XLOOKUP($A5135,product!A:A,product!E:E)</f>
        <v>2.84</v>
      </c>
      <c r="J5135" s="25">
        <f t="shared" si="2"/>
        <v>1539.28</v>
      </c>
      <c r="K5135" s="27">
        <f t="shared" si="3"/>
        <v>1</v>
      </c>
      <c r="L5135" s="25">
        <f t="shared" si="4"/>
        <v>1</v>
      </c>
    </row>
    <row r="5136">
      <c r="A5136" s="19">
        <v>127917.0</v>
      </c>
      <c r="B5136" s="20" t="str">
        <f t="array" ref="B5136">xlookup($A5136,product!$A:$A,product!B:B)</f>
        <v>Epicerie sucrée</v>
      </c>
      <c r="C5136" s="20" t="str">
        <f t="array" ref="C5136">xlookup($A5136,product!$A:$A,product!C:C)</f>
        <v>Céréales petit déjeuner</v>
      </c>
      <c r="D5136" s="20" t="str">
        <f t="array" ref="D5136">xlookup($A5136,product!$A:$A,product!D:D)</f>
        <v>Granola, Crunchy, Krounchy</v>
      </c>
      <c r="E5136" s="4" t="str">
        <f t="shared" si="1"/>
        <v>127917-Céréales petit déjeuner-Granola, Crunchy, Krounchy</v>
      </c>
      <c r="F5136" s="4">
        <v>0.0</v>
      </c>
      <c r="G5136" s="4">
        <v>2.0</v>
      </c>
      <c r="H5136" s="4">
        <v>2.0</v>
      </c>
      <c r="I5136" s="21">
        <f t="array" ref="I5136">XLOOKUP($A5136,product!A:A,product!E:E)</f>
        <v>3.1</v>
      </c>
      <c r="J5136" s="4">
        <f t="shared" si="2"/>
        <v>6.2</v>
      </c>
      <c r="K5136" s="22">
        <f t="shared" si="3"/>
        <v>1</v>
      </c>
      <c r="L5136" s="4">
        <f t="shared" si="4"/>
        <v>1</v>
      </c>
    </row>
    <row r="5137">
      <c r="A5137" s="23">
        <v>19297.0</v>
      </c>
      <c r="B5137" s="24" t="str">
        <f t="array" ref="B5137">xlookup($A5137,product!$A:$A,product!B:B)</f>
        <v>Epicerie sucrée</v>
      </c>
      <c r="C5137" s="24" t="str">
        <f t="array" ref="C5137">xlookup($A5137,product!$A:$A,product!C:C)</f>
        <v>Céréales petit déjeuner</v>
      </c>
      <c r="D5137" s="24" t="str">
        <f t="array" ref="D5137">xlookup($A5137,product!$A:$A,product!D:D)</f>
        <v>Granola, Crunchy, Krounchy</v>
      </c>
      <c r="E5137" s="25" t="str">
        <f t="shared" si="1"/>
        <v>19297-Céréales petit déjeuner-Granola, Crunchy, Krounchy</v>
      </c>
      <c r="F5137" s="25">
        <v>0.0</v>
      </c>
      <c r="G5137" s="25">
        <v>611.0</v>
      </c>
      <c r="H5137" s="25">
        <v>453.0</v>
      </c>
      <c r="I5137" s="26">
        <f t="array" ref="I5137">XLOOKUP($A5137,product!A:A,product!E:E)</f>
        <v>4.17</v>
      </c>
      <c r="J5137" s="25">
        <f t="shared" si="2"/>
        <v>1889.01</v>
      </c>
      <c r="K5137" s="27">
        <f t="shared" si="3"/>
        <v>1</v>
      </c>
      <c r="L5137" s="25">
        <f t="shared" si="4"/>
        <v>1</v>
      </c>
    </row>
    <row r="5138">
      <c r="A5138" s="19">
        <v>19316.0</v>
      </c>
      <c r="B5138" s="20" t="str">
        <f t="array" ref="B5138">xlookup($A5138,product!$A:$A,product!B:B)</f>
        <v>Epicerie sucrée</v>
      </c>
      <c r="C5138" s="20" t="str">
        <f t="array" ref="C5138">xlookup($A5138,product!$A:$A,product!C:C)</f>
        <v>Céréales petit déjeuner</v>
      </c>
      <c r="D5138" s="20" t="str">
        <f t="array" ref="D5138">xlookup($A5138,product!$A:$A,product!D:D)</f>
        <v>Granola, Crunchy, Krounchy</v>
      </c>
      <c r="E5138" s="4" t="str">
        <f t="shared" si="1"/>
        <v>19316-Céréales petit déjeuner-Granola, Crunchy, Krounchy</v>
      </c>
      <c r="F5138" s="4">
        <v>1.0</v>
      </c>
      <c r="G5138" s="4">
        <v>121.0</v>
      </c>
      <c r="H5138" s="4">
        <v>10.0</v>
      </c>
      <c r="I5138" s="21">
        <f t="array" ref="I5138">XLOOKUP($A5138,product!A:A,product!E:E)</f>
        <v>3.47</v>
      </c>
      <c r="J5138" s="4">
        <f t="shared" si="2"/>
        <v>34.7</v>
      </c>
      <c r="K5138" s="22">
        <f t="shared" si="3"/>
        <v>1</v>
      </c>
      <c r="L5138" s="4">
        <f t="shared" si="4"/>
        <v>1</v>
      </c>
    </row>
    <row r="5139">
      <c r="A5139" s="23">
        <v>118481.0</v>
      </c>
      <c r="B5139" s="24" t="str">
        <f t="array" ref="B5139">xlookup($A5139,product!$A:$A,product!B:B)</f>
        <v>Epicerie sucrée</v>
      </c>
      <c r="C5139" s="24" t="str">
        <f t="array" ref="C5139">xlookup($A5139,product!$A:$A,product!C:C)</f>
        <v>Céréales petit déjeuner</v>
      </c>
      <c r="D5139" s="24" t="str">
        <f t="array" ref="D5139">xlookup($A5139,product!$A:$A,product!D:D)</f>
        <v>Granola, Crunchy, Krounchy</v>
      </c>
      <c r="E5139" s="25" t="str">
        <f t="shared" si="1"/>
        <v>118481-Céréales petit déjeuner-Granola, Crunchy, Krounchy</v>
      </c>
      <c r="F5139" s="25">
        <v>1.0</v>
      </c>
      <c r="G5139" s="25">
        <v>766.0</v>
      </c>
      <c r="H5139" s="25">
        <v>459.0</v>
      </c>
      <c r="I5139" s="26">
        <f t="array" ref="I5139">XLOOKUP($A5139,product!A:A,product!E:E)</f>
        <v>3.71</v>
      </c>
      <c r="J5139" s="25">
        <f t="shared" si="2"/>
        <v>1702.89</v>
      </c>
      <c r="K5139" s="27">
        <f t="shared" si="3"/>
        <v>1</v>
      </c>
      <c r="L5139" s="25">
        <f t="shared" si="4"/>
        <v>1</v>
      </c>
    </row>
    <row r="5140">
      <c r="A5140" s="19">
        <v>118366.0</v>
      </c>
      <c r="B5140" s="20" t="str">
        <f t="array" ref="B5140">xlookup($A5140,product!$A:$A,product!B:B)</f>
        <v>Epicerie sucrée</v>
      </c>
      <c r="C5140" s="20" t="str">
        <f t="array" ref="C5140">xlookup($A5140,product!$A:$A,product!C:C)</f>
        <v>Céréales petit déjeuner</v>
      </c>
      <c r="D5140" s="20" t="str">
        <f t="array" ref="D5140">xlookup($A5140,product!$A:$A,product!D:D)</f>
        <v>Granola, Crunchy, Krounchy</v>
      </c>
      <c r="E5140" s="4" t="str">
        <f t="shared" si="1"/>
        <v>118366-Céréales petit déjeuner-Granola, Crunchy, Krounchy</v>
      </c>
      <c r="F5140" s="4">
        <v>0.0</v>
      </c>
      <c r="G5140" s="4">
        <v>767.0</v>
      </c>
      <c r="H5140" s="4">
        <v>687.0</v>
      </c>
      <c r="I5140" s="21">
        <f t="array" ref="I5140">XLOOKUP($A5140,product!A:A,product!E:E)</f>
        <v>3.73</v>
      </c>
      <c r="J5140" s="4">
        <f t="shared" si="2"/>
        <v>2562.51</v>
      </c>
      <c r="K5140" s="22">
        <f t="shared" si="3"/>
        <v>1</v>
      </c>
      <c r="L5140" s="4">
        <f t="shared" si="4"/>
        <v>1</v>
      </c>
    </row>
    <row r="5141">
      <c r="A5141" s="23">
        <v>111183.0</v>
      </c>
      <c r="B5141" s="24" t="str">
        <f t="array" ref="B5141">xlookup($A5141,product!$A:$A,product!B:B)</f>
        <v>Epicerie sucrée</v>
      </c>
      <c r="C5141" s="24" t="str">
        <f t="array" ref="C5141">xlookup($A5141,product!$A:$A,product!C:C)</f>
        <v>Céréales petit déjeuner</v>
      </c>
      <c r="D5141" s="24" t="str">
        <f t="array" ref="D5141">xlookup($A5141,product!$A:$A,product!D:D)</f>
        <v>Petit déjeuner instantané</v>
      </c>
      <c r="E5141" s="25" t="str">
        <f t="shared" si="1"/>
        <v>111183-Céréales petit déjeuner-Petit déjeuner instantané</v>
      </c>
      <c r="F5141" s="25">
        <v>0.0</v>
      </c>
      <c r="G5141" s="25">
        <v>113.0</v>
      </c>
      <c r="H5141" s="25">
        <v>55.0</v>
      </c>
      <c r="I5141" s="26">
        <f t="array" ref="I5141">XLOOKUP($A5141,product!A:A,product!E:E)</f>
        <v>4.86</v>
      </c>
      <c r="J5141" s="25">
        <f t="shared" si="2"/>
        <v>267.3</v>
      </c>
      <c r="K5141" s="27">
        <f t="shared" si="3"/>
        <v>1</v>
      </c>
      <c r="L5141" s="25">
        <f t="shared" si="4"/>
        <v>1</v>
      </c>
    </row>
    <row r="5142">
      <c r="A5142" s="19">
        <v>124735.0</v>
      </c>
      <c r="B5142" s="20" t="str">
        <f t="array" ref="B5142">xlookup($A5142,product!$A:$A,product!B:B)</f>
        <v>Epicerie sucrée</v>
      </c>
      <c r="C5142" s="20" t="str">
        <f t="array" ref="C5142">xlookup($A5142,product!$A:$A,product!C:C)</f>
        <v>Céréales petit déjeuner</v>
      </c>
      <c r="D5142" s="20" t="str">
        <f t="array" ref="D5142">xlookup($A5142,product!$A:$A,product!D:D)</f>
        <v>Petit déjeuner instantané</v>
      </c>
      <c r="E5142" s="4" t="str">
        <f t="shared" si="1"/>
        <v>124735-Céréales petit déjeuner-Petit déjeuner instantané</v>
      </c>
      <c r="F5142" s="4">
        <v>1.0</v>
      </c>
      <c r="G5142" s="4">
        <v>647.0</v>
      </c>
      <c r="H5142" s="4">
        <v>555.0</v>
      </c>
      <c r="I5142" s="21">
        <f t="array" ref="I5142">XLOOKUP($A5142,product!A:A,product!E:E)</f>
        <v>6.06</v>
      </c>
      <c r="J5142" s="4">
        <f t="shared" si="2"/>
        <v>3363.3</v>
      </c>
      <c r="K5142" s="22">
        <f t="shared" si="3"/>
        <v>1</v>
      </c>
      <c r="L5142" s="4">
        <f t="shared" si="4"/>
        <v>1</v>
      </c>
    </row>
    <row r="5143">
      <c r="A5143" s="23">
        <v>78727.0</v>
      </c>
      <c r="B5143" s="24" t="str">
        <f t="array" ref="B5143">xlookup($A5143,product!$A:$A,product!B:B)</f>
        <v>Epicerie sucrée</v>
      </c>
      <c r="C5143" s="24" t="str">
        <f t="array" ref="C5143">xlookup($A5143,product!$A:$A,product!C:C)</f>
        <v>Céréales petit déjeuner</v>
      </c>
      <c r="D5143" s="24" t="str">
        <f t="array" ref="D5143">xlookup($A5143,product!$A:$A,product!D:D)</f>
        <v>Petit déjeuner instantané</v>
      </c>
      <c r="E5143" s="25" t="str">
        <f t="shared" si="1"/>
        <v>78727-Céréales petit déjeuner-Petit déjeuner instantané</v>
      </c>
      <c r="F5143" s="25">
        <v>1.0</v>
      </c>
      <c r="G5143" s="25">
        <v>370.0</v>
      </c>
      <c r="H5143" s="25">
        <v>177.0</v>
      </c>
      <c r="I5143" s="26">
        <f t="array" ref="I5143">XLOOKUP($A5143,product!A:A,product!E:E)</f>
        <v>6.31</v>
      </c>
      <c r="J5143" s="25">
        <f t="shared" si="2"/>
        <v>1116.87</v>
      </c>
      <c r="K5143" s="27">
        <f t="shared" si="3"/>
        <v>1</v>
      </c>
      <c r="L5143" s="25">
        <f t="shared" si="4"/>
        <v>1</v>
      </c>
    </row>
    <row r="5144">
      <c r="A5144" s="19">
        <v>111182.0</v>
      </c>
      <c r="B5144" s="20" t="str">
        <f t="array" ref="B5144">xlookup($A5144,product!$A:$A,product!B:B)</f>
        <v>Epicerie sucrée</v>
      </c>
      <c r="C5144" s="20" t="str">
        <f t="array" ref="C5144">xlookup($A5144,product!$A:$A,product!C:C)</f>
        <v>Céréales petit déjeuner</v>
      </c>
      <c r="D5144" s="20" t="str">
        <f t="array" ref="D5144">xlookup($A5144,product!$A:$A,product!D:D)</f>
        <v>Petit déjeuner instantané</v>
      </c>
      <c r="E5144" s="4" t="str">
        <f t="shared" si="1"/>
        <v>111182-Céréales petit déjeuner-Petit déjeuner instantané</v>
      </c>
      <c r="F5144" s="4">
        <v>1.0</v>
      </c>
      <c r="G5144" s="4">
        <v>696.0</v>
      </c>
      <c r="H5144" s="4">
        <v>41.0</v>
      </c>
      <c r="I5144" s="21">
        <f t="array" ref="I5144">XLOOKUP($A5144,product!A:A,product!E:E)</f>
        <v>4.36</v>
      </c>
      <c r="J5144" s="4">
        <f t="shared" si="2"/>
        <v>178.76</v>
      </c>
      <c r="K5144" s="22">
        <f t="shared" si="3"/>
        <v>1</v>
      </c>
      <c r="L5144" s="4">
        <f t="shared" si="4"/>
        <v>1</v>
      </c>
    </row>
    <row r="5145">
      <c r="A5145" s="23">
        <v>78734.0</v>
      </c>
      <c r="B5145" s="24" t="str">
        <f t="array" ref="B5145">xlookup($A5145,product!$A:$A,product!B:B)</f>
        <v>Epicerie sucrée</v>
      </c>
      <c r="C5145" s="24" t="str">
        <f t="array" ref="C5145">xlookup($A5145,product!$A:$A,product!C:C)</f>
        <v>Céréales petit déjeuner</v>
      </c>
      <c r="D5145" s="24" t="str">
        <f t="array" ref="D5145">xlookup($A5145,product!$A:$A,product!D:D)</f>
        <v>Petit déjeuner instantané</v>
      </c>
      <c r="E5145" s="25" t="str">
        <f t="shared" si="1"/>
        <v>78734-Céréales petit déjeuner-Petit déjeuner instantané</v>
      </c>
      <c r="F5145" s="25">
        <v>0.0</v>
      </c>
      <c r="G5145" s="25">
        <v>532.0</v>
      </c>
      <c r="H5145" s="25">
        <v>179.0</v>
      </c>
      <c r="I5145" s="26">
        <f t="array" ref="I5145">XLOOKUP($A5145,product!A:A,product!E:E)</f>
        <v>6.31</v>
      </c>
      <c r="J5145" s="25">
        <f t="shared" si="2"/>
        <v>1129.49</v>
      </c>
      <c r="K5145" s="27">
        <f t="shared" si="3"/>
        <v>1</v>
      </c>
      <c r="L5145" s="25">
        <f t="shared" si="4"/>
        <v>1</v>
      </c>
    </row>
    <row r="5146">
      <c r="A5146" s="19">
        <v>78729.0</v>
      </c>
      <c r="B5146" s="20" t="str">
        <f t="array" ref="B5146">xlookup($A5146,product!$A:$A,product!B:B)</f>
        <v>Epicerie sucrée</v>
      </c>
      <c r="C5146" s="20" t="str">
        <f t="array" ref="C5146">xlookup($A5146,product!$A:$A,product!C:C)</f>
        <v>Céréales petit déjeuner</v>
      </c>
      <c r="D5146" s="20" t="str">
        <f t="array" ref="D5146">xlookup($A5146,product!$A:$A,product!D:D)</f>
        <v>Petit déjeuner instantané</v>
      </c>
      <c r="E5146" s="4" t="str">
        <f t="shared" si="1"/>
        <v>78729-Céréales petit déjeuner-Petit déjeuner instantané</v>
      </c>
      <c r="F5146" s="4">
        <v>0.0</v>
      </c>
      <c r="G5146" s="4">
        <v>530.0</v>
      </c>
      <c r="H5146" s="4">
        <v>244.0</v>
      </c>
      <c r="I5146" s="21">
        <f t="array" ref="I5146">XLOOKUP($A5146,product!A:A,product!E:E)</f>
        <v>6.31</v>
      </c>
      <c r="J5146" s="4">
        <f t="shared" si="2"/>
        <v>1539.64</v>
      </c>
      <c r="K5146" s="22">
        <f t="shared" si="3"/>
        <v>1</v>
      </c>
      <c r="L5146" s="4">
        <f t="shared" si="4"/>
        <v>1</v>
      </c>
    </row>
    <row r="5147">
      <c r="A5147" s="23">
        <v>111662.0</v>
      </c>
      <c r="B5147" s="24" t="str">
        <f t="array" ref="B5147">xlookup($A5147,product!$A:$A,product!B:B)</f>
        <v>Epicerie sucrée</v>
      </c>
      <c r="C5147" s="24" t="str">
        <f t="array" ref="C5147">xlookup($A5147,product!$A:$A,product!C:C)</f>
        <v>Céréales petit déjeuner</v>
      </c>
      <c r="D5147" s="24" t="str">
        <f t="array" ref="D5147">xlookup($A5147,product!$A:$A,product!D:D)</f>
        <v>Petit déjeuner instantané</v>
      </c>
      <c r="E5147" s="25" t="str">
        <f t="shared" si="1"/>
        <v>111662-Céréales petit déjeuner-Petit déjeuner instantané</v>
      </c>
      <c r="F5147" s="25">
        <v>0.0</v>
      </c>
      <c r="G5147" s="25">
        <v>531.0</v>
      </c>
      <c r="H5147" s="25">
        <v>331.0</v>
      </c>
      <c r="I5147" s="26">
        <f t="array" ref="I5147">XLOOKUP($A5147,product!A:A,product!E:E)</f>
        <v>4.37</v>
      </c>
      <c r="J5147" s="25">
        <f t="shared" si="2"/>
        <v>1446.47</v>
      </c>
      <c r="K5147" s="27">
        <f t="shared" si="3"/>
        <v>1</v>
      </c>
      <c r="L5147" s="25">
        <f t="shared" si="4"/>
        <v>1</v>
      </c>
    </row>
    <row r="5148">
      <c r="A5148" s="19">
        <v>78728.0</v>
      </c>
      <c r="B5148" s="20" t="str">
        <f t="array" ref="B5148">xlookup($A5148,product!$A:$A,product!B:B)</f>
        <v>Epicerie sucrée</v>
      </c>
      <c r="C5148" s="20" t="str">
        <f t="array" ref="C5148">xlookup($A5148,product!$A:$A,product!C:C)</f>
        <v>Céréales petit déjeuner</v>
      </c>
      <c r="D5148" s="20" t="str">
        <f t="array" ref="D5148">xlookup($A5148,product!$A:$A,product!D:D)</f>
        <v>Petit déjeuner instantané</v>
      </c>
      <c r="E5148" s="4" t="str">
        <f t="shared" si="1"/>
        <v>78728-Céréales petit déjeuner-Petit déjeuner instantané</v>
      </c>
      <c r="F5148" s="4">
        <v>0.0</v>
      </c>
      <c r="G5148" s="4">
        <v>680.0</v>
      </c>
      <c r="H5148" s="4">
        <v>0.0</v>
      </c>
      <c r="I5148" s="21">
        <f t="array" ref="I5148">XLOOKUP($A5148,product!A:A,product!E:E)</f>
        <v>6.31</v>
      </c>
      <c r="J5148" s="4">
        <f t="shared" si="2"/>
        <v>0</v>
      </c>
      <c r="K5148" s="22">
        <f t="shared" si="3"/>
        <v>0</v>
      </c>
      <c r="L5148" s="4">
        <f t="shared" si="4"/>
        <v>1</v>
      </c>
    </row>
    <row r="5149">
      <c r="A5149" s="23">
        <v>119082.0</v>
      </c>
      <c r="B5149" s="24" t="str">
        <f t="array" ref="B5149">xlookup($A5149,product!$A:$A,product!B:B)</f>
        <v>Epicerie sucrée</v>
      </c>
      <c r="C5149" s="24" t="str">
        <f t="array" ref="C5149">xlookup($A5149,product!$A:$A,product!C:C)</f>
        <v>Céréales petit déjeuner</v>
      </c>
      <c r="D5149" s="24" t="str">
        <f t="array" ref="D5149">xlookup($A5149,product!$A:$A,product!D:D)</f>
        <v>Flakes, pétales de céréales</v>
      </c>
      <c r="E5149" s="25" t="str">
        <f t="shared" si="1"/>
        <v>119082-Céréales petit déjeuner-Flakes, pétales de céréales</v>
      </c>
      <c r="F5149" s="25">
        <v>0.0</v>
      </c>
      <c r="G5149" s="25">
        <v>241.0</v>
      </c>
      <c r="H5149" s="25">
        <v>87.0</v>
      </c>
      <c r="I5149" s="26">
        <f t="array" ref="I5149">XLOOKUP($A5149,product!A:A,product!E:E)</f>
        <v>0.87</v>
      </c>
      <c r="J5149" s="25">
        <f t="shared" si="2"/>
        <v>75.69</v>
      </c>
      <c r="K5149" s="27">
        <f t="shared" si="3"/>
        <v>1</v>
      </c>
      <c r="L5149" s="25">
        <f t="shared" si="4"/>
        <v>1</v>
      </c>
    </row>
    <row r="5150">
      <c r="A5150" s="19">
        <v>5770.0</v>
      </c>
      <c r="B5150" s="20" t="str">
        <f t="array" ref="B5150">xlookup($A5150,product!$A:$A,product!B:B)</f>
        <v>Epicerie sucrée</v>
      </c>
      <c r="C5150" s="20" t="str">
        <f t="array" ref="C5150">xlookup($A5150,product!$A:$A,product!C:C)</f>
        <v>Céréales petit déjeuner</v>
      </c>
      <c r="D5150" s="20" t="str">
        <f t="array" ref="D5150">xlookup($A5150,product!$A:$A,product!D:D)</f>
        <v>Flakes, pétales de céréales</v>
      </c>
      <c r="E5150" s="4" t="str">
        <f t="shared" si="1"/>
        <v>5770-Céréales petit déjeuner-Flakes, pétales de céréales</v>
      </c>
      <c r="F5150" s="4">
        <v>0.0</v>
      </c>
      <c r="G5150" s="4">
        <v>487.0</v>
      </c>
      <c r="H5150" s="4">
        <v>275.0</v>
      </c>
      <c r="I5150" s="21">
        <f t="array" ref="I5150">XLOOKUP($A5150,product!A:A,product!E:E)</f>
        <v>2.24</v>
      </c>
      <c r="J5150" s="4">
        <f t="shared" si="2"/>
        <v>616</v>
      </c>
      <c r="K5150" s="22">
        <f t="shared" si="3"/>
        <v>1</v>
      </c>
      <c r="L5150" s="4">
        <f t="shared" si="4"/>
        <v>1</v>
      </c>
    </row>
    <row r="5151">
      <c r="A5151" s="23">
        <v>103072.0</v>
      </c>
      <c r="B5151" s="24" t="str">
        <f t="array" ref="B5151">xlookup($A5151,product!$A:$A,product!B:B)</f>
        <v>Epicerie sucrée</v>
      </c>
      <c r="C5151" s="24" t="str">
        <f t="array" ref="C5151">xlookup($A5151,product!$A:$A,product!C:C)</f>
        <v>Céréales petit déjeuner</v>
      </c>
      <c r="D5151" s="24" t="str">
        <f t="array" ref="D5151">xlookup($A5151,product!$A:$A,product!D:D)</f>
        <v>Flakes, pétales de céréales</v>
      </c>
      <c r="E5151" s="25" t="str">
        <f t="shared" si="1"/>
        <v>103072-Céréales petit déjeuner-Flakes, pétales de céréales</v>
      </c>
      <c r="F5151" s="25">
        <v>0.0</v>
      </c>
      <c r="G5151" s="25">
        <v>868.0</v>
      </c>
      <c r="H5151" s="25">
        <v>664.0</v>
      </c>
      <c r="I5151" s="26">
        <f t="array" ref="I5151">XLOOKUP($A5151,product!A:A,product!E:E)</f>
        <v>2</v>
      </c>
      <c r="J5151" s="25">
        <f t="shared" si="2"/>
        <v>1328</v>
      </c>
      <c r="K5151" s="27">
        <f t="shared" si="3"/>
        <v>1</v>
      </c>
      <c r="L5151" s="25">
        <f t="shared" si="4"/>
        <v>1</v>
      </c>
    </row>
    <row r="5152">
      <c r="A5152" s="19">
        <v>19344.0</v>
      </c>
      <c r="B5152" s="20" t="str">
        <f t="array" ref="B5152">xlookup($A5152,product!$A:$A,product!B:B)</f>
        <v>Epicerie sucrée</v>
      </c>
      <c r="C5152" s="20" t="str">
        <f t="array" ref="C5152">xlookup($A5152,product!$A:$A,product!C:C)</f>
        <v>Céréales petit déjeuner</v>
      </c>
      <c r="D5152" s="20" t="str">
        <f t="array" ref="D5152">xlookup($A5152,product!$A:$A,product!D:D)</f>
        <v>Flakes, pétales de céréales</v>
      </c>
      <c r="E5152" s="4" t="str">
        <f t="shared" si="1"/>
        <v>19344-Céréales petit déjeuner-Flakes, pétales de céréales</v>
      </c>
      <c r="F5152" s="4">
        <v>1.0</v>
      </c>
      <c r="G5152" s="4">
        <v>636.0</v>
      </c>
      <c r="H5152" s="4">
        <v>69.0</v>
      </c>
      <c r="I5152" s="21">
        <f t="array" ref="I5152">XLOOKUP($A5152,product!A:A,product!E:E)</f>
        <v>1.75</v>
      </c>
      <c r="J5152" s="4">
        <f t="shared" si="2"/>
        <v>120.75</v>
      </c>
      <c r="K5152" s="22">
        <f t="shared" si="3"/>
        <v>1</v>
      </c>
      <c r="L5152" s="4">
        <f t="shared" si="4"/>
        <v>1</v>
      </c>
    </row>
    <row r="5153">
      <c r="A5153" s="23">
        <v>84219.0</v>
      </c>
      <c r="B5153" s="24" t="str">
        <f t="array" ref="B5153">xlookup($A5153,product!$A:$A,product!B:B)</f>
        <v>Epicerie sucrée</v>
      </c>
      <c r="C5153" s="24" t="str">
        <f t="array" ref="C5153">xlookup($A5153,product!$A:$A,product!C:C)</f>
        <v>Céréales petit déjeuner</v>
      </c>
      <c r="D5153" s="24" t="str">
        <f t="array" ref="D5153">xlookup($A5153,product!$A:$A,product!D:D)</f>
        <v>Flakes, pétales de céréales</v>
      </c>
      <c r="E5153" s="25" t="str">
        <f t="shared" si="1"/>
        <v>84219-Céréales petit déjeuner-Flakes, pétales de céréales</v>
      </c>
      <c r="F5153" s="25">
        <v>0.0</v>
      </c>
      <c r="G5153" s="25">
        <v>277.0</v>
      </c>
      <c r="H5153" s="25">
        <v>126.0</v>
      </c>
      <c r="I5153" s="26">
        <f t="array" ref="I5153">XLOOKUP($A5153,product!A:A,product!E:E)</f>
        <v>3.02</v>
      </c>
      <c r="J5153" s="25">
        <f t="shared" si="2"/>
        <v>380.52</v>
      </c>
      <c r="K5153" s="27">
        <f t="shared" si="3"/>
        <v>1</v>
      </c>
      <c r="L5153" s="25">
        <f t="shared" si="4"/>
        <v>1</v>
      </c>
    </row>
    <row r="5154">
      <c r="A5154" s="19">
        <v>19345.0</v>
      </c>
      <c r="B5154" s="20" t="str">
        <f t="array" ref="B5154">xlookup($A5154,product!$A:$A,product!B:B)</f>
        <v>Epicerie sucrée</v>
      </c>
      <c r="C5154" s="20" t="str">
        <f t="array" ref="C5154">xlookup($A5154,product!$A:$A,product!C:C)</f>
        <v>Céréales petit déjeuner</v>
      </c>
      <c r="D5154" s="20" t="str">
        <f t="array" ref="D5154">xlookup($A5154,product!$A:$A,product!D:D)</f>
        <v>Flakes, pétales de céréales</v>
      </c>
      <c r="E5154" s="4" t="str">
        <f t="shared" si="1"/>
        <v>19345-Céréales petit déjeuner-Flakes, pétales de céréales</v>
      </c>
      <c r="F5154" s="4">
        <v>0.0</v>
      </c>
      <c r="G5154" s="4">
        <v>284.0</v>
      </c>
      <c r="H5154" s="4">
        <v>127.0</v>
      </c>
      <c r="I5154" s="21">
        <f t="array" ref="I5154">XLOOKUP($A5154,product!A:A,product!E:E)</f>
        <v>1.7</v>
      </c>
      <c r="J5154" s="4">
        <f t="shared" si="2"/>
        <v>215.9</v>
      </c>
      <c r="K5154" s="22">
        <f t="shared" si="3"/>
        <v>1</v>
      </c>
      <c r="L5154" s="4">
        <f t="shared" si="4"/>
        <v>1</v>
      </c>
    </row>
    <row r="5155">
      <c r="A5155" s="23">
        <v>90816.0</v>
      </c>
      <c r="B5155" s="24" t="str">
        <f t="array" ref="B5155">xlookup($A5155,product!$A:$A,product!B:B)</f>
        <v>Epicerie sucrée</v>
      </c>
      <c r="C5155" s="24" t="str">
        <f t="array" ref="C5155">xlookup($A5155,product!$A:$A,product!C:C)</f>
        <v>Céréales petit déjeuner</v>
      </c>
      <c r="D5155" s="24" t="str">
        <f t="array" ref="D5155">xlookup($A5155,product!$A:$A,product!D:D)</f>
        <v>Flakes, pétales de céréales</v>
      </c>
      <c r="E5155" s="25" t="str">
        <f t="shared" si="1"/>
        <v>90816-Céréales petit déjeuner-Flakes, pétales de céréales</v>
      </c>
      <c r="F5155" s="25">
        <v>1.0</v>
      </c>
      <c r="G5155" s="25">
        <v>443.0</v>
      </c>
      <c r="H5155" s="25">
        <v>39.0</v>
      </c>
      <c r="I5155" s="26">
        <f t="array" ref="I5155">XLOOKUP($A5155,product!A:A,product!E:E)</f>
        <v>1.51</v>
      </c>
      <c r="J5155" s="25">
        <f t="shared" si="2"/>
        <v>58.89</v>
      </c>
      <c r="K5155" s="27">
        <f t="shared" si="3"/>
        <v>1</v>
      </c>
      <c r="L5155" s="25">
        <f t="shared" si="4"/>
        <v>1</v>
      </c>
    </row>
    <row r="5156">
      <c r="A5156" s="19">
        <v>23198.0</v>
      </c>
      <c r="B5156" s="20" t="str">
        <f t="array" ref="B5156">xlookup($A5156,product!$A:$A,product!B:B)</f>
        <v>Epicerie sucrée</v>
      </c>
      <c r="C5156" s="20" t="str">
        <f t="array" ref="C5156">xlookup($A5156,product!$A:$A,product!C:C)</f>
        <v>Céréales petit déjeuner</v>
      </c>
      <c r="D5156" s="20" t="str">
        <f t="array" ref="D5156">xlookup($A5156,product!$A:$A,product!D:D)</f>
        <v>Flakes, pétales de céréales</v>
      </c>
      <c r="E5156" s="4" t="str">
        <f t="shared" si="1"/>
        <v>23198-Céréales petit déjeuner-Flakes, pétales de céréales</v>
      </c>
      <c r="F5156" s="4">
        <v>0.0</v>
      </c>
      <c r="G5156" s="4">
        <v>892.0</v>
      </c>
      <c r="H5156" s="4">
        <v>133.0</v>
      </c>
      <c r="I5156" s="21">
        <f t="array" ref="I5156">XLOOKUP($A5156,product!A:A,product!E:E)</f>
        <v>2.68</v>
      </c>
      <c r="J5156" s="4">
        <f t="shared" si="2"/>
        <v>356.44</v>
      </c>
      <c r="K5156" s="22">
        <f t="shared" si="3"/>
        <v>1</v>
      </c>
      <c r="L5156" s="4">
        <f t="shared" si="4"/>
        <v>1</v>
      </c>
    </row>
    <row r="5157">
      <c r="A5157" s="23">
        <v>87207.0</v>
      </c>
      <c r="B5157" s="24" t="str">
        <f t="array" ref="B5157">xlookup($A5157,product!$A:$A,product!B:B)</f>
        <v>Epicerie sucrée</v>
      </c>
      <c r="C5157" s="24" t="str">
        <f t="array" ref="C5157">xlookup($A5157,product!$A:$A,product!C:C)</f>
        <v>Céréales petit déjeuner</v>
      </c>
      <c r="D5157" s="24" t="str">
        <f t="array" ref="D5157">xlookup($A5157,product!$A:$A,product!D:D)</f>
        <v>Flakes, pétales de céréales</v>
      </c>
      <c r="E5157" s="25" t="str">
        <f t="shared" si="1"/>
        <v>87207-Céréales petit déjeuner-Flakes, pétales de céréales</v>
      </c>
      <c r="F5157" s="25">
        <v>1.0</v>
      </c>
      <c r="G5157" s="25">
        <v>912.0</v>
      </c>
      <c r="H5157" s="25">
        <v>30.0</v>
      </c>
      <c r="I5157" s="26">
        <f t="array" ref="I5157">XLOOKUP($A5157,product!A:A,product!E:E)</f>
        <v>1</v>
      </c>
      <c r="J5157" s="25">
        <f t="shared" si="2"/>
        <v>30</v>
      </c>
      <c r="K5157" s="27">
        <f t="shared" si="3"/>
        <v>1</v>
      </c>
      <c r="L5157" s="25">
        <f t="shared" si="4"/>
        <v>1</v>
      </c>
    </row>
    <row r="5158">
      <c r="A5158" s="19">
        <v>5694.0</v>
      </c>
      <c r="B5158" s="20" t="str">
        <f t="array" ref="B5158">xlookup($A5158,product!$A:$A,product!B:B)</f>
        <v>Epicerie sucrée</v>
      </c>
      <c r="C5158" s="20" t="str">
        <f t="array" ref="C5158">xlookup($A5158,product!$A:$A,product!C:C)</f>
        <v>Céréales petit déjeuner</v>
      </c>
      <c r="D5158" s="20" t="str">
        <f t="array" ref="D5158">xlookup($A5158,product!$A:$A,product!D:D)</f>
        <v>Flakes, pétales de céréales</v>
      </c>
      <c r="E5158" s="4" t="str">
        <f t="shared" si="1"/>
        <v>5694-Céréales petit déjeuner-Flakes, pétales de céréales</v>
      </c>
      <c r="F5158" s="4">
        <v>0.0</v>
      </c>
      <c r="G5158" s="4">
        <v>132.0</v>
      </c>
      <c r="H5158" s="4">
        <v>75.0</v>
      </c>
      <c r="I5158" s="21">
        <f t="array" ref="I5158">XLOOKUP($A5158,product!A:A,product!E:E)</f>
        <v>1.59</v>
      </c>
      <c r="J5158" s="4">
        <f t="shared" si="2"/>
        <v>119.25</v>
      </c>
      <c r="K5158" s="22">
        <f t="shared" si="3"/>
        <v>1</v>
      </c>
      <c r="L5158" s="4">
        <f t="shared" si="4"/>
        <v>1</v>
      </c>
    </row>
    <row r="5159">
      <c r="A5159" s="23">
        <v>119084.0</v>
      </c>
      <c r="B5159" s="24" t="str">
        <f t="array" ref="B5159">xlookup($A5159,product!$A:$A,product!B:B)</f>
        <v>Epicerie sucrée</v>
      </c>
      <c r="C5159" s="24" t="str">
        <f t="array" ref="C5159">xlookup($A5159,product!$A:$A,product!C:C)</f>
        <v>Céréales petit déjeuner</v>
      </c>
      <c r="D5159" s="24" t="str">
        <f t="array" ref="D5159">xlookup($A5159,product!$A:$A,product!D:D)</f>
        <v>Flakes, pétales de céréales</v>
      </c>
      <c r="E5159" s="25" t="str">
        <f t="shared" si="1"/>
        <v>119084-Céréales petit déjeuner-Flakes, pétales de céréales</v>
      </c>
      <c r="F5159" s="25">
        <v>0.0</v>
      </c>
      <c r="G5159" s="25">
        <v>641.0</v>
      </c>
      <c r="H5159" s="25">
        <v>207.0</v>
      </c>
      <c r="I5159" s="26">
        <f t="array" ref="I5159">XLOOKUP($A5159,product!A:A,product!E:E)</f>
        <v>2.82</v>
      </c>
      <c r="J5159" s="25">
        <f t="shared" si="2"/>
        <v>583.74</v>
      </c>
      <c r="K5159" s="27">
        <f t="shared" si="3"/>
        <v>1</v>
      </c>
      <c r="L5159" s="25">
        <f t="shared" si="4"/>
        <v>1</v>
      </c>
    </row>
    <row r="5160">
      <c r="A5160" s="19">
        <v>127927.0</v>
      </c>
      <c r="B5160" s="20" t="str">
        <f t="array" ref="B5160">xlookup($A5160,product!$A:$A,product!B:B)</f>
        <v>Epicerie sucrée</v>
      </c>
      <c r="C5160" s="20" t="str">
        <f t="array" ref="C5160">xlookup($A5160,product!$A:$A,product!C:C)</f>
        <v>Céréales petit déjeuner</v>
      </c>
      <c r="D5160" s="20" t="str">
        <f t="array" ref="D5160">xlookup($A5160,product!$A:$A,product!D:D)</f>
        <v>Flakes, pétales de céréales</v>
      </c>
      <c r="E5160" s="4" t="str">
        <f t="shared" si="1"/>
        <v>127927-Céréales petit déjeuner-Flakes, pétales de céréales</v>
      </c>
      <c r="F5160" s="4">
        <v>1.0</v>
      </c>
      <c r="G5160" s="4">
        <v>319.0</v>
      </c>
      <c r="H5160" s="4">
        <v>109.0</v>
      </c>
      <c r="I5160" s="21">
        <f t="array" ref="I5160">XLOOKUP($A5160,product!A:A,product!E:E)</f>
        <v>2.39</v>
      </c>
      <c r="J5160" s="4">
        <f t="shared" si="2"/>
        <v>260.51</v>
      </c>
      <c r="K5160" s="22">
        <f t="shared" si="3"/>
        <v>1</v>
      </c>
      <c r="L5160" s="4">
        <f t="shared" si="4"/>
        <v>1</v>
      </c>
    </row>
    <row r="5161">
      <c r="A5161" s="23">
        <v>111184.0</v>
      </c>
      <c r="B5161" s="24" t="str">
        <f t="array" ref="B5161">xlookup($A5161,product!$A:$A,product!B:B)</f>
        <v>Epicerie sucrée</v>
      </c>
      <c r="C5161" s="24" t="str">
        <f t="array" ref="C5161">xlookup($A5161,product!$A:$A,product!C:C)</f>
        <v>Céréales petit déjeuner</v>
      </c>
      <c r="D5161" s="24" t="str">
        <f t="array" ref="D5161">xlookup($A5161,product!$A:$A,product!D:D)</f>
        <v>Flakes, pétales de céréales</v>
      </c>
      <c r="E5161" s="25" t="str">
        <f t="shared" si="1"/>
        <v>111184-Céréales petit déjeuner-Flakes, pétales de céréales</v>
      </c>
      <c r="F5161" s="25">
        <v>1.0</v>
      </c>
      <c r="G5161" s="25">
        <v>473.0</v>
      </c>
      <c r="H5161" s="25">
        <v>209.0</v>
      </c>
      <c r="I5161" s="26">
        <f t="array" ref="I5161">XLOOKUP($A5161,product!A:A,product!E:E)</f>
        <v>1.6</v>
      </c>
      <c r="J5161" s="25">
        <f t="shared" si="2"/>
        <v>334.4</v>
      </c>
      <c r="K5161" s="27">
        <f t="shared" si="3"/>
        <v>1</v>
      </c>
      <c r="L5161" s="25">
        <f t="shared" si="4"/>
        <v>1</v>
      </c>
    </row>
    <row r="5162">
      <c r="A5162" s="19">
        <v>19341.0</v>
      </c>
      <c r="B5162" s="20" t="str">
        <f t="array" ref="B5162">xlookup($A5162,product!$A:$A,product!B:B)</f>
        <v>Epicerie sucrée</v>
      </c>
      <c r="C5162" s="20" t="str">
        <f t="array" ref="C5162">xlookup($A5162,product!$A:$A,product!C:C)</f>
        <v>Céréales petit déjeuner</v>
      </c>
      <c r="D5162" s="20" t="str">
        <f t="array" ref="D5162">xlookup($A5162,product!$A:$A,product!D:D)</f>
        <v>Flakes, pétales de céréales</v>
      </c>
      <c r="E5162" s="4" t="str">
        <f t="shared" si="1"/>
        <v>19341-Céréales petit déjeuner-Flakes, pétales de céréales</v>
      </c>
      <c r="F5162" s="4">
        <v>0.0</v>
      </c>
      <c r="G5162" s="4">
        <v>593.0</v>
      </c>
      <c r="H5162" s="4">
        <v>359.0</v>
      </c>
      <c r="I5162" s="21">
        <f t="array" ref="I5162">XLOOKUP($A5162,product!A:A,product!E:E)</f>
        <v>2.02</v>
      </c>
      <c r="J5162" s="4">
        <f t="shared" si="2"/>
        <v>725.18</v>
      </c>
      <c r="K5162" s="22">
        <f t="shared" si="3"/>
        <v>1</v>
      </c>
      <c r="L5162" s="4">
        <f t="shared" si="4"/>
        <v>1</v>
      </c>
    </row>
    <row r="5163">
      <c r="A5163" s="23">
        <v>118485.0</v>
      </c>
      <c r="B5163" s="24" t="str">
        <f t="array" ref="B5163">xlookup($A5163,product!$A:$A,product!B:B)</f>
        <v>Epicerie sucrée</v>
      </c>
      <c r="C5163" s="24" t="str">
        <f t="array" ref="C5163">xlookup($A5163,product!$A:$A,product!C:C)</f>
        <v>Céréales petit déjeuner</v>
      </c>
      <c r="D5163" s="24" t="str">
        <f t="array" ref="D5163">xlookup($A5163,product!$A:$A,product!D:D)</f>
        <v>Céréale enfant petit déjeuner</v>
      </c>
      <c r="E5163" s="25" t="str">
        <f t="shared" si="1"/>
        <v>118485-Céréales petit déjeuner-Céréale enfant petit déjeuner</v>
      </c>
      <c r="F5163" s="25">
        <v>0.0</v>
      </c>
      <c r="G5163" s="25">
        <v>452.0</v>
      </c>
      <c r="H5163" s="25">
        <v>261.0</v>
      </c>
      <c r="I5163" s="26">
        <f t="array" ref="I5163">XLOOKUP($A5163,product!A:A,product!E:E)</f>
        <v>2.15</v>
      </c>
      <c r="J5163" s="25">
        <f t="shared" si="2"/>
        <v>561.15</v>
      </c>
      <c r="K5163" s="27">
        <f t="shared" si="3"/>
        <v>1</v>
      </c>
      <c r="L5163" s="25">
        <f t="shared" si="4"/>
        <v>1</v>
      </c>
    </row>
    <row r="5164">
      <c r="A5164" s="19">
        <v>110565.0</v>
      </c>
      <c r="B5164" s="20" t="str">
        <f t="array" ref="B5164">xlookup($A5164,product!$A:$A,product!B:B)</f>
        <v>Epicerie sucrée</v>
      </c>
      <c r="C5164" s="20" t="str">
        <f t="array" ref="C5164">xlookup($A5164,product!$A:$A,product!C:C)</f>
        <v>Céréales petit déjeuner</v>
      </c>
      <c r="D5164" s="20" t="str">
        <f t="array" ref="D5164">xlookup($A5164,product!$A:$A,product!D:D)</f>
        <v>Céréale enfant petit déjeuner</v>
      </c>
      <c r="E5164" s="4" t="str">
        <f t="shared" si="1"/>
        <v>110565-Céréales petit déjeuner-Céréale enfant petit déjeuner</v>
      </c>
      <c r="F5164" s="4">
        <v>1.0</v>
      </c>
      <c r="G5164" s="4">
        <v>805.0</v>
      </c>
      <c r="H5164" s="4">
        <v>180.0</v>
      </c>
      <c r="I5164" s="21">
        <f t="array" ref="I5164">XLOOKUP($A5164,product!A:A,product!E:E)</f>
        <v>1.12</v>
      </c>
      <c r="J5164" s="4">
        <f t="shared" si="2"/>
        <v>201.6</v>
      </c>
      <c r="K5164" s="22">
        <f t="shared" si="3"/>
        <v>1</v>
      </c>
      <c r="L5164" s="4">
        <f t="shared" si="4"/>
        <v>1</v>
      </c>
    </row>
    <row r="5165">
      <c r="A5165" s="23">
        <v>118484.0</v>
      </c>
      <c r="B5165" s="24" t="str">
        <f t="array" ref="B5165">xlookup($A5165,product!$A:$A,product!B:B)</f>
        <v>Epicerie sucrée</v>
      </c>
      <c r="C5165" s="24" t="str">
        <f t="array" ref="C5165">xlookup($A5165,product!$A:$A,product!C:C)</f>
        <v>Céréales petit déjeuner</v>
      </c>
      <c r="D5165" s="24" t="str">
        <f t="array" ref="D5165">xlookup($A5165,product!$A:$A,product!D:D)</f>
        <v>Céréale enfant petit déjeuner</v>
      </c>
      <c r="E5165" s="25" t="str">
        <f t="shared" si="1"/>
        <v>118484-Céréales petit déjeuner-Céréale enfant petit déjeuner</v>
      </c>
      <c r="F5165" s="25">
        <v>0.0</v>
      </c>
      <c r="G5165" s="25">
        <v>155.0</v>
      </c>
      <c r="H5165" s="25">
        <v>37.0</v>
      </c>
      <c r="I5165" s="26">
        <f t="array" ref="I5165">XLOOKUP($A5165,product!A:A,product!E:E)</f>
        <v>3.05</v>
      </c>
      <c r="J5165" s="25">
        <f t="shared" si="2"/>
        <v>112.85</v>
      </c>
      <c r="K5165" s="27">
        <f t="shared" si="3"/>
        <v>1</v>
      </c>
      <c r="L5165" s="25">
        <f t="shared" si="4"/>
        <v>1</v>
      </c>
    </row>
    <row r="5166">
      <c r="A5166" s="19">
        <v>107652.0</v>
      </c>
      <c r="B5166" s="20" t="str">
        <f t="array" ref="B5166">xlookup($A5166,product!$A:$A,product!B:B)</f>
        <v>Epicerie sucrée</v>
      </c>
      <c r="C5166" s="20" t="str">
        <f t="array" ref="C5166">xlookup($A5166,product!$A:$A,product!C:C)</f>
        <v>Céréales petit déjeuner</v>
      </c>
      <c r="D5166" s="20" t="str">
        <f t="array" ref="D5166">xlookup($A5166,product!$A:$A,product!D:D)</f>
        <v>Céréale enfant petit déjeuner</v>
      </c>
      <c r="E5166" s="4" t="str">
        <f t="shared" si="1"/>
        <v>107652-Céréales petit déjeuner-Céréale enfant petit déjeuner</v>
      </c>
      <c r="F5166" s="4">
        <v>1.0</v>
      </c>
      <c r="G5166" s="4">
        <v>230.0</v>
      </c>
      <c r="H5166" s="4">
        <v>9.0</v>
      </c>
      <c r="I5166" s="21">
        <f t="array" ref="I5166">XLOOKUP($A5166,product!A:A,product!E:E)</f>
        <v>2.86</v>
      </c>
      <c r="J5166" s="4">
        <f t="shared" si="2"/>
        <v>25.74</v>
      </c>
      <c r="K5166" s="22">
        <f t="shared" si="3"/>
        <v>1</v>
      </c>
      <c r="L5166" s="4">
        <f t="shared" si="4"/>
        <v>1</v>
      </c>
    </row>
    <row r="5167">
      <c r="A5167" s="23">
        <v>107673.0</v>
      </c>
      <c r="B5167" s="24" t="str">
        <f t="array" ref="B5167">xlookup($A5167,product!$A:$A,product!B:B)</f>
        <v>Epicerie sucrée</v>
      </c>
      <c r="C5167" s="24" t="str">
        <f t="array" ref="C5167">xlookup($A5167,product!$A:$A,product!C:C)</f>
        <v>Céréales petit déjeuner</v>
      </c>
      <c r="D5167" s="24" t="str">
        <f t="array" ref="D5167">xlookup($A5167,product!$A:$A,product!D:D)</f>
        <v>Céréale enfant petit déjeuner</v>
      </c>
      <c r="E5167" s="25" t="str">
        <f t="shared" si="1"/>
        <v>107673-Céréales petit déjeuner-Céréale enfant petit déjeuner</v>
      </c>
      <c r="F5167" s="25">
        <v>1.0</v>
      </c>
      <c r="G5167" s="25">
        <v>772.0</v>
      </c>
      <c r="H5167" s="25">
        <v>674.0</v>
      </c>
      <c r="I5167" s="26">
        <f t="array" ref="I5167">XLOOKUP($A5167,product!A:A,product!E:E)</f>
        <v>2.47</v>
      </c>
      <c r="J5167" s="25">
        <f t="shared" si="2"/>
        <v>1664.78</v>
      </c>
      <c r="K5167" s="27">
        <f t="shared" si="3"/>
        <v>1</v>
      </c>
      <c r="L5167" s="25">
        <f t="shared" si="4"/>
        <v>1</v>
      </c>
    </row>
    <row r="5168">
      <c r="A5168" s="19">
        <v>107902.0</v>
      </c>
      <c r="B5168" s="20" t="str">
        <f t="array" ref="B5168">xlookup($A5168,product!$A:$A,product!B:B)</f>
        <v>Epicerie sucrée</v>
      </c>
      <c r="C5168" s="20" t="str">
        <f t="array" ref="C5168">xlookup($A5168,product!$A:$A,product!C:C)</f>
        <v>Céréales petit déjeuner</v>
      </c>
      <c r="D5168" s="20" t="str">
        <f t="array" ref="D5168">xlookup($A5168,product!$A:$A,product!D:D)</f>
        <v>Céréale enfant petit déjeuner</v>
      </c>
      <c r="E5168" s="4" t="str">
        <f t="shared" si="1"/>
        <v>107902-Céréales petit déjeuner-Céréale enfant petit déjeuner</v>
      </c>
      <c r="F5168" s="4">
        <v>1.0</v>
      </c>
      <c r="G5168" s="4">
        <v>941.0</v>
      </c>
      <c r="H5168" s="4">
        <v>774.0</v>
      </c>
      <c r="I5168" s="21">
        <f t="array" ref="I5168">XLOOKUP($A5168,product!A:A,product!E:E)</f>
        <v>1.66</v>
      </c>
      <c r="J5168" s="4">
        <f t="shared" si="2"/>
        <v>1284.84</v>
      </c>
      <c r="K5168" s="22">
        <f t="shared" si="3"/>
        <v>1</v>
      </c>
      <c r="L5168" s="4">
        <f t="shared" si="4"/>
        <v>1</v>
      </c>
    </row>
    <row r="5169">
      <c r="A5169" s="23">
        <v>19340.0</v>
      </c>
      <c r="B5169" s="24" t="str">
        <f t="array" ref="B5169">xlookup($A5169,product!$A:$A,product!B:B)</f>
        <v>Epicerie sucrée</v>
      </c>
      <c r="C5169" s="24" t="str">
        <f t="array" ref="C5169">xlookup($A5169,product!$A:$A,product!C:C)</f>
        <v>Céréales petit déjeuner</v>
      </c>
      <c r="D5169" s="24" t="str">
        <f t="array" ref="D5169">xlookup($A5169,product!$A:$A,product!D:D)</f>
        <v>Céréale enfant petit déjeuner</v>
      </c>
      <c r="E5169" s="25" t="str">
        <f t="shared" si="1"/>
        <v>19340-Céréales petit déjeuner-Céréale enfant petit déjeuner</v>
      </c>
      <c r="F5169" s="25">
        <v>1.0</v>
      </c>
      <c r="G5169" s="25">
        <v>187.0</v>
      </c>
      <c r="H5169" s="25">
        <v>23.0</v>
      </c>
      <c r="I5169" s="26">
        <f t="array" ref="I5169">XLOOKUP($A5169,product!A:A,product!E:E)</f>
        <v>2.17</v>
      </c>
      <c r="J5169" s="25">
        <f t="shared" si="2"/>
        <v>49.91</v>
      </c>
      <c r="K5169" s="27">
        <f t="shared" si="3"/>
        <v>1</v>
      </c>
      <c r="L5169" s="25">
        <f t="shared" si="4"/>
        <v>1</v>
      </c>
    </row>
    <row r="5170">
      <c r="A5170" s="19">
        <v>69190.0</v>
      </c>
      <c r="B5170" s="20" t="str">
        <f t="array" ref="B5170">xlookup($A5170,product!$A:$A,product!B:B)</f>
        <v>Epicerie sucrée</v>
      </c>
      <c r="C5170" s="20" t="str">
        <f t="array" ref="C5170">xlookup($A5170,product!$A:$A,product!C:C)</f>
        <v>Céréales petit déjeuner</v>
      </c>
      <c r="D5170" s="20" t="str">
        <f t="array" ref="D5170">xlookup($A5170,product!$A:$A,product!D:D)</f>
        <v>Céréale enfant petit déjeuner</v>
      </c>
      <c r="E5170" s="4" t="str">
        <f t="shared" si="1"/>
        <v>69190-Céréales petit déjeuner-Céréale enfant petit déjeuner</v>
      </c>
      <c r="F5170" s="4">
        <v>0.0</v>
      </c>
      <c r="G5170" s="4">
        <v>195.0</v>
      </c>
      <c r="H5170" s="4">
        <v>80.0</v>
      </c>
      <c r="I5170" s="21">
        <f t="array" ref="I5170">XLOOKUP($A5170,product!A:A,product!E:E)</f>
        <v>2.43</v>
      </c>
      <c r="J5170" s="4">
        <f t="shared" si="2"/>
        <v>194.4</v>
      </c>
      <c r="K5170" s="22">
        <f t="shared" si="3"/>
        <v>1</v>
      </c>
      <c r="L5170" s="4">
        <f t="shared" si="4"/>
        <v>1</v>
      </c>
    </row>
    <row r="5171">
      <c r="A5171" s="23">
        <v>48451.0</v>
      </c>
      <c r="B5171" s="24" t="str">
        <f t="array" ref="B5171">xlookup($A5171,product!$A:$A,product!B:B)</f>
        <v>Epicerie sucrée</v>
      </c>
      <c r="C5171" s="24" t="str">
        <f t="array" ref="C5171">xlookup($A5171,product!$A:$A,product!C:C)</f>
        <v>Céréales petit déjeuner</v>
      </c>
      <c r="D5171" s="24" t="str">
        <f t="array" ref="D5171">xlookup($A5171,product!$A:$A,product!D:D)</f>
        <v>Céréale enfant petit déjeuner</v>
      </c>
      <c r="E5171" s="25" t="str">
        <f t="shared" si="1"/>
        <v>48451-Céréales petit déjeuner-Céréale enfant petit déjeuner</v>
      </c>
      <c r="F5171" s="25">
        <v>0.0</v>
      </c>
      <c r="G5171" s="25">
        <v>895.0</v>
      </c>
      <c r="H5171" s="25">
        <v>557.0</v>
      </c>
      <c r="I5171" s="26">
        <f t="array" ref="I5171">XLOOKUP($A5171,product!A:A,product!E:E)</f>
        <v>3.29</v>
      </c>
      <c r="J5171" s="25">
        <f t="shared" si="2"/>
        <v>1832.53</v>
      </c>
      <c r="K5171" s="27">
        <f t="shared" si="3"/>
        <v>1</v>
      </c>
      <c r="L5171" s="25">
        <f t="shared" si="4"/>
        <v>1</v>
      </c>
    </row>
    <row r="5172">
      <c r="A5172" s="19">
        <v>19339.0</v>
      </c>
      <c r="B5172" s="20" t="str">
        <f t="array" ref="B5172">xlookup($A5172,product!$A:$A,product!B:B)</f>
        <v>Epicerie sucrée</v>
      </c>
      <c r="C5172" s="20" t="str">
        <f t="array" ref="C5172">xlookup($A5172,product!$A:$A,product!C:C)</f>
        <v>Céréales petit déjeuner</v>
      </c>
      <c r="D5172" s="20" t="str">
        <f t="array" ref="D5172">xlookup($A5172,product!$A:$A,product!D:D)</f>
        <v>Céréale enfant petit déjeuner</v>
      </c>
      <c r="E5172" s="4" t="str">
        <f t="shared" si="1"/>
        <v>19339-Céréales petit déjeuner-Céréale enfant petit déjeuner</v>
      </c>
      <c r="F5172" s="4">
        <v>0.0</v>
      </c>
      <c r="G5172" s="4">
        <v>920.0</v>
      </c>
      <c r="H5172" s="4">
        <v>293.0</v>
      </c>
      <c r="I5172" s="21">
        <f t="array" ref="I5172">XLOOKUP($A5172,product!A:A,product!E:E)</f>
        <v>2.3</v>
      </c>
      <c r="J5172" s="4">
        <f t="shared" si="2"/>
        <v>673.9</v>
      </c>
      <c r="K5172" s="22">
        <f t="shared" si="3"/>
        <v>1</v>
      </c>
      <c r="L5172" s="4">
        <f t="shared" si="4"/>
        <v>1</v>
      </c>
    </row>
    <row r="5173">
      <c r="A5173" s="23">
        <v>69195.0</v>
      </c>
      <c r="B5173" s="24" t="str">
        <f t="array" ref="B5173">xlookup($A5173,product!$A:$A,product!B:B)</f>
        <v>Epicerie sucrée</v>
      </c>
      <c r="C5173" s="24" t="str">
        <f t="array" ref="C5173">xlookup($A5173,product!$A:$A,product!C:C)</f>
        <v>Céréales petit déjeuner</v>
      </c>
      <c r="D5173" s="24" t="str">
        <f t="array" ref="D5173">xlookup($A5173,product!$A:$A,product!D:D)</f>
        <v>Céréale enfant petit déjeuner</v>
      </c>
      <c r="E5173" s="25" t="str">
        <f t="shared" si="1"/>
        <v>69195-Céréales petit déjeuner-Céréale enfant petit déjeuner</v>
      </c>
      <c r="F5173" s="25">
        <v>0.0</v>
      </c>
      <c r="G5173" s="25">
        <v>905.0</v>
      </c>
      <c r="H5173" s="25">
        <v>463.0</v>
      </c>
      <c r="I5173" s="26">
        <f t="array" ref="I5173">XLOOKUP($A5173,product!A:A,product!E:E)</f>
        <v>2.93</v>
      </c>
      <c r="J5173" s="25">
        <f t="shared" si="2"/>
        <v>1356.59</v>
      </c>
      <c r="K5173" s="27">
        <f t="shared" si="3"/>
        <v>1</v>
      </c>
      <c r="L5173" s="25">
        <f t="shared" si="4"/>
        <v>1</v>
      </c>
    </row>
    <row r="5174">
      <c r="A5174" s="19">
        <v>77192.0</v>
      </c>
      <c r="B5174" s="20" t="str">
        <f t="array" ref="B5174">xlookup($A5174,product!$A:$A,product!B:B)</f>
        <v>Epicerie sucrée</v>
      </c>
      <c r="C5174" s="20" t="str">
        <f t="array" ref="C5174">xlookup($A5174,product!$A:$A,product!C:C)</f>
        <v>Céréales petit déjeuner</v>
      </c>
      <c r="D5174" s="20" t="str">
        <f t="array" ref="D5174">xlookup($A5174,product!$A:$A,product!D:D)</f>
        <v>Céréale enfant petit déjeuner</v>
      </c>
      <c r="E5174" s="4" t="str">
        <f t="shared" si="1"/>
        <v>77192-Céréales petit déjeuner-Céréale enfant petit déjeuner</v>
      </c>
      <c r="F5174" s="4">
        <v>0.0</v>
      </c>
      <c r="G5174" s="4">
        <v>314.0</v>
      </c>
      <c r="H5174" s="4">
        <v>259.0</v>
      </c>
      <c r="I5174" s="21">
        <f t="array" ref="I5174">XLOOKUP($A5174,product!A:A,product!E:E)</f>
        <v>1.2</v>
      </c>
      <c r="J5174" s="4">
        <f t="shared" si="2"/>
        <v>310.8</v>
      </c>
      <c r="K5174" s="22">
        <f t="shared" si="3"/>
        <v>1</v>
      </c>
      <c r="L5174" s="4">
        <f t="shared" si="4"/>
        <v>1</v>
      </c>
    </row>
    <row r="5175">
      <c r="A5175" s="23">
        <v>95922.0</v>
      </c>
      <c r="B5175" s="24" t="str">
        <f t="array" ref="B5175">xlookup($A5175,product!$A:$A,product!B:B)</f>
        <v>Epicerie sucrée</v>
      </c>
      <c r="C5175" s="24" t="str">
        <f t="array" ref="C5175">xlookup($A5175,product!$A:$A,product!C:C)</f>
        <v>Céréales petit déjeuner</v>
      </c>
      <c r="D5175" s="24" t="str">
        <f t="array" ref="D5175">xlookup($A5175,product!$A:$A,product!D:D)</f>
        <v>Céréale enfant petit déjeuner</v>
      </c>
      <c r="E5175" s="25" t="str">
        <f t="shared" si="1"/>
        <v>95922-Céréales petit déjeuner-Céréale enfant petit déjeuner</v>
      </c>
      <c r="F5175" s="25">
        <v>0.0</v>
      </c>
      <c r="G5175" s="25">
        <v>536.0</v>
      </c>
      <c r="H5175" s="25">
        <v>435.0</v>
      </c>
      <c r="I5175" s="26">
        <f t="array" ref="I5175">XLOOKUP($A5175,product!A:A,product!E:E)</f>
        <v>2.77</v>
      </c>
      <c r="J5175" s="25">
        <f t="shared" si="2"/>
        <v>1204.95</v>
      </c>
      <c r="K5175" s="27">
        <f t="shared" si="3"/>
        <v>1</v>
      </c>
      <c r="L5175" s="25">
        <f t="shared" si="4"/>
        <v>1</v>
      </c>
    </row>
    <row r="5176">
      <c r="A5176" s="19">
        <v>116779.0</v>
      </c>
      <c r="B5176" s="20" t="str">
        <f t="array" ref="B5176">xlookup($A5176,product!$A:$A,product!B:B)</f>
        <v>Epicerie sucrée</v>
      </c>
      <c r="C5176" s="20" t="str">
        <f t="array" ref="C5176">xlookup($A5176,product!$A:$A,product!C:C)</f>
        <v>Céréales petit déjeuner</v>
      </c>
      <c r="D5176" s="20" t="str">
        <f t="array" ref="D5176">xlookup($A5176,product!$A:$A,product!D:D)</f>
        <v>Céréale enfant petit déjeuner</v>
      </c>
      <c r="E5176" s="4" t="str">
        <f t="shared" si="1"/>
        <v>116779-Céréales petit déjeuner-Céréale enfant petit déjeuner</v>
      </c>
      <c r="F5176" s="4">
        <v>0.0</v>
      </c>
      <c r="G5176" s="4">
        <v>459.0</v>
      </c>
      <c r="H5176" s="4">
        <v>214.0</v>
      </c>
      <c r="I5176" s="21">
        <f t="array" ref="I5176">XLOOKUP($A5176,product!A:A,product!E:E)</f>
        <v>2.99</v>
      </c>
      <c r="J5176" s="4">
        <f t="shared" si="2"/>
        <v>639.86</v>
      </c>
      <c r="K5176" s="22">
        <f t="shared" si="3"/>
        <v>1</v>
      </c>
      <c r="L5176" s="4">
        <f t="shared" si="4"/>
        <v>1</v>
      </c>
    </row>
    <row r="5177">
      <c r="A5177" s="23">
        <v>69238.0</v>
      </c>
      <c r="B5177" s="24" t="str">
        <f t="array" ref="B5177">xlookup($A5177,product!$A:$A,product!B:B)</f>
        <v>Epicerie sucrée</v>
      </c>
      <c r="C5177" s="24" t="str">
        <f t="array" ref="C5177">xlookup($A5177,product!$A:$A,product!C:C)</f>
        <v>Céréales petit déjeuner</v>
      </c>
      <c r="D5177" s="24" t="str">
        <f t="array" ref="D5177">xlookup($A5177,product!$A:$A,product!D:D)</f>
        <v>Céréale enfant petit déjeuner</v>
      </c>
      <c r="E5177" s="25" t="str">
        <f t="shared" si="1"/>
        <v>69238-Céréales petit déjeuner-Céréale enfant petit déjeuner</v>
      </c>
      <c r="F5177" s="25">
        <v>1.0</v>
      </c>
      <c r="G5177" s="25">
        <v>775.0</v>
      </c>
      <c r="H5177" s="25">
        <v>648.0</v>
      </c>
      <c r="I5177" s="26">
        <f t="array" ref="I5177">XLOOKUP($A5177,product!A:A,product!E:E)</f>
        <v>3.68</v>
      </c>
      <c r="J5177" s="25">
        <f t="shared" si="2"/>
        <v>2384.64</v>
      </c>
      <c r="K5177" s="27">
        <f t="shared" si="3"/>
        <v>1</v>
      </c>
      <c r="L5177" s="25">
        <f t="shared" si="4"/>
        <v>1</v>
      </c>
    </row>
    <row r="5178">
      <c r="A5178" s="19">
        <v>19337.0</v>
      </c>
      <c r="B5178" s="20" t="str">
        <f t="array" ref="B5178">xlookup($A5178,product!$A:$A,product!B:B)</f>
        <v>Epicerie sucrée</v>
      </c>
      <c r="C5178" s="20" t="str">
        <f t="array" ref="C5178">xlookup($A5178,product!$A:$A,product!C:C)</f>
        <v>Céréales petit déjeuner</v>
      </c>
      <c r="D5178" s="20" t="str">
        <f t="array" ref="D5178">xlookup($A5178,product!$A:$A,product!D:D)</f>
        <v>Céréale enfant petit déjeuner</v>
      </c>
      <c r="E5178" s="4" t="str">
        <f t="shared" si="1"/>
        <v>19337-Céréales petit déjeuner-Céréale enfant petit déjeuner</v>
      </c>
      <c r="F5178" s="4">
        <v>0.0</v>
      </c>
      <c r="G5178" s="4">
        <v>129.0</v>
      </c>
      <c r="H5178" s="4">
        <v>30.0</v>
      </c>
      <c r="I5178" s="21">
        <f t="array" ref="I5178">XLOOKUP($A5178,product!A:A,product!E:E)</f>
        <v>1.3</v>
      </c>
      <c r="J5178" s="4">
        <f t="shared" si="2"/>
        <v>39</v>
      </c>
      <c r="K5178" s="22">
        <f t="shared" si="3"/>
        <v>1</v>
      </c>
      <c r="L5178" s="4">
        <f t="shared" si="4"/>
        <v>1</v>
      </c>
    </row>
    <row r="5179">
      <c r="A5179" s="23">
        <v>19326.0</v>
      </c>
      <c r="B5179" s="24" t="str">
        <f t="array" ref="B5179">xlookup($A5179,product!$A:$A,product!B:B)</f>
        <v>Epicerie sucrée</v>
      </c>
      <c r="C5179" s="24" t="str">
        <f t="array" ref="C5179">xlookup($A5179,product!$A:$A,product!C:C)</f>
        <v>Céréales petit déjeuner</v>
      </c>
      <c r="D5179" s="24" t="str">
        <f t="array" ref="D5179">xlookup($A5179,product!$A:$A,product!D:D)</f>
        <v>Céréale enfant petit déjeuner</v>
      </c>
      <c r="E5179" s="25" t="str">
        <f t="shared" si="1"/>
        <v>19326-Céréales petit déjeuner-Céréale enfant petit déjeuner</v>
      </c>
      <c r="F5179" s="25">
        <v>1.0</v>
      </c>
      <c r="G5179" s="25">
        <v>852.0</v>
      </c>
      <c r="H5179" s="25">
        <v>217.0</v>
      </c>
      <c r="I5179" s="26">
        <f t="array" ref="I5179">XLOOKUP($A5179,product!A:A,product!E:E)</f>
        <v>3.23</v>
      </c>
      <c r="J5179" s="25">
        <f t="shared" si="2"/>
        <v>700.91</v>
      </c>
      <c r="K5179" s="27">
        <f t="shared" si="3"/>
        <v>1</v>
      </c>
      <c r="L5179" s="25">
        <f t="shared" si="4"/>
        <v>1</v>
      </c>
    </row>
    <row r="5180">
      <c r="A5180" s="19">
        <v>69251.0</v>
      </c>
      <c r="B5180" s="20" t="str">
        <f t="array" ref="B5180">xlookup($A5180,product!$A:$A,product!B:B)</f>
        <v>Epicerie sucrée</v>
      </c>
      <c r="C5180" s="20" t="str">
        <f t="array" ref="C5180">xlookup($A5180,product!$A:$A,product!C:C)</f>
        <v>Céréales petit déjeuner</v>
      </c>
      <c r="D5180" s="20" t="str">
        <f t="array" ref="D5180">xlookup($A5180,product!$A:$A,product!D:D)</f>
        <v>Céréale enfant petit déjeuner</v>
      </c>
      <c r="E5180" s="4" t="str">
        <f t="shared" si="1"/>
        <v>69251-Céréales petit déjeuner-Céréale enfant petit déjeuner</v>
      </c>
      <c r="F5180" s="4">
        <v>0.0</v>
      </c>
      <c r="G5180" s="4">
        <v>204.0</v>
      </c>
      <c r="H5180" s="4">
        <v>89.0</v>
      </c>
      <c r="I5180" s="21">
        <f t="array" ref="I5180">XLOOKUP($A5180,product!A:A,product!E:E)</f>
        <v>3.83</v>
      </c>
      <c r="J5180" s="4">
        <f t="shared" si="2"/>
        <v>340.87</v>
      </c>
      <c r="K5180" s="22">
        <f t="shared" si="3"/>
        <v>1</v>
      </c>
      <c r="L5180" s="4">
        <f t="shared" si="4"/>
        <v>1</v>
      </c>
    </row>
    <row r="5181">
      <c r="A5181" s="23">
        <v>81871.0</v>
      </c>
      <c r="B5181" s="24" t="str">
        <f t="array" ref="B5181">xlookup($A5181,product!$A:$A,product!B:B)</f>
        <v>Epicerie sucrée</v>
      </c>
      <c r="C5181" s="24" t="str">
        <f t="array" ref="C5181">xlookup($A5181,product!$A:$A,product!C:C)</f>
        <v>Céréales petit déjeuner</v>
      </c>
      <c r="D5181" s="24" t="str">
        <f t="array" ref="D5181">xlookup($A5181,product!$A:$A,product!D:D)</f>
        <v>Céréale enfant petit déjeuner</v>
      </c>
      <c r="E5181" s="25" t="str">
        <f t="shared" si="1"/>
        <v>81871-Céréales petit déjeuner-Céréale enfant petit déjeuner</v>
      </c>
      <c r="F5181" s="25">
        <v>1.0</v>
      </c>
      <c r="G5181" s="25">
        <v>651.0</v>
      </c>
      <c r="H5181" s="25">
        <v>24.0</v>
      </c>
      <c r="I5181" s="26">
        <f t="array" ref="I5181">XLOOKUP($A5181,product!A:A,product!E:E)</f>
        <v>3.69</v>
      </c>
      <c r="J5181" s="25">
        <f t="shared" si="2"/>
        <v>88.56</v>
      </c>
      <c r="K5181" s="27">
        <f t="shared" si="3"/>
        <v>1</v>
      </c>
      <c r="L5181" s="25">
        <f t="shared" si="4"/>
        <v>1</v>
      </c>
    </row>
    <row r="5182">
      <c r="A5182" s="19">
        <v>19321.0</v>
      </c>
      <c r="B5182" s="20" t="str">
        <f t="array" ref="B5182">xlookup($A5182,product!$A:$A,product!B:B)</f>
        <v>Epicerie sucrée</v>
      </c>
      <c r="C5182" s="20" t="str">
        <f t="array" ref="C5182">xlookup($A5182,product!$A:$A,product!C:C)</f>
        <v>Céréales petit déjeuner</v>
      </c>
      <c r="D5182" s="20" t="str">
        <f t="array" ref="D5182">xlookup($A5182,product!$A:$A,product!D:D)</f>
        <v>Céréale enfant petit déjeuner</v>
      </c>
      <c r="E5182" s="4" t="str">
        <f t="shared" si="1"/>
        <v>19321-Céréales petit déjeuner-Céréale enfant petit déjeuner</v>
      </c>
      <c r="F5182" s="4">
        <v>0.0</v>
      </c>
      <c r="G5182" s="4">
        <v>858.0</v>
      </c>
      <c r="H5182" s="4">
        <v>190.0</v>
      </c>
      <c r="I5182" s="21">
        <f t="array" ref="I5182">XLOOKUP($A5182,product!A:A,product!E:E)</f>
        <v>3.17</v>
      </c>
      <c r="J5182" s="4">
        <f t="shared" si="2"/>
        <v>602.3</v>
      </c>
      <c r="K5182" s="22">
        <f t="shared" si="3"/>
        <v>1</v>
      </c>
      <c r="L5182" s="4">
        <f t="shared" si="4"/>
        <v>1</v>
      </c>
    </row>
    <row r="5183">
      <c r="A5183" s="23">
        <v>117618.0</v>
      </c>
      <c r="B5183" s="24" t="str">
        <f t="array" ref="B5183">xlookup($A5183,product!$A:$A,product!B:B)</f>
        <v>Alimentation Bébé</v>
      </c>
      <c r="C5183" s="24" t="str">
        <f t="array" ref="C5183">xlookup($A5183,product!$A:$A,product!C:C)</f>
        <v>Petits pots bébé du midi</v>
      </c>
      <c r="D5183" s="24" t="str">
        <f t="array" ref="D5183">xlookup($A5183,product!$A:$A,product!D:D)</f>
        <v/>
      </c>
      <c r="E5183" s="25" t="str">
        <f t="shared" si="1"/>
        <v>117618-Petits pots bébé du midi-</v>
      </c>
      <c r="F5183" s="25">
        <v>1.0</v>
      </c>
      <c r="G5183" s="25">
        <v>417.0</v>
      </c>
      <c r="H5183" s="25">
        <v>46.0</v>
      </c>
      <c r="I5183" s="26">
        <f t="array" ref="I5183">XLOOKUP($A5183,product!A:A,product!E:E)</f>
        <v>2.74</v>
      </c>
      <c r="J5183" s="25">
        <f t="shared" si="2"/>
        <v>126.04</v>
      </c>
      <c r="K5183" s="27">
        <f t="shared" si="3"/>
        <v>1</v>
      </c>
      <c r="L5183" s="25">
        <f t="shared" si="4"/>
        <v>1</v>
      </c>
    </row>
    <row r="5184">
      <c r="A5184" s="19">
        <v>117623.0</v>
      </c>
      <c r="B5184" s="20" t="str">
        <f t="array" ref="B5184">xlookup($A5184,product!$A:$A,product!B:B)</f>
        <v>Alimentation Bébé</v>
      </c>
      <c r="C5184" s="20" t="str">
        <f t="array" ref="C5184">xlookup($A5184,product!$A:$A,product!C:C)</f>
        <v>Petits pots bébé du midi</v>
      </c>
      <c r="D5184" s="20" t="str">
        <f t="array" ref="D5184">xlookup($A5184,product!$A:$A,product!D:D)</f>
        <v/>
      </c>
      <c r="E5184" s="4" t="str">
        <f t="shared" si="1"/>
        <v>117623-Petits pots bébé du midi-</v>
      </c>
      <c r="F5184" s="4">
        <v>0.0</v>
      </c>
      <c r="G5184" s="4">
        <v>763.0</v>
      </c>
      <c r="H5184" s="4">
        <v>521.0</v>
      </c>
      <c r="I5184" s="21">
        <f t="array" ref="I5184">XLOOKUP($A5184,product!A:A,product!E:E)</f>
        <v>2.74</v>
      </c>
      <c r="J5184" s="4">
        <f t="shared" si="2"/>
        <v>1427.54</v>
      </c>
      <c r="K5184" s="22">
        <f t="shared" si="3"/>
        <v>1</v>
      </c>
      <c r="L5184" s="4">
        <f t="shared" si="4"/>
        <v>1</v>
      </c>
    </row>
    <row r="5185">
      <c r="A5185" s="23">
        <v>117614.0</v>
      </c>
      <c r="B5185" s="24" t="str">
        <f t="array" ref="B5185">xlookup($A5185,product!$A:$A,product!B:B)</f>
        <v>Alimentation Bébé</v>
      </c>
      <c r="C5185" s="24" t="str">
        <f t="array" ref="C5185">xlookup($A5185,product!$A:$A,product!C:C)</f>
        <v>Petits pots bébé du midi</v>
      </c>
      <c r="D5185" s="24" t="str">
        <f t="array" ref="D5185">xlookup($A5185,product!$A:$A,product!D:D)</f>
        <v/>
      </c>
      <c r="E5185" s="25" t="str">
        <f t="shared" si="1"/>
        <v>117614-Petits pots bébé du midi-</v>
      </c>
      <c r="F5185" s="25">
        <v>1.0</v>
      </c>
      <c r="G5185" s="25">
        <v>855.0</v>
      </c>
      <c r="H5185" s="25">
        <v>107.0</v>
      </c>
      <c r="I5185" s="26">
        <f t="array" ref="I5185">XLOOKUP($A5185,product!A:A,product!E:E)</f>
        <v>2.74</v>
      </c>
      <c r="J5185" s="25">
        <f t="shared" si="2"/>
        <v>293.18</v>
      </c>
      <c r="K5185" s="27">
        <f t="shared" si="3"/>
        <v>1</v>
      </c>
      <c r="L5185" s="25">
        <f t="shared" si="4"/>
        <v>1</v>
      </c>
    </row>
    <row r="5186">
      <c r="A5186" s="19">
        <v>14393.0</v>
      </c>
      <c r="B5186" s="20" t="str">
        <f t="array" ref="B5186">xlookup($A5186,product!$A:$A,product!B:B)</f>
        <v>Alimentation Bébé</v>
      </c>
      <c r="C5186" s="20" t="str">
        <f t="array" ref="C5186">xlookup($A5186,product!$A:$A,product!C:C)</f>
        <v>Petits pots bébé du midi</v>
      </c>
      <c r="D5186" s="20" t="str">
        <f t="array" ref="D5186">xlookup($A5186,product!$A:$A,product!D:D)</f>
        <v>Petits pots midi 4-6 mois</v>
      </c>
      <c r="E5186" s="4" t="str">
        <f t="shared" si="1"/>
        <v>14393-Petits pots bébé du midi-Petits pots midi 4-6 mois</v>
      </c>
      <c r="F5186" s="4">
        <v>0.0</v>
      </c>
      <c r="G5186" s="4">
        <v>135.0</v>
      </c>
      <c r="H5186" s="4">
        <v>104.0</v>
      </c>
      <c r="I5186" s="21">
        <f t="array" ref="I5186">XLOOKUP($A5186,product!A:A,product!E:E)</f>
        <v>2.1</v>
      </c>
      <c r="J5186" s="4">
        <f t="shared" si="2"/>
        <v>218.4</v>
      </c>
      <c r="K5186" s="22">
        <f t="shared" si="3"/>
        <v>1</v>
      </c>
      <c r="L5186" s="4">
        <f t="shared" si="4"/>
        <v>1</v>
      </c>
    </row>
    <row r="5187">
      <c r="A5187" s="23">
        <v>70419.0</v>
      </c>
      <c r="B5187" s="24" t="str">
        <f t="array" ref="B5187">xlookup($A5187,product!$A:$A,product!B:B)</f>
        <v>Alimentation Bébé</v>
      </c>
      <c r="C5187" s="24" t="str">
        <f t="array" ref="C5187">xlookup($A5187,product!$A:$A,product!C:C)</f>
        <v>Petits pots bébé du midi</v>
      </c>
      <c r="D5187" s="24" t="str">
        <f t="array" ref="D5187">xlookup($A5187,product!$A:$A,product!D:D)</f>
        <v>Petits pots midi 4-6 mois</v>
      </c>
      <c r="E5187" s="25" t="str">
        <f t="shared" si="1"/>
        <v>70419-Petits pots bébé du midi-Petits pots midi 4-6 mois</v>
      </c>
      <c r="F5187" s="25">
        <v>0.0</v>
      </c>
      <c r="G5187" s="25">
        <v>319.0</v>
      </c>
      <c r="H5187" s="25">
        <v>244.0</v>
      </c>
      <c r="I5187" s="26">
        <f t="array" ref="I5187">XLOOKUP($A5187,product!A:A,product!E:E)</f>
        <v>2.3</v>
      </c>
      <c r="J5187" s="25">
        <f t="shared" si="2"/>
        <v>561.2</v>
      </c>
      <c r="K5187" s="27">
        <f t="shared" si="3"/>
        <v>1</v>
      </c>
      <c r="L5187" s="25">
        <f t="shared" si="4"/>
        <v>1</v>
      </c>
    </row>
    <row r="5188">
      <c r="A5188" s="19">
        <v>111147.0</v>
      </c>
      <c r="B5188" s="20" t="str">
        <f t="array" ref="B5188">xlookup($A5188,product!$A:$A,product!B:B)</f>
        <v>Alimentation Bébé</v>
      </c>
      <c r="C5188" s="20" t="str">
        <f t="array" ref="C5188">xlookup($A5188,product!$A:$A,product!C:C)</f>
        <v>Petits pots bébé du midi</v>
      </c>
      <c r="D5188" s="20" t="str">
        <f t="array" ref="D5188">xlookup($A5188,product!$A:$A,product!D:D)</f>
        <v>Petits pots midi 4-6 mois</v>
      </c>
      <c r="E5188" s="4" t="str">
        <f t="shared" si="1"/>
        <v>111147-Petits pots bébé du midi-Petits pots midi 4-6 mois</v>
      </c>
      <c r="F5188" s="4">
        <v>1.0</v>
      </c>
      <c r="G5188" s="4">
        <v>859.0</v>
      </c>
      <c r="H5188" s="4">
        <v>525.0</v>
      </c>
      <c r="I5188" s="21">
        <f t="array" ref="I5188">XLOOKUP($A5188,product!A:A,product!E:E)</f>
        <v>1.46</v>
      </c>
      <c r="J5188" s="4">
        <f t="shared" si="2"/>
        <v>766.5</v>
      </c>
      <c r="K5188" s="22">
        <f t="shared" si="3"/>
        <v>1</v>
      </c>
      <c r="L5188" s="4">
        <f t="shared" si="4"/>
        <v>1</v>
      </c>
    </row>
    <row r="5189">
      <c r="A5189" s="23">
        <v>4325.0</v>
      </c>
      <c r="B5189" s="24" t="str">
        <f t="array" ref="B5189">xlookup($A5189,product!$A:$A,product!B:B)</f>
        <v>Alimentation Bébé</v>
      </c>
      <c r="C5189" s="24" t="str">
        <f t="array" ref="C5189">xlookup($A5189,product!$A:$A,product!C:C)</f>
        <v>Petits pots bébé du midi</v>
      </c>
      <c r="D5189" s="24" t="str">
        <f t="array" ref="D5189">xlookup($A5189,product!$A:$A,product!D:D)</f>
        <v>Petits pots midi 4-6 mois</v>
      </c>
      <c r="E5189" s="25" t="str">
        <f t="shared" si="1"/>
        <v>4325-Petits pots bébé du midi-Petits pots midi 4-6 mois</v>
      </c>
      <c r="F5189" s="25">
        <v>1.0</v>
      </c>
      <c r="G5189" s="25">
        <v>625.0</v>
      </c>
      <c r="H5189" s="25">
        <v>327.0</v>
      </c>
      <c r="I5189" s="26">
        <f t="array" ref="I5189">XLOOKUP($A5189,product!A:A,product!E:E)</f>
        <v>2.1</v>
      </c>
      <c r="J5189" s="25">
        <f t="shared" si="2"/>
        <v>686.7</v>
      </c>
      <c r="K5189" s="27">
        <f t="shared" si="3"/>
        <v>1</v>
      </c>
      <c r="L5189" s="25">
        <f t="shared" si="4"/>
        <v>1</v>
      </c>
    </row>
    <row r="5190">
      <c r="A5190" s="19">
        <v>4321.0</v>
      </c>
      <c r="B5190" s="20" t="str">
        <f t="array" ref="B5190">xlookup($A5190,product!$A:$A,product!B:B)</f>
        <v>Alimentation Bébé</v>
      </c>
      <c r="C5190" s="20" t="str">
        <f t="array" ref="C5190">xlookup($A5190,product!$A:$A,product!C:C)</f>
        <v>Petits pots bébé du midi</v>
      </c>
      <c r="D5190" s="20" t="str">
        <f t="array" ref="D5190">xlookup($A5190,product!$A:$A,product!D:D)</f>
        <v>Petits pots midi 4-6 mois</v>
      </c>
      <c r="E5190" s="4" t="str">
        <f t="shared" si="1"/>
        <v>4321-Petits pots bébé du midi-Petits pots midi 4-6 mois</v>
      </c>
      <c r="F5190" s="4">
        <v>0.0</v>
      </c>
      <c r="G5190" s="4">
        <v>283.0</v>
      </c>
      <c r="H5190" s="4">
        <v>153.0</v>
      </c>
      <c r="I5190" s="21">
        <f t="array" ref="I5190">XLOOKUP($A5190,product!A:A,product!E:E)</f>
        <v>2.1</v>
      </c>
      <c r="J5190" s="4">
        <f t="shared" si="2"/>
        <v>321.3</v>
      </c>
      <c r="K5190" s="22">
        <f t="shared" si="3"/>
        <v>1</v>
      </c>
      <c r="L5190" s="4">
        <f t="shared" si="4"/>
        <v>1</v>
      </c>
    </row>
    <row r="5191">
      <c r="A5191" s="23">
        <v>70418.0</v>
      </c>
      <c r="B5191" s="24" t="str">
        <f t="array" ref="B5191">xlookup($A5191,product!$A:$A,product!B:B)</f>
        <v>Alimentation Bébé</v>
      </c>
      <c r="C5191" s="24" t="str">
        <f t="array" ref="C5191">xlookup($A5191,product!$A:$A,product!C:C)</f>
        <v>Petits pots bébé du midi</v>
      </c>
      <c r="D5191" s="24" t="str">
        <f t="array" ref="D5191">xlookup($A5191,product!$A:$A,product!D:D)</f>
        <v>Petits pots midi 4-6 mois</v>
      </c>
      <c r="E5191" s="25" t="str">
        <f t="shared" si="1"/>
        <v>70418-Petits pots bébé du midi-Petits pots midi 4-6 mois</v>
      </c>
      <c r="F5191" s="25">
        <v>1.0</v>
      </c>
      <c r="G5191" s="25">
        <v>527.0</v>
      </c>
      <c r="H5191" s="25">
        <v>178.0</v>
      </c>
      <c r="I5191" s="26">
        <f t="array" ref="I5191">XLOOKUP($A5191,product!A:A,product!E:E)</f>
        <v>2.3</v>
      </c>
      <c r="J5191" s="25">
        <f t="shared" si="2"/>
        <v>409.4</v>
      </c>
      <c r="K5191" s="27">
        <f t="shared" si="3"/>
        <v>1</v>
      </c>
      <c r="L5191" s="25">
        <f t="shared" si="4"/>
        <v>1</v>
      </c>
    </row>
    <row r="5192">
      <c r="A5192" s="19">
        <v>80648.0</v>
      </c>
      <c r="B5192" s="20" t="str">
        <f t="array" ref="B5192">xlookup($A5192,product!$A:$A,product!B:B)</f>
        <v>Alimentation Bébé</v>
      </c>
      <c r="C5192" s="20" t="str">
        <f t="array" ref="C5192">xlookup($A5192,product!$A:$A,product!C:C)</f>
        <v>Petits pots bébé du midi</v>
      </c>
      <c r="D5192" s="20" t="str">
        <f t="array" ref="D5192">xlookup($A5192,product!$A:$A,product!D:D)</f>
        <v>Petits pots midi 4-6 mois</v>
      </c>
      <c r="E5192" s="4" t="str">
        <f t="shared" si="1"/>
        <v>80648-Petits pots bébé du midi-Petits pots midi 4-6 mois</v>
      </c>
      <c r="F5192" s="4">
        <v>1.0</v>
      </c>
      <c r="G5192" s="4">
        <v>700.0</v>
      </c>
      <c r="H5192" s="4">
        <v>445.0</v>
      </c>
      <c r="I5192" s="21">
        <f t="array" ref="I5192">XLOOKUP($A5192,product!A:A,product!E:E)</f>
        <v>2.3</v>
      </c>
      <c r="J5192" s="4">
        <f t="shared" si="2"/>
        <v>1023.5</v>
      </c>
      <c r="K5192" s="22">
        <f t="shared" si="3"/>
        <v>1</v>
      </c>
      <c r="L5192" s="4">
        <f t="shared" si="4"/>
        <v>1</v>
      </c>
    </row>
    <row r="5193">
      <c r="A5193" s="23">
        <v>70417.0</v>
      </c>
      <c r="B5193" s="24" t="str">
        <f t="array" ref="B5193">xlookup($A5193,product!$A:$A,product!B:B)</f>
        <v>Alimentation Bébé</v>
      </c>
      <c r="C5193" s="24" t="str">
        <f t="array" ref="C5193">xlookup($A5193,product!$A:$A,product!C:C)</f>
        <v>Petits pots bébé du midi</v>
      </c>
      <c r="D5193" s="24" t="str">
        <f t="array" ref="D5193">xlookup($A5193,product!$A:$A,product!D:D)</f>
        <v>Petits pots midi 4-6 mois</v>
      </c>
      <c r="E5193" s="25" t="str">
        <f t="shared" si="1"/>
        <v>70417-Petits pots bébé du midi-Petits pots midi 4-6 mois</v>
      </c>
      <c r="F5193" s="25">
        <v>1.0</v>
      </c>
      <c r="G5193" s="25">
        <v>328.0</v>
      </c>
      <c r="H5193" s="25">
        <v>149.0</v>
      </c>
      <c r="I5193" s="26">
        <f t="array" ref="I5193">XLOOKUP($A5193,product!A:A,product!E:E)</f>
        <v>2.3</v>
      </c>
      <c r="J5193" s="25">
        <f t="shared" si="2"/>
        <v>342.7</v>
      </c>
      <c r="K5193" s="27">
        <f t="shared" si="3"/>
        <v>1</v>
      </c>
      <c r="L5193" s="25">
        <f t="shared" si="4"/>
        <v>1</v>
      </c>
    </row>
    <row r="5194">
      <c r="A5194" s="19">
        <v>79420.0</v>
      </c>
      <c r="B5194" s="20" t="str">
        <f t="array" ref="B5194">xlookup($A5194,product!$A:$A,product!B:B)</f>
        <v>Alimentation Bébé</v>
      </c>
      <c r="C5194" s="20" t="str">
        <f t="array" ref="C5194">xlookup($A5194,product!$A:$A,product!C:C)</f>
        <v>Petits pots bébé du midi</v>
      </c>
      <c r="D5194" s="20" t="str">
        <f t="array" ref="D5194">xlookup($A5194,product!$A:$A,product!D:D)</f>
        <v>Petits pots midi 4-6 mois</v>
      </c>
      <c r="E5194" s="4" t="str">
        <f t="shared" si="1"/>
        <v>79420-Petits pots bébé du midi-Petits pots midi 4-6 mois</v>
      </c>
      <c r="F5194" s="4">
        <v>0.0</v>
      </c>
      <c r="G5194" s="4">
        <v>968.0</v>
      </c>
      <c r="H5194" s="4">
        <v>763.0</v>
      </c>
      <c r="I5194" s="21">
        <f t="array" ref="I5194">XLOOKUP($A5194,product!A:A,product!E:E)</f>
        <v>2.3</v>
      </c>
      <c r="J5194" s="4">
        <f t="shared" si="2"/>
        <v>1754.9</v>
      </c>
      <c r="K5194" s="22">
        <f t="shared" si="3"/>
        <v>1</v>
      </c>
      <c r="L5194" s="4">
        <f t="shared" si="4"/>
        <v>1</v>
      </c>
    </row>
    <row r="5195">
      <c r="A5195" s="23">
        <v>4327.0</v>
      </c>
      <c r="B5195" s="24" t="str">
        <f t="array" ref="B5195">xlookup($A5195,product!$A:$A,product!B:B)</f>
        <v>Alimentation Bébé</v>
      </c>
      <c r="C5195" s="24" t="str">
        <f t="array" ref="C5195">xlookup($A5195,product!$A:$A,product!C:C)</f>
        <v>Petits pots bébé du midi</v>
      </c>
      <c r="D5195" s="24" t="str">
        <f t="array" ref="D5195">xlookup($A5195,product!$A:$A,product!D:D)</f>
        <v>Petits pots midi 4-6 mois</v>
      </c>
      <c r="E5195" s="25" t="str">
        <f t="shared" si="1"/>
        <v>4327-Petits pots bébé du midi-Petits pots midi 4-6 mois</v>
      </c>
      <c r="F5195" s="25">
        <v>0.0</v>
      </c>
      <c r="G5195" s="25">
        <v>438.0</v>
      </c>
      <c r="H5195" s="25">
        <v>126.0</v>
      </c>
      <c r="I5195" s="26">
        <f t="array" ref="I5195">XLOOKUP($A5195,product!A:A,product!E:E)</f>
        <v>2.1</v>
      </c>
      <c r="J5195" s="25">
        <f t="shared" si="2"/>
        <v>264.6</v>
      </c>
      <c r="K5195" s="27">
        <f t="shared" si="3"/>
        <v>1</v>
      </c>
      <c r="L5195" s="25">
        <f t="shared" si="4"/>
        <v>1</v>
      </c>
    </row>
    <row r="5196">
      <c r="A5196" s="19">
        <v>89505.0</v>
      </c>
      <c r="B5196" s="20" t="str">
        <f t="array" ref="B5196">xlookup($A5196,product!$A:$A,product!B:B)</f>
        <v>Alimentation Bébé</v>
      </c>
      <c r="C5196" s="20" t="str">
        <f t="array" ref="C5196">xlookup($A5196,product!$A:$A,product!C:C)</f>
        <v>Petits pots bébé du midi</v>
      </c>
      <c r="D5196" s="20" t="str">
        <f t="array" ref="D5196">xlookup($A5196,product!$A:$A,product!D:D)</f>
        <v>Petits pots midi 4-6 mois</v>
      </c>
      <c r="E5196" s="4" t="str">
        <f t="shared" si="1"/>
        <v>89505-Petits pots bébé du midi-Petits pots midi 4-6 mois</v>
      </c>
      <c r="F5196" s="4">
        <v>0.0</v>
      </c>
      <c r="G5196" s="4">
        <v>773.0</v>
      </c>
      <c r="H5196" s="4">
        <v>100.0</v>
      </c>
      <c r="I5196" s="21">
        <f t="array" ref="I5196">XLOOKUP($A5196,product!A:A,product!E:E)</f>
        <v>2.44</v>
      </c>
      <c r="J5196" s="4">
        <f t="shared" si="2"/>
        <v>244</v>
      </c>
      <c r="K5196" s="22">
        <f t="shared" si="3"/>
        <v>1</v>
      </c>
      <c r="L5196" s="4">
        <f t="shared" si="4"/>
        <v>1</v>
      </c>
    </row>
    <row r="5197">
      <c r="A5197" s="23">
        <v>128344.0</v>
      </c>
      <c r="B5197" s="24" t="str">
        <f t="array" ref="B5197">xlookup($A5197,product!$A:$A,product!B:B)</f>
        <v>Alimentation Bébé</v>
      </c>
      <c r="C5197" s="24" t="str">
        <f t="array" ref="C5197">xlookup($A5197,product!$A:$A,product!C:C)</f>
        <v>Petits pots bébé du midi</v>
      </c>
      <c r="D5197" s="24" t="str">
        <f t="array" ref="D5197">xlookup($A5197,product!$A:$A,product!D:D)</f>
        <v>Petits pots midi 4-6 mois</v>
      </c>
      <c r="E5197" s="25" t="str">
        <f t="shared" si="1"/>
        <v>128344-Petits pots bébé du midi-Petits pots midi 4-6 mois</v>
      </c>
      <c r="F5197" s="25">
        <v>1.0</v>
      </c>
      <c r="G5197" s="25">
        <v>148.0</v>
      </c>
      <c r="H5197" s="25">
        <v>134.0</v>
      </c>
      <c r="I5197" s="26">
        <f t="array" ref="I5197">XLOOKUP($A5197,product!A:A,product!E:E)</f>
        <v>2.18</v>
      </c>
      <c r="J5197" s="25">
        <f t="shared" si="2"/>
        <v>292.12</v>
      </c>
      <c r="K5197" s="27">
        <f t="shared" si="3"/>
        <v>1</v>
      </c>
      <c r="L5197" s="25">
        <f t="shared" si="4"/>
        <v>1</v>
      </c>
    </row>
    <row r="5198">
      <c r="A5198" s="19">
        <v>79421.0</v>
      </c>
      <c r="B5198" s="20" t="str">
        <f t="array" ref="B5198">xlookup($A5198,product!$A:$A,product!B:B)</f>
        <v>Alimentation Bébé</v>
      </c>
      <c r="C5198" s="20" t="str">
        <f t="array" ref="C5198">xlookup($A5198,product!$A:$A,product!C:C)</f>
        <v>Petits pots bébé du midi</v>
      </c>
      <c r="D5198" s="20" t="str">
        <f t="array" ref="D5198">xlookup($A5198,product!$A:$A,product!D:D)</f>
        <v>Petits pots midi 4-6 mois</v>
      </c>
      <c r="E5198" s="4" t="str">
        <f t="shared" si="1"/>
        <v>79421-Petits pots bébé du midi-Petits pots midi 4-6 mois</v>
      </c>
      <c r="F5198" s="4">
        <v>1.0</v>
      </c>
      <c r="G5198" s="4">
        <v>828.0</v>
      </c>
      <c r="H5198" s="4">
        <v>683.0</v>
      </c>
      <c r="I5198" s="21">
        <f t="array" ref="I5198">XLOOKUP($A5198,product!A:A,product!E:E)</f>
        <v>1.46</v>
      </c>
      <c r="J5198" s="4">
        <f t="shared" si="2"/>
        <v>997.18</v>
      </c>
      <c r="K5198" s="22">
        <f t="shared" si="3"/>
        <v>1</v>
      </c>
      <c r="L5198" s="4">
        <f t="shared" si="4"/>
        <v>1</v>
      </c>
    </row>
    <row r="5199">
      <c r="A5199" s="23">
        <v>128336.0</v>
      </c>
      <c r="B5199" s="24" t="str">
        <f t="array" ref="B5199">xlookup($A5199,product!$A:$A,product!B:B)</f>
        <v>Alimentation Bébé</v>
      </c>
      <c r="C5199" s="24" t="str">
        <f t="array" ref="C5199">xlookup($A5199,product!$A:$A,product!C:C)</f>
        <v>Petits pots bébé du midi</v>
      </c>
      <c r="D5199" s="24" t="str">
        <f t="array" ref="D5199">xlookup($A5199,product!$A:$A,product!D:D)</f>
        <v>Petits pots midi 4-6 mois</v>
      </c>
      <c r="E5199" s="25" t="str">
        <f t="shared" si="1"/>
        <v>128336-Petits pots bébé du midi-Petits pots midi 4-6 mois</v>
      </c>
      <c r="F5199" s="25">
        <v>0.0</v>
      </c>
      <c r="G5199" s="25">
        <v>31.0</v>
      </c>
      <c r="H5199" s="25">
        <v>1.0</v>
      </c>
      <c r="I5199" s="26">
        <f t="array" ref="I5199">XLOOKUP($A5199,product!A:A,product!E:E)</f>
        <v>2.18</v>
      </c>
      <c r="J5199" s="25">
        <f t="shared" si="2"/>
        <v>2.18</v>
      </c>
      <c r="K5199" s="27">
        <f t="shared" si="3"/>
        <v>1</v>
      </c>
      <c r="L5199" s="25">
        <f t="shared" si="4"/>
        <v>1</v>
      </c>
    </row>
    <row r="5200">
      <c r="A5200" s="19">
        <v>5081.0</v>
      </c>
      <c r="B5200" s="20" t="str">
        <f t="array" ref="B5200">xlookup($A5200,product!$A:$A,product!B:B)</f>
        <v>Alimentation Bébé</v>
      </c>
      <c r="C5200" s="20" t="str">
        <f t="array" ref="C5200">xlookup($A5200,product!$A:$A,product!C:C)</f>
        <v>Petits pots bébé du midi</v>
      </c>
      <c r="D5200" s="20" t="str">
        <f t="array" ref="D5200">xlookup($A5200,product!$A:$A,product!D:D)</f>
        <v>Petits pots midi 4-6 mois</v>
      </c>
      <c r="E5200" s="4" t="str">
        <f t="shared" si="1"/>
        <v>5081-Petits pots bébé du midi-Petits pots midi 4-6 mois</v>
      </c>
      <c r="F5200" s="4">
        <v>1.0</v>
      </c>
      <c r="G5200" s="4">
        <v>3.0</v>
      </c>
      <c r="H5200" s="4">
        <v>1.0</v>
      </c>
      <c r="I5200" s="21">
        <f t="array" ref="I5200">XLOOKUP($A5200,product!A:A,product!E:E)</f>
        <v>2.1</v>
      </c>
      <c r="J5200" s="4">
        <f t="shared" si="2"/>
        <v>2.1</v>
      </c>
      <c r="K5200" s="22">
        <f t="shared" si="3"/>
        <v>1</v>
      </c>
      <c r="L5200" s="4">
        <f t="shared" si="4"/>
        <v>1</v>
      </c>
    </row>
    <row r="5201">
      <c r="A5201" s="23">
        <v>79423.0</v>
      </c>
      <c r="B5201" s="24" t="str">
        <f t="array" ref="B5201">xlookup($A5201,product!$A:$A,product!B:B)</f>
        <v>Alimentation Bébé</v>
      </c>
      <c r="C5201" s="24" t="str">
        <f t="array" ref="C5201">xlookup($A5201,product!$A:$A,product!C:C)</f>
        <v>Petits pots bébé du midi</v>
      </c>
      <c r="D5201" s="24" t="str">
        <f t="array" ref="D5201">xlookup($A5201,product!$A:$A,product!D:D)</f>
        <v>Petits pots midi 4-6 mois</v>
      </c>
      <c r="E5201" s="25" t="str">
        <f t="shared" si="1"/>
        <v>79423-Petits pots bébé du midi-Petits pots midi 4-6 mois</v>
      </c>
      <c r="F5201" s="25">
        <v>1.0</v>
      </c>
      <c r="G5201" s="25">
        <v>288.0</v>
      </c>
      <c r="H5201" s="25">
        <v>138.0</v>
      </c>
      <c r="I5201" s="26">
        <f t="array" ref="I5201">XLOOKUP($A5201,product!A:A,product!E:E)</f>
        <v>1.46</v>
      </c>
      <c r="J5201" s="25">
        <f t="shared" si="2"/>
        <v>201.48</v>
      </c>
      <c r="K5201" s="27">
        <f t="shared" si="3"/>
        <v>1</v>
      </c>
      <c r="L5201" s="25">
        <f t="shared" si="4"/>
        <v>1</v>
      </c>
    </row>
    <row r="5202">
      <c r="A5202" s="19">
        <v>116481.0</v>
      </c>
      <c r="B5202" s="20" t="str">
        <f t="array" ref="B5202">xlookup($A5202,product!$A:$A,product!B:B)</f>
        <v>Alimentation Bébé</v>
      </c>
      <c r="C5202" s="20" t="str">
        <f t="array" ref="C5202">xlookup($A5202,product!$A:$A,product!C:C)</f>
        <v>Petits pots bébé du midi</v>
      </c>
      <c r="D5202" s="20" t="str">
        <f t="array" ref="D5202">xlookup($A5202,product!$A:$A,product!D:D)</f>
        <v>Pâtes bébé, condiments</v>
      </c>
      <c r="E5202" s="4" t="str">
        <f t="shared" si="1"/>
        <v>116481-Petits pots bébé du midi-Pâtes bébé, condiments</v>
      </c>
      <c r="F5202" s="4">
        <v>1.0</v>
      </c>
      <c r="G5202" s="4">
        <v>701.0</v>
      </c>
      <c r="H5202" s="4">
        <v>229.0</v>
      </c>
      <c r="I5202" s="21">
        <f t="array" ref="I5202">XLOOKUP($A5202,product!A:A,product!E:E)</f>
        <v>2.16</v>
      </c>
      <c r="J5202" s="4">
        <f t="shared" si="2"/>
        <v>494.64</v>
      </c>
      <c r="K5202" s="22">
        <f t="shared" si="3"/>
        <v>1</v>
      </c>
      <c r="L5202" s="4">
        <f t="shared" si="4"/>
        <v>1</v>
      </c>
    </row>
    <row r="5203">
      <c r="A5203" s="23">
        <v>118278.0</v>
      </c>
      <c r="B5203" s="24" t="str">
        <f t="array" ref="B5203">xlookup($A5203,product!$A:$A,product!B:B)</f>
        <v>Alimentation Bébé</v>
      </c>
      <c r="C5203" s="24" t="str">
        <f t="array" ref="C5203">xlookup($A5203,product!$A:$A,product!C:C)</f>
        <v>Petits pots bébé du midi</v>
      </c>
      <c r="D5203" s="24" t="str">
        <f t="array" ref="D5203">xlookup($A5203,product!$A:$A,product!D:D)</f>
        <v>Pâtes bébé, condiments</v>
      </c>
      <c r="E5203" s="25" t="str">
        <f t="shared" si="1"/>
        <v>118278-Petits pots bébé du midi-Pâtes bébé, condiments</v>
      </c>
      <c r="F5203" s="25">
        <v>0.0</v>
      </c>
      <c r="G5203" s="25">
        <v>158.0</v>
      </c>
      <c r="H5203" s="25">
        <v>23.0</v>
      </c>
      <c r="I5203" s="26">
        <f t="array" ref="I5203">XLOOKUP($A5203,product!A:A,product!E:E)</f>
        <v>1.34</v>
      </c>
      <c r="J5203" s="25">
        <f t="shared" si="2"/>
        <v>30.82</v>
      </c>
      <c r="K5203" s="27">
        <f t="shared" si="3"/>
        <v>1</v>
      </c>
      <c r="L5203" s="25">
        <f t="shared" si="4"/>
        <v>1</v>
      </c>
    </row>
    <row r="5204">
      <c r="A5204" s="19">
        <v>116440.0</v>
      </c>
      <c r="B5204" s="20" t="str">
        <f t="array" ref="B5204">xlookup($A5204,product!$A:$A,product!B:B)</f>
        <v>Alimentation Bébé</v>
      </c>
      <c r="C5204" s="20" t="str">
        <f t="array" ref="C5204">xlookup($A5204,product!$A:$A,product!C:C)</f>
        <v>Petits pots bébé du midi</v>
      </c>
      <c r="D5204" s="20" t="str">
        <f t="array" ref="D5204">xlookup($A5204,product!$A:$A,product!D:D)</f>
        <v>Pâtes bébé, condiments</v>
      </c>
      <c r="E5204" s="4" t="str">
        <f t="shared" si="1"/>
        <v>116440-Petits pots bébé du midi-Pâtes bébé, condiments</v>
      </c>
      <c r="F5204" s="4">
        <v>0.0</v>
      </c>
      <c r="G5204" s="4">
        <v>281.0</v>
      </c>
      <c r="H5204" s="4">
        <v>225.0</v>
      </c>
      <c r="I5204" s="21">
        <f t="array" ref="I5204">XLOOKUP($A5204,product!A:A,product!E:E)</f>
        <v>2.65</v>
      </c>
      <c r="J5204" s="4">
        <f t="shared" si="2"/>
        <v>596.25</v>
      </c>
      <c r="K5204" s="22">
        <f t="shared" si="3"/>
        <v>1</v>
      </c>
      <c r="L5204" s="4">
        <f t="shared" si="4"/>
        <v>1</v>
      </c>
    </row>
    <row r="5205">
      <c r="A5205" s="23">
        <v>116478.0</v>
      </c>
      <c r="B5205" s="24" t="str">
        <f t="array" ref="B5205">xlookup($A5205,product!$A:$A,product!B:B)</f>
        <v>Alimentation Bébé</v>
      </c>
      <c r="C5205" s="24" t="str">
        <f t="array" ref="C5205">xlookup($A5205,product!$A:$A,product!C:C)</f>
        <v>Petits pots bébé du midi</v>
      </c>
      <c r="D5205" s="24" t="str">
        <f t="array" ref="D5205">xlookup($A5205,product!$A:$A,product!D:D)</f>
        <v>Pâtes bébé, condiments</v>
      </c>
      <c r="E5205" s="25" t="str">
        <f t="shared" si="1"/>
        <v>116478-Petits pots bébé du midi-Pâtes bébé, condiments</v>
      </c>
      <c r="F5205" s="25">
        <v>0.0</v>
      </c>
      <c r="G5205" s="25">
        <v>810.0</v>
      </c>
      <c r="H5205" s="25">
        <v>110.0</v>
      </c>
      <c r="I5205" s="26">
        <f t="array" ref="I5205">XLOOKUP($A5205,product!A:A,product!E:E)</f>
        <v>2.16</v>
      </c>
      <c r="J5205" s="25">
        <f t="shared" si="2"/>
        <v>237.6</v>
      </c>
      <c r="K5205" s="27">
        <f t="shared" si="3"/>
        <v>1</v>
      </c>
      <c r="L5205" s="25">
        <f t="shared" si="4"/>
        <v>1</v>
      </c>
    </row>
    <row r="5206">
      <c r="A5206" s="19">
        <v>139305.0</v>
      </c>
      <c r="B5206" s="20" t="str">
        <f t="array" ref="B5206">xlookup($A5206,product!$A:$A,product!B:B)</f>
        <v>Alimentation Bébé</v>
      </c>
      <c r="C5206" s="20" t="str">
        <f t="array" ref="C5206">xlookup($A5206,product!$A:$A,product!C:C)</f>
        <v>Petits pots bébé du midi</v>
      </c>
      <c r="D5206" s="20" t="str">
        <f t="array" ref="D5206">xlookup($A5206,product!$A:$A,product!D:D)</f>
        <v>Pâtes bébé, condiments</v>
      </c>
      <c r="E5206" s="4" t="str">
        <f t="shared" si="1"/>
        <v>139305-Petits pots bébé du midi-Pâtes bébé, condiments</v>
      </c>
      <c r="F5206" s="4">
        <v>0.0</v>
      </c>
      <c r="G5206" s="4">
        <v>213.0</v>
      </c>
      <c r="H5206" s="4">
        <v>123.0</v>
      </c>
      <c r="I5206" s="21">
        <f t="array" ref="I5206">XLOOKUP($A5206,product!A:A,product!E:E)</f>
        <v>1.81</v>
      </c>
      <c r="J5206" s="4">
        <f t="shared" si="2"/>
        <v>222.63</v>
      </c>
      <c r="K5206" s="22">
        <f t="shared" si="3"/>
        <v>1</v>
      </c>
      <c r="L5206" s="4">
        <f t="shared" si="4"/>
        <v>1</v>
      </c>
    </row>
    <row r="5207">
      <c r="A5207" s="23">
        <v>118280.0</v>
      </c>
      <c r="B5207" s="24" t="str">
        <f t="array" ref="B5207">xlookup($A5207,product!$A:$A,product!B:B)</f>
        <v>Alimentation Bébé</v>
      </c>
      <c r="C5207" s="24" t="str">
        <f t="array" ref="C5207">xlookup($A5207,product!$A:$A,product!C:C)</f>
        <v>Petits pots bébé du midi</v>
      </c>
      <c r="D5207" s="24" t="str">
        <f t="array" ref="D5207">xlookup($A5207,product!$A:$A,product!D:D)</f>
        <v>Pâtes bébé, condiments</v>
      </c>
      <c r="E5207" s="25" t="str">
        <f t="shared" si="1"/>
        <v>118280-Petits pots bébé du midi-Pâtes bébé, condiments</v>
      </c>
      <c r="F5207" s="25">
        <v>0.0</v>
      </c>
      <c r="G5207" s="25">
        <v>525.0</v>
      </c>
      <c r="H5207" s="25">
        <v>52.0</v>
      </c>
      <c r="I5207" s="26">
        <f t="array" ref="I5207">XLOOKUP($A5207,product!A:A,product!E:E)</f>
        <v>1.34</v>
      </c>
      <c r="J5207" s="25">
        <f t="shared" si="2"/>
        <v>69.68</v>
      </c>
      <c r="K5207" s="27">
        <f t="shared" si="3"/>
        <v>1</v>
      </c>
      <c r="L5207" s="25">
        <f t="shared" si="4"/>
        <v>1</v>
      </c>
    </row>
    <row r="5208">
      <c r="A5208" s="19">
        <v>116506.0</v>
      </c>
      <c r="B5208" s="20" t="str">
        <f t="array" ref="B5208">xlookup($A5208,product!$A:$A,product!B:B)</f>
        <v>Alimentation Bébé</v>
      </c>
      <c r="C5208" s="20" t="str">
        <f t="array" ref="C5208">xlookup($A5208,product!$A:$A,product!C:C)</f>
        <v>Petits pots bébé du midi</v>
      </c>
      <c r="D5208" s="20" t="str">
        <f t="array" ref="D5208">xlookup($A5208,product!$A:$A,product!D:D)</f>
        <v>Pâtes bébé, condiments</v>
      </c>
      <c r="E5208" s="4" t="str">
        <f t="shared" si="1"/>
        <v>116506-Petits pots bébé du midi-Pâtes bébé, condiments</v>
      </c>
      <c r="F5208" s="4">
        <v>0.0</v>
      </c>
      <c r="G5208" s="4">
        <v>148.0</v>
      </c>
      <c r="H5208" s="4">
        <v>108.0</v>
      </c>
      <c r="I5208" s="21">
        <f t="array" ref="I5208">XLOOKUP($A5208,product!A:A,product!E:E)</f>
        <v>2.15</v>
      </c>
      <c r="J5208" s="4">
        <f t="shared" si="2"/>
        <v>232.2</v>
      </c>
      <c r="K5208" s="22">
        <f t="shared" si="3"/>
        <v>1</v>
      </c>
      <c r="L5208" s="4">
        <f t="shared" si="4"/>
        <v>1</v>
      </c>
    </row>
    <row r="5209">
      <c r="A5209" s="23">
        <v>116504.0</v>
      </c>
      <c r="B5209" s="24" t="str">
        <f t="array" ref="B5209">xlookup($A5209,product!$A:$A,product!B:B)</f>
        <v>Alimentation Bébé</v>
      </c>
      <c r="C5209" s="24" t="str">
        <f t="array" ref="C5209">xlookup($A5209,product!$A:$A,product!C:C)</f>
        <v>Petits pots bébé du midi</v>
      </c>
      <c r="D5209" s="24" t="str">
        <f t="array" ref="D5209">xlookup($A5209,product!$A:$A,product!D:D)</f>
        <v>Pâtes bébé, condiments</v>
      </c>
      <c r="E5209" s="25" t="str">
        <f t="shared" si="1"/>
        <v>116504-Petits pots bébé du midi-Pâtes bébé, condiments</v>
      </c>
      <c r="F5209" s="25">
        <v>0.0</v>
      </c>
      <c r="G5209" s="25">
        <v>559.0</v>
      </c>
      <c r="H5209" s="25">
        <v>425.0</v>
      </c>
      <c r="I5209" s="26">
        <f t="array" ref="I5209">XLOOKUP($A5209,product!A:A,product!E:E)</f>
        <v>2.15</v>
      </c>
      <c r="J5209" s="25">
        <f t="shared" si="2"/>
        <v>913.75</v>
      </c>
      <c r="K5209" s="27">
        <f t="shared" si="3"/>
        <v>1</v>
      </c>
      <c r="L5209" s="25">
        <f t="shared" si="4"/>
        <v>1</v>
      </c>
    </row>
    <row r="5210">
      <c r="A5210" s="19">
        <v>116435.0</v>
      </c>
      <c r="B5210" s="20" t="str">
        <f t="array" ref="B5210">xlookup($A5210,product!$A:$A,product!B:B)</f>
        <v>Alimentation Bébé</v>
      </c>
      <c r="C5210" s="20" t="str">
        <f t="array" ref="C5210">xlookup($A5210,product!$A:$A,product!C:C)</f>
        <v>Petits pots bébé du midi</v>
      </c>
      <c r="D5210" s="20" t="str">
        <f t="array" ref="D5210">xlookup($A5210,product!$A:$A,product!D:D)</f>
        <v>Pâtes bébé, condiments</v>
      </c>
      <c r="E5210" s="4" t="str">
        <f t="shared" si="1"/>
        <v>116435-Petits pots bébé du midi-Pâtes bébé, condiments</v>
      </c>
      <c r="F5210" s="4">
        <v>1.0</v>
      </c>
      <c r="G5210" s="4">
        <v>795.0</v>
      </c>
      <c r="H5210" s="4">
        <v>519.0</v>
      </c>
      <c r="I5210" s="21">
        <f t="array" ref="I5210">XLOOKUP($A5210,product!A:A,product!E:E)</f>
        <v>2.65</v>
      </c>
      <c r="J5210" s="4">
        <f t="shared" si="2"/>
        <v>1375.35</v>
      </c>
      <c r="K5210" s="22">
        <f t="shared" si="3"/>
        <v>1</v>
      </c>
      <c r="L5210" s="4">
        <f t="shared" si="4"/>
        <v>1</v>
      </c>
    </row>
    <row r="5211">
      <c r="A5211" s="23">
        <v>70575.0</v>
      </c>
      <c r="B5211" s="24" t="str">
        <f t="array" ref="B5211">xlookup($A5211,product!$A:$A,product!B:B)</f>
        <v>Alimentation Bébé</v>
      </c>
      <c r="C5211" s="24" t="str">
        <f t="array" ref="C5211">xlookup($A5211,product!$A:$A,product!C:C)</f>
        <v>Petits pots bébé du midi</v>
      </c>
      <c r="D5211" s="24" t="str">
        <f t="array" ref="D5211">xlookup($A5211,product!$A:$A,product!D:D)</f>
        <v>Pâtes bébé, condiments</v>
      </c>
      <c r="E5211" s="25" t="str">
        <f t="shared" si="1"/>
        <v>70575-Petits pots bébé du midi-Pâtes bébé, condiments</v>
      </c>
      <c r="F5211" s="25">
        <v>0.0</v>
      </c>
      <c r="G5211" s="25">
        <v>745.0</v>
      </c>
      <c r="H5211" s="25">
        <v>55.0</v>
      </c>
      <c r="I5211" s="26">
        <f t="array" ref="I5211">XLOOKUP($A5211,product!A:A,product!E:E)</f>
        <v>1.7</v>
      </c>
      <c r="J5211" s="25">
        <f t="shared" si="2"/>
        <v>93.5</v>
      </c>
      <c r="K5211" s="27">
        <f t="shared" si="3"/>
        <v>1</v>
      </c>
      <c r="L5211" s="25">
        <f t="shared" si="4"/>
        <v>1</v>
      </c>
    </row>
    <row r="5212">
      <c r="A5212" s="19">
        <v>128343.0</v>
      </c>
      <c r="B5212" s="20" t="str">
        <f t="array" ref="B5212">xlookup($A5212,product!$A:$A,product!B:B)</f>
        <v>Alimentation Bébé</v>
      </c>
      <c r="C5212" s="20" t="str">
        <f t="array" ref="C5212">xlookup($A5212,product!$A:$A,product!C:C)</f>
        <v>Petits pots bébé du midi</v>
      </c>
      <c r="D5212" s="20" t="str">
        <f t="array" ref="D5212">xlookup($A5212,product!$A:$A,product!D:D)</f>
        <v>Petits pots midi 8-12 mois</v>
      </c>
      <c r="E5212" s="4" t="str">
        <f t="shared" si="1"/>
        <v>128343-Petits pots bébé du midi-Petits pots midi 8-12 mois</v>
      </c>
      <c r="F5212" s="4">
        <v>1.0</v>
      </c>
      <c r="G5212" s="4">
        <v>73.0</v>
      </c>
      <c r="H5212" s="4">
        <v>30.0</v>
      </c>
      <c r="I5212" s="21">
        <f t="array" ref="I5212">XLOOKUP($A5212,product!A:A,product!E:E)</f>
        <v>3.71</v>
      </c>
      <c r="J5212" s="4">
        <f t="shared" si="2"/>
        <v>111.3</v>
      </c>
      <c r="K5212" s="22">
        <f t="shared" si="3"/>
        <v>1</v>
      </c>
      <c r="L5212" s="4">
        <f t="shared" si="4"/>
        <v>1</v>
      </c>
    </row>
    <row r="5213">
      <c r="A5213" s="23">
        <v>112099.0</v>
      </c>
      <c r="B5213" s="24" t="str">
        <f t="array" ref="B5213">xlookup($A5213,product!$A:$A,product!B:B)</f>
        <v>Alimentation Bébé</v>
      </c>
      <c r="C5213" s="24" t="str">
        <f t="array" ref="C5213">xlookup($A5213,product!$A:$A,product!C:C)</f>
        <v>Petits pots bébé du midi</v>
      </c>
      <c r="D5213" s="24" t="str">
        <f t="array" ref="D5213">xlookup($A5213,product!$A:$A,product!D:D)</f>
        <v>Petits pots midi 8-12 mois</v>
      </c>
      <c r="E5213" s="25" t="str">
        <f t="shared" si="1"/>
        <v>112099-Petits pots bébé du midi-Petits pots midi 8-12 mois</v>
      </c>
      <c r="F5213" s="25">
        <v>1.0</v>
      </c>
      <c r="G5213" s="25">
        <v>326.0</v>
      </c>
      <c r="H5213" s="25">
        <v>197.0</v>
      </c>
      <c r="I5213" s="26">
        <f t="array" ref="I5213">XLOOKUP($A5213,product!A:A,product!E:E)</f>
        <v>2.44</v>
      </c>
      <c r="J5213" s="25">
        <f t="shared" si="2"/>
        <v>480.68</v>
      </c>
      <c r="K5213" s="27">
        <f t="shared" si="3"/>
        <v>1</v>
      </c>
      <c r="L5213" s="25">
        <f t="shared" si="4"/>
        <v>1</v>
      </c>
    </row>
    <row r="5214">
      <c r="A5214" s="19">
        <v>128337.0</v>
      </c>
      <c r="B5214" s="20" t="str">
        <f t="array" ref="B5214">xlookup($A5214,product!$A:$A,product!B:B)</f>
        <v>Alimentation Bébé</v>
      </c>
      <c r="C5214" s="20" t="str">
        <f t="array" ref="C5214">xlookup($A5214,product!$A:$A,product!C:C)</f>
        <v>Petits pots bébé du midi</v>
      </c>
      <c r="D5214" s="20" t="str">
        <f t="array" ref="D5214">xlookup($A5214,product!$A:$A,product!D:D)</f>
        <v>Petits pots midi 8-12 mois</v>
      </c>
      <c r="E5214" s="4" t="str">
        <f t="shared" si="1"/>
        <v>128337-Petits pots bébé du midi-Petits pots midi 8-12 mois</v>
      </c>
      <c r="F5214" s="4">
        <v>1.0</v>
      </c>
      <c r="G5214" s="4">
        <v>171.0</v>
      </c>
      <c r="H5214" s="4">
        <v>69.0</v>
      </c>
      <c r="I5214" s="21">
        <f t="array" ref="I5214">XLOOKUP($A5214,product!A:A,product!E:E)</f>
        <v>3.71</v>
      </c>
      <c r="J5214" s="4">
        <f t="shared" si="2"/>
        <v>255.99</v>
      </c>
      <c r="K5214" s="22">
        <f t="shared" si="3"/>
        <v>1</v>
      </c>
      <c r="L5214" s="4">
        <f t="shared" si="4"/>
        <v>1</v>
      </c>
    </row>
    <row r="5215">
      <c r="A5215" s="23">
        <v>4339.0</v>
      </c>
      <c r="B5215" s="24" t="str">
        <f t="array" ref="B5215">xlookup($A5215,product!$A:$A,product!B:B)</f>
        <v>Alimentation Bébé</v>
      </c>
      <c r="C5215" s="24" t="str">
        <f t="array" ref="C5215">xlookup($A5215,product!$A:$A,product!C:C)</f>
        <v>Petits pots bébé du midi</v>
      </c>
      <c r="D5215" s="24" t="str">
        <f t="array" ref="D5215">xlookup($A5215,product!$A:$A,product!D:D)</f>
        <v>Petits pots midi 8-12 mois</v>
      </c>
      <c r="E5215" s="25" t="str">
        <f t="shared" si="1"/>
        <v>4339-Petits pots bébé du midi-Petits pots midi 8-12 mois</v>
      </c>
      <c r="F5215" s="25">
        <v>0.0</v>
      </c>
      <c r="G5215" s="25">
        <v>844.0</v>
      </c>
      <c r="H5215" s="25">
        <v>524.0</v>
      </c>
      <c r="I5215" s="26">
        <f t="array" ref="I5215">XLOOKUP($A5215,product!A:A,product!E:E)</f>
        <v>3.04</v>
      </c>
      <c r="J5215" s="25">
        <f t="shared" si="2"/>
        <v>1592.96</v>
      </c>
      <c r="K5215" s="27">
        <f t="shared" si="3"/>
        <v>1</v>
      </c>
      <c r="L5215" s="25">
        <f t="shared" si="4"/>
        <v>1</v>
      </c>
    </row>
    <row r="5216">
      <c r="A5216" s="19">
        <v>14399.0</v>
      </c>
      <c r="B5216" s="20" t="str">
        <f t="array" ref="B5216">xlookup($A5216,product!$A:$A,product!B:B)</f>
        <v>Alimentation Bébé</v>
      </c>
      <c r="C5216" s="20" t="str">
        <f t="array" ref="C5216">xlookup($A5216,product!$A:$A,product!C:C)</f>
        <v>Petits pots bébé du midi</v>
      </c>
      <c r="D5216" s="20" t="str">
        <f t="array" ref="D5216">xlookup($A5216,product!$A:$A,product!D:D)</f>
        <v>Petits pots midi 8-12 mois</v>
      </c>
      <c r="E5216" s="4" t="str">
        <f t="shared" si="1"/>
        <v>14399-Petits pots bébé du midi-Petits pots midi 8-12 mois</v>
      </c>
      <c r="F5216" s="4">
        <v>0.0</v>
      </c>
      <c r="G5216" s="4">
        <v>212.0</v>
      </c>
      <c r="H5216" s="4">
        <v>147.0</v>
      </c>
      <c r="I5216" s="21">
        <f t="array" ref="I5216">XLOOKUP($A5216,product!A:A,product!E:E)</f>
        <v>2.1</v>
      </c>
      <c r="J5216" s="4">
        <f t="shared" si="2"/>
        <v>308.7</v>
      </c>
      <c r="K5216" s="22">
        <f t="shared" si="3"/>
        <v>1</v>
      </c>
      <c r="L5216" s="4">
        <f t="shared" si="4"/>
        <v>1</v>
      </c>
    </row>
    <row r="5217">
      <c r="A5217" s="23">
        <v>4340.0</v>
      </c>
      <c r="B5217" s="24" t="str">
        <f t="array" ref="B5217">xlookup($A5217,product!$A:$A,product!B:B)</f>
        <v>Alimentation Bébé</v>
      </c>
      <c r="C5217" s="24" t="str">
        <f t="array" ref="C5217">xlookup($A5217,product!$A:$A,product!C:C)</f>
        <v>Petits pots bébé du midi</v>
      </c>
      <c r="D5217" s="24" t="str">
        <f t="array" ref="D5217">xlookup($A5217,product!$A:$A,product!D:D)</f>
        <v>Petits pots midi 8-12 mois</v>
      </c>
      <c r="E5217" s="25" t="str">
        <f t="shared" si="1"/>
        <v>4340-Petits pots bébé du midi-Petits pots midi 8-12 mois</v>
      </c>
      <c r="F5217" s="25">
        <v>1.0</v>
      </c>
      <c r="G5217" s="25">
        <v>805.0</v>
      </c>
      <c r="H5217" s="25">
        <v>779.0</v>
      </c>
      <c r="I5217" s="26">
        <f t="array" ref="I5217">XLOOKUP($A5217,product!A:A,product!E:E)</f>
        <v>2.95</v>
      </c>
      <c r="J5217" s="25">
        <f t="shared" si="2"/>
        <v>2298.05</v>
      </c>
      <c r="K5217" s="27">
        <f t="shared" si="3"/>
        <v>1</v>
      </c>
      <c r="L5217" s="25">
        <f t="shared" si="4"/>
        <v>1</v>
      </c>
    </row>
    <row r="5218">
      <c r="A5218" s="19">
        <v>45250.0</v>
      </c>
      <c r="B5218" s="20" t="str">
        <f t="array" ref="B5218">xlookup($A5218,product!$A:$A,product!B:B)</f>
        <v>Alimentation Bébé</v>
      </c>
      <c r="C5218" s="20" t="str">
        <f t="array" ref="C5218">xlookup($A5218,product!$A:$A,product!C:C)</f>
        <v>Petits pots bébé du midi</v>
      </c>
      <c r="D5218" s="20" t="str">
        <f t="array" ref="D5218">xlookup($A5218,product!$A:$A,product!D:D)</f>
        <v>Petits pots midi 8-12 mois</v>
      </c>
      <c r="E5218" s="4" t="str">
        <f t="shared" si="1"/>
        <v>45250-Petits pots bébé du midi-Petits pots midi 8-12 mois</v>
      </c>
      <c r="F5218" s="4">
        <v>0.0</v>
      </c>
      <c r="G5218" s="4">
        <v>666.0</v>
      </c>
      <c r="H5218" s="4">
        <v>442.0</v>
      </c>
      <c r="I5218" s="21">
        <f t="array" ref="I5218">XLOOKUP($A5218,product!A:A,product!E:E)</f>
        <v>1.24</v>
      </c>
      <c r="J5218" s="4">
        <f t="shared" si="2"/>
        <v>548.08</v>
      </c>
      <c r="K5218" s="22">
        <f t="shared" si="3"/>
        <v>1</v>
      </c>
      <c r="L5218" s="4">
        <f t="shared" si="4"/>
        <v>1</v>
      </c>
    </row>
    <row r="5219">
      <c r="A5219" s="23">
        <v>9651.0</v>
      </c>
      <c r="B5219" s="24" t="str">
        <f t="array" ref="B5219">xlookup($A5219,product!$A:$A,product!B:B)</f>
        <v>Alimentation Bébé</v>
      </c>
      <c r="C5219" s="24" t="str">
        <f t="array" ref="C5219">xlookup($A5219,product!$A:$A,product!C:C)</f>
        <v>Petits pots bébé du midi</v>
      </c>
      <c r="D5219" s="24" t="str">
        <f t="array" ref="D5219">xlookup($A5219,product!$A:$A,product!D:D)</f>
        <v>Petits pots midi 8-12 mois</v>
      </c>
      <c r="E5219" s="25" t="str">
        <f t="shared" si="1"/>
        <v>9651-Petits pots bébé du midi-Petits pots midi 8-12 mois</v>
      </c>
      <c r="F5219" s="25">
        <v>0.0</v>
      </c>
      <c r="G5219" s="25">
        <v>328.0</v>
      </c>
      <c r="H5219" s="25">
        <v>224.0</v>
      </c>
      <c r="I5219" s="26">
        <f t="array" ref="I5219">XLOOKUP($A5219,product!A:A,product!E:E)</f>
        <v>2.3</v>
      </c>
      <c r="J5219" s="25">
        <f t="shared" si="2"/>
        <v>515.2</v>
      </c>
      <c r="K5219" s="27">
        <f t="shared" si="3"/>
        <v>1</v>
      </c>
      <c r="L5219" s="25">
        <f t="shared" si="4"/>
        <v>1</v>
      </c>
    </row>
    <row r="5220">
      <c r="A5220" s="19">
        <v>4329.0</v>
      </c>
      <c r="B5220" s="20" t="str">
        <f t="array" ref="B5220">xlookup($A5220,product!$A:$A,product!B:B)</f>
        <v>Alimentation Bébé</v>
      </c>
      <c r="C5220" s="20" t="str">
        <f t="array" ref="C5220">xlookup($A5220,product!$A:$A,product!C:C)</f>
        <v>Petits pots bébé du midi</v>
      </c>
      <c r="D5220" s="20" t="str">
        <f t="array" ref="D5220">xlookup($A5220,product!$A:$A,product!D:D)</f>
        <v>Petits pots midi 8-12 mois</v>
      </c>
      <c r="E5220" s="4" t="str">
        <f t="shared" si="1"/>
        <v>4329-Petits pots bébé du midi-Petits pots midi 8-12 mois</v>
      </c>
      <c r="F5220" s="4">
        <v>0.0</v>
      </c>
      <c r="G5220" s="4">
        <v>701.0</v>
      </c>
      <c r="H5220" s="4">
        <v>605.0</v>
      </c>
      <c r="I5220" s="21">
        <f t="array" ref="I5220">XLOOKUP($A5220,product!A:A,product!E:E)</f>
        <v>2.1</v>
      </c>
      <c r="J5220" s="4">
        <f t="shared" si="2"/>
        <v>1270.5</v>
      </c>
      <c r="K5220" s="22">
        <f t="shared" si="3"/>
        <v>1</v>
      </c>
      <c r="L5220" s="4">
        <f t="shared" si="4"/>
        <v>1</v>
      </c>
    </row>
    <row r="5221">
      <c r="A5221" s="23">
        <v>4338.0</v>
      </c>
      <c r="B5221" s="24" t="str">
        <f t="array" ref="B5221">xlookup($A5221,product!$A:$A,product!B:B)</f>
        <v>Alimentation Bébé</v>
      </c>
      <c r="C5221" s="24" t="str">
        <f t="array" ref="C5221">xlookup($A5221,product!$A:$A,product!C:C)</f>
        <v>Petits pots bébé du midi</v>
      </c>
      <c r="D5221" s="24" t="str">
        <f t="array" ref="D5221">xlookup($A5221,product!$A:$A,product!D:D)</f>
        <v>Petits pots midi 8-12 mois</v>
      </c>
      <c r="E5221" s="25" t="str">
        <f t="shared" si="1"/>
        <v>4338-Petits pots bébé du midi-Petits pots midi 8-12 mois</v>
      </c>
      <c r="F5221" s="25">
        <v>1.0</v>
      </c>
      <c r="G5221" s="25">
        <v>248.0</v>
      </c>
      <c r="H5221" s="25">
        <v>174.0</v>
      </c>
      <c r="I5221" s="26">
        <f t="array" ref="I5221">XLOOKUP($A5221,product!A:A,product!E:E)</f>
        <v>2.95</v>
      </c>
      <c r="J5221" s="25">
        <f t="shared" si="2"/>
        <v>513.3</v>
      </c>
      <c r="K5221" s="27">
        <f t="shared" si="3"/>
        <v>1</v>
      </c>
      <c r="L5221" s="25">
        <f t="shared" si="4"/>
        <v>1</v>
      </c>
    </row>
    <row r="5222">
      <c r="A5222" s="19">
        <v>112100.0</v>
      </c>
      <c r="B5222" s="20" t="str">
        <f t="array" ref="B5222">xlookup($A5222,product!$A:$A,product!B:B)</f>
        <v>Alimentation Bébé</v>
      </c>
      <c r="C5222" s="20" t="str">
        <f t="array" ref="C5222">xlookup($A5222,product!$A:$A,product!C:C)</f>
        <v>Petits pots bébé du midi</v>
      </c>
      <c r="D5222" s="20" t="str">
        <f t="array" ref="D5222">xlookup($A5222,product!$A:$A,product!D:D)</f>
        <v>Petits pots midi 8-12 mois</v>
      </c>
      <c r="E5222" s="4" t="str">
        <f t="shared" si="1"/>
        <v>112100-Petits pots bébé du midi-Petits pots midi 8-12 mois</v>
      </c>
      <c r="F5222" s="4">
        <v>0.0</v>
      </c>
      <c r="G5222" s="4">
        <v>449.0</v>
      </c>
      <c r="H5222" s="4">
        <v>385.0</v>
      </c>
      <c r="I5222" s="21">
        <f t="array" ref="I5222">XLOOKUP($A5222,product!A:A,product!E:E)</f>
        <v>2.32</v>
      </c>
      <c r="J5222" s="4">
        <f t="shared" si="2"/>
        <v>893.2</v>
      </c>
      <c r="K5222" s="22">
        <f t="shared" si="3"/>
        <v>1</v>
      </c>
      <c r="L5222" s="4">
        <f t="shared" si="4"/>
        <v>1</v>
      </c>
    </row>
    <row r="5223">
      <c r="A5223" s="23">
        <v>9650.0</v>
      </c>
      <c r="B5223" s="24" t="str">
        <f t="array" ref="B5223">xlookup($A5223,product!$A:$A,product!B:B)</f>
        <v>Alimentation Bébé</v>
      </c>
      <c r="C5223" s="24" t="str">
        <f t="array" ref="C5223">xlookup($A5223,product!$A:$A,product!C:C)</f>
        <v>Petits pots bébé du midi</v>
      </c>
      <c r="D5223" s="24" t="str">
        <f t="array" ref="D5223">xlookup($A5223,product!$A:$A,product!D:D)</f>
        <v>Petits pots midi 8-12 mois</v>
      </c>
      <c r="E5223" s="25" t="str">
        <f t="shared" si="1"/>
        <v>9650-Petits pots bébé du midi-Petits pots midi 8-12 mois</v>
      </c>
      <c r="F5223" s="25">
        <v>1.0</v>
      </c>
      <c r="G5223" s="25">
        <v>450.0</v>
      </c>
      <c r="H5223" s="25">
        <v>311.0</v>
      </c>
      <c r="I5223" s="26">
        <f t="array" ref="I5223">XLOOKUP($A5223,product!A:A,product!E:E)</f>
        <v>2.3</v>
      </c>
      <c r="J5223" s="25">
        <f t="shared" si="2"/>
        <v>715.3</v>
      </c>
      <c r="K5223" s="27">
        <f t="shared" si="3"/>
        <v>1</v>
      </c>
      <c r="L5223" s="25">
        <f t="shared" si="4"/>
        <v>1</v>
      </c>
    </row>
    <row r="5224">
      <c r="A5224" s="19">
        <v>9649.0</v>
      </c>
      <c r="B5224" s="20" t="str">
        <f t="array" ref="B5224">xlookup($A5224,product!$A:$A,product!B:B)</f>
        <v>Alimentation Bébé</v>
      </c>
      <c r="C5224" s="20" t="str">
        <f t="array" ref="C5224">xlookup($A5224,product!$A:$A,product!C:C)</f>
        <v>Petits pots bébé du midi</v>
      </c>
      <c r="D5224" s="20" t="str">
        <f t="array" ref="D5224">xlookup($A5224,product!$A:$A,product!D:D)</f>
        <v>Petits pots midi 8-12 mois</v>
      </c>
      <c r="E5224" s="4" t="str">
        <f t="shared" si="1"/>
        <v>9649-Petits pots bébé du midi-Petits pots midi 8-12 mois</v>
      </c>
      <c r="F5224" s="4">
        <v>1.0</v>
      </c>
      <c r="G5224" s="4">
        <v>739.0</v>
      </c>
      <c r="H5224" s="4">
        <v>114.0</v>
      </c>
      <c r="I5224" s="21">
        <f t="array" ref="I5224">XLOOKUP($A5224,product!A:A,product!E:E)</f>
        <v>2.62</v>
      </c>
      <c r="J5224" s="4">
        <f t="shared" si="2"/>
        <v>298.68</v>
      </c>
      <c r="K5224" s="22">
        <f t="shared" si="3"/>
        <v>1</v>
      </c>
      <c r="L5224" s="4">
        <f t="shared" si="4"/>
        <v>1</v>
      </c>
    </row>
    <row r="5225">
      <c r="A5225" s="23">
        <v>9652.0</v>
      </c>
      <c r="B5225" s="24" t="str">
        <f t="array" ref="B5225">xlookup($A5225,product!$A:$A,product!B:B)</f>
        <v>Alimentation Bébé</v>
      </c>
      <c r="C5225" s="24" t="str">
        <f t="array" ref="C5225">xlookup($A5225,product!$A:$A,product!C:C)</f>
        <v>Petits pots bébé du midi</v>
      </c>
      <c r="D5225" s="24" t="str">
        <f t="array" ref="D5225">xlookup($A5225,product!$A:$A,product!D:D)</f>
        <v>Petits pots midi 8-12 mois</v>
      </c>
      <c r="E5225" s="25" t="str">
        <f t="shared" si="1"/>
        <v>9652-Petits pots bébé du midi-Petits pots midi 8-12 mois</v>
      </c>
      <c r="F5225" s="25">
        <v>0.0</v>
      </c>
      <c r="G5225" s="25">
        <v>612.0</v>
      </c>
      <c r="H5225" s="25">
        <v>553.0</v>
      </c>
      <c r="I5225" s="26">
        <f t="array" ref="I5225">XLOOKUP($A5225,product!A:A,product!E:E)</f>
        <v>2.3</v>
      </c>
      <c r="J5225" s="25">
        <f t="shared" si="2"/>
        <v>1271.9</v>
      </c>
      <c r="K5225" s="27">
        <f t="shared" si="3"/>
        <v>1</v>
      </c>
      <c r="L5225" s="25">
        <f t="shared" si="4"/>
        <v>1</v>
      </c>
    </row>
    <row r="5226">
      <c r="A5226" s="19">
        <v>79426.0</v>
      </c>
      <c r="B5226" s="20" t="str">
        <f t="array" ref="B5226">xlookup($A5226,product!$A:$A,product!B:B)</f>
        <v>Alimentation Bébé</v>
      </c>
      <c r="C5226" s="20" t="str">
        <f t="array" ref="C5226">xlookup($A5226,product!$A:$A,product!C:C)</f>
        <v>Petits pots bébé du midi</v>
      </c>
      <c r="D5226" s="20" t="str">
        <f t="array" ref="D5226">xlookup($A5226,product!$A:$A,product!D:D)</f>
        <v>Petits pots midi 8-12 mois</v>
      </c>
      <c r="E5226" s="4" t="str">
        <f t="shared" si="1"/>
        <v>79426-Petits pots bébé du midi-Petits pots midi 8-12 mois</v>
      </c>
      <c r="F5226" s="4">
        <v>1.0</v>
      </c>
      <c r="G5226" s="4">
        <v>963.0</v>
      </c>
      <c r="H5226" s="4">
        <v>525.0</v>
      </c>
      <c r="I5226" s="21">
        <f t="array" ref="I5226">XLOOKUP($A5226,product!A:A,product!E:E)</f>
        <v>2.62</v>
      </c>
      <c r="J5226" s="4">
        <f t="shared" si="2"/>
        <v>1375.5</v>
      </c>
      <c r="K5226" s="22">
        <f t="shared" si="3"/>
        <v>1</v>
      </c>
      <c r="L5226" s="4">
        <f t="shared" si="4"/>
        <v>1</v>
      </c>
    </row>
    <row r="5227">
      <c r="A5227" s="23">
        <v>79425.0</v>
      </c>
      <c r="B5227" s="24" t="str">
        <f t="array" ref="B5227">xlookup($A5227,product!$A:$A,product!B:B)</f>
        <v>Alimentation Bébé</v>
      </c>
      <c r="C5227" s="24" t="str">
        <f t="array" ref="C5227">xlookup($A5227,product!$A:$A,product!C:C)</f>
        <v>Petits pots bébé du midi</v>
      </c>
      <c r="D5227" s="24" t="str">
        <f t="array" ref="D5227">xlookup($A5227,product!$A:$A,product!D:D)</f>
        <v>Petits pots midi 8-12 mois</v>
      </c>
      <c r="E5227" s="25" t="str">
        <f t="shared" si="1"/>
        <v>79425-Petits pots bébé du midi-Petits pots midi 8-12 mois</v>
      </c>
      <c r="F5227" s="25">
        <v>1.0</v>
      </c>
      <c r="G5227" s="25">
        <v>181.0</v>
      </c>
      <c r="H5227" s="25">
        <v>165.0</v>
      </c>
      <c r="I5227" s="26">
        <f t="array" ref="I5227">XLOOKUP($A5227,product!A:A,product!E:E)</f>
        <v>2.44</v>
      </c>
      <c r="J5227" s="25">
        <f t="shared" si="2"/>
        <v>402.6</v>
      </c>
      <c r="K5227" s="27">
        <f t="shared" si="3"/>
        <v>1</v>
      </c>
      <c r="L5227" s="25">
        <f t="shared" si="4"/>
        <v>1</v>
      </c>
    </row>
    <row r="5228">
      <c r="A5228" s="19">
        <v>4335.0</v>
      </c>
      <c r="B5228" s="20" t="str">
        <f t="array" ref="B5228">xlookup($A5228,product!$A:$A,product!B:B)</f>
        <v>Alimentation Bébé</v>
      </c>
      <c r="C5228" s="20" t="str">
        <f t="array" ref="C5228">xlookup($A5228,product!$A:$A,product!C:C)</f>
        <v>Petits pots bébé du midi</v>
      </c>
      <c r="D5228" s="20" t="str">
        <f t="array" ref="D5228">xlookup($A5228,product!$A:$A,product!D:D)</f>
        <v>Petits pots midi 8-12 mois</v>
      </c>
      <c r="E5228" s="4" t="str">
        <f t="shared" si="1"/>
        <v>4335-Petits pots bébé du midi-Petits pots midi 8-12 mois</v>
      </c>
      <c r="F5228" s="4">
        <v>1.0</v>
      </c>
      <c r="G5228" s="4">
        <v>633.0</v>
      </c>
      <c r="H5228" s="4">
        <v>327.0</v>
      </c>
      <c r="I5228" s="21">
        <f t="array" ref="I5228">XLOOKUP($A5228,product!A:A,product!E:E)</f>
        <v>2.95</v>
      </c>
      <c r="J5228" s="4">
        <f t="shared" si="2"/>
        <v>964.65</v>
      </c>
      <c r="K5228" s="22">
        <f t="shared" si="3"/>
        <v>1</v>
      </c>
      <c r="L5228" s="4">
        <f t="shared" si="4"/>
        <v>1</v>
      </c>
    </row>
    <row r="5229">
      <c r="A5229" s="23">
        <v>70420.0</v>
      </c>
      <c r="B5229" s="24" t="str">
        <f t="array" ref="B5229">xlookup($A5229,product!$A:$A,product!B:B)</f>
        <v>Alimentation Bébé</v>
      </c>
      <c r="C5229" s="24" t="str">
        <f t="array" ref="C5229">xlookup($A5229,product!$A:$A,product!C:C)</f>
        <v>Petits pots bébé du midi</v>
      </c>
      <c r="D5229" s="24" t="str">
        <f t="array" ref="D5229">xlookup($A5229,product!$A:$A,product!D:D)</f>
        <v>Petits pots midi 8-12 mois</v>
      </c>
      <c r="E5229" s="25" t="str">
        <f t="shared" si="1"/>
        <v>70420-Petits pots bébé du midi-Petits pots midi 8-12 mois</v>
      </c>
      <c r="F5229" s="25">
        <v>1.0</v>
      </c>
      <c r="G5229" s="25">
        <v>8.0</v>
      </c>
      <c r="H5229" s="25">
        <v>6.0</v>
      </c>
      <c r="I5229" s="26">
        <f t="array" ref="I5229">XLOOKUP($A5229,product!A:A,product!E:E)</f>
        <v>2.3</v>
      </c>
      <c r="J5229" s="25">
        <f t="shared" si="2"/>
        <v>13.8</v>
      </c>
      <c r="K5229" s="27">
        <f t="shared" si="3"/>
        <v>1</v>
      </c>
      <c r="L5229" s="25">
        <f t="shared" si="4"/>
        <v>1</v>
      </c>
    </row>
    <row r="5230">
      <c r="A5230" s="19">
        <v>9655.0</v>
      </c>
      <c r="B5230" s="20" t="str">
        <f t="array" ref="B5230">xlookup($A5230,product!$A:$A,product!B:B)</f>
        <v>Alimentation Bébé</v>
      </c>
      <c r="C5230" s="20" t="str">
        <f t="array" ref="C5230">xlookup($A5230,product!$A:$A,product!C:C)</f>
        <v>Petits pots bébé du midi</v>
      </c>
      <c r="D5230" s="20" t="str">
        <f t="array" ref="D5230">xlookup($A5230,product!$A:$A,product!D:D)</f>
        <v>Petits pots midi 8-12 mois</v>
      </c>
      <c r="E5230" s="4" t="str">
        <f t="shared" si="1"/>
        <v>9655-Petits pots bébé du midi-Petits pots midi 8-12 mois</v>
      </c>
      <c r="F5230" s="4">
        <v>1.0</v>
      </c>
      <c r="G5230" s="4">
        <v>28.0</v>
      </c>
      <c r="H5230" s="4">
        <v>27.0</v>
      </c>
      <c r="I5230" s="21">
        <f t="array" ref="I5230">XLOOKUP($A5230,product!A:A,product!E:E)</f>
        <v>2.3</v>
      </c>
      <c r="J5230" s="4">
        <f t="shared" si="2"/>
        <v>62.1</v>
      </c>
      <c r="K5230" s="22">
        <f t="shared" si="3"/>
        <v>1</v>
      </c>
      <c r="L5230" s="4">
        <f t="shared" si="4"/>
        <v>1</v>
      </c>
    </row>
    <row r="5231">
      <c r="A5231" s="23">
        <v>68510.0</v>
      </c>
      <c r="B5231" s="24" t="str">
        <f t="array" ref="B5231">xlookup($A5231,product!$A:$A,product!B:B)</f>
        <v>Alimentation Bébé</v>
      </c>
      <c r="C5231" s="24" t="str">
        <f t="array" ref="C5231">xlookup($A5231,product!$A:$A,product!C:C)</f>
        <v>Petits pots bébé du midi</v>
      </c>
      <c r="D5231" s="24" t="str">
        <f t="array" ref="D5231">xlookup($A5231,product!$A:$A,product!D:D)</f>
        <v>Assiettes midi bébé 12 mois</v>
      </c>
      <c r="E5231" s="25" t="str">
        <f t="shared" si="1"/>
        <v>68510-Petits pots bébé du midi-Assiettes midi bébé 12 mois</v>
      </c>
      <c r="F5231" s="25">
        <v>1.0</v>
      </c>
      <c r="G5231" s="25">
        <v>366.0</v>
      </c>
      <c r="H5231" s="25">
        <v>354.0</v>
      </c>
      <c r="I5231" s="26">
        <f t="array" ref="I5231">XLOOKUP($A5231,product!A:A,product!E:E)</f>
        <v>1.42</v>
      </c>
      <c r="J5231" s="25">
        <f t="shared" si="2"/>
        <v>502.68</v>
      </c>
      <c r="K5231" s="27">
        <f t="shared" si="3"/>
        <v>1</v>
      </c>
      <c r="L5231" s="25">
        <f t="shared" si="4"/>
        <v>1</v>
      </c>
    </row>
    <row r="5232">
      <c r="A5232" s="19">
        <v>11068.0</v>
      </c>
      <c r="B5232" s="20" t="str">
        <f t="array" ref="B5232">xlookup($A5232,product!$A:$A,product!B:B)</f>
        <v>Alimentation Bébé</v>
      </c>
      <c r="C5232" s="20" t="str">
        <f t="array" ref="C5232">xlookup($A5232,product!$A:$A,product!C:C)</f>
        <v>Petits pots bébé du midi</v>
      </c>
      <c r="D5232" s="20" t="str">
        <f t="array" ref="D5232">xlookup($A5232,product!$A:$A,product!D:D)</f>
        <v>Assiettes midi bébé 12 mois</v>
      </c>
      <c r="E5232" s="4" t="str">
        <f t="shared" si="1"/>
        <v>11068-Petits pots bébé du midi-Assiettes midi bébé 12 mois</v>
      </c>
      <c r="F5232" s="4">
        <v>0.0</v>
      </c>
      <c r="G5232" s="4">
        <v>423.0</v>
      </c>
      <c r="H5232" s="4">
        <v>208.0</v>
      </c>
      <c r="I5232" s="21">
        <f t="array" ref="I5232">XLOOKUP($A5232,product!A:A,product!E:E)</f>
        <v>1.63</v>
      </c>
      <c r="J5232" s="4">
        <f t="shared" si="2"/>
        <v>339.04</v>
      </c>
      <c r="K5232" s="22">
        <f t="shared" si="3"/>
        <v>1</v>
      </c>
      <c r="L5232" s="4">
        <f t="shared" si="4"/>
        <v>1</v>
      </c>
    </row>
    <row r="5233">
      <c r="A5233" s="23">
        <v>79888.0</v>
      </c>
      <c r="B5233" s="24" t="str">
        <f t="array" ref="B5233">xlookup($A5233,product!$A:$A,product!B:B)</f>
        <v>Alimentation Bébé</v>
      </c>
      <c r="C5233" s="24" t="str">
        <f t="array" ref="C5233">xlookup($A5233,product!$A:$A,product!C:C)</f>
        <v>Petits pots bébé du midi</v>
      </c>
      <c r="D5233" s="24" t="str">
        <f t="array" ref="D5233">xlookup($A5233,product!$A:$A,product!D:D)</f>
        <v>Assiettes midi bébé 12 mois</v>
      </c>
      <c r="E5233" s="25" t="str">
        <f t="shared" si="1"/>
        <v>79888-Petits pots bébé du midi-Assiettes midi bébé 12 mois</v>
      </c>
      <c r="F5233" s="25">
        <v>0.0</v>
      </c>
      <c r="G5233" s="25">
        <v>48.0</v>
      </c>
      <c r="H5233" s="25">
        <v>46.0</v>
      </c>
      <c r="I5233" s="26">
        <f t="array" ref="I5233">XLOOKUP($A5233,product!A:A,product!E:E)</f>
        <v>1.74</v>
      </c>
      <c r="J5233" s="25">
        <f t="shared" si="2"/>
        <v>80.04</v>
      </c>
      <c r="K5233" s="27">
        <f t="shared" si="3"/>
        <v>1</v>
      </c>
      <c r="L5233" s="25">
        <f t="shared" si="4"/>
        <v>1</v>
      </c>
    </row>
    <row r="5234">
      <c r="A5234" s="19">
        <v>108982.0</v>
      </c>
      <c r="B5234" s="20" t="str">
        <f t="array" ref="B5234">xlookup($A5234,product!$A:$A,product!B:B)</f>
        <v>Alimentation Bébé</v>
      </c>
      <c r="C5234" s="20" t="str">
        <f t="array" ref="C5234">xlookup($A5234,product!$A:$A,product!C:C)</f>
        <v>Petits pots bébé du midi</v>
      </c>
      <c r="D5234" s="20" t="str">
        <f t="array" ref="D5234">xlookup($A5234,product!$A:$A,product!D:D)</f>
        <v>Assiettes midi bébé 12 mois</v>
      </c>
      <c r="E5234" s="4" t="str">
        <f t="shared" si="1"/>
        <v>108982-Petits pots bébé du midi-Assiettes midi bébé 12 mois</v>
      </c>
      <c r="F5234" s="4">
        <v>1.0</v>
      </c>
      <c r="G5234" s="4">
        <v>652.0</v>
      </c>
      <c r="H5234" s="4">
        <v>537.0</v>
      </c>
      <c r="I5234" s="21">
        <f t="array" ref="I5234">XLOOKUP($A5234,product!A:A,product!E:E)</f>
        <v>2.5</v>
      </c>
      <c r="J5234" s="4">
        <f t="shared" si="2"/>
        <v>1342.5</v>
      </c>
      <c r="K5234" s="22">
        <f t="shared" si="3"/>
        <v>1</v>
      </c>
      <c r="L5234" s="4">
        <f t="shared" si="4"/>
        <v>1</v>
      </c>
    </row>
    <row r="5235">
      <c r="A5235" s="23">
        <v>88020.0</v>
      </c>
      <c r="B5235" s="24" t="str">
        <f t="array" ref="B5235">xlookup($A5235,product!$A:$A,product!B:B)</f>
        <v>Alimentation Bébé</v>
      </c>
      <c r="C5235" s="24" t="str">
        <f t="array" ref="C5235">xlookup($A5235,product!$A:$A,product!C:C)</f>
        <v>Petits pots bébé du midi</v>
      </c>
      <c r="D5235" s="24" t="str">
        <f t="array" ref="D5235">xlookup($A5235,product!$A:$A,product!D:D)</f>
        <v>Assiettes midi bébé 12 mois</v>
      </c>
      <c r="E5235" s="25" t="str">
        <f t="shared" si="1"/>
        <v>88020-Petits pots bébé du midi-Assiettes midi bébé 12 mois</v>
      </c>
      <c r="F5235" s="25">
        <v>1.0</v>
      </c>
      <c r="G5235" s="25">
        <v>545.0</v>
      </c>
      <c r="H5235" s="25">
        <v>127.0</v>
      </c>
      <c r="I5235" s="26">
        <f t="array" ref="I5235">XLOOKUP($A5235,product!A:A,product!E:E)</f>
        <v>2.32</v>
      </c>
      <c r="J5235" s="25">
        <f t="shared" si="2"/>
        <v>294.64</v>
      </c>
      <c r="K5235" s="27">
        <f t="shared" si="3"/>
        <v>1</v>
      </c>
      <c r="L5235" s="25">
        <f t="shared" si="4"/>
        <v>1</v>
      </c>
    </row>
    <row r="5236">
      <c r="A5236" s="19">
        <v>44824.0</v>
      </c>
      <c r="B5236" s="20" t="str">
        <f t="array" ref="B5236">xlookup($A5236,product!$A:$A,product!B:B)</f>
        <v>Alimentation Bébé</v>
      </c>
      <c r="C5236" s="20" t="str">
        <f t="array" ref="C5236">xlookup($A5236,product!$A:$A,product!C:C)</f>
        <v>Petits pots bébé du midi</v>
      </c>
      <c r="D5236" s="20" t="str">
        <f t="array" ref="D5236">xlookup($A5236,product!$A:$A,product!D:D)</f>
        <v>Assiettes midi bébé 12 mois</v>
      </c>
      <c r="E5236" s="4" t="str">
        <f t="shared" si="1"/>
        <v>44824-Petits pots bébé du midi-Assiettes midi bébé 12 mois</v>
      </c>
      <c r="F5236" s="4">
        <v>0.0</v>
      </c>
      <c r="G5236" s="4">
        <v>836.0</v>
      </c>
      <c r="H5236" s="4">
        <v>750.0</v>
      </c>
      <c r="I5236" s="21">
        <f t="array" ref="I5236">XLOOKUP($A5236,product!A:A,product!E:E)</f>
        <v>1.55</v>
      </c>
      <c r="J5236" s="4">
        <f t="shared" si="2"/>
        <v>1162.5</v>
      </c>
      <c r="K5236" s="22">
        <f t="shared" si="3"/>
        <v>1</v>
      </c>
      <c r="L5236" s="4">
        <f t="shared" si="4"/>
        <v>1</v>
      </c>
    </row>
    <row r="5237">
      <c r="A5237" s="23">
        <v>46900.0</v>
      </c>
      <c r="B5237" s="24" t="str">
        <f t="array" ref="B5237">xlookup($A5237,product!$A:$A,product!B:B)</f>
        <v>Alimentation Bébé</v>
      </c>
      <c r="C5237" s="24" t="str">
        <f t="array" ref="C5237">xlookup($A5237,product!$A:$A,product!C:C)</f>
        <v>Petits pots bébé du midi</v>
      </c>
      <c r="D5237" s="24" t="str">
        <f t="array" ref="D5237">xlookup($A5237,product!$A:$A,product!D:D)</f>
        <v>Assiettes midi bébé 12 mois</v>
      </c>
      <c r="E5237" s="25" t="str">
        <f t="shared" si="1"/>
        <v>46900-Petits pots bébé du midi-Assiettes midi bébé 12 mois</v>
      </c>
      <c r="F5237" s="25">
        <v>1.0</v>
      </c>
      <c r="G5237" s="25">
        <v>31.0</v>
      </c>
      <c r="H5237" s="25">
        <v>30.0</v>
      </c>
      <c r="I5237" s="26">
        <f t="array" ref="I5237">XLOOKUP($A5237,product!A:A,product!E:E)</f>
        <v>1.42</v>
      </c>
      <c r="J5237" s="25">
        <f t="shared" si="2"/>
        <v>42.6</v>
      </c>
      <c r="K5237" s="27">
        <f t="shared" si="3"/>
        <v>1</v>
      </c>
      <c r="L5237" s="25">
        <f t="shared" si="4"/>
        <v>1</v>
      </c>
    </row>
    <row r="5238">
      <c r="A5238" s="19">
        <v>41981.0</v>
      </c>
      <c r="B5238" s="20" t="str">
        <f t="array" ref="B5238">xlookup($A5238,product!$A:$A,product!B:B)</f>
        <v>Alimentation Bébé</v>
      </c>
      <c r="C5238" s="20" t="str">
        <f t="array" ref="C5238">xlookup($A5238,product!$A:$A,product!C:C)</f>
        <v>Petits pots bébé du midi</v>
      </c>
      <c r="D5238" s="20" t="str">
        <f t="array" ref="D5238">xlookup($A5238,product!$A:$A,product!D:D)</f>
        <v>Assiettes midi bébé 12 mois</v>
      </c>
      <c r="E5238" s="4" t="str">
        <f t="shared" si="1"/>
        <v>41981-Petits pots bébé du midi-Assiettes midi bébé 12 mois</v>
      </c>
      <c r="F5238" s="4">
        <v>1.0</v>
      </c>
      <c r="G5238" s="4">
        <v>153.0</v>
      </c>
      <c r="H5238" s="4">
        <v>14.0</v>
      </c>
      <c r="I5238" s="21">
        <f t="array" ref="I5238">XLOOKUP($A5238,product!A:A,product!E:E)</f>
        <v>2.32</v>
      </c>
      <c r="J5238" s="4">
        <f t="shared" si="2"/>
        <v>32.48</v>
      </c>
      <c r="K5238" s="22">
        <f t="shared" si="3"/>
        <v>1</v>
      </c>
      <c r="L5238" s="4">
        <f t="shared" si="4"/>
        <v>1</v>
      </c>
    </row>
    <row r="5239">
      <c r="A5239" s="23">
        <v>44825.0</v>
      </c>
      <c r="B5239" s="24" t="str">
        <f t="array" ref="B5239">xlookup($A5239,product!$A:$A,product!B:B)</f>
        <v>Alimentation Bébé</v>
      </c>
      <c r="C5239" s="24" t="str">
        <f t="array" ref="C5239">xlookup($A5239,product!$A:$A,product!C:C)</f>
        <v>Petits pots bébé du midi</v>
      </c>
      <c r="D5239" s="24" t="str">
        <f t="array" ref="D5239">xlookup($A5239,product!$A:$A,product!D:D)</f>
        <v>Assiettes midi bébé 12 mois</v>
      </c>
      <c r="E5239" s="25" t="str">
        <f t="shared" si="1"/>
        <v>44825-Petits pots bébé du midi-Assiettes midi bébé 12 mois</v>
      </c>
      <c r="F5239" s="25">
        <v>1.0</v>
      </c>
      <c r="G5239" s="25">
        <v>643.0</v>
      </c>
      <c r="H5239" s="25">
        <v>519.0</v>
      </c>
      <c r="I5239" s="26">
        <f t="array" ref="I5239">XLOOKUP($A5239,product!A:A,product!E:E)</f>
        <v>1.72</v>
      </c>
      <c r="J5239" s="25">
        <f t="shared" si="2"/>
        <v>892.68</v>
      </c>
      <c r="K5239" s="27">
        <f t="shared" si="3"/>
        <v>1</v>
      </c>
      <c r="L5239" s="25">
        <f t="shared" si="4"/>
        <v>1</v>
      </c>
    </row>
    <row r="5240">
      <c r="A5240" s="19">
        <v>6875.0</v>
      </c>
      <c r="B5240" s="20" t="str">
        <f t="array" ref="B5240">xlookup($A5240,product!$A:$A,product!B:B)</f>
        <v>Alimentation Bébé</v>
      </c>
      <c r="C5240" s="20" t="str">
        <f t="array" ref="C5240">xlookup($A5240,product!$A:$A,product!C:C)</f>
        <v>Petits pots bébé du midi</v>
      </c>
      <c r="D5240" s="20" t="str">
        <f t="array" ref="D5240">xlookup($A5240,product!$A:$A,product!D:D)</f>
        <v>Assiettes midi bébé 12 mois</v>
      </c>
      <c r="E5240" s="4" t="str">
        <f t="shared" si="1"/>
        <v>6875-Petits pots bébé du midi-Assiettes midi bébé 12 mois</v>
      </c>
      <c r="F5240" s="4">
        <v>0.0</v>
      </c>
      <c r="G5240" s="4">
        <v>120.0</v>
      </c>
      <c r="H5240" s="4">
        <v>72.0</v>
      </c>
      <c r="I5240" s="21">
        <f t="array" ref="I5240">XLOOKUP($A5240,product!A:A,product!E:E)</f>
        <v>2.32</v>
      </c>
      <c r="J5240" s="4">
        <f t="shared" si="2"/>
        <v>167.04</v>
      </c>
      <c r="K5240" s="22">
        <f t="shared" si="3"/>
        <v>1</v>
      </c>
      <c r="L5240" s="4">
        <f t="shared" si="4"/>
        <v>1</v>
      </c>
    </row>
    <row r="5241">
      <c r="A5241" s="23">
        <v>108981.0</v>
      </c>
      <c r="B5241" s="24" t="str">
        <f t="array" ref="B5241">xlookup($A5241,product!$A:$A,product!B:B)</f>
        <v>Alimentation Bébé</v>
      </c>
      <c r="C5241" s="24" t="str">
        <f t="array" ref="C5241">xlookup($A5241,product!$A:$A,product!C:C)</f>
        <v>Petits pots bébé du midi</v>
      </c>
      <c r="D5241" s="24" t="str">
        <f t="array" ref="D5241">xlookup($A5241,product!$A:$A,product!D:D)</f>
        <v>Assiettes midi bébé 12 mois</v>
      </c>
      <c r="E5241" s="25" t="str">
        <f t="shared" si="1"/>
        <v>108981-Petits pots bébé du midi-Assiettes midi bébé 12 mois</v>
      </c>
      <c r="F5241" s="25">
        <v>1.0</v>
      </c>
      <c r="G5241" s="25">
        <v>513.0</v>
      </c>
      <c r="H5241" s="25">
        <v>408.0</v>
      </c>
      <c r="I5241" s="26">
        <f t="array" ref="I5241">XLOOKUP($A5241,product!A:A,product!E:E)</f>
        <v>2.53</v>
      </c>
      <c r="J5241" s="25">
        <f t="shared" si="2"/>
        <v>1032.24</v>
      </c>
      <c r="K5241" s="27">
        <f t="shared" si="3"/>
        <v>1</v>
      </c>
      <c r="L5241" s="25">
        <f t="shared" si="4"/>
        <v>1</v>
      </c>
    </row>
    <row r="5242">
      <c r="A5242" s="19">
        <v>110931.0</v>
      </c>
      <c r="B5242" s="20" t="str">
        <f t="array" ref="B5242">xlookup($A5242,product!$A:$A,product!B:B)</f>
        <v>Alimentation Bébé</v>
      </c>
      <c r="C5242" s="20" t="str">
        <f t="array" ref="C5242">xlookup($A5242,product!$A:$A,product!C:C)</f>
        <v>Petits pots bébé du midi</v>
      </c>
      <c r="D5242" s="20" t="str">
        <f t="array" ref="D5242">xlookup($A5242,product!$A:$A,product!D:D)</f>
        <v>Assiettes midi bébé 12 mois</v>
      </c>
      <c r="E5242" s="4" t="str">
        <f t="shared" si="1"/>
        <v>110931-Petits pots bébé du midi-Assiettes midi bébé 12 mois</v>
      </c>
      <c r="F5242" s="4">
        <v>0.0</v>
      </c>
      <c r="G5242" s="4">
        <v>757.0</v>
      </c>
      <c r="H5242" s="4">
        <v>116.0</v>
      </c>
      <c r="I5242" s="21">
        <f t="array" ref="I5242">XLOOKUP($A5242,product!A:A,product!E:E)</f>
        <v>2.32</v>
      </c>
      <c r="J5242" s="4">
        <f t="shared" si="2"/>
        <v>269.12</v>
      </c>
      <c r="K5242" s="22">
        <f t="shared" si="3"/>
        <v>1</v>
      </c>
      <c r="L5242" s="4">
        <f t="shared" si="4"/>
        <v>1</v>
      </c>
    </row>
    <row r="5243">
      <c r="A5243" s="23">
        <v>99037.0</v>
      </c>
      <c r="B5243" s="24" t="str">
        <f t="array" ref="B5243">xlookup($A5243,product!$A:$A,product!B:B)</f>
        <v>Alimentation Bébé</v>
      </c>
      <c r="C5243" s="24" t="str">
        <f t="array" ref="C5243">xlookup($A5243,product!$A:$A,product!C:C)</f>
        <v>Petits pots bébé du midi</v>
      </c>
      <c r="D5243" s="24" t="str">
        <f t="array" ref="D5243">xlookup($A5243,product!$A:$A,product!D:D)</f>
        <v>Assiettes midi bébé 12 mois</v>
      </c>
      <c r="E5243" s="25" t="str">
        <f t="shared" si="1"/>
        <v>99037-Petits pots bébé du midi-Assiettes midi bébé 12 mois</v>
      </c>
      <c r="F5243" s="25">
        <v>1.0</v>
      </c>
      <c r="G5243" s="25">
        <v>299.0</v>
      </c>
      <c r="H5243" s="25">
        <v>261.0</v>
      </c>
      <c r="I5243" s="26">
        <f t="array" ref="I5243">XLOOKUP($A5243,product!A:A,product!E:E)</f>
        <v>1.84</v>
      </c>
      <c r="J5243" s="25">
        <f t="shared" si="2"/>
        <v>480.24</v>
      </c>
      <c r="K5243" s="27">
        <f t="shared" si="3"/>
        <v>1</v>
      </c>
      <c r="L5243" s="25">
        <f t="shared" si="4"/>
        <v>1</v>
      </c>
    </row>
    <row r="5244">
      <c r="A5244" s="19">
        <v>99096.0</v>
      </c>
      <c r="B5244" s="20" t="str">
        <f t="array" ref="B5244">xlookup($A5244,product!$A:$A,product!B:B)</f>
        <v>Alimentation Bébé</v>
      </c>
      <c r="C5244" s="20" t="str">
        <f t="array" ref="C5244">xlookup($A5244,product!$A:$A,product!C:C)</f>
        <v>Petits pots bébé du midi</v>
      </c>
      <c r="D5244" s="20" t="str">
        <f t="array" ref="D5244">xlookup($A5244,product!$A:$A,product!D:D)</f>
        <v>Assiettes midi bébé 12 mois</v>
      </c>
      <c r="E5244" s="4" t="str">
        <f t="shared" si="1"/>
        <v>99096-Petits pots bébé du midi-Assiettes midi bébé 12 mois</v>
      </c>
      <c r="F5244" s="4">
        <v>0.0</v>
      </c>
      <c r="G5244" s="4">
        <v>603.0</v>
      </c>
      <c r="H5244" s="4">
        <v>433.0</v>
      </c>
      <c r="I5244" s="21">
        <f t="array" ref="I5244">XLOOKUP($A5244,product!A:A,product!E:E)</f>
        <v>1.87</v>
      </c>
      <c r="J5244" s="4">
        <f t="shared" si="2"/>
        <v>809.71</v>
      </c>
      <c r="K5244" s="22">
        <f t="shared" si="3"/>
        <v>1</v>
      </c>
      <c r="L5244" s="4">
        <f t="shared" si="4"/>
        <v>1</v>
      </c>
    </row>
    <row r="5245">
      <c r="A5245" s="23">
        <v>41986.0</v>
      </c>
      <c r="B5245" s="24" t="str">
        <f t="array" ref="B5245">xlookup($A5245,product!$A:$A,product!B:B)</f>
        <v>Alimentation Bébé</v>
      </c>
      <c r="C5245" s="24" t="str">
        <f t="array" ref="C5245">xlookup($A5245,product!$A:$A,product!C:C)</f>
        <v>Petits pots bébé du midi</v>
      </c>
      <c r="D5245" s="24" t="str">
        <f t="array" ref="D5245">xlookup($A5245,product!$A:$A,product!D:D)</f>
        <v>Assiettes midi bébé 12 mois</v>
      </c>
      <c r="E5245" s="25" t="str">
        <f t="shared" si="1"/>
        <v>41986-Petits pots bébé du midi-Assiettes midi bébé 12 mois</v>
      </c>
      <c r="F5245" s="25">
        <v>0.0</v>
      </c>
      <c r="G5245" s="25">
        <v>581.0</v>
      </c>
      <c r="H5245" s="25">
        <v>98.0</v>
      </c>
      <c r="I5245" s="26">
        <f t="array" ref="I5245">XLOOKUP($A5245,product!A:A,product!E:E)</f>
        <v>2.44</v>
      </c>
      <c r="J5245" s="25">
        <f t="shared" si="2"/>
        <v>239.12</v>
      </c>
      <c r="K5245" s="27">
        <f t="shared" si="3"/>
        <v>1</v>
      </c>
      <c r="L5245" s="25">
        <f t="shared" si="4"/>
        <v>1</v>
      </c>
    </row>
    <row r="5246">
      <c r="A5246" s="19">
        <v>79430.0</v>
      </c>
      <c r="B5246" s="20" t="str">
        <f t="array" ref="B5246">xlookup($A5246,product!$A:$A,product!B:B)</f>
        <v>Alimentation Bébé</v>
      </c>
      <c r="C5246" s="20" t="str">
        <f t="array" ref="C5246">xlookup($A5246,product!$A:$A,product!C:C)</f>
        <v>Petits pots bébé du midi</v>
      </c>
      <c r="D5246" s="20" t="str">
        <f t="array" ref="D5246">xlookup($A5246,product!$A:$A,product!D:D)</f>
        <v>Assiettes midi bébé 12 mois</v>
      </c>
      <c r="E5246" s="4" t="str">
        <f t="shared" si="1"/>
        <v>79430-Petits pots bébé du midi-Assiettes midi bébé 12 mois</v>
      </c>
      <c r="F5246" s="4">
        <v>0.0</v>
      </c>
      <c r="G5246" s="4">
        <v>37.0</v>
      </c>
      <c r="H5246" s="4">
        <v>13.0</v>
      </c>
      <c r="I5246" s="21">
        <f t="array" ref="I5246">XLOOKUP($A5246,product!A:A,product!E:E)</f>
        <v>1.55</v>
      </c>
      <c r="J5246" s="4">
        <f t="shared" si="2"/>
        <v>20.15</v>
      </c>
      <c r="K5246" s="22">
        <f t="shared" si="3"/>
        <v>1</v>
      </c>
      <c r="L5246" s="4">
        <f t="shared" si="4"/>
        <v>1</v>
      </c>
    </row>
    <row r="5247">
      <c r="A5247" s="23">
        <v>41921.0</v>
      </c>
      <c r="B5247" s="24" t="str">
        <f t="array" ref="B5247">xlookup($A5247,product!$A:$A,product!B:B)</f>
        <v>Alimentation Bébé</v>
      </c>
      <c r="C5247" s="24" t="str">
        <f t="array" ref="C5247">xlookup($A5247,product!$A:$A,product!C:C)</f>
        <v>Petits pots bébé du midi</v>
      </c>
      <c r="D5247" s="24" t="str">
        <f t="array" ref="D5247">xlookup($A5247,product!$A:$A,product!D:D)</f>
        <v>Assiettes midi bébé 6-8 mois</v>
      </c>
      <c r="E5247" s="25" t="str">
        <f t="shared" si="1"/>
        <v>41921-Petits pots bébé du midi-Assiettes midi bébé 6-8 mois</v>
      </c>
      <c r="F5247" s="25">
        <v>1.0</v>
      </c>
      <c r="G5247" s="25">
        <v>501.0</v>
      </c>
      <c r="H5247" s="25">
        <v>316.0</v>
      </c>
      <c r="I5247" s="26">
        <f t="array" ref="I5247">XLOOKUP($A5247,product!A:A,product!E:E)</f>
        <v>2.44</v>
      </c>
      <c r="J5247" s="25">
        <f t="shared" si="2"/>
        <v>771.04</v>
      </c>
      <c r="K5247" s="27">
        <f t="shared" si="3"/>
        <v>1</v>
      </c>
      <c r="L5247" s="25">
        <f t="shared" si="4"/>
        <v>1</v>
      </c>
    </row>
    <row r="5248">
      <c r="A5248" s="19">
        <v>41910.0</v>
      </c>
      <c r="B5248" s="20" t="str">
        <f t="array" ref="B5248">xlookup($A5248,product!$A:$A,product!B:B)</f>
        <v>Alimentation Bébé</v>
      </c>
      <c r="C5248" s="20" t="str">
        <f t="array" ref="C5248">xlookup($A5248,product!$A:$A,product!C:C)</f>
        <v>Petits pots bébé du midi</v>
      </c>
      <c r="D5248" s="20" t="str">
        <f t="array" ref="D5248">xlookup($A5248,product!$A:$A,product!D:D)</f>
        <v>Assiettes midi bébé 6-8 mois</v>
      </c>
      <c r="E5248" s="4" t="str">
        <f t="shared" si="1"/>
        <v>41910-Petits pots bébé du midi-Assiettes midi bébé 6-8 mois</v>
      </c>
      <c r="F5248" s="4">
        <v>1.0</v>
      </c>
      <c r="G5248" s="4">
        <v>440.0</v>
      </c>
      <c r="H5248" s="4">
        <v>378.0</v>
      </c>
      <c r="I5248" s="21">
        <f t="array" ref="I5248">XLOOKUP($A5248,product!A:A,product!E:E)</f>
        <v>2.32</v>
      </c>
      <c r="J5248" s="4">
        <f t="shared" si="2"/>
        <v>876.96</v>
      </c>
      <c r="K5248" s="22">
        <f t="shared" si="3"/>
        <v>1</v>
      </c>
      <c r="L5248" s="4">
        <f t="shared" si="4"/>
        <v>1</v>
      </c>
    </row>
    <row r="5249">
      <c r="A5249" s="23">
        <v>11069.0</v>
      </c>
      <c r="B5249" s="24" t="str">
        <f t="array" ref="B5249">xlookup($A5249,product!$A:$A,product!B:B)</f>
        <v>Alimentation Bébé</v>
      </c>
      <c r="C5249" s="24" t="str">
        <f t="array" ref="C5249">xlookup($A5249,product!$A:$A,product!C:C)</f>
        <v>Petits pots bébé du midi</v>
      </c>
      <c r="D5249" s="24" t="str">
        <f t="array" ref="D5249">xlookup($A5249,product!$A:$A,product!D:D)</f>
        <v>Assiettes midi bébé 6-8 mois</v>
      </c>
      <c r="E5249" s="25" t="str">
        <f t="shared" si="1"/>
        <v>11069-Petits pots bébé du midi-Assiettes midi bébé 6-8 mois</v>
      </c>
      <c r="F5249" s="25">
        <v>1.0</v>
      </c>
      <c r="G5249" s="25">
        <v>47.0</v>
      </c>
      <c r="H5249" s="25">
        <v>17.0</v>
      </c>
      <c r="I5249" s="26">
        <f t="array" ref="I5249">XLOOKUP($A5249,product!A:A,product!E:E)</f>
        <v>1.74</v>
      </c>
      <c r="J5249" s="25">
        <f t="shared" si="2"/>
        <v>29.58</v>
      </c>
      <c r="K5249" s="27">
        <f t="shared" si="3"/>
        <v>1</v>
      </c>
      <c r="L5249" s="25">
        <f t="shared" si="4"/>
        <v>1</v>
      </c>
    </row>
    <row r="5250">
      <c r="A5250" s="19">
        <v>41924.0</v>
      </c>
      <c r="B5250" s="20" t="str">
        <f t="array" ref="B5250">xlookup($A5250,product!$A:$A,product!B:B)</f>
        <v>Alimentation Bébé</v>
      </c>
      <c r="C5250" s="20" t="str">
        <f t="array" ref="C5250">xlookup($A5250,product!$A:$A,product!C:C)</f>
        <v>Petits pots bébé du midi</v>
      </c>
      <c r="D5250" s="20" t="str">
        <f t="array" ref="D5250">xlookup($A5250,product!$A:$A,product!D:D)</f>
        <v>Assiettes midi bébé 6-8 mois</v>
      </c>
      <c r="E5250" s="4" t="str">
        <f t="shared" si="1"/>
        <v>41924-Petits pots bébé du midi-Assiettes midi bébé 6-8 mois</v>
      </c>
      <c r="F5250" s="4">
        <v>1.0</v>
      </c>
      <c r="G5250" s="4">
        <v>362.0</v>
      </c>
      <c r="H5250" s="4">
        <v>177.0</v>
      </c>
      <c r="I5250" s="21">
        <f t="array" ref="I5250">XLOOKUP($A5250,product!A:A,product!E:E)</f>
        <v>2.62</v>
      </c>
      <c r="J5250" s="4">
        <f t="shared" si="2"/>
        <v>463.74</v>
      </c>
      <c r="K5250" s="22">
        <f t="shared" si="3"/>
        <v>1</v>
      </c>
      <c r="L5250" s="4">
        <f t="shared" si="4"/>
        <v>1</v>
      </c>
    </row>
    <row r="5251">
      <c r="A5251" s="23">
        <v>133913.0</v>
      </c>
      <c r="B5251" s="24" t="str">
        <f t="array" ref="B5251">xlookup($A5251,product!$A:$A,product!B:B)</f>
        <v>Alimentation Bébé</v>
      </c>
      <c r="C5251" s="24" t="str">
        <f t="array" ref="C5251">xlookup($A5251,product!$A:$A,product!C:C)</f>
        <v>Petits pots bébé du midi</v>
      </c>
      <c r="D5251" s="24" t="str">
        <f t="array" ref="D5251">xlookup($A5251,product!$A:$A,product!D:D)</f>
        <v>Assiettes midi bébé 6-8 mois</v>
      </c>
      <c r="E5251" s="25" t="str">
        <f t="shared" si="1"/>
        <v>133913-Petits pots bébé du midi-Assiettes midi bébé 6-8 mois</v>
      </c>
      <c r="F5251" s="25">
        <v>0.0</v>
      </c>
      <c r="G5251" s="25">
        <v>382.0</v>
      </c>
      <c r="H5251" s="25">
        <v>123.0</v>
      </c>
      <c r="I5251" s="26">
        <f t="array" ref="I5251">XLOOKUP($A5251,product!A:A,product!E:E)</f>
        <v>2.45</v>
      </c>
      <c r="J5251" s="25">
        <f t="shared" si="2"/>
        <v>301.35</v>
      </c>
      <c r="K5251" s="27">
        <f t="shared" si="3"/>
        <v>1</v>
      </c>
      <c r="L5251" s="25">
        <f t="shared" si="4"/>
        <v>1</v>
      </c>
    </row>
    <row r="5252">
      <c r="A5252" s="19">
        <v>70422.0</v>
      </c>
      <c r="B5252" s="20" t="str">
        <f t="array" ref="B5252">xlookup($A5252,product!$A:$A,product!B:B)</f>
        <v>Alimentation Bébé</v>
      </c>
      <c r="C5252" s="20" t="str">
        <f t="array" ref="C5252">xlookup($A5252,product!$A:$A,product!C:C)</f>
        <v>Petits pots bébé du midi</v>
      </c>
      <c r="D5252" s="20" t="str">
        <f t="array" ref="D5252">xlookup($A5252,product!$A:$A,product!D:D)</f>
        <v>Assiettes midi bébé 6-8 mois</v>
      </c>
      <c r="E5252" s="4" t="str">
        <f t="shared" si="1"/>
        <v>70422-Petits pots bébé du midi-Assiettes midi bébé 6-8 mois</v>
      </c>
      <c r="F5252" s="4">
        <v>1.0</v>
      </c>
      <c r="G5252" s="4">
        <v>920.0</v>
      </c>
      <c r="H5252" s="4">
        <v>722.0</v>
      </c>
      <c r="I5252" s="21">
        <f t="array" ref="I5252">XLOOKUP($A5252,product!A:A,product!E:E)</f>
        <v>2.2</v>
      </c>
      <c r="J5252" s="4">
        <f t="shared" si="2"/>
        <v>1588.4</v>
      </c>
      <c r="K5252" s="22">
        <f t="shared" si="3"/>
        <v>1</v>
      </c>
      <c r="L5252" s="4">
        <f t="shared" si="4"/>
        <v>1</v>
      </c>
    </row>
    <row r="5253">
      <c r="A5253" s="23">
        <v>17812.0</v>
      </c>
      <c r="B5253" s="24" t="str">
        <f t="array" ref="B5253">xlookup($A5253,product!$A:$A,product!B:B)</f>
        <v>Alimentation Bébé</v>
      </c>
      <c r="C5253" s="24" t="str">
        <f t="array" ref="C5253">xlookup($A5253,product!$A:$A,product!C:C)</f>
        <v>Petits pots bébé du midi</v>
      </c>
      <c r="D5253" s="24" t="str">
        <f t="array" ref="D5253">xlookup($A5253,product!$A:$A,product!D:D)</f>
        <v>Assiettes midi bébé 15-18 mois</v>
      </c>
      <c r="E5253" s="25" t="str">
        <f t="shared" si="1"/>
        <v>17812-Petits pots bébé du midi-Assiettes midi bébé 15-18 mois</v>
      </c>
      <c r="F5253" s="25">
        <v>1.0</v>
      </c>
      <c r="G5253" s="25">
        <v>956.0</v>
      </c>
      <c r="H5253" s="25">
        <v>930.0</v>
      </c>
      <c r="I5253" s="26">
        <f t="array" ref="I5253">XLOOKUP($A5253,product!A:A,product!E:E)</f>
        <v>1.92</v>
      </c>
      <c r="J5253" s="25">
        <f t="shared" si="2"/>
        <v>1785.6</v>
      </c>
      <c r="K5253" s="27">
        <f t="shared" si="3"/>
        <v>1</v>
      </c>
      <c r="L5253" s="25">
        <f t="shared" si="4"/>
        <v>1</v>
      </c>
    </row>
    <row r="5254">
      <c r="A5254" s="19">
        <v>70429.0</v>
      </c>
      <c r="B5254" s="20" t="str">
        <f t="array" ref="B5254">xlookup($A5254,product!$A:$A,product!B:B)</f>
        <v>Alimentation Bébé</v>
      </c>
      <c r="C5254" s="20" t="str">
        <f t="array" ref="C5254">xlookup($A5254,product!$A:$A,product!C:C)</f>
        <v>Petits pots bébé du midi</v>
      </c>
      <c r="D5254" s="20" t="str">
        <f t="array" ref="D5254">xlookup($A5254,product!$A:$A,product!D:D)</f>
        <v>Assiettes midi bébé 15-18 mois</v>
      </c>
      <c r="E5254" s="4" t="str">
        <f t="shared" si="1"/>
        <v>70429-Petits pots bébé du midi-Assiettes midi bébé 15-18 mois</v>
      </c>
      <c r="F5254" s="4">
        <v>0.0</v>
      </c>
      <c r="G5254" s="4">
        <v>904.0</v>
      </c>
      <c r="H5254" s="4">
        <v>503.0</v>
      </c>
      <c r="I5254" s="21">
        <f t="array" ref="I5254">XLOOKUP($A5254,product!A:A,product!E:E)</f>
        <v>1.66</v>
      </c>
      <c r="J5254" s="4">
        <f t="shared" si="2"/>
        <v>834.98</v>
      </c>
      <c r="K5254" s="22">
        <f t="shared" si="3"/>
        <v>1</v>
      </c>
      <c r="L5254" s="4">
        <f t="shared" si="4"/>
        <v>1</v>
      </c>
    </row>
    <row r="5255">
      <c r="A5255" s="23">
        <v>70428.0</v>
      </c>
      <c r="B5255" s="24" t="str">
        <f t="array" ref="B5255">xlookup($A5255,product!$A:$A,product!B:B)</f>
        <v>Alimentation Bébé</v>
      </c>
      <c r="C5255" s="24" t="str">
        <f t="array" ref="C5255">xlookup($A5255,product!$A:$A,product!C:C)</f>
        <v>Petits pots bébé du midi</v>
      </c>
      <c r="D5255" s="24" t="str">
        <f t="array" ref="D5255">xlookup($A5255,product!$A:$A,product!D:D)</f>
        <v>Assiettes midi bébé 15-18 mois</v>
      </c>
      <c r="E5255" s="25" t="str">
        <f t="shared" si="1"/>
        <v>70428-Petits pots bébé du midi-Assiettes midi bébé 15-18 mois</v>
      </c>
      <c r="F5255" s="25">
        <v>1.0</v>
      </c>
      <c r="G5255" s="25">
        <v>632.0</v>
      </c>
      <c r="H5255" s="25">
        <v>356.0</v>
      </c>
      <c r="I5255" s="26">
        <f t="array" ref="I5255">XLOOKUP($A5255,product!A:A,product!E:E)</f>
        <v>1.92</v>
      </c>
      <c r="J5255" s="25">
        <f t="shared" si="2"/>
        <v>683.52</v>
      </c>
      <c r="K5255" s="27">
        <f t="shared" si="3"/>
        <v>1</v>
      </c>
      <c r="L5255" s="25">
        <f t="shared" si="4"/>
        <v>1</v>
      </c>
    </row>
    <row r="5256">
      <c r="A5256" s="19">
        <v>99038.0</v>
      </c>
      <c r="B5256" s="20" t="str">
        <f t="array" ref="B5256">xlookup($A5256,product!$A:$A,product!B:B)</f>
        <v>Alimentation Bébé</v>
      </c>
      <c r="C5256" s="20" t="str">
        <f t="array" ref="C5256">xlookup($A5256,product!$A:$A,product!C:C)</f>
        <v>Petits pots bébé du midi</v>
      </c>
      <c r="D5256" s="20" t="str">
        <f t="array" ref="D5256">xlookup($A5256,product!$A:$A,product!D:D)</f>
        <v>Assiettes midi bébé 15-18 mois</v>
      </c>
      <c r="E5256" s="4" t="str">
        <f t="shared" si="1"/>
        <v>99038-Petits pots bébé du midi-Assiettes midi bébé 15-18 mois</v>
      </c>
      <c r="F5256" s="4">
        <v>0.0</v>
      </c>
      <c r="G5256" s="4">
        <v>86.0</v>
      </c>
      <c r="H5256" s="4">
        <v>12.0</v>
      </c>
      <c r="I5256" s="21">
        <f t="array" ref="I5256">XLOOKUP($A5256,product!A:A,product!E:E)</f>
        <v>1.68</v>
      </c>
      <c r="J5256" s="4">
        <f t="shared" si="2"/>
        <v>20.16</v>
      </c>
      <c r="K5256" s="22">
        <f t="shared" si="3"/>
        <v>1</v>
      </c>
      <c r="L5256" s="4">
        <f t="shared" si="4"/>
        <v>1</v>
      </c>
    </row>
    <row r="5257">
      <c r="A5257" s="23">
        <v>11071.0</v>
      </c>
      <c r="B5257" s="24" t="str">
        <f t="array" ref="B5257">xlookup($A5257,product!$A:$A,product!B:B)</f>
        <v>Alimentation Bébé</v>
      </c>
      <c r="C5257" s="24" t="str">
        <f t="array" ref="C5257">xlookup($A5257,product!$A:$A,product!C:C)</f>
        <v>Petits pots bébé du midi</v>
      </c>
      <c r="D5257" s="24" t="str">
        <f t="array" ref="D5257">xlookup($A5257,product!$A:$A,product!D:D)</f>
        <v>Assiettes midi bébé 15-18 mois</v>
      </c>
      <c r="E5257" s="25" t="str">
        <f t="shared" si="1"/>
        <v>11071-Petits pots bébé du midi-Assiettes midi bébé 15-18 mois</v>
      </c>
      <c r="F5257" s="25">
        <v>0.0</v>
      </c>
      <c r="G5257" s="25">
        <v>61.0</v>
      </c>
      <c r="H5257" s="25">
        <v>38.0</v>
      </c>
      <c r="I5257" s="26">
        <f t="array" ref="I5257">XLOOKUP($A5257,product!A:A,product!E:E)</f>
        <v>1.75</v>
      </c>
      <c r="J5257" s="25">
        <f t="shared" si="2"/>
        <v>66.5</v>
      </c>
      <c r="K5257" s="27">
        <f t="shared" si="3"/>
        <v>1</v>
      </c>
      <c r="L5257" s="25">
        <f t="shared" si="4"/>
        <v>1</v>
      </c>
    </row>
    <row r="5258">
      <c r="A5258" s="19">
        <v>17066.0</v>
      </c>
      <c r="B5258" s="20" t="str">
        <f t="array" ref="B5258">xlookup($A5258,product!$A:$A,product!B:B)</f>
        <v>Alimentation Bébé</v>
      </c>
      <c r="C5258" s="20" t="str">
        <f t="array" ref="C5258">xlookup($A5258,product!$A:$A,product!C:C)</f>
        <v>Petits pots bébé du midi</v>
      </c>
      <c r="D5258" s="20" t="str">
        <f t="array" ref="D5258">xlookup($A5258,product!$A:$A,product!D:D)</f>
        <v>Assiettes midi bébé 15-18 mois</v>
      </c>
      <c r="E5258" s="4" t="str">
        <f t="shared" si="1"/>
        <v>17066-Petits pots bébé du midi-Assiettes midi bébé 15-18 mois</v>
      </c>
      <c r="F5258" s="4">
        <v>0.0</v>
      </c>
      <c r="G5258" s="4">
        <v>161.0</v>
      </c>
      <c r="H5258" s="4">
        <v>74.0</v>
      </c>
      <c r="I5258" s="21">
        <f t="array" ref="I5258">XLOOKUP($A5258,product!A:A,product!E:E)</f>
        <v>1.68</v>
      </c>
      <c r="J5258" s="4">
        <f t="shared" si="2"/>
        <v>124.32</v>
      </c>
      <c r="K5258" s="22">
        <f t="shared" si="3"/>
        <v>1</v>
      </c>
      <c r="L5258" s="4">
        <f t="shared" si="4"/>
        <v>1</v>
      </c>
    </row>
    <row r="5259">
      <c r="A5259" s="23">
        <v>117649.0</v>
      </c>
      <c r="B5259" s="24" t="str">
        <f t="array" ref="B5259">xlookup($A5259,product!$A:$A,product!B:B)</f>
        <v>Alimentation Bébé</v>
      </c>
      <c r="C5259" s="24" t="str">
        <f t="array" ref="C5259">xlookup($A5259,product!$A:$A,product!C:C)</f>
        <v>Petits pots bébé du midi</v>
      </c>
      <c r="D5259" s="24" t="str">
        <f t="array" ref="D5259">xlookup($A5259,product!$A:$A,product!D:D)</f>
        <v>Assiettes midi bébé 15-18 mois</v>
      </c>
      <c r="E5259" s="25" t="str">
        <f t="shared" si="1"/>
        <v>117649-Petits pots bébé du midi-Assiettes midi bébé 15-18 mois</v>
      </c>
      <c r="F5259" s="25">
        <v>0.0</v>
      </c>
      <c r="G5259" s="25">
        <v>248.0</v>
      </c>
      <c r="H5259" s="25">
        <v>229.0</v>
      </c>
      <c r="I5259" s="26">
        <f t="array" ref="I5259">XLOOKUP($A5259,product!A:A,product!E:E)</f>
        <v>2.43</v>
      </c>
      <c r="J5259" s="25">
        <f t="shared" si="2"/>
        <v>556.47</v>
      </c>
      <c r="K5259" s="27">
        <f t="shared" si="3"/>
        <v>1</v>
      </c>
      <c r="L5259" s="25">
        <f t="shared" si="4"/>
        <v>1</v>
      </c>
    </row>
    <row r="5260">
      <c r="A5260" s="19">
        <v>70426.0</v>
      </c>
      <c r="B5260" s="20" t="str">
        <f t="array" ref="B5260">xlookup($A5260,product!$A:$A,product!B:B)</f>
        <v>Alimentation Bébé</v>
      </c>
      <c r="C5260" s="20" t="str">
        <f t="array" ref="C5260">xlookup($A5260,product!$A:$A,product!C:C)</f>
        <v>Petits pots bébé du midi</v>
      </c>
      <c r="D5260" s="20" t="str">
        <f t="array" ref="D5260">xlookup($A5260,product!$A:$A,product!D:D)</f>
        <v>Assiettes midi bébé 15-18 mois</v>
      </c>
      <c r="E5260" s="4" t="str">
        <f t="shared" si="1"/>
        <v>70426-Petits pots bébé du midi-Assiettes midi bébé 15-18 mois</v>
      </c>
      <c r="F5260" s="4">
        <v>0.0</v>
      </c>
      <c r="G5260" s="4">
        <v>582.0</v>
      </c>
      <c r="H5260" s="4">
        <v>226.0</v>
      </c>
      <c r="I5260" s="21">
        <f t="array" ref="I5260">XLOOKUP($A5260,product!A:A,product!E:E)</f>
        <v>1.92</v>
      </c>
      <c r="J5260" s="4">
        <f t="shared" si="2"/>
        <v>433.92</v>
      </c>
      <c r="K5260" s="22">
        <f t="shared" si="3"/>
        <v>1</v>
      </c>
      <c r="L5260" s="4">
        <f t="shared" si="4"/>
        <v>1</v>
      </c>
    </row>
    <row r="5261">
      <c r="A5261" s="23">
        <v>75750.0</v>
      </c>
      <c r="B5261" s="24" t="str">
        <f t="array" ref="B5261">xlookup($A5261,product!$A:$A,product!B:B)</f>
        <v>Alimentation Bébé</v>
      </c>
      <c r="C5261" s="24" t="str">
        <f t="array" ref="C5261">xlookup($A5261,product!$A:$A,product!C:C)</f>
        <v>Petits pots bébé du midi</v>
      </c>
      <c r="D5261" s="24" t="str">
        <f t="array" ref="D5261">xlookup($A5261,product!$A:$A,product!D:D)</f>
        <v>Assiettes midi bébé 15-18 mois</v>
      </c>
      <c r="E5261" s="25" t="str">
        <f t="shared" si="1"/>
        <v>75750-Petits pots bébé du midi-Assiettes midi bébé 15-18 mois</v>
      </c>
      <c r="F5261" s="25">
        <v>1.0</v>
      </c>
      <c r="G5261" s="25">
        <v>893.0</v>
      </c>
      <c r="H5261" s="25">
        <v>259.0</v>
      </c>
      <c r="I5261" s="26">
        <f t="array" ref="I5261">XLOOKUP($A5261,product!A:A,product!E:E)</f>
        <v>2.08</v>
      </c>
      <c r="J5261" s="25">
        <f t="shared" si="2"/>
        <v>538.72</v>
      </c>
      <c r="K5261" s="27">
        <f t="shared" si="3"/>
        <v>1</v>
      </c>
      <c r="L5261" s="25">
        <f t="shared" si="4"/>
        <v>1</v>
      </c>
    </row>
    <row r="5262">
      <c r="A5262" s="19">
        <v>117644.0</v>
      </c>
      <c r="B5262" s="20" t="str">
        <f t="array" ref="B5262">xlookup($A5262,product!$A:$A,product!B:B)</f>
        <v>Alimentation Bébé</v>
      </c>
      <c r="C5262" s="20" t="str">
        <f t="array" ref="C5262">xlookup($A5262,product!$A:$A,product!C:C)</f>
        <v>Petits pots bébé du midi</v>
      </c>
      <c r="D5262" s="20" t="str">
        <f t="array" ref="D5262">xlookup($A5262,product!$A:$A,product!D:D)</f>
        <v>Assiettes midi bébé 15-18 mois</v>
      </c>
      <c r="E5262" s="4" t="str">
        <f t="shared" si="1"/>
        <v>117644-Petits pots bébé du midi-Assiettes midi bébé 15-18 mois</v>
      </c>
      <c r="F5262" s="4">
        <v>0.0</v>
      </c>
      <c r="G5262" s="4">
        <v>913.0</v>
      </c>
      <c r="H5262" s="4">
        <v>166.0</v>
      </c>
      <c r="I5262" s="21">
        <f t="array" ref="I5262">XLOOKUP($A5262,product!A:A,product!E:E)</f>
        <v>2.43</v>
      </c>
      <c r="J5262" s="4">
        <f t="shared" si="2"/>
        <v>403.38</v>
      </c>
      <c r="K5262" s="22">
        <f t="shared" si="3"/>
        <v>1</v>
      </c>
      <c r="L5262" s="4">
        <f t="shared" si="4"/>
        <v>1</v>
      </c>
    </row>
    <row r="5263">
      <c r="A5263" s="23">
        <v>68512.0</v>
      </c>
      <c r="B5263" s="24" t="str">
        <f t="array" ref="B5263">xlookup($A5263,product!$A:$A,product!B:B)</f>
        <v>Alimentation Bébé</v>
      </c>
      <c r="C5263" s="24" t="str">
        <f t="array" ref="C5263">xlookup($A5263,product!$A:$A,product!C:C)</f>
        <v>Petits pots bébé du midi</v>
      </c>
      <c r="D5263" s="24" t="str">
        <f t="array" ref="D5263">xlookup($A5263,product!$A:$A,product!D:D)</f>
        <v>Assiettes midi bébé 15-18 mois</v>
      </c>
      <c r="E5263" s="25" t="str">
        <f t="shared" si="1"/>
        <v>68512-Petits pots bébé du midi-Assiettes midi bébé 15-18 mois</v>
      </c>
      <c r="F5263" s="25">
        <v>1.0</v>
      </c>
      <c r="G5263" s="25">
        <v>534.0</v>
      </c>
      <c r="H5263" s="25">
        <v>330.0</v>
      </c>
      <c r="I5263" s="26">
        <f t="array" ref="I5263">XLOOKUP($A5263,product!A:A,product!E:E)</f>
        <v>1.75</v>
      </c>
      <c r="J5263" s="25">
        <f t="shared" si="2"/>
        <v>577.5</v>
      </c>
      <c r="K5263" s="27">
        <f t="shared" si="3"/>
        <v>1</v>
      </c>
      <c r="L5263" s="25">
        <f t="shared" si="4"/>
        <v>1</v>
      </c>
    </row>
    <row r="5264">
      <c r="A5264" s="19">
        <v>12792.0</v>
      </c>
      <c r="B5264" s="20" t="str">
        <f t="array" ref="B5264">xlookup($A5264,product!$A:$A,product!B:B)</f>
        <v>Alimentation Bébé</v>
      </c>
      <c r="C5264" s="20" t="str">
        <f t="array" ref="C5264">xlookup($A5264,product!$A:$A,product!C:C)</f>
        <v>Petits pots bébé du midi</v>
      </c>
      <c r="D5264" s="20" t="str">
        <f t="array" ref="D5264">xlookup($A5264,product!$A:$A,product!D:D)</f>
        <v>Sachets cuisinés bébé 6-8 mois</v>
      </c>
      <c r="E5264" s="4" t="str">
        <f t="shared" si="1"/>
        <v>12792-Petits pots bébé du midi-Sachets cuisinés bébé 6-8 mois</v>
      </c>
      <c r="F5264" s="4">
        <v>0.0</v>
      </c>
      <c r="G5264" s="4">
        <v>322.0</v>
      </c>
      <c r="H5264" s="4">
        <v>30.0</v>
      </c>
      <c r="I5264" s="21">
        <f t="array" ref="I5264">XLOOKUP($A5264,product!A:A,product!E:E)</f>
        <v>2.31</v>
      </c>
      <c r="J5264" s="4">
        <f t="shared" si="2"/>
        <v>69.3</v>
      </c>
      <c r="K5264" s="22">
        <f t="shared" si="3"/>
        <v>1</v>
      </c>
      <c r="L5264" s="4">
        <f t="shared" si="4"/>
        <v>1</v>
      </c>
    </row>
    <row r="5265">
      <c r="A5265" s="23">
        <v>46684.0</v>
      </c>
      <c r="B5265" s="24" t="str">
        <f t="array" ref="B5265">xlookup($A5265,product!$A:$A,product!B:B)</f>
        <v>Alimentation Bébé</v>
      </c>
      <c r="C5265" s="24" t="str">
        <f t="array" ref="C5265">xlookup($A5265,product!$A:$A,product!C:C)</f>
        <v>Petits pots bébé du midi</v>
      </c>
      <c r="D5265" s="24" t="str">
        <f t="array" ref="D5265">xlookup($A5265,product!$A:$A,product!D:D)</f>
        <v>Sachets cuisinés bébé 6-8 mois</v>
      </c>
      <c r="E5265" s="25" t="str">
        <f t="shared" si="1"/>
        <v>46684-Petits pots bébé du midi-Sachets cuisinés bébé 6-8 mois</v>
      </c>
      <c r="F5265" s="25">
        <v>1.0</v>
      </c>
      <c r="G5265" s="25">
        <v>484.0</v>
      </c>
      <c r="H5265" s="25">
        <v>175.0</v>
      </c>
      <c r="I5265" s="26">
        <f t="array" ref="I5265">XLOOKUP($A5265,product!A:A,product!E:E)</f>
        <v>2.31</v>
      </c>
      <c r="J5265" s="25">
        <f t="shared" si="2"/>
        <v>404.25</v>
      </c>
      <c r="K5265" s="27">
        <f t="shared" si="3"/>
        <v>1</v>
      </c>
      <c r="L5265" s="25">
        <f t="shared" si="4"/>
        <v>1</v>
      </c>
    </row>
    <row r="5266">
      <c r="A5266" s="19">
        <v>12795.0</v>
      </c>
      <c r="B5266" s="20" t="str">
        <f t="array" ref="B5266">xlookup($A5266,product!$A:$A,product!B:B)</f>
        <v>Alimentation Bébé</v>
      </c>
      <c r="C5266" s="20" t="str">
        <f t="array" ref="C5266">xlookup($A5266,product!$A:$A,product!C:C)</f>
        <v>Petits pots bébé du midi</v>
      </c>
      <c r="D5266" s="20" t="str">
        <f t="array" ref="D5266">xlookup($A5266,product!$A:$A,product!D:D)</f>
        <v>Sachets cuisinés bébé 6-8 mois</v>
      </c>
      <c r="E5266" s="4" t="str">
        <f t="shared" si="1"/>
        <v>12795-Petits pots bébé du midi-Sachets cuisinés bébé 6-8 mois</v>
      </c>
      <c r="F5266" s="4">
        <v>0.0</v>
      </c>
      <c r="G5266" s="4">
        <v>637.0</v>
      </c>
      <c r="H5266" s="4">
        <v>67.0</v>
      </c>
      <c r="I5266" s="21">
        <f t="array" ref="I5266">XLOOKUP($A5266,product!A:A,product!E:E)</f>
        <v>2.31</v>
      </c>
      <c r="J5266" s="4">
        <f t="shared" si="2"/>
        <v>154.77</v>
      </c>
      <c r="K5266" s="22">
        <f t="shared" si="3"/>
        <v>1</v>
      </c>
      <c r="L5266" s="4">
        <f t="shared" si="4"/>
        <v>1</v>
      </c>
    </row>
    <row r="5267">
      <c r="A5267" s="23">
        <v>46686.0</v>
      </c>
      <c r="B5267" s="24" t="str">
        <f t="array" ref="B5267">xlookup($A5267,product!$A:$A,product!B:B)</f>
        <v>Alimentation Bébé</v>
      </c>
      <c r="C5267" s="24" t="str">
        <f t="array" ref="C5267">xlookup($A5267,product!$A:$A,product!C:C)</f>
        <v>Petits pots bébé du midi</v>
      </c>
      <c r="D5267" s="24" t="str">
        <f t="array" ref="D5267">xlookup($A5267,product!$A:$A,product!D:D)</f>
        <v>Sachets cuisinés bébé 6-8 mois</v>
      </c>
      <c r="E5267" s="25" t="str">
        <f t="shared" si="1"/>
        <v>46686-Petits pots bébé du midi-Sachets cuisinés bébé 6-8 mois</v>
      </c>
      <c r="F5267" s="25">
        <v>1.0</v>
      </c>
      <c r="G5267" s="25">
        <v>502.0</v>
      </c>
      <c r="H5267" s="25">
        <v>141.0</v>
      </c>
      <c r="I5267" s="26">
        <f t="array" ref="I5267">XLOOKUP($A5267,product!A:A,product!E:E)</f>
        <v>2.31</v>
      </c>
      <c r="J5267" s="25">
        <f t="shared" si="2"/>
        <v>325.71</v>
      </c>
      <c r="K5267" s="27">
        <f t="shared" si="3"/>
        <v>1</v>
      </c>
      <c r="L5267" s="25">
        <f t="shared" si="4"/>
        <v>1</v>
      </c>
    </row>
    <row r="5268">
      <c r="A5268" s="19">
        <v>12804.0</v>
      </c>
      <c r="B5268" s="20" t="str">
        <f t="array" ref="B5268">xlookup($A5268,product!$A:$A,product!B:B)</f>
        <v>Alimentation Bébé</v>
      </c>
      <c r="C5268" s="20" t="str">
        <f t="array" ref="C5268">xlookup($A5268,product!$A:$A,product!C:C)</f>
        <v>Petits pots bébé du midi</v>
      </c>
      <c r="D5268" s="20" t="str">
        <f t="array" ref="D5268">xlookup($A5268,product!$A:$A,product!D:D)</f>
        <v>Sachets cuisinés bébé 6-8 mois</v>
      </c>
      <c r="E5268" s="4" t="str">
        <f t="shared" si="1"/>
        <v>12804-Petits pots bébé du midi-Sachets cuisinés bébé 6-8 mois</v>
      </c>
      <c r="F5268" s="4">
        <v>1.0</v>
      </c>
      <c r="G5268" s="4">
        <v>881.0</v>
      </c>
      <c r="H5268" s="4">
        <v>136.0</v>
      </c>
      <c r="I5268" s="21">
        <f t="array" ref="I5268">XLOOKUP($A5268,product!A:A,product!E:E)</f>
        <v>1.93</v>
      </c>
      <c r="J5268" s="4">
        <f t="shared" si="2"/>
        <v>262.48</v>
      </c>
      <c r="K5268" s="22">
        <f t="shared" si="3"/>
        <v>1</v>
      </c>
      <c r="L5268" s="4">
        <f t="shared" si="4"/>
        <v>1</v>
      </c>
    </row>
    <row r="5269">
      <c r="A5269" s="23">
        <v>12799.0</v>
      </c>
      <c r="B5269" s="24" t="str">
        <f t="array" ref="B5269">xlookup($A5269,product!$A:$A,product!B:B)</f>
        <v>Alimentation Bébé</v>
      </c>
      <c r="C5269" s="24" t="str">
        <f t="array" ref="C5269">xlookup($A5269,product!$A:$A,product!C:C)</f>
        <v>Petits pots bébé du midi</v>
      </c>
      <c r="D5269" s="24" t="str">
        <f t="array" ref="D5269">xlookup($A5269,product!$A:$A,product!D:D)</f>
        <v>Sachets cuisinés bébé 6-8 mois</v>
      </c>
      <c r="E5269" s="25" t="str">
        <f t="shared" si="1"/>
        <v>12799-Petits pots bébé du midi-Sachets cuisinés bébé 6-8 mois</v>
      </c>
      <c r="F5269" s="25">
        <v>0.0</v>
      </c>
      <c r="G5269" s="25">
        <v>454.0</v>
      </c>
      <c r="H5269" s="25">
        <v>152.0</v>
      </c>
      <c r="I5269" s="26">
        <f t="array" ref="I5269">XLOOKUP($A5269,product!A:A,product!E:E)</f>
        <v>2.17</v>
      </c>
      <c r="J5269" s="25">
        <f t="shared" si="2"/>
        <v>329.84</v>
      </c>
      <c r="K5269" s="27">
        <f t="shared" si="3"/>
        <v>1</v>
      </c>
      <c r="L5269" s="25">
        <f t="shared" si="4"/>
        <v>1</v>
      </c>
    </row>
    <row r="5270">
      <c r="A5270" s="19">
        <v>100914.0</v>
      </c>
      <c r="B5270" s="20" t="str">
        <f t="array" ref="B5270">xlookup($A5270,product!$A:$A,product!B:B)</f>
        <v>Alimentation Bébé</v>
      </c>
      <c r="C5270" s="20" t="str">
        <f t="array" ref="C5270">xlookup($A5270,product!$A:$A,product!C:C)</f>
        <v>Petits pots bébé du midi</v>
      </c>
      <c r="D5270" s="20" t="str">
        <f t="array" ref="D5270">xlookup($A5270,product!$A:$A,product!D:D)</f>
        <v>Sachets cuisinés bébé 6-8 mois</v>
      </c>
      <c r="E5270" s="4" t="str">
        <f t="shared" si="1"/>
        <v>100914-Petits pots bébé du midi-Sachets cuisinés bébé 6-8 mois</v>
      </c>
      <c r="F5270" s="4">
        <v>0.0</v>
      </c>
      <c r="G5270" s="4">
        <v>47.0</v>
      </c>
      <c r="H5270" s="4">
        <v>23.0</v>
      </c>
      <c r="I5270" s="21">
        <f t="array" ref="I5270">XLOOKUP($A5270,product!A:A,product!E:E)</f>
        <v>2.29</v>
      </c>
      <c r="J5270" s="4">
        <f t="shared" si="2"/>
        <v>52.67</v>
      </c>
      <c r="K5270" s="22">
        <f t="shared" si="3"/>
        <v>1</v>
      </c>
      <c r="L5270" s="4">
        <f t="shared" si="4"/>
        <v>1</v>
      </c>
    </row>
    <row r="5271">
      <c r="A5271" s="23">
        <v>12802.0</v>
      </c>
      <c r="B5271" s="24" t="str">
        <f t="array" ref="B5271">xlookup($A5271,product!$A:$A,product!B:B)</f>
        <v>Alimentation Bébé</v>
      </c>
      <c r="C5271" s="24" t="str">
        <f t="array" ref="C5271">xlookup($A5271,product!$A:$A,product!C:C)</f>
        <v>Petits pots bébé du midi</v>
      </c>
      <c r="D5271" s="24" t="str">
        <f t="array" ref="D5271">xlookup($A5271,product!$A:$A,product!D:D)</f>
        <v>Sachets cuisinés bébé 6-8 mois</v>
      </c>
      <c r="E5271" s="25" t="str">
        <f t="shared" si="1"/>
        <v>12802-Petits pots bébé du midi-Sachets cuisinés bébé 6-8 mois</v>
      </c>
      <c r="F5271" s="25">
        <v>0.0</v>
      </c>
      <c r="G5271" s="25">
        <v>692.0</v>
      </c>
      <c r="H5271" s="25">
        <v>645.0</v>
      </c>
      <c r="I5271" s="26">
        <f t="array" ref="I5271">XLOOKUP($A5271,product!A:A,product!E:E)</f>
        <v>1.95</v>
      </c>
      <c r="J5271" s="25">
        <f t="shared" si="2"/>
        <v>1257.75</v>
      </c>
      <c r="K5271" s="27">
        <f t="shared" si="3"/>
        <v>1</v>
      </c>
      <c r="L5271" s="25">
        <f t="shared" si="4"/>
        <v>1</v>
      </c>
    </row>
    <row r="5272">
      <c r="A5272" s="19">
        <v>100907.0</v>
      </c>
      <c r="B5272" s="20" t="str">
        <f t="array" ref="B5272">xlookup($A5272,product!$A:$A,product!B:B)</f>
        <v>Alimentation Bébé</v>
      </c>
      <c r="C5272" s="20" t="str">
        <f t="array" ref="C5272">xlookup($A5272,product!$A:$A,product!C:C)</f>
        <v>Petits pots bébé du midi</v>
      </c>
      <c r="D5272" s="20" t="str">
        <f t="array" ref="D5272">xlookup($A5272,product!$A:$A,product!D:D)</f>
        <v>Sachets cuisinés bébé 6-8 mois</v>
      </c>
      <c r="E5272" s="4" t="str">
        <f t="shared" si="1"/>
        <v>100907-Petits pots bébé du midi-Sachets cuisinés bébé 6-8 mois</v>
      </c>
      <c r="F5272" s="4">
        <v>1.0</v>
      </c>
      <c r="G5272" s="4">
        <v>659.0</v>
      </c>
      <c r="H5272" s="4">
        <v>205.0</v>
      </c>
      <c r="I5272" s="21">
        <f t="array" ref="I5272">XLOOKUP($A5272,product!A:A,product!E:E)</f>
        <v>2.31</v>
      </c>
      <c r="J5272" s="4">
        <f t="shared" si="2"/>
        <v>473.55</v>
      </c>
      <c r="K5272" s="22">
        <f t="shared" si="3"/>
        <v>1</v>
      </c>
      <c r="L5272" s="4">
        <f t="shared" si="4"/>
        <v>1</v>
      </c>
    </row>
    <row r="5273">
      <c r="A5273" s="23">
        <v>12794.0</v>
      </c>
      <c r="B5273" s="24" t="str">
        <f t="array" ref="B5273">xlookup($A5273,product!$A:$A,product!B:B)</f>
        <v>Alimentation Bébé</v>
      </c>
      <c r="C5273" s="24" t="str">
        <f t="array" ref="C5273">xlookup($A5273,product!$A:$A,product!C:C)</f>
        <v>Petits pots bébé du midi</v>
      </c>
      <c r="D5273" s="24" t="str">
        <f t="array" ref="D5273">xlookup($A5273,product!$A:$A,product!D:D)</f>
        <v>Sachets cuisinés bébé 6-8 mois</v>
      </c>
      <c r="E5273" s="25" t="str">
        <f t="shared" si="1"/>
        <v>12794-Petits pots bébé du midi-Sachets cuisinés bébé 6-8 mois</v>
      </c>
      <c r="F5273" s="25">
        <v>0.0</v>
      </c>
      <c r="G5273" s="25">
        <v>808.0</v>
      </c>
      <c r="H5273" s="25">
        <v>232.0</v>
      </c>
      <c r="I5273" s="26">
        <f t="array" ref="I5273">XLOOKUP($A5273,product!A:A,product!E:E)</f>
        <v>1.95</v>
      </c>
      <c r="J5273" s="25">
        <f t="shared" si="2"/>
        <v>452.4</v>
      </c>
      <c r="K5273" s="27">
        <f t="shared" si="3"/>
        <v>1</v>
      </c>
      <c r="L5273" s="25">
        <f t="shared" si="4"/>
        <v>1</v>
      </c>
    </row>
    <row r="5274">
      <c r="A5274" s="19">
        <v>4261.0</v>
      </c>
      <c r="B5274" s="20" t="str">
        <f t="array" ref="B5274">xlookup($A5274,product!$A:$A,product!B:B)</f>
        <v>Alimentation Bébé</v>
      </c>
      <c r="C5274" s="20" t="str">
        <f t="array" ref="C5274">xlookup($A5274,product!$A:$A,product!C:C)</f>
        <v>Petits pots bébé du soir</v>
      </c>
      <c r="D5274" s="20" t="str">
        <f t="array" ref="D5274">xlookup($A5274,product!$A:$A,product!D:D)</f>
        <v>Petits pots soir 4-6 mois</v>
      </c>
      <c r="E5274" s="4" t="str">
        <f t="shared" si="1"/>
        <v>4261-Petits pots bébé du soir-Petits pots soir 4-6 mois</v>
      </c>
      <c r="F5274" s="4">
        <v>1.0</v>
      </c>
      <c r="G5274" s="4">
        <v>840.0</v>
      </c>
      <c r="H5274" s="4">
        <v>239.0</v>
      </c>
      <c r="I5274" s="21">
        <f t="array" ref="I5274">XLOOKUP($A5274,product!A:A,product!E:E)</f>
        <v>2.26</v>
      </c>
      <c r="J5274" s="4">
        <f t="shared" si="2"/>
        <v>540.14</v>
      </c>
      <c r="K5274" s="22">
        <f t="shared" si="3"/>
        <v>1</v>
      </c>
      <c r="L5274" s="4">
        <f t="shared" si="4"/>
        <v>1</v>
      </c>
    </row>
    <row r="5275">
      <c r="A5275" s="23">
        <v>9656.0</v>
      </c>
      <c r="B5275" s="24" t="str">
        <f t="array" ref="B5275">xlookup($A5275,product!$A:$A,product!B:B)</f>
        <v>Alimentation Bébé</v>
      </c>
      <c r="C5275" s="24" t="str">
        <f t="array" ref="C5275">xlookup($A5275,product!$A:$A,product!C:C)</f>
        <v>Petits pots bébé du soir</v>
      </c>
      <c r="D5275" s="24" t="str">
        <f t="array" ref="D5275">xlookup($A5275,product!$A:$A,product!D:D)</f>
        <v>Petits pots soir 4-6 mois</v>
      </c>
      <c r="E5275" s="25" t="str">
        <f t="shared" si="1"/>
        <v>9656-Petits pots bébé du soir-Petits pots soir 4-6 mois</v>
      </c>
      <c r="F5275" s="25">
        <v>1.0</v>
      </c>
      <c r="G5275" s="25">
        <v>508.0</v>
      </c>
      <c r="H5275" s="25">
        <v>390.0</v>
      </c>
      <c r="I5275" s="26">
        <f t="array" ref="I5275">XLOOKUP($A5275,product!A:A,product!E:E)</f>
        <v>2.1</v>
      </c>
      <c r="J5275" s="25">
        <f t="shared" si="2"/>
        <v>819</v>
      </c>
      <c r="K5275" s="27">
        <f t="shared" si="3"/>
        <v>1</v>
      </c>
      <c r="L5275" s="25">
        <f t="shared" si="4"/>
        <v>1</v>
      </c>
    </row>
    <row r="5276">
      <c r="A5276" s="19">
        <v>9657.0</v>
      </c>
      <c r="B5276" s="20" t="str">
        <f t="array" ref="B5276">xlookup($A5276,product!$A:$A,product!B:B)</f>
        <v>Alimentation Bébé</v>
      </c>
      <c r="C5276" s="20" t="str">
        <f t="array" ref="C5276">xlookup($A5276,product!$A:$A,product!C:C)</f>
        <v>Petits pots bébé du soir</v>
      </c>
      <c r="D5276" s="20" t="str">
        <f t="array" ref="D5276">xlookup($A5276,product!$A:$A,product!D:D)</f>
        <v>Petits pots soir 4-6 mois</v>
      </c>
      <c r="E5276" s="4" t="str">
        <f t="shared" si="1"/>
        <v>9657-Petits pots bébé du soir-Petits pots soir 4-6 mois</v>
      </c>
      <c r="F5276" s="4">
        <v>1.0</v>
      </c>
      <c r="G5276" s="4">
        <v>617.0</v>
      </c>
      <c r="H5276" s="4">
        <v>303.0</v>
      </c>
      <c r="I5276" s="21">
        <f t="array" ref="I5276">XLOOKUP($A5276,product!A:A,product!E:E)</f>
        <v>2.1</v>
      </c>
      <c r="J5276" s="4">
        <f t="shared" si="2"/>
        <v>636.3</v>
      </c>
      <c r="K5276" s="22">
        <f t="shared" si="3"/>
        <v>1</v>
      </c>
      <c r="L5276" s="4">
        <f t="shared" si="4"/>
        <v>1</v>
      </c>
    </row>
    <row r="5277">
      <c r="A5277" s="23">
        <v>9660.0</v>
      </c>
      <c r="B5277" s="24" t="str">
        <f t="array" ref="B5277">xlookup($A5277,product!$A:$A,product!B:B)</f>
        <v>Alimentation Bébé</v>
      </c>
      <c r="C5277" s="24" t="str">
        <f t="array" ref="C5277">xlookup($A5277,product!$A:$A,product!C:C)</f>
        <v>Petits pots bébé du soir</v>
      </c>
      <c r="D5277" s="24" t="str">
        <f t="array" ref="D5277">xlookup($A5277,product!$A:$A,product!D:D)</f>
        <v>Petits pots soir 4-6 mois</v>
      </c>
      <c r="E5277" s="25" t="str">
        <f t="shared" si="1"/>
        <v>9660-Petits pots bébé du soir-Petits pots soir 4-6 mois</v>
      </c>
      <c r="F5277" s="25">
        <v>0.0</v>
      </c>
      <c r="G5277" s="25">
        <v>757.0</v>
      </c>
      <c r="H5277" s="25">
        <v>633.0</v>
      </c>
      <c r="I5277" s="26">
        <f t="array" ref="I5277">XLOOKUP($A5277,product!A:A,product!E:E)</f>
        <v>2.1</v>
      </c>
      <c r="J5277" s="25">
        <f t="shared" si="2"/>
        <v>1329.3</v>
      </c>
      <c r="K5277" s="27">
        <f t="shared" si="3"/>
        <v>1</v>
      </c>
      <c r="L5277" s="25">
        <f t="shared" si="4"/>
        <v>1</v>
      </c>
    </row>
    <row r="5278">
      <c r="A5278" s="19">
        <v>9648.0</v>
      </c>
      <c r="B5278" s="20" t="str">
        <f t="array" ref="B5278">xlookup($A5278,product!$A:$A,product!B:B)</f>
        <v>Alimentation Bébé</v>
      </c>
      <c r="C5278" s="20" t="str">
        <f t="array" ref="C5278">xlookup($A5278,product!$A:$A,product!C:C)</f>
        <v>Petits pots bébé du soir</v>
      </c>
      <c r="D5278" s="20" t="str">
        <f t="array" ref="D5278">xlookup($A5278,product!$A:$A,product!D:D)</f>
        <v>Petits pots soir 8-12 mois</v>
      </c>
      <c r="E5278" s="4" t="str">
        <f t="shared" si="1"/>
        <v>9648-Petits pots bébé du soir-Petits pots soir 8-12 mois</v>
      </c>
      <c r="F5278" s="4">
        <v>0.0</v>
      </c>
      <c r="G5278" s="4">
        <v>951.0</v>
      </c>
      <c r="H5278" s="4">
        <v>187.0</v>
      </c>
      <c r="I5278" s="21">
        <f t="array" ref="I5278">XLOOKUP($A5278,product!A:A,product!E:E)</f>
        <v>2.1</v>
      </c>
      <c r="J5278" s="4">
        <f t="shared" si="2"/>
        <v>392.7</v>
      </c>
      <c r="K5278" s="22">
        <f t="shared" si="3"/>
        <v>1</v>
      </c>
      <c r="L5278" s="4">
        <f t="shared" si="4"/>
        <v>1</v>
      </c>
    </row>
    <row r="5279">
      <c r="A5279" s="23">
        <v>79424.0</v>
      </c>
      <c r="B5279" s="24" t="str">
        <f t="array" ref="B5279">xlookup($A5279,product!$A:$A,product!B:B)</f>
        <v>Alimentation Bébé</v>
      </c>
      <c r="C5279" s="24" t="str">
        <f t="array" ref="C5279">xlookup($A5279,product!$A:$A,product!C:C)</f>
        <v>Petits pots bébé du soir</v>
      </c>
      <c r="D5279" s="24" t="str">
        <f t="array" ref="D5279">xlookup($A5279,product!$A:$A,product!D:D)</f>
        <v>Petits pots soir 8-12 mois</v>
      </c>
      <c r="E5279" s="25" t="str">
        <f t="shared" si="1"/>
        <v>79424-Petits pots bébé du soir-Petits pots soir 8-12 mois</v>
      </c>
      <c r="F5279" s="25">
        <v>0.0</v>
      </c>
      <c r="G5279" s="25">
        <v>10.0</v>
      </c>
      <c r="H5279" s="25">
        <v>9.0</v>
      </c>
      <c r="I5279" s="26">
        <f t="array" ref="I5279">XLOOKUP($A5279,product!A:A,product!E:E)</f>
        <v>2.1</v>
      </c>
      <c r="J5279" s="25">
        <f t="shared" si="2"/>
        <v>18.9</v>
      </c>
      <c r="K5279" s="27">
        <f t="shared" si="3"/>
        <v>1</v>
      </c>
      <c r="L5279" s="25">
        <f t="shared" si="4"/>
        <v>1</v>
      </c>
    </row>
    <row r="5280">
      <c r="A5280" s="19">
        <v>4267.0</v>
      </c>
      <c r="B5280" s="20" t="str">
        <f t="array" ref="B5280">xlookup($A5280,product!$A:$A,product!B:B)</f>
        <v>Alimentation Bébé</v>
      </c>
      <c r="C5280" s="20" t="str">
        <f t="array" ref="C5280">xlookup($A5280,product!$A:$A,product!C:C)</f>
        <v>Petits pots bébé du soir</v>
      </c>
      <c r="D5280" s="20" t="str">
        <f t="array" ref="D5280">xlookup($A5280,product!$A:$A,product!D:D)</f>
        <v>Petits pots soir 8-12 mois</v>
      </c>
      <c r="E5280" s="4" t="str">
        <f t="shared" si="1"/>
        <v>4267-Petits pots bébé du soir-Petits pots soir 8-12 mois</v>
      </c>
      <c r="F5280" s="4">
        <v>0.0</v>
      </c>
      <c r="G5280" s="4">
        <v>465.0</v>
      </c>
      <c r="H5280" s="4">
        <v>89.0</v>
      </c>
      <c r="I5280" s="21">
        <f t="array" ref="I5280">XLOOKUP($A5280,product!A:A,product!E:E)</f>
        <v>2.26</v>
      </c>
      <c r="J5280" s="4">
        <f t="shared" si="2"/>
        <v>201.14</v>
      </c>
      <c r="K5280" s="22">
        <f t="shared" si="3"/>
        <v>1</v>
      </c>
      <c r="L5280" s="4">
        <f t="shared" si="4"/>
        <v>1</v>
      </c>
    </row>
    <row r="5281">
      <c r="A5281" s="23">
        <v>9647.0</v>
      </c>
      <c r="B5281" s="24" t="str">
        <f t="array" ref="B5281">xlookup($A5281,product!$A:$A,product!B:B)</f>
        <v>Alimentation Bébé</v>
      </c>
      <c r="C5281" s="24" t="str">
        <f t="array" ref="C5281">xlookup($A5281,product!$A:$A,product!C:C)</f>
        <v>Petits pots bébé du soir</v>
      </c>
      <c r="D5281" s="24" t="str">
        <f t="array" ref="D5281">xlookup($A5281,product!$A:$A,product!D:D)</f>
        <v>Petits pots soir 8-12 mois</v>
      </c>
      <c r="E5281" s="25" t="str">
        <f t="shared" si="1"/>
        <v>9647-Petits pots bébé du soir-Petits pots soir 8-12 mois</v>
      </c>
      <c r="F5281" s="25">
        <v>0.0</v>
      </c>
      <c r="G5281" s="25">
        <v>185.0</v>
      </c>
      <c r="H5281" s="25">
        <v>22.0</v>
      </c>
      <c r="I5281" s="26">
        <f t="array" ref="I5281">XLOOKUP($A5281,product!A:A,product!E:E)</f>
        <v>2.1</v>
      </c>
      <c r="J5281" s="25">
        <f t="shared" si="2"/>
        <v>46.2</v>
      </c>
      <c r="K5281" s="27">
        <f t="shared" si="3"/>
        <v>1</v>
      </c>
      <c r="L5281" s="25">
        <f t="shared" si="4"/>
        <v>1</v>
      </c>
    </row>
    <row r="5282">
      <c r="A5282" s="19">
        <v>110772.0</v>
      </c>
      <c r="B5282" s="20" t="str">
        <f t="array" ref="B5282">xlookup($A5282,product!$A:$A,product!B:B)</f>
        <v>Alimentation Bébé</v>
      </c>
      <c r="C5282" s="20" t="str">
        <f t="array" ref="C5282">xlookup($A5282,product!$A:$A,product!C:C)</f>
        <v>Petits pots bébé du soir</v>
      </c>
      <c r="D5282" s="20" t="str">
        <f t="array" ref="D5282">xlookup($A5282,product!$A:$A,product!D:D)</f>
        <v>Petits pots soir 8-12 mois</v>
      </c>
      <c r="E5282" s="4" t="str">
        <f t="shared" si="1"/>
        <v>110772-Petits pots bébé du soir-Petits pots soir 8-12 mois</v>
      </c>
      <c r="F5282" s="4">
        <v>0.0</v>
      </c>
      <c r="G5282" s="4">
        <v>46.0</v>
      </c>
      <c r="H5282" s="4">
        <v>20.0</v>
      </c>
      <c r="I5282" s="21">
        <f t="array" ref="I5282">XLOOKUP($A5282,product!A:A,product!E:E)</f>
        <v>1.12</v>
      </c>
      <c r="J5282" s="4">
        <f t="shared" si="2"/>
        <v>22.4</v>
      </c>
      <c r="K5282" s="22">
        <f t="shared" si="3"/>
        <v>1</v>
      </c>
      <c r="L5282" s="4">
        <f t="shared" si="4"/>
        <v>1</v>
      </c>
    </row>
    <row r="5283">
      <c r="A5283" s="23">
        <v>4255.0</v>
      </c>
      <c r="B5283" s="24" t="str">
        <f t="array" ref="B5283">xlookup($A5283,product!$A:$A,product!B:B)</f>
        <v>Alimentation Bébé</v>
      </c>
      <c r="C5283" s="24" t="str">
        <f t="array" ref="C5283">xlookup($A5283,product!$A:$A,product!C:C)</f>
        <v>Petits pots bébé du soir</v>
      </c>
      <c r="D5283" s="24" t="str">
        <f t="array" ref="D5283">xlookup($A5283,product!$A:$A,product!D:D)</f>
        <v>Petits pots soir 8-12 mois</v>
      </c>
      <c r="E5283" s="25" t="str">
        <f t="shared" si="1"/>
        <v>4255-Petits pots bébé du soir-Petits pots soir 8-12 mois</v>
      </c>
      <c r="F5283" s="25">
        <v>1.0</v>
      </c>
      <c r="G5283" s="25">
        <v>675.0</v>
      </c>
      <c r="H5283" s="25">
        <v>284.0</v>
      </c>
      <c r="I5283" s="26">
        <f t="array" ref="I5283">XLOOKUP($A5283,product!A:A,product!E:E)</f>
        <v>1.99</v>
      </c>
      <c r="J5283" s="25">
        <f t="shared" si="2"/>
        <v>565.16</v>
      </c>
      <c r="K5283" s="27">
        <f t="shared" si="3"/>
        <v>1</v>
      </c>
      <c r="L5283" s="25">
        <f t="shared" si="4"/>
        <v>1</v>
      </c>
    </row>
    <row r="5284">
      <c r="A5284" s="19">
        <v>4270.0</v>
      </c>
      <c r="B5284" s="20" t="str">
        <f t="array" ref="B5284">xlookup($A5284,product!$A:$A,product!B:B)</f>
        <v>Alimentation Bébé</v>
      </c>
      <c r="C5284" s="20" t="str">
        <f t="array" ref="C5284">xlookup($A5284,product!$A:$A,product!C:C)</f>
        <v>Petits pots bébé du soir</v>
      </c>
      <c r="D5284" s="20" t="str">
        <f t="array" ref="D5284">xlookup($A5284,product!$A:$A,product!D:D)</f>
        <v>Petits pots soir 8-12 mois</v>
      </c>
      <c r="E5284" s="4" t="str">
        <f t="shared" si="1"/>
        <v>4270-Petits pots bébé du soir-Petits pots soir 8-12 mois</v>
      </c>
      <c r="F5284" s="4">
        <v>0.0</v>
      </c>
      <c r="G5284" s="4">
        <v>710.0</v>
      </c>
      <c r="H5284" s="4">
        <v>61.0</v>
      </c>
      <c r="I5284" s="21">
        <f t="array" ref="I5284">XLOOKUP($A5284,product!A:A,product!E:E)</f>
        <v>3.19</v>
      </c>
      <c r="J5284" s="4">
        <f t="shared" si="2"/>
        <v>194.59</v>
      </c>
      <c r="K5284" s="22">
        <f t="shared" si="3"/>
        <v>1</v>
      </c>
      <c r="L5284" s="4">
        <f t="shared" si="4"/>
        <v>1</v>
      </c>
    </row>
    <row r="5285">
      <c r="A5285" s="23">
        <v>4264.0</v>
      </c>
      <c r="B5285" s="24" t="str">
        <f t="array" ref="B5285">xlookup($A5285,product!$A:$A,product!B:B)</f>
        <v>Alimentation Bébé</v>
      </c>
      <c r="C5285" s="24" t="str">
        <f t="array" ref="C5285">xlookup($A5285,product!$A:$A,product!C:C)</f>
        <v>Petits pots bébé du soir</v>
      </c>
      <c r="D5285" s="24" t="str">
        <f t="array" ref="D5285">xlookup($A5285,product!$A:$A,product!D:D)</f>
        <v>Petits pots soir 8-12 mois</v>
      </c>
      <c r="E5285" s="25" t="str">
        <f t="shared" si="1"/>
        <v>4264-Petits pots bébé du soir-Petits pots soir 8-12 mois</v>
      </c>
      <c r="F5285" s="25">
        <v>1.0</v>
      </c>
      <c r="G5285" s="25">
        <v>335.0</v>
      </c>
      <c r="H5285" s="25">
        <v>64.0</v>
      </c>
      <c r="I5285" s="26">
        <f t="array" ref="I5285">XLOOKUP($A5285,product!A:A,product!E:E)</f>
        <v>2.26</v>
      </c>
      <c r="J5285" s="25">
        <f t="shared" si="2"/>
        <v>144.64</v>
      </c>
      <c r="K5285" s="27">
        <f t="shared" si="3"/>
        <v>1</v>
      </c>
      <c r="L5285" s="25">
        <f t="shared" si="4"/>
        <v>1</v>
      </c>
    </row>
    <row r="5286">
      <c r="A5286" s="19">
        <v>4271.0</v>
      </c>
      <c r="B5286" s="20" t="str">
        <f t="array" ref="B5286">xlookup($A5286,product!$A:$A,product!B:B)</f>
        <v>Alimentation Bébé</v>
      </c>
      <c r="C5286" s="20" t="str">
        <f t="array" ref="C5286">xlookup($A5286,product!$A:$A,product!C:C)</f>
        <v>Petits pots bébé du soir</v>
      </c>
      <c r="D5286" s="20" t="str">
        <f t="array" ref="D5286">xlookup($A5286,product!$A:$A,product!D:D)</f>
        <v>Petits pots soir 8-12 mois</v>
      </c>
      <c r="E5286" s="4" t="str">
        <f t="shared" si="1"/>
        <v>4271-Petits pots bébé du soir-Petits pots soir 8-12 mois</v>
      </c>
      <c r="F5286" s="4">
        <v>1.0</v>
      </c>
      <c r="G5286" s="4">
        <v>770.0</v>
      </c>
      <c r="H5286" s="4">
        <v>380.0</v>
      </c>
      <c r="I5286" s="21">
        <f t="array" ref="I5286">XLOOKUP($A5286,product!A:A,product!E:E)</f>
        <v>3.19</v>
      </c>
      <c r="J5286" s="4">
        <f t="shared" si="2"/>
        <v>1212.2</v>
      </c>
      <c r="K5286" s="22">
        <f t="shared" si="3"/>
        <v>1</v>
      </c>
      <c r="L5286" s="4">
        <f t="shared" si="4"/>
        <v>1</v>
      </c>
    </row>
    <row r="5287">
      <c r="A5287" s="23">
        <v>79428.0</v>
      </c>
      <c r="B5287" s="24" t="str">
        <f t="array" ref="B5287">xlookup($A5287,product!$A:$A,product!B:B)</f>
        <v>Alimentation Bébé</v>
      </c>
      <c r="C5287" s="24" t="str">
        <f t="array" ref="C5287">xlookup($A5287,product!$A:$A,product!C:C)</f>
        <v>Petits pots bébé du soir</v>
      </c>
      <c r="D5287" s="24" t="str">
        <f t="array" ref="D5287">xlookup($A5287,product!$A:$A,product!D:D)</f>
        <v>Petits pots soir 8-12 mois</v>
      </c>
      <c r="E5287" s="25" t="str">
        <f t="shared" si="1"/>
        <v>79428-Petits pots bébé du soir-Petits pots soir 8-12 mois</v>
      </c>
      <c r="F5287" s="25">
        <v>1.0</v>
      </c>
      <c r="G5287" s="25">
        <v>768.0</v>
      </c>
      <c r="H5287" s="25">
        <v>600.0</v>
      </c>
      <c r="I5287" s="26">
        <f t="array" ref="I5287">XLOOKUP($A5287,product!A:A,product!E:E)</f>
        <v>2.2</v>
      </c>
      <c r="J5287" s="25">
        <f t="shared" si="2"/>
        <v>1320</v>
      </c>
      <c r="K5287" s="27">
        <f t="shared" si="3"/>
        <v>1</v>
      </c>
      <c r="L5287" s="25">
        <f t="shared" si="4"/>
        <v>1</v>
      </c>
    </row>
    <row r="5288">
      <c r="A5288" s="19">
        <v>68509.0</v>
      </c>
      <c r="B5288" s="20" t="str">
        <f t="array" ref="B5288">xlookup($A5288,product!$A:$A,product!B:B)</f>
        <v>Alimentation Bébé</v>
      </c>
      <c r="C5288" s="20" t="str">
        <f t="array" ref="C5288">xlookup($A5288,product!$A:$A,product!C:C)</f>
        <v>Petits pots bébé du soir</v>
      </c>
      <c r="D5288" s="20" t="str">
        <f t="array" ref="D5288">xlookup($A5288,product!$A:$A,product!D:D)</f>
        <v>Assiettes soir bébé 12 mois</v>
      </c>
      <c r="E5288" s="4" t="str">
        <f t="shared" si="1"/>
        <v>68509-Petits pots bébé du soir-Assiettes soir bébé 12 mois</v>
      </c>
      <c r="F5288" s="4">
        <v>1.0</v>
      </c>
      <c r="G5288" s="4">
        <v>902.0</v>
      </c>
      <c r="H5288" s="4">
        <v>441.0</v>
      </c>
      <c r="I5288" s="21">
        <f t="array" ref="I5288">XLOOKUP($A5288,product!A:A,product!E:E)</f>
        <v>1.74</v>
      </c>
      <c r="J5288" s="4">
        <f t="shared" si="2"/>
        <v>767.34</v>
      </c>
      <c r="K5288" s="22">
        <f t="shared" si="3"/>
        <v>1</v>
      </c>
      <c r="L5288" s="4">
        <f t="shared" si="4"/>
        <v>1</v>
      </c>
    </row>
    <row r="5289">
      <c r="A5289" s="23">
        <v>112104.0</v>
      </c>
      <c r="B5289" s="24" t="str">
        <f t="array" ref="B5289">xlookup($A5289,product!$A:$A,product!B:B)</f>
        <v>Alimentation Bébé</v>
      </c>
      <c r="C5289" s="24" t="str">
        <f t="array" ref="C5289">xlookup($A5289,product!$A:$A,product!C:C)</f>
        <v>Petits pots bébé du soir</v>
      </c>
      <c r="D5289" s="24" t="str">
        <f t="array" ref="D5289">xlookup($A5289,product!$A:$A,product!D:D)</f>
        <v>Assiettes soir bébé 12 mois</v>
      </c>
      <c r="E5289" s="25" t="str">
        <f t="shared" si="1"/>
        <v>112104-Petits pots bébé du soir-Assiettes soir bébé 12 mois</v>
      </c>
      <c r="F5289" s="25">
        <v>0.0</v>
      </c>
      <c r="G5289" s="25">
        <v>823.0</v>
      </c>
      <c r="H5289" s="25">
        <v>208.0</v>
      </c>
      <c r="I5289" s="26">
        <f t="array" ref="I5289">XLOOKUP($A5289,product!A:A,product!E:E)</f>
        <v>1.72</v>
      </c>
      <c r="J5289" s="25">
        <f t="shared" si="2"/>
        <v>357.76</v>
      </c>
      <c r="K5289" s="27">
        <f t="shared" si="3"/>
        <v>1</v>
      </c>
      <c r="L5289" s="25">
        <f t="shared" si="4"/>
        <v>1</v>
      </c>
    </row>
    <row r="5290">
      <c r="A5290" s="19">
        <v>79885.0</v>
      </c>
      <c r="B5290" s="20" t="str">
        <f t="array" ref="B5290">xlookup($A5290,product!$A:$A,product!B:B)</f>
        <v>Alimentation Bébé</v>
      </c>
      <c r="C5290" s="20" t="str">
        <f t="array" ref="C5290">xlookup($A5290,product!$A:$A,product!C:C)</f>
        <v>Petits pots bébé du soir</v>
      </c>
      <c r="D5290" s="20" t="str">
        <f t="array" ref="D5290">xlookup($A5290,product!$A:$A,product!D:D)</f>
        <v>Assiettes soir bébé 12 mois</v>
      </c>
      <c r="E5290" s="4" t="str">
        <f t="shared" si="1"/>
        <v>79885-Petits pots bébé du soir-Assiettes soir bébé 12 mois</v>
      </c>
      <c r="F5290" s="4">
        <v>0.0</v>
      </c>
      <c r="G5290" s="4">
        <v>914.0</v>
      </c>
      <c r="H5290" s="4">
        <v>470.0</v>
      </c>
      <c r="I5290" s="21">
        <f t="array" ref="I5290">XLOOKUP($A5290,product!A:A,product!E:E)</f>
        <v>1.74</v>
      </c>
      <c r="J5290" s="4">
        <f t="shared" si="2"/>
        <v>817.8</v>
      </c>
      <c r="K5290" s="22">
        <f t="shared" si="3"/>
        <v>1</v>
      </c>
      <c r="L5290" s="4">
        <f t="shared" si="4"/>
        <v>1</v>
      </c>
    </row>
    <row r="5291">
      <c r="A5291" s="23">
        <v>6876.0</v>
      </c>
      <c r="B5291" s="24" t="str">
        <f t="array" ref="B5291">xlookup($A5291,product!$A:$A,product!B:B)</f>
        <v>Alimentation Bébé</v>
      </c>
      <c r="C5291" s="24" t="str">
        <f t="array" ref="C5291">xlookup($A5291,product!$A:$A,product!C:C)</f>
        <v>Petits pots bébé du soir</v>
      </c>
      <c r="D5291" s="24" t="str">
        <f t="array" ref="D5291">xlookup($A5291,product!$A:$A,product!D:D)</f>
        <v>Assiettes soir bébé 12 mois</v>
      </c>
      <c r="E5291" s="25" t="str">
        <f t="shared" si="1"/>
        <v>6876-Petits pots bébé du soir-Assiettes soir bébé 12 mois</v>
      </c>
      <c r="F5291" s="25">
        <v>1.0</v>
      </c>
      <c r="G5291" s="25">
        <v>690.0</v>
      </c>
      <c r="H5291" s="25">
        <v>651.0</v>
      </c>
      <c r="I5291" s="26">
        <f t="array" ref="I5291">XLOOKUP($A5291,product!A:A,product!E:E)</f>
        <v>2.2</v>
      </c>
      <c r="J5291" s="25">
        <f t="shared" si="2"/>
        <v>1432.2</v>
      </c>
      <c r="K5291" s="27">
        <f t="shared" si="3"/>
        <v>1</v>
      </c>
      <c r="L5291" s="25">
        <f t="shared" si="4"/>
        <v>1</v>
      </c>
    </row>
    <row r="5292">
      <c r="A5292" s="19">
        <v>79427.0</v>
      </c>
      <c r="B5292" s="20" t="str">
        <f t="array" ref="B5292">xlookup($A5292,product!$A:$A,product!B:B)</f>
        <v>Alimentation Bébé</v>
      </c>
      <c r="C5292" s="20" t="str">
        <f t="array" ref="C5292">xlookup($A5292,product!$A:$A,product!C:C)</f>
        <v>Petits pots bébé du soir</v>
      </c>
      <c r="D5292" s="20" t="str">
        <f t="array" ref="D5292">xlookup($A5292,product!$A:$A,product!D:D)</f>
        <v>Assiettes soir bébé 12 mois</v>
      </c>
      <c r="E5292" s="4" t="str">
        <f t="shared" si="1"/>
        <v>79427-Petits pots bébé du soir-Assiettes soir bébé 12 mois</v>
      </c>
      <c r="F5292" s="4">
        <v>1.0</v>
      </c>
      <c r="G5292" s="4">
        <v>637.0</v>
      </c>
      <c r="H5292" s="4">
        <v>76.0</v>
      </c>
      <c r="I5292" s="21">
        <f t="array" ref="I5292">XLOOKUP($A5292,product!A:A,product!E:E)</f>
        <v>1.43</v>
      </c>
      <c r="J5292" s="4">
        <f t="shared" si="2"/>
        <v>108.68</v>
      </c>
      <c r="K5292" s="22">
        <f t="shared" si="3"/>
        <v>1</v>
      </c>
      <c r="L5292" s="4">
        <f t="shared" si="4"/>
        <v>1</v>
      </c>
    </row>
    <row r="5293">
      <c r="A5293" s="23">
        <v>44828.0</v>
      </c>
      <c r="B5293" s="24" t="str">
        <f t="array" ref="B5293">xlookup($A5293,product!$A:$A,product!B:B)</f>
        <v>Alimentation Bébé</v>
      </c>
      <c r="C5293" s="24" t="str">
        <f t="array" ref="C5293">xlookup($A5293,product!$A:$A,product!C:C)</f>
        <v>Petits pots bébé du soir</v>
      </c>
      <c r="D5293" s="24" t="str">
        <f t="array" ref="D5293">xlookup($A5293,product!$A:$A,product!D:D)</f>
        <v>Assiettes soir bébé 12 mois</v>
      </c>
      <c r="E5293" s="25" t="str">
        <f t="shared" si="1"/>
        <v>44828-Petits pots bébé du soir-Assiettes soir bébé 12 mois</v>
      </c>
      <c r="F5293" s="25">
        <v>1.0</v>
      </c>
      <c r="G5293" s="25">
        <v>789.0</v>
      </c>
      <c r="H5293" s="25">
        <v>379.0</v>
      </c>
      <c r="I5293" s="26">
        <f t="array" ref="I5293">XLOOKUP($A5293,product!A:A,product!E:E)</f>
        <v>1.43</v>
      </c>
      <c r="J5293" s="25">
        <f t="shared" si="2"/>
        <v>541.97</v>
      </c>
      <c r="K5293" s="27">
        <f t="shared" si="3"/>
        <v>1</v>
      </c>
      <c r="L5293" s="25">
        <f t="shared" si="4"/>
        <v>1</v>
      </c>
    </row>
    <row r="5294">
      <c r="A5294" s="19">
        <v>122213.0</v>
      </c>
      <c r="B5294" s="20" t="str">
        <f t="array" ref="B5294">xlookup($A5294,product!$A:$A,product!B:B)</f>
        <v>Alimentation Bébé</v>
      </c>
      <c r="C5294" s="20" t="str">
        <f t="array" ref="C5294">xlookup($A5294,product!$A:$A,product!C:C)</f>
        <v>Petits pots bébé du soir</v>
      </c>
      <c r="D5294" s="20" t="str">
        <f t="array" ref="D5294">xlookup($A5294,product!$A:$A,product!D:D)</f>
        <v>Assiettes soir bébé 12 mois</v>
      </c>
      <c r="E5294" s="4" t="str">
        <f t="shared" si="1"/>
        <v>122213-Petits pots bébé du soir-Assiettes soir bébé 12 mois</v>
      </c>
      <c r="F5294" s="4">
        <v>0.0</v>
      </c>
      <c r="G5294" s="4">
        <v>671.0</v>
      </c>
      <c r="H5294" s="4">
        <v>277.0</v>
      </c>
      <c r="I5294" s="21">
        <f t="array" ref="I5294">XLOOKUP($A5294,product!A:A,product!E:E)</f>
        <v>1.51</v>
      </c>
      <c r="J5294" s="4">
        <f t="shared" si="2"/>
        <v>418.27</v>
      </c>
      <c r="K5294" s="22">
        <f t="shared" si="3"/>
        <v>1</v>
      </c>
      <c r="L5294" s="4">
        <f t="shared" si="4"/>
        <v>1</v>
      </c>
    </row>
    <row r="5295">
      <c r="A5295" s="23">
        <v>46903.0</v>
      </c>
      <c r="B5295" s="24" t="str">
        <f t="array" ref="B5295">xlookup($A5295,product!$A:$A,product!B:B)</f>
        <v>Alimentation Bébé</v>
      </c>
      <c r="C5295" s="24" t="str">
        <f t="array" ref="C5295">xlookup($A5295,product!$A:$A,product!C:C)</f>
        <v>Petits pots bébé du soir</v>
      </c>
      <c r="D5295" s="24" t="str">
        <f t="array" ref="D5295">xlookup($A5295,product!$A:$A,product!D:D)</f>
        <v>Assiettes soir bébé 12 mois</v>
      </c>
      <c r="E5295" s="25" t="str">
        <f t="shared" si="1"/>
        <v>46903-Petits pots bébé du soir-Assiettes soir bébé 12 mois</v>
      </c>
      <c r="F5295" s="25">
        <v>0.0</v>
      </c>
      <c r="G5295" s="25">
        <v>220.0</v>
      </c>
      <c r="H5295" s="25">
        <v>81.0</v>
      </c>
      <c r="I5295" s="26">
        <f t="array" ref="I5295">XLOOKUP($A5295,product!A:A,product!E:E)</f>
        <v>1.42</v>
      </c>
      <c r="J5295" s="25">
        <f t="shared" si="2"/>
        <v>115.02</v>
      </c>
      <c r="K5295" s="27">
        <f t="shared" si="3"/>
        <v>1</v>
      </c>
      <c r="L5295" s="25">
        <f t="shared" si="4"/>
        <v>1</v>
      </c>
    </row>
    <row r="5296">
      <c r="A5296" s="19">
        <v>80359.0</v>
      </c>
      <c r="B5296" s="20" t="str">
        <f t="array" ref="B5296">xlookup($A5296,product!$A:$A,product!B:B)</f>
        <v>Alimentation Bébé</v>
      </c>
      <c r="C5296" s="20" t="str">
        <f t="array" ref="C5296">xlookup($A5296,product!$A:$A,product!C:C)</f>
        <v>Petits pots bébé du soir</v>
      </c>
      <c r="D5296" s="20" t="str">
        <f t="array" ref="D5296">xlookup($A5296,product!$A:$A,product!D:D)</f>
        <v>Assiettes soir bébé 12 mois</v>
      </c>
      <c r="E5296" s="4" t="str">
        <f t="shared" si="1"/>
        <v>80359-Petits pots bébé du soir-Assiettes soir bébé 12 mois</v>
      </c>
      <c r="F5296" s="4">
        <v>1.0</v>
      </c>
      <c r="G5296" s="4">
        <v>816.0</v>
      </c>
      <c r="H5296" s="4">
        <v>737.0</v>
      </c>
      <c r="I5296" s="21">
        <f t="array" ref="I5296">XLOOKUP($A5296,product!A:A,product!E:E)</f>
        <v>2.32</v>
      </c>
      <c r="J5296" s="4">
        <f t="shared" si="2"/>
        <v>1709.84</v>
      </c>
      <c r="K5296" s="22">
        <f t="shared" si="3"/>
        <v>1</v>
      </c>
      <c r="L5296" s="4">
        <f t="shared" si="4"/>
        <v>1</v>
      </c>
    </row>
    <row r="5297">
      <c r="A5297" s="23">
        <v>44827.0</v>
      </c>
      <c r="B5297" s="24" t="str">
        <f t="array" ref="B5297">xlookup($A5297,product!$A:$A,product!B:B)</f>
        <v>Alimentation Bébé</v>
      </c>
      <c r="C5297" s="24" t="str">
        <f t="array" ref="C5297">xlookup($A5297,product!$A:$A,product!C:C)</f>
        <v>Petits pots bébé du soir</v>
      </c>
      <c r="D5297" s="24" t="str">
        <f t="array" ref="D5297">xlookup($A5297,product!$A:$A,product!D:D)</f>
        <v>Assiettes soir bébé 12 mois</v>
      </c>
      <c r="E5297" s="25" t="str">
        <f t="shared" si="1"/>
        <v>44827-Petits pots bébé du soir-Assiettes soir bébé 12 mois</v>
      </c>
      <c r="F5297" s="25">
        <v>1.0</v>
      </c>
      <c r="G5297" s="25">
        <v>482.0</v>
      </c>
      <c r="H5297" s="25">
        <v>204.0</v>
      </c>
      <c r="I5297" s="26">
        <f t="array" ref="I5297">XLOOKUP($A5297,product!A:A,product!E:E)</f>
        <v>1.43</v>
      </c>
      <c r="J5297" s="25">
        <f t="shared" si="2"/>
        <v>291.72</v>
      </c>
      <c r="K5297" s="27">
        <f t="shared" si="3"/>
        <v>1</v>
      </c>
      <c r="L5297" s="25">
        <f t="shared" si="4"/>
        <v>1</v>
      </c>
    </row>
    <row r="5298">
      <c r="A5298" s="19">
        <v>79882.0</v>
      </c>
      <c r="B5298" s="20" t="str">
        <f t="array" ref="B5298">xlookup($A5298,product!$A:$A,product!B:B)</f>
        <v>Alimentation Bébé</v>
      </c>
      <c r="C5298" s="20" t="str">
        <f t="array" ref="C5298">xlookup($A5298,product!$A:$A,product!C:C)</f>
        <v>Petits pots bébé du soir</v>
      </c>
      <c r="D5298" s="20" t="str">
        <f t="array" ref="D5298">xlookup($A5298,product!$A:$A,product!D:D)</f>
        <v>Assiettes soir bébé 12 mois</v>
      </c>
      <c r="E5298" s="4" t="str">
        <f t="shared" si="1"/>
        <v>79882-Petits pots bébé du soir-Assiettes soir bébé 12 mois</v>
      </c>
      <c r="F5298" s="4">
        <v>0.0</v>
      </c>
      <c r="G5298" s="4">
        <v>233.0</v>
      </c>
      <c r="H5298" s="4">
        <v>34.0</v>
      </c>
      <c r="I5298" s="21">
        <f t="array" ref="I5298">XLOOKUP($A5298,product!A:A,product!E:E)</f>
        <v>1.74</v>
      </c>
      <c r="J5298" s="4">
        <f t="shared" si="2"/>
        <v>59.16</v>
      </c>
      <c r="K5298" s="22">
        <f t="shared" si="3"/>
        <v>1</v>
      </c>
      <c r="L5298" s="4">
        <f t="shared" si="4"/>
        <v>1</v>
      </c>
    </row>
    <row r="5299">
      <c r="A5299" s="23">
        <v>11065.0</v>
      </c>
      <c r="B5299" s="24" t="str">
        <f t="array" ref="B5299">xlookup($A5299,product!$A:$A,product!B:B)</f>
        <v>Alimentation Bébé</v>
      </c>
      <c r="C5299" s="24" t="str">
        <f t="array" ref="C5299">xlookup($A5299,product!$A:$A,product!C:C)</f>
        <v>Petits pots bébé du soir</v>
      </c>
      <c r="D5299" s="24" t="str">
        <f t="array" ref="D5299">xlookup($A5299,product!$A:$A,product!D:D)</f>
        <v>Assiettes soir bébé 12 mois</v>
      </c>
      <c r="E5299" s="25" t="str">
        <f t="shared" si="1"/>
        <v>11065-Petits pots bébé du soir-Assiettes soir bébé 12 mois</v>
      </c>
      <c r="F5299" s="25">
        <v>1.0</v>
      </c>
      <c r="G5299" s="25">
        <v>923.0</v>
      </c>
      <c r="H5299" s="25">
        <v>618.0</v>
      </c>
      <c r="I5299" s="26">
        <f t="array" ref="I5299">XLOOKUP($A5299,product!A:A,product!E:E)</f>
        <v>1.74</v>
      </c>
      <c r="J5299" s="25">
        <f t="shared" si="2"/>
        <v>1075.32</v>
      </c>
      <c r="K5299" s="27">
        <f t="shared" si="3"/>
        <v>1</v>
      </c>
      <c r="L5299" s="25">
        <f t="shared" si="4"/>
        <v>1</v>
      </c>
    </row>
    <row r="5300">
      <c r="A5300" s="19">
        <v>41991.0</v>
      </c>
      <c r="B5300" s="20" t="str">
        <f t="array" ref="B5300">xlookup($A5300,product!$A:$A,product!B:B)</f>
        <v>Alimentation Bébé</v>
      </c>
      <c r="C5300" s="20" t="str">
        <f t="array" ref="C5300">xlookup($A5300,product!$A:$A,product!C:C)</f>
        <v>Petits pots bébé du soir</v>
      </c>
      <c r="D5300" s="20" t="str">
        <f t="array" ref="D5300">xlookup($A5300,product!$A:$A,product!D:D)</f>
        <v>Assiettes soir bébé 12 mois</v>
      </c>
      <c r="E5300" s="4" t="str">
        <f t="shared" si="1"/>
        <v>41991-Petits pots bébé du soir-Assiettes soir bébé 12 mois</v>
      </c>
      <c r="F5300" s="4">
        <v>0.0</v>
      </c>
      <c r="G5300" s="4">
        <v>582.0</v>
      </c>
      <c r="H5300" s="4">
        <v>61.0</v>
      </c>
      <c r="I5300" s="21">
        <f t="array" ref="I5300">XLOOKUP($A5300,product!A:A,product!E:E)</f>
        <v>2.2</v>
      </c>
      <c r="J5300" s="4">
        <f t="shared" si="2"/>
        <v>134.2</v>
      </c>
      <c r="K5300" s="22">
        <f t="shared" si="3"/>
        <v>1</v>
      </c>
      <c r="L5300" s="4">
        <f t="shared" si="4"/>
        <v>1</v>
      </c>
    </row>
    <row r="5301">
      <c r="A5301" s="23">
        <v>6877.0</v>
      </c>
      <c r="B5301" s="24" t="str">
        <f t="array" ref="B5301">xlookup($A5301,product!$A:$A,product!B:B)</f>
        <v>Alimentation Bébé</v>
      </c>
      <c r="C5301" s="24" t="str">
        <f t="array" ref="C5301">xlookup($A5301,product!$A:$A,product!C:C)</f>
        <v>Petits pots bébé du soir</v>
      </c>
      <c r="D5301" s="24" t="str">
        <f t="array" ref="D5301">xlookup($A5301,product!$A:$A,product!D:D)</f>
        <v>Assiettes soir bébé 12 mois</v>
      </c>
      <c r="E5301" s="25" t="str">
        <f t="shared" si="1"/>
        <v>6877-Petits pots bébé du soir-Assiettes soir bébé 12 mois</v>
      </c>
      <c r="F5301" s="25">
        <v>1.0</v>
      </c>
      <c r="G5301" s="25">
        <v>316.0</v>
      </c>
      <c r="H5301" s="25">
        <v>178.0</v>
      </c>
      <c r="I5301" s="26">
        <f t="array" ref="I5301">XLOOKUP($A5301,product!A:A,product!E:E)</f>
        <v>2.2</v>
      </c>
      <c r="J5301" s="25">
        <f t="shared" si="2"/>
        <v>391.6</v>
      </c>
      <c r="K5301" s="27">
        <f t="shared" si="3"/>
        <v>1</v>
      </c>
      <c r="L5301" s="25">
        <f t="shared" si="4"/>
        <v>1</v>
      </c>
    </row>
    <row r="5302">
      <c r="A5302" s="19">
        <v>4290.0</v>
      </c>
      <c r="B5302" s="20" t="str">
        <f t="array" ref="B5302">xlookup($A5302,product!$A:$A,product!B:B)</f>
        <v>Alimentation Bébé</v>
      </c>
      <c r="C5302" s="20" t="str">
        <f t="array" ref="C5302">xlookup($A5302,product!$A:$A,product!C:C)</f>
        <v>Petits pots bébé du soir</v>
      </c>
      <c r="D5302" s="20" t="str">
        <f t="array" ref="D5302">xlookup($A5302,product!$A:$A,product!D:D)</f>
        <v>Assiettes soir bébé 12 mois</v>
      </c>
      <c r="E5302" s="4" t="str">
        <f t="shared" si="1"/>
        <v>4290-Petits pots bébé du soir-Assiettes soir bébé 12 mois</v>
      </c>
      <c r="F5302" s="4">
        <v>1.0</v>
      </c>
      <c r="G5302" s="4">
        <v>157.0</v>
      </c>
      <c r="H5302" s="4">
        <v>107.0</v>
      </c>
      <c r="I5302" s="21">
        <f t="array" ref="I5302">XLOOKUP($A5302,product!A:A,product!E:E)</f>
        <v>2.84</v>
      </c>
      <c r="J5302" s="4">
        <f t="shared" si="2"/>
        <v>303.88</v>
      </c>
      <c r="K5302" s="22">
        <f t="shared" si="3"/>
        <v>1</v>
      </c>
      <c r="L5302" s="4">
        <f t="shared" si="4"/>
        <v>1</v>
      </c>
    </row>
    <row r="5303">
      <c r="A5303" s="23">
        <v>4905.0</v>
      </c>
      <c r="B5303" s="24" t="str">
        <f t="array" ref="B5303">xlookup($A5303,product!$A:$A,product!B:B)</f>
        <v>Alimentation Bébé</v>
      </c>
      <c r="C5303" s="24" t="str">
        <f t="array" ref="C5303">xlookup($A5303,product!$A:$A,product!C:C)</f>
        <v>Petits pots bébé du soir</v>
      </c>
      <c r="D5303" s="24" t="str">
        <f t="array" ref="D5303">xlookup($A5303,product!$A:$A,product!D:D)</f>
        <v>Assiettes soir bébé 12 mois</v>
      </c>
      <c r="E5303" s="25" t="str">
        <f t="shared" si="1"/>
        <v>4905-Petits pots bébé du soir-Assiettes soir bébé 12 mois</v>
      </c>
      <c r="F5303" s="25">
        <v>0.0</v>
      </c>
      <c r="G5303" s="25">
        <v>234.0</v>
      </c>
      <c r="H5303" s="25">
        <v>8.0</v>
      </c>
      <c r="I5303" s="26">
        <f t="array" ref="I5303">XLOOKUP($A5303,product!A:A,product!E:E)</f>
        <v>1.43</v>
      </c>
      <c r="J5303" s="25">
        <f t="shared" si="2"/>
        <v>11.44</v>
      </c>
      <c r="K5303" s="27">
        <f t="shared" si="3"/>
        <v>1</v>
      </c>
      <c r="L5303" s="25">
        <f t="shared" si="4"/>
        <v>1</v>
      </c>
    </row>
    <row r="5304">
      <c r="A5304" s="19">
        <v>41979.0</v>
      </c>
      <c r="B5304" s="20" t="str">
        <f t="array" ref="B5304">xlookup($A5304,product!$A:$A,product!B:B)</f>
        <v>Alimentation Bébé</v>
      </c>
      <c r="C5304" s="20" t="str">
        <f t="array" ref="C5304">xlookup($A5304,product!$A:$A,product!C:C)</f>
        <v>Petits pots bébé du soir</v>
      </c>
      <c r="D5304" s="20" t="str">
        <f t="array" ref="D5304">xlookup($A5304,product!$A:$A,product!D:D)</f>
        <v>Assiettes soir bébé 6-8 mois</v>
      </c>
      <c r="E5304" s="4" t="str">
        <f t="shared" si="1"/>
        <v>41979-Petits pots bébé du soir-Assiettes soir bébé 6-8 mois</v>
      </c>
      <c r="F5304" s="4">
        <v>0.0</v>
      </c>
      <c r="G5304" s="4">
        <v>91.0</v>
      </c>
      <c r="H5304" s="4">
        <v>21.0</v>
      </c>
      <c r="I5304" s="21">
        <f t="array" ref="I5304">XLOOKUP($A5304,product!A:A,product!E:E)</f>
        <v>2.2</v>
      </c>
      <c r="J5304" s="4">
        <f t="shared" si="2"/>
        <v>46.2</v>
      </c>
      <c r="K5304" s="22">
        <f t="shared" si="3"/>
        <v>1</v>
      </c>
      <c r="L5304" s="4">
        <f t="shared" si="4"/>
        <v>1</v>
      </c>
    </row>
    <row r="5305">
      <c r="A5305" s="23">
        <v>41925.0</v>
      </c>
      <c r="B5305" s="24" t="str">
        <f t="array" ref="B5305">xlookup($A5305,product!$A:$A,product!B:B)</f>
        <v>Alimentation Bébé</v>
      </c>
      <c r="C5305" s="24" t="str">
        <f t="array" ref="C5305">xlookup($A5305,product!$A:$A,product!C:C)</f>
        <v>Petits pots bébé du soir</v>
      </c>
      <c r="D5305" s="24" t="str">
        <f t="array" ref="D5305">xlookup($A5305,product!$A:$A,product!D:D)</f>
        <v>Assiettes soir bébé 6-8 mois</v>
      </c>
      <c r="E5305" s="25" t="str">
        <f t="shared" si="1"/>
        <v>41925-Petits pots bébé du soir-Assiettes soir bébé 6-8 mois</v>
      </c>
      <c r="F5305" s="25">
        <v>0.0</v>
      </c>
      <c r="G5305" s="25">
        <v>385.0</v>
      </c>
      <c r="H5305" s="25">
        <v>133.0</v>
      </c>
      <c r="I5305" s="26">
        <f t="array" ref="I5305">XLOOKUP($A5305,product!A:A,product!E:E)</f>
        <v>2.2</v>
      </c>
      <c r="J5305" s="25">
        <f t="shared" si="2"/>
        <v>292.6</v>
      </c>
      <c r="K5305" s="27">
        <f t="shared" si="3"/>
        <v>1</v>
      </c>
      <c r="L5305" s="25">
        <f t="shared" si="4"/>
        <v>1</v>
      </c>
    </row>
    <row r="5306">
      <c r="A5306" s="19">
        <v>17067.0</v>
      </c>
      <c r="B5306" s="20" t="str">
        <f t="array" ref="B5306">xlookup($A5306,product!$A:$A,product!B:B)</f>
        <v>Alimentation Bébé</v>
      </c>
      <c r="C5306" s="20" t="str">
        <f t="array" ref="C5306">xlookup($A5306,product!$A:$A,product!C:C)</f>
        <v>Petits pots bébé du soir</v>
      </c>
      <c r="D5306" s="20" t="str">
        <f t="array" ref="D5306">xlookup($A5306,product!$A:$A,product!D:D)</f>
        <v>Assiettes soir bébé 15-18 mois</v>
      </c>
      <c r="E5306" s="4" t="str">
        <f t="shared" si="1"/>
        <v>17067-Petits pots bébé du soir-Assiettes soir bébé 15-18 mois</v>
      </c>
      <c r="F5306" s="4">
        <v>1.0</v>
      </c>
      <c r="G5306" s="4">
        <v>699.0</v>
      </c>
      <c r="H5306" s="4">
        <v>397.0</v>
      </c>
      <c r="I5306" s="21">
        <f t="array" ref="I5306">XLOOKUP($A5306,product!A:A,product!E:E)</f>
        <v>1.51</v>
      </c>
      <c r="J5306" s="4">
        <f t="shared" si="2"/>
        <v>599.47</v>
      </c>
      <c r="K5306" s="22">
        <f t="shared" si="3"/>
        <v>1</v>
      </c>
      <c r="L5306" s="4">
        <f t="shared" si="4"/>
        <v>1</v>
      </c>
    </row>
    <row r="5307">
      <c r="A5307" s="23">
        <v>70425.0</v>
      </c>
      <c r="B5307" s="24" t="str">
        <f t="array" ref="B5307">xlookup($A5307,product!$A:$A,product!B:B)</f>
        <v>Alimentation Bébé</v>
      </c>
      <c r="C5307" s="24" t="str">
        <f t="array" ref="C5307">xlookup($A5307,product!$A:$A,product!C:C)</f>
        <v>Petits pots bébé du soir</v>
      </c>
      <c r="D5307" s="24" t="str">
        <f t="array" ref="D5307">xlookup($A5307,product!$A:$A,product!D:D)</f>
        <v>Assiettes soir bébé 15-18 mois</v>
      </c>
      <c r="E5307" s="25" t="str">
        <f t="shared" si="1"/>
        <v>70425-Petits pots bébé du soir-Assiettes soir bébé 15-18 mois</v>
      </c>
      <c r="F5307" s="25">
        <v>1.0</v>
      </c>
      <c r="G5307" s="25">
        <v>736.0</v>
      </c>
      <c r="H5307" s="25">
        <v>473.0</v>
      </c>
      <c r="I5307" s="26">
        <f t="array" ref="I5307">XLOOKUP($A5307,product!A:A,product!E:E)</f>
        <v>1.51</v>
      </c>
      <c r="J5307" s="25">
        <f t="shared" si="2"/>
        <v>714.23</v>
      </c>
      <c r="K5307" s="27">
        <f t="shared" si="3"/>
        <v>1</v>
      </c>
      <c r="L5307" s="25">
        <f t="shared" si="4"/>
        <v>1</v>
      </c>
    </row>
    <row r="5308">
      <c r="A5308" s="19">
        <v>17065.0</v>
      </c>
      <c r="B5308" s="20" t="str">
        <f t="array" ref="B5308">xlookup($A5308,product!$A:$A,product!B:B)</f>
        <v>Alimentation Bébé</v>
      </c>
      <c r="C5308" s="20" t="str">
        <f t="array" ref="C5308">xlookup($A5308,product!$A:$A,product!C:C)</f>
        <v>Petits pots bébé du soir</v>
      </c>
      <c r="D5308" s="20" t="str">
        <f t="array" ref="D5308">xlookup($A5308,product!$A:$A,product!D:D)</f>
        <v>Assiettes soir bébé 15-18 mois</v>
      </c>
      <c r="E5308" s="4" t="str">
        <f t="shared" si="1"/>
        <v>17065-Petits pots bébé du soir-Assiettes soir bébé 15-18 mois</v>
      </c>
      <c r="F5308" s="4">
        <v>0.0</v>
      </c>
      <c r="G5308" s="4">
        <v>861.0</v>
      </c>
      <c r="H5308" s="4">
        <v>486.0</v>
      </c>
      <c r="I5308" s="21">
        <f t="array" ref="I5308">XLOOKUP($A5308,product!A:A,product!E:E)</f>
        <v>1.51</v>
      </c>
      <c r="J5308" s="4">
        <f t="shared" si="2"/>
        <v>733.86</v>
      </c>
      <c r="K5308" s="22">
        <f t="shared" si="3"/>
        <v>1</v>
      </c>
      <c r="L5308" s="4">
        <f t="shared" si="4"/>
        <v>1</v>
      </c>
    </row>
    <row r="5309">
      <c r="A5309" s="23">
        <v>103514.0</v>
      </c>
      <c r="B5309" s="24" t="str">
        <f t="array" ref="B5309">xlookup($A5309,product!$A:$A,product!B:B)</f>
        <v>Alimentation Bébé</v>
      </c>
      <c r="C5309" s="24" t="str">
        <f t="array" ref="C5309">xlookup($A5309,product!$A:$A,product!C:C)</f>
        <v>Petits pots bébé du soir</v>
      </c>
      <c r="D5309" s="24" t="str">
        <f t="array" ref="D5309">xlookup($A5309,product!$A:$A,product!D:D)</f>
        <v>Assiettes soir bébé 15-18 mois</v>
      </c>
      <c r="E5309" s="25" t="str">
        <f t="shared" si="1"/>
        <v>103514-Petits pots bébé du soir-Assiettes soir bébé 15-18 mois</v>
      </c>
      <c r="F5309" s="25">
        <v>1.0</v>
      </c>
      <c r="G5309" s="25">
        <v>61.0</v>
      </c>
      <c r="H5309" s="25">
        <v>43.0</v>
      </c>
      <c r="I5309" s="26">
        <f t="array" ref="I5309">XLOOKUP($A5309,product!A:A,product!E:E)</f>
        <v>2.08</v>
      </c>
      <c r="J5309" s="25">
        <f t="shared" si="2"/>
        <v>89.44</v>
      </c>
      <c r="K5309" s="27">
        <f t="shared" si="3"/>
        <v>1</v>
      </c>
      <c r="L5309" s="25">
        <f t="shared" si="4"/>
        <v>1</v>
      </c>
    </row>
    <row r="5310">
      <c r="A5310" s="19">
        <v>4298.0</v>
      </c>
      <c r="B5310" s="20" t="str">
        <f t="array" ref="B5310">xlookup($A5310,product!$A:$A,product!B:B)</f>
        <v>Alimentation Bébé</v>
      </c>
      <c r="C5310" s="20" t="str">
        <f t="array" ref="C5310">xlookup($A5310,product!$A:$A,product!C:C)</f>
        <v>Petits pots bébé du soir</v>
      </c>
      <c r="D5310" s="20" t="str">
        <f t="array" ref="D5310">xlookup($A5310,product!$A:$A,product!D:D)</f>
        <v>Assiettes soir bébé 15-18 mois</v>
      </c>
      <c r="E5310" s="4" t="str">
        <f t="shared" si="1"/>
        <v>4298-Petits pots bébé du soir-Assiettes soir bébé 15-18 mois</v>
      </c>
      <c r="F5310" s="4">
        <v>1.0</v>
      </c>
      <c r="G5310" s="4">
        <v>397.0</v>
      </c>
      <c r="H5310" s="4">
        <v>314.0</v>
      </c>
      <c r="I5310" s="21">
        <f t="array" ref="I5310">XLOOKUP($A5310,product!A:A,product!E:E)</f>
        <v>1.87</v>
      </c>
      <c r="J5310" s="4">
        <f t="shared" si="2"/>
        <v>587.18</v>
      </c>
      <c r="K5310" s="22">
        <f t="shared" si="3"/>
        <v>1</v>
      </c>
      <c r="L5310" s="4">
        <f t="shared" si="4"/>
        <v>1</v>
      </c>
    </row>
    <row r="5311">
      <c r="A5311" s="23">
        <v>4301.0</v>
      </c>
      <c r="B5311" s="24" t="str">
        <f t="array" ref="B5311">xlookup($A5311,product!$A:$A,product!B:B)</f>
        <v>Alimentation Bébé</v>
      </c>
      <c r="C5311" s="24" t="str">
        <f t="array" ref="C5311">xlookup($A5311,product!$A:$A,product!C:C)</f>
        <v>Petits pots bébé du soir</v>
      </c>
      <c r="D5311" s="24" t="str">
        <f t="array" ref="D5311">xlookup($A5311,product!$A:$A,product!D:D)</f>
        <v>Assiettes soir bébé 15-18 mois</v>
      </c>
      <c r="E5311" s="25" t="str">
        <f t="shared" si="1"/>
        <v>4301-Petits pots bébé du soir-Assiettes soir bébé 15-18 mois</v>
      </c>
      <c r="F5311" s="25">
        <v>0.0</v>
      </c>
      <c r="G5311" s="25">
        <v>864.0</v>
      </c>
      <c r="H5311" s="25">
        <v>117.0</v>
      </c>
      <c r="I5311" s="26">
        <f t="array" ref="I5311">XLOOKUP($A5311,product!A:A,product!E:E)</f>
        <v>1.75</v>
      </c>
      <c r="J5311" s="25">
        <f t="shared" si="2"/>
        <v>204.75</v>
      </c>
      <c r="K5311" s="27">
        <f t="shared" si="3"/>
        <v>1</v>
      </c>
      <c r="L5311" s="25">
        <f t="shared" si="4"/>
        <v>1</v>
      </c>
    </row>
    <row r="5312">
      <c r="A5312" s="19">
        <v>75752.0</v>
      </c>
      <c r="B5312" s="20" t="str">
        <f t="array" ref="B5312">xlookup($A5312,product!$A:$A,product!B:B)</f>
        <v>Alimentation Bébé</v>
      </c>
      <c r="C5312" s="20" t="str">
        <f t="array" ref="C5312">xlookup($A5312,product!$A:$A,product!C:C)</f>
        <v>Petits pots bébé du soir</v>
      </c>
      <c r="D5312" s="20" t="str">
        <f t="array" ref="D5312">xlookup($A5312,product!$A:$A,product!D:D)</f>
        <v>Assiettes soir bébé 15-18 mois</v>
      </c>
      <c r="E5312" s="4" t="str">
        <f t="shared" si="1"/>
        <v>75752-Petits pots bébé du soir-Assiettes soir bébé 15-18 mois</v>
      </c>
      <c r="F5312" s="4">
        <v>1.0</v>
      </c>
      <c r="G5312" s="4">
        <v>687.0</v>
      </c>
      <c r="H5312" s="4">
        <v>641.0</v>
      </c>
      <c r="I5312" s="21">
        <f t="array" ref="I5312">XLOOKUP($A5312,product!A:A,product!E:E)</f>
        <v>2.08</v>
      </c>
      <c r="J5312" s="4">
        <f t="shared" si="2"/>
        <v>1333.28</v>
      </c>
      <c r="K5312" s="22">
        <f t="shared" si="3"/>
        <v>1</v>
      </c>
      <c r="L5312" s="4">
        <f t="shared" si="4"/>
        <v>1</v>
      </c>
    </row>
    <row r="5313">
      <c r="A5313" s="23">
        <v>21520.0</v>
      </c>
      <c r="B5313" s="24" t="str">
        <f t="array" ref="B5313">xlookup($A5313,product!$A:$A,product!B:B)</f>
        <v>Epicerie salée</v>
      </c>
      <c r="C5313" s="24" t="str">
        <f t="array" ref="C5313">xlookup($A5313,product!$A:$A,product!C:C)</f>
        <v>Légumineuses et céréales</v>
      </c>
      <c r="D5313" s="24" t="str">
        <f t="array" ref="D5313">xlookup($A5313,product!$A:$A,product!D:D)</f>
        <v>Soja</v>
      </c>
      <c r="E5313" s="25" t="str">
        <f t="shared" si="1"/>
        <v>21520-Légumineuses et céréales-Soja</v>
      </c>
      <c r="F5313" s="25">
        <v>1.0</v>
      </c>
      <c r="G5313" s="25">
        <v>122.0</v>
      </c>
      <c r="H5313" s="25">
        <v>34.0</v>
      </c>
      <c r="I5313" s="26">
        <f t="array" ref="I5313">XLOOKUP($A5313,product!A:A,product!E:E)</f>
        <v>1.59</v>
      </c>
      <c r="J5313" s="25">
        <f t="shared" si="2"/>
        <v>54.06</v>
      </c>
      <c r="K5313" s="27">
        <f t="shared" si="3"/>
        <v>1</v>
      </c>
      <c r="L5313" s="25">
        <f t="shared" si="4"/>
        <v>1</v>
      </c>
    </row>
    <row r="5314">
      <c r="A5314" s="19">
        <v>82206.0</v>
      </c>
      <c r="B5314" s="20" t="str">
        <f t="array" ref="B5314">xlookup($A5314,product!$A:$A,product!B:B)</f>
        <v>Epicerie salée</v>
      </c>
      <c r="C5314" s="20" t="str">
        <f t="array" ref="C5314">xlookup($A5314,product!$A:$A,product!C:C)</f>
        <v>Légumineuses et céréales</v>
      </c>
      <c r="D5314" s="20" t="str">
        <f t="array" ref="D5314">xlookup($A5314,product!$A:$A,product!D:D)</f>
        <v>Soja</v>
      </c>
      <c r="E5314" s="4" t="str">
        <f t="shared" si="1"/>
        <v>82206-Légumineuses et céréales-Soja</v>
      </c>
      <c r="F5314" s="4">
        <v>1.0</v>
      </c>
      <c r="G5314" s="4">
        <v>888.0</v>
      </c>
      <c r="H5314" s="4">
        <v>642.0</v>
      </c>
      <c r="I5314" s="21">
        <f t="array" ref="I5314">XLOOKUP($A5314,product!A:A,product!E:E)</f>
        <v>1.05</v>
      </c>
      <c r="J5314" s="4">
        <f t="shared" si="2"/>
        <v>674.1</v>
      </c>
      <c r="K5314" s="22">
        <f t="shared" si="3"/>
        <v>1</v>
      </c>
      <c r="L5314" s="4">
        <f t="shared" si="4"/>
        <v>1</v>
      </c>
    </row>
    <row r="5315">
      <c r="A5315" s="23">
        <v>5599.0</v>
      </c>
      <c r="B5315" s="24" t="str">
        <f t="array" ref="B5315">xlookup($A5315,product!$A:$A,product!B:B)</f>
        <v>Epicerie salée</v>
      </c>
      <c r="C5315" s="24" t="str">
        <f t="array" ref="C5315">xlookup($A5315,product!$A:$A,product!C:C)</f>
        <v>Légumineuses et céréales</v>
      </c>
      <c r="D5315" s="24" t="str">
        <f t="array" ref="D5315">xlookup($A5315,product!$A:$A,product!D:D)</f>
        <v>Soja</v>
      </c>
      <c r="E5315" s="25" t="str">
        <f t="shared" si="1"/>
        <v>5599-Légumineuses et céréales-Soja</v>
      </c>
      <c r="F5315" s="25">
        <v>0.0</v>
      </c>
      <c r="G5315" s="25">
        <v>435.0</v>
      </c>
      <c r="H5315" s="25">
        <v>93.0</v>
      </c>
      <c r="I5315" s="26">
        <f t="array" ref="I5315">XLOOKUP($A5315,product!A:A,product!E:E)</f>
        <v>1.08</v>
      </c>
      <c r="J5315" s="25">
        <f t="shared" si="2"/>
        <v>100.44</v>
      </c>
      <c r="K5315" s="27">
        <f t="shared" si="3"/>
        <v>1</v>
      </c>
      <c r="L5315" s="25">
        <f t="shared" si="4"/>
        <v>1</v>
      </c>
    </row>
    <row r="5316">
      <c r="A5316" s="19">
        <v>87231.0</v>
      </c>
      <c r="B5316" s="20" t="str">
        <f t="array" ref="B5316">xlookup($A5316,product!$A:$A,product!B:B)</f>
        <v>Epicerie salée</v>
      </c>
      <c r="C5316" s="20" t="str">
        <f t="array" ref="C5316">xlookup($A5316,product!$A:$A,product!C:C)</f>
        <v>Légumineuses et céréales</v>
      </c>
      <c r="D5316" s="20" t="str">
        <f t="array" ref="D5316">xlookup($A5316,product!$A:$A,product!D:D)</f>
        <v>Soja</v>
      </c>
      <c r="E5316" s="4" t="str">
        <f t="shared" si="1"/>
        <v>87231-Légumineuses et céréales-Soja</v>
      </c>
      <c r="F5316" s="4">
        <v>1.0</v>
      </c>
      <c r="G5316" s="4">
        <v>216.0</v>
      </c>
      <c r="H5316" s="4">
        <v>202.0</v>
      </c>
      <c r="I5316" s="21">
        <f t="array" ref="I5316">XLOOKUP($A5316,product!A:A,product!E:E)</f>
        <v>1.03</v>
      </c>
      <c r="J5316" s="4">
        <f t="shared" si="2"/>
        <v>208.06</v>
      </c>
      <c r="K5316" s="22">
        <f t="shared" si="3"/>
        <v>1</v>
      </c>
      <c r="L5316" s="4">
        <f t="shared" si="4"/>
        <v>1</v>
      </c>
    </row>
    <row r="5317">
      <c r="A5317" s="23">
        <v>5861.0</v>
      </c>
      <c r="B5317" s="24" t="str">
        <f t="array" ref="B5317">xlookup($A5317,product!$A:$A,product!B:B)</f>
        <v>Epicerie salée</v>
      </c>
      <c r="C5317" s="24" t="str">
        <f t="array" ref="C5317">xlookup($A5317,product!$A:$A,product!C:C)</f>
        <v>Légumineuses et céréales</v>
      </c>
      <c r="D5317" s="24" t="str">
        <f t="array" ref="D5317">xlookup($A5317,product!$A:$A,product!D:D)</f>
        <v>Soja</v>
      </c>
      <c r="E5317" s="25" t="str">
        <f t="shared" si="1"/>
        <v>5861-Légumineuses et céréales-Soja</v>
      </c>
      <c r="F5317" s="25">
        <v>0.0</v>
      </c>
      <c r="G5317" s="25">
        <v>410.0</v>
      </c>
      <c r="H5317" s="25">
        <v>191.0</v>
      </c>
      <c r="I5317" s="26">
        <f t="array" ref="I5317">XLOOKUP($A5317,product!A:A,product!E:E)</f>
        <v>1.47</v>
      </c>
      <c r="J5317" s="25">
        <f t="shared" si="2"/>
        <v>280.77</v>
      </c>
      <c r="K5317" s="27">
        <f t="shared" si="3"/>
        <v>1</v>
      </c>
      <c r="L5317" s="25">
        <f t="shared" si="4"/>
        <v>1</v>
      </c>
    </row>
    <row r="5318">
      <c r="A5318" s="19">
        <v>90909.0</v>
      </c>
      <c r="B5318" s="20" t="str">
        <f t="array" ref="B5318">xlookup($A5318,product!$A:$A,product!B:B)</f>
        <v>Epicerie salée</v>
      </c>
      <c r="C5318" s="20" t="str">
        <f t="array" ref="C5318">xlookup($A5318,product!$A:$A,product!C:C)</f>
        <v>Légumineuses et céréales</v>
      </c>
      <c r="D5318" s="20" t="str">
        <f t="array" ref="D5318">xlookup($A5318,product!$A:$A,product!D:D)</f>
        <v>Soja</v>
      </c>
      <c r="E5318" s="4" t="str">
        <f t="shared" si="1"/>
        <v>90909-Légumineuses et céréales-Soja</v>
      </c>
      <c r="F5318" s="4">
        <v>1.0</v>
      </c>
      <c r="G5318" s="4">
        <v>839.0</v>
      </c>
      <c r="H5318" s="4">
        <v>567.0</v>
      </c>
      <c r="I5318" s="21">
        <f t="array" ref="I5318">XLOOKUP($A5318,product!A:A,product!E:E)</f>
        <v>1.24</v>
      </c>
      <c r="J5318" s="4">
        <f t="shared" si="2"/>
        <v>703.08</v>
      </c>
      <c r="K5318" s="22">
        <f t="shared" si="3"/>
        <v>1</v>
      </c>
      <c r="L5318" s="4">
        <f t="shared" si="4"/>
        <v>1</v>
      </c>
    </row>
    <row r="5319">
      <c r="A5319" s="23">
        <v>21523.0</v>
      </c>
      <c r="B5319" s="24" t="str">
        <f t="array" ref="B5319">xlookup($A5319,product!$A:$A,product!B:B)</f>
        <v>Epicerie salée</v>
      </c>
      <c r="C5319" s="24" t="str">
        <f t="array" ref="C5319">xlookup($A5319,product!$A:$A,product!C:C)</f>
        <v>Légumineuses et céréales</v>
      </c>
      <c r="D5319" s="24" t="str">
        <f t="array" ref="D5319">xlookup($A5319,product!$A:$A,product!D:D)</f>
        <v>Soja</v>
      </c>
      <c r="E5319" s="25" t="str">
        <f t="shared" si="1"/>
        <v>21523-Légumineuses et céréales-Soja</v>
      </c>
      <c r="F5319" s="25">
        <v>0.0</v>
      </c>
      <c r="G5319" s="25">
        <v>901.0</v>
      </c>
      <c r="H5319" s="25">
        <v>409.0</v>
      </c>
      <c r="I5319" s="26">
        <f t="array" ref="I5319">XLOOKUP($A5319,product!A:A,product!E:E)</f>
        <v>2.05</v>
      </c>
      <c r="J5319" s="25">
        <f t="shared" si="2"/>
        <v>838.45</v>
      </c>
      <c r="K5319" s="27">
        <f t="shared" si="3"/>
        <v>1</v>
      </c>
      <c r="L5319" s="25">
        <f t="shared" si="4"/>
        <v>1</v>
      </c>
    </row>
    <row r="5320">
      <c r="A5320" s="19">
        <v>5485.0</v>
      </c>
      <c r="B5320" s="20" t="str">
        <f t="array" ref="B5320">xlookup($A5320,product!$A:$A,product!B:B)</f>
        <v>Epicerie salée</v>
      </c>
      <c r="C5320" s="20" t="str">
        <f t="array" ref="C5320">xlookup($A5320,product!$A:$A,product!C:C)</f>
        <v>Légumineuses et céréales</v>
      </c>
      <c r="D5320" s="20" t="str">
        <f t="array" ref="D5320">xlookup($A5320,product!$A:$A,product!D:D)</f>
        <v>Quinoa bio</v>
      </c>
      <c r="E5320" s="4" t="str">
        <f t="shared" si="1"/>
        <v>5485-Légumineuses et céréales-Quinoa bio</v>
      </c>
      <c r="F5320" s="4">
        <v>0.0</v>
      </c>
      <c r="G5320" s="4">
        <v>706.0</v>
      </c>
      <c r="H5320" s="4">
        <v>11.0</v>
      </c>
      <c r="I5320" s="21">
        <f t="array" ref="I5320">XLOOKUP($A5320,product!A:A,product!E:E)</f>
        <v>4.82</v>
      </c>
      <c r="J5320" s="4">
        <f t="shared" si="2"/>
        <v>53.02</v>
      </c>
      <c r="K5320" s="22">
        <f t="shared" si="3"/>
        <v>1</v>
      </c>
      <c r="L5320" s="4">
        <f t="shared" si="4"/>
        <v>1</v>
      </c>
    </row>
    <row r="5321">
      <c r="A5321" s="23">
        <v>77294.0</v>
      </c>
      <c r="B5321" s="24" t="str">
        <f t="array" ref="B5321">xlookup($A5321,product!$A:$A,product!B:B)</f>
        <v>Epicerie salée</v>
      </c>
      <c r="C5321" s="24" t="str">
        <f t="array" ref="C5321">xlookup($A5321,product!$A:$A,product!C:C)</f>
        <v>Légumineuses et céréales</v>
      </c>
      <c r="D5321" s="24" t="str">
        <f t="array" ref="D5321">xlookup($A5321,product!$A:$A,product!D:D)</f>
        <v>Quinoa bio</v>
      </c>
      <c r="E5321" s="25" t="str">
        <f t="shared" si="1"/>
        <v>77294-Légumineuses et céréales-Quinoa bio</v>
      </c>
      <c r="F5321" s="25">
        <v>1.0</v>
      </c>
      <c r="G5321" s="25">
        <v>463.0</v>
      </c>
      <c r="H5321" s="25">
        <v>444.0</v>
      </c>
      <c r="I5321" s="26">
        <f t="array" ref="I5321">XLOOKUP($A5321,product!A:A,product!E:E)</f>
        <v>2.42</v>
      </c>
      <c r="J5321" s="25">
        <f t="shared" si="2"/>
        <v>1074.48</v>
      </c>
      <c r="K5321" s="27">
        <f t="shared" si="3"/>
        <v>1</v>
      </c>
      <c r="L5321" s="25">
        <f t="shared" si="4"/>
        <v>1</v>
      </c>
    </row>
    <row r="5322">
      <c r="A5322" s="19">
        <v>5486.0</v>
      </c>
      <c r="B5322" s="20" t="str">
        <f t="array" ref="B5322">xlookup($A5322,product!$A:$A,product!B:B)</f>
        <v>Epicerie salée</v>
      </c>
      <c r="C5322" s="20" t="str">
        <f t="array" ref="C5322">xlookup($A5322,product!$A:$A,product!C:C)</f>
        <v>Légumineuses et céréales</v>
      </c>
      <c r="D5322" s="20" t="str">
        <f t="array" ref="D5322">xlookup($A5322,product!$A:$A,product!D:D)</f>
        <v>Quinoa bio</v>
      </c>
      <c r="E5322" s="4" t="str">
        <f t="shared" si="1"/>
        <v>5486-Légumineuses et céréales-Quinoa bio</v>
      </c>
      <c r="F5322" s="4">
        <v>0.0</v>
      </c>
      <c r="G5322" s="4">
        <v>280.0</v>
      </c>
      <c r="H5322" s="4">
        <v>153.0</v>
      </c>
      <c r="I5322" s="21">
        <f t="array" ref="I5322">XLOOKUP($A5322,product!A:A,product!E:E)</f>
        <v>3.44</v>
      </c>
      <c r="J5322" s="4">
        <f t="shared" si="2"/>
        <v>526.32</v>
      </c>
      <c r="K5322" s="22">
        <f t="shared" si="3"/>
        <v>1</v>
      </c>
      <c r="L5322" s="4">
        <f t="shared" si="4"/>
        <v>1</v>
      </c>
    </row>
    <row r="5323">
      <c r="A5323" s="23">
        <v>77293.0</v>
      </c>
      <c r="B5323" s="24" t="str">
        <f t="array" ref="B5323">xlookup($A5323,product!$A:$A,product!B:B)</f>
        <v>Epicerie salée</v>
      </c>
      <c r="C5323" s="24" t="str">
        <f t="array" ref="C5323">xlookup($A5323,product!$A:$A,product!C:C)</f>
        <v>Légumineuses et céréales</v>
      </c>
      <c r="D5323" s="24" t="str">
        <f t="array" ref="D5323">xlookup($A5323,product!$A:$A,product!D:D)</f>
        <v>Quinoa bio</v>
      </c>
      <c r="E5323" s="25" t="str">
        <f t="shared" si="1"/>
        <v>77293-Légumineuses et céréales-Quinoa bio</v>
      </c>
      <c r="F5323" s="25">
        <v>0.0</v>
      </c>
      <c r="G5323" s="25">
        <v>106.0</v>
      </c>
      <c r="H5323" s="25">
        <v>83.0</v>
      </c>
      <c r="I5323" s="26">
        <f t="array" ref="I5323">XLOOKUP($A5323,product!A:A,product!E:E)</f>
        <v>2.26</v>
      </c>
      <c r="J5323" s="25">
        <f t="shared" si="2"/>
        <v>187.58</v>
      </c>
      <c r="K5323" s="27">
        <f t="shared" si="3"/>
        <v>1</v>
      </c>
      <c r="L5323" s="25">
        <f t="shared" si="4"/>
        <v>1</v>
      </c>
    </row>
    <row r="5324">
      <c r="A5324" s="19">
        <v>112230.0</v>
      </c>
      <c r="B5324" s="20" t="str">
        <f t="array" ref="B5324">xlookup($A5324,product!$A:$A,product!B:B)</f>
        <v>Epicerie salée</v>
      </c>
      <c r="C5324" s="20" t="str">
        <f t="array" ref="C5324">xlookup($A5324,product!$A:$A,product!C:C)</f>
        <v>Légumineuses et céréales</v>
      </c>
      <c r="D5324" s="20" t="str">
        <f t="array" ref="D5324">xlookup($A5324,product!$A:$A,product!D:D)</f>
        <v>Quinoa bio</v>
      </c>
      <c r="E5324" s="4" t="str">
        <f t="shared" si="1"/>
        <v>112230-Légumineuses et céréales-Quinoa bio</v>
      </c>
      <c r="F5324" s="4">
        <v>1.0</v>
      </c>
      <c r="G5324" s="4">
        <v>740.0</v>
      </c>
      <c r="H5324" s="4">
        <v>283.0</v>
      </c>
      <c r="I5324" s="21">
        <f t="array" ref="I5324">XLOOKUP($A5324,product!A:A,product!E:E)</f>
        <v>1.46</v>
      </c>
      <c r="J5324" s="4">
        <f t="shared" si="2"/>
        <v>413.18</v>
      </c>
      <c r="K5324" s="22">
        <f t="shared" si="3"/>
        <v>1</v>
      </c>
      <c r="L5324" s="4">
        <f t="shared" si="4"/>
        <v>1</v>
      </c>
    </row>
    <row r="5325">
      <c r="A5325" s="23">
        <v>83607.0</v>
      </c>
      <c r="B5325" s="24" t="str">
        <f t="array" ref="B5325">xlookup($A5325,product!$A:$A,product!B:B)</f>
        <v>Epicerie salée</v>
      </c>
      <c r="C5325" s="24" t="str">
        <f t="array" ref="C5325">xlookup($A5325,product!$A:$A,product!C:C)</f>
        <v>Légumineuses et céréales</v>
      </c>
      <c r="D5325" s="24" t="str">
        <f t="array" ref="D5325">xlookup($A5325,product!$A:$A,product!D:D)</f>
        <v>Quinoa bio</v>
      </c>
      <c r="E5325" s="25" t="str">
        <f t="shared" si="1"/>
        <v>83607-Légumineuses et céréales-Quinoa bio</v>
      </c>
      <c r="F5325" s="25">
        <v>0.0</v>
      </c>
      <c r="G5325" s="25">
        <v>887.0</v>
      </c>
      <c r="H5325" s="25">
        <v>672.0</v>
      </c>
      <c r="I5325" s="26">
        <f t="array" ref="I5325">XLOOKUP($A5325,product!A:A,product!E:E)</f>
        <v>27.38</v>
      </c>
      <c r="J5325" s="25">
        <f t="shared" si="2"/>
        <v>18399.36</v>
      </c>
      <c r="K5325" s="27">
        <f t="shared" si="3"/>
        <v>1</v>
      </c>
      <c r="L5325" s="25">
        <f t="shared" si="4"/>
        <v>1</v>
      </c>
    </row>
    <row r="5326">
      <c r="A5326" s="19">
        <v>117216.0</v>
      </c>
      <c r="B5326" s="20" t="str">
        <f t="array" ref="B5326">xlookup($A5326,product!$A:$A,product!B:B)</f>
        <v>Epicerie salée</v>
      </c>
      <c r="C5326" s="20" t="str">
        <f t="array" ref="C5326">xlookup($A5326,product!$A:$A,product!C:C)</f>
        <v>Légumineuses et céréales</v>
      </c>
      <c r="D5326" s="20" t="str">
        <f t="array" ref="D5326">xlookup($A5326,product!$A:$A,product!D:D)</f>
        <v>Quinoa bio</v>
      </c>
      <c r="E5326" s="4" t="str">
        <f t="shared" si="1"/>
        <v>117216-Légumineuses et céréales-Quinoa bio</v>
      </c>
      <c r="F5326" s="4">
        <v>0.0</v>
      </c>
      <c r="G5326" s="4">
        <v>102.0</v>
      </c>
      <c r="H5326" s="4">
        <v>36.0</v>
      </c>
      <c r="I5326" s="21">
        <f t="array" ref="I5326">XLOOKUP($A5326,product!A:A,product!E:E)</f>
        <v>10.1</v>
      </c>
      <c r="J5326" s="4">
        <f t="shared" si="2"/>
        <v>363.6</v>
      </c>
      <c r="K5326" s="22">
        <f t="shared" si="3"/>
        <v>1</v>
      </c>
      <c r="L5326" s="4">
        <f t="shared" si="4"/>
        <v>1</v>
      </c>
    </row>
    <row r="5327">
      <c r="A5327" s="23">
        <v>5487.0</v>
      </c>
      <c r="B5327" s="24" t="str">
        <f t="array" ref="B5327">xlookup($A5327,product!$A:$A,product!B:B)</f>
        <v>Epicerie salée</v>
      </c>
      <c r="C5327" s="24" t="str">
        <f t="array" ref="C5327">xlookup($A5327,product!$A:$A,product!C:C)</f>
        <v>Légumineuses et céréales</v>
      </c>
      <c r="D5327" s="24" t="str">
        <f t="array" ref="D5327">xlookup($A5327,product!$A:$A,product!D:D)</f>
        <v>Quinoa bio</v>
      </c>
      <c r="E5327" s="25" t="str">
        <f t="shared" si="1"/>
        <v>5487-Légumineuses et céréales-Quinoa bio</v>
      </c>
      <c r="F5327" s="25">
        <v>1.0</v>
      </c>
      <c r="G5327" s="25">
        <v>229.0</v>
      </c>
      <c r="H5327" s="25">
        <v>94.0</v>
      </c>
      <c r="I5327" s="26">
        <f t="array" ref="I5327">XLOOKUP($A5327,product!A:A,product!E:E)</f>
        <v>3.39</v>
      </c>
      <c r="J5327" s="25">
        <f t="shared" si="2"/>
        <v>318.66</v>
      </c>
      <c r="K5327" s="27">
        <f t="shared" si="3"/>
        <v>1</v>
      </c>
      <c r="L5327" s="25">
        <f t="shared" si="4"/>
        <v>1</v>
      </c>
    </row>
    <row r="5328">
      <c r="A5328" s="19">
        <v>77295.0</v>
      </c>
      <c r="B5328" s="20" t="str">
        <f t="array" ref="B5328">xlookup($A5328,product!$A:$A,product!B:B)</f>
        <v>Epicerie salée</v>
      </c>
      <c r="C5328" s="20" t="str">
        <f t="array" ref="C5328">xlookup($A5328,product!$A:$A,product!C:C)</f>
        <v>Légumineuses et céréales</v>
      </c>
      <c r="D5328" s="20" t="str">
        <f t="array" ref="D5328">xlookup($A5328,product!$A:$A,product!D:D)</f>
        <v>Quinoa bio</v>
      </c>
      <c r="E5328" s="4" t="str">
        <f t="shared" si="1"/>
        <v>77295-Légumineuses et céréales-Quinoa bio</v>
      </c>
      <c r="F5328" s="4">
        <v>1.0</v>
      </c>
      <c r="G5328" s="4">
        <v>644.0</v>
      </c>
      <c r="H5328" s="4">
        <v>510.0</v>
      </c>
      <c r="I5328" s="21">
        <f t="array" ref="I5328">XLOOKUP($A5328,product!A:A,product!E:E)</f>
        <v>2.42</v>
      </c>
      <c r="J5328" s="4">
        <f t="shared" si="2"/>
        <v>1234.2</v>
      </c>
      <c r="K5328" s="22">
        <f t="shared" si="3"/>
        <v>1</v>
      </c>
      <c r="L5328" s="4">
        <f t="shared" si="4"/>
        <v>1</v>
      </c>
    </row>
    <row r="5329">
      <c r="A5329" s="23">
        <v>89774.0</v>
      </c>
      <c r="B5329" s="24" t="str">
        <f t="array" ref="B5329">xlookup($A5329,product!$A:$A,product!B:B)</f>
        <v>Epicerie salée</v>
      </c>
      <c r="C5329" s="24" t="str">
        <f t="array" ref="C5329">xlookup($A5329,product!$A:$A,product!C:C)</f>
        <v>Légumineuses et céréales</v>
      </c>
      <c r="D5329" s="24" t="str">
        <f t="array" ref="D5329">xlookup($A5329,product!$A:$A,product!D:D)</f>
        <v>Quinoa bio</v>
      </c>
      <c r="E5329" s="25" t="str">
        <f t="shared" si="1"/>
        <v>89774-Légumineuses et céréales-Quinoa bio</v>
      </c>
      <c r="F5329" s="25">
        <v>0.0</v>
      </c>
      <c r="G5329" s="25">
        <v>870.0</v>
      </c>
      <c r="H5329" s="25">
        <v>296.0</v>
      </c>
      <c r="I5329" s="26">
        <f t="array" ref="I5329">XLOOKUP($A5329,product!A:A,product!E:E)</f>
        <v>3.5</v>
      </c>
      <c r="J5329" s="25">
        <f t="shared" si="2"/>
        <v>1036</v>
      </c>
      <c r="K5329" s="27">
        <f t="shared" si="3"/>
        <v>1</v>
      </c>
      <c r="L5329" s="25">
        <f t="shared" si="4"/>
        <v>1</v>
      </c>
    </row>
    <row r="5330">
      <c r="A5330" s="19">
        <v>5483.0</v>
      </c>
      <c r="B5330" s="20" t="str">
        <f t="array" ref="B5330">xlookup($A5330,product!$A:$A,product!B:B)</f>
        <v>Epicerie salée</v>
      </c>
      <c r="C5330" s="20" t="str">
        <f t="array" ref="C5330">xlookup($A5330,product!$A:$A,product!C:C)</f>
        <v>Légumineuses et céréales</v>
      </c>
      <c r="D5330" s="20" t="str">
        <f t="array" ref="D5330">xlookup($A5330,product!$A:$A,product!D:D)</f>
        <v>Quinoa bio</v>
      </c>
      <c r="E5330" s="4" t="str">
        <f t="shared" si="1"/>
        <v>5483-Légumineuses et céréales-Quinoa bio</v>
      </c>
      <c r="F5330" s="4">
        <v>1.0</v>
      </c>
      <c r="G5330" s="4">
        <v>541.0</v>
      </c>
      <c r="H5330" s="4">
        <v>262.0</v>
      </c>
      <c r="I5330" s="21">
        <f t="array" ref="I5330">XLOOKUP($A5330,product!A:A,product!E:E)</f>
        <v>2.57</v>
      </c>
      <c r="J5330" s="4">
        <f t="shared" si="2"/>
        <v>673.34</v>
      </c>
      <c r="K5330" s="22">
        <f t="shared" si="3"/>
        <v>1</v>
      </c>
      <c r="L5330" s="4">
        <f t="shared" si="4"/>
        <v>1</v>
      </c>
    </row>
    <row r="5331">
      <c r="A5331" s="23">
        <v>120541.0</v>
      </c>
      <c r="B5331" s="24" t="str">
        <f t="array" ref="B5331">xlookup($A5331,product!$A:$A,product!B:B)</f>
        <v>Epicerie salée</v>
      </c>
      <c r="C5331" s="24" t="str">
        <f t="array" ref="C5331">xlookup($A5331,product!$A:$A,product!C:C)</f>
        <v>Légumineuses et céréales</v>
      </c>
      <c r="D5331" s="24" t="str">
        <f t="array" ref="D5331">xlookup($A5331,product!$A:$A,product!D:D)</f>
        <v>Quinoa bio</v>
      </c>
      <c r="E5331" s="25" t="str">
        <f t="shared" si="1"/>
        <v>120541-Légumineuses et céréales-Quinoa bio</v>
      </c>
      <c r="F5331" s="25">
        <v>1.0</v>
      </c>
      <c r="G5331" s="25">
        <v>593.0</v>
      </c>
      <c r="H5331" s="25">
        <v>365.0</v>
      </c>
      <c r="I5331" s="26">
        <f t="array" ref="I5331">XLOOKUP($A5331,product!A:A,product!E:E)</f>
        <v>3.99</v>
      </c>
      <c r="J5331" s="25">
        <f t="shared" si="2"/>
        <v>1456.35</v>
      </c>
      <c r="K5331" s="27">
        <f t="shared" si="3"/>
        <v>1</v>
      </c>
      <c r="L5331" s="25">
        <f t="shared" si="4"/>
        <v>1</v>
      </c>
    </row>
    <row r="5332">
      <c r="A5332" s="19">
        <v>100249.0</v>
      </c>
      <c r="B5332" s="20" t="str">
        <f t="array" ref="B5332">xlookup($A5332,product!$A:$A,product!B:B)</f>
        <v>Epicerie salée</v>
      </c>
      <c r="C5332" s="20" t="str">
        <f t="array" ref="C5332">xlookup($A5332,product!$A:$A,product!C:C)</f>
        <v>Légumineuses et céréales</v>
      </c>
      <c r="D5332" s="20" t="str">
        <f t="array" ref="D5332">xlookup($A5332,product!$A:$A,product!D:D)</f>
        <v>Quinoa bio</v>
      </c>
      <c r="E5332" s="4" t="str">
        <f t="shared" si="1"/>
        <v>100249-Légumineuses et céréales-Quinoa bio</v>
      </c>
      <c r="F5332" s="4">
        <v>1.0</v>
      </c>
      <c r="G5332" s="4">
        <v>932.0</v>
      </c>
      <c r="H5332" s="4">
        <v>474.0</v>
      </c>
      <c r="I5332" s="21">
        <f t="array" ref="I5332">XLOOKUP($A5332,product!A:A,product!E:E)</f>
        <v>4.25</v>
      </c>
      <c r="J5332" s="4">
        <f t="shared" si="2"/>
        <v>2014.5</v>
      </c>
      <c r="K5332" s="22">
        <f t="shared" si="3"/>
        <v>1</v>
      </c>
      <c r="L5332" s="4">
        <f t="shared" si="4"/>
        <v>1</v>
      </c>
    </row>
    <row r="5333">
      <c r="A5333" s="23">
        <v>119242.0</v>
      </c>
      <c r="B5333" s="24" t="str">
        <f t="array" ref="B5333">xlookup($A5333,product!$A:$A,product!B:B)</f>
        <v>Epicerie salée</v>
      </c>
      <c r="C5333" s="24" t="str">
        <f t="array" ref="C5333">xlookup($A5333,product!$A:$A,product!C:C)</f>
        <v>Légumineuses et céréales</v>
      </c>
      <c r="D5333" s="24" t="str">
        <f t="array" ref="D5333">xlookup($A5333,product!$A:$A,product!D:D)</f>
        <v>Quinoa bio</v>
      </c>
      <c r="E5333" s="25" t="str">
        <f t="shared" si="1"/>
        <v>119242-Légumineuses et céréales-Quinoa bio</v>
      </c>
      <c r="F5333" s="25">
        <v>1.0</v>
      </c>
      <c r="G5333" s="25">
        <v>877.0</v>
      </c>
      <c r="H5333" s="25">
        <v>294.0</v>
      </c>
      <c r="I5333" s="26">
        <f t="array" ref="I5333">XLOOKUP($A5333,product!A:A,product!E:E)</f>
        <v>1.62</v>
      </c>
      <c r="J5333" s="25">
        <f t="shared" si="2"/>
        <v>476.28</v>
      </c>
      <c r="K5333" s="27">
        <f t="shared" si="3"/>
        <v>1</v>
      </c>
      <c r="L5333" s="25">
        <f t="shared" si="4"/>
        <v>1</v>
      </c>
    </row>
    <row r="5334">
      <c r="A5334" s="19">
        <v>90868.0</v>
      </c>
      <c r="B5334" s="20" t="str">
        <f t="array" ref="B5334">xlookup($A5334,product!$A:$A,product!B:B)</f>
        <v>Epicerie salée</v>
      </c>
      <c r="C5334" s="20" t="str">
        <f t="array" ref="C5334">xlookup($A5334,product!$A:$A,product!C:C)</f>
        <v>Légumineuses et céréales</v>
      </c>
      <c r="D5334" s="20" t="str">
        <f t="array" ref="D5334">xlookup($A5334,product!$A:$A,product!D:D)</f>
        <v>Légumineuses</v>
      </c>
      <c r="E5334" s="4" t="str">
        <f t="shared" si="1"/>
        <v>90868-Légumineuses et céréales-Légumineuses</v>
      </c>
      <c r="F5334" s="4">
        <v>0.0</v>
      </c>
      <c r="G5334" s="4">
        <v>614.0</v>
      </c>
      <c r="H5334" s="4">
        <v>248.0</v>
      </c>
      <c r="I5334" s="21">
        <f t="array" ref="I5334">XLOOKUP($A5334,product!A:A,product!E:E)</f>
        <v>6.48</v>
      </c>
      <c r="J5334" s="4">
        <f t="shared" si="2"/>
        <v>1607.04</v>
      </c>
      <c r="K5334" s="22">
        <f t="shared" si="3"/>
        <v>1</v>
      </c>
      <c r="L5334" s="4">
        <f t="shared" si="4"/>
        <v>1</v>
      </c>
    </row>
    <row r="5335">
      <c r="A5335" s="23">
        <v>90854.0</v>
      </c>
      <c r="B5335" s="24" t="str">
        <f t="array" ref="B5335">xlookup($A5335,product!$A:$A,product!B:B)</f>
        <v>Epicerie salée</v>
      </c>
      <c r="C5335" s="24" t="str">
        <f t="array" ref="C5335">xlookup($A5335,product!$A:$A,product!C:C)</f>
        <v>Légumineuses et céréales</v>
      </c>
      <c r="D5335" s="24" t="str">
        <f t="array" ref="D5335">xlookup($A5335,product!$A:$A,product!D:D)</f>
        <v>Légumineuses</v>
      </c>
      <c r="E5335" s="25" t="str">
        <f t="shared" si="1"/>
        <v>90854-Légumineuses et céréales-Légumineuses</v>
      </c>
      <c r="F5335" s="25">
        <v>1.0</v>
      </c>
      <c r="G5335" s="25">
        <v>70.0</v>
      </c>
      <c r="H5335" s="25">
        <v>35.0</v>
      </c>
      <c r="I5335" s="26">
        <f t="array" ref="I5335">XLOOKUP($A5335,product!A:A,product!E:E)</f>
        <v>2.42</v>
      </c>
      <c r="J5335" s="25">
        <f t="shared" si="2"/>
        <v>84.7</v>
      </c>
      <c r="K5335" s="27">
        <f t="shared" si="3"/>
        <v>1</v>
      </c>
      <c r="L5335" s="25">
        <f t="shared" si="4"/>
        <v>1</v>
      </c>
    </row>
    <row r="5336">
      <c r="A5336" s="19">
        <v>76568.0</v>
      </c>
      <c r="B5336" s="20" t="str">
        <f t="array" ref="B5336">xlookup($A5336,product!$A:$A,product!B:B)</f>
        <v>Epicerie salée</v>
      </c>
      <c r="C5336" s="20" t="str">
        <f t="array" ref="C5336">xlookup($A5336,product!$A:$A,product!C:C)</f>
        <v>Légumineuses et céréales</v>
      </c>
      <c r="D5336" s="20" t="str">
        <f t="array" ref="D5336">xlookup($A5336,product!$A:$A,product!D:D)</f>
        <v>Légumineuses</v>
      </c>
      <c r="E5336" s="4" t="str">
        <f t="shared" si="1"/>
        <v>76568-Légumineuses et céréales-Légumineuses</v>
      </c>
      <c r="F5336" s="4">
        <v>1.0</v>
      </c>
      <c r="G5336" s="4">
        <v>19.0</v>
      </c>
      <c r="H5336" s="4">
        <v>15.0</v>
      </c>
      <c r="I5336" s="21">
        <f t="array" ref="I5336">XLOOKUP($A5336,product!A:A,product!E:E)</f>
        <v>1.6</v>
      </c>
      <c r="J5336" s="4">
        <f t="shared" si="2"/>
        <v>24</v>
      </c>
      <c r="K5336" s="22">
        <f t="shared" si="3"/>
        <v>1</v>
      </c>
      <c r="L5336" s="4">
        <f t="shared" si="4"/>
        <v>1</v>
      </c>
    </row>
    <row r="5337">
      <c r="A5337" s="23">
        <v>76589.0</v>
      </c>
      <c r="B5337" s="24" t="str">
        <f t="array" ref="B5337">xlookup($A5337,product!$A:$A,product!B:B)</f>
        <v>Epicerie salée</v>
      </c>
      <c r="C5337" s="24" t="str">
        <f t="array" ref="C5337">xlookup($A5337,product!$A:$A,product!C:C)</f>
        <v>Légumineuses et céréales</v>
      </c>
      <c r="D5337" s="24" t="str">
        <f t="array" ref="D5337">xlookup($A5337,product!$A:$A,product!D:D)</f>
        <v>Légumineuses</v>
      </c>
      <c r="E5337" s="25" t="str">
        <f t="shared" si="1"/>
        <v>76589-Légumineuses et céréales-Légumineuses</v>
      </c>
      <c r="F5337" s="25">
        <v>0.0</v>
      </c>
      <c r="G5337" s="25">
        <v>357.0</v>
      </c>
      <c r="H5337" s="25">
        <v>67.0</v>
      </c>
      <c r="I5337" s="26">
        <f t="array" ref="I5337">XLOOKUP($A5337,product!A:A,product!E:E)</f>
        <v>1.84</v>
      </c>
      <c r="J5337" s="25">
        <f t="shared" si="2"/>
        <v>123.28</v>
      </c>
      <c r="K5337" s="27">
        <f t="shared" si="3"/>
        <v>1</v>
      </c>
      <c r="L5337" s="25">
        <f t="shared" si="4"/>
        <v>1</v>
      </c>
    </row>
    <row r="5338">
      <c r="A5338" s="19">
        <v>76581.0</v>
      </c>
      <c r="B5338" s="20" t="str">
        <f t="array" ref="B5338">xlookup($A5338,product!$A:$A,product!B:B)</f>
        <v>Epicerie salée</v>
      </c>
      <c r="C5338" s="20" t="str">
        <f t="array" ref="C5338">xlookup($A5338,product!$A:$A,product!C:C)</f>
        <v>Légumineuses et céréales</v>
      </c>
      <c r="D5338" s="20" t="str">
        <f t="array" ref="D5338">xlookup($A5338,product!$A:$A,product!D:D)</f>
        <v>Légumineuses</v>
      </c>
      <c r="E5338" s="4" t="str">
        <f t="shared" si="1"/>
        <v>76581-Légumineuses et céréales-Légumineuses</v>
      </c>
      <c r="F5338" s="4">
        <v>0.0</v>
      </c>
      <c r="G5338" s="4">
        <v>201.0</v>
      </c>
      <c r="H5338" s="4">
        <v>122.0</v>
      </c>
      <c r="I5338" s="21">
        <f t="array" ref="I5338">XLOOKUP($A5338,product!A:A,product!E:E)</f>
        <v>1.37</v>
      </c>
      <c r="J5338" s="4">
        <f t="shared" si="2"/>
        <v>167.14</v>
      </c>
      <c r="K5338" s="22">
        <f t="shared" si="3"/>
        <v>1</v>
      </c>
      <c r="L5338" s="4">
        <f t="shared" si="4"/>
        <v>1</v>
      </c>
    </row>
    <row r="5339">
      <c r="A5339" s="23">
        <v>77250.0</v>
      </c>
      <c r="B5339" s="24" t="str">
        <f t="array" ref="B5339">xlookup($A5339,product!$A:$A,product!B:B)</f>
        <v>Epicerie salée</v>
      </c>
      <c r="C5339" s="24" t="str">
        <f t="array" ref="C5339">xlookup($A5339,product!$A:$A,product!C:C)</f>
        <v>Légumineuses et céréales</v>
      </c>
      <c r="D5339" s="24" t="str">
        <f t="array" ref="D5339">xlookup($A5339,product!$A:$A,product!D:D)</f>
        <v>Légumineuses</v>
      </c>
      <c r="E5339" s="25" t="str">
        <f t="shared" si="1"/>
        <v>77250-Légumineuses et céréales-Légumineuses</v>
      </c>
      <c r="F5339" s="25">
        <v>1.0</v>
      </c>
      <c r="G5339" s="25">
        <v>361.0</v>
      </c>
      <c r="H5339" s="25">
        <v>294.0</v>
      </c>
      <c r="I5339" s="26">
        <f t="array" ref="I5339">XLOOKUP($A5339,product!A:A,product!E:E)</f>
        <v>1.37</v>
      </c>
      <c r="J5339" s="25">
        <f t="shared" si="2"/>
        <v>402.78</v>
      </c>
      <c r="K5339" s="27">
        <f t="shared" si="3"/>
        <v>1</v>
      </c>
      <c r="L5339" s="25">
        <f t="shared" si="4"/>
        <v>1</v>
      </c>
    </row>
    <row r="5340">
      <c r="A5340" s="19">
        <v>87222.0</v>
      </c>
      <c r="B5340" s="20" t="str">
        <f t="array" ref="B5340">xlookup($A5340,product!$A:$A,product!B:B)</f>
        <v>Epicerie salée</v>
      </c>
      <c r="C5340" s="20" t="str">
        <f t="array" ref="C5340">xlookup($A5340,product!$A:$A,product!C:C)</f>
        <v>Légumineuses et céréales</v>
      </c>
      <c r="D5340" s="20" t="str">
        <f t="array" ref="D5340">xlookup($A5340,product!$A:$A,product!D:D)</f>
        <v>Légumineuses</v>
      </c>
      <c r="E5340" s="4" t="str">
        <f t="shared" si="1"/>
        <v>87222-Légumineuses et céréales-Légumineuses</v>
      </c>
      <c r="F5340" s="4">
        <v>0.0</v>
      </c>
      <c r="G5340" s="4">
        <v>810.0</v>
      </c>
      <c r="H5340" s="4">
        <v>2.0</v>
      </c>
      <c r="I5340" s="21">
        <f t="array" ref="I5340">XLOOKUP($A5340,product!A:A,product!E:E)</f>
        <v>11.96</v>
      </c>
      <c r="J5340" s="4">
        <f t="shared" si="2"/>
        <v>23.92</v>
      </c>
      <c r="K5340" s="22">
        <f t="shared" si="3"/>
        <v>1</v>
      </c>
      <c r="L5340" s="4">
        <f t="shared" si="4"/>
        <v>1</v>
      </c>
    </row>
    <row r="5341">
      <c r="A5341" s="23">
        <v>122120.0</v>
      </c>
      <c r="B5341" s="24" t="str">
        <f t="array" ref="B5341">xlookup($A5341,product!$A:$A,product!B:B)</f>
        <v>Epicerie salée</v>
      </c>
      <c r="C5341" s="24" t="str">
        <f t="array" ref="C5341">xlookup($A5341,product!$A:$A,product!C:C)</f>
        <v>Légumineuses et céréales</v>
      </c>
      <c r="D5341" s="24" t="str">
        <f t="array" ref="D5341">xlookup($A5341,product!$A:$A,product!D:D)</f>
        <v>Légumineuses</v>
      </c>
      <c r="E5341" s="25" t="str">
        <f t="shared" si="1"/>
        <v>122120-Légumineuses et céréales-Légumineuses</v>
      </c>
      <c r="F5341" s="25">
        <v>0.0</v>
      </c>
      <c r="G5341" s="25">
        <v>627.0</v>
      </c>
      <c r="H5341" s="25">
        <v>92.0</v>
      </c>
      <c r="I5341" s="26">
        <f t="array" ref="I5341">XLOOKUP($A5341,product!A:A,product!E:E)</f>
        <v>2.34</v>
      </c>
      <c r="J5341" s="25">
        <f t="shared" si="2"/>
        <v>215.28</v>
      </c>
      <c r="K5341" s="27">
        <f t="shared" si="3"/>
        <v>1</v>
      </c>
      <c r="L5341" s="25">
        <f t="shared" si="4"/>
        <v>1</v>
      </c>
    </row>
    <row r="5342">
      <c r="A5342" s="19">
        <v>122121.0</v>
      </c>
      <c r="B5342" s="20" t="str">
        <f t="array" ref="B5342">xlookup($A5342,product!$A:$A,product!B:B)</f>
        <v>Epicerie salée</v>
      </c>
      <c r="C5342" s="20" t="str">
        <f t="array" ref="C5342">xlookup($A5342,product!$A:$A,product!C:C)</f>
        <v>Légumineuses et céréales</v>
      </c>
      <c r="D5342" s="20" t="str">
        <f t="array" ref="D5342">xlookup($A5342,product!$A:$A,product!D:D)</f>
        <v>Légumineuses</v>
      </c>
      <c r="E5342" s="4" t="str">
        <f t="shared" si="1"/>
        <v>122121-Légumineuses et céréales-Légumineuses</v>
      </c>
      <c r="F5342" s="4">
        <v>0.0</v>
      </c>
      <c r="G5342" s="4">
        <v>26.0</v>
      </c>
      <c r="H5342" s="4">
        <v>3.0</v>
      </c>
      <c r="I5342" s="21">
        <f t="array" ref="I5342">XLOOKUP($A5342,product!A:A,product!E:E)</f>
        <v>2.98</v>
      </c>
      <c r="J5342" s="4">
        <f t="shared" si="2"/>
        <v>8.94</v>
      </c>
      <c r="K5342" s="22">
        <f t="shared" si="3"/>
        <v>1</v>
      </c>
      <c r="L5342" s="4">
        <f t="shared" si="4"/>
        <v>1</v>
      </c>
    </row>
    <row r="5343">
      <c r="A5343" s="23">
        <v>90880.0</v>
      </c>
      <c r="B5343" s="24" t="str">
        <f t="array" ref="B5343">xlookup($A5343,product!$A:$A,product!B:B)</f>
        <v>Epicerie salée</v>
      </c>
      <c r="C5343" s="24" t="str">
        <f t="array" ref="C5343">xlookup($A5343,product!$A:$A,product!C:C)</f>
        <v>Légumineuses et céréales</v>
      </c>
      <c r="D5343" s="24" t="str">
        <f t="array" ref="D5343">xlookup($A5343,product!$A:$A,product!D:D)</f>
        <v>Légumineuses</v>
      </c>
      <c r="E5343" s="25" t="str">
        <f t="shared" si="1"/>
        <v>90880-Légumineuses et céréales-Légumineuses</v>
      </c>
      <c r="F5343" s="25">
        <v>0.0</v>
      </c>
      <c r="G5343" s="25">
        <v>350.0</v>
      </c>
      <c r="H5343" s="25">
        <v>247.0</v>
      </c>
      <c r="I5343" s="26">
        <f t="array" ref="I5343">XLOOKUP($A5343,product!A:A,product!E:E)</f>
        <v>2.46</v>
      </c>
      <c r="J5343" s="25">
        <f t="shared" si="2"/>
        <v>607.62</v>
      </c>
      <c r="K5343" s="27">
        <f t="shared" si="3"/>
        <v>1</v>
      </c>
      <c r="L5343" s="25">
        <f t="shared" si="4"/>
        <v>1</v>
      </c>
    </row>
    <row r="5344">
      <c r="A5344" s="19">
        <v>122088.0</v>
      </c>
      <c r="B5344" s="20" t="str">
        <f t="array" ref="B5344">xlookup($A5344,product!$A:$A,product!B:B)</f>
        <v>Epicerie salée</v>
      </c>
      <c r="C5344" s="20" t="str">
        <f t="array" ref="C5344">xlookup($A5344,product!$A:$A,product!C:C)</f>
        <v>Légumineuses et céréales</v>
      </c>
      <c r="D5344" s="20" t="str">
        <f t="array" ref="D5344">xlookup($A5344,product!$A:$A,product!D:D)</f>
        <v>Légumineuses</v>
      </c>
      <c r="E5344" s="4" t="str">
        <f t="shared" si="1"/>
        <v>122088-Légumineuses et céréales-Légumineuses</v>
      </c>
      <c r="F5344" s="4">
        <v>0.0</v>
      </c>
      <c r="G5344" s="4">
        <v>90.0</v>
      </c>
      <c r="H5344" s="4">
        <v>71.0</v>
      </c>
      <c r="I5344" s="21">
        <f t="array" ref="I5344">XLOOKUP($A5344,product!A:A,product!E:E)</f>
        <v>1.06</v>
      </c>
      <c r="J5344" s="4">
        <f t="shared" si="2"/>
        <v>75.26</v>
      </c>
      <c r="K5344" s="22">
        <f t="shared" si="3"/>
        <v>1</v>
      </c>
      <c r="L5344" s="4">
        <f t="shared" si="4"/>
        <v>1</v>
      </c>
    </row>
    <row r="5345">
      <c r="A5345" s="23">
        <v>90886.0</v>
      </c>
      <c r="B5345" s="24" t="str">
        <f t="array" ref="B5345">xlookup($A5345,product!$A:$A,product!B:B)</f>
        <v>Epicerie salée</v>
      </c>
      <c r="C5345" s="24" t="str">
        <f t="array" ref="C5345">xlookup($A5345,product!$A:$A,product!C:C)</f>
        <v>Légumineuses et céréales</v>
      </c>
      <c r="D5345" s="24" t="str">
        <f t="array" ref="D5345">xlookup($A5345,product!$A:$A,product!D:D)</f>
        <v>Légumineuses</v>
      </c>
      <c r="E5345" s="25" t="str">
        <f t="shared" si="1"/>
        <v>90886-Légumineuses et céréales-Légumineuses</v>
      </c>
      <c r="F5345" s="25">
        <v>1.0</v>
      </c>
      <c r="G5345" s="25">
        <v>747.0</v>
      </c>
      <c r="H5345" s="25">
        <v>285.0</v>
      </c>
      <c r="I5345" s="26">
        <f t="array" ref="I5345">XLOOKUP($A5345,product!A:A,product!E:E)</f>
        <v>1.28</v>
      </c>
      <c r="J5345" s="25">
        <f t="shared" si="2"/>
        <v>364.8</v>
      </c>
      <c r="K5345" s="27">
        <f t="shared" si="3"/>
        <v>1</v>
      </c>
      <c r="L5345" s="25">
        <f t="shared" si="4"/>
        <v>1</v>
      </c>
    </row>
    <row r="5346">
      <c r="A5346" s="19">
        <v>90755.0</v>
      </c>
      <c r="B5346" s="20" t="str">
        <f t="array" ref="B5346">xlookup($A5346,product!$A:$A,product!B:B)</f>
        <v>Epicerie salée</v>
      </c>
      <c r="C5346" s="20" t="str">
        <f t="array" ref="C5346">xlookup($A5346,product!$A:$A,product!C:C)</f>
        <v>Légumineuses et céréales</v>
      </c>
      <c r="D5346" s="20" t="str">
        <f t="array" ref="D5346">xlookup($A5346,product!$A:$A,product!D:D)</f>
        <v>Légumineuses</v>
      </c>
      <c r="E5346" s="4" t="str">
        <f t="shared" si="1"/>
        <v>90755-Légumineuses et céréales-Légumineuses</v>
      </c>
      <c r="F5346" s="4">
        <v>1.0</v>
      </c>
      <c r="G5346" s="4">
        <v>702.0</v>
      </c>
      <c r="H5346" s="4">
        <v>675.0</v>
      </c>
      <c r="I5346" s="21">
        <f t="array" ref="I5346">XLOOKUP($A5346,product!A:A,product!E:E)</f>
        <v>1.84</v>
      </c>
      <c r="J5346" s="4">
        <f t="shared" si="2"/>
        <v>1242</v>
      </c>
      <c r="K5346" s="22">
        <f t="shared" si="3"/>
        <v>1</v>
      </c>
      <c r="L5346" s="4">
        <f t="shared" si="4"/>
        <v>1</v>
      </c>
    </row>
    <row r="5347">
      <c r="A5347" s="23">
        <v>111045.0</v>
      </c>
      <c r="B5347" s="24" t="str">
        <f t="array" ref="B5347">xlookup($A5347,product!$A:$A,product!B:B)</f>
        <v>Epicerie salée</v>
      </c>
      <c r="C5347" s="24" t="str">
        <f t="array" ref="C5347">xlookup($A5347,product!$A:$A,product!C:C)</f>
        <v>Légumineuses et céréales</v>
      </c>
      <c r="D5347" s="24" t="str">
        <f t="array" ref="D5347">xlookup($A5347,product!$A:$A,product!D:D)</f>
        <v>Légumineuses</v>
      </c>
      <c r="E5347" s="25" t="str">
        <f t="shared" si="1"/>
        <v>111045-Légumineuses et céréales-Légumineuses</v>
      </c>
      <c r="F5347" s="25">
        <v>0.0</v>
      </c>
      <c r="G5347" s="25">
        <v>853.0</v>
      </c>
      <c r="H5347" s="25">
        <v>789.0</v>
      </c>
      <c r="I5347" s="26">
        <f t="array" ref="I5347">XLOOKUP($A5347,product!A:A,product!E:E)</f>
        <v>1.76</v>
      </c>
      <c r="J5347" s="25">
        <f t="shared" si="2"/>
        <v>1388.64</v>
      </c>
      <c r="K5347" s="27">
        <f t="shared" si="3"/>
        <v>1</v>
      </c>
      <c r="L5347" s="25">
        <f t="shared" si="4"/>
        <v>1</v>
      </c>
    </row>
    <row r="5348">
      <c r="A5348" s="19">
        <v>76582.0</v>
      </c>
      <c r="B5348" s="20" t="str">
        <f t="array" ref="B5348">xlookup($A5348,product!$A:$A,product!B:B)</f>
        <v>Epicerie salée</v>
      </c>
      <c r="C5348" s="20" t="str">
        <f t="array" ref="C5348">xlookup($A5348,product!$A:$A,product!C:C)</f>
        <v>Légumineuses et céréales</v>
      </c>
      <c r="D5348" s="20" t="str">
        <f t="array" ref="D5348">xlookup($A5348,product!$A:$A,product!D:D)</f>
        <v>Légumineuses</v>
      </c>
      <c r="E5348" s="4" t="str">
        <f t="shared" si="1"/>
        <v>76582-Légumineuses et céréales-Légumineuses</v>
      </c>
      <c r="F5348" s="4">
        <v>0.0</v>
      </c>
      <c r="G5348" s="4">
        <v>92.0</v>
      </c>
      <c r="H5348" s="4">
        <v>74.0</v>
      </c>
      <c r="I5348" s="21">
        <f t="array" ref="I5348">XLOOKUP($A5348,product!A:A,product!E:E)</f>
        <v>1.78</v>
      </c>
      <c r="J5348" s="4">
        <f t="shared" si="2"/>
        <v>131.72</v>
      </c>
      <c r="K5348" s="22">
        <f t="shared" si="3"/>
        <v>1</v>
      </c>
      <c r="L5348" s="4">
        <f t="shared" si="4"/>
        <v>1</v>
      </c>
    </row>
    <row r="5349">
      <c r="A5349" s="23">
        <v>76570.0</v>
      </c>
      <c r="B5349" s="24" t="str">
        <f t="array" ref="B5349">xlookup($A5349,product!$A:$A,product!B:B)</f>
        <v>Epicerie salée</v>
      </c>
      <c r="C5349" s="24" t="str">
        <f t="array" ref="C5349">xlookup($A5349,product!$A:$A,product!C:C)</f>
        <v>Légumineuses et céréales</v>
      </c>
      <c r="D5349" s="24" t="str">
        <f t="array" ref="D5349">xlookup($A5349,product!$A:$A,product!D:D)</f>
        <v>Légumineuses</v>
      </c>
      <c r="E5349" s="25" t="str">
        <f t="shared" si="1"/>
        <v>76570-Légumineuses et céréales-Légumineuses</v>
      </c>
      <c r="F5349" s="25">
        <v>0.0</v>
      </c>
      <c r="G5349" s="25">
        <v>226.0</v>
      </c>
      <c r="H5349" s="25">
        <v>54.0</v>
      </c>
      <c r="I5349" s="26">
        <f t="array" ref="I5349">XLOOKUP($A5349,product!A:A,product!E:E)</f>
        <v>1.15</v>
      </c>
      <c r="J5349" s="25">
        <f t="shared" si="2"/>
        <v>62.1</v>
      </c>
      <c r="K5349" s="27">
        <f t="shared" si="3"/>
        <v>1</v>
      </c>
      <c r="L5349" s="25">
        <f t="shared" si="4"/>
        <v>1</v>
      </c>
    </row>
    <row r="5350">
      <c r="A5350" s="19">
        <v>87099.0</v>
      </c>
      <c r="B5350" s="20" t="str">
        <f t="array" ref="B5350">xlookup($A5350,product!$A:$A,product!B:B)</f>
        <v>Epicerie salée</v>
      </c>
      <c r="C5350" s="20" t="str">
        <f t="array" ref="C5350">xlookup($A5350,product!$A:$A,product!C:C)</f>
        <v>Légumineuses et céréales</v>
      </c>
      <c r="D5350" s="20" t="str">
        <f t="array" ref="D5350">xlookup($A5350,product!$A:$A,product!D:D)</f>
        <v>Légumineuses</v>
      </c>
      <c r="E5350" s="4" t="str">
        <f t="shared" si="1"/>
        <v>87099-Légumineuses et céréales-Légumineuses</v>
      </c>
      <c r="F5350" s="4">
        <v>0.0</v>
      </c>
      <c r="G5350" s="4">
        <v>763.0</v>
      </c>
      <c r="H5350" s="4">
        <v>636.0</v>
      </c>
      <c r="I5350" s="21">
        <f t="array" ref="I5350">XLOOKUP($A5350,product!A:A,product!E:E)</f>
        <v>1.4</v>
      </c>
      <c r="J5350" s="4">
        <f t="shared" si="2"/>
        <v>890.4</v>
      </c>
      <c r="K5350" s="22">
        <f t="shared" si="3"/>
        <v>1</v>
      </c>
      <c r="L5350" s="4">
        <f t="shared" si="4"/>
        <v>1</v>
      </c>
    </row>
    <row r="5351">
      <c r="A5351" s="23">
        <v>76569.0</v>
      </c>
      <c r="B5351" s="24" t="str">
        <f t="array" ref="B5351">xlookup($A5351,product!$A:$A,product!B:B)</f>
        <v>Epicerie salée</v>
      </c>
      <c r="C5351" s="24" t="str">
        <f t="array" ref="C5351">xlookup($A5351,product!$A:$A,product!C:C)</f>
        <v>Légumineuses et céréales</v>
      </c>
      <c r="D5351" s="24" t="str">
        <f t="array" ref="D5351">xlookup($A5351,product!$A:$A,product!D:D)</f>
        <v>Légumineuses</v>
      </c>
      <c r="E5351" s="25" t="str">
        <f t="shared" si="1"/>
        <v>76569-Légumineuses et céréales-Légumineuses</v>
      </c>
      <c r="F5351" s="25">
        <v>1.0</v>
      </c>
      <c r="G5351" s="25">
        <v>571.0</v>
      </c>
      <c r="H5351" s="25">
        <v>501.0</v>
      </c>
      <c r="I5351" s="26">
        <f t="array" ref="I5351">XLOOKUP($A5351,product!A:A,product!E:E)</f>
        <v>1.7</v>
      </c>
      <c r="J5351" s="25">
        <f t="shared" si="2"/>
        <v>851.7</v>
      </c>
      <c r="K5351" s="27">
        <f t="shared" si="3"/>
        <v>1</v>
      </c>
      <c r="L5351" s="25">
        <f t="shared" si="4"/>
        <v>1</v>
      </c>
    </row>
    <row r="5352">
      <c r="A5352" s="19">
        <v>5586.0</v>
      </c>
      <c r="B5352" s="20" t="str">
        <f t="array" ref="B5352">xlookup($A5352,product!$A:$A,product!B:B)</f>
        <v>Epicerie salée</v>
      </c>
      <c r="C5352" s="20" t="str">
        <f t="array" ref="C5352">xlookup($A5352,product!$A:$A,product!C:C)</f>
        <v>Légumineuses et céréales</v>
      </c>
      <c r="D5352" s="20" t="str">
        <f t="array" ref="D5352">xlookup($A5352,product!$A:$A,product!D:D)</f>
        <v>Légumineuses</v>
      </c>
      <c r="E5352" s="4" t="str">
        <f t="shared" si="1"/>
        <v>5586-Légumineuses et céréales-Légumineuses</v>
      </c>
      <c r="F5352" s="4">
        <v>0.0</v>
      </c>
      <c r="G5352" s="4">
        <v>177.0</v>
      </c>
      <c r="H5352" s="4">
        <v>0.0</v>
      </c>
      <c r="I5352" s="21">
        <f t="array" ref="I5352">XLOOKUP($A5352,product!A:A,product!E:E)</f>
        <v>1.64</v>
      </c>
      <c r="J5352" s="4">
        <f t="shared" si="2"/>
        <v>0</v>
      </c>
      <c r="K5352" s="22">
        <f t="shared" si="3"/>
        <v>0</v>
      </c>
      <c r="L5352" s="4">
        <f t="shared" si="4"/>
        <v>1</v>
      </c>
    </row>
    <row r="5353">
      <c r="A5353" s="23">
        <v>5600.0</v>
      </c>
      <c r="B5353" s="24" t="str">
        <f t="array" ref="B5353">xlookup($A5353,product!$A:$A,product!B:B)</f>
        <v>Epicerie salée</v>
      </c>
      <c r="C5353" s="24" t="str">
        <f t="array" ref="C5353">xlookup($A5353,product!$A:$A,product!C:C)</f>
        <v>Légumineuses et céréales</v>
      </c>
      <c r="D5353" s="24" t="str">
        <f t="array" ref="D5353">xlookup($A5353,product!$A:$A,product!D:D)</f>
        <v>Légumineuses</v>
      </c>
      <c r="E5353" s="25" t="str">
        <f t="shared" si="1"/>
        <v>5600-Légumineuses et céréales-Légumineuses</v>
      </c>
      <c r="F5353" s="25">
        <v>1.0</v>
      </c>
      <c r="G5353" s="25">
        <v>874.0</v>
      </c>
      <c r="H5353" s="25">
        <v>356.0</v>
      </c>
      <c r="I5353" s="26">
        <f t="array" ref="I5353">XLOOKUP($A5353,product!A:A,product!E:E)</f>
        <v>1.52</v>
      </c>
      <c r="J5353" s="25">
        <f t="shared" si="2"/>
        <v>541.12</v>
      </c>
      <c r="K5353" s="27">
        <f t="shared" si="3"/>
        <v>1</v>
      </c>
      <c r="L5353" s="25">
        <f t="shared" si="4"/>
        <v>1</v>
      </c>
    </row>
    <row r="5354">
      <c r="A5354" s="19">
        <v>120390.0</v>
      </c>
      <c r="B5354" s="20" t="str">
        <f t="array" ref="B5354">xlookup($A5354,product!$A:$A,product!B:B)</f>
        <v>Epicerie salée</v>
      </c>
      <c r="C5354" s="20" t="str">
        <f t="array" ref="C5354">xlookup($A5354,product!$A:$A,product!C:C)</f>
        <v>Légumineuses et céréales</v>
      </c>
      <c r="D5354" s="20" t="str">
        <f t="array" ref="D5354">xlookup($A5354,product!$A:$A,product!D:D)</f>
        <v>Légumineuses</v>
      </c>
      <c r="E5354" s="4" t="str">
        <f t="shared" si="1"/>
        <v>120390-Légumineuses et céréales-Légumineuses</v>
      </c>
      <c r="F5354" s="4">
        <v>1.0</v>
      </c>
      <c r="G5354" s="4">
        <v>853.0</v>
      </c>
      <c r="H5354" s="4">
        <v>9.0</v>
      </c>
      <c r="I5354" s="21">
        <f t="array" ref="I5354">XLOOKUP($A5354,product!A:A,product!E:E)</f>
        <v>2.37</v>
      </c>
      <c r="J5354" s="4">
        <f t="shared" si="2"/>
        <v>21.33</v>
      </c>
      <c r="K5354" s="22">
        <f t="shared" si="3"/>
        <v>1</v>
      </c>
      <c r="L5354" s="4">
        <f t="shared" si="4"/>
        <v>1</v>
      </c>
    </row>
    <row r="5355">
      <c r="A5355" s="23">
        <v>76389.0</v>
      </c>
      <c r="B5355" s="24" t="str">
        <f t="array" ref="B5355">xlookup($A5355,product!$A:$A,product!B:B)</f>
        <v>Epicerie salée</v>
      </c>
      <c r="C5355" s="24" t="str">
        <f t="array" ref="C5355">xlookup($A5355,product!$A:$A,product!C:C)</f>
        <v>Légumineuses et céréales</v>
      </c>
      <c r="D5355" s="24" t="str">
        <f t="array" ref="D5355">xlookup($A5355,product!$A:$A,product!D:D)</f>
        <v>Légumineuses</v>
      </c>
      <c r="E5355" s="25" t="str">
        <f t="shared" si="1"/>
        <v>76389-Légumineuses et céréales-Légumineuses</v>
      </c>
      <c r="F5355" s="25">
        <v>0.0</v>
      </c>
      <c r="G5355" s="25">
        <v>837.0</v>
      </c>
      <c r="H5355" s="25">
        <v>626.0</v>
      </c>
      <c r="I5355" s="26">
        <f t="array" ref="I5355">XLOOKUP($A5355,product!A:A,product!E:E)</f>
        <v>2.57</v>
      </c>
      <c r="J5355" s="25">
        <f t="shared" si="2"/>
        <v>1608.82</v>
      </c>
      <c r="K5355" s="27">
        <f t="shared" si="3"/>
        <v>1</v>
      </c>
      <c r="L5355" s="25">
        <f t="shared" si="4"/>
        <v>1</v>
      </c>
    </row>
    <row r="5356">
      <c r="A5356" s="19">
        <v>5601.0</v>
      </c>
      <c r="B5356" s="20" t="str">
        <f t="array" ref="B5356">xlookup($A5356,product!$A:$A,product!B:B)</f>
        <v>Epicerie salée</v>
      </c>
      <c r="C5356" s="20" t="str">
        <f t="array" ref="C5356">xlookup($A5356,product!$A:$A,product!C:C)</f>
        <v>Légumineuses et céréales</v>
      </c>
      <c r="D5356" s="20" t="str">
        <f t="array" ref="D5356">xlookup($A5356,product!$A:$A,product!D:D)</f>
        <v>Légumineuses</v>
      </c>
      <c r="E5356" s="4" t="str">
        <f t="shared" si="1"/>
        <v>5601-Légumineuses et céréales-Légumineuses</v>
      </c>
      <c r="F5356" s="4">
        <v>1.0</v>
      </c>
      <c r="G5356" s="4">
        <v>140.0</v>
      </c>
      <c r="H5356" s="4">
        <v>47.0</v>
      </c>
      <c r="I5356" s="21">
        <f t="array" ref="I5356">XLOOKUP($A5356,product!A:A,product!E:E)</f>
        <v>1.75</v>
      </c>
      <c r="J5356" s="4">
        <f t="shared" si="2"/>
        <v>82.25</v>
      </c>
      <c r="K5356" s="22">
        <f t="shared" si="3"/>
        <v>1</v>
      </c>
      <c r="L5356" s="4">
        <f t="shared" si="4"/>
        <v>1</v>
      </c>
    </row>
    <row r="5357">
      <c r="A5357" s="23">
        <v>202579.0</v>
      </c>
      <c r="B5357" s="24" t="str">
        <f t="array" ref="B5357">xlookup($A5357,product!$A:$A,product!B:B)</f>
        <v>Epicerie salée</v>
      </c>
      <c r="C5357" s="24" t="str">
        <f t="array" ref="C5357">xlookup($A5357,product!$A:$A,product!C:C)</f>
        <v>Légumineuses et céréales</v>
      </c>
      <c r="D5357" s="24" t="str">
        <f t="array" ref="D5357">xlookup($A5357,product!$A:$A,product!D:D)</f>
        <v>Légumineuses</v>
      </c>
      <c r="E5357" s="25" t="str">
        <f t="shared" si="1"/>
        <v>202579-Légumineuses et céréales-Légumineuses</v>
      </c>
      <c r="F5357" s="25">
        <v>0.0</v>
      </c>
      <c r="G5357" s="25">
        <v>433.0</v>
      </c>
      <c r="H5357" s="25">
        <v>96.0</v>
      </c>
      <c r="I5357" s="26">
        <f t="array" ref="I5357">XLOOKUP($A5357,product!A:A,product!E:E)</f>
        <v>2.26</v>
      </c>
      <c r="J5357" s="25">
        <f t="shared" si="2"/>
        <v>216.96</v>
      </c>
      <c r="K5357" s="27">
        <f t="shared" si="3"/>
        <v>1</v>
      </c>
      <c r="L5357" s="25">
        <f t="shared" si="4"/>
        <v>1</v>
      </c>
    </row>
    <row r="5358">
      <c r="A5358" s="19">
        <v>5584.0</v>
      </c>
      <c r="B5358" s="20" t="str">
        <f t="array" ref="B5358">xlookup($A5358,product!$A:$A,product!B:B)</f>
        <v>Epicerie salée</v>
      </c>
      <c r="C5358" s="20" t="str">
        <f t="array" ref="C5358">xlookup($A5358,product!$A:$A,product!C:C)</f>
        <v>Légumineuses et céréales</v>
      </c>
      <c r="D5358" s="20" t="str">
        <f t="array" ref="D5358">xlookup($A5358,product!$A:$A,product!D:D)</f>
        <v>Légumineuses</v>
      </c>
      <c r="E5358" s="4" t="str">
        <f t="shared" si="1"/>
        <v>5584-Légumineuses et céréales-Légumineuses</v>
      </c>
      <c r="F5358" s="4">
        <v>1.0</v>
      </c>
      <c r="G5358" s="4">
        <v>621.0</v>
      </c>
      <c r="H5358" s="4">
        <v>257.0</v>
      </c>
      <c r="I5358" s="21">
        <f t="array" ref="I5358">XLOOKUP($A5358,product!A:A,product!E:E)</f>
        <v>3.31</v>
      </c>
      <c r="J5358" s="4">
        <f t="shared" si="2"/>
        <v>850.67</v>
      </c>
      <c r="K5358" s="22">
        <f t="shared" si="3"/>
        <v>1</v>
      </c>
      <c r="L5358" s="4">
        <f t="shared" si="4"/>
        <v>1</v>
      </c>
    </row>
    <row r="5359">
      <c r="A5359" s="23">
        <v>90888.0</v>
      </c>
      <c r="B5359" s="24" t="str">
        <f t="array" ref="B5359">xlookup($A5359,product!$A:$A,product!B:B)</f>
        <v>Epicerie salée</v>
      </c>
      <c r="C5359" s="24" t="str">
        <f t="array" ref="C5359">xlookup($A5359,product!$A:$A,product!C:C)</f>
        <v>Légumineuses et céréales</v>
      </c>
      <c r="D5359" s="24" t="str">
        <f t="array" ref="D5359">xlookup($A5359,product!$A:$A,product!D:D)</f>
        <v>Légumineuses</v>
      </c>
      <c r="E5359" s="25" t="str">
        <f t="shared" si="1"/>
        <v>90888-Légumineuses et céréales-Légumineuses</v>
      </c>
      <c r="F5359" s="25">
        <v>1.0</v>
      </c>
      <c r="G5359" s="25">
        <v>970.0</v>
      </c>
      <c r="H5359" s="25">
        <v>473.0</v>
      </c>
      <c r="I5359" s="26">
        <f t="array" ref="I5359">XLOOKUP($A5359,product!A:A,product!E:E)</f>
        <v>6.06</v>
      </c>
      <c r="J5359" s="25">
        <f t="shared" si="2"/>
        <v>2866.38</v>
      </c>
      <c r="K5359" s="27">
        <f t="shared" si="3"/>
        <v>1</v>
      </c>
      <c r="L5359" s="25">
        <f t="shared" si="4"/>
        <v>1</v>
      </c>
    </row>
    <row r="5360">
      <c r="A5360" s="19">
        <v>76584.0</v>
      </c>
      <c r="B5360" s="20" t="str">
        <f t="array" ref="B5360">xlookup($A5360,product!$A:$A,product!B:B)</f>
        <v>Epicerie salée</v>
      </c>
      <c r="C5360" s="20" t="str">
        <f t="array" ref="C5360">xlookup($A5360,product!$A:$A,product!C:C)</f>
        <v>Légumineuses et céréales</v>
      </c>
      <c r="D5360" s="20" t="str">
        <f t="array" ref="D5360">xlookup($A5360,product!$A:$A,product!D:D)</f>
        <v>Légumineuses</v>
      </c>
      <c r="E5360" s="4" t="str">
        <f t="shared" si="1"/>
        <v>76584-Légumineuses et céréales-Légumineuses</v>
      </c>
      <c r="F5360" s="4">
        <v>0.0</v>
      </c>
      <c r="G5360" s="4">
        <v>847.0</v>
      </c>
      <c r="H5360" s="4">
        <v>560.0</v>
      </c>
      <c r="I5360" s="21">
        <f t="array" ref="I5360">XLOOKUP($A5360,product!A:A,product!E:E)</f>
        <v>1.14</v>
      </c>
      <c r="J5360" s="4">
        <f t="shared" si="2"/>
        <v>638.4</v>
      </c>
      <c r="K5360" s="22">
        <f t="shared" si="3"/>
        <v>1</v>
      </c>
      <c r="L5360" s="4">
        <f t="shared" si="4"/>
        <v>1</v>
      </c>
    </row>
    <row r="5361">
      <c r="A5361" s="23">
        <v>87171.0</v>
      </c>
      <c r="B5361" s="24" t="str">
        <f t="array" ref="B5361">xlookup($A5361,product!$A:$A,product!B:B)</f>
        <v>Epicerie salée</v>
      </c>
      <c r="C5361" s="24" t="str">
        <f t="array" ref="C5361">xlookup($A5361,product!$A:$A,product!C:C)</f>
        <v>Légumineuses et céréales</v>
      </c>
      <c r="D5361" s="24" t="str">
        <f t="array" ref="D5361">xlookup($A5361,product!$A:$A,product!D:D)</f>
        <v>Légumineuses</v>
      </c>
      <c r="E5361" s="25" t="str">
        <f t="shared" si="1"/>
        <v>87171-Légumineuses et céréales-Légumineuses</v>
      </c>
      <c r="F5361" s="25">
        <v>1.0</v>
      </c>
      <c r="G5361" s="25">
        <v>890.0</v>
      </c>
      <c r="H5361" s="25">
        <v>505.0</v>
      </c>
      <c r="I5361" s="26">
        <f t="array" ref="I5361">XLOOKUP($A5361,product!A:A,product!E:E)</f>
        <v>2.5</v>
      </c>
      <c r="J5361" s="25">
        <f t="shared" si="2"/>
        <v>1262.5</v>
      </c>
      <c r="K5361" s="27">
        <f t="shared" si="3"/>
        <v>1</v>
      </c>
      <c r="L5361" s="25">
        <f t="shared" si="4"/>
        <v>1</v>
      </c>
    </row>
    <row r="5362">
      <c r="A5362" s="19">
        <v>110569.0</v>
      </c>
      <c r="B5362" s="20" t="str">
        <f t="array" ref="B5362">xlookup($A5362,product!$A:$A,product!B:B)</f>
        <v>Epicerie salée</v>
      </c>
      <c r="C5362" s="20" t="str">
        <f t="array" ref="C5362">xlookup($A5362,product!$A:$A,product!C:C)</f>
        <v>Légumineuses et céréales</v>
      </c>
      <c r="D5362" s="20" t="str">
        <f t="array" ref="D5362">xlookup($A5362,product!$A:$A,product!D:D)</f>
        <v>Légumineuses</v>
      </c>
      <c r="E5362" s="4" t="str">
        <f t="shared" si="1"/>
        <v>110569-Légumineuses et céréales-Légumineuses</v>
      </c>
      <c r="F5362" s="4">
        <v>1.0</v>
      </c>
      <c r="G5362" s="4">
        <v>126.0</v>
      </c>
      <c r="H5362" s="4">
        <v>32.0</v>
      </c>
      <c r="I5362" s="21">
        <f t="array" ref="I5362">XLOOKUP($A5362,product!A:A,product!E:E)</f>
        <v>1.2</v>
      </c>
      <c r="J5362" s="4">
        <f t="shared" si="2"/>
        <v>38.4</v>
      </c>
      <c r="K5362" s="22">
        <f t="shared" si="3"/>
        <v>1</v>
      </c>
      <c r="L5362" s="4">
        <f t="shared" si="4"/>
        <v>1</v>
      </c>
    </row>
    <row r="5363">
      <c r="A5363" s="23">
        <v>5588.0</v>
      </c>
      <c r="B5363" s="24" t="str">
        <f t="array" ref="B5363">xlookup($A5363,product!$A:$A,product!B:B)</f>
        <v>Epicerie salée</v>
      </c>
      <c r="C5363" s="24" t="str">
        <f t="array" ref="C5363">xlookup($A5363,product!$A:$A,product!C:C)</f>
        <v>Légumineuses et céréales</v>
      </c>
      <c r="D5363" s="24" t="str">
        <f t="array" ref="D5363">xlookup($A5363,product!$A:$A,product!D:D)</f>
        <v>Légumineuses</v>
      </c>
      <c r="E5363" s="25" t="str">
        <f t="shared" si="1"/>
        <v>5588-Légumineuses et céréales-Légumineuses</v>
      </c>
      <c r="F5363" s="25">
        <v>0.0</v>
      </c>
      <c r="G5363" s="25">
        <v>709.0</v>
      </c>
      <c r="H5363" s="25">
        <v>200.0</v>
      </c>
      <c r="I5363" s="26">
        <f t="array" ref="I5363">XLOOKUP($A5363,product!A:A,product!E:E)</f>
        <v>3.03</v>
      </c>
      <c r="J5363" s="25">
        <f t="shared" si="2"/>
        <v>606</v>
      </c>
      <c r="K5363" s="27">
        <f t="shared" si="3"/>
        <v>1</v>
      </c>
      <c r="L5363" s="25">
        <f t="shared" si="4"/>
        <v>1</v>
      </c>
    </row>
    <row r="5364">
      <c r="A5364" s="19">
        <v>117165.0</v>
      </c>
      <c r="B5364" s="20" t="str">
        <f t="array" ref="B5364">xlookup($A5364,product!$A:$A,product!B:B)</f>
        <v>Epicerie salée</v>
      </c>
      <c r="C5364" s="20" t="str">
        <f t="array" ref="C5364">xlookup($A5364,product!$A:$A,product!C:C)</f>
        <v>Légumineuses et céréales</v>
      </c>
      <c r="D5364" s="20" t="str">
        <f t="array" ref="D5364">xlookup($A5364,product!$A:$A,product!D:D)</f>
        <v>Légumineuses</v>
      </c>
      <c r="E5364" s="4" t="str">
        <f t="shared" si="1"/>
        <v>117165-Légumineuses et céréales-Légumineuses</v>
      </c>
      <c r="F5364" s="4">
        <v>1.0</v>
      </c>
      <c r="G5364" s="4">
        <v>975.0</v>
      </c>
      <c r="H5364" s="4">
        <v>832.0</v>
      </c>
      <c r="I5364" s="21">
        <f t="array" ref="I5364">XLOOKUP($A5364,product!A:A,product!E:E)</f>
        <v>1.16</v>
      </c>
      <c r="J5364" s="4">
        <f t="shared" si="2"/>
        <v>965.12</v>
      </c>
      <c r="K5364" s="22">
        <f t="shared" si="3"/>
        <v>1</v>
      </c>
      <c r="L5364" s="4">
        <f t="shared" si="4"/>
        <v>1</v>
      </c>
    </row>
    <row r="5365">
      <c r="A5365" s="23">
        <v>5587.0</v>
      </c>
      <c r="B5365" s="24" t="str">
        <f t="array" ref="B5365">xlookup($A5365,product!$A:$A,product!B:B)</f>
        <v>Epicerie salée</v>
      </c>
      <c r="C5365" s="24" t="str">
        <f t="array" ref="C5365">xlookup($A5365,product!$A:$A,product!C:C)</f>
        <v>Légumineuses et céréales</v>
      </c>
      <c r="D5365" s="24" t="str">
        <f t="array" ref="D5365">xlookup($A5365,product!$A:$A,product!D:D)</f>
        <v>Légumineuses</v>
      </c>
      <c r="E5365" s="25" t="str">
        <f t="shared" si="1"/>
        <v>5587-Légumineuses et céréales-Légumineuses</v>
      </c>
      <c r="F5365" s="25">
        <v>1.0</v>
      </c>
      <c r="G5365" s="25">
        <v>603.0</v>
      </c>
      <c r="H5365" s="25">
        <v>255.0</v>
      </c>
      <c r="I5365" s="26">
        <f t="array" ref="I5365">XLOOKUP($A5365,product!A:A,product!E:E)</f>
        <v>1.68</v>
      </c>
      <c r="J5365" s="25">
        <f t="shared" si="2"/>
        <v>428.4</v>
      </c>
      <c r="K5365" s="27">
        <f t="shared" si="3"/>
        <v>1</v>
      </c>
      <c r="L5365" s="25">
        <f t="shared" si="4"/>
        <v>1</v>
      </c>
    </row>
    <row r="5366">
      <c r="A5366" s="19">
        <v>68359.0</v>
      </c>
      <c r="B5366" s="20" t="str">
        <f t="array" ref="B5366">xlookup($A5366,product!$A:$A,product!B:B)</f>
        <v>Epicerie salée</v>
      </c>
      <c r="C5366" s="20" t="str">
        <f t="array" ref="C5366">xlookup($A5366,product!$A:$A,product!C:C)</f>
        <v>Légumineuses et céréales</v>
      </c>
      <c r="D5366" s="20" t="str">
        <f t="array" ref="D5366">xlookup($A5366,product!$A:$A,product!D:D)</f>
        <v>Légumineuses</v>
      </c>
      <c r="E5366" s="4" t="str">
        <f t="shared" si="1"/>
        <v>68359-Légumineuses et céréales-Légumineuses</v>
      </c>
      <c r="F5366" s="4">
        <v>0.0</v>
      </c>
      <c r="G5366" s="4">
        <v>191.0</v>
      </c>
      <c r="H5366" s="4">
        <v>68.0</v>
      </c>
      <c r="I5366" s="21">
        <f t="array" ref="I5366">XLOOKUP($A5366,product!A:A,product!E:E)</f>
        <v>2.21</v>
      </c>
      <c r="J5366" s="4">
        <f t="shared" si="2"/>
        <v>150.28</v>
      </c>
      <c r="K5366" s="22">
        <f t="shared" si="3"/>
        <v>1</v>
      </c>
      <c r="L5366" s="4">
        <f t="shared" si="4"/>
        <v>1</v>
      </c>
    </row>
    <row r="5367">
      <c r="A5367" s="23">
        <v>5590.0</v>
      </c>
      <c r="B5367" s="24" t="str">
        <f t="array" ref="B5367">xlookup($A5367,product!$A:$A,product!B:B)</f>
        <v>Epicerie salée</v>
      </c>
      <c r="C5367" s="24" t="str">
        <f t="array" ref="C5367">xlookup($A5367,product!$A:$A,product!C:C)</f>
        <v>Légumineuses et céréales</v>
      </c>
      <c r="D5367" s="24" t="str">
        <f t="array" ref="D5367">xlookup($A5367,product!$A:$A,product!D:D)</f>
        <v>Légumineuses</v>
      </c>
      <c r="E5367" s="25" t="str">
        <f t="shared" si="1"/>
        <v>5590-Légumineuses et céréales-Légumineuses</v>
      </c>
      <c r="F5367" s="25">
        <v>1.0</v>
      </c>
      <c r="G5367" s="25">
        <v>47.0</v>
      </c>
      <c r="H5367" s="25">
        <v>3.0</v>
      </c>
      <c r="I5367" s="26">
        <f t="array" ref="I5367">XLOOKUP($A5367,product!A:A,product!E:E)</f>
        <v>2.33</v>
      </c>
      <c r="J5367" s="25">
        <f t="shared" si="2"/>
        <v>6.99</v>
      </c>
      <c r="K5367" s="27">
        <f t="shared" si="3"/>
        <v>1</v>
      </c>
      <c r="L5367" s="25">
        <f t="shared" si="4"/>
        <v>1</v>
      </c>
    </row>
    <row r="5368">
      <c r="A5368" s="19">
        <v>76475.0</v>
      </c>
      <c r="B5368" s="20" t="str">
        <f t="array" ref="B5368">xlookup($A5368,product!$A:$A,product!B:B)</f>
        <v>Epicerie salée</v>
      </c>
      <c r="C5368" s="20" t="str">
        <f t="array" ref="C5368">xlookup($A5368,product!$A:$A,product!C:C)</f>
        <v>Légumineuses et céréales</v>
      </c>
      <c r="D5368" s="20" t="str">
        <f t="array" ref="D5368">xlookup($A5368,product!$A:$A,product!D:D)</f>
        <v>Légumineuses</v>
      </c>
      <c r="E5368" s="4" t="str">
        <f t="shared" si="1"/>
        <v>76475-Légumineuses et céréales-Légumineuses</v>
      </c>
      <c r="F5368" s="4">
        <v>0.0</v>
      </c>
      <c r="G5368" s="4">
        <v>6.0</v>
      </c>
      <c r="H5368" s="4">
        <v>3.0</v>
      </c>
      <c r="I5368" s="21">
        <f t="array" ref="I5368">XLOOKUP($A5368,product!A:A,product!E:E)</f>
        <v>1.6</v>
      </c>
      <c r="J5368" s="4">
        <f t="shared" si="2"/>
        <v>4.8</v>
      </c>
      <c r="K5368" s="22">
        <f t="shared" si="3"/>
        <v>1</v>
      </c>
      <c r="L5368" s="4">
        <f t="shared" si="4"/>
        <v>1</v>
      </c>
    </row>
    <row r="5369">
      <c r="A5369" s="23">
        <v>147309.0</v>
      </c>
      <c r="B5369" s="24" t="str">
        <f t="array" ref="B5369">xlookup($A5369,product!$A:$A,product!B:B)</f>
        <v>Epicerie salée</v>
      </c>
      <c r="C5369" s="24" t="str">
        <f t="array" ref="C5369">xlookup($A5369,product!$A:$A,product!C:C)</f>
        <v>Légumineuses et céréales</v>
      </c>
      <c r="D5369" s="24" t="str">
        <f t="array" ref="D5369">xlookup($A5369,product!$A:$A,product!D:D)</f>
        <v>Légumineuses</v>
      </c>
      <c r="E5369" s="25" t="str">
        <f t="shared" si="1"/>
        <v>147309-Légumineuses et céréales-Légumineuses</v>
      </c>
      <c r="F5369" s="25">
        <v>0.0</v>
      </c>
      <c r="G5369" s="25">
        <v>785.0</v>
      </c>
      <c r="H5369" s="25">
        <v>584.0</v>
      </c>
      <c r="I5369" s="26">
        <f t="array" ref="I5369">XLOOKUP($A5369,product!A:A,product!E:E)</f>
        <v>1.71</v>
      </c>
      <c r="J5369" s="25">
        <f t="shared" si="2"/>
        <v>998.64</v>
      </c>
      <c r="K5369" s="27">
        <f t="shared" si="3"/>
        <v>1</v>
      </c>
      <c r="L5369" s="25">
        <f t="shared" si="4"/>
        <v>1</v>
      </c>
    </row>
    <row r="5370">
      <c r="A5370" s="19">
        <v>120533.0</v>
      </c>
      <c r="B5370" s="20" t="str">
        <f t="array" ref="B5370">xlookup($A5370,product!$A:$A,product!B:B)</f>
        <v>Epicerie salée</v>
      </c>
      <c r="C5370" s="20" t="str">
        <f t="array" ref="C5370">xlookup($A5370,product!$A:$A,product!C:C)</f>
        <v>Légumineuses et céréales</v>
      </c>
      <c r="D5370" s="20" t="str">
        <f t="array" ref="D5370">xlookup($A5370,product!$A:$A,product!D:D)</f>
        <v>Légumineuses</v>
      </c>
      <c r="E5370" s="4" t="str">
        <f t="shared" si="1"/>
        <v>120533-Légumineuses et céréales-Légumineuses</v>
      </c>
      <c r="F5370" s="4">
        <v>0.0</v>
      </c>
      <c r="G5370" s="4">
        <v>76.0</v>
      </c>
      <c r="H5370" s="4">
        <v>33.0</v>
      </c>
      <c r="I5370" s="21">
        <f t="array" ref="I5370">XLOOKUP($A5370,product!A:A,product!E:E)</f>
        <v>2.83</v>
      </c>
      <c r="J5370" s="4">
        <f t="shared" si="2"/>
        <v>93.39</v>
      </c>
      <c r="K5370" s="22">
        <f t="shared" si="3"/>
        <v>1</v>
      </c>
      <c r="L5370" s="4">
        <f t="shared" si="4"/>
        <v>1</v>
      </c>
    </row>
    <row r="5371">
      <c r="A5371" s="23">
        <v>5591.0</v>
      </c>
      <c r="B5371" s="24" t="str">
        <f t="array" ref="B5371">xlookup($A5371,product!$A:$A,product!B:B)</f>
        <v>Epicerie salée</v>
      </c>
      <c r="C5371" s="24" t="str">
        <f t="array" ref="C5371">xlookup($A5371,product!$A:$A,product!C:C)</f>
        <v>Légumineuses et céréales</v>
      </c>
      <c r="D5371" s="24" t="str">
        <f t="array" ref="D5371">xlookup($A5371,product!$A:$A,product!D:D)</f>
        <v>Légumineuses</v>
      </c>
      <c r="E5371" s="25" t="str">
        <f t="shared" si="1"/>
        <v>5591-Légumineuses et céréales-Légumineuses</v>
      </c>
      <c r="F5371" s="25">
        <v>0.0</v>
      </c>
      <c r="G5371" s="25">
        <v>652.0</v>
      </c>
      <c r="H5371" s="25">
        <v>623.0</v>
      </c>
      <c r="I5371" s="26">
        <f t="array" ref="I5371">XLOOKUP($A5371,product!A:A,product!E:E)</f>
        <v>2.15</v>
      </c>
      <c r="J5371" s="25">
        <f t="shared" si="2"/>
        <v>1339.45</v>
      </c>
      <c r="K5371" s="27">
        <f t="shared" si="3"/>
        <v>1</v>
      </c>
      <c r="L5371" s="25">
        <f t="shared" si="4"/>
        <v>1</v>
      </c>
    </row>
    <row r="5372">
      <c r="A5372" s="19">
        <v>77248.0</v>
      </c>
      <c r="B5372" s="20" t="str">
        <f t="array" ref="B5372">xlookup($A5372,product!$A:$A,product!B:B)</f>
        <v>Epicerie salée</v>
      </c>
      <c r="C5372" s="20" t="str">
        <f t="array" ref="C5372">xlookup($A5372,product!$A:$A,product!C:C)</f>
        <v>Légumineuses et céréales</v>
      </c>
      <c r="D5372" s="20" t="str">
        <f t="array" ref="D5372">xlookup($A5372,product!$A:$A,product!D:D)</f>
        <v>Légumineuses</v>
      </c>
      <c r="E5372" s="4" t="str">
        <f t="shared" si="1"/>
        <v>77248-Légumineuses et céréales-Légumineuses</v>
      </c>
      <c r="F5372" s="4">
        <v>0.0</v>
      </c>
      <c r="G5372" s="4">
        <v>618.0</v>
      </c>
      <c r="H5372" s="4">
        <v>570.0</v>
      </c>
      <c r="I5372" s="21">
        <f t="array" ref="I5372">XLOOKUP($A5372,product!A:A,product!E:E)</f>
        <v>1.42</v>
      </c>
      <c r="J5372" s="4">
        <f t="shared" si="2"/>
        <v>809.4</v>
      </c>
      <c r="K5372" s="22">
        <f t="shared" si="3"/>
        <v>1</v>
      </c>
      <c r="L5372" s="4">
        <f t="shared" si="4"/>
        <v>1</v>
      </c>
    </row>
    <row r="5373">
      <c r="A5373" s="23">
        <v>90819.0</v>
      </c>
      <c r="B5373" s="24" t="str">
        <f t="array" ref="B5373">xlookup($A5373,product!$A:$A,product!B:B)</f>
        <v>Epicerie salée</v>
      </c>
      <c r="C5373" s="24" t="str">
        <f t="array" ref="C5373">xlookup($A5373,product!$A:$A,product!C:C)</f>
        <v>Légumineuses et céréales</v>
      </c>
      <c r="D5373" s="24" t="str">
        <f t="array" ref="D5373">xlookup($A5373,product!$A:$A,product!D:D)</f>
        <v>Légumineuses</v>
      </c>
      <c r="E5373" s="25" t="str">
        <f t="shared" si="1"/>
        <v>90819-Légumineuses et céréales-Légumineuses</v>
      </c>
      <c r="F5373" s="25">
        <v>0.0</v>
      </c>
      <c r="G5373" s="25">
        <v>35.0</v>
      </c>
      <c r="H5373" s="25">
        <v>10.0</v>
      </c>
      <c r="I5373" s="26">
        <f t="array" ref="I5373">XLOOKUP($A5373,product!A:A,product!E:E)</f>
        <v>8.01</v>
      </c>
      <c r="J5373" s="25">
        <f t="shared" si="2"/>
        <v>80.1</v>
      </c>
      <c r="K5373" s="27">
        <f t="shared" si="3"/>
        <v>1</v>
      </c>
      <c r="L5373" s="25">
        <f t="shared" si="4"/>
        <v>1</v>
      </c>
    </row>
    <row r="5374">
      <c r="A5374" s="19">
        <v>90820.0</v>
      </c>
      <c r="B5374" s="20" t="str">
        <f t="array" ref="B5374">xlookup($A5374,product!$A:$A,product!B:B)</f>
        <v>Epicerie salée</v>
      </c>
      <c r="C5374" s="20" t="str">
        <f t="array" ref="C5374">xlookup($A5374,product!$A:$A,product!C:C)</f>
        <v>Légumineuses et céréales</v>
      </c>
      <c r="D5374" s="20" t="str">
        <f t="array" ref="D5374">xlookup($A5374,product!$A:$A,product!D:D)</f>
        <v>Légumineuses</v>
      </c>
      <c r="E5374" s="4" t="str">
        <f t="shared" si="1"/>
        <v>90820-Légumineuses et céréales-Légumineuses</v>
      </c>
      <c r="F5374" s="4">
        <v>0.0</v>
      </c>
      <c r="G5374" s="4">
        <v>326.0</v>
      </c>
      <c r="H5374" s="4">
        <v>270.0</v>
      </c>
      <c r="I5374" s="21">
        <f t="array" ref="I5374">XLOOKUP($A5374,product!A:A,product!E:E)</f>
        <v>1.55</v>
      </c>
      <c r="J5374" s="4">
        <f t="shared" si="2"/>
        <v>418.5</v>
      </c>
      <c r="K5374" s="22">
        <f t="shared" si="3"/>
        <v>1</v>
      </c>
      <c r="L5374" s="4">
        <f t="shared" si="4"/>
        <v>1</v>
      </c>
    </row>
    <row r="5375">
      <c r="A5375" s="23">
        <v>90839.0</v>
      </c>
      <c r="B5375" s="24" t="str">
        <f t="array" ref="B5375">xlookup($A5375,product!$A:$A,product!B:B)</f>
        <v>Epicerie salée</v>
      </c>
      <c r="C5375" s="24" t="str">
        <f t="array" ref="C5375">xlookup($A5375,product!$A:$A,product!C:C)</f>
        <v>Légumineuses et céréales</v>
      </c>
      <c r="D5375" s="24" t="str">
        <f t="array" ref="D5375">xlookup($A5375,product!$A:$A,product!D:D)</f>
        <v>Légumineuses</v>
      </c>
      <c r="E5375" s="25" t="str">
        <f t="shared" si="1"/>
        <v>90839-Légumineuses et céréales-Légumineuses</v>
      </c>
      <c r="F5375" s="25">
        <v>0.0</v>
      </c>
      <c r="G5375" s="25">
        <v>451.0</v>
      </c>
      <c r="H5375" s="25">
        <v>147.0</v>
      </c>
      <c r="I5375" s="26">
        <f t="array" ref="I5375">XLOOKUP($A5375,product!A:A,product!E:E)</f>
        <v>2.6</v>
      </c>
      <c r="J5375" s="25">
        <f t="shared" si="2"/>
        <v>382.2</v>
      </c>
      <c r="K5375" s="27">
        <f t="shared" si="3"/>
        <v>1</v>
      </c>
      <c r="L5375" s="25">
        <f t="shared" si="4"/>
        <v>1</v>
      </c>
    </row>
    <row r="5376">
      <c r="A5376" s="19">
        <v>90858.0</v>
      </c>
      <c r="B5376" s="20" t="str">
        <f t="array" ref="B5376">xlookup($A5376,product!$A:$A,product!B:B)</f>
        <v>Epicerie salée</v>
      </c>
      <c r="C5376" s="20" t="str">
        <f t="array" ref="C5376">xlookup($A5376,product!$A:$A,product!C:C)</f>
        <v>Légumineuses et céréales</v>
      </c>
      <c r="D5376" s="20" t="str">
        <f t="array" ref="D5376">xlookup($A5376,product!$A:$A,product!D:D)</f>
        <v>Légumineuses</v>
      </c>
      <c r="E5376" s="4" t="str">
        <f t="shared" si="1"/>
        <v>90858-Légumineuses et céréales-Légumineuses</v>
      </c>
      <c r="F5376" s="4">
        <v>1.0</v>
      </c>
      <c r="G5376" s="4">
        <v>550.0</v>
      </c>
      <c r="H5376" s="4">
        <v>208.0</v>
      </c>
      <c r="I5376" s="21">
        <f t="array" ref="I5376">XLOOKUP($A5376,product!A:A,product!E:E)</f>
        <v>11.18</v>
      </c>
      <c r="J5376" s="4">
        <f t="shared" si="2"/>
        <v>2325.44</v>
      </c>
      <c r="K5376" s="22">
        <f t="shared" si="3"/>
        <v>1</v>
      </c>
      <c r="L5376" s="4">
        <f t="shared" si="4"/>
        <v>1</v>
      </c>
    </row>
    <row r="5377">
      <c r="A5377" s="23">
        <v>76588.0</v>
      </c>
      <c r="B5377" s="24" t="str">
        <f t="array" ref="B5377">xlookup($A5377,product!$A:$A,product!B:B)</f>
        <v>Epicerie salée</v>
      </c>
      <c r="C5377" s="24" t="str">
        <f t="array" ref="C5377">xlookup($A5377,product!$A:$A,product!C:C)</f>
        <v>Légumineuses et céréales</v>
      </c>
      <c r="D5377" s="24" t="str">
        <f t="array" ref="D5377">xlookup($A5377,product!$A:$A,product!D:D)</f>
        <v>Légumineuses</v>
      </c>
      <c r="E5377" s="25" t="str">
        <f t="shared" si="1"/>
        <v>76588-Légumineuses et céréales-Légumineuses</v>
      </c>
      <c r="F5377" s="25">
        <v>1.0</v>
      </c>
      <c r="G5377" s="25">
        <v>58.0</v>
      </c>
      <c r="H5377" s="25">
        <v>47.0</v>
      </c>
      <c r="I5377" s="26">
        <f t="array" ref="I5377">XLOOKUP($A5377,product!A:A,product!E:E)</f>
        <v>3.36</v>
      </c>
      <c r="J5377" s="25">
        <f t="shared" si="2"/>
        <v>157.92</v>
      </c>
      <c r="K5377" s="27">
        <f t="shared" si="3"/>
        <v>1</v>
      </c>
      <c r="L5377" s="25">
        <f t="shared" si="4"/>
        <v>1</v>
      </c>
    </row>
    <row r="5378">
      <c r="A5378" s="19">
        <v>90671.0</v>
      </c>
      <c r="B5378" s="20" t="str">
        <f t="array" ref="B5378">xlookup($A5378,product!$A:$A,product!B:B)</f>
        <v>Epicerie salée</v>
      </c>
      <c r="C5378" s="20" t="str">
        <f t="array" ref="C5378">xlookup($A5378,product!$A:$A,product!C:C)</f>
        <v>Légumineuses et céréales</v>
      </c>
      <c r="D5378" s="20" t="str">
        <f t="array" ref="D5378">xlookup($A5378,product!$A:$A,product!D:D)</f>
        <v>Céréales en grains</v>
      </c>
      <c r="E5378" s="4" t="str">
        <f t="shared" si="1"/>
        <v>90671-Légumineuses et céréales-Céréales en grains</v>
      </c>
      <c r="F5378" s="4">
        <v>0.0</v>
      </c>
      <c r="G5378" s="4">
        <v>293.0</v>
      </c>
      <c r="H5378" s="4">
        <v>259.0</v>
      </c>
      <c r="I5378" s="21">
        <f t="array" ref="I5378">XLOOKUP($A5378,product!A:A,product!E:E)</f>
        <v>1.19</v>
      </c>
      <c r="J5378" s="4">
        <f t="shared" si="2"/>
        <v>308.21</v>
      </c>
      <c r="K5378" s="22">
        <f t="shared" si="3"/>
        <v>1</v>
      </c>
      <c r="L5378" s="4">
        <f t="shared" si="4"/>
        <v>1</v>
      </c>
    </row>
    <row r="5379">
      <c r="A5379" s="23">
        <v>77194.0</v>
      </c>
      <c r="B5379" s="24" t="str">
        <f t="array" ref="B5379">xlookup($A5379,product!$A:$A,product!B:B)</f>
        <v>Epicerie salée</v>
      </c>
      <c r="C5379" s="24" t="str">
        <f t="array" ref="C5379">xlookup($A5379,product!$A:$A,product!C:C)</f>
        <v>Légumineuses et céréales</v>
      </c>
      <c r="D5379" s="24" t="str">
        <f t="array" ref="D5379">xlookup($A5379,product!$A:$A,product!D:D)</f>
        <v>Céréales en grains</v>
      </c>
      <c r="E5379" s="25" t="str">
        <f t="shared" si="1"/>
        <v>77194-Légumineuses et céréales-Céréales en grains</v>
      </c>
      <c r="F5379" s="25">
        <v>1.0</v>
      </c>
      <c r="G5379" s="25">
        <v>397.0</v>
      </c>
      <c r="H5379" s="25">
        <v>200.0</v>
      </c>
      <c r="I5379" s="26">
        <f t="array" ref="I5379">XLOOKUP($A5379,product!A:A,product!E:E)</f>
        <v>1.67</v>
      </c>
      <c r="J5379" s="25">
        <f t="shared" si="2"/>
        <v>334</v>
      </c>
      <c r="K5379" s="27">
        <f t="shared" si="3"/>
        <v>1</v>
      </c>
      <c r="L5379" s="25">
        <f t="shared" si="4"/>
        <v>1</v>
      </c>
    </row>
    <row r="5380">
      <c r="A5380" s="19">
        <v>5504.0</v>
      </c>
      <c r="B5380" s="20" t="str">
        <f t="array" ref="B5380">xlookup($A5380,product!$A:$A,product!B:B)</f>
        <v>Epicerie salée</v>
      </c>
      <c r="C5380" s="20" t="str">
        <f t="array" ref="C5380">xlookup($A5380,product!$A:$A,product!C:C)</f>
        <v>Légumineuses et céréales</v>
      </c>
      <c r="D5380" s="20" t="str">
        <f t="array" ref="D5380">xlookup($A5380,product!$A:$A,product!D:D)</f>
        <v>Céréales en grains</v>
      </c>
      <c r="E5380" s="4" t="str">
        <f t="shared" si="1"/>
        <v>5504-Légumineuses et céréales-Céréales en grains</v>
      </c>
      <c r="F5380" s="4">
        <v>1.0</v>
      </c>
      <c r="G5380" s="4">
        <v>329.0</v>
      </c>
      <c r="H5380" s="4">
        <v>206.0</v>
      </c>
      <c r="I5380" s="21">
        <f t="array" ref="I5380">XLOOKUP($A5380,product!A:A,product!E:E)</f>
        <v>1.21</v>
      </c>
      <c r="J5380" s="4">
        <f t="shared" si="2"/>
        <v>249.26</v>
      </c>
      <c r="K5380" s="22">
        <f t="shared" si="3"/>
        <v>1</v>
      </c>
      <c r="L5380" s="4">
        <f t="shared" si="4"/>
        <v>1</v>
      </c>
    </row>
    <row r="5381">
      <c r="A5381" s="23">
        <v>90662.0</v>
      </c>
      <c r="B5381" s="24" t="str">
        <f t="array" ref="B5381">xlookup($A5381,product!$A:$A,product!B:B)</f>
        <v>Epicerie salée</v>
      </c>
      <c r="C5381" s="24" t="str">
        <f t="array" ref="C5381">xlookup($A5381,product!$A:$A,product!C:C)</f>
        <v>Légumineuses et céréales</v>
      </c>
      <c r="D5381" s="24" t="str">
        <f t="array" ref="D5381">xlookup($A5381,product!$A:$A,product!D:D)</f>
        <v>Céréales en grains</v>
      </c>
      <c r="E5381" s="25" t="str">
        <f t="shared" si="1"/>
        <v>90662-Légumineuses et céréales-Céréales en grains</v>
      </c>
      <c r="F5381" s="25">
        <v>1.0</v>
      </c>
      <c r="G5381" s="25">
        <v>439.0</v>
      </c>
      <c r="H5381" s="25">
        <v>265.0</v>
      </c>
      <c r="I5381" s="26">
        <f t="array" ref="I5381">XLOOKUP($A5381,product!A:A,product!E:E)</f>
        <v>1.14</v>
      </c>
      <c r="J5381" s="25">
        <f t="shared" si="2"/>
        <v>302.1</v>
      </c>
      <c r="K5381" s="27">
        <f t="shared" si="3"/>
        <v>1</v>
      </c>
      <c r="L5381" s="25">
        <f t="shared" si="4"/>
        <v>1</v>
      </c>
    </row>
    <row r="5382">
      <c r="A5382" s="19">
        <v>87288.0</v>
      </c>
      <c r="B5382" s="20" t="str">
        <f t="array" ref="B5382">xlookup($A5382,product!$A:$A,product!B:B)</f>
        <v>Epicerie salée</v>
      </c>
      <c r="C5382" s="20" t="str">
        <f t="array" ref="C5382">xlookup($A5382,product!$A:$A,product!C:C)</f>
        <v>Légumineuses et céréales</v>
      </c>
      <c r="D5382" s="20" t="str">
        <f t="array" ref="D5382">xlookup($A5382,product!$A:$A,product!D:D)</f>
        <v>Céréales en grains</v>
      </c>
      <c r="E5382" s="4" t="str">
        <f t="shared" si="1"/>
        <v>87288-Légumineuses et céréales-Céréales en grains</v>
      </c>
      <c r="F5382" s="4">
        <v>0.0</v>
      </c>
      <c r="G5382" s="4">
        <v>403.0</v>
      </c>
      <c r="H5382" s="4">
        <v>98.0</v>
      </c>
      <c r="I5382" s="21">
        <f t="array" ref="I5382">XLOOKUP($A5382,product!A:A,product!E:E)</f>
        <v>0.83</v>
      </c>
      <c r="J5382" s="4">
        <f t="shared" si="2"/>
        <v>81.34</v>
      </c>
      <c r="K5382" s="22">
        <f t="shared" si="3"/>
        <v>1</v>
      </c>
      <c r="L5382" s="4">
        <f t="shared" si="4"/>
        <v>1</v>
      </c>
    </row>
    <row r="5383">
      <c r="A5383" s="23">
        <v>5494.0</v>
      </c>
      <c r="B5383" s="24" t="str">
        <f t="array" ref="B5383">xlookup($A5383,product!$A:$A,product!B:B)</f>
        <v>Epicerie salée</v>
      </c>
      <c r="C5383" s="24" t="str">
        <f t="array" ref="C5383">xlookup($A5383,product!$A:$A,product!C:C)</f>
        <v>Légumineuses et céréales</v>
      </c>
      <c r="D5383" s="24" t="str">
        <f t="array" ref="D5383">xlookup($A5383,product!$A:$A,product!D:D)</f>
        <v>Céréales en grains</v>
      </c>
      <c r="E5383" s="25" t="str">
        <f t="shared" si="1"/>
        <v>5494-Légumineuses et céréales-Céréales en grains</v>
      </c>
      <c r="F5383" s="25">
        <v>0.0</v>
      </c>
      <c r="G5383" s="25">
        <v>179.0</v>
      </c>
      <c r="H5383" s="25">
        <v>121.0</v>
      </c>
      <c r="I5383" s="26">
        <f t="array" ref="I5383">XLOOKUP($A5383,product!A:A,product!E:E)</f>
        <v>2.18</v>
      </c>
      <c r="J5383" s="25">
        <f t="shared" si="2"/>
        <v>263.78</v>
      </c>
      <c r="K5383" s="27">
        <f t="shared" si="3"/>
        <v>1</v>
      </c>
      <c r="L5383" s="25">
        <f t="shared" si="4"/>
        <v>1</v>
      </c>
    </row>
    <row r="5384">
      <c r="A5384" s="19">
        <v>76637.0</v>
      </c>
      <c r="B5384" s="20" t="str">
        <f t="array" ref="B5384">xlookup($A5384,product!$A:$A,product!B:B)</f>
        <v>Epicerie salée</v>
      </c>
      <c r="C5384" s="20" t="str">
        <f t="array" ref="C5384">xlookup($A5384,product!$A:$A,product!C:C)</f>
        <v>Légumineuses et céréales</v>
      </c>
      <c r="D5384" s="20" t="str">
        <f t="array" ref="D5384">xlookup($A5384,product!$A:$A,product!D:D)</f>
        <v>Céréales en grains</v>
      </c>
      <c r="E5384" s="4" t="str">
        <f t="shared" si="1"/>
        <v>76637-Légumineuses et céréales-Céréales en grains</v>
      </c>
      <c r="F5384" s="4">
        <v>1.0</v>
      </c>
      <c r="G5384" s="4">
        <v>418.0</v>
      </c>
      <c r="H5384" s="4">
        <v>406.0</v>
      </c>
      <c r="I5384" s="21">
        <f t="array" ref="I5384">XLOOKUP($A5384,product!A:A,product!E:E)</f>
        <v>1.19</v>
      </c>
      <c r="J5384" s="4">
        <f t="shared" si="2"/>
        <v>483.14</v>
      </c>
      <c r="K5384" s="22">
        <f t="shared" si="3"/>
        <v>1</v>
      </c>
      <c r="L5384" s="4">
        <f t="shared" si="4"/>
        <v>1</v>
      </c>
    </row>
    <row r="5385">
      <c r="A5385" s="23">
        <v>76601.0</v>
      </c>
      <c r="B5385" s="24" t="str">
        <f t="array" ref="B5385">xlookup($A5385,product!$A:$A,product!B:B)</f>
        <v>Epicerie salée</v>
      </c>
      <c r="C5385" s="24" t="str">
        <f t="array" ref="C5385">xlookup($A5385,product!$A:$A,product!C:C)</f>
        <v>Légumineuses et céréales</v>
      </c>
      <c r="D5385" s="24" t="str">
        <f t="array" ref="D5385">xlookup($A5385,product!$A:$A,product!D:D)</f>
        <v>Céréales en grains</v>
      </c>
      <c r="E5385" s="25" t="str">
        <f t="shared" si="1"/>
        <v>76601-Légumineuses et céréales-Céréales en grains</v>
      </c>
      <c r="F5385" s="25">
        <v>1.0</v>
      </c>
      <c r="G5385" s="25">
        <v>770.0</v>
      </c>
      <c r="H5385" s="25">
        <v>770.0</v>
      </c>
      <c r="I5385" s="26">
        <f t="array" ref="I5385">XLOOKUP($A5385,product!A:A,product!E:E)</f>
        <v>1.21</v>
      </c>
      <c r="J5385" s="25">
        <f t="shared" si="2"/>
        <v>931.7</v>
      </c>
      <c r="K5385" s="27">
        <f t="shared" si="3"/>
        <v>1</v>
      </c>
      <c r="L5385" s="25">
        <f t="shared" si="4"/>
        <v>1</v>
      </c>
    </row>
    <row r="5386">
      <c r="A5386" s="19">
        <v>87202.0</v>
      </c>
      <c r="B5386" s="20" t="str">
        <f t="array" ref="B5386">xlookup($A5386,product!$A:$A,product!B:B)</f>
        <v>Epicerie salée</v>
      </c>
      <c r="C5386" s="20" t="str">
        <f t="array" ref="C5386">xlookup($A5386,product!$A:$A,product!C:C)</f>
        <v>Légumineuses et céréales</v>
      </c>
      <c r="D5386" s="20" t="str">
        <f t="array" ref="D5386">xlookup($A5386,product!$A:$A,product!D:D)</f>
        <v>Céréales en grains</v>
      </c>
      <c r="E5386" s="4" t="str">
        <f t="shared" si="1"/>
        <v>87202-Légumineuses et céréales-Céréales en grains</v>
      </c>
      <c r="F5386" s="4">
        <v>1.0</v>
      </c>
      <c r="G5386" s="4">
        <v>250.0</v>
      </c>
      <c r="H5386" s="4">
        <v>234.0</v>
      </c>
      <c r="I5386" s="21">
        <f t="array" ref="I5386">XLOOKUP($A5386,product!A:A,product!E:E)</f>
        <v>0.9</v>
      </c>
      <c r="J5386" s="4">
        <f t="shared" si="2"/>
        <v>210.6</v>
      </c>
      <c r="K5386" s="22">
        <f t="shared" si="3"/>
        <v>1</v>
      </c>
      <c r="L5386" s="4">
        <f t="shared" si="4"/>
        <v>1</v>
      </c>
    </row>
    <row r="5387">
      <c r="A5387" s="23">
        <v>122244.0</v>
      </c>
      <c r="B5387" s="24" t="str">
        <f t="array" ref="B5387">xlookup($A5387,product!$A:$A,product!B:B)</f>
        <v>Epicerie salée</v>
      </c>
      <c r="C5387" s="24" t="str">
        <f t="array" ref="C5387">xlookup($A5387,product!$A:$A,product!C:C)</f>
        <v>Légumineuses et céréales</v>
      </c>
      <c r="D5387" s="24" t="str">
        <f t="array" ref="D5387">xlookup($A5387,product!$A:$A,product!D:D)</f>
        <v>Céréales en grains</v>
      </c>
      <c r="E5387" s="25" t="str">
        <f t="shared" si="1"/>
        <v>122244-Légumineuses et céréales-Céréales en grains</v>
      </c>
      <c r="F5387" s="25">
        <v>0.0</v>
      </c>
      <c r="G5387" s="25">
        <v>670.0</v>
      </c>
      <c r="H5387" s="25">
        <v>118.0</v>
      </c>
      <c r="I5387" s="26">
        <f t="array" ref="I5387">XLOOKUP($A5387,product!A:A,product!E:E)</f>
        <v>2.75</v>
      </c>
      <c r="J5387" s="25">
        <f t="shared" si="2"/>
        <v>324.5</v>
      </c>
      <c r="K5387" s="27">
        <f t="shared" si="3"/>
        <v>1</v>
      </c>
      <c r="L5387" s="25">
        <f t="shared" si="4"/>
        <v>1</v>
      </c>
    </row>
    <row r="5388">
      <c r="A5388" s="19">
        <v>122075.0</v>
      </c>
      <c r="B5388" s="20" t="str">
        <f t="array" ref="B5388">xlookup($A5388,product!$A:$A,product!B:B)</f>
        <v>Epicerie salée</v>
      </c>
      <c r="C5388" s="20" t="str">
        <f t="array" ref="C5388">xlookup($A5388,product!$A:$A,product!C:C)</f>
        <v>Légumineuses et céréales</v>
      </c>
      <c r="D5388" s="20" t="str">
        <f t="array" ref="D5388">xlookup($A5388,product!$A:$A,product!D:D)</f>
        <v>Céréales en grains</v>
      </c>
      <c r="E5388" s="4" t="str">
        <f t="shared" si="1"/>
        <v>122075-Légumineuses et céréales-Céréales en grains</v>
      </c>
      <c r="F5388" s="4">
        <v>1.0</v>
      </c>
      <c r="G5388" s="4">
        <v>936.0</v>
      </c>
      <c r="H5388" s="4">
        <v>62.0</v>
      </c>
      <c r="I5388" s="21">
        <f t="array" ref="I5388">XLOOKUP($A5388,product!A:A,product!E:E)</f>
        <v>1.06</v>
      </c>
      <c r="J5388" s="4">
        <f t="shared" si="2"/>
        <v>65.72</v>
      </c>
      <c r="K5388" s="22">
        <f t="shared" si="3"/>
        <v>1</v>
      </c>
      <c r="L5388" s="4">
        <f t="shared" si="4"/>
        <v>1</v>
      </c>
    </row>
    <row r="5389">
      <c r="A5389" s="23">
        <v>90735.0</v>
      </c>
      <c r="B5389" s="24" t="str">
        <f t="array" ref="B5389">xlookup($A5389,product!$A:$A,product!B:B)</f>
        <v>Epicerie salée</v>
      </c>
      <c r="C5389" s="24" t="str">
        <f t="array" ref="C5389">xlookup($A5389,product!$A:$A,product!C:C)</f>
        <v>Légumineuses et céréales</v>
      </c>
      <c r="D5389" s="24" t="str">
        <f t="array" ref="D5389">xlookup($A5389,product!$A:$A,product!D:D)</f>
        <v>Céréales en grains</v>
      </c>
      <c r="E5389" s="25" t="str">
        <f t="shared" si="1"/>
        <v>90735-Légumineuses et céréales-Céréales en grains</v>
      </c>
      <c r="F5389" s="25">
        <v>1.0</v>
      </c>
      <c r="G5389" s="25">
        <v>642.0</v>
      </c>
      <c r="H5389" s="25">
        <v>458.0</v>
      </c>
      <c r="I5389" s="26">
        <f t="array" ref="I5389">XLOOKUP($A5389,product!A:A,product!E:E)</f>
        <v>7.8</v>
      </c>
      <c r="J5389" s="25">
        <f t="shared" si="2"/>
        <v>3572.4</v>
      </c>
      <c r="K5389" s="27">
        <f t="shared" si="3"/>
        <v>1</v>
      </c>
      <c r="L5389" s="25">
        <f t="shared" si="4"/>
        <v>1</v>
      </c>
    </row>
    <row r="5390">
      <c r="A5390" s="19">
        <v>20951.0</v>
      </c>
      <c r="B5390" s="20" t="str">
        <f t="array" ref="B5390">xlookup($A5390,product!$A:$A,product!B:B)</f>
        <v>Epicerie salée</v>
      </c>
      <c r="C5390" s="20" t="str">
        <f t="array" ref="C5390">xlookup($A5390,product!$A:$A,product!C:C)</f>
        <v>Légumineuses et céréales</v>
      </c>
      <c r="D5390" s="20" t="str">
        <f t="array" ref="D5390">xlookup($A5390,product!$A:$A,product!D:D)</f>
        <v>Céréales en grains</v>
      </c>
      <c r="E5390" s="4" t="str">
        <f t="shared" si="1"/>
        <v>20951-Légumineuses et céréales-Céréales en grains</v>
      </c>
      <c r="F5390" s="4">
        <v>0.0</v>
      </c>
      <c r="G5390" s="4">
        <v>518.0</v>
      </c>
      <c r="H5390" s="4">
        <v>417.0</v>
      </c>
      <c r="I5390" s="21">
        <f t="array" ref="I5390">XLOOKUP($A5390,product!A:A,product!E:E)</f>
        <v>2.22</v>
      </c>
      <c r="J5390" s="4">
        <f t="shared" si="2"/>
        <v>925.74</v>
      </c>
      <c r="K5390" s="22">
        <f t="shared" si="3"/>
        <v>1</v>
      </c>
      <c r="L5390" s="4">
        <f t="shared" si="4"/>
        <v>1</v>
      </c>
    </row>
    <row r="5391">
      <c r="A5391" s="23">
        <v>5502.0</v>
      </c>
      <c r="B5391" s="24" t="str">
        <f t="array" ref="B5391">xlookup($A5391,product!$A:$A,product!B:B)</f>
        <v>Epicerie salée</v>
      </c>
      <c r="C5391" s="24" t="str">
        <f t="array" ref="C5391">xlookup($A5391,product!$A:$A,product!C:C)</f>
        <v>Légumineuses et céréales</v>
      </c>
      <c r="D5391" s="24" t="str">
        <f t="array" ref="D5391">xlookup($A5391,product!$A:$A,product!D:D)</f>
        <v>Céréales en grains</v>
      </c>
      <c r="E5391" s="25" t="str">
        <f t="shared" si="1"/>
        <v>5502-Légumineuses et céréales-Céréales en grains</v>
      </c>
      <c r="F5391" s="25">
        <v>1.0</v>
      </c>
      <c r="G5391" s="25">
        <v>197.0</v>
      </c>
      <c r="H5391" s="25">
        <v>163.0</v>
      </c>
      <c r="I5391" s="26">
        <f t="array" ref="I5391">XLOOKUP($A5391,product!A:A,product!E:E)</f>
        <v>3.13</v>
      </c>
      <c r="J5391" s="25">
        <f t="shared" si="2"/>
        <v>510.19</v>
      </c>
      <c r="K5391" s="27">
        <f t="shared" si="3"/>
        <v>1</v>
      </c>
      <c r="L5391" s="25">
        <f t="shared" si="4"/>
        <v>1</v>
      </c>
    </row>
    <row r="5392">
      <c r="A5392" s="19">
        <v>90669.0</v>
      </c>
      <c r="B5392" s="20" t="str">
        <f t="array" ref="B5392">xlookup($A5392,product!$A:$A,product!B:B)</f>
        <v>Epicerie salée</v>
      </c>
      <c r="C5392" s="20" t="str">
        <f t="array" ref="C5392">xlookup($A5392,product!$A:$A,product!C:C)</f>
        <v>Légumineuses et céréales</v>
      </c>
      <c r="D5392" s="20" t="str">
        <f t="array" ref="D5392">xlookup($A5392,product!$A:$A,product!D:D)</f>
        <v>Céréales en grains</v>
      </c>
      <c r="E5392" s="4" t="str">
        <f t="shared" si="1"/>
        <v>90669-Légumineuses et céréales-Céréales en grains</v>
      </c>
      <c r="F5392" s="4">
        <v>0.0</v>
      </c>
      <c r="G5392" s="4">
        <v>864.0</v>
      </c>
      <c r="H5392" s="4">
        <v>469.0</v>
      </c>
      <c r="I5392" s="21">
        <f t="array" ref="I5392">XLOOKUP($A5392,product!A:A,product!E:E)</f>
        <v>2.47</v>
      </c>
      <c r="J5392" s="4">
        <f t="shared" si="2"/>
        <v>1158.43</v>
      </c>
      <c r="K5392" s="22">
        <f t="shared" si="3"/>
        <v>1</v>
      </c>
      <c r="L5392" s="4">
        <f t="shared" si="4"/>
        <v>1</v>
      </c>
    </row>
    <row r="5393">
      <c r="A5393" s="23">
        <v>90673.0</v>
      </c>
      <c r="B5393" s="24" t="str">
        <f t="array" ref="B5393">xlookup($A5393,product!$A:$A,product!B:B)</f>
        <v>Epicerie salée</v>
      </c>
      <c r="C5393" s="24" t="str">
        <f t="array" ref="C5393">xlookup($A5393,product!$A:$A,product!C:C)</f>
        <v>Légumineuses et céréales</v>
      </c>
      <c r="D5393" s="24" t="str">
        <f t="array" ref="D5393">xlookup($A5393,product!$A:$A,product!D:D)</f>
        <v>Céréales en grains</v>
      </c>
      <c r="E5393" s="25" t="str">
        <f t="shared" si="1"/>
        <v>90673-Légumineuses et céréales-Céréales en grains</v>
      </c>
      <c r="F5393" s="25">
        <v>0.0</v>
      </c>
      <c r="G5393" s="25">
        <v>799.0</v>
      </c>
      <c r="H5393" s="25">
        <v>677.0</v>
      </c>
      <c r="I5393" s="26">
        <f t="array" ref="I5393">XLOOKUP($A5393,product!A:A,product!E:E)</f>
        <v>5.77</v>
      </c>
      <c r="J5393" s="25">
        <f t="shared" si="2"/>
        <v>3906.29</v>
      </c>
      <c r="K5393" s="27">
        <f t="shared" si="3"/>
        <v>1</v>
      </c>
      <c r="L5393" s="25">
        <f t="shared" si="4"/>
        <v>1</v>
      </c>
    </row>
    <row r="5394">
      <c r="A5394" s="19">
        <v>68403.0</v>
      </c>
      <c r="B5394" s="20" t="str">
        <f t="array" ref="B5394">xlookup($A5394,product!$A:$A,product!B:B)</f>
        <v>Epicerie salée</v>
      </c>
      <c r="C5394" s="20" t="str">
        <f t="array" ref="C5394">xlookup($A5394,product!$A:$A,product!C:C)</f>
        <v>Légumineuses et céréales</v>
      </c>
      <c r="D5394" s="20" t="str">
        <f t="array" ref="D5394">xlookup($A5394,product!$A:$A,product!D:D)</f>
        <v>Céréales en grains</v>
      </c>
      <c r="E5394" s="4" t="str">
        <f t="shared" si="1"/>
        <v>68403-Légumineuses et céréales-Céréales en grains</v>
      </c>
      <c r="F5394" s="4">
        <v>1.0</v>
      </c>
      <c r="G5394" s="4">
        <v>9.0</v>
      </c>
      <c r="H5394" s="4">
        <v>5.0</v>
      </c>
      <c r="I5394" s="21">
        <f t="array" ref="I5394">XLOOKUP($A5394,product!A:A,product!E:E)</f>
        <v>1.63</v>
      </c>
      <c r="J5394" s="4">
        <f t="shared" si="2"/>
        <v>8.15</v>
      </c>
      <c r="K5394" s="22">
        <f t="shared" si="3"/>
        <v>1</v>
      </c>
      <c r="L5394" s="4">
        <f t="shared" si="4"/>
        <v>1</v>
      </c>
    </row>
    <row r="5395">
      <c r="A5395" s="23">
        <v>76636.0</v>
      </c>
      <c r="B5395" s="24" t="str">
        <f t="array" ref="B5395">xlookup($A5395,product!$A:$A,product!B:B)</f>
        <v>Epicerie salée</v>
      </c>
      <c r="C5395" s="24" t="str">
        <f t="array" ref="C5395">xlookup($A5395,product!$A:$A,product!C:C)</f>
        <v>Légumineuses et céréales</v>
      </c>
      <c r="D5395" s="24" t="str">
        <f t="array" ref="D5395">xlookup($A5395,product!$A:$A,product!D:D)</f>
        <v>Céréales en grains</v>
      </c>
      <c r="E5395" s="25" t="str">
        <f t="shared" si="1"/>
        <v>76636-Légumineuses et céréales-Céréales en grains</v>
      </c>
      <c r="F5395" s="25">
        <v>1.0</v>
      </c>
      <c r="G5395" s="25">
        <v>812.0</v>
      </c>
      <c r="H5395" s="25">
        <v>123.0</v>
      </c>
      <c r="I5395" s="26">
        <f t="array" ref="I5395">XLOOKUP($A5395,product!A:A,product!E:E)</f>
        <v>2.14</v>
      </c>
      <c r="J5395" s="25">
        <f t="shared" si="2"/>
        <v>263.22</v>
      </c>
      <c r="K5395" s="27">
        <f t="shared" si="3"/>
        <v>1</v>
      </c>
      <c r="L5395" s="25">
        <f t="shared" si="4"/>
        <v>1</v>
      </c>
    </row>
    <row r="5396">
      <c r="A5396" s="19">
        <v>77397.0</v>
      </c>
      <c r="B5396" s="20" t="str">
        <f t="array" ref="B5396">xlookup($A5396,product!$A:$A,product!B:B)</f>
        <v>Epicerie salée</v>
      </c>
      <c r="C5396" s="20" t="str">
        <f t="array" ref="C5396">xlookup($A5396,product!$A:$A,product!C:C)</f>
        <v>Légumineuses et céréales</v>
      </c>
      <c r="D5396" s="20" t="str">
        <f t="array" ref="D5396">xlookup($A5396,product!$A:$A,product!D:D)</f>
        <v>Céréales en grains</v>
      </c>
      <c r="E5396" s="4" t="str">
        <f t="shared" si="1"/>
        <v>77397-Légumineuses et céréales-Céréales en grains</v>
      </c>
      <c r="F5396" s="4">
        <v>0.0</v>
      </c>
      <c r="G5396" s="4">
        <v>188.0</v>
      </c>
      <c r="H5396" s="4">
        <v>19.0</v>
      </c>
      <c r="I5396" s="21">
        <f t="array" ref="I5396">XLOOKUP($A5396,product!A:A,product!E:E)</f>
        <v>1.59</v>
      </c>
      <c r="J5396" s="4">
        <f t="shared" si="2"/>
        <v>30.21</v>
      </c>
      <c r="K5396" s="22">
        <f t="shared" si="3"/>
        <v>1</v>
      </c>
      <c r="L5396" s="4">
        <f t="shared" si="4"/>
        <v>1</v>
      </c>
    </row>
    <row r="5397">
      <c r="A5397" s="23">
        <v>76195.0</v>
      </c>
      <c r="B5397" s="24" t="str">
        <f t="array" ref="B5397">xlookup($A5397,product!$A:$A,product!B:B)</f>
        <v>Epicerie salée</v>
      </c>
      <c r="C5397" s="24" t="str">
        <f t="array" ref="C5397">xlookup($A5397,product!$A:$A,product!C:C)</f>
        <v>Légumineuses et céréales</v>
      </c>
      <c r="D5397" s="24" t="str">
        <f t="array" ref="D5397">xlookup($A5397,product!$A:$A,product!D:D)</f>
        <v>Céréales en grains</v>
      </c>
      <c r="E5397" s="25" t="str">
        <f t="shared" si="1"/>
        <v>76195-Légumineuses et céréales-Céréales en grains</v>
      </c>
      <c r="F5397" s="25">
        <v>1.0</v>
      </c>
      <c r="G5397" s="25">
        <v>365.0</v>
      </c>
      <c r="H5397" s="25">
        <v>226.0</v>
      </c>
      <c r="I5397" s="26">
        <f t="array" ref="I5397">XLOOKUP($A5397,product!A:A,product!E:E)</f>
        <v>1.02</v>
      </c>
      <c r="J5397" s="25">
        <f t="shared" si="2"/>
        <v>230.52</v>
      </c>
      <c r="K5397" s="27">
        <f t="shared" si="3"/>
        <v>1</v>
      </c>
      <c r="L5397" s="25">
        <f t="shared" si="4"/>
        <v>1</v>
      </c>
    </row>
    <row r="5398">
      <c r="A5398" s="19">
        <v>90710.0</v>
      </c>
      <c r="B5398" s="20" t="str">
        <f t="array" ref="B5398">xlookup($A5398,product!$A:$A,product!B:B)</f>
        <v>Epicerie salée</v>
      </c>
      <c r="C5398" s="20" t="str">
        <f t="array" ref="C5398">xlookup($A5398,product!$A:$A,product!C:C)</f>
        <v>Légumineuses et céréales</v>
      </c>
      <c r="D5398" s="20" t="str">
        <f t="array" ref="D5398">xlookup($A5398,product!$A:$A,product!D:D)</f>
        <v>Céréales en grains</v>
      </c>
      <c r="E5398" s="4" t="str">
        <f t="shared" si="1"/>
        <v>90710-Légumineuses et céréales-Céréales en grains</v>
      </c>
      <c r="F5398" s="4">
        <v>1.0</v>
      </c>
      <c r="G5398" s="4">
        <v>236.0</v>
      </c>
      <c r="H5398" s="4">
        <v>157.0</v>
      </c>
      <c r="I5398" s="21">
        <f t="array" ref="I5398">XLOOKUP($A5398,product!A:A,product!E:E)</f>
        <v>0.73</v>
      </c>
      <c r="J5398" s="4">
        <f t="shared" si="2"/>
        <v>114.61</v>
      </c>
      <c r="K5398" s="22">
        <f t="shared" si="3"/>
        <v>1</v>
      </c>
      <c r="L5398" s="4">
        <f t="shared" si="4"/>
        <v>1</v>
      </c>
    </row>
    <row r="5399">
      <c r="A5399" s="23">
        <v>117148.0</v>
      </c>
      <c r="B5399" s="24" t="str">
        <f t="array" ref="B5399">xlookup($A5399,product!$A:$A,product!B:B)</f>
        <v>Epicerie salée</v>
      </c>
      <c r="C5399" s="24" t="str">
        <f t="array" ref="C5399">xlookup($A5399,product!$A:$A,product!C:C)</f>
        <v>Légumineuses et céréales</v>
      </c>
      <c r="D5399" s="24" t="str">
        <f t="array" ref="D5399">xlookup($A5399,product!$A:$A,product!D:D)</f>
        <v>Céréales en grains</v>
      </c>
      <c r="E5399" s="25" t="str">
        <f t="shared" si="1"/>
        <v>117148-Légumineuses et céréales-Céréales en grains</v>
      </c>
      <c r="F5399" s="25">
        <v>0.0</v>
      </c>
      <c r="G5399" s="25">
        <v>51.0</v>
      </c>
      <c r="H5399" s="25">
        <v>31.0</v>
      </c>
      <c r="I5399" s="26">
        <f t="array" ref="I5399">XLOOKUP($A5399,product!A:A,product!E:E)</f>
        <v>1.2</v>
      </c>
      <c r="J5399" s="25">
        <f t="shared" si="2"/>
        <v>37.2</v>
      </c>
      <c r="K5399" s="27">
        <f t="shared" si="3"/>
        <v>1</v>
      </c>
      <c r="L5399" s="25">
        <f t="shared" si="4"/>
        <v>1</v>
      </c>
    </row>
    <row r="5400">
      <c r="A5400" s="19">
        <v>5493.0</v>
      </c>
      <c r="B5400" s="20" t="str">
        <f t="array" ref="B5400">xlookup($A5400,product!$A:$A,product!B:B)</f>
        <v>Epicerie salée</v>
      </c>
      <c r="C5400" s="20" t="str">
        <f t="array" ref="C5400">xlookup($A5400,product!$A:$A,product!C:C)</f>
        <v>Légumineuses et céréales</v>
      </c>
      <c r="D5400" s="20" t="str">
        <f t="array" ref="D5400">xlookup($A5400,product!$A:$A,product!D:D)</f>
        <v>Céréales en grains</v>
      </c>
      <c r="E5400" s="4" t="str">
        <f t="shared" si="1"/>
        <v>5493-Légumineuses et céréales-Céréales en grains</v>
      </c>
      <c r="F5400" s="4">
        <v>0.0</v>
      </c>
      <c r="G5400" s="4">
        <v>357.0</v>
      </c>
      <c r="H5400" s="4">
        <v>256.0</v>
      </c>
      <c r="I5400" s="21">
        <f t="array" ref="I5400">XLOOKUP($A5400,product!A:A,product!E:E)</f>
        <v>2.02</v>
      </c>
      <c r="J5400" s="4">
        <f t="shared" si="2"/>
        <v>517.12</v>
      </c>
      <c r="K5400" s="22">
        <f t="shared" si="3"/>
        <v>1</v>
      </c>
      <c r="L5400" s="4">
        <f t="shared" si="4"/>
        <v>1</v>
      </c>
    </row>
    <row r="5401">
      <c r="A5401" s="23">
        <v>76671.0</v>
      </c>
      <c r="B5401" s="24" t="str">
        <f t="array" ref="B5401">xlookup($A5401,product!$A:$A,product!B:B)</f>
        <v>Epicerie salée</v>
      </c>
      <c r="C5401" s="24" t="str">
        <f t="array" ref="C5401">xlookup($A5401,product!$A:$A,product!C:C)</f>
        <v>Légumineuses et céréales</v>
      </c>
      <c r="D5401" s="24" t="str">
        <f t="array" ref="D5401">xlookup($A5401,product!$A:$A,product!D:D)</f>
        <v>Céréales en grains</v>
      </c>
      <c r="E5401" s="25" t="str">
        <f t="shared" si="1"/>
        <v>76671-Légumineuses et céréales-Céréales en grains</v>
      </c>
      <c r="F5401" s="25">
        <v>1.0</v>
      </c>
      <c r="G5401" s="25">
        <v>649.0</v>
      </c>
      <c r="H5401" s="25">
        <v>321.0</v>
      </c>
      <c r="I5401" s="26">
        <f t="array" ref="I5401">XLOOKUP($A5401,product!A:A,product!E:E)</f>
        <v>0.91</v>
      </c>
      <c r="J5401" s="25">
        <f t="shared" si="2"/>
        <v>292.11</v>
      </c>
      <c r="K5401" s="27">
        <f t="shared" si="3"/>
        <v>1</v>
      </c>
      <c r="L5401" s="25">
        <f t="shared" si="4"/>
        <v>1</v>
      </c>
    </row>
    <row r="5402">
      <c r="A5402" s="19">
        <v>90678.0</v>
      </c>
      <c r="B5402" s="20" t="str">
        <f t="array" ref="B5402">xlookup($A5402,product!$A:$A,product!B:B)</f>
        <v>Epicerie salée</v>
      </c>
      <c r="C5402" s="20" t="str">
        <f t="array" ref="C5402">xlookup($A5402,product!$A:$A,product!C:C)</f>
        <v>Légumineuses et céréales</v>
      </c>
      <c r="D5402" s="20" t="str">
        <f t="array" ref="D5402">xlookup($A5402,product!$A:$A,product!D:D)</f>
        <v>Céréales en grains</v>
      </c>
      <c r="E5402" s="4" t="str">
        <f t="shared" si="1"/>
        <v>90678-Légumineuses et céréales-Céréales en grains</v>
      </c>
      <c r="F5402" s="4">
        <v>1.0</v>
      </c>
      <c r="G5402" s="4">
        <v>847.0</v>
      </c>
      <c r="H5402" s="4">
        <v>122.0</v>
      </c>
      <c r="I5402" s="21">
        <f t="array" ref="I5402">XLOOKUP($A5402,product!A:A,product!E:E)</f>
        <v>1.32</v>
      </c>
      <c r="J5402" s="4">
        <f t="shared" si="2"/>
        <v>161.04</v>
      </c>
      <c r="K5402" s="22">
        <f t="shared" si="3"/>
        <v>1</v>
      </c>
      <c r="L5402" s="4">
        <f t="shared" si="4"/>
        <v>1</v>
      </c>
    </row>
    <row r="5403">
      <c r="A5403" s="23">
        <v>76207.0</v>
      </c>
      <c r="B5403" s="24" t="str">
        <f t="array" ref="B5403">xlookup($A5403,product!$A:$A,product!B:B)</f>
        <v>Epicerie salée</v>
      </c>
      <c r="C5403" s="24" t="str">
        <f t="array" ref="C5403">xlookup($A5403,product!$A:$A,product!C:C)</f>
        <v>Légumineuses et céréales</v>
      </c>
      <c r="D5403" s="24" t="str">
        <f t="array" ref="D5403">xlookup($A5403,product!$A:$A,product!D:D)</f>
        <v>Céréales en grains</v>
      </c>
      <c r="E5403" s="25" t="str">
        <f t="shared" si="1"/>
        <v>76207-Légumineuses et céréales-Céréales en grains</v>
      </c>
      <c r="F5403" s="25">
        <v>0.0</v>
      </c>
      <c r="G5403" s="25">
        <v>31.0</v>
      </c>
      <c r="H5403" s="25">
        <v>9.0</v>
      </c>
      <c r="I5403" s="26">
        <f t="array" ref="I5403">XLOOKUP($A5403,product!A:A,product!E:E)</f>
        <v>0.69</v>
      </c>
      <c r="J5403" s="25">
        <f t="shared" si="2"/>
        <v>6.21</v>
      </c>
      <c r="K5403" s="27">
        <f t="shared" si="3"/>
        <v>1</v>
      </c>
      <c r="L5403" s="25">
        <f t="shared" si="4"/>
        <v>1</v>
      </c>
    </row>
    <row r="5404">
      <c r="A5404" s="19">
        <v>5500.0</v>
      </c>
      <c r="B5404" s="20" t="str">
        <f t="array" ref="B5404">xlookup($A5404,product!$A:$A,product!B:B)</f>
        <v>Epicerie salée</v>
      </c>
      <c r="C5404" s="20" t="str">
        <f t="array" ref="C5404">xlookup($A5404,product!$A:$A,product!C:C)</f>
        <v>Légumineuses et céréales</v>
      </c>
      <c r="D5404" s="20" t="str">
        <f t="array" ref="D5404">xlookup($A5404,product!$A:$A,product!D:D)</f>
        <v>Céréales en grains</v>
      </c>
      <c r="E5404" s="4" t="str">
        <f t="shared" si="1"/>
        <v>5500-Légumineuses et céréales-Céréales en grains</v>
      </c>
      <c r="F5404" s="4">
        <v>0.0</v>
      </c>
      <c r="G5404" s="4">
        <v>370.0</v>
      </c>
      <c r="H5404" s="4">
        <v>200.0</v>
      </c>
      <c r="I5404" s="21">
        <f t="array" ref="I5404">XLOOKUP($A5404,product!A:A,product!E:E)</f>
        <v>1.49</v>
      </c>
      <c r="J5404" s="4">
        <f t="shared" si="2"/>
        <v>298</v>
      </c>
      <c r="K5404" s="22">
        <f t="shared" si="3"/>
        <v>1</v>
      </c>
      <c r="L5404" s="4">
        <f t="shared" si="4"/>
        <v>1</v>
      </c>
    </row>
    <row r="5405">
      <c r="A5405" s="23">
        <v>122081.0</v>
      </c>
      <c r="B5405" s="24" t="str">
        <f t="array" ref="B5405">xlookup($A5405,product!$A:$A,product!B:B)</f>
        <v>Epicerie salée</v>
      </c>
      <c r="C5405" s="24" t="str">
        <f t="array" ref="C5405">xlookup($A5405,product!$A:$A,product!C:C)</f>
        <v>Légumineuses et céréales</v>
      </c>
      <c r="D5405" s="24" t="str">
        <f t="array" ref="D5405">xlookup($A5405,product!$A:$A,product!D:D)</f>
        <v>Céréales en grains</v>
      </c>
      <c r="E5405" s="25" t="str">
        <f t="shared" si="1"/>
        <v>122081-Légumineuses et céréales-Céréales en grains</v>
      </c>
      <c r="F5405" s="25">
        <v>1.0</v>
      </c>
      <c r="G5405" s="25">
        <v>747.0</v>
      </c>
      <c r="H5405" s="25">
        <v>556.0</v>
      </c>
      <c r="I5405" s="26">
        <f t="array" ref="I5405">XLOOKUP($A5405,product!A:A,product!E:E)</f>
        <v>0.99</v>
      </c>
      <c r="J5405" s="25">
        <f t="shared" si="2"/>
        <v>550.44</v>
      </c>
      <c r="K5405" s="27">
        <f t="shared" si="3"/>
        <v>1</v>
      </c>
      <c r="L5405" s="25">
        <f t="shared" si="4"/>
        <v>1</v>
      </c>
    </row>
    <row r="5406">
      <c r="A5406" s="19">
        <v>77396.0</v>
      </c>
      <c r="B5406" s="20" t="str">
        <f t="array" ref="B5406">xlookup($A5406,product!$A:$A,product!B:B)</f>
        <v>Epicerie salée</v>
      </c>
      <c r="C5406" s="20" t="str">
        <f t="array" ref="C5406">xlookup($A5406,product!$A:$A,product!C:C)</f>
        <v>Légumineuses et céréales</v>
      </c>
      <c r="D5406" s="20" t="str">
        <f t="array" ref="D5406">xlookup($A5406,product!$A:$A,product!D:D)</f>
        <v>Céréales en grains</v>
      </c>
      <c r="E5406" s="4" t="str">
        <f t="shared" si="1"/>
        <v>77396-Légumineuses et céréales-Céréales en grains</v>
      </c>
      <c r="F5406" s="4">
        <v>1.0</v>
      </c>
      <c r="G5406" s="4">
        <v>444.0</v>
      </c>
      <c r="H5406" s="4">
        <v>362.0</v>
      </c>
      <c r="I5406" s="21">
        <f t="array" ref="I5406">XLOOKUP($A5406,product!A:A,product!E:E)</f>
        <v>2.92</v>
      </c>
      <c r="J5406" s="4">
        <f t="shared" si="2"/>
        <v>1057.04</v>
      </c>
      <c r="K5406" s="22">
        <f t="shared" si="3"/>
        <v>1</v>
      </c>
      <c r="L5406" s="4">
        <f t="shared" si="4"/>
        <v>1</v>
      </c>
    </row>
    <row r="5407">
      <c r="A5407" s="23">
        <v>77398.0</v>
      </c>
      <c r="B5407" s="24" t="str">
        <f t="array" ref="B5407">xlookup($A5407,product!$A:$A,product!B:B)</f>
        <v>Epicerie salée</v>
      </c>
      <c r="C5407" s="24" t="str">
        <f t="array" ref="C5407">xlookup($A5407,product!$A:$A,product!C:C)</f>
        <v>Légumineuses et céréales</v>
      </c>
      <c r="D5407" s="24" t="str">
        <f t="array" ref="D5407">xlookup($A5407,product!$A:$A,product!D:D)</f>
        <v>Céréales en grains</v>
      </c>
      <c r="E5407" s="25" t="str">
        <f t="shared" si="1"/>
        <v>77398-Légumineuses et céréales-Céréales en grains</v>
      </c>
      <c r="F5407" s="25">
        <v>1.0</v>
      </c>
      <c r="G5407" s="25">
        <v>322.0</v>
      </c>
      <c r="H5407" s="25">
        <v>318.0</v>
      </c>
      <c r="I5407" s="26">
        <f t="array" ref="I5407">XLOOKUP($A5407,product!A:A,product!E:E)</f>
        <v>2.21</v>
      </c>
      <c r="J5407" s="25">
        <f t="shared" si="2"/>
        <v>702.78</v>
      </c>
      <c r="K5407" s="27">
        <f t="shared" si="3"/>
        <v>1</v>
      </c>
      <c r="L5407" s="25">
        <f t="shared" si="4"/>
        <v>1</v>
      </c>
    </row>
    <row r="5408">
      <c r="A5408" s="19">
        <v>90716.0</v>
      </c>
      <c r="B5408" s="20" t="str">
        <f t="array" ref="B5408">xlookup($A5408,product!$A:$A,product!B:B)</f>
        <v>Epicerie salée</v>
      </c>
      <c r="C5408" s="20" t="str">
        <f t="array" ref="C5408">xlookup($A5408,product!$A:$A,product!C:C)</f>
        <v>Légumineuses et céréales</v>
      </c>
      <c r="D5408" s="20" t="str">
        <f t="array" ref="D5408">xlookup($A5408,product!$A:$A,product!D:D)</f>
        <v>Céréales en grains</v>
      </c>
      <c r="E5408" s="4" t="str">
        <f t="shared" si="1"/>
        <v>90716-Légumineuses et céréales-Céréales en grains</v>
      </c>
      <c r="F5408" s="4">
        <v>0.0</v>
      </c>
      <c r="G5408" s="4">
        <v>607.0</v>
      </c>
      <c r="H5408" s="4">
        <v>593.0</v>
      </c>
      <c r="I5408" s="21">
        <f t="array" ref="I5408">XLOOKUP($A5408,product!A:A,product!E:E)</f>
        <v>1.35</v>
      </c>
      <c r="J5408" s="4">
        <f t="shared" si="2"/>
        <v>800.55</v>
      </c>
      <c r="K5408" s="22">
        <f t="shared" si="3"/>
        <v>1</v>
      </c>
      <c r="L5408" s="4">
        <f t="shared" si="4"/>
        <v>1</v>
      </c>
    </row>
    <row r="5409">
      <c r="A5409" s="23">
        <v>122846.0</v>
      </c>
      <c r="B5409" s="24" t="str">
        <f t="array" ref="B5409">xlookup($A5409,product!$A:$A,product!B:B)</f>
        <v>Epicerie salée</v>
      </c>
      <c r="C5409" s="24" t="str">
        <f t="array" ref="C5409">xlookup($A5409,product!$A:$A,product!C:C)</f>
        <v>Légumineuses et céréales</v>
      </c>
      <c r="D5409" s="24" t="str">
        <f t="array" ref="D5409">xlookup($A5409,product!$A:$A,product!D:D)</f>
        <v>Semoule, Boulgour, Couscous</v>
      </c>
      <c r="E5409" s="25" t="str">
        <f t="shared" si="1"/>
        <v>122846-Légumineuses et céréales-Semoule, Boulgour, Couscous</v>
      </c>
      <c r="F5409" s="25">
        <v>0.0</v>
      </c>
      <c r="G5409" s="25">
        <v>306.0</v>
      </c>
      <c r="H5409" s="25">
        <v>148.0</v>
      </c>
      <c r="I5409" s="26">
        <f t="array" ref="I5409">XLOOKUP($A5409,product!A:A,product!E:E)</f>
        <v>2.82</v>
      </c>
      <c r="J5409" s="25">
        <f t="shared" si="2"/>
        <v>417.36</v>
      </c>
      <c r="K5409" s="27">
        <f t="shared" si="3"/>
        <v>1</v>
      </c>
      <c r="L5409" s="25">
        <f t="shared" si="4"/>
        <v>1</v>
      </c>
    </row>
    <row r="5410">
      <c r="A5410" s="19">
        <v>77410.0</v>
      </c>
      <c r="B5410" s="20" t="str">
        <f t="array" ref="B5410">xlookup($A5410,product!$A:$A,product!B:B)</f>
        <v>Epicerie salée</v>
      </c>
      <c r="C5410" s="20" t="str">
        <f t="array" ref="C5410">xlookup($A5410,product!$A:$A,product!C:C)</f>
        <v>Légumineuses et céréales</v>
      </c>
      <c r="D5410" s="20" t="str">
        <f t="array" ref="D5410">xlookup($A5410,product!$A:$A,product!D:D)</f>
        <v>Semoule, Boulgour, Couscous</v>
      </c>
      <c r="E5410" s="4" t="str">
        <f t="shared" si="1"/>
        <v>77410-Légumineuses et céréales-Semoule, Boulgour, Couscous</v>
      </c>
      <c r="F5410" s="4">
        <v>1.0</v>
      </c>
      <c r="G5410" s="4">
        <v>249.0</v>
      </c>
      <c r="H5410" s="4">
        <v>56.0</v>
      </c>
      <c r="I5410" s="21">
        <f t="array" ref="I5410">XLOOKUP($A5410,product!A:A,product!E:E)</f>
        <v>0.86</v>
      </c>
      <c r="J5410" s="4">
        <f t="shared" si="2"/>
        <v>48.16</v>
      </c>
      <c r="K5410" s="22">
        <f t="shared" si="3"/>
        <v>1</v>
      </c>
      <c r="L5410" s="4">
        <f t="shared" si="4"/>
        <v>1</v>
      </c>
    </row>
    <row r="5411">
      <c r="A5411" s="23">
        <v>87083.0</v>
      </c>
      <c r="B5411" s="24" t="str">
        <f t="array" ref="B5411">xlookup($A5411,product!$A:$A,product!B:B)</f>
        <v>Epicerie salée</v>
      </c>
      <c r="C5411" s="24" t="str">
        <f t="array" ref="C5411">xlookup($A5411,product!$A:$A,product!C:C)</f>
        <v>Légumineuses et céréales</v>
      </c>
      <c r="D5411" s="24" t="str">
        <f t="array" ref="D5411">xlookup($A5411,product!$A:$A,product!D:D)</f>
        <v>Semoule, Boulgour, Couscous</v>
      </c>
      <c r="E5411" s="25" t="str">
        <f t="shared" si="1"/>
        <v>87083-Légumineuses et céréales-Semoule, Boulgour, Couscous</v>
      </c>
      <c r="F5411" s="25">
        <v>0.0</v>
      </c>
      <c r="G5411" s="25">
        <v>198.0</v>
      </c>
      <c r="H5411" s="25">
        <v>121.0</v>
      </c>
      <c r="I5411" s="26">
        <f t="array" ref="I5411">XLOOKUP($A5411,product!A:A,product!E:E)</f>
        <v>2.17</v>
      </c>
      <c r="J5411" s="25">
        <f t="shared" si="2"/>
        <v>262.57</v>
      </c>
      <c r="K5411" s="27">
        <f t="shared" si="3"/>
        <v>1</v>
      </c>
      <c r="L5411" s="25">
        <f t="shared" si="4"/>
        <v>1</v>
      </c>
    </row>
    <row r="5412">
      <c r="A5412" s="19">
        <v>73630.0</v>
      </c>
      <c r="B5412" s="20" t="str">
        <f t="array" ref="B5412">xlookup($A5412,product!$A:$A,product!B:B)</f>
        <v>Epicerie salée</v>
      </c>
      <c r="C5412" s="20" t="str">
        <f t="array" ref="C5412">xlookup($A5412,product!$A:$A,product!C:C)</f>
        <v>Légumineuses et céréales</v>
      </c>
      <c r="D5412" s="20" t="str">
        <f t="array" ref="D5412">xlookup($A5412,product!$A:$A,product!D:D)</f>
        <v>Semoule, Boulgour, Couscous</v>
      </c>
      <c r="E5412" s="4" t="str">
        <f t="shared" si="1"/>
        <v>73630-Légumineuses et céréales-Semoule, Boulgour, Couscous</v>
      </c>
      <c r="F5412" s="4">
        <v>1.0</v>
      </c>
      <c r="G5412" s="4">
        <v>303.0</v>
      </c>
      <c r="H5412" s="4">
        <v>47.0</v>
      </c>
      <c r="I5412" s="21">
        <f t="array" ref="I5412">XLOOKUP($A5412,product!A:A,product!E:E)</f>
        <v>2.71</v>
      </c>
      <c r="J5412" s="4">
        <f t="shared" si="2"/>
        <v>127.37</v>
      </c>
      <c r="K5412" s="22">
        <f t="shared" si="3"/>
        <v>1</v>
      </c>
      <c r="L5412" s="4">
        <f t="shared" si="4"/>
        <v>1</v>
      </c>
    </row>
    <row r="5413">
      <c r="A5413" s="23">
        <v>90659.0</v>
      </c>
      <c r="B5413" s="24" t="str">
        <f t="array" ref="B5413">xlookup($A5413,product!$A:$A,product!B:B)</f>
        <v>Epicerie salée</v>
      </c>
      <c r="C5413" s="24" t="str">
        <f t="array" ref="C5413">xlookup($A5413,product!$A:$A,product!C:C)</f>
        <v>Légumineuses et céréales</v>
      </c>
      <c r="D5413" s="24" t="str">
        <f t="array" ref="D5413">xlookup($A5413,product!$A:$A,product!D:D)</f>
        <v>Semoule, Boulgour, Couscous</v>
      </c>
      <c r="E5413" s="25" t="str">
        <f t="shared" si="1"/>
        <v>90659-Légumineuses et céréales-Semoule, Boulgour, Couscous</v>
      </c>
      <c r="F5413" s="25">
        <v>1.0</v>
      </c>
      <c r="G5413" s="25">
        <v>313.0</v>
      </c>
      <c r="H5413" s="25">
        <v>266.0</v>
      </c>
      <c r="I5413" s="26">
        <f t="array" ref="I5413">XLOOKUP($A5413,product!A:A,product!E:E)</f>
        <v>1.03</v>
      </c>
      <c r="J5413" s="25">
        <f t="shared" si="2"/>
        <v>273.98</v>
      </c>
      <c r="K5413" s="27">
        <f t="shared" si="3"/>
        <v>1</v>
      </c>
      <c r="L5413" s="25">
        <f t="shared" si="4"/>
        <v>1</v>
      </c>
    </row>
    <row r="5414">
      <c r="A5414" s="19">
        <v>122079.0</v>
      </c>
      <c r="B5414" s="20" t="str">
        <f t="array" ref="B5414">xlookup($A5414,product!$A:$A,product!B:B)</f>
        <v>Epicerie salée</v>
      </c>
      <c r="C5414" s="20" t="str">
        <f t="array" ref="C5414">xlookup($A5414,product!$A:$A,product!C:C)</f>
        <v>Légumineuses et céréales</v>
      </c>
      <c r="D5414" s="20" t="str">
        <f t="array" ref="D5414">xlookup($A5414,product!$A:$A,product!D:D)</f>
        <v>Semoule, Boulgour, Couscous</v>
      </c>
      <c r="E5414" s="4" t="str">
        <f t="shared" si="1"/>
        <v>122079-Légumineuses et céréales-Semoule, Boulgour, Couscous</v>
      </c>
      <c r="F5414" s="4">
        <v>1.0</v>
      </c>
      <c r="G5414" s="4">
        <v>447.0</v>
      </c>
      <c r="H5414" s="4">
        <v>364.0</v>
      </c>
      <c r="I5414" s="21">
        <f t="array" ref="I5414">XLOOKUP($A5414,product!A:A,product!E:E)</f>
        <v>1.01</v>
      </c>
      <c r="J5414" s="4">
        <f t="shared" si="2"/>
        <v>367.64</v>
      </c>
      <c r="K5414" s="22">
        <f t="shared" si="3"/>
        <v>1</v>
      </c>
      <c r="L5414" s="4">
        <f t="shared" si="4"/>
        <v>1</v>
      </c>
    </row>
    <row r="5415">
      <c r="A5415" s="23">
        <v>5551.0</v>
      </c>
      <c r="B5415" s="24" t="str">
        <f t="array" ref="B5415">xlookup($A5415,product!$A:$A,product!B:B)</f>
        <v>Epicerie salée</v>
      </c>
      <c r="C5415" s="24" t="str">
        <f t="array" ref="C5415">xlookup($A5415,product!$A:$A,product!C:C)</f>
        <v>Légumineuses et céréales</v>
      </c>
      <c r="D5415" s="24" t="str">
        <f t="array" ref="D5415">xlookup($A5415,product!$A:$A,product!D:D)</f>
        <v>Semoule, Boulgour, Couscous</v>
      </c>
      <c r="E5415" s="25" t="str">
        <f t="shared" si="1"/>
        <v>5551-Légumineuses et céréales-Semoule, Boulgour, Couscous</v>
      </c>
      <c r="F5415" s="25">
        <v>1.0</v>
      </c>
      <c r="G5415" s="25">
        <v>633.0</v>
      </c>
      <c r="H5415" s="25">
        <v>120.0</v>
      </c>
      <c r="I5415" s="26">
        <f t="array" ref="I5415">XLOOKUP($A5415,product!A:A,product!E:E)</f>
        <v>3.6</v>
      </c>
      <c r="J5415" s="25">
        <f t="shared" si="2"/>
        <v>432</v>
      </c>
      <c r="K5415" s="27">
        <f t="shared" si="3"/>
        <v>1</v>
      </c>
      <c r="L5415" s="25">
        <f t="shared" si="4"/>
        <v>1</v>
      </c>
    </row>
    <row r="5416">
      <c r="A5416" s="19">
        <v>90624.0</v>
      </c>
      <c r="B5416" s="20" t="str">
        <f t="array" ref="B5416">xlookup($A5416,product!$A:$A,product!B:B)</f>
        <v>Epicerie salée</v>
      </c>
      <c r="C5416" s="20" t="str">
        <f t="array" ref="C5416">xlookup($A5416,product!$A:$A,product!C:C)</f>
        <v>Légumineuses et céréales</v>
      </c>
      <c r="D5416" s="20" t="str">
        <f t="array" ref="D5416">xlookup($A5416,product!$A:$A,product!D:D)</f>
        <v>Semoule, Boulgour, Couscous</v>
      </c>
      <c r="E5416" s="4" t="str">
        <f t="shared" si="1"/>
        <v>90624-Légumineuses et céréales-Semoule, Boulgour, Couscous</v>
      </c>
      <c r="F5416" s="4">
        <v>0.0</v>
      </c>
      <c r="G5416" s="4">
        <v>465.0</v>
      </c>
      <c r="H5416" s="4">
        <v>320.0</v>
      </c>
      <c r="I5416" s="21">
        <f t="array" ref="I5416">XLOOKUP($A5416,product!A:A,product!E:E)</f>
        <v>2.54</v>
      </c>
      <c r="J5416" s="4">
        <f t="shared" si="2"/>
        <v>812.8</v>
      </c>
      <c r="K5416" s="22">
        <f t="shared" si="3"/>
        <v>1</v>
      </c>
      <c r="L5416" s="4">
        <f t="shared" si="4"/>
        <v>1</v>
      </c>
    </row>
    <row r="5417">
      <c r="A5417" s="23">
        <v>29100.0</v>
      </c>
      <c r="B5417" s="24" t="str">
        <f t="array" ref="B5417">xlookup($A5417,product!$A:$A,product!B:B)</f>
        <v>Epicerie salée</v>
      </c>
      <c r="C5417" s="24" t="str">
        <f t="array" ref="C5417">xlookup($A5417,product!$A:$A,product!C:C)</f>
        <v>Légumineuses et céréales</v>
      </c>
      <c r="D5417" s="24" t="str">
        <f t="array" ref="D5417">xlookup($A5417,product!$A:$A,product!D:D)</f>
        <v>Semoule, Boulgour, Couscous</v>
      </c>
      <c r="E5417" s="25" t="str">
        <f t="shared" si="1"/>
        <v>29100-Légumineuses et céréales-Semoule, Boulgour, Couscous</v>
      </c>
      <c r="F5417" s="25">
        <v>1.0</v>
      </c>
      <c r="G5417" s="25">
        <v>182.0</v>
      </c>
      <c r="H5417" s="25">
        <v>60.0</v>
      </c>
      <c r="I5417" s="26">
        <f t="array" ref="I5417">XLOOKUP($A5417,product!A:A,product!E:E)</f>
        <v>1.76</v>
      </c>
      <c r="J5417" s="25">
        <f t="shared" si="2"/>
        <v>105.6</v>
      </c>
      <c r="K5417" s="27">
        <f t="shared" si="3"/>
        <v>1</v>
      </c>
      <c r="L5417" s="25">
        <f t="shared" si="4"/>
        <v>1</v>
      </c>
    </row>
    <row r="5418">
      <c r="A5418" s="19">
        <v>46330.0</v>
      </c>
      <c r="B5418" s="20" t="str">
        <f t="array" ref="B5418">xlookup($A5418,product!$A:$A,product!B:B)</f>
        <v>Epicerie salée</v>
      </c>
      <c r="C5418" s="20" t="str">
        <f t="array" ref="C5418">xlookup($A5418,product!$A:$A,product!C:C)</f>
        <v>Légumineuses et céréales</v>
      </c>
      <c r="D5418" s="20" t="str">
        <f t="array" ref="D5418">xlookup($A5418,product!$A:$A,product!D:D)</f>
        <v>Semoule, Boulgour, Couscous</v>
      </c>
      <c r="E5418" s="4" t="str">
        <f t="shared" si="1"/>
        <v>46330-Légumineuses et céréales-Semoule, Boulgour, Couscous</v>
      </c>
      <c r="F5418" s="4">
        <v>1.0</v>
      </c>
      <c r="G5418" s="4">
        <v>469.0</v>
      </c>
      <c r="H5418" s="4">
        <v>80.0</v>
      </c>
      <c r="I5418" s="21">
        <f t="array" ref="I5418">XLOOKUP($A5418,product!A:A,product!E:E)</f>
        <v>0.96</v>
      </c>
      <c r="J5418" s="4">
        <f t="shared" si="2"/>
        <v>76.8</v>
      </c>
      <c r="K5418" s="22">
        <f t="shared" si="3"/>
        <v>1</v>
      </c>
      <c r="L5418" s="4">
        <f t="shared" si="4"/>
        <v>1</v>
      </c>
    </row>
    <row r="5419">
      <c r="A5419" s="23">
        <v>117659.0</v>
      </c>
      <c r="B5419" s="24" t="str">
        <f t="array" ref="B5419">xlookup($A5419,product!$A:$A,product!B:B)</f>
        <v>Epicerie salée</v>
      </c>
      <c r="C5419" s="24" t="str">
        <f t="array" ref="C5419">xlookup($A5419,product!$A:$A,product!C:C)</f>
        <v>Légumineuses et céréales</v>
      </c>
      <c r="D5419" s="24" t="str">
        <f t="array" ref="D5419">xlookup($A5419,product!$A:$A,product!D:D)</f>
        <v>Semoule, Boulgour, Couscous</v>
      </c>
      <c r="E5419" s="25" t="str">
        <f t="shared" si="1"/>
        <v>117659-Légumineuses et céréales-Semoule, Boulgour, Couscous</v>
      </c>
      <c r="F5419" s="25">
        <v>1.0</v>
      </c>
      <c r="G5419" s="25">
        <v>482.0</v>
      </c>
      <c r="H5419" s="25">
        <v>128.0</v>
      </c>
      <c r="I5419" s="26">
        <f t="array" ref="I5419">XLOOKUP($A5419,product!A:A,product!E:E)</f>
        <v>1.93</v>
      </c>
      <c r="J5419" s="25">
        <f t="shared" si="2"/>
        <v>247.04</v>
      </c>
      <c r="K5419" s="27">
        <f t="shared" si="3"/>
        <v>1</v>
      </c>
      <c r="L5419" s="25">
        <f t="shared" si="4"/>
        <v>1</v>
      </c>
    </row>
    <row r="5420">
      <c r="A5420" s="19">
        <v>48149.0</v>
      </c>
      <c r="B5420" s="20" t="str">
        <f t="array" ref="B5420">xlookup($A5420,product!$A:$A,product!B:B)</f>
        <v>Epicerie salée</v>
      </c>
      <c r="C5420" s="20" t="str">
        <f t="array" ref="C5420">xlookup($A5420,product!$A:$A,product!C:C)</f>
        <v>Légumineuses et céréales</v>
      </c>
      <c r="D5420" s="20" t="str">
        <f t="array" ref="D5420">xlookup($A5420,product!$A:$A,product!D:D)</f>
        <v>Semoule, Boulgour, Couscous</v>
      </c>
      <c r="E5420" s="4" t="str">
        <f t="shared" si="1"/>
        <v>48149-Légumineuses et céréales-Semoule, Boulgour, Couscous</v>
      </c>
      <c r="F5420" s="4">
        <v>1.0</v>
      </c>
      <c r="G5420" s="4">
        <v>95.0</v>
      </c>
      <c r="H5420" s="4">
        <v>24.0</v>
      </c>
      <c r="I5420" s="21">
        <f t="array" ref="I5420">XLOOKUP($A5420,product!A:A,product!E:E)</f>
        <v>2.07</v>
      </c>
      <c r="J5420" s="4">
        <f t="shared" si="2"/>
        <v>49.68</v>
      </c>
      <c r="K5420" s="22">
        <f t="shared" si="3"/>
        <v>1</v>
      </c>
      <c r="L5420" s="4">
        <f t="shared" si="4"/>
        <v>1</v>
      </c>
    </row>
    <row r="5421">
      <c r="A5421" s="23">
        <v>113739.0</v>
      </c>
      <c r="B5421" s="24" t="str">
        <f t="array" ref="B5421">xlookup($A5421,product!$A:$A,product!B:B)</f>
        <v>Epicerie salée</v>
      </c>
      <c r="C5421" s="24" t="str">
        <f t="array" ref="C5421">xlookup($A5421,product!$A:$A,product!C:C)</f>
        <v>Légumineuses et céréales</v>
      </c>
      <c r="D5421" s="24" t="str">
        <f t="array" ref="D5421">xlookup($A5421,product!$A:$A,product!D:D)</f>
        <v>Semoule, Boulgour, Couscous</v>
      </c>
      <c r="E5421" s="25" t="str">
        <f t="shared" si="1"/>
        <v>113739-Légumineuses et céréales-Semoule, Boulgour, Couscous</v>
      </c>
      <c r="F5421" s="25">
        <v>0.0</v>
      </c>
      <c r="G5421" s="25">
        <v>43.0</v>
      </c>
      <c r="H5421" s="25">
        <v>7.0</v>
      </c>
      <c r="I5421" s="26">
        <f t="array" ref="I5421">XLOOKUP($A5421,product!A:A,product!E:E)</f>
        <v>2.62</v>
      </c>
      <c r="J5421" s="25">
        <f t="shared" si="2"/>
        <v>18.34</v>
      </c>
      <c r="K5421" s="27">
        <f t="shared" si="3"/>
        <v>1</v>
      </c>
      <c r="L5421" s="25">
        <f t="shared" si="4"/>
        <v>1</v>
      </c>
    </row>
    <row r="5422">
      <c r="A5422" s="19">
        <v>147316.0</v>
      </c>
      <c r="B5422" s="20" t="str">
        <f t="array" ref="B5422">xlookup($A5422,product!$A:$A,product!B:B)</f>
        <v>Epicerie salée</v>
      </c>
      <c r="C5422" s="20" t="str">
        <f t="array" ref="C5422">xlookup($A5422,product!$A:$A,product!C:C)</f>
        <v>Légumineuses et céréales</v>
      </c>
      <c r="D5422" s="20" t="str">
        <f t="array" ref="D5422">xlookup($A5422,product!$A:$A,product!D:D)</f>
        <v>Semoule, Boulgour, Couscous</v>
      </c>
      <c r="E5422" s="4" t="str">
        <f t="shared" si="1"/>
        <v>147316-Légumineuses et céréales-Semoule, Boulgour, Couscous</v>
      </c>
      <c r="F5422" s="4">
        <v>0.0</v>
      </c>
      <c r="G5422" s="4">
        <v>303.0</v>
      </c>
      <c r="H5422" s="4">
        <v>293.0</v>
      </c>
      <c r="I5422" s="21">
        <f t="array" ref="I5422">XLOOKUP($A5422,product!A:A,product!E:E)</f>
        <v>2.28</v>
      </c>
      <c r="J5422" s="4">
        <f t="shared" si="2"/>
        <v>668.04</v>
      </c>
      <c r="K5422" s="22">
        <f t="shared" si="3"/>
        <v>1</v>
      </c>
      <c r="L5422" s="4">
        <f t="shared" si="4"/>
        <v>1</v>
      </c>
    </row>
    <row r="5423">
      <c r="A5423" s="23">
        <v>76297.0</v>
      </c>
      <c r="B5423" s="24" t="str">
        <f t="array" ref="B5423">xlookup($A5423,product!$A:$A,product!B:B)</f>
        <v>Epicerie salée</v>
      </c>
      <c r="C5423" s="24" t="str">
        <f t="array" ref="C5423">xlookup($A5423,product!$A:$A,product!C:C)</f>
        <v>Légumineuses et céréales</v>
      </c>
      <c r="D5423" s="24" t="str">
        <f t="array" ref="D5423">xlookup($A5423,product!$A:$A,product!D:D)</f>
        <v>Semoule, Boulgour, Couscous</v>
      </c>
      <c r="E5423" s="25" t="str">
        <f t="shared" si="1"/>
        <v>76297-Légumineuses et céréales-Semoule, Boulgour, Couscous</v>
      </c>
      <c r="F5423" s="25">
        <v>0.0</v>
      </c>
      <c r="G5423" s="25">
        <v>810.0</v>
      </c>
      <c r="H5423" s="25">
        <v>300.0</v>
      </c>
      <c r="I5423" s="26">
        <f t="array" ref="I5423">XLOOKUP($A5423,product!A:A,product!E:E)</f>
        <v>2.09</v>
      </c>
      <c r="J5423" s="25">
        <f t="shared" si="2"/>
        <v>627</v>
      </c>
      <c r="K5423" s="27">
        <f t="shared" si="3"/>
        <v>1</v>
      </c>
      <c r="L5423" s="25">
        <f t="shared" si="4"/>
        <v>1</v>
      </c>
    </row>
    <row r="5424">
      <c r="A5424" s="19">
        <v>102698.0</v>
      </c>
      <c r="B5424" s="20" t="str">
        <f t="array" ref="B5424">xlookup($A5424,product!$A:$A,product!B:B)</f>
        <v>Epicerie salée</v>
      </c>
      <c r="C5424" s="20" t="str">
        <f t="array" ref="C5424">xlookup($A5424,product!$A:$A,product!C:C)</f>
        <v>Légumineuses et céréales</v>
      </c>
      <c r="D5424" s="20" t="str">
        <f t="array" ref="D5424">xlookup($A5424,product!$A:$A,product!D:D)</f>
        <v>Semoule, Boulgour, Couscous</v>
      </c>
      <c r="E5424" s="4" t="str">
        <f t="shared" si="1"/>
        <v>102698-Légumineuses et céréales-Semoule, Boulgour, Couscous</v>
      </c>
      <c r="F5424" s="4">
        <v>1.0</v>
      </c>
      <c r="G5424" s="4">
        <v>760.0</v>
      </c>
      <c r="H5424" s="4">
        <v>709.0</v>
      </c>
      <c r="I5424" s="21">
        <f t="array" ref="I5424">XLOOKUP($A5424,product!A:A,product!E:E)</f>
        <v>2.4</v>
      </c>
      <c r="J5424" s="4">
        <f t="shared" si="2"/>
        <v>1701.6</v>
      </c>
      <c r="K5424" s="22">
        <f t="shared" si="3"/>
        <v>1</v>
      </c>
      <c r="L5424" s="4">
        <f t="shared" si="4"/>
        <v>1</v>
      </c>
    </row>
    <row r="5425">
      <c r="A5425" s="23">
        <v>102699.0</v>
      </c>
      <c r="B5425" s="24" t="str">
        <f t="array" ref="B5425">xlookup($A5425,product!$A:$A,product!B:B)</f>
        <v>Epicerie salée</v>
      </c>
      <c r="C5425" s="24" t="str">
        <f t="array" ref="C5425">xlookup($A5425,product!$A:$A,product!C:C)</f>
        <v>Légumineuses et céréales</v>
      </c>
      <c r="D5425" s="24" t="str">
        <f t="array" ref="D5425">xlookup($A5425,product!$A:$A,product!D:D)</f>
        <v>Semoule, Boulgour, Couscous</v>
      </c>
      <c r="E5425" s="25" t="str">
        <f t="shared" si="1"/>
        <v>102699-Légumineuses et céréales-Semoule, Boulgour, Couscous</v>
      </c>
      <c r="F5425" s="25">
        <v>0.0</v>
      </c>
      <c r="G5425" s="25">
        <v>796.0</v>
      </c>
      <c r="H5425" s="25">
        <v>398.0</v>
      </c>
      <c r="I5425" s="26">
        <f t="array" ref="I5425">XLOOKUP($A5425,product!A:A,product!E:E)</f>
        <v>2.4</v>
      </c>
      <c r="J5425" s="25">
        <f t="shared" si="2"/>
        <v>955.2</v>
      </c>
      <c r="K5425" s="27">
        <f t="shared" si="3"/>
        <v>1</v>
      </c>
      <c r="L5425" s="25">
        <f t="shared" si="4"/>
        <v>1</v>
      </c>
    </row>
    <row r="5426">
      <c r="A5426" s="19">
        <v>5556.0</v>
      </c>
      <c r="B5426" s="20" t="str">
        <f t="array" ref="B5426">xlookup($A5426,product!$A:$A,product!B:B)</f>
        <v>Epicerie salée</v>
      </c>
      <c r="C5426" s="20" t="str">
        <f t="array" ref="C5426">xlookup($A5426,product!$A:$A,product!C:C)</f>
        <v>Légumineuses et céréales</v>
      </c>
      <c r="D5426" s="20" t="str">
        <f t="array" ref="D5426">xlookup($A5426,product!$A:$A,product!D:D)</f>
        <v>Semoule, Boulgour, Couscous</v>
      </c>
      <c r="E5426" s="4" t="str">
        <f t="shared" si="1"/>
        <v>5556-Légumineuses et céréales-Semoule, Boulgour, Couscous</v>
      </c>
      <c r="F5426" s="4">
        <v>0.0</v>
      </c>
      <c r="G5426" s="4">
        <v>90.0</v>
      </c>
      <c r="H5426" s="4">
        <v>65.0</v>
      </c>
      <c r="I5426" s="21">
        <f t="array" ref="I5426">XLOOKUP($A5426,product!A:A,product!E:E)</f>
        <v>1.14</v>
      </c>
      <c r="J5426" s="4">
        <f t="shared" si="2"/>
        <v>74.1</v>
      </c>
      <c r="K5426" s="22">
        <f t="shared" si="3"/>
        <v>1</v>
      </c>
      <c r="L5426" s="4">
        <f t="shared" si="4"/>
        <v>1</v>
      </c>
    </row>
    <row r="5427">
      <c r="A5427" s="23">
        <v>73629.0</v>
      </c>
      <c r="B5427" s="24" t="str">
        <f t="array" ref="B5427">xlookup($A5427,product!$A:$A,product!B:B)</f>
        <v>Epicerie salée</v>
      </c>
      <c r="C5427" s="24" t="str">
        <f t="array" ref="C5427">xlookup($A5427,product!$A:$A,product!C:C)</f>
        <v>Légumineuses et céréales</v>
      </c>
      <c r="D5427" s="24" t="str">
        <f t="array" ref="D5427">xlookup($A5427,product!$A:$A,product!D:D)</f>
        <v>Semoule, Boulgour, Couscous</v>
      </c>
      <c r="E5427" s="25" t="str">
        <f t="shared" si="1"/>
        <v>73629-Légumineuses et céréales-Semoule, Boulgour, Couscous</v>
      </c>
      <c r="F5427" s="25">
        <v>0.0</v>
      </c>
      <c r="G5427" s="25">
        <v>856.0</v>
      </c>
      <c r="H5427" s="25">
        <v>543.0</v>
      </c>
      <c r="I5427" s="26">
        <f t="array" ref="I5427">XLOOKUP($A5427,product!A:A,product!E:E)</f>
        <v>2.76</v>
      </c>
      <c r="J5427" s="25">
        <f t="shared" si="2"/>
        <v>1498.68</v>
      </c>
      <c r="K5427" s="27">
        <f t="shared" si="3"/>
        <v>1</v>
      </c>
      <c r="L5427" s="25">
        <f t="shared" si="4"/>
        <v>1</v>
      </c>
    </row>
    <row r="5428">
      <c r="A5428" s="19">
        <v>77253.0</v>
      </c>
      <c r="B5428" s="20" t="str">
        <f t="array" ref="B5428">xlookup($A5428,product!$A:$A,product!B:B)</f>
        <v>Epicerie salée</v>
      </c>
      <c r="C5428" s="20" t="str">
        <f t="array" ref="C5428">xlookup($A5428,product!$A:$A,product!C:C)</f>
        <v>Légumineuses et céréales</v>
      </c>
      <c r="D5428" s="20" t="str">
        <f t="array" ref="D5428">xlookup($A5428,product!$A:$A,product!D:D)</f>
        <v>Semoule, Boulgour, Couscous</v>
      </c>
      <c r="E5428" s="4" t="str">
        <f t="shared" si="1"/>
        <v>77253-Légumineuses et céréales-Semoule, Boulgour, Couscous</v>
      </c>
      <c r="F5428" s="4">
        <v>0.0</v>
      </c>
      <c r="G5428" s="4">
        <v>127.0</v>
      </c>
      <c r="H5428" s="4">
        <v>88.0</v>
      </c>
      <c r="I5428" s="21">
        <f t="array" ref="I5428">XLOOKUP($A5428,product!A:A,product!E:E)</f>
        <v>0.94</v>
      </c>
      <c r="J5428" s="4">
        <f t="shared" si="2"/>
        <v>82.72</v>
      </c>
      <c r="K5428" s="22">
        <f t="shared" si="3"/>
        <v>1</v>
      </c>
      <c r="L5428" s="4">
        <f t="shared" si="4"/>
        <v>1</v>
      </c>
    </row>
    <row r="5429">
      <c r="A5429" s="23">
        <v>5552.0</v>
      </c>
      <c r="B5429" s="24" t="str">
        <f t="array" ref="B5429">xlookup($A5429,product!$A:$A,product!B:B)</f>
        <v>Epicerie salée</v>
      </c>
      <c r="C5429" s="24" t="str">
        <f t="array" ref="C5429">xlookup($A5429,product!$A:$A,product!C:C)</f>
        <v>Légumineuses et céréales</v>
      </c>
      <c r="D5429" s="24" t="str">
        <f t="array" ref="D5429">xlookup($A5429,product!$A:$A,product!D:D)</f>
        <v>Semoule, Boulgour, Couscous</v>
      </c>
      <c r="E5429" s="25" t="str">
        <f t="shared" si="1"/>
        <v>5552-Légumineuses et céréales-Semoule, Boulgour, Couscous</v>
      </c>
      <c r="F5429" s="25">
        <v>0.0</v>
      </c>
      <c r="G5429" s="25">
        <v>70.0</v>
      </c>
      <c r="H5429" s="25">
        <v>66.0</v>
      </c>
      <c r="I5429" s="26">
        <f t="array" ref="I5429">XLOOKUP($A5429,product!A:A,product!E:E)</f>
        <v>1.37</v>
      </c>
      <c r="J5429" s="25">
        <f t="shared" si="2"/>
        <v>90.42</v>
      </c>
      <c r="K5429" s="27">
        <f t="shared" si="3"/>
        <v>1</v>
      </c>
      <c r="L5429" s="25">
        <f t="shared" si="4"/>
        <v>1</v>
      </c>
    </row>
    <row r="5430">
      <c r="A5430" s="19">
        <v>73805.0</v>
      </c>
      <c r="B5430" s="20" t="str">
        <f t="array" ref="B5430">xlookup($A5430,product!$A:$A,product!B:B)</f>
        <v>Epicerie salée</v>
      </c>
      <c r="C5430" s="20" t="str">
        <f t="array" ref="C5430">xlookup($A5430,product!$A:$A,product!C:C)</f>
        <v>Légumineuses et céréales</v>
      </c>
      <c r="D5430" s="20" t="str">
        <f t="array" ref="D5430">xlookup($A5430,product!$A:$A,product!D:D)</f>
        <v>Semoule, Boulgour, Couscous</v>
      </c>
      <c r="E5430" s="4" t="str">
        <f t="shared" si="1"/>
        <v>73805-Légumineuses et céréales-Semoule, Boulgour, Couscous</v>
      </c>
      <c r="F5430" s="4">
        <v>0.0</v>
      </c>
      <c r="G5430" s="4">
        <v>15.0</v>
      </c>
      <c r="H5430" s="4">
        <v>9.0</v>
      </c>
      <c r="I5430" s="21">
        <f t="array" ref="I5430">XLOOKUP($A5430,product!A:A,product!E:E)</f>
        <v>3</v>
      </c>
      <c r="J5430" s="4">
        <f t="shared" si="2"/>
        <v>27</v>
      </c>
      <c r="K5430" s="22">
        <f t="shared" si="3"/>
        <v>1</v>
      </c>
      <c r="L5430" s="4">
        <f t="shared" si="4"/>
        <v>1</v>
      </c>
    </row>
    <row r="5431">
      <c r="A5431" s="23">
        <v>48403.0</v>
      </c>
      <c r="B5431" s="24" t="str">
        <f t="array" ref="B5431">xlookup($A5431,product!$A:$A,product!B:B)</f>
        <v>Epicerie salée</v>
      </c>
      <c r="C5431" s="24" t="str">
        <f t="array" ref="C5431">xlookup($A5431,product!$A:$A,product!C:C)</f>
        <v>Légumineuses et céréales</v>
      </c>
      <c r="D5431" s="24" t="str">
        <f t="array" ref="D5431">xlookup($A5431,product!$A:$A,product!D:D)</f>
        <v>Semoule, Boulgour, Couscous</v>
      </c>
      <c r="E5431" s="25" t="str">
        <f t="shared" si="1"/>
        <v>48403-Légumineuses et céréales-Semoule, Boulgour, Couscous</v>
      </c>
      <c r="F5431" s="25">
        <v>1.0</v>
      </c>
      <c r="G5431" s="25">
        <v>267.0</v>
      </c>
      <c r="H5431" s="25">
        <v>28.0</v>
      </c>
      <c r="I5431" s="26">
        <f t="array" ref="I5431">XLOOKUP($A5431,product!A:A,product!E:E)</f>
        <v>2.34</v>
      </c>
      <c r="J5431" s="25">
        <f t="shared" si="2"/>
        <v>65.52</v>
      </c>
      <c r="K5431" s="27">
        <f t="shared" si="3"/>
        <v>1</v>
      </c>
      <c r="L5431" s="25">
        <f t="shared" si="4"/>
        <v>1</v>
      </c>
    </row>
    <row r="5432">
      <c r="A5432" s="19">
        <v>90626.0</v>
      </c>
      <c r="B5432" s="20" t="str">
        <f t="array" ref="B5432">xlookup($A5432,product!$A:$A,product!B:B)</f>
        <v>Epicerie salée</v>
      </c>
      <c r="C5432" s="20" t="str">
        <f t="array" ref="C5432">xlookup($A5432,product!$A:$A,product!C:C)</f>
        <v>Légumineuses et céréales</v>
      </c>
      <c r="D5432" s="20" t="str">
        <f t="array" ref="D5432">xlookup($A5432,product!$A:$A,product!D:D)</f>
        <v>Semoule, Boulgour, Couscous</v>
      </c>
      <c r="E5432" s="4" t="str">
        <f t="shared" si="1"/>
        <v>90626-Légumineuses et céréales-Semoule, Boulgour, Couscous</v>
      </c>
      <c r="F5432" s="4">
        <v>0.0</v>
      </c>
      <c r="G5432" s="4">
        <v>236.0</v>
      </c>
      <c r="H5432" s="4">
        <v>172.0</v>
      </c>
      <c r="I5432" s="21">
        <f t="array" ref="I5432">XLOOKUP($A5432,product!A:A,product!E:E)</f>
        <v>6.74</v>
      </c>
      <c r="J5432" s="4">
        <f t="shared" si="2"/>
        <v>1159.28</v>
      </c>
      <c r="K5432" s="22">
        <f t="shared" si="3"/>
        <v>1</v>
      </c>
      <c r="L5432" s="4">
        <f t="shared" si="4"/>
        <v>1</v>
      </c>
    </row>
    <row r="5433">
      <c r="A5433" s="23">
        <v>147324.0</v>
      </c>
      <c r="B5433" s="24" t="str">
        <f t="array" ref="B5433">xlookup($A5433,product!$A:$A,product!B:B)</f>
        <v>Epicerie salée</v>
      </c>
      <c r="C5433" s="24" t="str">
        <f t="array" ref="C5433">xlookup($A5433,product!$A:$A,product!C:C)</f>
        <v>Légumineuses et céréales</v>
      </c>
      <c r="D5433" s="24" t="str">
        <f t="array" ref="D5433">xlookup($A5433,product!$A:$A,product!D:D)</f>
        <v>Semoule, Boulgour, Couscous</v>
      </c>
      <c r="E5433" s="25" t="str">
        <f t="shared" si="1"/>
        <v>147324-Légumineuses et céréales-Semoule, Boulgour, Couscous</v>
      </c>
      <c r="F5433" s="25">
        <v>0.0</v>
      </c>
      <c r="G5433" s="25">
        <v>14.0</v>
      </c>
      <c r="H5433" s="25">
        <v>8.0</v>
      </c>
      <c r="I5433" s="26">
        <f t="array" ref="I5433">XLOOKUP($A5433,product!A:A,product!E:E)</f>
        <v>3.15</v>
      </c>
      <c r="J5433" s="25">
        <f t="shared" si="2"/>
        <v>25.2</v>
      </c>
      <c r="K5433" s="27">
        <f t="shared" si="3"/>
        <v>1</v>
      </c>
      <c r="L5433" s="25">
        <f t="shared" si="4"/>
        <v>1</v>
      </c>
    </row>
    <row r="5434">
      <c r="A5434" s="19">
        <v>77411.0</v>
      </c>
      <c r="B5434" s="20" t="str">
        <f t="array" ref="B5434">xlookup($A5434,product!$A:$A,product!B:B)</f>
        <v>Epicerie salée</v>
      </c>
      <c r="C5434" s="20" t="str">
        <f t="array" ref="C5434">xlookup($A5434,product!$A:$A,product!C:C)</f>
        <v>Légumineuses et céréales</v>
      </c>
      <c r="D5434" s="20" t="str">
        <f t="array" ref="D5434">xlookup($A5434,product!$A:$A,product!D:D)</f>
        <v>Semoule, Boulgour, Couscous</v>
      </c>
      <c r="E5434" s="4" t="str">
        <f t="shared" si="1"/>
        <v>77411-Légumineuses et céréales-Semoule, Boulgour, Couscous</v>
      </c>
      <c r="F5434" s="4">
        <v>1.0</v>
      </c>
      <c r="G5434" s="4">
        <v>47.0</v>
      </c>
      <c r="H5434" s="4">
        <v>34.0</v>
      </c>
      <c r="I5434" s="21">
        <f t="array" ref="I5434">XLOOKUP($A5434,product!A:A,product!E:E)</f>
        <v>0.84</v>
      </c>
      <c r="J5434" s="4">
        <f t="shared" si="2"/>
        <v>28.56</v>
      </c>
      <c r="K5434" s="22">
        <f t="shared" si="3"/>
        <v>1</v>
      </c>
      <c r="L5434" s="4">
        <f t="shared" si="4"/>
        <v>1</v>
      </c>
    </row>
    <row r="5435">
      <c r="A5435" s="23">
        <v>87085.0</v>
      </c>
      <c r="B5435" s="24" t="str">
        <f t="array" ref="B5435">xlookup($A5435,product!$A:$A,product!B:B)</f>
        <v>Epicerie salée</v>
      </c>
      <c r="C5435" s="24" t="str">
        <f t="array" ref="C5435">xlookup($A5435,product!$A:$A,product!C:C)</f>
        <v>Légumineuses et céréales</v>
      </c>
      <c r="D5435" s="24" t="str">
        <f t="array" ref="D5435">xlookup($A5435,product!$A:$A,product!D:D)</f>
        <v>Semoule, Boulgour, Couscous</v>
      </c>
      <c r="E5435" s="25" t="str">
        <f t="shared" si="1"/>
        <v>87085-Légumineuses et céréales-Semoule, Boulgour, Couscous</v>
      </c>
      <c r="F5435" s="25">
        <v>1.0</v>
      </c>
      <c r="G5435" s="25">
        <v>370.0</v>
      </c>
      <c r="H5435" s="25">
        <v>363.0</v>
      </c>
      <c r="I5435" s="26">
        <f t="array" ref="I5435">XLOOKUP($A5435,product!A:A,product!E:E)</f>
        <v>1.07</v>
      </c>
      <c r="J5435" s="25">
        <f t="shared" si="2"/>
        <v>388.41</v>
      </c>
      <c r="K5435" s="27">
        <f t="shared" si="3"/>
        <v>1</v>
      </c>
      <c r="L5435" s="25">
        <f t="shared" si="4"/>
        <v>1</v>
      </c>
    </row>
    <row r="5436">
      <c r="A5436" s="19">
        <v>76212.0</v>
      </c>
      <c r="B5436" s="20" t="str">
        <f t="array" ref="B5436">xlookup($A5436,product!$A:$A,product!B:B)</f>
        <v>Epicerie salée</v>
      </c>
      <c r="C5436" s="20" t="str">
        <f t="array" ref="C5436">xlookup($A5436,product!$A:$A,product!C:C)</f>
        <v>Légumineuses et céréales</v>
      </c>
      <c r="D5436" s="20" t="str">
        <f t="array" ref="D5436">xlookup($A5436,product!$A:$A,product!D:D)</f>
        <v>Semoule, Boulgour, Couscous</v>
      </c>
      <c r="E5436" s="4" t="str">
        <f t="shared" si="1"/>
        <v>76212-Légumineuses et céréales-Semoule, Boulgour, Couscous</v>
      </c>
      <c r="F5436" s="4">
        <v>0.0</v>
      </c>
      <c r="G5436" s="4">
        <v>565.0</v>
      </c>
      <c r="H5436" s="4">
        <v>281.0</v>
      </c>
      <c r="I5436" s="21">
        <f t="array" ref="I5436">XLOOKUP($A5436,product!A:A,product!E:E)</f>
        <v>1.81</v>
      </c>
      <c r="J5436" s="4">
        <f t="shared" si="2"/>
        <v>508.61</v>
      </c>
      <c r="K5436" s="22">
        <f t="shared" si="3"/>
        <v>1</v>
      </c>
      <c r="L5436" s="4">
        <f t="shared" si="4"/>
        <v>1</v>
      </c>
    </row>
    <row r="5437">
      <c r="A5437" s="23">
        <v>117655.0</v>
      </c>
      <c r="B5437" s="24" t="str">
        <f t="array" ref="B5437">xlookup($A5437,product!$A:$A,product!B:B)</f>
        <v>Epicerie salée</v>
      </c>
      <c r="C5437" s="24" t="str">
        <f t="array" ref="C5437">xlookup($A5437,product!$A:$A,product!C:C)</f>
        <v>Légumineuses et céréales</v>
      </c>
      <c r="D5437" s="24" t="str">
        <f t="array" ref="D5437">xlookup($A5437,product!$A:$A,product!D:D)</f>
        <v>Semoule, Boulgour, Couscous</v>
      </c>
      <c r="E5437" s="25" t="str">
        <f t="shared" si="1"/>
        <v>117655-Légumineuses et céréales-Semoule, Boulgour, Couscous</v>
      </c>
      <c r="F5437" s="25">
        <v>0.0</v>
      </c>
      <c r="G5437" s="25">
        <v>175.0</v>
      </c>
      <c r="H5437" s="25">
        <v>123.0</v>
      </c>
      <c r="I5437" s="26">
        <f t="array" ref="I5437">XLOOKUP($A5437,product!A:A,product!E:E)</f>
        <v>1.93</v>
      </c>
      <c r="J5437" s="25">
        <f t="shared" si="2"/>
        <v>237.39</v>
      </c>
      <c r="K5437" s="27">
        <f t="shared" si="3"/>
        <v>1</v>
      </c>
      <c r="L5437" s="25">
        <f t="shared" si="4"/>
        <v>1</v>
      </c>
    </row>
    <row r="5438">
      <c r="A5438" s="19">
        <v>83596.0</v>
      </c>
      <c r="B5438" s="20" t="str">
        <f t="array" ref="B5438">xlookup($A5438,product!$A:$A,product!B:B)</f>
        <v>Epicerie salée</v>
      </c>
      <c r="C5438" s="20" t="str">
        <f t="array" ref="C5438">xlookup($A5438,product!$A:$A,product!C:C)</f>
        <v>Légumineuses et céréales</v>
      </c>
      <c r="D5438" s="20" t="str">
        <f t="array" ref="D5438">xlookup($A5438,product!$A:$A,product!D:D)</f>
        <v>Semoule, Boulgour, Couscous</v>
      </c>
      <c r="E5438" s="4" t="str">
        <f t="shared" si="1"/>
        <v>83596-Légumineuses et céréales-Semoule, Boulgour, Couscous</v>
      </c>
      <c r="F5438" s="4">
        <v>1.0</v>
      </c>
      <c r="G5438" s="4">
        <v>211.0</v>
      </c>
      <c r="H5438" s="4">
        <v>90.0</v>
      </c>
      <c r="I5438" s="21">
        <f t="array" ref="I5438">XLOOKUP($A5438,product!A:A,product!E:E)</f>
        <v>2.69</v>
      </c>
      <c r="J5438" s="4">
        <f t="shared" si="2"/>
        <v>242.1</v>
      </c>
      <c r="K5438" s="22">
        <f t="shared" si="3"/>
        <v>1</v>
      </c>
      <c r="L5438" s="4">
        <f t="shared" si="4"/>
        <v>1</v>
      </c>
    </row>
    <row r="5439">
      <c r="A5439" s="23">
        <v>5561.0</v>
      </c>
      <c r="B5439" s="24" t="str">
        <f t="array" ref="B5439">xlookup($A5439,product!$A:$A,product!B:B)</f>
        <v>Epicerie salée</v>
      </c>
      <c r="C5439" s="24" t="str">
        <f t="array" ref="C5439">xlookup($A5439,product!$A:$A,product!C:C)</f>
        <v>Légumineuses et céréales</v>
      </c>
      <c r="D5439" s="24" t="str">
        <f t="array" ref="D5439">xlookup($A5439,product!$A:$A,product!D:D)</f>
        <v>Semoule, Boulgour, Couscous</v>
      </c>
      <c r="E5439" s="25" t="str">
        <f t="shared" si="1"/>
        <v>5561-Légumineuses et céréales-Semoule, Boulgour, Couscous</v>
      </c>
      <c r="F5439" s="25">
        <v>1.0</v>
      </c>
      <c r="G5439" s="25">
        <v>772.0</v>
      </c>
      <c r="H5439" s="25">
        <v>534.0</v>
      </c>
      <c r="I5439" s="26">
        <f t="array" ref="I5439">XLOOKUP($A5439,product!A:A,product!E:E)</f>
        <v>3.44</v>
      </c>
      <c r="J5439" s="25">
        <f t="shared" si="2"/>
        <v>1836.96</v>
      </c>
      <c r="K5439" s="27">
        <f t="shared" si="3"/>
        <v>1</v>
      </c>
      <c r="L5439" s="25">
        <f t="shared" si="4"/>
        <v>1</v>
      </c>
    </row>
    <row r="5440">
      <c r="A5440" s="19">
        <v>87304.0</v>
      </c>
      <c r="B5440" s="20" t="str">
        <f t="array" ref="B5440">xlookup($A5440,product!$A:$A,product!B:B)</f>
        <v>Epicerie salée</v>
      </c>
      <c r="C5440" s="20" t="str">
        <f t="array" ref="C5440">xlookup($A5440,product!$A:$A,product!C:C)</f>
        <v>Légumineuses et céréales</v>
      </c>
      <c r="D5440" s="20" t="str">
        <f t="array" ref="D5440">xlookup($A5440,product!$A:$A,product!D:D)</f>
        <v>Semoule, Boulgour, Couscous</v>
      </c>
      <c r="E5440" s="4" t="str">
        <f t="shared" si="1"/>
        <v>87304-Légumineuses et céréales-Semoule, Boulgour, Couscous</v>
      </c>
      <c r="F5440" s="4">
        <v>0.0</v>
      </c>
      <c r="G5440" s="4">
        <v>262.0</v>
      </c>
      <c r="H5440" s="4">
        <v>119.0</v>
      </c>
      <c r="I5440" s="21">
        <f t="array" ref="I5440">XLOOKUP($A5440,product!A:A,product!E:E)</f>
        <v>1.44</v>
      </c>
      <c r="J5440" s="4">
        <f t="shared" si="2"/>
        <v>171.36</v>
      </c>
      <c r="K5440" s="22">
        <f t="shared" si="3"/>
        <v>1</v>
      </c>
      <c r="L5440" s="4">
        <f t="shared" si="4"/>
        <v>1</v>
      </c>
    </row>
    <row r="5441">
      <c r="A5441" s="23">
        <v>113735.0</v>
      </c>
      <c r="B5441" s="24" t="str">
        <f t="array" ref="B5441">xlookup($A5441,product!$A:$A,product!B:B)</f>
        <v>Epicerie salée</v>
      </c>
      <c r="C5441" s="24" t="str">
        <f t="array" ref="C5441">xlookup($A5441,product!$A:$A,product!C:C)</f>
        <v>Légumineuses et céréales</v>
      </c>
      <c r="D5441" s="24" t="str">
        <f t="array" ref="D5441">xlookup($A5441,product!$A:$A,product!D:D)</f>
        <v>Semoule, Boulgour, Couscous</v>
      </c>
      <c r="E5441" s="25" t="str">
        <f t="shared" si="1"/>
        <v>113735-Légumineuses et céréales-Semoule, Boulgour, Couscous</v>
      </c>
      <c r="F5441" s="25">
        <v>1.0</v>
      </c>
      <c r="G5441" s="25">
        <v>656.0</v>
      </c>
      <c r="H5441" s="25">
        <v>499.0</v>
      </c>
      <c r="I5441" s="26">
        <f t="array" ref="I5441">XLOOKUP($A5441,product!A:A,product!E:E)</f>
        <v>2.54</v>
      </c>
      <c r="J5441" s="25">
        <f t="shared" si="2"/>
        <v>1267.46</v>
      </c>
      <c r="K5441" s="27">
        <f t="shared" si="3"/>
        <v>1</v>
      </c>
      <c r="L5441" s="25">
        <f t="shared" si="4"/>
        <v>1</v>
      </c>
    </row>
    <row r="5442">
      <c r="A5442" s="19">
        <v>90661.0</v>
      </c>
      <c r="B5442" s="20" t="str">
        <f t="array" ref="B5442">xlookup($A5442,product!$A:$A,product!B:B)</f>
        <v>Epicerie salée</v>
      </c>
      <c r="C5442" s="20" t="str">
        <f t="array" ref="C5442">xlookup($A5442,product!$A:$A,product!C:C)</f>
        <v>Légumineuses et céréales</v>
      </c>
      <c r="D5442" s="20" t="str">
        <f t="array" ref="D5442">xlookup($A5442,product!$A:$A,product!D:D)</f>
        <v>Semoule, Boulgour, Couscous</v>
      </c>
      <c r="E5442" s="4" t="str">
        <f t="shared" si="1"/>
        <v>90661-Légumineuses et céréales-Semoule, Boulgour, Couscous</v>
      </c>
      <c r="F5442" s="4">
        <v>0.0</v>
      </c>
      <c r="G5442" s="4">
        <v>911.0</v>
      </c>
      <c r="H5442" s="4">
        <v>842.0</v>
      </c>
      <c r="I5442" s="21">
        <f t="array" ref="I5442">XLOOKUP($A5442,product!A:A,product!E:E)</f>
        <v>4.5</v>
      </c>
      <c r="J5442" s="4">
        <f t="shared" si="2"/>
        <v>3789</v>
      </c>
      <c r="K5442" s="22">
        <f t="shared" si="3"/>
        <v>1</v>
      </c>
      <c r="L5442" s="4">
        <f t="shared" si="4"/>
        <v>1</v>
      </c>
    </row>
    <row r="5443">
      <c r="A5443" s="23">
        <v>76281.0</v>
      </c>
      <c r="B5443" s="24" t="str">
        <f t="array" ref="B5443">xlookup($A5443,product!$A:$A,product!B:B)</f>
        <v>Epicerie salée</v>
      </c>
      <c r="C5443" s="24" t="str">
        <f t="array" ref="C5443">xlookup($A5443,product!$A:$A,product!C:C)</f>
        <v>Légumineuses et céréales</v>
      </c>
      <c r="D5443" s="24" t="str">
        <f t="array" ref="D5443">xlookup($A5443,product!$A:$A,product!D:D)</f>
        <v>Semoule, Boulgour, Couscous</v>
      </c>
      <c r="E5443" s="25" t="str">
        <f t="shared" si="1"/>
        <v>76281-Légumineuses et céréales-Semoule, Boulgour, Couscous</v>
      </c>
      <c r="F5443" s="25">
        <v>0.0</v>
      </c>
      <c r="G5443" s="25">
        <v>839.0</v>
      </c>
      <c r="H5443" s="25">
        <v>733.0</v>
      </c>
      <c r="I5443" s="26">
        <f t="array" ref="I5443">XLOOKUP($A5443,product!A:A,product!E:E)</f>
        <v>1.88</v>
      </c>
      <c r="J5443" s="25">
        <f t="shared" si="2"/>
        <v>1378.04</v>
      </c>
      <c r="K5443" s="27">
        <f t="shared" si="3"/>
        <v>1</v>
      </c>
      <c r="L5443" s="25">
        <f t="shared" si="4"/>
        <v>1</v>
      </c>
    </row>
    <row r="5444">
      <c r="A5444" s="19">
        <v>90622.0</v>
      </c>
      <c r="B5444" s="20" t="str">
        <f t="array" ref="B5444">xlookup($A5444,product!$A:$A,product!B:B)</f>
        <v>Epicerie salée</v>
      </c>
      <c r="C5444" s="20" t="str">
        <f t="array" ref="C5444">xlookup($A5444,product!$A:$A,product!C:C)</f>
        <v>Légumineuses et céréales</v>
      </c>
      <c r="D5444" s="20" t="str">
        <f t="array" ref="D5444">xlookup($A5444,product!$A:$A,product!D:D)</f>
        <v>Semoule, Boulgour, Couscous</v>
      </c>
      <c r="E5444" s="4" t="str">
        <f t="shared" si="1"/>
        <v>90622-Légumineuses et céréales-Semoule, Boulgour, Couscous</v>
      </c>
      <c r="F5444" s="4">
        <v>0.0</v>
      </c>
      <c r="G5444" s="4">
        <v>53.0</v>
      </c>
      <c r="H5444" s="4">
        <v>31.0</v>
      </c>
      <c r="I5444" s="21">
        <f t="array" ref="I5444">XLOOKUP($A5444,product!A:A,product!E:E)</f>
        <v>7.73</v>
      </c>
      <c r="J5444" s="4">
        <f t="shared" si="2"/>
        <v>239.63</v>
      </c>
      <c r="K5444" s="22">
        <f t="shared" si="3"/>
        <v>1</v>
      </c>
      <c r="L5444" s="4">
        <f t="shared" si="4"/>
        <v>1</v>
      </c>
    </row>
    <row r="5445">
      <c r="A5445" s="23">
        <v>90637.0</v>
      </c>
      <c r="B5445" s="24" t="str">
        <f t="array" ref="B5445">xlookup($A5445,product!$A:$A,product!B:B)</f>
        <v>Epicerie salée</v>
      </c>
      <c r="C5445" s="24" t="str">
        <f t="array" ref="C5445">xlookup($A5445,product!$A:$A,product!C:C)</f>
        <v>Légumineuses et céréales</v>
      </c>
      <c r="D5445" s="24" t="str">
        <f t="array" ref="D5445">xlookup($A5445,product!$A:$A,product!D:D)</f>
        <v>Semoule, Boulgour, Couscous</v>
      </c>
      <c r="E5445" s="25" t="str">
        <f t="shared" si="1"/>
        <v>90637-Légumineuses et céréales-Semoule, Boulgour, Couscous</v>
      </c>
      <c r="F5445" s="25">
        <v>1.0</v>
      </c>
      <c r="G5445" s="25">
        <v>840.0</v>
      </c>
      <c r="H5445" s="25">
        <v>263.0</v>
      </c>
      <c r="I5445" s="26">
        <f t="array" ref="I5445">XLOOKUP($A5445,product!A:A,product!E:E)</f>
        <v>1.43</v>
      </c>
      <c r="J5445" s="25">
        <f t="shared" si="2"/>
        <v>376.09</v>
      </c>
      <c r="K5445" s="27">
        <f t="shared" si="3"/>
        <v>1</v>
      </c>
      <c r="L5445" s="25">
        <f t="shared" si="4"/>
        <v>1</v>
      </c>
    </row>
    <row r="5446">
      <c r="A5446" s="19">
        <v>76208.0</v>
      </c>
      <c r="B5446" s="20" t="str">
        <f t="array" ref="B5446">xlookup($A5446,product!$A:$A,product!B:B)</f>
        <v>Epicerie salée</v>
      </c>
      <c r="C5446" s="20" t="str">
        <f t="array" ref="C5446">xlookup($A5446,product!$A:$A,product!C:C)</f>
        <v>Légumineuses et céréales</v>
      </c>
      <c r="D5446" s="20" t="str">
        <f t="array" ref="D5446">xlookup($A5446,product!$A:$A,product!D:D)</f>
        <v>Semoule, Boulgour, Couscous</v>
      </c>
      <c r="E5446" s="4" t="str">
        <f t="shared" si="1"/>
        <v>76208-Légumineuses et céréales-Semoule, Boulgour, Couscous</v>
      </c>
      <c r="F5446" s="4">
        <v>0.0</v>
      </c>
      <c r="G5446" s="4">
        <v>335.0</v>
      </c>
      <c r="H5446" s="4">
        <v>131.0</v>
      </c>
      <c r="I5446" s="21">
        <f t="array" ref="I5446">XLOOKUP($A5446,product!A:A,product!E:E)</f>
        <v>1.81</v>
      </c>
      <c r="J5446" s="4">
        <f t="shared" si="2"/>
        <v>237.11</v>
      </c>
      <c r="K5446" s="22">
        <f t="shared" si="3"/>
        <v>1</v>
      </c>
      <c r="L5446" s="4">
        <f t="shared" si="4"/>
        <v>1</v>
      </c>
    </row>
    <row r="5447">
      <c r="A5447" s="23">
        <v>91355.0</v>
      </c>
      <c r="B5447" s="24" t="str">
        <f t="array" ref="B5447">xlookup($A5447,product!$A:$A,product!B:B)</f>
        <v>Epicerie salée</v>
      </c>
      <c r="C5447" s="24" t="str">
        <f t="array" ref="C5447">xlookup($A5447,product!$A:$A,product!C:C)</f>
        <v>Légumineuses et céréales</v>
      </c>
      <c r="D5447" s="24" t="str">
        <f t="array" ref="D5447">xlookup($A5447,product!$A:$A,product!D:D)</f>
        <v>Semoule, Boulgour, Couscous</v>
      </c>
      <c r="E5447" s="25" t="str">
        <f t="shared" si="1"/>
        <v>91355-Légumineuses et céréales-Semoule, Boulgour, Couscous</v>
      </c>
      <c r="F5447" s="25">
        <v>0.0</v>
      </c>
      <c r="G5447" s="25">
        <v>293.0</v>
      </c>
      <c r="H5447" s="25">
        <v>42.0</v>
      </c>
      <c r="I5447" s="26">
        <f t="array" ref="I5447">XLOOKUP($A5447,product!A:A,product!E:E)</f>
        <v>1.03</v>
      </c>
      <c r="J5447" s="25">
        <f t="shared" si="2"/>
        <v>43.26</v>
      </c>
      <c r="K5447" s="27">
        <f t="shared" si="3"/>
        <v>1</v>
      </c>
      <c r="L5447" s="25">
        <f t="shared" si="4"/>
        <v>1</v>
      </c>
    </row>
    <row r="5448">
      <c r="A5448" s="19">
        <v>122068.0</v>
      </c>
      <c r="B5448" s="20" t="str">
        <f t="array" ref="B5448">xlookup($A5448,product!$A:$A,product!B:B)</f>
        <v>Epicerie salée</v>
      </c>
      <c r="C5448" s="20" t="str">
        <f t="array" ref="C5448">xlookup($A5448,product!$A:$A,product!C:C)</f>
        <v>Légumineuses et céréales</v>
      </c>
      <c r="D5448" s="20" t="str">
        <f t="array" ref="D5448">xlookup($A5448,product!$A:$A,product!D:D)</f>
        <v>Semoule, Boulgour, Couscous</v>
      </c>
      <c r="E5448" s="4" t="str">
        <f t="shared" si="1"/>
        <v>122068-Légumineuses et céréales-Semoule, Boulgour, Couscous</v>
      </c>
      <c r="F5448" s="4">
        <v>0.0</v>
      </c>
      <c r="G5448" s="4">
        <v>920.0</v>
      </c>
      <c r="H5448" s="4">
        <v>447.0</v>
      </c>
      <c r="I5448" s="21">
        <f t="array" ref="I5448">XLOOKUP($A5448,product!A:A,product!E:E)</f>
        <v>1.06</v>
      </c>
      <c r="J5448" s="4">
        <f t="shared" si="2"/>
        <v>473.82</v>
      </c>
      <c r="K5448" s="22">
        <f t="shared" si="3"/>
        <v>1</v>
      </c>
      <c r="L5448" s="4">
        <f t="shared" si="4"/>
        <v>1</v>
      </c>
    </row>
    <row r="5449">
      <c r="A5449" s="23">
        <v>48404.0</v>
      </c>
      <c r="B5449" s="24" t="str">
        <f t="array" ref="B5449">xlookup($A5449,product!$A:$A,product!B:B)</f>
        <v>Epicerie salée</v>
      </c>
      <c r="C5449" s="24" t="str">
        <f t="array" ref="C5449">xlookup($A5449,product!$A:$A,product!C:C)</f>
        <v>Légumineuses et céréales</v>
      </c>
      <c r="D5449" s="24" t="str">
        <f t="array" ref="D5449">xlookup($A5449,product!$A:$A,product!D:D)</f>
        <v>Semoule, Boulgour, Couscous</v>
      </c>
      <c r="E5449" s="25" t="str">
        <f t="shared" si="1"/>
        <v>48404-Légumineuses et céréales-Semoule, Boulgour, Couscous</v>
      </c>
      <c r="F5449" s="25">
        <v>0.0</v>
      </c>
      <c r="G5449" s="25">
        <v>308.0</v>
      </c>
      <c r="H5449" s="25">
        <v>284.0</v>
      </c>
      <c r="I5449" s="26">
        <f t="array" ref="I5449">XLOOKUP($A5449,product!A:A,product!E:E)</f>
        <v>2.01</v>
      </c>
      <c r="J5449" s="25">
        <f t="shared" si="2"/>
        <v>570.84</v>
      </c>
      <c r="K5449" s="27">
        <f t="shared" si="3"/>
        <v>1</v>
      </c>
      <c r="L5449" s="25">
        <f t="shared" si="4"/>
        <v>1</v>
      </c>
    </row>
    <row r="5450">
      <c r="A5450" s="19">
        <v>5553.0</v>
      </c>
      <c r="B5450" s="20" t="str">
        <f t="array" ref="B5450">xlookup($A5450,product!$A:$A,product!B:B)</f>
        <v>Epicerie salée</v>
      </c>
      <c r="C5450" s="20" t="str">
        <f t="array" ref="C5450">xlookup($A5450,product!$A:$A,product!C:C)</f>
        <v>Légumineuses et céréales</v>
      </c>
      <c r="D5450" s="20" t="str">
        <f t="array" ref="D5450">xlookup($A5450,product!$A:$A,product!D:D)</f>
        <v>Semoule, Boulgour, Couscous</v>
      </c>
      <c r="E5450" s="4" t="str">
        <f t="shared" si="1"/>
        <v>5553-Légumineuses et céréales-Semoule, Boulgour, Couscous</v>
      </c>
      <c r="F5450" s="4">
        <v>1.0</v>
      </c>
      <c r="G5450" s="4">
        <v>810.0</v>
      </c>
      <c r="H5450" s="4">
        <v>698.0</v>
      </c>
      <c r="I5450" s="21">
        <f t="array" ref="I5450">XLOOKUP($A5450,product!A:A,product!E:E)</f>
        <v>2.34</v>
      </c>
      <c r="J5450" s="4">
        <f t="shared" si="2"/>
        <v>1633.32</v>
      </c>
      <c r="K5450" s="22">
        <f t="shared" si="3"/>
        <v>1</v>
      </c>
      <c r="L5450" s="4">
        <f t="shared" si="4"/>
        <v>1</v>
      </c>
    </row>
    <row r="5451">
      <c r="A5451" s="23">
        <v>76282.0</v>
      </c>
      <c r="B5451" s="24" t="str">
        <f t="array" ref="B5451">xlookup($A5451,product!$A:$A,product!B:B)</f>
        <v>Epicerie salée</v>
      </c>
      <c r="C5451" s="24" t="str">
        <f t="array" ref="C5451">xlookup($A5451,product!$A:$A,product!C:C)</f>
        <v>Légumineuses et céréales</v>
      </c>
      <c r="D5451" s="24" t="str">
        <f t="array" ref="D5451">xlookup($A5451,product!$A:$A,product!D:D)</f>
        <v>Semoule, Boulgour, Couscous</v>
      </c>
      <c r="E5451" s="25" t="str">
        <f t="shared" si="1"/>
        <v>76282-Légumineuses et céréales-Semoule, Boulgour, Couscous</v>
      </c>
      <c r="F5451" s="25">
        <v>1.0</v>
      </c>
      <c r="G5451" s="25">
        <v>362.0</v>
      </c>
      <c r="H5451" s="25">
        <v>37.0</v>
      </c>
      <c r="I5451" s="26">
        <f t="array" ref="I5451">XLOOKUP($A5451,product!A:A,product!E:E)</f>
        <v>1.08</v>
      </c>
      <c r="J5451" s="25">
        <f t="shared" si="2"/>
        <v>39.96</v>
      </c>
      <c r="K5451" s="27">
        <f t="shared" si="3"/>
        <v>1</v>
      </c>
      <c r="L5451" s="25">
        <f t="shared" si="4"/>
        <v>1</v>
      </c>
    </row>
    <row r="5452">
      <c r="A5452" s="19">
        <v>5554.0</v>
      </c>
      <c r="B5452" s="20" t="str">
        <f t="array" ref="B5452">xlookup($A5452,product!$A:$A,product!B:B)</f>
        <v>Epicerie salée</v>
      </c>
      <c r="C5452" s="20" t="str">
        <f t="array" ref="C5452">xlookup($A5452,product!$A:$A,product!C:C)</f>
        <v>Légumineuses et céréales</v>
      </c>
      <c r="D5452" s="20" t="str">
        <f t="array" ref="D5452">xlookup($A5452,product!$A:$A,product!D:D)</f>
        <v>Semoule, Boulgour, Couscous</v>
      </c>
      <c r="E5452" s="4" t="str">
        <f t="shared" si="1"/>
        <v>5554-Légumineuses et céréales-Semoule, Boulgour, Couscous</v>
      </c>
      <c r="F5452" s="4">
        <v>1.0</v>
      </c>
      <c r="G5452" s="4">
        <v>357.0</v>
      </c>
      <c r="H5452" s="4">
        <v>49.0</v>
      </c>
      <c r="I5452" s="21">
        <f t="array" ref="I5452">XLOOKUP($A5452,product!A:A,product!E:E)</f>
        <v>2.43</v>
      </c>
      <c r="J5452" s="4">
        <f t="shared" si="2"/>
        <v>119.07</v>
      </c>
      <c r="K5452" s="22">
        <f t="shared" si="3"/>
        <v>1</v>
      </c>
      <c r="L5452" s="4">
        <f t="shared" si="4"/>
        <v>1</v>
      </c>
    </row>
    <row r="5453">
      <c r="A5453" s="23">
        <v>77408.0</v>
      </c>
      <c r="B5453" s="24" t="str">
        <f t="array" ref="B5453">xlookup($A5453,product!$A:$A,product!B:B)</f>
        <v>Epicerie salée</v>
      </c>
      <c r="C5453" s="24" t="str">
        <f t="array" ref="C5453">xlookup($A5453,product!$A:$A,product!C:C)</f>
        <v>Légumineuses et céréales</v>
      </c>
      <c r="D5453" s="24" t="str">
        <f t="array" ref="D5453">xlookup($A5453,product!$A:$A,product!D:D)</f>
        <v>Semoule, Boulgour, Couscous</v>
      </c>
      <c r="E5453" s="25" t="str">
        <f t="shared" si="1"/>
        <v>77408-Légumineuses et céréales-Semoule, Boulgour, Couscous</v>
      </c>
      <c r="F5453" s="25">
        <v>0.0</v>
      </c>
      <c r="G5453" s="25">
        <v>847.0</v>
      </c>
      <c r="H5453" s="25">
        <v>252.0</v>
      </c>
      <c r="I5453" s="26">
        <f t="array" ref="I5453">XLOOKUP($A5453,product!A:A,product!E:E)</f>
        <v>0.97</v>
      </c>
      <c r="J5453" s="25">
        <f t="shared" si="2"/>
        <v>244.44</v>
      </c>
      <c r="K5453" s="27">
        <f t="shared" si="3"/>
        <v>1</v>
      </c>
      <c r="L5453" s="25">
        <f t="shared" si="4"/>
        <v>1</v>
      </c>
    </row>
    <row r="5454">
      <c r="A5454" s="19">
        <v>147312.0</v>
      </c>
      <c r="B5454" s="20" t="str">
        <f t="array" ref="B5454">xlookup($A5454,product!$A:$A,product!B:B)</f>
        <v>Epicerie salée</v>
      </c>
      <c r="C5454" s="20" t="str">
        <f t="array" ref="C5454">xlookup($A5454,product!$A:$A,product!C:C)</f>
        <v>Légumineuses et céréales</v>
      </c>
      <c r="D5454" s="20" t="str">
        <f t="array" ref="D5454">xlookup($A5454,product!$A:$A,product!D:D)</f>
        <v>Semoule, Boulgour, Couscous</v>
      </c>
      <c r="E5454" s="4" t="str">
        <f t="shared" si="1"/>
        <v>147312-Légumineuses et céréales-Semoule, Boulgour, Couscous</v>
      </c>
      <c r="F5454" s="4">
        <v>0.0</v>
      </c>
      <c r="G5454" s="4">
        <v>436.0</v>
      </c>
      <c r="H5454" s="4">
        <v>80.0</v>
      </c>
      <c r="I5454" s="21">
        <f t="array" ref="I5454">XLOOKUP($A5454,product!A:A,product!E:E)</f>
        <v>2.03</v>
      </c>
      <c r="J5454" s="4">
        <f t="shared" si="2"/>
        <v>162.4</v>
      </c>
      <c r="K5454" s="22">
        <f t="shared" si="3"/>
        <v>1</v>
      </c>
      <c r="L5454" s="4">
        <f t="shared" si="4"/>
        <v>1</v>
      </c>
    </row>
    <row r="5455">
      <c r="A5455" s="23">
        <v>113741.0</v>
      </c>
      <c r="B5455" s="24" t="str">
        <f t="array" ref="B5455">xlookup($A5455,product!$A:$A,product!B:B)</f>
        <v>Epicerie salée</v>
      </c>
      <c r="C5455" s="24" t="str">
        <f t="array" ref="C5455">xlookup($A5455,product!$A:$A,product!C:C)</f>
        <v>Légumineuses et céréales</v>
      </c>
      <c r="D5455" s="24" t="str">
        <f t="array" ref="D5455">xlookup($A5455,product!$A:$A,product!D:D)</f>
        <v>Semoule, Boulgour, Couscous</v>
      </c>
      <c r="E5455" s="25" t="str">
        <f t="shared" si="1"/>
        <v>113741-Légumineuses et céréales-Semoule, Boulgour, Couscous</v>
      </c>
      <c r="F5455" s="25">
        <v>1.0</v>
      </c>
      <c r="G5455" s="25">
        <v>258.0</v>
      </c>
      <c r="H5455" s="25">
        <v>56.0</v>
      </c>
      <c r="I5455" s="26">
        <f t="array" ref="I5455">XLOOKUP($A5455,product!A:A,product!E:E)</f>
        <v>2.62</v>
      </c>
      <c r="J5455" s="25">
        <f t="shared" si="2"/>
        <v>146.72</v>
      </c>
      <c r="K5455" s="27">
        <f t="shared" si="3"/>
        <v>1</v>
      </c>
      <c r="L5455" s="25">
        <f t="shared" si="4"/>
        <v>1</v>
      </c>
    </row>
    <row r="5456">
      <c r="A5456" s="19">
        <v>76290.0</v>
      </c>
      <c r="B5456" s="20" t="str">
        <f t="array" ref="B5456">xlookup($A5456,product!$A:$A,product!B:B)</f>
        <v>Epicerie salée</v>
      </c>
      <c r="C5456" s="20" t="str">
        <f t="array" ref="C5456">xlookup($A5456,product!$A:$A,product!C:C)</f>
        <v>Légumineuses et céréales</v>
      </c>
      <c r="D5456" s="20" t="str">
        <f t="array" ref="D5456">xlookup($A5456,product!$A:$A,product!D:D)</f>
        <v>Semoule, Boulgour, Couscous</v>
      </c>
      <c r="E5456" s="4" t="str">
        <f t="shared" si="1"/>
        <v>76290-Légumineuses et céréales-Semoule, Boulgour, Couscous</v>
      </c>
      <c r="F5456" s="4">
        <v>1.0</v>
      </c>
      <c r="G5456" s="4">
        <v>753.0</v>
      </c>
      <c r="H5456" s="4">
        <v>290.0</v>
      </c>
      <c r="I5456" s="21">
        <f t="array" ref="I5456">XLOOKUP($A5456,product!A:A,product!E:E)</f>
        <v>1.09</v>
      </c>
      <c r="J5456" s="4">
        <f t="shared" si="2"/>
        <v>316.1</v>
      </c>
      <c r="K5456" s="22">
        <f t="shared" si="3"/>
        <v>1</v>
      </c>
      <c r="L5456" s="4">
        <f t="shared" si="4"/>
        <v>1</v>
      </c>
    </row>
    <row r="5457">
      <c r="A5457" s="23">
        <v>5559.0</v>
      </c>
      <c r="B5457" s="24" t="str">
        <f t="array" ref="B5457">xlookup($A5457,product!$A:$A,product!B:B)</f>
        <v>Epicerie salée</v>
      </c>
      <c r="C5457" s="24" t="str">
        <f t="array" ref="C5457">xlookup($A5457,product!$A:$A,product!C:C)</f>
        <v>Légumineuses et céréales</v>
      </c>
      <c r="D5457" s="24" t="str">
        <f t="array" ref="D5457">xlookup($A5457,product!$A:$A,product!D:D)</f>
        <v>Semoule, Boulgour, Couscous</v>
      </c>
      <c r="E5457" s="25" t="str">
        <f t="shared" si="1"/>
        <v>5559-Légumineuses et céréales-Semoule, Boulgour, Couscous</v>
      </c>
      <c r="F5457" s="25">
        <v>1.0</v>
      </c>
      <c r="G5457" s="25">
        <v>190.0</v>
      </c>
      <c r="H5457" s="25">
        <v>183.0</v>
      </c>
      <c r="I5457" s="26">
        <f t="array" ref="I5457">XLOOKUP($A5457,product!A:A,product!E:E)</f>
        <v>1.09</v>
      </c>
      <c r="J5457" s="25">
        <f t="shared" si="2"/>
        <v>199.47</v>
      </c>
      <c r="K5457" s="27">
        <f t="shared" si="3"/>
        <v>1</v>
      </c>
      <c r="L5457" s="25">
        <f t="shared" si="4"/>
        <v>1</v>
      </c>
    </row>
    <row r="5458">
      <c r="A5458" s="19">
        <v>68351.0</v>
      </c>
      <c r="B5458" s="20" t="str">
        <f t="array" ref="B5458">xlookup($A5458,product!$A:$A,product!B:B)</f>
        <v>Epicerie salée</v>
      </c>
      <c r="C5458" s="20" t="str">
        <f t="array" ref="C5458">xlookup($A5458,product!$A:$A,product!C:C)</f>
        <v>Légumineuses et céréales</v>
      </c>
      <c r="D5458" s="20" t="str">
        <f t="array" ref="D5458">xlookup($A5458,product!$A:$A,product!D:D)</f>
        <v>Semoule, Boulgour, Couscous</v>
      </c>
      <c r="E5458" s="4" t="str">
        <f t="shared" si="1"/>
        <v>68351-Légumineuses et céréales-Semoule, Boulgour, Couscous</v>
      </c>
      <c r="F5458" s="4">
        <v>0.0</v>
      </c>
      <c r="G5458" s="4">
        <v>714.0</v>
      </c>
      <c r="H5458" s="4">
        <v>441.0</v>
      </c>
      <c r="I5458" s="21">
        <f t="array" ref="I5458">XLOOKUP($A5458,product!A:A,product!E:E)</f>
        <v>1.49</v>
      </c>
      <c r="J5458" s="4">
        <f t="shared" si="2"/>
        <v>657.09</v>
      </c>
      <c r="K5458" s="22">
        <f t="shared" si="3"/>
        <v>1</v>
      </c>
      <c r="L5458" s="4">
        <f t="shared" si="4"/>
        <v>1</v>
      </c>
    </row>
    <row r="5459">
      <c r="A5459" s="23">
        <v>113736.0</v>
      </c>
      <c r="B5459" s="24" t="str">
        <f t="array" ref="B5459">xlookup($A5459,product!$A:$A,product!B:B)</f>
        <v>Epicerie salée</v>
      </c>
      <c r="C5459" s="24" t="str">
        <f t="array" ref="C5459">xlookup($A5459,product!$A:$A,product!C:C)</f>
        <v>Légumineuses et céréales</v>
      </c>
      <c r="D5459" s="24" t="str">
        <f t="array" ref="D5459">xlookup($A5459,product!$A:$A,product!D:D)</f>
        <v>Semoule, Boulgour, Couscous</v>
      </c>
      <c r="E5459" s="25" t="str">
        <f t="shared" si="1"/>
        <v>113736-Légumineuses et céréales-Semoule, Boulgour, Couscous</v>
      </c>
      <c r="F5459" s="25">
        <v>0.0</v>
      </c>
      <c r="G5459" s="25">
        <v>577.0</v>
      </c>
      <c r="H5459" s="25">
        <v>536.0</v>
      </c>
      <c r="I5459" s="26">
        <f t="array" ref="I5459">XLOOKUP($A5459,product!A:A,product!E:E)</f>
        <v>2.54</v>
      </c>
      <c r="J5459" s="25">
        <f t="shared" si="2"/>
        <v>1361.44</v>
      </c>
      <c r="K5459" s="27">
        <f t="shared" si="3"/>
        <v>1</v>
      </c>
      <c r="L5459" s="25">
        <f t="shared" si="4"/>
        <v>1</v>
      </c>
    </row>
    <row r="5460">
      <c r="A5460" s="19">
        <v>113738.0</v>
      </c>
      <c r="B5460" s="20" t="str">
        <f t="array" ref="B5460">xlookup($A5460,product!$A:$A,product!B:B)</f>
        <v>Epicerie salée</v>
      </c>
      <c r="C5460" s="20" t="str">
        <f t="array" ref="C5460">xlookup($A5460,product!$A:$A,product!C:C)</f>
        <v>Légumineuses et céréales</v>
      </c>
      <c r="D5460" s="20" t="str">
        <f t="array" ref="D5460">xlookup($A5460,product!$A:$A,product!D:D)</f>
        <v>Semoule, Boulgour, Couscous</v>
      </c>
      <c r="E5460" s="4" t="str">
        <f t="shared" si="1"/>
        <v>113738-Légumineuses et céréales-Semoule, Boulgour, Couscous</v>
      </c>
      <c r="F5460" s="4">
        <v>1.0</v>
      </c>
      <c r="G5460" s="4">
        <v>430.0</v>
      </c>
      <c r="H5460" s="4">
        <v>337.0</v>
      </c>
      <c r="I5460" s="21">
        <f t="array" ref="I5460">XLOOKUP($A5460,product!A:A,product!E:E)</f>
        <v>2.62</v>
      </c>
      <c r="J5460" s="4">
        <f t="shared" si="2"/>
        <v>882.94</v>
      </c>
      <c r="K5460" s="22">
        <f t="shared" si="3"/>
        <v>1</v>
      </c>
      <c r="L5460" s="4">
        <f t="shared" si="4"/>
        <v>1</v>
      </c>
    </row>
    <row r="5461">
      <c r="A5461" s="23">
        <v>113737.0</v>
      </c>
      <c r="B5461" s="24" t="str">
        <f t="array" ref="B5461">xlookup($A5461,product!$A:$A,product!B:B)</f>
        <v>Epicerie salée</v>
      </c>
      <c r="C5461" s="24" t="str">
        <f t="array" ref="C5461">xlookup($A5461,product!$A:$A,product!C:C)</f>
        <v>Légumineuses et céréales</v>
      </c>
      <c r="D5461" s="24" t="str">
        <f t="array" ref="D5461">xlookup($A5461,product!$A:$A,product!D:D)</f>
        <v>Semoule, Boulgour, Couscous</v>
      </c>
      <c r="E5461" s="25" t="str">
        <f t="shared" si="1"/>
        <v>113737-Légumineuses et céréales-Semoule, Boulgour, Couscous</v>
      </c>
      <c r="F5461" s="25">
        <v>1.0</v>
      </c>
      <c r="G5461" s="25">
        <v>434.0</v>
      </c>
      <c r="H5461" s="25">
        <v>17.0</v>
      </c>
      <c r="I5461" s="26">
        <f t="array" ref="I5461">XLOOKUP($A5461,product!A:A,product!E:E)</f>
        <v>2.62</v>
      </c>
      <c r="J5461" s="25">
        <f t="shared" si="2"/>
        <v>44.54</v>
      </c>
      <c r="K5461" s="27">
        <f t="shared" si="3"/>
        <v>1</v>
      </c>
      <c r="L5461" s="25">
        <f t="shared" si="4"/>
        <v>1</v>
      </c>
    </row>
    <row r="5462">
      <c r="A5462" s="19">
        <v>73767.0</v>
      </c>
      <c r="B5462" s="20" t="str">
        <f t="array" ref="B5462">xlookup($A5462,product!$A:$A,product!B:B)</f>
        <v>Epicerie salée</v>
      </c>
      <c r="C5462" s="20" t="str">
        <f t="array" ref="C5462">xlookup($A5462,product!$A:$A,product!C:C)</f>
        <v>Légumineuses et céréales</v>
      </c>
      <c r="D5462" s="20" t="str">
        <f t="array" ref="D5462">xlookup($A5462,product!$A:$A,product!D:D)</f>
        <v>Semoule, Boulgour, Couscous</v>
      </c>
      <c r="E5462" s="4" t="str">
        <f t="shared" si="1"/>
        <v>73767-Légumineuses et céréales-Semoule, Boulgour, Couscous</v>
      </c>
      <c r="F5462" s="4">
        <v>1.0</v>
      </c>
      <c r="G5462" s="4">
        <v>151.0</v>
      </c>
      <c r="H5462" s="4">
        <v>71.0</v>
      </c>
      <c r="I5462" s="21">
        <f t="array" ref="I5462">XLOOKUP($A5462,product!A:A,product!E:E)</f>
        <v>1.79</v>
      </c>
      <c r="J5462" s="4">
        <f t="shared" si="2"/>
        <v>127.09</v>
      </c>
      <c r="K5462" s="22">
        <f t="shared" si="3"/>
        <v>1</v>
      </c>
      <c r="L5462" s="4">
        <f t="shared" si="4"/>
        <v>1</v>
      </c>
    </row>
    <row r="5463">
      <c r="A5463" s="23">
        <v>89559.0</v>
      </c>
      <c r="B5463" s="24" t="str">
        <f t="array" ref="B5463">xlookup($A5463,product!$A:$A,product!B:B)</f>
        <v>Epicerie salée</v>
      </c>
      <c r="C5463" s="24" t="str">
        <f t="array" ref="C5463">xlookup($A5463,product!$A:$A,product!C:C)</f>
        <v>Légumineuses et céréales</v>
      </c>
      <c r="D5463" s="24" t="str">
        <f t="array" ref="D5463">xlookup($A5463,product!$A:$A,product!D:D)</f>
        <v>Mélanges céréales légumineuses</v>
      </c>
      <c r="E5463" s="25" t="str">
        <f t="shared" si="1"/>
        <v>89559-Légumineuses et céréales-Mélanges céréales légumineuses</v>
      </c>
      <c r="F5463" s="25">
        <v>0.0</v>
      </c>
      <c r="G5463" s="25">
        <v>697.0</v>
      </c>
      <c r="H5463" s="25">
        <v>674.0</v>
      </c>
      <c r="I5463" s="26">
        <f t="array" ref="I5463">XLOOKUP($A5463,product!A:A,product!E:E)</f>
        <v>2.61</v>
      </c>
      <c r="J5463" s="25">
        <f t="shared" si="2"/>
        <v>1759.14</v>
      </c>
      <c r="K5463" s="27">
        <f t="shared" si="3"/>
        <v>1</v>
      </c>
      <c r="L5463" s="25">
        <f t="shared" si="4"/>
        <v>1</v>
      </c>
    </row>
    <row r="5464">
      <c r="A5464" s="19">
        <v>102720.0</v>
      </c>
      <c r="B5464" s="20" t="str">
        <f t="array" ref="B5464">xlookup($A5464,product!$A:$A,product!B:B)</f>
        <v>Epicerie salée</v>
      </c>
      <c r="C5464" s="20" t="str">
        <f t="array" ref="C5464">xlookup($A5464,product!$A:$A,product!C:C)</f>
        <v>Légumineuses et céréales</v>
      </c>
      <c r="D5464" s="20" t="str">
        <f t="array" ref="D5464">xlookup($A5464,product!$A:$A,product!D:D)</f>
        <v>Mélanges céréales légumineuses</v>
      </c>
      <c r="E5464" s="4" t="str">
        <f t="shared" si="1"/>
        <v>102720-Légumineuses et céréales-Mélanges céréales légumineuses</v>
      </c>
      <c r="F5464" s="4">
        <v>0.0</v>
      </c>
      <c r="G5464" s="4">
        <v>936.0</v>
      </c>
      <c r="H5464" s="4">
        <v>165.0</v>
      </c>
      <c r="I5464" s="21">
        <f t="array" ref="I5464">XLOOKUP($A5464,product!A:A,product!E:E)</f>
        <v>2.42</v>
      </c>
      <c r="J5464" s="4">
        <f t="shared" si="2"/>
        <v>399.3</v>
      </c>
      <c r="K5464" s="22">
        <f t="shared" si="3"/>
        <v>1</v>
      </c>
      <c r="L5464" s="4">
        <f t="shared" si="4"/>
        <v>1</v>
      </c>
    </row>
    <row r="5465">
      <c r="A5465" s="23">
        <v>114668.0</v>
      </c>
      <c r="B5465" s="24" t="str">
        <f t="array" ref="B5465">xlookup($A5465,product!$A:$A,product!B:B)</f>
        <v>Epicerie salée</v>
      </c>
      <c r="C5465" s="24" t="str">
        <f t="array" ref="C5465">xlookup($A5465,product!$A:$A,product!C:C)</f>
        <v>Légumineuses et céréales</v>
      </c>
      <c r="D5465" s="24" t="str">
        <f t="array" ref="D5465">xlookup($A5465,product!$A:$A,product!D:D)</f>
        <v>Mélanges céréales légumineuses</v>
      </c>
      <c r="E5465" s="25" t="str">
        <f t="shared" si="1"/>
        <v>114668-Légumineuses et céréales-Mélanges céréales légumineuses</v>
      </c>
      <c r="F5465" s="25">
        <v>1.0</v>
      </c>
      <c r="G5465" s="25">
        <v>496.0</v>
      </c>
      <c r="H5465" s="25">
        <v>75.0</v>
      </c>
      <c r="I5465" s="26">
        <f t="array" ref="I5465">XLOOKUP($A5465,product!A:A,product!E:E)</f>
        <v>1.93</v>
      </c>
      <c r="J5465" s="25">
        <f t="shared" si="2"/>
        <v>144.75</v>
      </c>
      <c r="K5465" s="27">
        <f t="shared" si="3"/>
        <v>1</v>
      </c>
      <c r="L5465" s="25">
        <f t="shared" si="4"/>
        <v>1</v>
      </c>
    </row>
    <row r="5466">
      <c r="A5466" s="19">
        <v>159208.0</v>
      </c>
      <c r="B5466" s="20" t="str">
        <f t="array" ref="B5466">xlookup($A5466,product!$A:$A,product!B:B)</f>
        <v>Epicerie salée</v>
      </c>
      <c r="C5466" s="20" t="str">
        <f t="array" ref="C5466">xlookup($A5466,product!$A:$A,product!C:C)</f>
        <v>Légumineuses et céréales</v>
      </c>
      <c r="D5466" s="20" t="str">
        <f t="array" ref="D5466">xlookup($A5466,product!$A:$A,product!D:D)</f>
        <v>Mélanges céréales légumineuses</v>
      </c>
      <c r="E5466" s="4" t="str">
        <f t="shared" si="1"/>
        <v>159208-Légumineuses et céréales-Mélanges céréales légumineuses</v>
      </c>
      <c r="F5466" s="4">
        <v>1.0</v>
      </c>
      <c r="G5466" s="4">
        <v>469.0</v>
      </c>
      <c r="H5466" s="4">
        <v>61.0</v>
      </c>
      <c r="I5466" s="21">
        <f t="array" ref="I5466">XLOOKUP($A5466,product!A:A,product!E:E)</f>
        <v>1.2</v>
      </c>
      <c r="J5466" s="4">
        <f t="shared" si="2"/>
        <v>73.2</v>
      </c>
      <c r="K5466" s="22">
        <f t="shared" si="3"/>
        <v>1</v>
      </c>
      <c r="L5466" s="4">
        <f t="shared" si="4"/>
        <v>1</v>
      </c>
    </row>
    <row r="5467">
      <c r="A5467" s="23">
        <v>108476.0</v>
      </c>
      <c r="B5467" s="24" t="str">
        <f t="array" ref="B5467">xlookup($A5467,product!$A:$A,product!B:B)</f>
        <v>Epicerie salée</v>
      </c>
      <c r="C5467" s="24" t="str">
        <f t="array" ref="C5467">xlookup($A5467,product!$A:$A,product!C:C)</f>
        <v>Légumineuses et céréales</v>
      </c>
      <c r="D5467" s="24" t="str">
        <f t="array" ref="D5467">xlookup($A5467,product!$A:$A,product!D:D)</f>
        <v>Mélanges céréales légumineuses</v>
      </c>
      <c r="E5467" s="25" t="str">
        <f t="shared" si="1"/>
        <v>108476-Légumineuses et céréales-Mélanges céréales légumineuses</v>
      </c>
      <c r="F5467" s="25">
        <v>0.0</v>
      </c>
      <c r="G5467" s="25">
        <v>783.0</v>
      </c>
      <c r="H5467" s="25">
        <v>677.0</v>
      </c>
      <c r="I5467" s="26">
        <f t="array" ref="I5467">XLOOKUP($A5467,product!A:A,product!E:E)</f>
        <v>2.17</v>
      </c>
      <c r="J5467" s="25">
        <f t="shared" si="2"/>
        <v>1469.09</v>
      </c>
      <c r="K5467" s="27">
        <f t="shared" si="3"/>
        <v>1</v>
      </c>
      <c r="L5467" s="25">
        <f t="shared" si="4"/>
        <v>1</v>
      </c>
    </row>
    <row r="5468">
      <c r="A5468" s="19">
        <v>76603.0</v>
      </c>
      <c r="B5468" s="20" t="str">
        <f t="array" ref="B5468">xlookup($A5468,product!$A:$A,product!B:B)</f>
        <v>Epicerie salée</v>
      </c>
      <c r="C5468" s="20" t="str">
        <f t="array" ref="C5468">xlookup($A5468,product!$A:$A,product!C:C)</f>
        <v>Légumineuses et céréales</v>
      </c>
      <c r="D5468" s="20" t="str">
        <f t="array" ref="D5468">xlookup($A5468,product!$A:$A,product!D:D)</f>
        <v>Mélanges céréales légumineuses</v>
      </c>
      <c r="E5468" s="4" t="str">
        <f t="shared" si="1"/>
        <v>76603-Légumineuses et céréales-Mélanges céréales légumineuses</v>
      </c>
      <c r="F5468" s="4">
        <v>1.0</v>
      </c>
      <c r="G5468" s="4">
        <v>879.0</v>
      </c>
      <c r="H5468" s="4">
        <v>357.0</v>
      </c>
      <c r="I5468" s="21">
        <f t="array" ref="I5468">XLOOKUP($A5468,product!A:A,product!E:E)</f>
        <v>1.46</v>
      </c>
      <c r="J5468" s="4">
        <f t="shared" si="2"/>
        <v>521.22</v>
      </c>
      <c r="K5468" s="22">
        <f t="shared" si="3"/>
        <v>1</v>
      </c>
      <c r="L5468" s="4">
        <f t="shared" si="4"/>
        <v>1</v>
      </c>
    </row>
    <row r="5469">
      <c r="A5469" s="23">
        <v>117672.0</v>
      </c>
      <c r="B5469" s="24" t="str">
        <f t="array" ref="B5469">xlookup($A5469,product!$A:$A,product!B:B)</f>
        <v>Epicerie salée</v>
      </c>
      <c r="C5469" s="24" t="str">
        <f t="array" ref="C5469">xlookup($A5469,product!$A:$A,product!C:C)</f>
        <v>Légumineuses et céréales</v>
      </c>
      <c r="D5469" s="24" t="str">
        <f t="array" ref="D5469">xlookup($A5469,product!$A:$A,product!D:D)</f>
        <v>Mélanges céréales légumineuses</v>
      </c>
      <c r="E5469" s="25" t="str">
        <f t="shared" si="1"/>
        <v>117672-Légumineuses et céréales-Mélanges céréales légumineuses</v>
      </c>
      <c r="F5469" s="25">
        <v>1.0</v>
      </c>
      <c r="G5469" s="25">
        <v>609.0</v>
      </c>
      <c r="H5469" s="25">
        <v>60.0</v>
      </c>
      <c r="I5469" s="26">
        <f t="array" ref="I5469">XLOOKUP($A5469,product!A:A,product!E:E)</f>
        <v>2</v>
      </c>
      <c r="J5469" s="25">
        <f t="shared" si="2"/>
        <v>120</v>
      </c>
      <c r="K5469" s="27">
        <f t="shared" si="3"/>
        <v>1</v>
      </c>
      <c r="L5469" s="25">
        <f t="shared" si="4"/>
        <v>1</v>
      </c>
    </row>
    <row r="5470">
      <c r="A5470" s="19">
        <v>73968.0</v>
      </c>
      <c r="B5470" s="20" t="str">
        <f t="array" ref="B5470">xlookup($A5470,product!$A:$A,product!B:B)</f>
        <v>Epicerie salée</v>
      </c>
      <c r="C5470" s="20" t="str">
        <f t="array" ref="C5470">xlookup($A5470,product!$A:$A,product!C:C)</f>
        <v>Légumineuses et céréales</v>
      </c>
      <c r="D5470" s="20" t="str">
        <f t="array" ref="D5470">xlookup($A5470,product!$A:$A,product!D:D)</f>
        <v>Mélanges céréales légumineuses</v>
      </c>
      <c r="E5470" s="4" t="str">
        <f t="shared" si="1"/>
        <v>73968-Légumineuses et céréales-Mélanges céréales légumineuses</v>
      </c>
      <c r="F5470" s="4">
        <v>0.0</v>
      </c>
      <c r="G5470" s="4">
        <v>459.0</v>
      </c>
      <c r="H5470" s="4">
        <v>290.0</v>
      </c>
      <c r="I5470" s="21">
        <f t="array" ref="I5470">XLOOKUP($A5470,product!A:A,product!E:E)</f>
        <v>2.39</v>
      </c>
      <c r="J5470" s="4">
        <f t="shared" si="2"/>
        <v>693.1</v>
      </c>
      <c r="K5470" s="22">
        <f t="shared" si="3"/>
        <v>1</v>
      </c>
      <c r="L5470" s="4">
        <f t="shared" si="4"/>
        <v>1</v>
      </c>
    </row>
    <row r="5471">
      <c r="A5471" s="23">
        <v>73967.0</v>
      </c>
      <c r="B5471" s="24" t="str">
        <f t="array" ref="B5471">xlookup($A5471,product!$A:$A,product!B:B)</f>
        <v>Epicerie salée</v>
      </c>
      <c r="C5471" s="24" t="str">
        <f t="array" ref="C5471">xlookup($A5471,product!$A:$A,product!C:C)</f>
        <v>Légumineuses et céréales</v>
      </c>
      <c r="D5471" s="24" t="str">
        <f t="array" ref="D5471">xlookup($A5471,product!$A:$A,product!D:D)</f>
        <v>Mélanges céréales légumineuses</v>
      </c>
      <c r="E5471" s="25" t="str">
        <f t="shared" si="1"/>
        <v>73967-Légumineuses et céréales-Mélanges céréales légumineuses</v>
      </c>
      <c r="F5471" s="25">
        <v>0.0</v>
      </c>
      <c r="G5471" s="25">
        <v>171.0</v>
      </c>
      <c r="H5471" s="25">
        <v>97.0</v>
      </c>
      <c r="I5471" s="26">
        <f t="array" ref="I5471">XLOOKUP($A5471,product!A:A,product!E:E)</f>
        <v>2.23</v>
      </c>
      <c r="J5471" s="25">
        <f t="shared" si="2"/>
        <v>216.31</v>
      </c>
      <c r="K5471" s="27">
        <f t="shared" si="3"/>
        <v>1</v>
      </c>
      <c r="L5471" s="25">
        <f t="shared" si="4"/>
        <v>1</v>
      </c>
    </row>
    <row r="5472">
      <c r="A5472" s="19">
        <v>159209.0</v>
      </c>
      <c r="B5472" s="20" t="str">
        <f t="array" ref="B5472">xlookup($A5472,product!$A:$A,product!B:B)</f>
        <v>Epicerie salée</v>
      </c>
      <c r="C5472" s="20" t="str">
        <f t="array" ref="C5472">xlookup($A5472,product!$A:$A,product!C:C)</f>
        <v>Légumineuses et céréales</v>
      </c>
      <c r="D5472" s="20" t="str">
        <f t="array" ref="D5472">xlookup($A5472,product!$A:$A,product!D:D)</f>
        <v>Mélanges céréales légumineuses</v>
      </c>
      <c r="E5472" s="4" t="str">
        <f t="shared" si="1"/>
        <v>159209-Légumineuses et céréales-Mélanges céréales légumineuses</v>
      </c>
      <c r="F5472" s="4">
        <v>0.0</v>
      </c>
      <c r="G5472" s="4">
        <v>140.0</v>
      </c>
      <c r="H5472" s="4">
        <v>71.0</v>
      </c>
      <c r="I5472" s="21">
        <f t="array" ref="I5472">XLOOKUP($A5472,product!A:A,product!E:E)</f>
        <v>1.2</v>
      </c>
      <c r="J5472" s="4">
        <f t="shared" si="2"/>
        <v>85.2</v>
      </c>
      <c r="K5472" s="22">
        <f t="shared" si="3"/>
        <v>1</v>
      </c>
      <c r="L5472" s="4">
        <f t="shared" si="4"/>
        <v>1</v>
      </c>
    </row>
    <row r="5473">
      <c r="A5473" s="23">
        <v>90675.0</v>
      </c>
      <c r="B5473" s="24" t="str">
        <f t="array" ref="B5473">xlookup($A5473,product!$A:$A,product!B:B)</f>
        <v>Epicerie salée</v>
      </c>
      <c r="C5473" s="24" t="str">
        <f t="array" ref="C5473">xlookup($A5473,product!$A:$A,product!C:C)</f>
        <v>Légumineuses et céréales</v>
      </c>
      <c r="D5473" s="24" t="str">
        <f t="array" ref="D5473">xlookup($A5473,product!$A:$A,product!D:D)</f>
        <v>Mélanges céréales légumineuses</v>
      </c>
      <c r="E5473" s="25" t="str">
        <f t="shared" si="1"/>
        <v>90675-Légumineuses et céréales-Mélanges céréales légumineuses</v>
      </c>
      <c r="F5473" s="25">
        <v>1.0</v>
      </c>
      <c r="G5473" s="25">
        <v>903.0</v>
      </c>
      <c r="H5473" s="25">
        <v>539.0</v>
      </c>
      <c r="I5473" s="26">
        <f t="array" ref="I5473">XLOOKUP($A5473,product!A:A,product!E:E)</f>
        <v>1.72</v>
      </c>
      <c r="J5473" s="25">
        <f t="shared" si="2"/>
        <v>927.08</v>
      </c>
      <c r="K5473" s="27">
        <f t="shared" si="3"/>
        <v>1</v>
      </c>
      <c r="L5473" s="25">
        <f t="shared" si="4"/>
        <v>1</v>
      </c>
    </row>
    <row r="5474">
      <c r="A5474" s="19">
        <v>117671.0</v>
      </c>
      <c r="B5474" s="20" t="str">
        <f t="array" ref="B5474">xlookup($A5474,product!$A:$A,product!B:B)</f>
        <v>Epicerie salée</v>
      </c>
      <c r="C5474" s="20" t="str">
        <f t="array" ref="C5474">xlookup($A5474,product!$A:$A,product!C:C)</f>
        <v>Légumineuses et céréales</v>
      </c>
      <c r="D5474" s="20" t="str">
        <f t="array" ref="D5474">xlookup($A5474,product!$A:$A,product!D:D)</f>
        <v>Mélanges céréales légumineuses</v>
      </c>
      <c r="E5474" s="4" t="str">
        <f t="shared" si="1"/>
        <v>117671-Légumineuses et céréales-Mélanges céréales légumineuses</v>
      </c>
      <c r="F5474" s="4">
        <v>1.0</v>
      </c>
      <c r="G5474" s="4">
        <v>630.0</v>
      </c>
      <c r="H5474" s="4">
        <v>314.0</v>
      </c>
      <c r="I5474" s="21">
        <f t="array" ref="I5474">XLOOKUP($A5474,product!A:A,product!E:E)</f>
        <v>2</v>
      </c>
      <c r="J5474" s="4">
        <f t="shared" si="2"/>
        <v>628</v>
      </c>
      <c r="K5474" s="22">
        <f t="shared" si="3"/>
        <v>1</v>
      </c>
      <c r="L5474" s="4">
        <f t="shared" si="4"/>
        <v>1</v>
      </c>
    </row>
    <row r="5475">
      <c r="A5475" s="23">
        <v>100015.0</v>
      </c>
      <c r="B5475" s="24" t="str">
        <f t="array" ref="B5475">xlookup($A5475,product!$A:$A,product!B:B)</f>
        <v>Epicerie salée</v>
      </c>
      <c r="C5475" s="24" t="str">
        <f t="array" ref="C5475">xlookup($A5475,product!$A:$A,product!C:C)</f>
        <v>Légumineuses et céréales</v>
      </c>
      <c r="D5475" s="24" t="str">
        <f t="array" ref="D5475">xlookup($A5475,product!$A:$A,product!D:D)</f>
        <v>Mélanges céréales légumineuses</v>
      </c>
      <c r="E5475" s="25" t="str">
        <f t="shared" si="1"/>
        <v>100015-Légumineuses et céréales-Mélanges céréales légumineuses</v>
      </c>
      <c r="F5475" s="25">
        <v>1.0</v>
      </c>
      <c r="G5475" s="25">
        <v>375.0</v>
      </c>
      <c r="H5475" s="25">
        <v>131.0</v>
      </c>
      <c r="I5475" s="26">
        <f t="array" ref="I5475">XLOOKUP($A5475,product!A:A,product!E:E)</f>
        <v>2.57</v>
      </c>
      <c r="J5475" s="25">
        <f t="shared" si="2"/>
        <v>336.67</v>
      </c>
      <c r="K5475" s="27">
        <f t="shared" si="3"/>
        <v>1</v>
      </c>
      <c r="L5475" s="25">
        <f t="shared" si="4"/>
        <v>1</v>
      </c>
    </row>
    <row r="5476">
      <c r="A5476" s="19">
        <v>90680.0</v>
      </c>
      <c r="B5476" s="20" t="str">
        <f t="array" ref="B5476">xlookup($A5476,product!$A:$A,product!B:B)</f>
        <v>Epicerie salée</v>
      </c>
      <c r="C5476" s="20" t="str">
        <f t="array" ref="C5476">xlookup($A5476,product!$A:$A,product!C:C)</f>
        <v>Légumineuses et céréales</v>
      </c>
      <c r="D5476" s="20" t="str">
        <f t="array" ref="D5476">xlookup($A5476,product!$A:$A,product!D:D)</f>
        <v>Mélanges céréales légumineuses</v>
      </c>
      <c r="E5476" s="4" t="str">
        <f t="shared" si="1"/>
        <v>90680-Légumineuses et céréales-Mélanges céréales légumineuses</v>
      </c>
      <c r="F5476" s="4">
        <v>1.0</v>
      </c>
      <c r="G5476" s="4">
        <v>821.0</v>
      </c>
      <c r="H5476" s="4">
        <v>313.0</v>
      </c>
      <c r="I5476" s="21">
        <f t="array" ref="I5476">XLOOKUP($A5476,product!A:A,product!E:E)</f>
        <v>1.9</v>
      </c>
      <c r="J5476" s="4">
        <f t="shared" si="2"/>
        <v>594.7</v>
      </c>
      <c r="K5476" s="22">
        <f t="shared" si="3"/>
        <v>1</v>
      </c>
      <c r="L5476" s="4">
        <f t="shared" si="4"/>
        <v>1</v>
      </c>
    </row>
    <row r="5477">
      <c r="A5477" s="23">
        <v>88351.0</v>
      </c>
      <c r="B5477" s="24" t="str">
        <f t="array" ref="B5477">xlookup($A5477,product!$A:$A,product!B:B)</f>
        <v>Epicerie salée</v>
      </c>
      <c r="C5477" s="24" t="str">
        <f t="array" ref="C5477">xlookup($A5477,product!$A:$A,product!C:C)</f>
        <v>Légumineuses et céréales</v>
      </c>
      <c r="D5477" s="24" t="str">
        <f t="array" ref="D5477">xlookup($A5477,product!$A:$A,product!D:D)</f>
        <v>Mélanges céréales légumineuses</v>
      </c>
      <c r="E5477" s="25" t="str">
        <f t="shared" si="1"/>
        <v>88351-Légumineuses et céréales-Mélanges céréales légumineuses</v>
      </c>
      <c r="F5477" s="25">
        <v>1.0</v>
      </c>
      <c r="G5477" s="25">
        <v>266.0</v>
      </c>
      <c r="H5477" s="25">
        <v>112.0</v>
      </c>
      <c r="I5477" s="26">
        <f t="array" ref="I5477">XLOOKUP($A5477,product!A:A,product!E:E)</f>
        <v>2.25</v>
      </c>
      <c r="J5477" s="25">
        <f t="shared" si="2"/>
        <v>252</v>
      </c>
      <c r="K5477" s="27">
        <f t="shared" si="3"/>
        <v>1</v>
      </c>
      <c r="L5477" s="25">
        <f t="shared" si="4"/>
        <v>1</v>
      </c>
    </row>
    <row r="5478">
      <c r="A5478" s="19">
        <v>108475.0</v>
      </c>
      <c r="B5478" s="20" t="str">
        <f t="array" ref="B5478">xlookup($A5478,product!$A:$A,product!B:B)</f>
        <v>Epicerie salée</v>
      </c>
      <c r="C5478" s="20" t="str">
        <f t="array" ref="C5478">xlookup($A5478,product!$A:$A,product!C:C)</f>
        <v>Légumineuses et céréales</v>
      </c>
      <c r="D5478" s="20" t="str">
        <f t="array" ref="D5478">xlookup($A5478,product!$A:$A,product!D:D)</f>
        <v>Mélanges céréales légumineuses</v>
      </c>
      <c r="E5478" s="4" t="str">
        <f t="shared" si="1"/>
        <v>108475-Légumineuses et céréales-Mélanges céréales légumineuses</v>
      </c>
      <c r="F5478" s="4">
        <v>1.0</v>
      </c>
      <c r="G5478" s="4">
        <v>341.0</v>
      </c>
      <c r="H5478" s="4">
        <v>122.0</v>
      </c>
      <c r="I5478" s="21">
        <f t="array" ref="I5478">XLOOKUP($A5478,product!A:A,product!E:E)</f>
        <v>2.15</v>
      </c>
      <c r="J5478" s="4">
        <f t="shared" si="2"/>
        <v>262.3</v>
      </c>
      <c r="K5478" s="22">
        <f t="shared" si="3"/>
        <v>1</v>
      </c>
      <c r="L5478" s="4">
        <f t="shared" si="4"/>
        <v>1</v>
      </c>
    </row>
    <row r="5479">
      <c r="A5479" s="23">
        <v>90676.0</v>
      </c>
      <c r="B5479" s="24" t="str">
        <f t="array" ref="B5479">xlookup($A5479,product!$A:$A,product!B:B)</f>
        <v>Epicerie salée</v>
      </c>
      <c r="C5479" s="24" t="str">
        <f t="array" ref="C5479">xlookup($A5479,product!$A:$A,product!C:C)</f>
        <v>Légumineuses et céréales</v>
      </c>
      <c r="D5479" s="24" t="str">
        <f t="array" ref="D5479">xlookup($A5479,product!$A:$A,product!D:D)</f>
        <v>Mélanges céréales légumineuses</v>
      </c>
      <c r="E5479" s="25" t="str">
        <f t="shared" si="1"/>
        <v>90676-Légumineuses et céréales-Mélanges céréales légumineuses</v>
      </c>
      <c r="F5479" s="25">
        <v>1.0</v>
      </c>
      <c r="G5479" s="25">
        <v>10.0</v>
      </c>
      <c r="H5479" s="25">
        <v>5.0</v>
      </c>
      <c r="I5479" s="26">
        <f t="array" ref="I5479">XLOOKUP($A5479,product!A:A,product!E:E)</f>
        <v>1.9</v>
      </c>
      <c r="J5479" s="25">
        <f t="shared" si="2"/>
        <v>9.5</v>
      </c>
      <c r="K5479" s="27">
        <f t="shared" si="3"/>
        <v>1</v>
      </c>
      <c r="L5479" s="25">
        <f t="shared" si="4"/>
        <v>1</v>
      </c>
    </row>
    <row r="5480">
      <c r="A5480" s="19">
        <v>43118.0</v>
      </c>
      <c r="B5480" s="20" t="str">
        <f t="array" ref="B5480">xlookup($A5480,product!$A:$A,product!B:B)</f>
        <v>Alimentation Bébé</v>
      </c>
      <c r="C5480" s="20" t="str">
        <f t="array" ref="C5480">xlookup($A5480,product!$A:$A,product!C:C)</f>
        <v>Petits pots légumes bébé</v>
      </c>
      <c r="D5480" s="20" t="str">
        <f t="array" ref="D5480">xlookup($A5480,product!$A:$A,product!D:D)</f>
        <v>Gourdes de légumes +4 mois</v>
      </c>
      <c r="E5480" s="4" t="str">
        <f t="shared" si="1"/>
        <v>43118-Petits pots légumes bébé-Gourdes de légumes +4 mois</v>
      </c>
      <c r="F5480" s="4">
        <v>0.0</v>
      </c>
      <c r="G5480" s="4">
        <v>967.0</v>
      </c>
      <c r="H5480" s="4">
        <v>728.0</v>
      </c>
      <c r="I5480" s="21">
        <f t="array" ref="I5480">XLOOKUP($A5480,product!A:A,product!E:E)</f>
        <v>0.98</v>
      </c>
      <c r="J5480" s="4">
        <f t="shared" si="2"/>
        <v>713.44</v>
      </c>
      <c r="K5480" s="22">
        <f t="shared" si="3"/>
        <v>1</v>
      </c>
      <c r="L5480" s="4">
        <f t="shared" si="4"/>
        <v>1</v>
      </c>
    </row>
    <row r="5481">
      <c r="A5481" s="23">
        <v>112472.0</v>
      </c>
      <c r="B5481" s="24" t="str">
        <f t="array" ref="B5481">xlookup($A5481,product!$A:$A,product!B:B)</f>
        <v>Alimentation Bébé</v>
      </c>
      <c r="C5481" s="24" t="str">
        <f t="array" ref="C5481">xlookup($A5481,product!$A:$A,product!C:C)</f>
        <v>Petits pots légumes bébé</v>
      </c>
      <c r="D5481" s="24" t="str">
        <f t="array" ref="D5481">xlookup($A5481,product!$A:$A,product!D:D)</f>
        <v>Gourdes de légumes +4 mois</v>
      </c>
      <c r="E5481" s="25" t="str">
        <f t="shared" si="1"/>
        <v>112472-Petits pots légumes bébé-Gourdes de légumes +4 mois</v>
      </c>
      <c r="F5481" s="25">
        <v>0.0</v>
      </c>
      <c r="G5481" s="25">
        <v>656.0</v>
      </c>
      <c r="H5481" s="25">
        <v>123.0</v>
      </c>
      <c r="I5481" s="26">
        <f t="array" ref="I5481">XLOOKUP($A5481,product!A:A,product!E:E)</f>
        <v>0.79</v>
      </c>
      <c r="J5481" s="25">
        <f t="shared" si="2"/>
        <v>97.17</v>
      </c>
      <c r="K5481" s="27">
        <f t="shared" si="3"/>
        <v>1</v>
      </c>
      <c r="L5481" s="25">
        <f t="shared" si="4"/>
        <v>1</v>
      </c>
    </row>
    <row r="5482">
      <c r="A5482" s="19">
        <v>108083.0</v>
      </c>
      <c r="B5482" s="20" t="str">
        <f t="array" ref="B5482">xlookup($A5482,product!$A:$A,product!B:B)</f>
        <v>Alimentation Bébé</v>
      </c>
      <c r="C5482" s="20" t="str">
        <f t="array" ref="C5482">xlookup($A5482,product!$A:$A,product!C:C)</f>
        <v>Petits pots légumes bébé</v>
      </c>
      <c r="D5482" s="20" t="str">
        <f t="array" ref="D5482">xlookup($A5482,product!$A:$A,product!D:D)</f>
        <v>Petits pots légumes +4 mois</v>
      </c>
      <c r="E5482" s="4" t="str">
        <f t="shared" si="1"/>
        <v>108083-Petits pots légumes bébé-Petits pots légumes +4 mois</v>
      </c>
      <c r="F5482" s="4">
        <v>0.0</v>
      </c>
      <c r="G5482" s="4">
        <v>853.0</v>
      </c>
      <c r="H5482" s="4">
        <v>153.0</v>
      </c>
      <c r="I5482" s="21">
        <f t="array" ref="I5482">XLOOKUP($A5482,product!A:A,product!E:E)</f>
        <v>1.46</v>
      </c>
      <c r="J5482" s="4">
        <f t="shared" si="2"/>
        <v>223.38</v>
      </c>
      <c r="K5482" s="22">
        <f t="shared" si="3"/>
        <v>1</v>
      </c>
      <c r="L5482" s="4">
        <f t="shared" si="4"/>
        <v>1</v>
      </c>
    </row>
    <row r="5483">
      <c r="A5483" s="23">
        <v>133907.0</v>
      </c>
      <c r="B5483" s="24" t="str">
        <f t="array" ref="B5483">xlookup($A5483,product!$A:$A,product!B:B)</f>
        <v>Alimentation Bébé</v>
      </c>
      <c r="C5483" s="24" t="str">
        <f t="array" ref="C5483">xlookup($A5483,product!$A:$A,product!C:C)</f>
        <v>Petits pots légumes bébé</v>
      </c>
      <c r="D5483" s="24" t="str">
        <f t="array" ref="D5483">xlookup($A5483,product!$A:$A,product!D:D)</f>
        <v>Petits pots légumes +4 mois</v>
      </c>
      <c r="E5483" s="25" t="str">
        <f t="shared" si="1"/>
        <v>133907-Petits pots légumes bébé-Petits pots légumes +4 mois</v>
      </c>
      <c r="F5483" s="25">
        <v>1.0</v>
      </c>
      <c r="G5483" s="25">
        <v>879.0</v>
      </c>
      <c r="H5483" s="25">
        <v>858.0</v>
      </c>
      <c r="I5483" s="26">
        <f t="array" ref="I5483">XLOOKUP($A5483,product!A:A,product!E:E)</f>
        <v>2.29</v>
      </c>
      <c r="J5483" s="25">
        <f t="shared" si="2"/>
        <v>1964.82</v>
      </c>
      <c r="K5483" s="27">
        <f t="shared" si="3"/>
        <v>1</v>
      </c>
      <c r="L5483" s="25">
        <f t="shared" si="4"/>
        <v>1</v>
      </c>
    </row>
    <row r="5484">
      <c r="A5484" s="19">
        <v>45176.0</v>
      </c>
      <c r="B5484" s="20" t="str">
        <f t="array" ref="B5484">xlookup($A5484,product!$A:$A,product!B:B)</f>
        <v>Alimentation Bébé</v>
      </c>
      <c r="C5484" s="20" t="str">
        <f t="array" ref="C5484">xlookup($A5484,product!$A:$A,product!C:C)</f>
        <v>Petits pots légumes bébé</v>
      </c>
      <c r="D5484" s="20" t="str">
        <f t="array" ref="D5484">xlookup($A5484,product!$A:$A,product!D:D)</f>
        <v>Petits pots légumes +4 mois</v>
      </c>
      <c r="E5484" s="4" t="str">
        <f t="shared" si="1"/>
        <v>45176-Petits pots légumes bébé-Petits pots légumes +4 mois</v>
      </c>
      <c r="F5484" s="4">
        <v>1.0</v>
      </c>
      <c r="G5484" s="4">
        <v>780.0</v>
      </c>
      <c r="H5484" s="4">
        <v>514.0</v>
      </c>
      <c r="I5484" s="21">
        <f t="array" ref="I5484">XLOOKUP($A5484,product!A:A,product!E:E)</f>
        <v>0.81</v>
      </c>
      <c r="J5484" s="4">
        <f t="shared" si="2"/>
        <v>416.34</v>
      </c>
      <c r="K5484" s="22">
        <f t="shared" si="3"/>
        <v>1</v>
      </c>
      <c r="L5484" s="4">
        <f t="shared" si="4"/>
        <v>1</v>
      </c>
    </row>
    <row r="5485">
      <c r="A5485" s="23">
        <v>5480.0</v>
      </c>
      <c r="B5485" s="24" t="str">
        <f t="array" ref="B5485">xlookup($A5485,product!$A:$A,product!B:B)</f>
        <v>Alimentation Bébé</v>
      </c>
      <c r="C5485" s="24" t="str">
        <f t="array" ref="C5485">xlookup($A5485,product!$A:$A,product!C:C)</f>
        <v>Petits pots légumes bébé</v>
      </c>
      <c r="D5485" s="24" t="str">
        <f t="array" ref="D5485">xlookup($A5485,product!$A:$A,product!D:D)</f>
        <v>Petits pots légumes +4 mois</v>
      </c>
      <c r="E5485" s="25" t="str">
        <f t="shared" si="1"/>
        <v>5480-Petits pots légumes bébé-Petits pots légumes +4 mois</v>
      </c>
      <c r="F5485" s="25">
        <v>1.0</v>
      </c>
      <c r="G5485" s="25">
        <v>852.0</v>
      </c>
      <c r="H5485" s="25">
        <v>339.0</v>
      </c>
      <c r="I5485" s="26">
        <f t="array" ref="I5485">XLOOKUP($A5485,product!A:A,product!E:E)</f>
        <v>1.99</v>
      </c>
      <c r="J5485" s="25">
        <f t="shared" si="2"/>
        <v>674.61</v>
      </c>
      <c r="K5485" s="27">
        <f t="shared" si="3"/>
        <v>1</v>
      </c>
      <c r="L5485" s="25">
        <f t="shared" si="4"/>
        <v>1</v>
      </c>
    </row>
    <row r="5486">
      <c r="A5486" s="19">
        <v>119086.0</v>
      </c>
      <c r="B5486" s="20" t="str">
        <f t="array" ref="B5486">xlookup($A5486,product!$A:$A,product!B:B)</f>
        <v>Alimentation Bébé</v>
      </c>
      <c r="C5486" s="20" t="str">
        <f t="array" ref="C5486">xlookup($A5486,product!$A:$A,product!C:C)</f>
        <v>Petits pots légumes bébé</v>
      </c>
      <c r="D5486" s="20" t="str">
        <f t="array" ref="D5486">xlookup($A5486,product!$A:$A,product!D:D)</f>
        <v>Petits pots légumes +4 mois</v>
      </c>
      <c r="E5486" s="4" t="str">
        <f t="shared" si="1"/>
        <v>119086-Petits pots légumes bébé-Petits pots légumes +4 mois</v>
      </c>
      <c r="F5486" s="4">
        <v>1.0</v>
      </c>
      <c r="G5486" s="4">
        <v>295.0</v>
      </c>
      <c r="H5486" s="4">
        <v>144.0</v>
      </c>
      <c r="I5486" s="21">
        <f t="array" ref="I5486">XLOOKUP($A5486,product!A:A,product!E:E)</f>
        <v>1.54</v>
      </c>
      <c r="J5486" s="4">
        <f t="shared" si="2"/>
        <v>221.76</v>
      </c>
      <c r="K5486" s="22">
        <f t="shared" si="3"/>
        <v>1</v>
      </c>
      <c r="L5486" s="4">
        <f t="shared" si="4"/>
        <v>1</v>
      </c>
    </row>
    <row r="5487">
      <c r="A5487" s="23">
        <v>108084.0</v>
      </c>
      <c r="B5487" s="24" t="str">
        <f t="array" ref="B5487">xlookup($A5487,product!$A:$A,product!B:B)</f>
        <v>Alimentation Bébé</v>
      </c>
      <c r="C5487" s="24" t="str">
        <f t="array" ref="C5487">xlookup($A5487,product!$A:$A,product!C:C)</f>
        <v>Petits pots légumes bébé</v>
      </c>
      <c r="D5487" s="24" t="str">
        <f t="array" ref="D5487">xlookup($A5487,product!$A:$A,product!D:D)</f>
        <v>Petits pots légumes +4 mois</v>
      </c>
      <c r="E5487" s="25" t="str">
        <f t="shared" si="1"/>
        <v>108084-Petits pots légumes bébé-Petits pots légumes +4 mois</v>
      </c>
      <c r="F5487" s="25">
        <v>1.0</v>
      </c>
      <c r="G5487" s="25">
        <v>796.0</v>
      </c>
      <c r="H5487" s="25">
        <v>278.0</v>
      </c>
      <c r="I5487" s="26">
        <f t="array" ref="I5487">XLOOKUP($A5487,product!A:A,product!E:E)</f>
        <v>0.92</v>
      </c>
      <c r="J5487" s="25">
        <f t="shared" si="2"/>
        <v>255.76</v>
      </c>
      <c r="K5487" s="27">
        <f t="shared" si="3"/>
        <v>1</v>
      </c>
      <c r="L5487" s="25">
        <f t="shared" si="4"/>
        <v>1</v>
      </c>
    </row>
    <row r="5488">
      <c r="A5488" s="19">
        <v>45192.0</v>
      </c>
      <c r="B5488" s="20" t="str">
        <f t="array" ref="B5488">xlookup($A5488,product!$A:$A,product!B:B)</f>
        <v>Alimentation Bébé</v>
      </c>
      <c r="C5488" s="20" t="str">
        <f t="array" ref="C5488">xlookup($A5488,product!$A:$A,product!C:C)</f>
        <v>Petits pots légumes bébé</v>
      </c>
      <c r="D5488" s="20" t="str">
        <f t="array" ref="D5488">xlookup($A5488,product!$A:$A,product!D:D)</f>
        <v>Petits pots légumes +4 mois</v>
      </c>
      <c r="E5488" s="4" t="str">
        <f t="shared" si="1"/>
        <v>45192-Petits pots légumes bébé-Petits pots légumes +4 mois</v>
      </c>
      <c r="F5488" s="4">
        <v>1.0</v>
      </c>
      <c r="G5488" s="4">
        <v>12.0</v>
      </c>
      <c r="H5488" s="4">
        <v>4.0</v>
      </c>
      <c r="I5488" s="21">
        <f t="array" ref="I5488">XLOOKUP($A5488,product!A:A,product!E:E)</f>
        <v>0.81</v>
      </c>
      <c r="J5488" s="4">
        <f t="shared" si="2"/>
        <v>3.24</v>
      </c>
      <c r="K5488" s="22">
        <f t="shared" si="3"/>
        <v>1</v>
      </c>
      <c r="L5488" s="4">
        <f t="shared" si="4"/>
        <v>1</v>
      </c>
    </row>
    <row r="5489">
      <c r="A5489" s="23">
        <v>26320.0</v>
      </c>
      <c r="B5489" s="24" t="str">
        <f t="array" ref="B5489">xlookup($A5489,product!$A:$A,product!B:B)</f>
        <v>Alimentation Bébé</v>
      </c>
      <c r="C5489" s="24" t="str">
        <f t="array" ref="C5489">xlookup($A5489,product!$A:$A,product!C:C)</f>
        <v>Petits pots légumes bébé</v>
      </c>
      <c r="D5489" s="24" t="str">
        <f t="array" ref="D5489">xlookup($A5489,product!$A:$A,product!D:D)</f>
        <v>Petits pots légumes +4 mois</v>
      </c>
      <c r="E5489" s="25" t="str">
        <f t="shared" si="1"/>
        <v>26320-Petits pots légumes bébé-Petits pots légumes +4 mois</v>
      </c>
      <c r="F5489" s="25">
        <v>0.0</v>
      </c>
      <c r="G5489" s="25">
        <v>739.0</v>
      </c>
      <c r="H5489" s="25">
        <v>416.0</v>
      </c>
      <c r="I5489" s="26">
        <f t="array" ref="I5489">XLOOKUP($A5489,product!A:A,product!E:E)</f>
        <v>2.76</v>
      </c>
      <c r="J5489" s="25">
        <f t="shared" si="2"/>
        <v>1148.16</v>
      </c>
      <c r="K5489" s="27">
        <f t="shared" si="3"/>
        <v>1</v>
      </c>
      <c r="L5489" s="25">
        <f t="shared" si="4"/>
        <v>1</v>
      </c>
    </row>
    <row r="5490">
      <c r="A5490" s="19">
        <v>133910.0</v>
      </c>
      <c r="B5490" s="20" t="str">
        <f t="array" ref="B5490">xlookup($A5490,product!$A:$A,product!B:B)</f>
        <v>Alimentation Bébé</v>
      </c>
      <c r="C5490" s="20" t="str">
        <f t="array" ref="C5490">xlookup($A5490,product!$A:$A,product!C:C)</f>
        <v>Petits pots légumes bébé</v>
      </c>
      <c r="D5490" s="20" t="str">
        <f t="array" ref="D5490">xlookup($A5490,product!$A:$A,product!D:D)</f>
        <v>Petits pots légumes +4 mois</v>
      </c>
      <c r="E5490" s="4" t="str">
        <f t="shared" si="1"/>
        <v>133910-Petits pots légumes bébé-Petits pots légumes +4 mois</v>
      </c>
      <c r="F5490" s="4">
        <v>0.0</v>
      </c>
      <c r="G5490" s="4">
        <v>564.0</v>
      </c>
      <c r="H5490" s="4">
        <v>112.0</v>
      </c>
      <c r="I5490" s="21">
        <f t="array" ref="I5490">XLOOKUP($A5490,product!A:A,product!E:E)</f>
        <v>2.29</v>
      </c>
      <c r="J5490" s="4">
        <f t="shared" si="2"/>
        <v>256.48</v>
      </c>
      <c r="K5490" s="22">
        <f t="shared" si="3"/>
        <v>1</v>
      </c>
      <c r="L5490" s="4">
        <f t="shared" si="4"/>
        <v>1</v>
      </c>
    </row>
    <row r="5491">
      <c r="A5491" s="23">
        <v>133908.0</v>
      </c>
      <c r="B5491" s="24" t="str">
        <f t="array" ref="B5491">xlookup($A5491,product!$A:$A,product!B:B)</f>
        <v>Alimentation Bébé</v>
      </c>
      <c r="C5491" s="24" t="str">
        <f t="array" ref="C5491">xlookup($A5491,product!$A:$A,product!C:C)</f>
        <v>Petits pots légumes bébé</v>
      </c>
      <c r="D5491" s="24" t="str">
        <f t="array" ref="D5491">xlookup($A5491,product!$A:$A,product!D:D)</f>
        <v>Petits pots légumes +4 mois</v>
      </c>
      <c r="E5491" s="25" t="str">
        <f t="shared" si="1"/>
        <v>133908-Petits pots légumes bébé-Petits pots légumes +4 mois</v>
      </c>
      <c r="F5491" s="25">
        <v>0.0</v>
      </c>
      <c r="G5491" s="25">
        <v>86.0</v>
      </c>
      <c r="H5491" s="25">
        <v>12.0</v>
      </c>
      <c r="I5491" s="26">
        <f t="array" ref="I5491">XLOOKUP($A5491,product!A:A,product!E:E)</f>
        <v>2.29</v>
      </c>
      <c r="J5491" s="25">
        <f t="shared" si="2"/>
        <v>27.48</v>
      </c>
      <c r="K5491" s="27">
        <f t="shared" si="3"/>
        <v>1</v>
      </c>
      <c r="L5491" s="25">
        <f t="shared" si="4"/>
        <v>1</v>
      </c>
    </row>
    <row r="5492">
      <c r="A5492" s="19">
        <v>9646.0</v>
      </c>
      <c r="B5492" s="20" t="str">
        <f t="array" ref="B5492">xlookup($A5492,product!$A:$A,product!B:B)</f>
        <v>Alimentation Bébé</v>
      </c>
      <c r="C5492" s="20" t="str">
        <f t="array" ref="C5492">xlookup($A5492,product!$A:$A,product!C:C)</f>
        <v>Petits pots légumes bébé</v>
      </c>
      <c r="D5492" s="20" t="str">
        <f t="array" ref="D5492">xlookup($A5492,product!$A:$A,product!D:D)</f>
        <v>Petits pots légumes +4 mois</v>
      </c>
      <c r="E5492" s="4" t="str">
        <f t="shared" si="1"/>
        <v>9646-Petits pots légumes bébé-Petits pots légumes +4 mois</v>
      </c>
      <c r="F5492" s="4">
        <v>0.0</v>
      </c>
      <c r="G5492" s="4">
        <v>954.0</v>
      </c>
      <c r="H5492" s="4">
        <v>704.0</v>
      </c>
      <c r="I5492" s="21">
        <f t="array" ref="I5492">XLOOKUP($A5492,product!A:A,product!E:E)</f>
        <v>1.46</v>
      </c>
      <c r="J5492" s="4">
        <f t="shared" si="2"/>
        <v>1027.84</v>
      </c>
      <c r="K5492" s="22">
        <f t="shared" si="3"/>
        <v>1</v>
      </c>
      <c r="L5492" s="4">
        <f t="shared" si="4"/>
        <v>1</v>
      </c>
    </row>
    <row r="5493">
      <c r="A5493" s="23">
        <v>108091.0</v>
      </c>
      <c r="B5493" s="24" t="str">
        <f t="array" ref="B5493">xlookup($A5493,product!$A:$A,product!B:B)</f>
        <v>Alimentation Bébé</v>
      </c>
      <c r="C5493" s="24" t="str">
        <f t="array" ref="C5493">xlookup($A5493,product!$A:$A,product!C:C)</f>
        <v>Petits pots légumes bébé</v>
      </c>
      <c r="D5493" s="24" t="str">
        <f t="array" ref="D5493">xlookup($A5493,product!$A:$A,product!D:D)</f>
        <v>Petits pots légumes +4 mois</v>
      </c>
      <c r="E5493" s="25" t="str">
        <f t="shared" si="1"/>
        <v>108091-Petits pots légumes bébé-Petits pots légumes +4 mois</v>
      </c>
      <c r="F5493" s="25">
        <v>1.0</v>
      </c>
      <c r="G5493" s="25">
        <v>97.0</v>
      </c>
      <c r="H5493" s="25">
        <v>93.0</v>
      </c>
      <c r="I5493" s="26">
        <f t="array" ref="I5493">XLOOKUP($A5493,product!A:A,product!E:E)</f>
        <v>0.92</v>
      </c>
      <c r="J5493" s="25">
        <f t="shared" si="2"/>
        <v>85.56</v>
      </c>
      <c r="K5493" s="27">
        <f t="shared" si="3"/>
        <v>1</v>
      </c>
      <c r="L5493" s="25">
        <f t="shared" si="4"/>
        <v>1</v>
      </c>
    </row>
    <row r="5494">
      <c r="A5494" s="19">
        <v>108114.0</v>
      </c>
      <c r="B5494" s="20" t="str">
        <f t="array" ref="B5494">xlookup($A5494,product!$A:$A,product!B:B)</f>
        <v>Alimentation Bébé</v>
      </c>
      <c r="C5494" s="20" t="str">
        <f t="array" ref="C5494">xlookup($A5494,product!$A:$A,product!C:C)</f>
        <v>Petits pots légumes bébé</v>
      </c>
      <c r="D5494" s="20" t="str">
        <f t="array" ref="D5494">xlookup($A5494,product!$A:$A,product!D:D)</f>
        <v>Petits pots légumes +4 mois</v>
      </c>
      <c r="E5494" s="4" t="str">
        <f t="shared" si="1"/>
        <v>108114-Petits pots légumes bébé-Petits pots légumes +4 mois</v>
      </c>
      <c r="F5494" s="4">
        <v>0.0</v>
      </c>
      <c r="G5494" s="4">
        <v>421.0</v>
      </c>
      <c r="H5494" s="4">
        <v>389.0</v>
      </c>
      <c r="I5494" s="21">
        <f t="array" ref="I5494">XLOOKUP($A5494,product!A:A,product!E:E)</f>
        <v>1.2</v>
      </c>
      <c r="J5494" s="4">
        <f t="shared" si="2"/>
        <v>466.8</v>
      </c>
      <c r="K5494" s="22">
        <f t="shared" si="3"/>
        <v>1</v>
      </c>
      <c r="L5494" s="4">
        <f t="shared" si="4"/>
        <v>1</v>
      </c>
    </row>
    <row r="5495">
      <c r="A5495" s="23">
        <v>9639.0</v>
      </c>
      <c r="B5495" s="24" t="str">
        <f t="array" ref="B5495">xlookup($A5495,product!$A:$A,product!B:B)</f>
        <v>Alimentation Bébé</v>
      </c>
      <c r="C5495" s="24" t="str">
        <f t="array" ref="C5495">xlookup($A5495,product!$A:$A,product!C:C)</f>
        <v>Petits pots légumes bébé</v>
      </c>
      <c r="D5495" s="24" t="str">
        <f t="array" ref="D5495">xlookup($A5495,product!$A:$A,product!D:D)</f>
        <v>Petits pots légumes +4 mois</v>
      </c>
      <c r="E5495" s="25" t="str">
        <f t="shared" si="1"/>
        <v>9639-Petits pots légumes bébé-Petits pots légumes +4 mois</v>
      </c>
      <c r="F5495" s="25">
        <v>0.0</v>
      </c>
      <c r="G5495" s="25">
        <v>928.0</v>
      </c>
      <c r="H5495" s="25">
        <v>495.0</v>
      </c>
      <c r="I5495" s="26">
        <f t="array" ref="I5495">XLOOKUP($A5495,product!A:A,product!E:E)</f>
        <v>1.46</v>
      </c>
      <c r="J5495" s="25">
        <f t="shared" si="2"/>
        <v>722.7</v>
      </c>
      <c r="K5495" s="27">
        <f t="shared" si="3"/>
        <v>1</v>
      </c>
      <c r="L5495" s="25">
        <f t="shared" si="4"/>
        <v>1</v>
      </c>
    </row>
    <row r="5496">
      <c r="A5496" s="19">
        <v>108108.0</v>
      </c>
      <c r="B5496" s="20" t="str">
        <f t="array" ref="B5496">xlookup($A5496,product!$A:$A,product!B:B)</f>
        <v>Alimentation Bébé</v>
      </c>
      <c r="C5496" s="20" t="str">
        <f t="array" ref="C5496">xlookup($A5496,product!$A:$A,product!C:C)</f>
        <v>Petits pots légumes bébé</v>
      </c>
      <c r="D5496" s="20" t="str">
        <f t="array" ref="D5496">xlookup($A5496,product!$A:$A,product!D:D)</f>
        <v>Petits pots légumes +4 mois</v>
      </c>
      <c r="E5496" s="4" t="str">
        <f t="shared" si="1"/>
        <v>108108-Petits pots légumes bébé-Petits pots légumes +4 mois</v>
      </c>
      <c r="F5496" s="4">
        <v>0.0</v>
      </c>
      <c r="G5496" s="4">
        <v>568.0</v>
      </c>
      <c r="H5496" s="4">
        <v>540.0</v>
      </c>
      <c r="I5496" s="21">
        <f t="array" ref="I5496">XLOOKUP($A5496,product!A:A,product!E:E)</f>
        <v>0.92</v>
      </c>
      <c r="J5496" s="4">
        <f t="shared" si="2"/>
        <v>496.8</v>
      </c>
      <c r="K5496" s="22">
        <f t="shared" si="3"/>
        <v>1</v>
      </c>
      <c r="L5496" s="4">
        <f t="shared" si="4"/>
        <v>1</v>
      </c>
    </row>
    <row r="5497">
      <c r="A5497" s="23">
        <v>108081.0</v>
      </c>
      <c r="B5497" s="24" t="str">
        <f t="array" ref="B5497">xlookup($A5497,product!$A:$A,product!B:B)</f>
        <v>Alimentation Bébé</v>
      </c>
      <c r="C5497" s="24" t="str">
        <f t="array" ref="C5497">xlookup($A5497,product!$A:$A,product!C:C)</f>
        <v>Petits pots légumes bébé</v>
      </c>
      <c r="D5497" s="24" t="str">
        <f t="array" ref="D5497">xlookup($A5497,product!$A:$A,product!D:D)</f>
        <v>Petits pots légumes +4 mois</v>
      </c>
      <c r="E5497" s="25" t="str">
        <f t="shared" si="1"/>
        <v>108081-Petits pots légumes bébé-Petits pots légumes +4 mois</v>
      </c>
      <c r="F5497" s="25">
        <v>1.0</v>
      </c>
      <c r="G5497" s="25">
        <v>71.0</v>
      </c>
      <c r="H5497" s="25">
        <v>68.0</v>
      </c>
      <c r="I5497" s="26">
        <f t="array" ref="I5497">XLOOKUP($A5497,product!A:A,product!E:E)</f>
        <v>1.46</v>
      </c>
      <c r="J5497" s="25">
        <f t="shared" si="2"/>
        <v>99.28</v>
      </c>
      <c r="K5497" s="27">
        <f t="shared" si="3"/>
        <v>1</v>
      </c>
      <c r="L5497" s="25">
        <f t="shared" si="4"/>
        <v>1</v>
      </c>
    </row>
    <row r="5498">
      <c r="A5498" s="19">
        <v>4243.0</v>
      </c>
      <c r="B5498" s="20" t="str">
        <f t="array" ref="B5498">xlookup($A5498,product!$A:$A,product!B:B)</f>
        <v>Alimentation Bébé</v>
      </c>
      <c r="C5498" s="20" t="str">
        <f t="array" ref="C5498">xlookup($A5498,product!$A:$A,product!C:C)</f>
        <v>Petits pots légumes bébé</v>
      </c>
      <c r="D5498" s="20" t="str">
        <f t="array" ref="D5498">xlookup($A5498,product!$A:$A,product!D:D)</f>
        <v>Petits pots légumes +4 mois</v>
      </c>
      <c r="E5498" s="4" t="str">
        <f t="shared" si="1"/>
        <v>4243-Petits pots légumes bébé-Petits pots légumes +4 mois</v>
      </c>
      <c r="F5498" s="4">
        <v>1.0</v>
      </c>
      <c r="G5498" s="4">
        <v>24.0</v>
      </c>
      <c r="H5498" s="4">
        <v>18.0</v>
      </c>
      <c r="I5498" s="21">
        <f t="array" ref="I5498">XLOOKUP($A5498,product!A:A,product!E:E)</f>
        <v>1.99</v>
      </c>
      <c r="J5498" s="4">
        <f t="shared" si="2"/>
        <v>35.82</v>
      </c>
      <c r="K5498" s="22">
        <f t="shared" si="3"/>
        <v>1</v>
      </c>
      <c r="L5498" s="4">
        <f t="shared" si="4"/>
        <v>1</v>
      </c>
    </row>
    <row r="5499">
      <c r="A5499" s="23">
        <v>108090.0</v>
      </c>
      <c r="B5499" s="24" t="str">
        <f t="array" ref="B5499">xlookup($A5499,product!$A:$A,product!B:B)</f>
        <v>Alimentation Bébé</v>
      </c>
      <c r="C5499" s="24" t="str">
        <f t="array" ref="C5499">xlookup($A5499,product!$A:$A,product!C:C)</f>
        <v>Petits pots légumes bébé</v>
      </c>
      <c r="D5499" s="24" t="str">
        <f t="array" ref="D5499">xlookup($A5499,product!$A:$A,product!D:D)</f>
        <v>Petits pots légumes +4 mois</v>
      </c>
      <c r="E5499" s="25" t="str">
        <f t="shared" si="1"/>
        <v>108090-Petits pots légumes bébé-Petits pots légumes +4 mois</v>
      </c>
      <c r="F5499" s="25">
        <v>1.0</v>
      </c>
      <c r="G5499" s="25">
        <v>485.0</v>
      </c>
      <c r="H5499" s="25">
        <v>160.0</v>
      </c>
      <c r="I5499" s="26">
        <f t="array" ref="I5499">XLOOKUP($A5499,product!A:A,product!E:E)</f>
        <v>0.99</v>
      </c>
      <c r="J5499" s="25">
        <f t="shared" si="2"/>
        <v>158.4</v>
      </c>
      <c r="K5499" s="27">
        <f t="shared" si="3"/>
        <v>1</v>
      </c>
      <c r="L5499" s="25">
        <f t="shared" si="4"/>
        <v>1</v>
      </c>
    </row>
    <row r="5500">
      <c r="A5500" s="19">
        <v>133912.0</v>
      </c>
      <c r="B5500" s="20" t="str">
        <f t="array" ref="B5500">xlookup($A5500,product!$A:$A,product!B:B)</f>
        <v>Alimentation Bébé</v>
      </c>
      <c r="C5500" s="20" t="str">
        <f t="array" ref="C5500">xlookup($A5500,product!$A:$A,product!C:C)</f>
        <v>Petits pots légumes bébé</v>
      </c>
      <c r="D5500" s="20" t="str">
        <f t="array" ref="D5500">xlookup($A5500,product!$A:$A,product!D:D)</f>
        <v>Petits pots légumes +4 mois</v>
      </c>
      <c r="E5500" s="4" t="str">
        <f t="shared" si="1"/>
        <v>133912-Petits pots légumes bébé-Petits pots légumes +4 mois</v>
      </c>
      <c r="F5500" s="4">
        <v>0.0</v>
      </c>
      <c r="G5500" s="4">
        <v>150.0</v>
      </c>
      <c r="H5500" s="4">
        <v>100.0</v>
      </c>
      <c r="I5500" s="21">
        <f t="array" ref="I5500">XLOOKUP($A5500,product!A:A,product!E:E)</f>
        <v>2.45</v>
      </c>
      <c r="J5500" s="4">
        <f t="shared" si="2"/>
        <v>245</v>
      </c>
      <c r="K5500" s="22">
        <f t="shared" si="3"/>
        <v>1</v>
      </c>
      <c r="L5500" s="4">
        <f t="shared" si="4"/>
        <v>1</v>
      </c>
    </row>
    <row r="5501">
      <c r="A5501" s="23">
        <v>108087.0</v>
      </c>
      <c r="B5501" s="24" t="str">
        <f t="array" ref="B5501">xlookup($A5501,product!$A:$A,product!B:B)</f>
        <v>Alimentation Bébé</v>
      </c>
      <c r="C5501" s="24" t="str">
        <f t="array" ref="C5501">xlookup($A5501,product!$A:$A,product!C:C)</f>
        <v>Petits pots légumes bébé</v>
      </c>
      <c r="D5501" s="24" t="str">
        <f t="array" ref="D5501">xlookup($A5501,product!$A:$A,product!D:D)</f>
        <v>Petits pots légumes +4 mois</v>
      </c>
      <c r="E5501" s="25" t="str">
        <f t="shared" si="1"/>
        <v>108087-Petits pots légumes bébé-Petits pots légumes +4 mois</v>
      </c>
      <c r="F5501" s="25">
        <v>1.0</v>
      </c>
      <c r="G5501" s="25">
        <v>751.0</v>
      </c>
      <c r="H5501" s="25">
        <v>112.0</v>
      </c>
      <c r="I5501" s="26">
        <f t="array" ref="I5501">XLOOKUP($A5501,product!A:A,product!E:E)</f>
        <v>0.92</v>
      </c>
      <c r="J5501" s="25">
        <f t="shared" si="2"/>
        <v>103.04</v>
      </c>
      <c r="K5501" s="27">
        <f t="shared" si="3"/>
        <v>1</v>
      </c>
      <c r="L5501" s="25">
        <f t="shared" si="4"/>
        <v>1</v>
      </c>
    </row>
    <row r="5502">
      <c r="A5502" s="19">
        <v>78866.0</v>
      </c>
      <c r="B5502" s="20" t="str">
        <f t="array" ref="B5502">xlookup($A5502,product!$A:$A,product!B:B)</f>
        <v>Alimentation Bébé</v>
      </c>
      <c r="C5502" s="20" t="str">
        <f t="array" ref="C5502">xlookup($A5502,product!$A:$A,product!C:C)</f>
        <v>Petits pots légumes bébé</v>
      </c>
      <c r="D5502" s="20" t="str">
        <f t="array" ref="D5502">xlookup($A5502,product!$A:$A,product!D:D)</f>
        <v>Petits pots légumes +4 mois</v>
      </c>
      <c r="E5502" s="4" t="str">
        <f t="shared" si="1"/>
        <v>78866-Petits pots légumes bébé-Petits pots légumes +4 mois</v>
      </c>
      <c r="F5502" s="4">
        <v>0.0</v>
      </c>
      <c r="G5502" s="4">
        <v>630.0</v>
      </c>
      <c r="H5502" s="4">
        <v>347.0</v>
      </c>
      <c r="I5502" s="21">
        <f t="array" ref="I5502">XLOOKUP($A5502,product!A:A,product!E:E)</f>
        <v>1.46</v>
      </c>
      <c r="J5502" s="4">
        <f t="shared" si="2"/>
        <v>506.62</v>
      </c>
      <c r="K5502" s="22">
        <f t="shared" si="3"/>
        <v>1</v>
      </c>
      <c r="L5502" s="4">
        <f t="shared" si="4"/>
        <v>1</v>
      </c>
    </row>
    <row r="5503">
      <c r="A5503" s="23">
        <v>70415.0</v>
      </c>
      <c r="B5503" s="24" t="str">
        <f t="array" ref="B5503">xlookup($A5503,product!$A:$A,product!B:B)</f>
        <v>Alimentation Bébé</v>
      </c>
      <c r="C5503" s="24" t="str">
        <f t="array" ref="C5503">xlookup($A5503,product!$A:$A,product!C:C)</f>
        <v>Petits pots légumes bébé</v>
      </c>
      <c r="D5503" s="24" t="str">
        <f t="array" ref="D5503">xlookup($A5503,product!$A:$A,product!D:D)</f>
        <v>Petits pots légumes +4 mois</v>
      </c>
      <c r="E5503" s="25" t="str">
        <f t="shared" si="1"/>
        <v>70415-Petits pots légumes bébé-Petits pots légumes +4 mois</v>
      </c>
      <c r="F5503" s="25">
        <v>0.0</v>
      </c>
      <c r="G5503" s="25">
        <v>412.0</v>
      </c>
      <c r="H5503" s="25">
        <v>74.0</v>
      </c>
      <c r="I5503" s="26">
        <f t="array" ref="I5503">XLOOKUP($A5503,product!A:A,product!E:E)</f>
        <v>1.46</v>
      </c>
      <c r="J5503" s="25">
        <f t="shared" si="2"/>
        <v>108.04</v>
      </c>
      <c r="K5503" s="27">
        <f t="shared" si="3"/>
        <v>1</v>
      </c>
      <c r="L5503" s="25">
        <f t="shared" si="4"/>
        <v>1</v>
      </c>
    </row>
    <row r="5504">
      <c r="A5504" s="19">
        <v>9644.0</v>
      </c>
      <c r="B5504" s="20" t="str">
        <f t="array" ref="B5504">xlookup($A5504,product!$A:$A,product!B:B)</f>
        <v>Alimentation Bébé</v>
      </c>
      <c r="C5504" s="20" t="str">
        <f t="array" ref="C5504">xlookup($A5504,product!$A:$A,product!C:C)</f>
        <v>Petits pots légumes bébé</v>
      </c>
      <c r="D5504" s="20" t="str">
        <f t="array" ref="D5504">xlookup($A5504,product!$A:$A,product!D:D)</f>
        <v>Petits pots légumes +4 mois</v>
      </c>
      <c r="E5504" s="4" t="str">
        <f t="shared" si="1"/>
        <v>9644-Petits pots légumes bébé-Petits pots légumes +4 mois</v>
      </c>
      <c r="F5504" s="4">
        <v>1.0</v>
      </c>
      <c r="G5504" s="4">
        <v>901.0</v>
      </c>
      <c r="H5504" s="4">
        <v>107.0</v>
      </c>
      <c r="I5504" s="21">
        <f t="array" ref="I5504">XLOOKUP($A5504,product!A:A,product!E:E)</f>
        <v>1.46</v>
      </c>
      <c r="J5504" s="4">
        <f t="shared" si="2"/>
        <v>156.22</v>
      </c>
      <c r="K5504" s="22">
        <f t="shared" si="3"/>
        <v>1</v>
      </c>
      <c r="L5504" s="4">
        <f t="shared" si="4"/>
        <v>1</v>
      </c>
    </row>
    <row r="5505">
      <c r="A5505" s="23">
        <v>4247.0</v>
      </c>
      <c r="B5505" s="24" t="str">
        <f t="array" ref="B5505">xlookup($A5505,product!$A:$A,product!B:B)</f>
        <v>Alimentation Bébé</v>
      </c>
      <c r="C5505" s="24" t="str">
        <f t="array" ref="C5505">xlookup($A5505,product!$A:$A,product!C:C)</f>
        <v>Petits pots légumes bébé</v>
      </c>
      <c r="D5505" s="24" t="str">
        <f t="array" ref="D5505">xlookup($A5505,product!$A:$A,product!D:D)</f>
        <v>Petits pots légumes +4 mois</v>
      </c>
      <c r="E5505" s="25" t="str">
        <f t="shared" si="1"/>
        <v>4247-Petits pots légumes bébé-Petits pots légumes +4 mois</v>
      </c>
      <c r="F5505" s="25">
        <v>1.0</v>
      </c>
      <c r="G5505" s="25">
        <v>513.0</v>
      </c>
      <c r="H5505" s="25">
        <v>494.0</v>
      </c>
      <c r="I5505" s="26">
        <f t="array" ref="I5505">XLOOKUP($A5505,product!A:A,product!E:E)</f>
        <v>1.99</v>
      </c>
      <c r="J5505" s="25">
        <f t="shared" si="2"/>
        <v>983.06</v>
      </c>
      <c r="K5505" s="27">
        <f t="shared" si="3"/>
        <v>1</v>
      </c>
      <c r="L5505" s="25">
        <f t="shared" si="4"/>
        <v>1</v>
      </c>
    </row>
    <row r="5506">
      <c r="A5506" s="19">
        <v>119087.0</v>
      </c>
      <c r="B5506" s="20" t="str">
        <f t="array" ref="B5506">xlookup($A5506,product!$A:$A,product!B:B)</f>
        <v>Alimentation Bébé</v>
      </c>
      <c r="C5506" s="20" t="str">
        <f t="array" ref="C5506">xlookup($A5506,product!$A:$A,product!C:C)</f>
        <v>Petits pots légumes bébé</v>
      </c>
      <c r="D5506" s="20" t="str">
        <f t="array" ref="D5506">xlookup($A5506,product!$A:$A,product!D:D)</f>
        <v>Petits pots légumes +4 mois</v>
      </c>
      <c r="E5506" s="4" t="str">
        <f t="shared" si="1"/>
        <v>119087-Petits pots légumes bébé-Petits pots légumes +4 mois</v>
      </c>
      <c r="F5506" s="4">
        <v>0.0</v>
      </c>
      <c r="G5506" s="4">
        <v>159.0</v>
      </c>
      <c r="H5506" s="4">
        <v>120.0</v>
      </c>
      <c r="I5506" s="21">
        <f t="array" ref="I5506">XLOOKUP($A5506,product!A:A,product!E:E)</f>
        <v>1.54</v>
      </c>
      <c r="J5506" s="4">
        <f t="shared" si="2"/>
        <v>184.8</v>
      </c>
      <c r="K5506" s="22">
        <f t="shared" si="3"/>
        <v>1</v>
      </c>
      <c r="L5506" s="4">
        <f t="shared" si="4"/>
        <v>1</v>
      </c>
    </row>
    <row r="5507">
      <c r="A5507" s="23">
        <v>9635.0</v>
      </c>
      <c r="B5507" s="24" t="str">
        <f t="array" ref="B5507">xlookup($A5507,product!$A:$A,product!B:B)</f>
        <v>Alimentation Bébé</v>
      </c>
      <c r="C5507" s="24" t="str">
        <f t="array" ref="C5507">xlookup($A5507,product!$A:$A,product!C:C)</f>
        <v>Petits pots légumes bébé</v>
      </c>
      <c r="D5507" s="24" t="str">
        <f t="array" ref="D5507">xlookup($A5507,product!$A:$A,product!D:D)</f>
        <v>Petits pots légumes +4 mois</v>
      </c>
      <c r="E5507" s="25" t="str">
        <f t="shared" si="1"/>
        <v>9635-Petits pots légumes bébé-Petits pots légumes +4 mois</v>
      </c>
      <c r="F5507" s="25">
        <v>1.0</v>
      </c>
      <c r="G5507" s="25">
        <v>448.0</v>
      </c>
      <c r="H5507" s="25">
        <v>128.0</v>
      </c>
      <c r="I5507" s="26">
        <f t="array" ref="I5507">XLOOKUP($A5507,product!A:A,product!E:E)</f>
        <v>1.46</v>
      </c>
      <c r="J5507" s="25">
        <f t="shared" si="2"/>
        <v>186.88</v>
      </c>
      <c r="K5507" s="27">
        <f t="shared" si="3"/>
        <v>1</v>
      </c>
      <c r="L5507" s="25">
        <f t="shared" si="4"/>
        <v>1</v>
      </c>
    </row>
    <row r="5508">
      <c r="A5508" s="19">
        <v>108082.0</v>
      </c>
      <c r="B5508" s="20" t="str">
        <f t="array" ref="B5508">xlookup($A5508,product!$A:$A,product!B:B)</f>
        <v>Alimentation Bébé</v>
      </c>
      <c r="C5508" s="20" t="str">
        <f t="array" ref="C5508">xlookup($A5508,product!$A:$A,product!C:C)</f>
        <v>Petits pots légumes bébé</v>
      </c>
      <c r="D5508" s="20" t="str">
        <f t="array" ref="D5508">xlookup($A5508,product!$A:$A,product!D:D)</f>
        <v>Petits pots légumes +4 mois</v>
      </c>
      <c r="E5508" s="4" t="str">
        <f t="shared" si="1"/>
        <v>108082-Petits pots légumes bébé-Petits pots légumes +4 mois</v>
      </c>
      <c r="F5508" s="4">
        <v>1.0</v>
      </c>
      <c r="G5508" s="4">
        <v>936.0</v>
      </c>
      <c r="H5508" s="4">
        <v>474.0</v>
      </c>
      <c r="I5508" s="21">
        <f t="array" ref="I5508">XLOOKUP($A5508,product!A:A,product!E:E)</f>
        <v>1.35</v>
      </c>
      <c r="J5508" s="4">
        <f t="shared" si="2"/>
        <v>639.9</v>
      </c>
      <c r="K5508" s="22">
        <f t="shared" si="3"/>
        <v>1</v>
      </c>
      <c r="L5508" s="4">
        <f t="shared" si="4"/>
        <v>1</v>
      </c>
    </row>
    <row r="5509">
      <c r="A5509" s="23">
        <v>9643.0</v>
      </c>
      <c r="B5509" s="24" t="str">
        <f t="array" ref="B5509">xlookup($A5509,product!$A:$A,product!B:B)</f>
        <v>Alimentation Bébé</v>
      </c>
      <c r="C5509" s="24" t="str">
        <f t="array" ref="C5509">xlookup($A5509,product!$A:$A,product!C:C)</f>
        <v>Petits pots légumes bébé</v>
      </c>
      <c r="D5509" s="24" t="str">
        <f t="array" ref="D5509">xlookup($A5509,product!$A:$A,product!D:D)</f>
        <v>Petits pots légumes +4 mois</v>
      </c>
      <c r="E5509" s="25" t="str">
        <f t="shared" si="1"/>
        <v>9643-Petits pots légumes bébé-Petits pots légumes +4 mois</v>
      </c>
      <c r="F5509" s="25">
        <v>1.0</v>
      </c>
      <c r="G5509" s="25">
        <v>646.0</v>
      </c>
      <c r="H5509" s="25">
        <v>14.0</v>
      </c>
      <c r="I5509" s="26">
        <f t="array" ref="I5509">XLOOKUP($A5509,product!A:A,product!E:E)</f>
        <v>1.46</v>
      </c>
      <c r="J5509" s="25">
        <f t="shared" si="2"/>
        <v>20.44</v>
      </c>
      <c r="K5509" s="27">
        <f t="shared" si="3"/>
        <v>1</v>
      </c>
      <c r="L5509" s="25">
        <f t="shared" si="4"/>
        <v>1</v>
      </c>
    </row>
    <row r="5510">
      <c r="A5510" s="19">
        <v>117601.0</v>
      </c>
      <c r="B5510" s="20" t="str">
        <f t="array" ref="B5510">xlookup($A5510,product!$A:$A,product!B:B)</f>
        <v>Alimentation Bébé</v>
      </c>
      <c r="C5510" s="20" t="str">
        <f t="array" ref="C5510">xlookup($A5510,product!$A:$A,product!C:C)</f>
        <v>Petits pots légumes bébé</v>
      </c>
      <c r="D5510" s="20" t="str">
        <f t="array" ref="D5510">xlookup($A5510,product!$A:$A,product!D:D)</f>
        <v>Petits pots légumes +4 mois</v>
      </c>
      <c r="E5510" s="4" t="str">
        <f t="shared" si="1"/>
        <v>117601-Petits pots légumes bébé-Petits pots légumes +4 mois</v>
      </c>
      <c r="F5510" s="4">
        <v>1.0</v>
      </c>
      <c r="G5510" s="4">
        <v>973.0</v>
      </c>
      <c r="H5510" s="4">
        <v>429.0</v>
      </c>
      <c r="I5510" s="21">
        <f t="array" ref="I5510">XLOOKUP($A5510,product!A:A,product!E:E)</f>
        <v>1.03</v>
      </c>
      <c r="J5510" s="4">
        <f t="shared" si="2"/>
        <v>441.87</v>
      </c>
      <c r="K5510" s="22">
        <f t="shared" si="3"/>
        <v>1</v>
      </c>
      <c r="L5510" s="4">
        <f t="shared" si="4"/>
        <v>1</v>
      </c>
    </row>
    <row r="5511">
      <c r="A5511" s="23">
        <v>108085.0</v>
      </c>
      <c r="B5511" s="24" t="str">
        <f t="array" ref="B5511">xlookup($A5511,product!$A:$A,product!B:B)</f>
        <v>Alimentation Bébé</v>
      </c>
      <c r="C5511" s="24" t="str">
        <f t="array" ref="C5511">xlookup($A5511,product!$A:$A,product!C:C)</f>
        <v>Petits pots légumes bébé</v>
      </c>
      <c r="D5511" s="24" t="str">
        <f t="array" ref="D5511">xlookup($A5511,product!$A:$A,product!D:D)</f>
        <v>Petits pots légumes +4 mois</v>
      </c>
      <c r="E5511" s="25" t="str">
        <f t="shared" si="1"/>
        <v>108085-Petits pots légumes bébé-Petits pots légumes +4 mois</v>
      </c>
      <c r="F5511" s="25">
        <v>0.0</v>
      </c>
      <c r="G5511" s="25">
        <v>564.0</v>
      </c>
      <c r="H5511" s="25">
        <v>392.0</v>
      </c>
      <c r="I5511" s="26">
        <f t="array" ref="I5511">XLOOKUP($A5511,product!A:A,product!E:E)</f>
        <v>1</v>
      </c>
      <c r="J5511" s="25">
        <f t="shared" si="2"/>
        <v>392</v>
      </c>
      <c r="K5511" s="27">
        <f t="shared" si="3"/>
        <v>1</v>
      </c>
      <c r="L5511" s="25">
        <f t="shared" si="4"/>
        <v>1</v>
      </c>
    </row>
    <row r="5512">
      <c r="A5512" s="19">
        <v>133914.0</v>
      </c>
      <c r="B5512" s="20" t="str">
        <f t="array" ref="B5512">xlookup($A5512,product!$A:$A,product!B:B)</f>
        <v>Alimentation Bébé</v>
      </c>
      <c r="C5512" s="20" t="str">
        <f t="array" ref="C5512">xlookup($A5512,product!$A:$A,product!C:C)</f>
        <v>Petits pots légumes bébé</v>
      </c>
      <c r="D5512" s="20" t="str">
        <f t="array" ref="D5512">xlookup($A5512,product!$A:$A,product!D:D)</f>
        <v>Petits pots légumes +4 mois</v>
      </c>
      <c r="E5512" s="4" t="str">
        <f t="shared" si="1"/>
        <v>133914-Petits pots légumes bébé-Petits pots légumes +4 mois</v>
      </c>
      <c r="F5512" s="4">
        <v>1.0</v>
      </c>
      <c r="G5512" s="4">
        <v>543.0</v>
      </c>
      <c r="H5512" s="4">
        <v>398.0</v>
      </c>
      <c r="I5512" s="21">
        <f t="array" ref="I5512">XLOOKUP($A5512,product!A:A,product!E:E)</f>
        <v>2.29</v>
      </c>
      <c r="J5512" s="4">
        <f t="shared" si="2"/>
        <v>911.42</v>
      </c>
      <c r="K5512" s="22">
        <f t="shared" si="3"/>
        <v>1</v>
      </c>
      <c r="L5512" s="4">
        <f t="shared" si="4"/>
        <v>1</v>
      </c>
    </row>
    <row r="5513">
      <c r="A5513" s="23">
        <v>103503.0</v>
      </c>
      <c r="B5513" s="24" t="str">
        <f t="array" ref="B5513">xlookup($A5513,product!$A:$A,product!B:B)</f>
        <v>Maison</v>
      </c>
      <c r="C5513" s="24" t="str">
        <f t="array" ref="C5513">xlookup($A5513,product!$A:$A,product!C:C)</f>
        <v>Kits DIY, à faire soi-même</v>
      </c>
      <c r="D5513" s="24" t="str">
        <f t="array" ref="D5513">xlookup($A5513,product!$A:$A,product!D:D)</f>
        <v>Kits DIY cuisine</v>
      </c>
      <c r="E5513" s="25" t="str">
        <f t="shared" si="1"/>
        <v>103503-Kits DIY, à faire soi-même-Kits DIY cuisine</v>
      </c>
      <c r="F5513" s="25">
        <v>1.0</v>
      </c>
      <c r="G5513" s="25">
        <v>361.0</v>
      </c>
      <c r="H5513" s="25">
        <v>244.0</v>
      </c>
      <c r="I5513" s="26">
        <f t="array" ref="I5513">XLOOKUP($A5513,product!A:A,product!E:E)</f>
        <v>17.13</v>
      </c>
      <c r="J5513" s="25">
        <f t="shared" si="2"/>
        <v>4179.72</v>
      </c>
      <c r="K5513" s="27">
        <f t="shared" si="3"/>
        <v>1</v>
      </c>
      <c r="L5513" s="25">
        <f t="shared" si="4"/>
        <v>1</v>
      </c>
    </row>
    <row r="5514">
      <c r="A5514" s="19">
        <v>128363.0</v>
      </c>
      <c r="B5514" s="20" t="str">
        <f t="array" ref="B5514">xlookup($A5514,product!$A:$A,product!B:B)</f>
        <v>Maison</v>
      </c>
      <c r="C5514" s="20" t="str">
        <f t="array" ref="C5514">xlookup($A5514,product!$A:$A,product!C:C)</f>
        <v>Kits DIY, à faire soi-même</v>
      </c>
      <c r="D5514" s="20" t="str">
        <f t="array" ref="D5514">xlookup($A5514,product!$A:$A,product!D:D)</f>
        <v>Kits DIY cuisine</v>
      </c>
      <c r="E5514" s="4" t="str">
        <f t="shared" si="1"/>
        <v>128363-Kits DIY, à faire soi-même-Kits DIY cuisine</v>
      </c>
      <c r="F5514" s="4">
        <v>0.0</v>
      </c>
      <c r="G5514" s="4">
        <v>742.0</v>
      </c>
      <c r="H5514" s="4">
        <v>227.0</v>
      </c>
      <c r="I5514" s="21">
        <f t="array" ref="I5514">XLOOKUP($A5514,product!A:A,product!E:E)</f>
        <v>7.34</v>
      </c>
      <c r="J5514" s="4">
        <f t="shared" si="2"/>
        <v>1666.18</v>
      </c>
      <c r="K5514" s="22">
        <f t="shared" si="3"/>
        <v>1</v>
      </c>
      <c r="L5514" s="4">
        <f t="shared" si="4"/>
        <v>1</v>
      </c>
    </row>
    <row r="5515">
      <c r="A5515" s="23">
        <v>13863.0</v>
      </c>
      <c r="B5515" s="24" t="str">
        <f t="array" ref="B5515">xlookup($A5515,product!$A:$A,product!B:B)</f>
        <v>Epicerie salée</v>
      </c>
      <c r="C5515" s="24" t="str">
        <f t="array" ref="C5515">xlookup($A5515,product!$A:$A,product!C:C)</f>
        <v>Sel, épices, aide culinaire</v>
      </c>
      <c r="D5515" s="24" t="str">
        <f t="array" ref="D5515">xlookup($A5515,product!$A:$A,product!D:D)</f>
        <v>Sels</v>
      </c>
      <c r="E5515" s="25" t="str">
        <f t="shared" si="1"/>
        <v>13863-Sel, épices, aide culinaire-Sels</v>
      </c>
      <c r="F5515" s="25">
        <v>1.0</v>
      </c>
      <c r="G5515" s="25">
        <v>672.0</v>
      </c>
      <c r="H5515" s="25">
        <v>620.0</v>
      </c>
      <c r="I5515" s="26">
        <f t="array" ref="I5515">XLOOKUP($A5515,product!A:A,product!E:E)</f>
        <v>2.8</v>
      </c>
      <c r="J5515" s="25">
        <f t="shared" si="2"/>
        <v>1736</v>
      </c>
      <c r="K5515" s="27">
        <f t="shared" si="3"/>
        <v>1</v>
      </c>
      <c r="L5515" s="25">
        <f t="shared" si="4"/>
        <v>1</v>
      </c>
    </row>
    <row r="5516">
      <c r="A5516" s="19">
        <v>74454.0</v>
      </c>
      <c r="B5516" s="20" t="str">
        <f t="array" ref="B5516">xlookup($A5516,product!$A:$A,product!B:B)</f>
        <v>Epicerie salée</v>
      </c>
      <c r="C5516" s="20" t="str">
        <f t="array" ref="C5516">xlookup($A5516,product!$A:$A,product!C:C)</f>
        <v>Sel, épices, aide culinaire</v>
      </c>
      <c r="D5516" s="20" t="str">
        <f t="array" ref="D5516">xlookup($A5516,product!$A:$A,product!D:D)</f>
        <v>Sels</v>
      </c>
      <c r="E5516" s="4" t="str">
        <f t="shared" si="1"/>
        <v>74454-Sel, épices, aide culinaire-Sels</v>
      </c>
      <c r="F5516" s="4">
        <v>0.0</v>
      </c>
      <c r="G5516" s="4">
        <v>290.0</v>
      </c>
      <c r="H5516" s="4">
        <v>271.0</v>
      </c>
      <c r="I5516" s="21">
        <f t="array" ref="I5516">XLOOKUP($A5516,product!A:A,product!E:E)</f>
        <v>2.51</v>
      </c>
      <c r="J5516" s="4">
        <f t="shared" si="2"/>
        <v>680.21</v>
      </c>
      <c r="K5516" s="22">
        <f t="shared" si="3"/>
        <v>1</v>
      </c>
      <c r="L5516" s="4">
        <f t="shared" si="4"/>
        <v>1</v>
      </c>
    </row>
    <row r="5517">
      <c r="A5517" s="23">
        <v>12500.0</v>
      </c>
      <c r="B5517" s="24" t="str">
        <f t="array" ref="B5517">xlookup($A5517,product!$A:$A,product!B:B)</f>
        <v>Epicerie salée</v>
      </c>
      <c r="C5517" s="24" t="str">
        <f t="array" ref="C5517">xlookup($A5517,product!$A:$A,product!C:C)</f>
        <v>Sel, épices, aide culinaire</v>
      </c>
      <c r="D5517" s="24" t="str">
        <f t="array" ref="D5517">xlookup($A5517,product!$A:$A,product!D:D)</f>
        <v>Sels</v>
      </c>
      <c r="E5517" s="25" t="str">
        <f t="shared" si="1"/>
        <v>12500-Sel, épices, aide culinaire-Sels</v>
      </c>
      <c r="F5517" s="25">
        <v>0.0</v>
      </c>
      <c r="G5517" s="25">
        <v>311.0</v>
      </c>
      <c r="H5517" s="25">
        <v>168.0</v>
      </c>
      <c r="I5517" s="26">
        <f t="array" ref="I5517">XLOOKUP($A5517,product!A:A,product!E:E)</f>
        <v>1.77</v>
      </c>
      <c r="J5517" s="25">
        <f t="shared" si="2"/>
        <v>297.36</v>
      </c>
      <c r="K5517" s="27">
        <f t="shared" si="3"/>
        <v>1</v>
      </c>
      <c r="L5517" s="25">
        <f t="shared" si="4"/>
        <v>1</v>
      </c>
    </row>
    <row r="5518">
      <c r="A5518" s="19">
        <v>116555.0</v>
      </c>
      <c r="B5518" s="20" t="str">
        <f t="array" ref="B5518">xlookup($A5518,product!$A:$A,product!B:B)</f>
        <v>Epicerie salée</v>
      </c>
      <c r="C5518" s="20" t="str">
        <f t="array" ref="C5518">xlookup($A5518,product!$A:$A,product!C:C)</f>
        <v>Sel, épices, aide culinaire</v>
      </c>
      <c r="D5518" s="20" t="str">
        <f t="array" ref="D5518">xlookup($A5518,product!$A:$A,product!D:D)</f>
        <v>Sels</v>
      </c>
      <c r="E5518" s="4" t="str">
        <f t="shared" si="1"/>
        <v>116555-Sel, épices, aide culinaire-Sels</v>
      </c>
      <c r="F5518" s="4">
        <v>1.0</v>
      </c>
      <c r="G5518" s="4">
        <v>322.0</v>
      </c>
      <c r="H5518" s="4">
        <v>251.0</v>
      </c>
      <c r="I5518" s="21">
        <f t="array" ref="I5518">XLOOKUP($A5518,product!A:A,product!E:E)</f>
        <v>3.41</v>
      </c>
      <c r="J5518" s="4">
        <f t="shared" si="2"/>
        <v>855.91</v>
      </c>
      <c r="K5518" s="22">
        <f t="shared" si="3"/>
        <v>1</v>
      </c>
      <c r="L5518" s="4">
        <f t="shared" si="4"/>
        <v>1</v>
      </c>
    </row>
    <row r="5519">
      <c r="A5519" s="23">
        <v>77622.0</v>
      </c>
      <c r="B5519" s="24" t="str">
        <f t="array" ref="B5519">xlookup($A5519,product!$A:$A,product!B:B)</f>
        <v>Epicerie salée</v>
      </c>
      <c r="C5519" s="24" t="str">
        <f t="array" ref="C5519">xlookup($A5519,product!$A:$A,product!C:C)</f>
        <v>Sel, épices, aide culinaire</v>
      </c>
      <c r="D5519" s="24" t="str">
        <f t="array" ref="D5519">xlookup($A5519,product!$A:$A,product!D:D)</f>
        <v>Sels</v>
      </c>
      <c r="E5519" s="25" t="str">
        <f t="shared" si="1"/>
        <v>77622-Sel, épices, aide culinaire-Sels</v>
      </c>
      <c r="F5519" s="25">
        <v>0.0</v>
      </c>
      <c r="G5519" s="25">
        <v>354.0</v>
      </c>
      <c r="H5519" s="25">
        <v>200.0</v>
      </c>
      <c r="I5519" s="26">
        <f t="array" ref="I5519">XLOOKUP($A5519,product!A:A,product!E:E)</f>
        <v>2.14</v>
      </c>
      <c r="J5519" s="25">
        <f t="shared" si="2"/>
        <v>428</v>
      </c>
      <c r="K5519" s="27">
        <f t="shared" si="3"/>
        <v>1</v>
      </c>
      <c r="L5519" s="25">
        <f t="shared" si="4"/>
        <v>1</v>
      </c>
    </row>
    <row r="5520">
      <c r="A5520" s="19">
        <v>68294.0</v>
      </c>
      <c r="B5520" s="20" t="str">
        <f t="array" ref="B5520">xlookup($A5520,product!$A:$A,product!B:B)</f>
        <v>Epicerie salée</v>
      </c>
      <c r="C5520" s="20" t="str">
        <f t="array" ref="C5520">xlookup($A5520,product!$A:$A,product!C:C)</f>
        <v>Sel, épices, aide culinaire</v>
      </c>
      <c r="D5520" s="20" t="str">
        <f t="array" ref="D5520">xlookup($A5520,product!$A:$A,product!D:D)</f>
        <v>Sels</v>
      </c>
      <c r="E5520" s="4" t="str">
        <f t="shared" si="1"/>
        <v>68294-Sel, épices, aide culinaire-Sels</v>
      </c>
      <c r="F5520" s="4">
        <v>0.0</v>
      </c>
      <c r="G5520" s="4">
        <v>598.0</v>
      </c>
      <c r="H5520" s="4">
        <v>164.0</v>
      </c>
      <c r="I5520" s="21">
        <f t="array" ref="I5520">XLOOKUP($A5520,product!A:A,product!E:E)</f>
        <v>1.03</v>
      </c>
      <c r="J5520" s="4">
        <f t="shared" si="2"/>
        <v>168.92</v>
      </c>
      <c r="K5520" s="22">
        <f t="shared" si="3"/>
        <v>1</v>
      </c>
      <c r="L5520" s="4">
        <f t="shared" si="4"/>
        <v>1</v>
      </c>
    </row>
    <row r="5521">
      <c r="A5521" s="23">
        <v>12497.0</v>
      </c>
      <c r="B5521" s="24" t="str">
        <f t="array" ref="B5521">xlookup($A5521,product!$A:$A,product!B:B)</f>
        <v>Epicerie salée</v>
      </c>
      <c r="C5521" s="24" t="str">
        <f t="array" ref="C5521">xlookup($A5521,product!$A:$A,product!C:C)</f>
        <v>Sel, épices, aide culinaire</v>
      </c>
      <c r="D5521" s="24" t="str">
        <f t="array" ref="D5521">xlookup($A5521,product!$A:$A,product!D:D)</f>
        <v>Sels</v>
      </c>
      <c r="E5521" s="25" t="str">
        <f t="shared" si="1"/>
        <v>12497-Sel, épices, aide culinaire-Sels</v>
      </c>
      <c r="F5521" s="25">
        <v>0.0</v>
      </c>
      <c r="G5521" s="25">
        <v>422.0</v>
      </c>
      <c r="H5521" s="25">
        <v>241.0</v>
      </c>
      <c r="I5521" s="26">
        <f t="array" ref="I5521">XLOOKUP($A5521,product!A:A,product!E:E)</f>
        <v>1.83</v>
      </c>
      <c r="J5521" s="25">
        <f t="shared" si="2"/>
        <v>441.03</v>
      </c>
      <c r="K5521" s="27">
        <f t="shared" si="3"/>
        <v>1</v>
      </c>
      <c r="L5521" s="25">
        <f t="shared" si="4"/>
        <v>1</v>
      </c>
    </row>
    <row r="5522">
      <c r="A5522" s="19">
        <v>74453.0</v>
      </c>
      <c r="B5522" s="20" t="str">
        <f t="array" ref="B5522">xlookup($A5522,product!$A:$A,product!B:B)</f>
        <v>Epicerie salée</v>
      </c>
      <c r="C5522" s="20" t="str">
        <f t="array" ref="C5522">xlookup($A5522,product!$A:$A,product!C:C)</f>
        <v>Sel, épices, aide culinaire</v>
      </c>
      <c r="D5522" s="20" t="str">
        <f t="array" ref="D5522">xlookup($A5522,product!$A:$A,product!D:D)</f>
        <v>Sels</v>
      </c>
      <c r="E5522" s="4" t="str">
        <f t="shared" si="1"/>
        <v>74453-Sel, épices, aide culinaire-Sels</v>
      </c>
      <c r="F5522" s="4">
        <v>0.0</v>
      </c>
      <c r="G5522" s="4">
        <v>677.0</v>
      </c>
      <c r="H5522" s="4">
        <v>31.0</v>
      </c>
      <c r="I5522" s="21">
        <f t="array" ref="I5522">XLOOKUP($A5522,product!A:A,product!E:E)</f>
        <v>3.83</v>
      </c>
      <c r="J5522" s="4">
        <f t="shared" si="2"/>
        <v>118.73</v>
      </c>
      <c r="K5522" s="22">
        <f t="shared" si="3"/>
        <v>1</v>
      </c>
      <c r="L5522" s="4">
        <f t="shared" si="4"/>
        <v>1</v>
      </c>
    </row>
    <row r="5523">
      <c r="A5523" s="23">
        <v>112246.0</v>
      </c>
      <c r="B5523" s="24" t="str">
        <f t="array" ref="B5523">xlookup($A5523,product!$A:$A,product!B:B)</f>
        <v>Epicerie salée</v>
      </c>
      <c r="C5523" s="24" t="str">
        <f t="array" ref="C5523">xlookup($A5523,product!$A:$A,product!C:C)</f>
        <v>Sel, épices, aide culinaire</v>
      </c>
      <c r="D5523" s="24" t="str">
        <f t="array" ref="D5523">xlookup($A5523,product!$A:$A,product!D:D)</f>
        <v>Sels</v>
      </c>
      <c r="E5523" s="25" t="str">
        <f t="shared" si="1"/>
        <v>112246-Sel, épices, aide culinaire-Sels</v>
      </c>
      <c r="F5523" s="25">
        <v>1.0</v>
      </c>
      <c r="G5523" s="25">
        <v>710.0</v>
      </c>
      <c r="H5523" s="25">
        <v>475.0</v>
      </c>
      <c r="I5523" s="26">
        <f t="array" ref="I5523">XLOOKUP($A5523,product!A:A,product!E:E)</f>
        <v>0.86</v>
      </c>
      <c r="J5523" s="25">
        <f t="shared" si="2"/>
        <v>408.5</v>
      </c>
      <c r="K5523" s="27">
        <f t="shared" si="3"/>
        <v>1</v>
      </c>
      <c r="L5523" s="25">
        <f t="shared" si="4"/>
        <v>1</v>
      </c>
    </row>
    <row r="5524">
      <c r="A5524" s="19">
        <v>110776.0</v>
      </c>
      <c r="B5524" s="20" t="str">
        <f t="array" ref="B5524">xlookup($A5524,product!$A:$A,product!B:B)</f>
        <v>Epicerie salée</v>
      </c>
      <c r="C5524" s="20" t="str">
        <f t="array" ref="C5524">xlookup($A5524,product!$A:$A,product!C:C)</f>
        <v>Sel, épices, aide culinaire</v>
      </c>
      <c r="D5524" s="20" t="str">
        <f t="array" ref="D5524">xlookup($A5524,product!$A:$A,product!D:D)</f>
        <v>Sels</v>
      </c>
      <c r="E5524" s="4" t="str">
        <f t="shared" si="1"/>
        <v>110776-Sel, épices, aide culinaire-Sels</v>
      </c>
      <c r="F5524" s="4">
        <v>0.0</v>
      </c>
      <c r="G5524" s="4">
        <v>228.0</v>
      </c>
      <c r="H5524" s="4">
        <v>205.0</v>
      </c>
      <c r="I5524" s="21">
        <f t="array" ref="I5524">XLOOKUP($A5524,product!A:A,product!E:E)</f>
        <v>1.72</v>
      </c>
      <c r="J5524" s="4">
        <f t="shared" si="2"/>
        <v>352.6</v>
      </c>
      <c r="K5524" s="22">
        <f t="shared" si="3"/>
        <v>1</v>
      </c>
      <c r="L5524" s="4">
        <f t="shared" si="4"/>
        <v>1</v>
      </c>
    </row>
    <row r="5525">
      <c r="A5525" s="23">
        <v>92846.0</v>
      </c>
      <c r="B5525" s="24" t="str">
        <f t="array" ref="B5525">xlookup($A5525,product!$A:$A,product!B:B)</f>
        <v>Epicerie salée</v>
      </c>
      <c r="C5525" s="24" t="str">
        <f t="array" ref="C5525">xlookup($A5525,product!$A:$A,product!C:C)</f>
        <v>Sel, épices, aide culinaire</v>
      </c>
      <c r="D5525" s="24" t="str">
        <f t="array" ref="D5525">xlookup($A5525,product!$A:$A,product!D:D)</f>
        <v>Sels</v>
      </c>
      <c r="E5525" s="25" t="str">
        <f t="shared" si="1"/>
        <v>92846-Sel, épices, aide culinaire-Sels</v>
      </c>
      <c r="F5525" s="25">
        <v>1.0</v>
      </c>
      <c r="G5525" s="25">
        <v>833.0</v>
      </c>
      <c r="H5525" s="25">
        <v>817.0</v>
      </c>
      <c r="I5525" s="26">
        <f t="array" ref="I5525">XLOOKUP($A5525,product!A:A,product!E:E)</f>
        <v>2.7</v>
      </c>
      <c r="J5525" s="25">
        <f t="shared" si="2"/>
        <v>2205.9</v>
      </c>
      <c r="K5525" s="27">
        <f t="shared" si="3"/>
        <v>1</v>
      </c>
      <c r="L5525" s="25">
        <f t="shared" si="4"/>
        <v>1</v>
      </c>
    </row>
    <row r="5526">
      <c r="A5526" s="19">
        <v>119257.0</v>
      </c>
      <c r="B5526" s="20" t="str">
        <f t="array" ref="B5526">xlookup($A5526,product!$A:$A,product!B:B)</f>
        <v>Epicerie salée</v>
      </c>
      <c r="C5526" s="20" t="str">
        <f t="array" ref="C5526">xlookup($A5526,product!$A:$A,product!C:C)</f>
        <v>Sel, épices, aide culinaire</v>
      </c>
      <c r="D5526" s="20" t="str">
        <f t="array" ref="D5526">xlookup($A5526,product!$A:$A,product!D:D)</f>
        <v>Sels</v>
      </c>
      <c r="E5526" s="4" t="str">
        <f t="shared" si="1"/>
        <v>119257-Sel, épices, aide culinaire-Sels</v>
      </c>
      <c r="F5526" s="4">
        <v>1.0</v>
      </c>
      <c r="G5526" s="4">
        <v>742.0</v>
      </c>
      <c r="H5526" s="4">
        <v>227.0</v>
      </c>
      <c r="I5526" s="21">
        <f t="array" ref="I5526">XLOOKUP($A5526,product!A:A,product!E:E)</f>
        <v>0.96</v>
      </c>
      <c r="J5526" s="4">
        <f t="shared" si="2"/>
        <v>217.92</v>
      </c>
      <c r="K5526" s="22">
        <f t="shared" si="3"/>
        <v>1</v>
      </c>
      <c r="L5526" s="4">
        <f t="shared" si="4"/>
        <v>1</v>
      </c>
    </row>
    <row r="5527">
      <c r="A5527" s="23">
        <v>68313.0</v>
      </c>
      <c r="B5527" s="24" t="str">
        <f t="array" ref="B5527">xlookup($A5527,product!$A:$A,product!B:B)</f>
        <v>Epicerie salée</v>
      </c>
      <c r="C5527" s="24" t="str">
        <f t="array" ref="C5527">xlookup($A5527,product!$A:$A,product!C:C)</f>
        <v>Sel, épices, aide culinaire</v>
      </c>
      <c r="D5527" s="24" t="str">
        <f t="array" ref="D5527">xlookup($A5527,product!$A:$A,product!D:D)</f>
        <v>Sels</v>
      </c>
      <c r="E5527" s="25" t="str">
        <f t="shared" si="1"/>
        <v>68313-Sel, épices, aide culinaire-Sels</v>
      </c>
      <c r="F5527" s="25">
        <v>1.0</v>
      </c>
      <c r="G5527" s="25">
        <v>149.0</v>
      </c>
      <c r="H5527" s="25">
        <v>127.0</v>
      </c>
      <c r="I5527" s="26">
        <f t="array" ref="I5527">XLOOKUP($A5527,product!A:A,product!E:E)</f>
        <v>2.46</v>
      </c>
      <c r="J5527" s="25">
        <f t="shared" si="2"/>
        <v>312.42</v>
      </c>
      <c r="K5527" s="27">
        <f t="shared" si="3"/>
        <v>1</v>
      </c>
      <c r="L5527" s="25">
        <f t="shared" si="4"/>
        <v>1</v>
      </c>
    </row>
    <row r="5528">
      <c r="A5528" s="19">
        <v>12503.0</v>
      </c>
      <c r="B5528" s="20" t="str">
        <f t="array" ref="B5528">xlookup($A5528,product!$A:$A,product!B:B)</f>
        <v>Epicerie salée</v>
      </c>
      <c r="C5528" s="20" t="str">
        <f t="array" ref="C5528">xlookup($A5528,product!$A:$A,product!C:C)</f>
        <v>Sel, épices, aide culinaire</v>
      </c>
      <c r="D5528" s="20" t="str">
        <f t="array" ref="D5528">xlookup($A5528,product!$A:$A,product!D:D)</f>
        <v>Sels</v>
      </c>
      <c r="E5528" s="4" t="str">
        <f t="shared" si="1"/>
        <v>12503-Sel, épices, aide culinaire-Sels</v>
      </c>
      <c r="F5528" s="4">
        <v>0.0</v>
      </c>
      <c r="G5528" s="4">
        <v>760.0</v>
      </c>
      <c r="H5528" s="4">
        <v>491.0</v>
      </c>
      <c r="I5528" s="21">
        <f t="array" ref="I5528">XLOOKUP($A5528,product!A:A,product!E:E)</f>
        <v>2.28</v>
      </c>
      <c r="J5528" s="4">
        <f t="shared" si="2"/>
        <v>1119.48</v>
      </c>
      <c r="K5528" s="22">
        <f t="shared" si="3"/>
        <v>1</v>
      </c>
      <c r="L5528" s="4">
        <f t="shared" si="4"/>
        <v>1</v>
      </c>
    </row>
    <row r="5529">
      <c r="A5529" s="23">
        <v>77624.0</v>
      </c>
      <c r="B5529" s="24" t="str">
        <f t="array" ref="B5529">xlookup($A5529,product!$A:$A,product!B:B)</f>
        <v>Epicerie salée</v>
      </c>
      <c r="C5529" s="24" t="str">
        <f t="array" ref="C5529">xlookup($A5529,product!$A:$A,product!C:C)</f>
        <v>Sel, épices, aide culinaire</v>
      </c>
      <c r="D5529" s="24" t="str">
        <f t="array" ref="D5529">xlookup($A5529,product!$A:$A,product!D:D)</f>
        <v>Sels</v>
      </c>
      <c r="E5529" s="25" t="str">
        <f t="shared" si="1"/>
        <v>77624-Sel, épices, aide culinaire-Sels</v>
      </c>
      <c r="F5529" s="25">
        <v>0.0</v>
      </c>
      <c r="G5529" s="25">
        <v>893.0</v>
      </c>
      <c r="H5529" s="25">
        <v>158.0</v>
      </c>
      <c r="I5529" s="26">
        <f t="array" ref="I5529">XLOOKUP($A5529,product!A:A,product!E:E)</f>
        <v>1.67</v>
      </c>
      <c r="J5529" s="25">
        <f t="shared" si="2"/>
        <v>263.86</v>
      </c>
      <c r="K5529" s="27">
        <f t="shared" si="3"/>
        <v>1</v>
      </c>
      <c r="L5529" s="25">
        <f t="shared" si="4"/>
        <v>1</v>
      </c>
    </row>
    <row r="5530">
      <c r="A5530" s="19">
        <v>77432.0</v>
      </c>
      <c r="B5530" s="20" t="str">
        <f t="array" ref="B5530">xlookup($A5530,product!$A:$A,product!B:B)</f>
        <v>Epicerie salée</v>
      </c>
      <c r="C5530" s="20" t="str">
        <f t="array" ref="C5530">xlookup($A5530,product!$A:$A,product!C:C)</f>
        <v>Sel, épices, aide culinaire</v>
      </c>
      <c r="D5530" s="20" t="str">
        <f t="array" ref="D5530">xlookup($A5530,product!$A:$A,product!D:D)</f>
        <v>Epices</v>
      </c>
      <c r="E5530" s="4" t="str">
        <f t="shared" si="1"/>
        <v>77432-Sel, épices, aide culinaire-Epices</v>
      </c>
      <c r="F5530" s="4">
        <v>1.0</v>
      </c>
      <c r="G5530" s="4">
        <v>481.0</v>
      </c>
      <c r="H5530" s="4">
        <v>429.0</v>
      </c>
      <c r="I5530" s="21">
        <f t="array" ref="I5530">XLOOKUP($A5530,product!A:A,product!E:E)</f>
        <v>1.41</v>
      </c>
      <c r="J5530" s="4">
        <f t="shared" si="2"/>
        <v>604.89</v>
      </c>
      <c r="K5530" s="22">
        <f t="shared" si="3"/>
        <v>1</v>
      </c>
      <c r="L5530" s="4">
        <f t="shared" si="4"/>
        <v>1</v>
      </c>
    </row>
    <row r="5531">
      <c r="A5531" s="23">
        <v>77429.0</v>
      </c>
      <c r="B5531" s="24" t="str">
        <f t="array" ref="B5531">xlookup($A5531,product!$A:$A,product!B:B)</f>
        <v>Epicerie salée</v>
      </c>
      <c r="C5531" s="24" t="str">
        <f t="array" ref="C5531">xlookup($A5531,product!$A:$A,product!C:C)</f>
        <v>Sel, épices, aide culinaire</v>
      </c>
      <c r="D5531" s="24" t="str">
        <f t="array" ref="D5531">xlookup($A5531,product!$A:$A,product!D:D)</f>
        <v>Epices</v>
      </c>
      <c r="E5531" s="25" t="str">
        <f t="shared" si="1"/>
        <v>77429-Sel, épices, aide culinaire-Epices</v>
      </c>
      <c r="F5531" s="25">
        <v>1.0</v>
      </c>
      <c r="G5531" s="25">
        <v>922.0</v>
      </c>
      <c r="H5531" s="25">
        <v>474.0</v>
      </c>
      <c r="I5531" s="26">
        <f t="array" ref="I5531">XLOOKUP($A5531,product!A:A,product!E:E)</f>
        <v>1.76</v>
      </c>
      <c r="J5531" s="25">
        <f t="shared" si="2"/>
        <v>834.24</v>
      </c>
      <c r="K5531" s="27">
        <f t="shared" si="3"/>
        <v>1</v>
      </c>
      <c r="L5531" s="25">
        <f t="shared" si="4"/>
        <v>1</v>
      </c>
    </row>
    <row r="5532">
      <c r="A5532" s="19">
        <v>93995.0</v>
      </c>
      <c r="B5532" s="20" t="str">
        <f t="array" ref="B5532">xlookup($A5532,product!$A:$A,product!B:B)</f>
        <v>Epicerie salée</v>
      </c>
      <c r="C5532" s="20" t="str">
        <f t="array" ref="C5532">xlookup($A5532,product!$A:$A,product!C:C)</f>
        <v>Sel, épices, aide culinaire</v>
      </c>
      <c r="D5532" s="20" t="str">
        <f t="array" ref="D5532">xlookup($A5532,product!$A:$A,product!D:D)</f>
        <v>Epices</v>
      </c>
      <c r="E5532" s="4" t="str">
        <f t="shared" si="1"/>
        <v>93995-Sel, épices, aide culinaire-Epices</v>
      </c>
      <c r="F5532" s="4">
        <v>1.0</v>
      </c>
      <c r="G5532" s="4">
        <v>542.0</v>
      </c>
      <c r="H5532" s="4">
        <v>283.0</v>
      </c>
      <c r="I5532" s="21">
        <f t="array" ref="I5532">XLOOKUP($A5532,product!A:A,product!E:E)</f>
        <v>2.17</v>
      </c>
      <c r="J5532" s="4">
        <f t="shared" si="2"/>
        <v>614.11</v>
      </c>
      <c r="K5532" s="22">
        <f t="shared" si="3"/>
        <v>1</v>
      </c>
      <c r="L5532" s="4">
        <f t="shared" si="4"/>
        <v>1</v>
      </c>
    </row>
    <row r="5533">
      <c r="A5533" s="23">
        <v>103185.0</v>
      </c>
      <c r="B5533" s="24" t="str">
        <f t="array" ref="B5533">xlookup($A5533,product!$A:$A,product!B:B)</f>
        <v>Epicerie salée</v>
      </c>
      <c r="C5533" s="24" t="str">
        <f t="array" ref="C5533">xlookup($A5533,product!$A:$A,product!C:C)</f>
        <v>Sel, épices, aide culinaire</v>
      </c>
      <c r="D5533" s="24" t="str">
        <f t="array" ref="D5533">xlookup($A5533,product!$A:$A,product!D:D)</f>
        <v>Epices</v>
      </c>
      <c r="E5533" s="25" t="str">
        <f t="shared" si="1"/>
        <v>103185-Sel, épices, aide culinaire-Epices</v>
      </c>
      <c r="F5533" s="25">
        <v>0.0</v>
      </c>
      <c r="G5533" s="25">
        <v>254.0</v>
      </c>
      <c r="H5533" s="25">
        <v>28.0</v>
      </c>
      <c r="I5533" s="26">
        <f t="array" ref="I5533">XLOOKUP($A5533,product!A:A,product!E:E)</f>
        <v>2.48</v>
      </c>
      <c r="J5533" s="25">
        <f t="shared" si="2"/>
        <v>69.44</v>
      </c>
      <c r="K5533" s="27">
        <f t="shared" si="3"/>
        <v>1</v>
      </c>
      <c r="L5533" s="25">
        <f t="shared" si="4"/>
        <v>1</v>
      </c>
    </row>
    <row r="5534">
      <c r="A5534" s="19">
        <v>13868.0</v>
      </c>
      <c r="B5534" s="20" t="str">
        <f t="array" ref="B5534">xlookup($A5534,product!$A:$A,product!B:B)</f>
        <v>Epicerie salée</v>
      </c>
      <c r="C5534" s="20" t="str">
        <f t="array" ref="C5534">xlookup($A5534,product!$A:$A,product!C:C)</f>
        <v>Sel, épices, aide culinaire</v>
      </c>
      <c r="D5534" s="20" t="str">
        <f t="array" ref="D5534">xlookup($A5534,product!$A:$A,product!D:D)</f>
        <v>Epices</v>
      </c>
      <c r="E5534" s="4" t="str">
        <f t="shared" si="1"/>
        <v>13868-Sel, épices, aide culinaire-Epices</v>
      </c>
      <c r="F5534" s="4">
        <v>0.0</v>
      </c>
      <c r="G5534" s="4">
        <v>560.0</v>
      </c>
      <c r="H5534" s="4">
        <v>120.0</v>
      </c>
      <c r="I5534" s="21">
        <f t="array" ref="I5534">XLOOKUP($A5534,product!A:A,product!E:E)</f>
        <v>4.39</v>
      </c>
      <c r="J5534" s="4">
        <f t="shared" si="2"/>
        <v>526.8</v>
      </c>
      <c r="K5534" s="22">
        <f t="shared" si="3"/>
        <v>1</v>
      </c>
      <c r="L5534" s="4">
        <f t="shared" si="4"/>
        <v>1</v>
      </c>
    </row>
    <row r="5535">
      <c r="A5535" s="23">
        <v>9504.0</v>
      </c>
      <c r="B5535" s="24" t="str">
        <f t="array" ref="B5535">xlookup($A5535,product!$A:$A,product!B:B)</f>
        <v>Epicerie salée</v>
      </c>
      <c r="C5535" s="24" t="str">
        <f t="array" ref="C5535">xlookup($A5535,product!$A:$A,product!C:C)</f>
        <v>Sel, épices, aide culinaire</v>
      </c>
      <c r="D5535" s="24" t="str">
        <f t="array" ref="D5535">xlookup($A5535,product!$A:$A,product!D:D)</f>
        <v>Epices</v>
      </c>
      <c r="E5535" s="25" t="str">
        <f t="shared" si="1"/>
        <v>9504-Sel, épices, aide culinaire-Epices</v>
      </c>
      <c r="F5535" s="25">
        <v>1.0</v>
      </c>
      <c r="G5535" s="25">
        <v>358.0</v>
      </c>
      <c r="H5535" s="25">
        <v>44.0</v>
      </c>
      <c r="I5535" s="26">
        <f t="array" ref="I5535">XLOOKUP($A5535,product!A:A,product!E:E)</f>
        <v>1.75</v>
      </c>
      <c r="J5535" s="25">
        <f t="shared" si="2"/>
        <v>77</v>
      </c>
      <c r="K5535" s="27">
        <f t="shared" si="3"/>
        <v>1</v>
      </c>
      <c r="L5535" s="25">
        <f t="shared" si="4"/>
        <v>1</v>
      </c>
    </row>
    <row r="5536">
      <c r="A5536" s="19">
        <v>77446.0</v>
      </c>
      <c r="B5536" s="20" t="str">
        <f t="array" ref="B5536">xlookup($A5536,product!$A:$A,product!B:B)</f>
        <v>Epicerie salée</v>
      </c>
      <c r="C5536" s="20" t="str">
        <f t="array" ref="C5536">xlookup($A5536,product!$A:$A,product!C:C)</f>
        <v>Sel, épices, aide culinaire</v>
      </c>
      <c r="D5536" s="20" t="str">
        <f t="array" ref="D5536">xlookup($A5536,product!$A:$A,product!D:D)</f>
        <v>Epices</v>
      </c>
      <c r="E5536" s="4" t="str">
        <f t="shared" si="1"/>
        <v>77446-Sel, épices, aide culinaire-Epices</v>
      </c>
      <c r="F5536" s="4">
        <v>0.0</v>
      </c>
      <c r="G5536" s="4">
        <v>923.0</v>
      </c>
      <c r="H5536" s="4">
        <v>251.0</v>
      </c>
      <c r="I5536" s="21">
        <f t="array" ref="I5536">XLOOKUP($A5536,product!A:A,product!E:E)</f>
        <v>2.08</v>
      </c>
      <c r="J5536" s="4">
        <f t="shared" si="2"/>
        <v>522.08</v>
      </c>
      <c r="K5536" s="22">
        <f t="shared" si="3"/>
        <v>1</v>
      </c>
      <c r="L5536" s="4">
        <f t="shared" si="4"/>
        <v>1</v>
      </c>
    </row>
    <row r="5537">
      <c r="A5537" s="23">
        <v>77498.0</v>
      </c>
      <c r="B5537" s="24" t="str">
        <f t="array" ref="B5537">xlookup($A5537,product!$A:$A,product!B:B)</f>
        <v>Epicerie salée</v>
      </c>
      <c r="C5537" s="24" t="str">
        <f t="array" ref="C5537">xlookup($A5537,product!$A:$A,product!C:C)</f>
        <v>Sel, épices, aide culinaire</v>
      </c>
      <c r="D5537" s="24" t="str">
        <f t="array" ref="D5537">xlookup($A5537,product!$A:$A,product!D:D)</f>
        <v>Epices</v>
      </c>
      <c r="E5537" s="25" t="str">
        <f t="shared" si="1"/>
        <v>77498-Sel, épices, aide culinaire-Epices</v>
      </c>
      <c r="F5537" s="25">
        <v>0.0</v>
      </c>
      <c r="G5537" s="25">
        <v>862.0</v>
      </c>
      <c r="H5537" s="25">
        <v>424.0</v>
      </c>
      <c r="I5537" s="26">
        <f t="array" ref="I5537">XLOOKUP($A5537,product!A:A,product!E:E)</f>
        <v>1.65</v>
      </c>
      <c r="J5537" s="25">
        <f t="shared" si="2"/>
        <v>699.6</v>
      </c>
      <c r="K5537" s="27">
        <f t="shared" si="3"/>
        <v>1</v>
      </c>
      <c r="L5537" s="25">
        <f t="shared" si="4"/>
        <v>1</v>
      </c>
    </row>
    <row r="5538">
      <c r="A5538" s="19">
        <v>77488.0</v>
      </c>
      <c r="B5538" s="20" t="str">
        <f t="array" ref="B5538">xlookup($A5538,product!$A:$A,product!B:B)</f>
        <v>Epicerie salée</v>
      </c>
      <c r="C5538" s="20" t="str">
        <f t="array" ref="C5538">xlookup($A5538,product!$A:$A,product!C:C)</f>
        <v>Sel, épices, aide culinaire</v>
      </c>
      <c r="D5538" s="20" t="str">
        <f t="array" ref="D5538">xlookup($A5538,product!$A:$A,product!D:D)</f>
        <v>Epices</v>
      </c>
      <c r="E5538" s="4" t="str">
        <f t="shared" si="1"/>
        <v>77488-Sel, épices, aide culinaire-Epices</v>
      </c>
      <c r="F5538" s="4">
        <v>1.0</v>
      </c>
      <c r="G5538" s="4">
        <v>417.0</v>
      </c>
      <c r="H5538" s="4">
        <v>285.0</v>
      </c>
      <c r="I5538" s="21">
        <f t="array" ref="I5538">XLOOKUP($A5538,product!A:A,product!E:E)</f>
        <v>2.46</v>
      </c>
      <c r="J5538" s="4">
        <f t="shared" si="2"/>
        <v>701.1</v>
      </c>
      <c r="K5538" s="22">
        <f t="shared" si="3"/>
        <v>1</v>
      </c>
      <c r="L5538" s="4">
        <f t="shared" si="4"/>
        <v>1</v>
      </c>
    </row>
    <row r="5539">
      <c r="A5539" s="23">
        <v>82203.0</v>
      </c>
      <c r="B5539" s="24" t="str">
        <f t="array" ref="B5539">xlookup($A5539,product!$A:$A,product!B:B)</f>
        <v>Epicerie salée</v>
      </c>
      <c r="C5539" s="24" t="str">
        <f t="array" ref="C5539">xlookup($A5539,product!$A:$A,product!C:C)</f>
        <v>Sel, épices, aide culinaire</v>
      </c>
      <c r="D5539" s="24" t="str">
        <f t="array" ref="D5539">xlookup($A5539,product!$A:$A,product!D:D)</f>
        <v>Epices</v>
      </c>
      <c r="E5539" s="25" t="str">
        <f t="shared" si="1"/>
        <v>82203-Sel, épices, aide culinaire-Epices</v>
      </c>
      <c r="F5539" s="25">
        <v>0.0</v>
      </c>
      <c r="G5539" s="25">
        <v>870.0</v>
      </c>
      <c r="H5539" s="25">
        <v>90.0</v>
      </c>
      <c r="I5539" s="26">
        <f t="array" ref="I5539">XLOOKUP($A5539,product!A:A,product!E:E)</f>
        <v>7.27</v>
      </c>
      <c r="J5539" s="25">
        <f t="shared" si="2"/>
        <v>654.3</v>
      </c>
      <c r="K5539" s="27">
        <f t="shared" si="3"/>
        <v>1</v>
      </c>
      <c r="L5539" s="25">
        <f t="shared" si="4"/>
        <v>1</v>
      </c>
    </row>
    <row r="5540">
      <c r="A5540" s="19">
        <v>82754.0</v>
      </c>
      <c r="B5540" s="20" t="str">
        <f t="array" ref="B5540">xlookup($A5540,product!$A:$A,product!B:B)</f>
        <v>Epicerie salée</v>
      </c>
      <c r="C5540" s="20" t="str">
        <f t="array" ref="C5540">xlookup($A5540,product!$A:$A,product!C:C)</f>
        <v>Sel, épices, aide culinaire</v>
      </c>
      <c r="D5540" s="20" t="str">
        <f t="array" ref="D5540">xlookup($A5540,product!$A:$A,product!D:D)</f>
        <v>Epices</v>
      </c>
      <c r="E5540" s="4" t="str">
        <f t="shared" si="1"/>
        <v>82754-Sel, épices, aide culinaire-Epices</v>
      </c>
      <c r="F5540" s="4">
        <v>1.0</v>
      </c>
      <c r="G5540" s="4">
        <v>769.0</v>
      </c>
      <c r="H5540" s="4">
        <v>530.0</v>
      </c>
      <c r="I5540" s="21">
        <f t="array" ref="I5540">XLOOKUP($A5540,product!A:A,product!E:E)</f>
        <v>5.91</v>
      </c>
      <c r="J5540" s="4">
        <f t="shared" si="2"/>
        <v>3132.3</v>
      </c>
      <c r="K5540" s="22">
        <f t="shared" si="3"/>
        <v>1</v>
      </c>
      <c r="L5540" s="4">
        <f t="shared" si="4"/>
        <v>1</v>
      </c>
    </row>
    <row r="5541">
      <c r="A5541" s="23">
        <v>110837.0</v>
      </c>
      <c r="B5541" s="24" t="str">
        <f t="array" ref="B5541">xlookup($A5541,product!$A:$A,product!B:B)</f>
        <v>Epicerie salée</v>
      </c>
      <c r="C5541" s="24" t="str">
        <f t="array" ref="C5541">xlookup($A5541,product!$A:$A,product!C:C)</f>
        <v>Sel, épices, aide culinaire</v>
      </c>
      <c r="D5541" s="24" t="str">
        <f t="array" ref="D5541">xlookup($A5541,product!$A:$A,product!D:D)</f>
        <v>Epices</v>
      </c>
      <c r="E5541" s="25" t="str">
        <f t="shared" si="1"/>
        <v>110837-Sel, épices, aide culinaire-Epices</v>
      </c>
      <c r="F5541" s="25">
        <v>0.0</v>
      </c>
      <c r="G5541" s="25">
        <v>913.0</v>
      </c>
      <c r="H5541" s="25">
        <v>859.0</v>
      </c>
      <c r="I5541" s="26">
        <f t="array" ref="I5541">XLOOKUP($A5541,product!A:A,product!E:E)</f>
        <v>2.53</v>
      </c>
      <c r="J5541" s="25">
        <f t="shared" si="2"/>
        <v>2173.27</v>
      </c>
      <c r="K5541" s="27">
        <f t="shared" si="3"/>
        <v>1</v>
      </c>
      <c r="L5541" s="25">
        <f t="shared" si="4"/>
        <v>1</v>
      </c>
    </row>
    <row r="5542">
      <c r="A5542" s="19">
        <v>9591.0</v>
      </c>
      <c r="B5542" s="20" t="str">
        <f t="array" ref="B5542">xlookup($A5542,product!$A:$A,product!B:B)</f>
        <v>Epicerie salée</v>
      </c>
      <c r="C5542" s="20" t="str">
        <f t="array" ref="C5542">xlookup($A5542,product!$A:$A,product!C:C)</f>
        <v>Sel, épices, aide culinaire</v>
      </c>
      <c r="D5542" s="20" t="str">
        <f t="array" ref="D5542">xlookup($A5542,product!$A:$A,product!D:D)</f>
        <v>Epices</v>
      </c>
      <c r="E5542" s="4" t="str">
        <f t="shared" si="1"/>
        <v>9591-Sel, épices, aide culinaire-Epices</v>
      </c>
      <c r="F5542" s="4">
        <v>0.0</v>
      </c>
      <c r="G5542" s="4">
        <v>639.0</v>
      </c>
      <c r="H5542" s="4">
        <v>506.0</v>
      </c>
      <c r="I5542" s="21">
        <f t="array" ref="I5542">XLOOKUP($A5542,product!A:A,product!E:E)</f>
        <v>1.49</v>
      </c>
      <c r="J5542" s="4">
        <f t="shared" si="2"/>
        <v>753.94</v>
      </c>
      <c r="K5542" s="22">
        <f t="shared" si="3"/>
        <v>1</v>
      </c>
      <c r="L5542" s="4">
        <f t="shared" si="4"/>
        <v>1</v>
      </c>
    </row>
    <row r="5543">
      <c r="A5543" s="23">
        <v>94040.0</v>
      </c>
      <c r="B5543" s="24" t="str">
        <f t="array" ref="B5543">xlookup($A5543,product!$A:$A,product!B:B)</f>
        <v>Epicerie salée</v>
      </c>
      <c r="C5543" s="24" t="str">
        <f t="array" ref="C5543">xlookup($A5543,product!$A:$A,product!C:C)</f>
        <v>Sel, épices, aide culinaire</v>
      </c>
      <c r="D5543" s="24" t="str">
        <f t="array" ref="D5543">xlookup($A5543,product!$A:$A,product!D:D)</f>
        <v>Epices</v>
      </c>
      <c r="E5543" s="25" t="str">
        <f t="shared" si="1"/>
        <v>94040-Sel, épices, aide culinaire-Epices</v>
      </c>
      <c r="F5543" s="25">
        <v>0.0</v>
      </c>
      <c r="G5543" s="25">
        <v>350.0</v>
      </c>
      <c r="H5543" s="25">
        <v>309.0</v>
      </c>
      <c r="I5543" s="26">
        <f t="array" ref="I5543">XLOOKUP($A5543,product!A:A,product!E:E)</f>
        <v>3.21</v>
      </c>
      <c r="J5543" s="25">
        <f t="shared" si="2"/>
        <v>991.89</v>
      </c>
      <c r="K5543" s="27">
        <f t="shared" si="3"/>
        <v>1</v>
      </c>
      <c r="L5543" s="25">
        <f t="shared" si="4"/>
        <v>1</v>
      </c>
    </row>
    <row r="5544">
      <c r="A5544" s="19">
        <v>9513.0</v>
      </c>
      <c r="B5544" s="20" t="str">
        <f t="array" ref="B5544">xlookup($A5544,product!$A:$A,product!B:B)</f>
        <v>Epicerie salée</v>
      </c>
      <c r="C5544" s="20" t="str">
        <f t="array" ref="C5544">xlookup($A5544,product!$A:$A,product!C:C)</f>
        <v>Sel, épices, aide culinaire</v>
      </c>
      <c r="D5544" s="20" t="str">
        <f t="array" ref="D5544">xlookup($A5544,product!$A:$A,product!D:D)</f>
        <v>Epices</v>
      </c>
      <c r="E5544" s="4" t="str">
        <f t="shared" si="1"/>
        <v>9513-Sel, épices, aide culinaire-Epices</v>
      </c>
      <c r="F5544" s="4">
        <v>0.0</v>
      </c>
      <c r="G5544" s="4">
        <v>782.0</v>
      </c>
      <c r="H5544" s="4">
        <v>426.0</v>
      </c>
      <c r="I5544" s="21">
        <f t="array" ref="I5544">XLOOKUP($A5544,product!A:A,product!E:E)</f>
        <v>1.76</v>
      </c>
      <c r="J5544" s="4">
        <f t="shared" si="2"/>
        <v>749.76</v>
      </c>
      <c r="K5544" s="22">
        <f t="shared" si="3"/>
        <v>1</v>
      </c>
      <c r="L5544" s="4">
        <f t="shared" si="4"/>
        <v>1</v>
      </c>
    </row>
    <row r="5545">
      <c r="A5545" s="23">
        <v>121543.0</v>
      </c>
      <c r="B5545" s="24" t="str">
        <f t="array" ref="B5545">xlookup($A5545,product!$A:$A,product!B:B)</f>
        <v>Epicerie salée</v>
      </c>
      <c r="C5545" s="24" t="str">
        <f t="array" ref="C5545">xlookup($A5545,product!$A:$A,product!C:C)</f>
        <v>Sel, épices, aide culinaire</v>
      </c>
      <c r="D5545" s="24" t="str">
        <f t="array" ref="D5545">xlookup($A5545,product!$A:$A,product!D:D)</f>
        <v>Epices</v>
      </c>
      <c r="E5545" s="25" t="str">
        <f t="shared" si="1"/>
        <v>121543-Sel, épices, aide culinaire-Epices</v>
      </c>
      <c r="F5545" s="25">
        <v>0.0</v>
      </c>
      <c r="G5545" s="25">
        <v>725.0</v>
      </c>
      <c r="H5545" s="25">
        <v>372.0</v>
      </c>
      <c r="I5545" s="26">
        <f t="array" ref="I5545">XLOOKUP($A5545,product!A:A,product!E:E)</f>
        <v>1.02</v>
      </c>
      <c r="J5545" s="25">
        <f t="shared" si="2"/>
        <v>379.44</v>
      </c>
      <c r="K5545" s="27">
        <f t="shared" si="3"/>
        <v>1</v>
      </c>
      <c r="L5545" s="25">
        <f t="shared" si="4"/>
        <v>1</v>
      </c>
    </row>
    <row r="5546">
      <c r="A5546" s="19">
        <v>164638.0</v>
      </c>
      <c r="B5546" s="20" t="str">
        <f t="array" ref="B5546">xlookup($A5546,product!$A:$A,product!B:B)</f>
        <v>Epicerie salée</v>
      </c>
      <c r="C5546" s="20" t="str">
        <f t="array" ref="C5546">xlookup($A5546,product!$A:$A,product!C:C)</f>
        <v>Sel, épices, aide culinaire</v>
      </c>
      <c r="D5546" s="20" t="str">
        <f t="array" ref="D5546">xlookup($A5546,product!$A:$A,product!D:D)</f>
        <v>Epices</v>
      </c>
      <c r="E5546" s="4" t="str">
        <f t="shared" si="1"/>
        <v>164638-Sel, épices, aide culinaire-Epices</v>
      </c>
      <c r="F5546" s="4">
        <v>0.0</v>
      </c>
      <c r="G5546" s="4">
        <v>726.0</v>
      </c>
      <c r="H5546" s="4">
        <v>485.0</v>
      </c>
      <c r="I5546" s="21">
        <f t="array" ref="I5546">XLOOKUP($A5546,product!A:A,product!E:E)</f>
        <v>1.74</v>
      </c>
      <c r="J5546" s="4">
        <f t="shared" si="2"/>
        <v>843.9</v>
      </c>
      <c r="K5546" s="22">
        <f t="shared" si="3"/>
        <v>1</v>
      </c>
      <c r="L5546" s="4">
        <f t="shared" si="4"/>
        <v>1</v>
      </c>
    </row>
    <row r="5547">
      <c r="A5547" s="23">
        <v>9554.0</v>
      </c>
      <c r="B5547" s="24" t="str">
        <f t="array" ref="B5547">xlookup($A5547,product!$A:$A,product!B:B)</f>
        <v>Epicerie salée</v>
      </c>
      <c r="C5547" s="24" t="str">
        <f t="array" ref="C5547">xlookup($A5547,product!$A:$A,product!C:C)</f>
        <v>Sel, épices, aide culinaire</v>
      </c>
      <c r="D5547" s="24" t="str">
        <f t="array" ref="D5547">xlookup($A5547,product!$A:$A,product!D:D)</f>
        <v>Epices</v>
      </c>
      <c r="E5547" s="25" t="str">
        <f t="shared" si="1"/>
        <v>9554-Sel, épices, aide culinaire-Epices</v>
      </c>
      <c r="F5547" s="25">
        <v>1.0</v>
      </c>
      <c r="G5547" s="25">
        <v>174.0</v>
      </c>
      <c r="H5547" s="25">
        <v>93.0</v>
      </c>
      <c r="I5547" s="26">
        <f t="array" ref="I5547">XLOOKUP($A5547,product!A:A,product!E:E)</f>
        <v>3.07</v>
      </c>
      <c r="J5547" s="25">
        <f t="shared" si="2"/>
        <v>285.51</v>
      </c>
      <c r="K5547" s="27">
        <f t="shared" si="3"/>
        <v>1</v>
      </c>
      <c r="L5547" s="25">
        <f t="shared" si="4"/>
        <v>1</v>
      </c>
    </row>
    <row r="5548">
      <c r="A5548" s="19">
        <v>117798.0</v>
      </c>
      <c r="B5548" s="20" t="str">
        <f t="array" ref="B5548">xlookup($A5548,product!$A:$A,product!B:B)</f>
        <v>Epicerie salée</v>
      </c>
      <c r="C5548" s="20" t="str">
        <f t="array" ref="C5548">xlookup($A5548,product!$A:$A,product!C:C)</f>
        <v>Sel, épices, aide culinaire</v>
      </c>
      <c r="D5548" s="20" t="str">
        <f t="array" ref="D5548">xlookup($A5548,product!$A:$A,product!D:D)</f>
        <v>Epices</v>
      </c>
      <c r="E5548" s="4" t="str">
        <f t="shared" si="1"/>
        <v>117798-Sel, épices, aide culinaire-Epices</v>
      </c>
      <c r="F5548" s="4">
        <v>1.0</v>
      </c>
      <c r="G5548" s="4">
        <v>486.0</v>
      </c>
      <c r="H5548" s="4">
        <v>446.0</v>
      </c>
      <c r="I5548" s="21">
        <f t="array" ref="I5548">XLOOKUP($A5548,product!A:A,product!E:E)</f>
        <v>1.89</v>
      </c>
      <c r="J5548" s="4">
        <f t="shared" si="2"/>
        <v>842.94</v>
      </c>
      <c r="K5548" s="22">
        <f t="shared" si="3"/>
        <v>1</v>
      </c>
      <c r="L5548" s="4">
        <f t="shared" si="4"/>
        <v>1</v>
      </c>
    </row>
    <row r="5549">
      <c r="A5549" s="23">
        <v>77480.0</v>
      </c>
      <c r="B5549" s="24" t="str">
        <f t="array" ref="B5549">xlookup($A5549,product!$A:$A,product!B:B)</f>
        <v>Epicerie salée</v>
      </c>
      <c r="C5549" s="24" t="str">
        <f t="array" ref="C5549">xlookup($A5549,product!$A:$A,product!C:C)</f>
        <v>Sel, épices, aide culinaire</v>
      </c>
      <c r="D5549" s="24" t="str">
        <f t="array" ref="D5549">xlookup($A5549,product!$A:$A,product!D:D)</f>
        <v>Epices</v>
      </c>
      <c r="E5549" s="25" t="str">
        <f t="shared" si="1"/>
        <v>77480-Sel, épices, aide culinaire-Epices</v>
      </c>
      <c r="F5549" s="25">
        <v>1.0</v>
      </c>
      <c r="G5549" s="25">
        <v>205.0</v>
      </c>
      <c r="H5549" s="25">
        <v>190.0</v>
      </c>
      <c r="I5549" s="26">
        <f t="array" ref="I5549">XLOOKUP($A5549,product!A:A,product!E:E)</f>
        <v>1.7</v>
      </c>
      <c r="J5549" s="25">
        <f t="shared" si="2"/>
        <v>323</v>
      </c>
      <c r="K5549" s="27">
        <f t="shared" si="3"/>
        <v>1</v>
      </c>
      <c r="L5549" s="25">
        <f t="shared" si="4"/>
        <v>1</v>
      </c>
    </row>
    <row r="5550">
      <c r="A5550" s="19">
        <v>9547.0</v>
      </c>
      <c r="B5550" s="20" t="str">
        <f t="array" ref="B5550">xlookup($A5550,product!$A:$A,product!B:B)</f>
        <v>Epicerie salée</v>
      </c>
      <c r="C5550" s="20" t="str">
        <f t="array" ref="C5550">xlookup($A5550,product!$A:$A,product!C:C)</f>
        <v>Sel, épices, aide culinaire</v>
      </c>
      <c r="D5550" s="20" t="str">
        <f t="array" ref="D5550">xlookup($A5550,product!$A:$A,product!D:D)</f>
        <v>Epices</v>
      </c>
      <c r="E5550" s="4" t="str">
        <f t="shared" si="1"/>
        <v>9547-Sel, épices, aide culinaire-Epices</v>
      </c>
      <c r="F5550" s="4">
        <v>0.0</v>
      </c>
      <c r="G5550" s="4">
        <v>499.0</v>
      </c>
      <c r="H5550" s="4">
        <v>112.0</v>
      </c>
      <c r="I5550" s="21">
        <f t="array" ref="I5550">XLOOKUP($A5550,product!A:A,product!E:E)</f>
        <v>2.15</v>
      </c>
      <c r="J5550" s="4">
        <f t="shared" si="2"/>
        <v>240.8</v>
      </c>
      <c r="K5550" s="22">
        <f t="shared" si="3"/>
        <v>1</v>
      </c>
      <c r="L5550" s="4">
        <f t="shared" si="4"/>
        <v>1</v>
      </c>
    </row>
    <row r="5551">
      <c r="A5551" s="23">
        <v>9551.0</v>
      </c>
      <c r="B5551" s="24" t="str">
        <f t="array" ref="B5551">xlookup($A5551,product!$A:$A,product!B:B)</f>
        <v>Epicerie salée</v>
      </c>
      <c r="C5551" s="24" t="str">
        <f t="array" ref="C5551">xlookup($A5551,product!$A:$A,product!C:C)</f>
        <v>Sel, épices, aide culinaire</v>
      </c>
      <c r="D5551" s="24" t="str">
        <f t="array" ref="D5551">xlookup($A5551,product!$A:$A,product!D:D)</f>
        <v>Epices</v>
      </c>
      <c r="E5551" s="25" t="str">
        <f t="shared" si="1"/>
        <v>9551-Sel, épices, aide culinaire-Epices</v>
      </c>
      <c r="F5551" s="25">
        <v>1.0</v>
      </c>
      <c r="G5551" s="25">
        <v>343.0</v>
      </c>
      <c r="H5551" s="25">
        <v>242.0</v>
      </c>
      <c r="I5551" s="26">
        <f t="array" ref="I5551">XLOOKUP($A5551,product!A:A,product!E:E)</f>
        <v>1.71</v>
      </c>
      <c r="J5551" s="25">
        <f t="shared" si="2"/>
        <v>413.82</v>
      </c>
      <c r="K5551" s="27">
        <f t="shared" si="3"/>
        <v>1</v>
      </c>
      <c r="L5551" s="25">
        <f t="shared" si="4"/>
        <v>1</v>
      </c>
    </row>
    <row r="5552">
      <c r="A5552" s="19">
        <v>9514.0</v>
      </c>
      <c r="B5552" s="20" t="str">
        <f t="array" ref="B5552">xlookup($A5552,product!$A:$A,product!B:B)</f>
        <v>Epicerie salée</v>
      </c>
      <c r="C5552" s="20" t="str">
        <f t="array" ref="C5552">xlookup($A5552,product!$A:$A,product!C:C)</f>
        <v>Sel, épices, aide culinaire</v>
      </c>
      <c r="D5552" s="20" t="str">
        <f t="array" ref="D5552">xlookup($A5552,product!$A:$A,product!D:D)</f>
        <v>Epices</v>
      </c>
      <c r="E5552" s="4" t="str">
        <f t="shared" si="1"/>
        <v>9514-Sel, épices, aide culinaire-Epices</v>
      </c>
      <c r="F5552" s="4">
        <v>0.0</v>
      </c>
      <c r="G5552" s="4">
        <v>864.0</v>
      </c>
      <c r="H5552" s="4">
        <v>799.0</v>
      </c>
      <c r="I5552" s="21">
        <f t="array" ref="I5552">XLOOKUP($A5552,product!A:A,product!E:E)</f>
        <v>3.25</v>
      </c>
      <c r="J5552" s="4">
        <f t="shared" si="2"/>
        <v>2596.75</v>
      </c>
      <c r="K5552" s="22">
        <f t="shared" si="3"/>
        <v>1</v>
      </c>
      <c r="L5552" s="4">
        <f t="shared" si="4"/>
        <v>1</v>
      </c>
    </row>
    <row r="5553">
      <c r="A5553" s="23">
        <v>147310.0</v>
      </c>
      <c r="B5553" s="24" t="str">
        <f t="array" ref="B5553">xlookup($A5553,product!$A:$A,product!B:B)</f>
        <v>Epicerie salée</v>
      </c>
      <c r="C5553" s="24" t="str">
        <f t="array" ref="C5553">xlookup($A5553,product!$A:$A,product!C:C)</f>
        <v>Sel, épices, aide culinaire</v>
      </c>
      <c r="D5553" s="24" t="str">
        <f t="array" ref="D5553">xlookup($A5553,product!$A:$A,product!D:D)</f>
        <v>Epices</v>
      </c>
      <c r="E5553" s="25" t="str">
        <f t="shared" si="1"/>
        <v>147310-Sel, épices, aide culinaire-Epices</v>
      </c>
      <c r="F5553" s="25">
        <v>1.0</v>
      </c>
      <c r="G5553" s="25">
        <v>214.0</v>
      </c>
      <c r="H5553" s="25">
        <v>101.0</v>
      </c>
      <c r="I5553" s="26">
        <f t="array" ref="I5553">XLOOKUP($A5553,product!A:A,product!E:E)</f>
        <v>10.5</v>
      </c>
      <c r="J5553" s="25">
        <f t="shared" si="2"/>
        <v>1060.5</v>
      </c>
      <c r="K5553" s="27">
        <f t="shared" si="3"/>
        <v>1</v>
      </c>
      <c r="L5553" s="25">
        <f t="shared" si="4"/>
        <v>1</v>
      </c>
    </row>
    <row r="5554">
      <c r="A5554" s="19">
        <v>13865.0</v>
      </c>
      <c r="B5554" s="20" t="str">
        <f t="array" ref="B5554">xlookup($A5554,product!$A:$A,product!B:B)</f>
        <v>Epicerie salée</v>
      </c>
      <c r="C5554" s="20" t="str">
        <f t="array" ref="C5554">xlookup($A5554,product!$A:$A,product!C:C)</f>
        <v>Sel, épices, aide culinaire</v>
      </c>
      <c r="D5554" s="20" t="str">
        <f t="array" ref="D5554">xlookup($A5554,product!$A:$A,product!D:D)</f>
        <v>Epices</v>
      </c>
      <c r="E5554" s="4" t="str">
        <f t="shared" si="1"/>
        <v>13865-Sel, épices, aide culinaire-Epices</v>
      </c>
      <c r="F5554" s="4">
        <v>1.0</v>
      </c>
      <c r="G5554" s="4">
        <v>865.0</v>
      </c>
      <c r="H5554" s="4">
        <v>741.0</v>
      </c>
      <c r="I5554" s="21">
        <f t="array" ref="I5554">XLOOKUP($A5554,product!A:A,product!E:E)</f>
        <v>4.4</v>
      </c>
      <c r="J5554" s="4">
        <f t="shared" si="2"/>
        <v>3260.4</v>
      </c>
      <c r="K5554" s="22">
        <f t="shared" si="3"/>
        <v>1</v>
      </c>
      <c r="L5554" s="4">
        <f t="shared" si="4"/>
        <v>1</v>
      </c>
    </row>
    <row r="5555">
      <c r="A5555" s="23">
        <v>9521.0</v>
      </c>
      <c r="B5555" s="24" t="str">
        <f t="array" ref="B5555">xlookup($A5555,product!$A:$A,product!B:B)</f>
        <v>Epicerie salée</v>
      </c>
      <c r="C5555" s="24" t="str">
        <f t="array" ref="C5555">xlookup($A5555,product!$A:$A,product!C:C)</f>
        <v>Sel, épices, aide culinaire</v>
      </c>
      <c r="D5555" s="24" t="str">
        <f t="array" ref="D5555">xlookup($A5555,product!$A:$A,product!D:D)</f>
        <v>Epices</v>
      </c>
      <c r="E5555" s="25" t="str">
        <f t="shared" si="1"/>
        <v>9521-Sel, épices, aide culinaire-Epices</v>
      </c>
      <c r="F5555" s="25">
        <v>1.0</v>
      </c>
      <c r="G5555" s="25">
        <v>193.0</v>
      </c>
      <c r="H5555" s="25">
        <v>147.0</v>
      </c>
      <c r="I5555" s="26">
        <f t="array" ref="I5555">XLOOKUP($A5555,product!A:A,product!E:E)</f>
        <v>3.25</v>
      </c>
      <c r="J5555" s="25">
        <f t="shared" si="2"/>
        <v>477.75</v>
      </c>
      <c r="K5555" s="27">
        <f t="shared" si="3"/>
        <v>1</v>
      </c>
      <c r="L5555" s="25">
        <f t="shared" si="4"/>
        <v>1</v>
      </c>
    </row>
    <row r="5556">
      <c r="A5556" s="19">
        <v>9522.0</v>
      </c>
      <c r="B5556" s="20" t="str">
        <f t="array" ref="B5556">xlookup($A5556,product!$A:$A,product!B:B)</f>
        <v>Epicerie salée</v>
      </c>
      <c r="C5556" s="20" t="str">
        <f t="array" ref="C5556">xlookup($A5556,product!$A:$A,product!C:C)</f>
        <v>Sel, épices, aide culinaire</v>
      </c>
      <c r="D5556" s="20" t="str">
        <f t="array" ref="D5556">xlookup($A5556,product!$A:$A,product!D:D)</f>
        <v>Epices</v>
      </c>
      <c r="E5556" s="4" t="str">
        <f t="shared" si="1"/>
        <v>9522-Sel, épices, aide culinaire-Epices</v>
      </c>
      <c r="F5556" s="4">
        <v>1.0</v>
      </c>
      <c r="G5556" s="4">
        <v>46.0</v>
      </c>
      <c r="H5556" s="4">
        <v>25.0</v>
      </c>
      <c r="I5556" s="21">
        <f t="array" ref="I5556">XLOOKUP($A5556,product!A:A,product!E:E)</f>
        <v>2.92</v>
      </c>
      <c r="J5556" s="4">
        <f t="shared" si="2"/>
        <v>73</v>
      </c>
      <c r="K5556" s="22">
        <f t="shared" si="3"/>
        <v>1</v>
      </c>
      <c r="L5556" s="4">
        <f t="shared" si="4"/>
        <v>1</v>
      </c>
    </row>
    <row r="5557">
      <c r="A5557" s="23">
        <v>94048.0</v>
      </c>
      <c r="B5557" s="24" t="str">
        <f t="array" ref="B5557">xlookup($A5557,product!$A:$A,product!B:B)</f>
        <v>Epicerie salée</v>
      </c>
      <c r="C5557" s="24" t="str">
        <f t="array" ref="C5557">xlookup($A5557,product!$A:$A,product!C:C)</f>
        <v>Sel, épices, aide culinaire</v>
      </c>
      <c r="D5557" s="24" t="str">
        <f t="array" ref="D5557">xlookup($A5557,product!$A:$A,product!D:D)</f>
        <v>Epices</v>
      </c>
      <c r="E5557" s="25" t="str">
        <f t="shared" si="1"/>
        <v>94048-Sel, épices, aide culinaire-Epices</v>
      </c>
      <c r="F5557" s="25">
        <v>1.0</v>
      </c>
      <c r="G5557" s="25">
        <v>249.0</v>
      </c>
      <c r="H5557" s="25">
        <v>231.0</v>
      </c>
      <c r="I5557" s="26">
        <f t="array" ref="I5557">XLOOKUP($A5557,product!A:A,product!E:E)</f>
        <v>2.34</v>
      </c>
      <c r="J5557" s="25">
        <f t="shared" si="2"/>
        <v>540.54</v>
      </c>
      <c r="K5557" s="27">
        <f t="shared" si="3"/>
        <v>1</v>
      </c>
      <c r="L5557" s="25">
        <f t="shared" si="4"/>
        <v>1</v>
      </c>
    </row>
    <row r="5558">
      <c r="A5558" s="19">
        <v>121549.0</v>
      </c>
      <c r="B5558" s="20" t="str">
        <f t="array" ref="B5558">xlookup($A5558,product!$A:$A,product!B:B)</f>
        <v>Epicerie salée</v>
      </c>
      <c r="C5558" s="20" t="str">
        <f t="array" ref="C5558">xlookup($A5558,product!$A:$A,product!C:C)</f>
        <v>Sel, épices, aide culinaire</v>
      </c>
      <c r="D5558" s="20" t="str">
        <f t="array" ref="D5558">xlookup($A5558,product!$A:$A,product!D:D)</f>
        <v>Epices</v>
      </c>
      <c r="E5558" s="4" t="str">
        <f t="shared" si="1"/>
        <v>121549-Sel, épices, aide culinaire-Epices</v>
      </c>
      <c r="F5558" s="4">
        <v>0.0</v>
      </c>
      <c r="G5558" s="4">
        <v>441.0</v>
      </c>
      <c r="H5558" s="4">
        <v>177.0</v>
      </c>
      <c r="I5558" s="21">
        <f t="array" ref="I5558">XLOOKUP($A5558,product!A:A,product!E:E)</f>
        <v>1.73</v>
      </c>
      <c r="J5558" s="4">
        <f t="shared" si="2"/>
        <v>306.21</v>
      </c>
      <c r="K5558" s="22">
        <f t="shared" si="3"/>
        <v>1</v>
      </c>
      <c r="L5558" s="4">
        <f t="shared" si="4"/>
        <v>1</v>
      </c>
    </row>
    <row r="5559">
      <c r="A5559" s="23">
        <v>9593.0</v>
      </c>
      <c r="B5559" s="24" t="str">
        <f t="array" ref="B5559">xlookup($A5559,product!$A:$A,product!B:B)</f>
        <v>Epicerie salée</v>
      </c>
      <c r="C5559" s="24" t="str">
        <f t="array" ref="C5559">xlookup($A5559,product!$A:$A,product!C:C)</f>
        <v>Sel, épices, aide culinaire</v>
      </c>
      <c r="D5559" s="24" t="str">
        <f t="array" ref="D5559">xlookup($A5559,product!$A:$A,product!D:D)</f>
        <v>Epices</v>
      </c>
      <c r="E5559" s="25" t="str">
        <f t="shared" si="1"/>
        <v>9593-Sel, épices, aide culinaire-Epices</v>
      </c>
      <c r="F5559" s="25">
        <v>0.0</v>
      </c>
      <c r="G5559" s="25">
        <v>346.0</v>
      </c>
      <c r="H5559" s="25">
        <v>236.0</v>
      </c>
      <c r="I5559" s="26">
        <f t="array" ref="I5559">XLOOKUP($A5559,product!A:A,product!E:E)</f>
        <v>2.16</v>
      </c>
      <c r="J5559" s="25">
        <f t="shared" si="2"/>
        <v>509.76</v>
      </c>
      <c r="K5559" s="27">
        <f t="shared" si="3"/>
        <v>1</v>
      </c>
      <c r="L5559" s="25">
        <f t="shared" si="4"/>
        <v>1</v>
      </c>
    </row>
    <row r="5560">
      <c r="A5560" s="19">
        <v>119247.0</v>
      </c>
      <c r="B5560" s="20" t="str">
        <f t="array" ref="B5560">xlookup($A5560,product!$A:$A,product!B:B)</f>
        <v>Epicerie salée</v>
      </c>
      <c r="C5560" s="20" t="str">
        <f t="array" ref="C5560">xlookup($A5560,product!$A:$A,product!C:C)</f>
        <v>Sel, épices, aide culinaire</v>
      </c>
      <c r="D5560" s="20" t="str">
        <f t="array" ref="D5560">xlookup($A5560,product!$A:$A,product!D:D)</f>
        <v>Epices</v>
      </c>
      <c r="E5560" s="4" t="str">
        <f t="shared" si="1"/>
        <v>119247-Sel, épices, aide culinaire-Epices</v>
      </c>
      <c r="F5560" s="4">
        <v>0.0</v>
      </c>
      <c r="G5560" s="4">
        <v>854.0</v>
      </c>
      <c r="H5560" s="4">
        <v>194.0</v>
      </c>
      <c r="I5560" s="21">
        <f t="array" ref="I5560">XLOOKUP($A5560,product!A:A,product!E:E)</f>
        <v>1.92</v>
      </c>
      <c r="J5560" s="4">
        <f t="shared" si="2"/>
        <v>372.48</v>
      </c>
      <c r="K5560" s="22">
        <f t="shared" si="3"/>
        <v>1</v>
      </c>
      <c r="L5560" s="4">
        <f t="shared" si="4"/>
        <v>1</v>
      </c>
    </row>
    <row r="5561">
      <c r="A5561" s="23">
        <v>9516.0</v>
      </c>
      <c r="B5561" s="24" t="str">
        <f t="array" ref="B5561">xlookup($A5561,product!$A:$A,product!B:B)</f>
        <v>Epicerie salée</v>
      </c>
      <c r="C5561" s="24" t="str">
        <f t="array" ref="C5561">xlookup($A5561,product!$A:$A,product!C:C)</f>
        <v>Sel, épices, aide culinaire</v>
      </c>
      <c r="D5561" s="24" t="str">
        <f t="array" ref="D5561">xlookup($A5561,product!$A:$A,product!D:D)</f>
        <v>Epices</v>
      </c>
      <c r="E5561" s="25" t="str">
        <f t="shared" si="1"/>
        <v>9516-Sel, épices, aide culinaire-Epices</v>
      </c>
      <c r="F5561" s="25">
        <v>1.0</v>
      </c>
      <c r="G5561" s="25">
        <v>676.0</v>
      </c>
      <c r="H5561" s="25">
        <v>395.0</v>
      </c>
      <c r="I5561" s="26">
        <f t="array" ref="I5561">XLOOKUP($A5561,product!A:A,product!E:E)</f>
        <v>1.81</v>
      </c>
      <c r="J5561" s="25">
        <f t="shared" si="2"/>
        <v>714.95</v>
      </c>
      <c r="K5561" s="27">
        <f t="shared" si="3"/>
        <v>1</v>
      </c>
      <c r="L5561" s="25">
        <f t="shared" si="4"/>
        <v>1</v>
      </c>
    </row>
    <row r="5562">
      <c r="A5562" s="19">
        <v>193265.0</v>
      </c>
      <c r="B5562" s="20" t="str">
        <f t="array" ref="B5562">xlookup($A5562,product!$A:$A,product!B:B)</f>
        <v>Epicerie salée</v>
      </c>
      <c r="C5562" s="20" t="str">
        <f t="array" ref="C5562">xlookup($A5562,product!$A:$A,product!C:C)</f>
        <v>Sel, épices, aide culinaire</v>
      </c>
      <c r="D5562" s="20" t="str">
        <f t="array" ref="D5562">xlookup($A5562,product!$A:$A,product!D:D)</f>
        <v>Epices</v>
      </c>
      <c r="E5562" s="4" t="str">
        <f t="shared" si="1"/>
        <v>193265-Sel, épices, aide culinaire-Epices</v>
      </c>
      <c r="F5562" s="4">
        <v>1.0</v>
      </c>
      <c r="G5562" s="4">
        <v>762.0</v>
      </c>
      <c r="H5562" s="4">
        <v>534.0</v>
      </c>
      <c r="I5562" s="21">
        <f t="array" ref="I5562">XLOOKUP($A5562,product!A:A,product!E:E)</f>
        <v>1.97</v>
      </c>
      <c r="J5562" s="4">
        <f t="shared" si="2"/>
        <v>1051.98</v>
      </c>
      <c r="K5562" s="22">
        <f t="shared" si="3"/>
        <v>1</v>
      </c>
      <c r="L5562" s="4">
        <f t="shared" si="4"/>
        <v>1</v>
      </c>
    </row>
    <row r="5563">
      <c r="A5563" s="23">
        <v>13869.0</v>
      </c>
      <c r="B5563" s="24" t="str">
        <f t="array" ref="B5563">xlookup($A5563,product!$A:$A,product!B:B)</f>
        <v>Epicerie salée</v>
      </c>
      <c r="C5563" s="24" t="str">
        <f t="array" ref="C5563">xlookup($A5563,product!$A:$A,product!C:C)</f>
        <v>Sel, épices, aide culinaire</v>
      </c>
      <c r="D5563" s="24" t="str">
        <f t="array" ref="D5563">xlookup($A5563,product!$A:$A,product!D:D)</f>
        <v>Epices</v>
      </c>
      <c r="E5563" s="25" t="str">
        <f t="shared" si="1"/>
        <v>13869-Sel, épices, aide culinaire-Epices</v>
      </c>
      <c r="F5563" s="25">
        <v>1.0</v>
      </c>
      <c r="G5563" s="25">
        <v>296.0</v>
      </c>
      <c r="H5563" s="25">
        <v>215.0</v>
      </c>
      <c r="I5563" s="26">
        <f t="array" ref="I5563">XLOOKUP($A5563,product!A:A,product!E:E)</f>
        <v>4.4</v>
      </c>
      <c r="J5563" s="25">
        <f t="shared" si="2"/>
        <v>946</v>
      </c>
      <c r="K5563" s="27">
        <f t="shared" si="3"/>
        <v>1</v>
      </c>
      <c r="L5563" s="25">
        <f t="shared" si="4"/>
        <v>1</v>
      </c>
    </row>
    <row r="5564">
      <c r="A5564" s="19">
        <v>13877.0</v>
      </c>
      <c r="B5564" s="20" t="str">
        <f t="array" ref="B5564">xlookup($A5564,product!$A:$A,product!B:B)</f>
        <v>Epicerie salée</v>
      </c>
      <c r="C5564" s="20" t="str">
        <f t="array" ref="C5564">xlookup($A5564,product!$A:$A,product!C:C)</f>
        <v>Sel, épices, aide culinaire</v>
      </c>
      <c r="D5564" s="20" t="str">
        <f t="array" ref="D5564">xlookup($A5564,product!$A:$A,product!D:D)</f>
        <v>Epices</v>
      </c>
      <c r="E5564" s="4" t="str">
        <f t="shared" si="1"/>
        <v>13877-Sel, épices, aide culinaire-Epices</v>
      </c>
      <c r="F5564" s="4">
        <v>1.0</v>
      </c>
      <c r="G5564" s="4">
        <v>176.0</v>
      </c>
      <c r="H5564" s="4">
        <v>66.0</v>
      </c>
      <c r="I5564" s="21">
        <f t="array" ref="I5564">XLOOKUP($A5564,product!A:A,product!E:E)</f>
        <v>4.67</v>
      </c>
      <c r="J5564" s="4">
        <f t="shared" si="2"/>
        <v>308.22</v>
      </c>
      <c r="K5564" s="22">
        <f t="shared" si="3"/>
        <v>1</v>
      </c>
      <c r="L5564" s="4">
        <f t="shared" si="4"/>
        <v>1</v>
      </c>
    </row>
    <row r="5565">
      <c r="A5565" s="23">
        <v>9493.0</v>
      </c>
      <c r="B5565" s="24" t="str">
        <f t="array" ref="B5565">xlookup($A5565,product!$A:$A,product!B:B)</f>
        <v>Epicerie salée</v>
      </c>
      <c r="C5565" s="24" t="str">
        <f t="array" ref="C5565">xlookup($A5565,product!$A:$A,product!C:C)</f>
        <v>Sel, épices, aide culinaire</v>
      </c>
      <c r="D5565" s="24" t="str">
        <f t="array" ref="D5565">xlookup($A5565,product!$A:$A,product!D:D)</f>
        <v>Epices</v>
      </c>
      <c r="E5565" s="25" t="str">
        <f t="shared" si="1"/>
        <v>9493-Sel, épices, aide culinaire-Epices</v>
      </c>
      <c r="F5565" s="25">
        <v>0.0</v>
      </c>
      <c r="G5565" s="25">
        <v>574.0</v>
      </c>
      <c r="H5565" s="25">
        <v>164.0</v>
      </c>
      <c r="I5565" s="26">
        <f t="array" ref="I5565">XLOOKUP($A5565,product!A:A,product!E:E)</f>
        <v>2.77</v>
      </c>
      <c r="J5565" s="25">
        <f t="shared" si="2"/>
        <v>454.28</v>
      </c>
      <c r="K5565" s="27">
        <f t="shared" si="3"/>
        <v>1</v>
      </c>
      <c r="L5565" s="25">
        <f t="shared" si="4"/>
        <v>1</v>
      </c>
    </row>
    <row r="5566">
      <c r="A5566" s="19">
        <v>9502.0</v>
      </c>
      <c r="B5566" s="20" t="str">
        <f t="array" ref="B5566">xlookup($A5566,product!$A:$A,product!B:B)</f>
        <v>Epicerie salée</v>
      </c>
      <c r="C5566" s="20" t="str">
        <f t="array" ref="C5566">xlookup($A5566,product!$A:$A,product!C:C)</f>
        <v>Sel, épices, aide culinaire</v>
      </c>
      <c r="D5566" s="20" t="str">
        <f t="array" ref="D5566">xlookup($A5566,product!$A:$A,product!D:D)</f>
        <v>Epices</v>
      </c>
      <c r="E5566" s="4" t="str">
        <f t="shared" si="1"/>
        <v>9502-Sel, épices, aide culinaire-Epices</v>
      </c>
      <c r="F5566" s="4">
        <v>0.0</v>
      </c>
      <c r="G5566" s="4">
        <v>545.0</v>
      </c>
      <c r="H5566" s="4">
        <v>320.0</v>
      </c>
      <c r="I5566" s="21">
        <f t="array" ref="I5566">XLOOKUP($A5566,product!A:A,product!E:E)</f>
        <v>1.2</v>
      </c>
      <c r="J5566" s="4">
        <f t="shared" si="2"/>
        <v>384</v>
      </c>
      <c r="K5566" s="22">
        <f t="shared" si="3"/>
        <v>1</v>
      </c>
      <c r="L5566" s="4">
        <f t="shared" si="4"/>
        <v>1</v>
      </c>
    </row>
    <row r="5567">
      <c r="A5567" s="23">
        <v>147301.0</v>
      </c>
      <c r="B5567" s="24" t="str">
        <f t="array" ref="B5567">xlookup($A5567,product!$A:$A,product!B:B)</f>
        <v>Epicerie salée</v>
      </c>
      <c r="C5567" s="24" t="str">
        <f t="array" ref="C5567">xlookup($A5567,product!$A:$A,product!C:C)</f>
        <v>Sel, épices, aide culinaire</v>
      </c>
      <c r="D5567" s="24" t="str">
        <f t="array" ref="D5567">xlookup($A5567,product!$A:$A,product!D:D)</f>
        <v>Epices</v>
      </c>
      <c r="E5567" s="25" t="str">
        <f t="shared" si="1"/>
        <v>147301-Sel, épices, aide culinaire-Epices</v>
      </c>
      <c r="F5567" s="25">
        <v>1.0</v>
      </c>
      <c r="G5567" s="25">
        <v>335.0</v>
      </c>
      <c r="H5567" s="25">
        <v>285.0</v>
      </c>
      <c r="I5567" s="26">
        <f t="array" ref="I5567">XLOOKUP($A5567,product!A:A,product!E:E)</f>
        <v>0.99</v>
      </c>
      <c r="J5567" s="25">
        <f t="shared" si="2"/>
        <v>282.15</v>
      </c>
      <c r="K5567" s="27">
        <f t="shared" si="3"/>
        <v>1</v>
      </c>
      <c r="L5567" s="25">
        <f t="shared" si="4"/>
        <v>1</v>
      </c>
    </row>
    <row r="5568">
      <c r="A5568" s="19">
        <v>30569.0</v>
      </c>
      <c r="B5568" s="20" t="str">
        <f t="array" ref="B5568">xlookup($A5568,product!$A:$A,product!B:B)</f>
        <v>Epicerie salée</v>
      </c>
      <c r="C5568" s="20" t="str">
        <f t="array" ref="C5568">xlookup($A5568,product!$A:$A,product!C:C)</f>
        <v>Sel, épices, aide culinaire</v>
      </c>
      <c r="D5568" s="20" t="str">
        <f t="array" ref="D5568">xlookup($A5568,product!$A:$A,product!D:D)</f>
        <v>Epices</v>
      </c>
      <c r="E5568" s="4" t="str">
        <f t="shared" si="1"/>
        <v>30569-Sel, épices, aide culinaire-Epices</v>
      </c>
      <c r="F5568" s="4">
        <v>1.0</v>
      </c>
      <c r="G5568" s="4">
        <v>132.0</v>
      </c>
      <c r="H5568" s="4">
        <v>122.0</v>
      </c>
      <c r="I5568" s="21">
        <f t="array" ref="I5568">XLOOKUP($A5568,product!A:A,product!E:E)</f>
        <v>6.82</v>
      </c>
      <c r="J5568" s="4">
        <f t="shared" si="2"/>
        <v>832.04</v>
      </c>
      <c r="K5568" s="22">
        <f t="shared" si="3"/>
        <v>1</v>
      </c>
      <c r="L5568" s="4">
        <f t="shared" si="4"/>
        <v>1</v>
      </c>
    </row>
    <row r="5569">
      <c r="A5569" s="23">
        <v>112190.0</v>
      </c>
      <c r="B5569" s="24" t="str">
        <f t="array" ref="B5569">xlookup($A5569,product!$A:$A,product!B:B)</f>
        <v>Epicerie salée</v>
      </c>
      <c r="C5569" s="24" t="str">
        <f t="array" ref="C5569">xlookup($A5569,product!$A:$A,product!C:C)</f>
        <v>Sel, épices, aide culinaire</v>
      </c>
      <c r="D5569" s="24" t="str">
        <f t="array" ref="D5569">xlookup($A5569,product!$A:$A,product!D:D)</f>
        <v>Epices</v>
      </c>
      <c r="E5569" s="25" t="str">
        <f t="shared" si="1"/>
        <v>112190-Sel, épices, aide culinaire-Epices</v>
      </c>
      <c r="F5569" s="25">
        <v>0.0</v>
      </c>
      <c r="G5569" s="25">
        <v>846.0</v>
      </c>
      <c r="H5569" s="25">
        <v>346.0</v>
      </c>
      <c r="I5569" s="26">
        <f t="array" ref="I5569">XLOOKUP($A5569,product!A:A,product!E:E)</f>
        <v>1.69</v>
      </c>
      <c r="J5569" s="25">
        <f t="shared" si="2"/>
        <v>584.74</v>
      </c>
      <c r="K5569" s="27">
        <f t="shared" si="3"/>
        <v>1</v>
      </c>
      <c r="L5569" s="25">
        <f t="shared" si="4"/>
        <v>1</v>
      </c>
    </row>
    <row r="5570">
      <c r="A5570" s="19">
        <v>110833.0</v>
      </c>
      <c r="B5570" s="20" t="str">
        <f t="array" ref="B5570">xlookup($A5570,product!$A:$A,product!B:B)</f>
        <v>Epicerie salée</v>
      </c>
      <c r="C5570" s="20" t="str">
        <f t="array" ref="C5570">xlookup($A5570,product!$A:$A,product!C:C)</f>
        <v>Sel, épices, aide culinaire</v>
      </c>
      <c r="D5570" s="20" t="str">
        <f t="array" ref="D5570">xlookup($A5570,product!$A:$A,product!D:D)</f>
        <v>Epices</v>
      </c>
      <c r="E5570" s="4" t="str">
        <f t="shared" si="1"/>
        <v>110833-Sel, épices, aide culinaire-Epices</v>
      </c>
      <c r="F5570" s="4">
        <v>1.0</v>
      </c>
      <c r="G5570" s="4">
        <v>500.0</v>
      </c>
      <c r="H5570" s="4">
        <v>319.0</v>
      </c>
      <c r="I5570" s="21">
        <f t="array" ref="I5570">XLOOKUP($A5570,product!A:A,product!E:E)</f>
        <v>4.46</v>
      </c>
      <c r="J5570" s="4">
        <f t="shared" si="2"/>
        <v>1422.74</v>
      </c>
      <c r="K5570" s="22">
        <f t="shared" si="3"/>
        <v>1</v>
      </c>
      <c r="L5570" s="4">
        <f t="shared" si="4"/>
        <v>1</v>
      </c>
    </row>
    <row r="5571">
      <c r="A5571" s="23">
        <v>9505.0</v>
      </c>
      <c r="B5571" s="24" t="str">
        <f t="array" ref="B5571">xlookup($A5571,product!$A:$A,product!B:B)</f>
        <v>Epicerie salée</v>
      </c>
      <c r="C5571" s="24" t="str">
        <f t="array" ref="C5571">xlookup($A5571,product!$A:$A,product!C:C)</f>
        <v>Sel, épices, aide culinaire</v>
      </c>
      <c r="D5571" s="24" t="str">
        <f t="array" ref="D5571">xlookup($A5571,product!$A:$A,product!D:D)</f>
        <v>Epices</v>
      </c>
      <c r="E5571" s="25" t="str">
        <f t="shared" si="1"/>
        <v>9505-Sel, épices, aide culinaire-Epices</v>
      </c>
      <c r="F5571" s="25">
        <v>0.0</v>
      </c>
      <c r="G5571" s="25">
        <v>345.0</v>
      </c>
      <c r="H5571" s="25">
        <v>218.0</v>
      </c>
      <c r="I5571" s="26">
        <f t="array" ref="I5571">XLOOKUP($A5571,product!A:A,product!E:E)</f>
        <v>1.48</v>
      </c>
      <c r="J5571" s="25">
        <f t="shared" si="2"/>
        <v>322.64</v>
      </c>
      <c r="K5571" s="27">
        <f t="shared" si="3"/>
        <v>1</v>
      </c>
      <c r="L5571" s="25">
        <f t="shared" si="4"/>
        <v>1</v>
      </c>
    </row>
    <row r="5572">
      <c r="A5572" s="19">
        <v>119248.0</v>
      </c>
      <c r="B5572" s="20" t="str">
        <f t="array" ref="B5572">xlookup($A5572,product!$A:$A,product!B:B)</f>
        <v>Epicerie salée</v>
      </c>
      <c r="C5572" s="20" t="str">
        <f t="array" ref="C5572">xlookup($A5572,product!$A:$A,product!C:C)</f>
        <v>Sel, épices, aide culinaire</v>
      </c>
      <c r="D5572" s="20" t="str">
        <f t="array" ref="D5572">xlookup($A5572,product!$A:$A,product!D:D)</f>
        <v>Epices</v>
      </c>
      <c r="E5572" s="4" t="str">
        <f t="shared" si="1"/>
        <v>119248-Sel, épices, aide culinaire-Epices</v>
      </c>
      <c r="F5572" s="4">
        <v>0.0</v>
      </c>
      <c r="G5572" s="4">
        <v>84.0</v>
      </c>
      <c r="H5572" s="4">
        <v>7.0</v>
      </c>
      <c r="I5572" s="21">
        <f t="array" ref="I5572">XLOOKUP($A5572,product!A:A,product!E:E)</f>
        <v>2.22</v>
      </c>
      <c r="J5572" s="4">
        <f t="shared" si="2"/>
        <v>15.54</v>
      </c>
      <c r="K5572" s="22">
        <f t="shared" si="3"/>
        <v>1</v>
      </c>
      <c r="L5572" s="4">
        <f t="shared" si="4"/>
        <v>1</v>
      </c>
    </row>
    <row r="5573">
      <c r="A5573" s="23">
        <v>147306.0</v>
      </c>
      <c r="B5573" s="24" t="str">
        <f t="array" ref="B5573">xlookup($A5573,product!$A:$A,product!B:B)</f>
        <v>Epicerie salée</v>
      </c>
      <c r="C5573" s="24" t="str">
        <f t="array" ref="C5573">xlookup($A5573,product!$A:$A,product!C:C)</f>
        <v>Sel, épices, aide culinaire</v>
      </c>
      <c r="D5573" s="24" t="str">
        <f t="array" ref="D5573">xlookup($A5573,product!$A:$A,product!D:D)</f>
        <v>Epices</v>
      </c>
      <c r="E5573" s="25" t="str">
        <f t="shared" si="1"/>
        <v>147306-Sel, épices, aide culinaire-Epices</v>
      </c>
      <c r="F5573" s="25">
        <v>1.0</v>
      </c>
      <c r="G5573" s="25">
        <v>0.0</v>
      </c>
      <c r="H5573" s="25">
        <v>0.0</v>
      </c>
      <c r="I5573" s="26">
        <f t="array" ref="I5573">XLOOKUP($A5573,product!A:A,product!E:E)</f>
        <v>6.91</v>
      </c>
      <c r="J5573" s="25">
        <f t="shared" si="2"/>
        <v>0</v>
      </c>
      <c r="K5573" s="27">
        <f t="shared" si="3"/>
        <v>0</v>
      </c>
      <c r="L5573" s="25">
        <f t="shared" si="4"/>
        <v>1</v>
      </c>
    </row>
    <row r="5574">
      <c r="A5574" s="19">
        <v>77425.0</v>
      </c>
      <c r="B5574" s="20" t="str">
        <f t="array" ref="B5574">xlookup($A5574,product!$A:$A,product!B:B)</f>
        <v>Epicerie salée</v>
      </c>
      <c r="C5574" s="20" t="str">
        <f t="array" ref="C5574">xlookup($A5574,product!$A:$A,product!C:C)</f>
        <v>Sel, épices, aide culinaire</v>
      </c>
      <c r="D5574" s="20" t="str">
        <f t="array" ref="D5574">xlookup($A5574,product!$A:$A,product!D:D)</f>
        <v>Epices</v>
      </c>
      <c r="E5574" s="4" t="str">
        <f t="shared" si="1"/>
        <v>77425-Sel, épices, aide culinaire-Epices</v>
      </c>
      <c r="F5574" s="4">
        <v>1.0</v>
      </c>
      <c r="G5574" s="4">
        <v>442.0</v>
      </c>
      <c r="H5574" s="4">
        <v>355.0</v>
      </c>
      <c r="I5574" s="21">
        <f t="array" ref="I5574">XLOOKUP($A5574,product!A:A,product!E:E)</f>
        <v>1.35</v>
      </c>
      <c r="J5574" s="4">
        <f t="shared" si="2"/>
        <v>479.25</v>
      </c>
      <c r="K5574" s="22">
        <f t="shared" si="3"/>
        <v>1</v>
      </c>
      <c r="L5574" s="4">
        <f t="shared" si="4"/>
        <v>1</v>
      </c>
    </row>
    <row r="5575">
      <c r="A5575" s="23">
        <v>9497.0</v>
      </c>
      <c r="B5575" s="24" t="str">
        <f t="array" ref="B5575">xlookup($A5575,product!$A:$A,product!B:B)</f>
        <v>Epicerie salée</v>
      </c>
      <c r="C5575" s="24" t="str">
        <f t="array" ref="C5575">xlookup($A5575,product!$A:$A,product!C:C)</f>
        <v>Sel, épices, aide culinaire</v>
      </c>
      <c r="D5575" s="24" t="str">
        <f t="array" ref="D5575">xlookup($A5575,product!$A:$A,product!D:D)</f>
        <v>Epices</v>
      </c>
      <c r="E5575" s="25" t="str">
        <f t="shared" si="1"/>
        <v>9497-Sel, épices, aide culinaire-Epices</v>
      </c>
      <c r="F5575" s="25">
        <v>1.0</v>
      </c>
      <c r="G5575" s="25">
        <v>168.0</v>
      </c>
      <c r="H5575" s="25">
        <v>52.0</v>
      </c>
      <c r="I5575" s="26">
        <f t="array" ref="I5575">XLOOKUP($A5575,product!A:A,product!E:E)</f>
        <v>1.38</v>
      </c>
      <c r="J5575" s="25">
        <f t="shared" si="2"/>
        <v>71.76</v>
      </c>
      <c r="K5575" s="27">
        <f t="shared" si="3"/>
        <v>1</v>
      </c>
      <c r="L5575" s="25">
        <f t="shared" si="4"/>
        <v>1</v>
      </c>
    </row>
    <row r="5576">
      <c r="A5576" s="19">
        <v>9601.0</v>
      </c>
      <c r="B5576" s="20" t="str">
        <f t="array" ref="B5576">xlookup($A5576,product!$A:$A,product!B:B)</f>
        <v>Epicerie salée</v>
      </c>
      <c r="C5576" s="20" t="str">
        <f t="array" ref="C5576">xlookup($A5576,product!$A:$A,product!C:C)</f>
        <v>Sel, épices, aide culinaire</v>
      </c>
      <c r="D5576" s="20" t="str">
        <f t="array" ref="D5576">xlookup($A5576,product!$A:$A,product!D:D)</f>
        <v>Epices</v>
      </c>
      <c r="E5576" s="4" t="str">
        <f t="shared" si="1"/>
        <v>9601-Sel, épices, aide culinaire-Epices</v>
      </c>
      <c r="F5576" s="4">
        <v>0.0</v>
      </c>
      <c r="G5576" s="4">
        <v>789.0</v>
      </c>
      <c r="H5576" s="4">
        <v>572.0</v>
      </c>
      <c r="I5576" s="21">
        <f t="array" ref="I5576">XLOOKUP($A5576,product!A:A,product!E:E)</f>
        <v>2.16</v>
      </c>
      <c r="J5576" s="4">
        <f t="shared" si="2"/>
        <v>1235.52</v>
      </c>
      <c r="K5576" s="22">
        <f t="shared" si="3"/>
        <v>1</v>
      </c>
      <c r="L5576" s="4">
        <f t="shared" si="4"/>
        <v>1</v>
      </c>
    </row>
    <row r="5577">
      <c r="A5577" s="23">
        <v>117799.0</v>
      </c>
      <c r="B5577" s="24" t="str">
        <f t="array" ref="B5577">xlookup($A5577,product!$A:$A,product!B:B)</f>
        <v>Epicerie salée</v>
      </c>
      <c r="C5577" s="24" t="str">
        <f t="array" ref="C5577">xlookup($A5577,product!$A:$A,product!C:C)</f>
        <v>Sel, épices, aide culinaire</v>
      </c>
      <c r="D5577" s="24" t="str">
        <f t="array" ref="D5577">xlookup($A5577,product!$A:$A,product!D:D)</f>
        <v>Epices</v>
      </c>
      <c r="E5577" s="25" t="str">
        <f t="shared" si="1"/>
        <v>117799-Sel, épices, aide culinaire-Epices</v>
      </c>
      <c r="F5577" s="25">
        <v>1.0</v>
      </c>
      <c r="G5577" s="25">
        <v>157.0</v>
      </c>
      <c r="H5577" s="25">
        <v>73.0</v>
      </c>
      <c r="I5577" s="26">
        <f t="array" ref="I5577">XLOOKUP($A5577,product!A:A,product!E:E)</f>
        <v>1.76</v>
      </c>
      <c r="J5577" s="25">
        <f t="shared" si="2"/>
        <v>128.48</v>
      </c>
      <c r="K5577" s="27">
        <f t="shared" si="3"/>
        <v>1</v>
      </c>
      <c r="L5577" s="25">
        <f t="shared" si="4"/>
        <v>1</v>
      </c>
    </row>
    <row r="5578">
      <c r="A5578" s="19">
        <v>82770.0</v>
      </c>
      <c r="B5578" s="20" t="str">
        <f t="array" ref="B5578">xlookup($A5578,product!$A:$A,product!B:B)</f>
        <v>Epicerie salée</v>
      </c>
      <c r="C5578" s="20" t="str">
        <f t="array" ref="C5578">xlookup($A5578,product!$A:$A,product!C:C)</f>
        <v>Sel, épices, aide culinaire</v>
      </c>
      <c r="D5578" s="20" t="str">
        <f t="array" ref="D5578">xlookup($A5578,product!$A:$A,product!D:D)</f>
        <v>Epices</v>
      </c>
      <c r="E5578" s="4" t="str">
        <f t="shared" si="1"/>
        <v>82770-Sel, épices, aide culinaire-Epices</v>
      </c>
      <c r="F5578" s="4">
        <v>0.0</v>
      </c>
      <c r="G5578" s="4">
        <v>950.0</v>
      </c>
      <c r="H5578" s="4">
        <v>150.0</v>
      </c>
      <c r="I5578" s="21">
        <f t="array" ref="I5578">XLOOKUP($A5578,product!A:A,product!E:E)</f>
        <v>4.4</v>
      </c>
      <c r="J5578" s="4">
        <f t="shared" si="2"/>
        <v>660</v>
      </c>
      <c r="K5578" s="22">
        <f t="shared" si="3"/>
        <v>1</v>
      </c>
      <c r="L5578" s="4">
        <f t="shared" si="4"/>
        <v>1</v>
      </c>
    </row>
    <row r="5579">
      <c r="A5579" s="23">
        <v>119249.0</v>
      </c>
      <c r="B5579" s="24" t="str">
        <f t="array" ref="B5579">xlookup($A5579,product!$A:$A,product!B:B)</f>
        <v>Epicerie salée</v>
      </c>
      <c r="C5579" s="24" t="str">
        <f t="array" ref="C5579">xlookup($A5579,product!$A:$A,product!C:C)</f>
        <v>Sel, épices, aide culinaire</v>
      </c>
      <c r="D5579" s="24" t="str">
        <f t="array" ref="D5579">xlookup($A5579,product!$A:$A,product!D:D)</f>
        <v>Epices</v>
      </c>
      <c r="E5579" s="25" t="str">
        <f t="shared" si="1"/>
        <v>119249-Sel, épices, aide culinaire-Epices</v>
      </c>
      <c r="F5579" s="25">
        <v>0.0</v>
      </c>
      <c r="G5579" s="25">
        <v>672.0</v>
      </c>
      <c r="H5579" s="25">
        <v>275.0</v>
      </c>
      <c r="I5579" s="26">
        <f t="array" ref="I5579">XLOOKUP($A5579,product!A:A,product!E:E)</f>
        <v>1.97</v>
      </c>
      <c r="J5579" s="25">
        <f t="shared" si="2"/>
        <v>541.75</v>
      </c>
      <c r="K5579" s="27">
        <f t="shared" si="3"/>
        <v>1</v>
      </c>
      <c r="L5579" s="25">
        <f t="shared" si="4"/>
        <v>1</v>
      </c>
    </row>
    <row r="5580">
      <c r="A5580" s="19">
        <v>86191.0</v>
      </c>
      <c r="B5580" s="20" t="str">
        <f t="array" ref="B5580">xlookup($A5580,product!$A:$A,product!B:B)</f>
        <v>Epicerie salée</v>
      </c>
      <c r="C5580" s="20" t="str">
        <f t="array" ref="C5580">xlookup($A5580,product!$A:$A,product!C:C)</f>
        <v>Sel, épices, aide culinaire</v>
      </c>
      <c r="D5580" s="20" t="str">
        <f t="array" ref="D5580">xlookup($A5580,product!$A:$A,product!D:D)</f>
        <v>Epices</v>
      </c>
      <c r="E5580" s="4" t="str">
        <f t="shared" si="1"/>
        <v>86191-Sel, épices, aide culinaire-Epices</v>
      </c>
      <c r="F5580" s="4">
        <v>1.0</v>
      </c>
      <c r="G5580" s="4">
        <v>848.0</v>
      </c>
      <c r="H5580" s="4">
        <v>9.0</v>
      </c>
      <c r="I5580" s="21">
        <f t="array" ref="I5580">XLOOKUP($A5580,product!A:A,product!E:E)</f>
        <v>1.84</v>
      </c>
      <c r="J5580" s="4">
        <f t="shared" si="2"/>
        <v>16.56</v>
      </c>
      <c r="K5580" s="22">
        <f t="shared" si="3"/>
        <v>1</v>
      </c>
      <c r="L5580" s="4">
        <f t="shared" si="4"/>
        <v>1</v>
      </c>
    </row>
    <row r="5581">
      <c r="A5581" s="23">
        <v>9503.0</v>
      </c>
      <c r="B5581" s="24" t="str">
        <f t="array" ref="B5581">xlookup($A5581,product!$A:$A,product!B:B)</f>
        <v>Epicerie salée</v>
      </c>
      <c r="C5581" s="24" t="str">
        <f t="array" ref="C5581">xlookup($A5581,product!$A:$A,product!C:C)</f>
        <v>Sel, épices, aide culinaire</v>
      </c>
      <c r="D5581" s="24" t="str">
        <f t="array" ref="D5581">xlookup($A5581,product!$A:$A,product!D:D)</f>
        <v>Epices</v>
      </c>
      <c r="E5581" s="25" t="str">
        <f t="shared" si="1"/>
        <v>9503-Sel, épices, aide culinaire-Epices</v>
      </c>
      <c r="F5581" s="25">
        <v>1.0</v>
      </c>
      <c r="G5581" s="25">
        <v>778.0</v>
      </c>
      <c r="H5581" s="25">
        <v>266.0</v>
      </c>
      <c r="I5581" s="26">
        <f t="array" ref="I5581">XLOOKUP($A5581,product!A:A,product!E:E)</f>
        <v>1.65</v>
      </c>
      <c r="J5581" s="25">
        <f t="shared" si="2"/>
        <v>438.9</v>
      </c>
      <c r="K5581" s="27">
        <f t="shared" si="3"/>
        <v>1</v>
      </c>
      <c r="L5581" s="25">
        <f t="shared" si="4"/>
        <v>1</v>
      </c>
    </row>
    <row r="5582">
      <c r="A5582" s="19">
        <v>94007.0</v>
      </c>
      <c r="B5582" s="20" t="str">
        <f t="array" ref="B5582">xlookup($A5582,product!$A:$A,product!B:B)</f>
        <v>Epicerie salée</v>
      </c>
      <c r="C5582" s="20" t="str">
        <f t="array" ref="C5582">xlookup($A5582,product!$A:$A,product!C:C)</f>
        <v>Sel, épices, aide culinaire</v>
      </c>
      <c r="D5582" s="20" t="str">
        <f t="array" ref="D5582">xlookup($A5582,product!$A:$A,product!D:D)</f>
        <v>Epices</v>
      </c>
      <c r="E5582" s="4" t="str">
        <f t="shared" si="1"/>
        <v>94007-Sel, épices, aide culinaire-Epices</v>
      </c>
      <c r="F5582" s="4">
        <v>0.0</v>
      </c>
      <c r="G5582" s="4">
        <v>45.0</v>
      </c>
      <c r="H5582" s="4">
        <v>23.0</v>
      </c>
      <c r="I5582" s="21">
        <f t="array" ref="I5582">XLOOKUP($A5582,product!A:A,product!E:E)</f>
        <v>1.56</v>
      </c>
      <c r="J5582" s="4">
        <f t="shared" si="2"/>
        <v>35.88</v>
      </c>
      <c r="K5582" s="22">
        <f t="shared" si="3"/>
        <v>1</v>
      </c>
      <c r="L5582" s="4">
        <f t="shared" si="4"/>
        <v>1</v>
      </c>
    </row>
    <row r="5583">
      <c r="A5583" s="23">
        <v>82761.0</v>
      </c>
      <c r="B5583" s="24" t="str">
        <f t="array" ref="B5583">xlookup($A5583,product!$A:$A,product!B:B)</f>
        <v>Epicerie salée</v>
      </c>
      <c r="C5583" s="24" t="str">
        <f t="array" ref="C5583">xlookup($A5583,product!$A:$A,product!C:C)</f>
        <v>Sel, épices, aide culinaire</v>
      </c>
      <c r="D5583" s="24" t="str">
        <f t="array" ref="D5583">xlookup($A5583,product!$A:$A,product!D:D)</f>
        <v>Epices</v>
      </c>
      <c r="E5583" s="25" t="str">
        <f t="shared" si="1"/>
        <v>82761-Sel, épices, aide culinaire-Epices</v>
      </c>
      <c r="F5583" s="25">
        <v>1.0</v>
      </c>
      <c r="G5583" s="25">
        <v>942.0</v>
      </c>
      <c r="H5583" s="25">
        <v>844.0</v>
      </c>
      <c r="I5583" s="26">
        <f t="array" ref="I5583">XLOOKUP($A5583,product!A:A,product!E:E)</f>
        <v>3.95</v>
      </c>
      <c r="J5583" s="25">
        <f t="shared" si="2"/>
        <v>3333.8</v>
      </c>
      <c r="K5583" s="27">
        <f t="shared" si="3"/>
        <v>1</v>
      </c>
      <c r="L5583" s="25">
        <f t="shared" si="4"/>
        <v>1</v>
      </c>
    </row>
    <row r="5584">
      <c r="A5584" s="19">
        <v>9599.0</v>
      </c>
      <c r="B5584" s="20" t="str">
        <f t="array" ref="B5584">xlookup($A5584,product!$A:$A,product!B:B)</f>
        <v>Epicerie salée</v>
      </c>
      <c r="C5584" s="20" t="str">
        <f t="array" ref="C5584">xlookup($A5584,product!$A:$A,product!C:C)</f>
        <v>Sel, épices, aide culinaire</v>
      </c>
      <c r="D5584" s="20" t="str">
        <f t="array" ref="D5584">xlookup($A5584,product!$A:$A,product!D:D)</f>
        <v>Epices</v>
      </c>
      <c r="E5584" s="4" t="str">
        <f t="shared" si="1"/>
        <v>9599-Sel, épices, aide culinaire-Epices</v>
      </c>
      <c r="F5584" s="4">
        <v>1.0</v>
      </c>
      <c r="G5584" s="4">
        <v>869.0</v>
      </c>
      <c r="H5584" s="4">
        <v>97.0</v>
      </c>
      <c r="I5584" s="21">
        <f t="array" ref="I5584">XLOOKUP($A5584,product!A:A,product!E:E)</f>
        <v>2.5</v>
      </c>
      <c r="J5584" s="4">
        <f t="shared" si="2"/>
        <v>242.5</v>
      </c>
      <c r="K5584" s="22">
        <f t="shared" si="3"/>
        <v>1</v>
      </c>
      <c r="L5584" s="4">
        <f t="shared" si="4"/>
        <v>1</v>
      </c>
    </row>
    <row r="5585">
      <c r="A5585" s="23">
        <v>9496.0</v>
      </c>
      <c r="B5585" s="24" t="str">
        <f t="array" ref="B5585">xlookup($A5585,product!$A:$A,product!B:B)</f>
        <v>Epicerie salée</v>
      </c>
      <c r="C5585" s="24" t="str">
        <f t="array" ref="C5585">xlookup($A5585,product!$A:$A,product!C:C)</f>
        <v>Sel, épices, aide culinaire</v>
      </c>
      <c r="D5585" s="24" t="str">
        <f t="array" ref="D5585">xlookup($A5585,product!$A:$A,product!D:D)</f>
        <v>Epices</v>
      </c>
      <c r="E5585" s="25" t="str">
        <f t="shared" si="1"/>
        <v>9496-Sel, épices, aide culinaire-Epices</v>
      </c>
      <c r="F5585" s="25">
        <v>1.0</v>
      </c>
      <c r="G5585" s="25">
        <v>312.0</v>
      </c>
      <c r="H5585" s="25">
        <v>310.0</v>
      </c>
      <c r="I5585" s="26">
        <f t="array" ref="I5585">XLOOKUP($A5585,product!A:A,product!E:E)</f>
        <v>3.79</v>
      </c>
      <c r="J5585" s="25">
        <f t="shared" si="2"/>
        <v>1174.9</v>
      </c>
      <c r="K5585" s="27">
        <f t="shared" si="3"/>
        <v>1</v>
      </c>
      <c r="L5585" s="25">
        <f t="shared" si="4"/>
        <v>1</v>
      </c>
    </row>
    <row r="5586">
      <c r="A5586" s="19">
        <v>195072.0</v>
      </c>
      <c r="B5586" s="20" t="str">
        <f t="array" ref="B5586">xlookup($A5586,product!$A:$A,product!B:B)</f>
        <v>Epicerie salée</v>
      </c>
      <c r="C5586" s="20" t="str">
        <f t="array" ref="C5586">xlookup($A5586,product!$A:$A,product!C:C)</f>
        <v>Sel, épices, aide culinaire</v>
      </c>
      <c r="D5586" s="20" t="str">
        <f t="array" ref="D5586">xlookup($A5586,product!$A:$A,product!D:D)</f>
        <v>Epices</v>
      </c>
      <c r="E5586" s="4" t="str">
        <f t="shared" si="1"/>
        <v>195072-Sel, épices, aide culinaire-Epices</v>
      </c>
      <c r="F5586" s="4">
        <v>0.0</v>
      </c>
      <c r="G5586" s="4">
        <v>302.0</v>
      </c>
      <c r="H5586" s="4">
        <v>156.0</v>
      </c>
      <c r="I5586" s="21">
        <f t="array" ref="I5586">XLOOKUP($A5586,product!A:A,product!E:E)</f>
        <v>2.16</v>
      </c>
      <c r="J5586" s="4">
        <f t="shared" si="2"/>
        <v>336.96</v>
      </c>
      <c r="K5586" s="22">
        <f t="shared" si="3"/>
        <v>1</v>
      </c>
      <c r="L5586" s="4">
        <f t="shared" si="4"/>
        <v>1</v>
      </c>
    </row>
    <row r="5587">
      <c r="A5587" s="23">
        <v>119252.0</v>
      </c>
      <c r="B5587" s="24" t="str">
        <f t="array" ref="B5587">xlookup($A5587,product!$A:$A,product!B:B)</f>
        <v>Epicerie salée</v>
      </c>
      <c r="C5587" s="24" t="str">
        <f t="array" ref="C5587">xlookup($A5587,product!$A:$A,product!C:C)</f>
        <v>Sel, épices, aide culinaire</v>
      </c>
      <c r="D5587" s="24" t="str">
        <f t="array" ref="D5587">xlookup($A5587,product!$A:$A,product!D:D)</f>
        <v>Epices</v>
      </c>
      <c r="E5587" s="25" t="str">
        <f t="shared" si="1"/>
        <v>119252-Sel, épices, aide culinaire-Epices</v>
      </c>
      <c r="F5587" s="25">
        <v>1.0</v>
      </c>
      <c r="G5587" s="25">
        <v>890.0</v>
      </c>
      <c r="H5587" s="25">
        <v>214.0</v>
      </c>
      <c r="I5587" s="26">
        <f t="array" ref="I5587">XLOOKUP($A5587,product!A:A,product!E:E)</f>
        <v>2.12</v>
      </c>
      <c r="J5587" s="25">
        <f t="shared" si="2"/>
        <v>453.68</v>
      </c>
      <c r="K5587" s="27">
        <f t="shared" si="3"/>
        <v>1</v>
      </c>
      <c r="L5587" s="25">
        <f t="shared" si="4"/>
        <v>1</v>
      </c>
    </row>
    <row r="5588">
      <c r="A5588" s="19">
        <v>9501.0</v>
      </c>
      <c r="B5588" s="20" t="str">
        <f t="array" ref="B5588">xlookup($A5588,product!$A:$A,product!B:B)</f>
        <v>Epicerie salée</v>
      </c>
      <c r="C5588" s="20" t="str">
        <f t="array" ref="C5588">xlookup($A5588,product!$A:$A,product!C:C)</f>
        <v>Sel, épices, aide culinaire</v>
      </c>
      <c r="D5588" s="20" t="str">
        <f t="array" ref="D5588">xlookup($A5588,product!$A:$A,product!D:D)</f>
        <v>Epices</v>
      </c>
      <c r="E5588" s="4" t="str">
        <f t="shared" si="1"/>
        <v>9501-Sel, épices, aide culinaire-Epices</v>
      </c>
      <c r="F5588" s="4">
        <v>0.0</v>
      </c>
      <c r="G5588" s="4">
        <v>487.0</v>
      </c>
      <c r="H5588" s="4">
        <v>217.0</v>
      </c>
      <c r="I5588" s="21">
        <f t="array" ref="I5588">XLOOKUP($A5588,product!A:A,product!E:E)</f>
        <v>1.26</v>
      </c>
      <c r="J5588" s="4">
        <f t="shared" si="2"/>
        <v>273.42</v>
      </c>
      <c r="K5588" s="22">
        <f t="shared" si="3"/>
        <v>1</v>
      </c>
      <c r="L5588" s="4">
        <f t="shared" si="4"/>
        <v>1</v>
      </c>
    </row>
    <row r="5589">
      <c r="A5589" s="23">
        <v>9491.0</v>
      </c>
      <c r="B5589" s="24" t="str">
        <f t="array" ref="B5589">xlookup($A5589,product!$A:$A,product!B:B)</f>
        <v>Epicerie salée</v>
      </c>
      <c r="C5589" s="24" t="str">
        <f t="array" ref="C5589">xlookup($A5589,product!$A:$A,product!C:C)</f>
        <v>Sel, épices, aide culinaire</v>
      </c>
      <c r="D5589" s="24" t="str">
        <f t="array" ref="D5589">xlookup($A5589,product!$A:$A,product!D:D)</f>
        <v>Epices</v>
      </c>
      <c r="E5589" s="25" t="str">
        <f t="shared" si="1"/>
        <v>9491-Sel, épices, aide culinaire-Epices</v>
      </c>
      <c r="F5589" s="25">
        <v>1.0</v>
      </c>
      <c r="G5589" s="25">
        <v>432.0</v>
      </c>
      <c r="H5589" s="25">
        <v>89.0</v>
      </c>
      <c r="I5589" s="26">
        <f t="array" ref="I5589">XLOOKUP($A5589,product!A:A,product!E:E)</f>
        <v>1.5</v>
      </c>
      <c r="J5589" s="25">
        <f t="shared" si="2"/>
        <v>133.5</v>
      </c>
      <c r="K5589" s="27">
        <f t="shared" si="3"/>
        <v>1</v>
      </c>
      <c r="L5589" s="25">
        <f t="shared" si="4"/>
        <v>1</v>
      </c>
    </row>
    <row r="5590">
      <c r="A5590" s="19">
        <v>194058.0</v>
      </c>
      <c r="B5590" s="20" t="str">
        <f t="array" ref="B5590">xlookup($A5590,product!$A:$A,product!B:B)</f>
        <v>Epicerie salée</v>
      </c>
      <c r="C5590" s="20" t="str">
        <f t="array" ref="C5590">xlookup($A5590,product!$A:$A,product!C:C)</f>
        <v>Sel, épices, aide culinaire</v>
      </c>
      <c r="D5590" s="20" t="str">
        <f t="array" ref="D5590">xlookup($A5590,product!$A:$A,product!D:D)</f>
        <v>Epices</v>
      </c>
      <c r="E5590" s="4" t="str">
        <f t="shared" si="1"/>
        <v>194058-Sel, épices, aide culinaire-Epices</v>
      </c>
      <c r="F5590" s="4">
        <v>0.0</v>
      </c>
      <c r="G5590" s="4">
        <v>710.0</v>
      </c>
      <c r="H5590" s="4">
        <v>364.0</v>
      </c>
      <c r="I5590" s="21">
        <f t="array" ref="I5590">XLOOKUP($A5590,product!A:A,product!E:E)</f>
        <v>2.16</v>
      </c>
      <c r="J5590" s="4">
        <f t="shared" si="2"/>
        <v>786.24</v>
      </c>
      <c r="K5590" s="22">
        <f t="shared" si="3"/>
        <v>1</v>
      </c>
      <c r="L5590" s="4">
        <f t="shared" si="4"/>
        <v>1</v>
      </c>
    </row>
    <row r="5591">
      <c r="A5591" s="23">
        <v>111319.0</v>
      </c>
      <c r="B5591" s="24" t="str">
        <f t="array" ref="B5591">xlookup($A5591,product!$A:$A,product!B:B)</f>
        <v>Epicerie salée</v>
      </c>
      <c r="C5591" s="24" t="str">
        <f t="array" ref="C5591">xlookup($A5591,product!$A:$A,product!C:C)</f>
        <v>Sel, épices, aide culinaire</v>
      </c>
      <c r="D5591" s="24" t="str">
        <f t="array" ref="D5591">xlookup($A5591,product!$A:$A,product!D:D)</f>
        <v>Poivre</v>
      </c>
      <c r="E5591" s="25" t="str">
        <f t="shared" si="1"/>
        <v>111319-Sel, épices, aide culinaire-Poivre</v>
      </c>
      <c r="F5591" s="25">
        <v>0.0</v>
      </c>
      <c r="G5591" s="25">
        <v>921.0</v>
      </c>
      <c r="H5591" s="25">
        <v>346.0</v>
      </c>
      <c r="I5591" s="26">
        <f t="array" ref="I5591">XLOOKUP($A5591,product!A:A,product!E:E)</f>
        <v>2.13</v>
      </c>
      <c r="J5591" s="25">
        <f t="shared" si="2"/>
        <v>736.98</v>
      </c>
      <c r="K5591" s="27">
        <f t="shared" si="3"/>
        <v>1</v>
      </c>
      <c r="L5591" s="25">
        <f t="shared" si="4"/>
        <v>1</v>
      </c>
    </row>
    <row r="5592">
      <c r="A5592" s="19">
        <v>86655.0</v>
      </c>
      <c r="B5592" s="20" t="str">
        <f t="array" ref="B5592">xlookup($A5592,product!$A:$A,product!B:B)</f>
        <v>Epicerie salée</v>
      </c>
      <c r="C5592" s="20" t="str">
        <f t="array" ref="C5592">xlookup($A5592,product!$A:$A,product!C:C)</f>
        <v>Sel, épices, aide culinaire</v>
      </c>
      <c r="D5592" s="20" t="str">
        <f t="array" ref="D5592">xlookup($A5592,product!$A:$A,product!D:D)</f>
        <v>Poivre</v>
      </c>
      <c r="E5592" s="4" t="str">
        <f t="shared" si="1"/>
        <v>86655-Sel, épices, aide culinaire-Poivre</v>
      </c>
      <c r="F5592" s="4">
        <v>1.0</v>
      </c>
      <c r="G5592" s="4">
        <v>196.0</v>
      </c>
      <c r="H5592" s="4">
        <v>154.0</v>
      </c>
      <c r="I5592" s="21">
        <f t="array" ref="I5592">XLOOKUP($A5592,product!A:A,product!E:E)</f>
        <v>9.1</v>
      </c>
      <c r="J5592" s="4">
        <f t="shared" si="2"/>
        <v>1401.4</v>
      </c>
      <c r="K5592" s="22">
        <f t="shared" si="3"/>
        <v>1</v>
      </c>
      <c r="L5592" s="4">
        <f t="shared" si="4"/>
        <v>1</v>
      </c>
    </row>
    <row r="5593">
      <c r="A5593" s="23">
        <v>147300.0</v>
      </c>
      <c r="B5593" s="24" t="str">
        <f t="array" ref="B5593">xlookup($A5593,product!$A:$A,product!B:B)</f>
        <v>Epicerie salée</v>
      </c>
      <c r="C5593" s="24" t="str">
        <f t="array" ref="C5593">xlookup($A5593,product!$A:$A,product!C:C)</f>
        <v>Sel, épices, aide culinaire</v>
      </c>
      <c r="D5593" s="24" t="str">
        <f t="array" ref="D5593">xlookup($A5593,product!$A:$A,product!D:D)</f>
        <v>Poivre</v>
      </c>
      <c r="E5593" s="25" t="str">
        <f t="shared" si="1"/>
        <v>147300-Sel, épices, aide culinaire-Poivre</v>
      </c>
      <c r="F5593" s="25">
        <v>1.0</v>
      </c>
      <c r="G5593" s="25">
        <v>18.0</v>
      </c>
      <c r="H5593" s="25">
        <v>17.0</v>
      </c>
      <c r="I5593" s="26">
        <f t="array" ref="I5593">XLOOKUP($A5593,product!A:A,product!E:E)</f>
        <v>2.18</v>
      </c>
      <c r="J5593" s="25">
        <f t="shared" si="2"/>
        <v>37.06</v>
      </c>
      <c r="K5593" s="27">
        <f t="shared" si="3"/>
        <v>1</v>
      </c>
      <c r="L5593" s="25">
        <f t="shared" si="4"/>
        <v>1</v>
      </c>
    </row>
    <row r="5594">
      <c r="A5594" s="19">
        <v>13861.0</v>
      </c>
      <c r="B5594" s="20" t="str">
        <f t="array" ref="B5594">xlookup($A5594,product!$A:$A,product!B:B)</f>
        <v>Epicerie salée</v>
      </c>
      <c r="C5594" s="20" t="str">
        <f t="array" ref="C5594">xlookup($A5594,product!$A:$A,product!C:C)</f>
        <v>Sel, épices, aide culinaire</v>
      </c>
      <c r="D5594" s="20" t="str">
        <f t="array" ref="D5594">xlookup($A5594,product!$A:$A,product!D:D)</f>
        <v>Poivre</v>
      </c>
      <c r="E5594" s="4" t="str">
        <f t="shared" si="1"/>
        <v>13861-Sel, épices, aide culinaire-Poivre</v>
      </c>
      <c r="F5594" s="4">
        <v>1.0</v>
      </c>
      <c r="G5594" s="4">
        <v>286.0</v>
      </c>
      <c r="H5594" s="4">
        <v>235.0</v>
      </c>
      <c r="I5594" s="21">
        <f t="array" ref="I5594">XLOOKUP($A5594,product!A:A,product!E:E)</f>
        <v>3.51</v>
      </c>
      <c r="J5594" s="4">
        <f t="shared" si="2"/>
        <v>824.85</v>
      </c>
      <c r="K5594" s="22">
        <f t="shared" si="3"/>
        <v>1</v>
      </c>
      <c r="L5594" s="4">
        <f t="shared" si="4"/>
        <v>1</v>
      </c>
    </row>
    <row r="5595">
      <c r="A5595" s="23">
        <v>81510.0</v>
      </c>
      <c r="B5595" s="24" t="str">
        <f t="array" ref="B5595">xlookup($A5595,product!$A:$A,product!B:B)</f>
        <v>Epicerie salée</v>
      </c>
      <c r="C5595" s="24" t="str">
        <f t="array" ref="C5595">xlookup($A5595,product!$A:$A,product!C:C)</f>
        <v>Sel, épices, aide culinaire</v>
      </c>
      <c r="D5595" s="24" t="str">
        <f t="array" ref="D5595">xlookup($A5595,product!$A:$A,product!D:D)</f>
        <v>Poivre</v>
      </c>
      <c r="E5595" s="25" t="str">
        <f t="shared" si="1"/>
        <v>81510-Sel, épices, aide culinaire-Poivre</v>
      </c>
      <c r="F5595" s="25">
        <v>1.0</v>
      </c>
      <c r="G5595" s="25">
        <v>109.0</v>
      </c>
      <c r="H5595" s="25">
        <v>28.0</v>
      </c>
      <c r="I5595" s="26">
        <f t="array" ref="I5595">XLOOKUP($A5595,product!A:A,product!E:E)</f>
        <v>6.78</v>
      </c>
      <c r="J5595" s="25">
        <f t="shared" si="2"/>
        <v>189.84</v>
      </c>
      <c r="K5595" s="27">
        <f t="shared" si="3"/>
        <v>1</v>
      </c>
      <c r="L5595" s="25">
        <f t="shared" si="4"/>
        <v>1</v>
      </c>
    </row>
    <row r="5596">
      <c r="A5596" s="19">
        <v>9560.0</v>
      </c>
      <c r="B5596" s="20" t="str">
        <f t="array" ref="B5596">xlookup($A5596,product!$A:$A,product!B:B)</f>
        <v>Epicerie salée</v>
      </c>
      <c r="C5596" s="20" t="str">
        <f t="array" ref="C5596">xlookup($A5596,product!$A:$A,product!C:C)</f>
        <v>Sel, épices, aide culinaire</v>
      </c>
      <c r="D5596" s="20" t="str">
        <f t="array" ref="D5596">xlookup($A5596,product!$A:$A,product!D:D)</f>
        <v>Poivre</v>
      </c>
      <c r="E5596" s="4" t="str">
        <f t="shared" si="1"/>
        <v>9560-Sel, épices, aide culinaire-Poivre</v>
      </c>
      <c r="F5596" s="4">
        <v>1.0</v>
      </c>
      <c r="G5596" s="4">
        <v>718.0</v>
      </c>
      <c r="H5596" s="4">
        <v>88.0</v>
      </c>
      <c r="I5596" s="21">
        <f t="array" ref="I5596">XLOOKUP($A5596,product!A:A,product!E:E)</f>
        <v>2.3</v>
      </c>
      <c r="J5596" s="4">
        <f t="shared" si="2"/>
        <v>202.4</v>
      </c>
      <c r="K5596" s="22">
        <f t="shared" si="3"/>
        <v>1</v>
      </c>
      <c r="L5596" s="4">
        <f t="shared" si="4"/>
        <v>1</v>
      </c>
    </row>
    <row r="5597">
      <c r="A5597" s="23">
        <v>72161.0</v>
      </c>
      <c r="B5597" s="24" t="str">
        <f t="array" ref="B5597">xlookup($A5597,product!$A:$A,product!B:B)</f>
        <v>Epicerie salée</v>
      </c>
      <c r="C5597" s="24" t="str">
        <f t="array" ref="C5597">xlookup($A5597,product!$A:$A,product!C:C)</f>
        <v>Sel, épices, aide culinaire</v>
      </c>
      <c r="D5597" s="24" t="str">
        <f t="array" ref="D5597">xlookup($A5597,product!$A:$A,product!D:D)</f>
        <v>Poivre</v>
      </c>
      <c r="E5597" s="25" t="str">
        <f t="shared" si="1"/>
        <v>72161-Sel, épices, aide culinaire-Poivre</v>
      </c>
      <c r="F5597" s="25">
        <v>1.0</v>
      </c>
      <c r="G5597" s="25">
        <v>185.0</v>
      </c>
      <c r="H5597" s="25">
        <v>63.0</v>
      </c>
      <c r="I5597" s="26">
        <f t="array" ref="I5597">XLOOKUP($A5597,product!A:A,product!E:E)</f>
        <v>5.11</v>
      </c>
      <c r="J5597" s="25">
        <f t="shared" si="2"/>
        <v>321.93</v>
      </c>
      <c r="K5597" s="27">
        <f t="shared" si="3"/>
        <v>1</v>
      </c>
      <c r="L5597" s="25">
        <f t="shared" si="4"/>
        <v>1</v>
      </c>
    </row>
    <row r="5598">
      <c r="A5598" s="19">
        <v>9561.0</v>
      </c>
      <c r="B5598" s="20" t="str">
        <f t="array" ref="B5598">xlookup($A5598,product!$A:$A,product!B:B)</f>
        <v>Epicerie salée</v>
      </c>
      <c r="C5598" s="20" t="str">
        <f t="array" ref="C5598">xlookup($A5598,product!$A:$A,product!C:C)</f>
        <v>Sel, épices, aide culinaire</v>
      </c>
      <c r="D5598" s="20" t="str">
        <f t="array" ref="D5598">xlookup($A5598,product!$A:$A,product!D:D)</f>
        <v>Poivre</v>
      </c>
      <c r="E5598" s="4" t="str">
        <f t="shared" si="1"/>
        <v>9561-Sel, épices, aide culinaire-Poivre</v>
      </c>
      <c r="F5598" s="4">
        <v>1.0</v>
      </c>
      <c r="G5598" s="4">
        <v>672.0</v>
      </c>
      <c r="H5598" s="4">
        <v>178.0</v>
      </c>
      <c r="I5598" s="21">
        <f t="array" ref="I5598">XLOOKUP($A5598,product!A:A,product!E:E)</f>
        <v>6.8</v>
      </c>
      <c r="J5598" s="4">
        <f t="shared" si="2"/>
        <v>1210.4</v>
      </c>
      <c r="K5598" s="22">
        <f t="shared" si="3"/>
        <v>1</v>
      </c>
      <c r="L5598" s="4">
        <f t="shared" si="4"/>
        <v>1</v>
      </c>
    </row>
    <row r="5599">
      <c r="A5599" s="23">
        <v>9562.0</v>
      </c>
      <c r="B5599" s="24" t="str">
        <f t="array" ref="B5599">xlookup($A5599,product!$A:$A,product!B:B)</f>
        <v>Epicerie salée</v>
      </c>
      <c r="C5599" s="24" t="str">
        <f t="array" ref="C5599">xlookup($A5599,product!$A:$A,product!C:C)</f>
        <v>Sel, épices, aide culinaire</v>
      </c>
      <c r="D5599" s="24" t="str">
        <f t="array" ref="D5599">xlookup($A5599,product!$A:$A,product!D:D)</f>
        <v>Poivre</v>
      </c>
      <c r="E5599" s="25" t="str">
        <f t="shared" si="1"/>
        <v>9562-Sel, épices, aide culinaire-Poivre</v>
      </c>
      <c r="F5599" s="25">
        <v>1.0</v>
      </c>
      <c r="G5599" s="25">
        <v>979.0</v>
      </c>
      <c r="H5599" s="25">
        <v>797.0</v>
      </c>
      <c r="I5599" s="26">
        <f t="array" ref="I5599">XLOOKUP($A5599,product!A:A,product!E:E)</f>
        <v>7.12</v>
      </c>
      <c r="J5599" s="25">
        <f t="shared" si="2"/>
        <v>5674.64</v>
      </c>
      <c r="K5599" s="27">
        <f t="shared" si="3"/>
        <v>1</v>
      </c>
      <c r="L5599" s="25">
        <f t="shared" si="4"/>
        <v>1</v>
      </c>
    </row>
    <row r="5600">
      <c r="A5600" s="19">
        <v>119250.0</v>
      </c>
      <c r="B5600" s="20" t="str">
        <f t="array" ref="B5600">xlookup($A5600,product!$A:$A,product!B:B)</f>
        <v>Epicerie salée</v>
      </c>
      <c r="C5600" s="20" t="str">
        <f t="array" ref="C5600">xlookup($A5600,product!$A:$A,product!C:C)</f>
        <v>Sel, épices, aide culinaire</v>
      </c>
      <c r="D5600" s="20" t="str">
        <f t="array" ref="D5600">xlookup($A5600,product!$A:$A,product!D:D)</f>
        <v>Poivre</v>
      </c>
      <c r="E5600" s="4" t="str">
        <f t="shared" si="1"/>
        <v>119250-Sel, épices, aide culinaire-Poivre</v>
      </c>
      <c r="F5600" s="4">
        <v>1.0</v>
      </c>
      <c r="G5600" s="4">
        <v>138.0</v>
      </c>
      <c r="H5600" s="4">
        <v>105.0</v>
      </c>
      <c r="I5600" s="21">
        <f t="array" ref="I5600">XLOOKUP($A5600,product!A:A,product!E:E)</f>
        <v>3.23</v>
      </c>
      <c r="J5600" s="4">
        <f t="shared" si="2"/>
        <v>339.15</v>
      </c>
      <c r="K5600" s="22">
        <f t="shared" si="3"/>
        <v>1</v>
      </c>
      <c r="L5600" s="4">
        <f t="shared" si="4"/>
        <v>1</v>
      </c>
    </row>
    <row r="5601">
      <c r="A5601" s="23">
        <v>122297.0</v>
      </c>
      <c r="B5601" s="24" t="str">
        <f t="array" ref="B5601">xlookup($A5601,product!$A:$A,product!B:B)</f>
        <v>Epicerie salée</v>
      </c>
      <c r="C5601" s="24" t="str">
        <f t="array" ref="C5601">xlookup($A5601,product!$A:$A,product!C:C)</f>
        <v>Sel, épices, aide culinaire</v>
      </c>
      <c r="D5601" s="24" t="str">
        <f t="array" ref="D5601">xlookup($A5601,product!$A:$A,product!D:D)</f>
        <v>Gomasio</v>
      </c>
      <c r="E5601" s="25" t="str">
        <f t="shared" si="1"/>
        <v>122297-Sel, épices, aide culinaire-Gomasio</v>
      </c>
      <c r="F5601" s="25">
        <v>1.0</v>
      </c>
      <c r="G5601" s="25">
        <v>588.0</v>
      </c>
      <c r="H5601" s="25">
        <v>122.0</v>
      </c>
      <c r="I5601" s="26">
        <f t="array" ref="I5601">XLOOKUP($A5601,product!A:A,product!E:E)</f>
        <v>2.88</v>
      </c>
      <c r="J5601" s="25">
        <f t="shared" si="2"/>
        <v>351.36</v>
      </c>
      <c r="K5601" s="27">
        <f t="shared" si="3"/>
        <v>1</v>
      </c>
      <c r="L5601" s="25">
        <f t="shared" si="4"/>
        <v>1</v>
      </c>
    </row>
    <row r="5602">
      <c r="A5602" s="19">
        <v>164879.0</v>
      </c>
      <c r="B5602" s="20" t="str">
        <f t="array" ref="B5602">xlookup($A5602,product!$A:$A,product!B:B)</f>
        <v>Epicerie salée</v>
      </c>
      <c r="C5602" s="20" t="str">
        <f t="array" ref="C5602">xlookup($A5602,product!$A:$A,product!C:C)</f>
        <v>Sel, épices, aide culinaire</v>
      </c>
      <c r="D5602" s="20" t="str">
        <f t="array" ref="D5602">xlookup($A5602,product!$A:$A,product!D:D)</f>
        <v>Gomasio</v>
      </c>
      <c r="E5602" s="4" t="str">
        <f t="shared" si="1"/>
        <v>164879-Sel, épices, aide culinaire-Gomasio</v>
      </c>
      <c r="F5602" s="4">
        <v>0.0</v>
      </c>
      <c r="G5602" s="4">
        <v>848.0</v>
      </c>
      <c r="H5602" s="4">
        <v>576.0</v>
      </c>
      <c r="I5602" s="21">
        <f t="array" ref="I5602">XLOOKUP($A5602,product!A:A,product!E:E)</f>
        <v>2.04</v>
      </c>
      <c r="J5602" s="4">
        <f t="shared" si="2"/>
        <v>1175.04</v>
      </c>
      <c r="K5602" s="22">
        <f t="shared" si="3"/>
        <v>1</v>
      </c>
      <c r="L5602" s="4">
        <f t="shared" si="4"/>
        <v>1</v>
      </c>
    </row>
    <row r="5603">
      <c r="A5603" s="23">
        <v>48697.0</v>
      </c>
      <c r="B5603" s="24" t="str">
        <f t="array" ref="B5603">xlookup($A5603,product!$A:$A,product!B:B)</f>
        <v>Epicerie salée</v>
      </c>
      <c r="C5603" s="24" t="str">
        <f t="array" ref="C5603">xlookup($A5603,product!$A:$A,product!C:C)</f>
        <v>Sel, épices, aide culinaire</v>
      </c>
      <c r="D5603" s="24" t="str">
        <f t="array" ref="D5603">xlookup($A5603,product!$A:$A,product!D:D)</f>
        <v>Gomasio</v>
      </c>
      <c r="E5603" s="25" t="str">
        <f t="shared" si="1"/>
        <v>48697-Sel, épices, aide culinaire-Gomasio</v>
      </c>
      <c r="F5603" s="25">
        <v>0.0</v>
      </c>
      <c r="G5603" s="25">
        <v>371.0</v>
      </c>
      <c r="H5603" s="25">
        <v>277.0</v>
      </c>
      <c r="I5603" s="26">
        <f t="array" ref="I5603">XLOOKUP($A5603,product!A:A,product!E:E)</f>
        <v>2.84</v>
      </c>
      <c r="J5603" s="25">
        <f t="shared" si="2"/>
        <v>786.68</v>
      </c>
      <c r="K5603" s="27">
        <f t="shared" si="3"/>
        <v>1</v>
      </c>
      <c r="L5603" s="25">
        <f t="shared" si="4"/>
        <v>1</v>
      </c>
    </row>
    <row r="5604">
      <c r="A5604" s="19">
        <v>122299.0</v>
      </c>
      <c r="B5604" s="20" t="str">
        <f t="array" ref="B5604">xlookup($A5604,product!$A:$A,product!B:B)</f>
        <v>Epicerie salée</v>
      </c>
      <c r="C5604" s="20" t="str">
        <f t="array" ref="C5604">xlookup($A5604,product!$A:$A,product!C:C)</f>
        <v>Sel, épices, aide culinaire</v>
      </c>
      <c r="D5604" s="20" t="str">
        <f t="array" ref="D5604">xlookup($A5604,product!$A:$A,product!D:D)</f>
        <v>Gomasio</v>
      </c>
      <c r="E5604" s="4" t="str">
        <f t="shared" si="1"/>
        <v>122299-Sel, épices, aide culinaire-Gomasio</v>
      </c>
      <c r="F5604" s="4">
        <v>0.0</v>
      </c>
      <c r="G5604" s="4">
        <v>543.0</v>
      </c>
      <c r="H5604" s="4">
        <v>329.0</v>
      </c>
      <c r="I5604" s="21">
        <f t="array" ref="I5604">XLOOKUP($A5604,product!A:A,product!E:E)</f>
        <v>2.76</v>
      </c>
      <c r="J5604" s="4">
        <f t="shared" si="2"/>
        <v>908.04</v>
      </c>
      <c r="K5604" s="22">
        <f t="shared" si="3"/>
        <v>1</v>
      </c>
      <c r="L5604" s="4">
        <f t="shared" si="4"/>
        <v>1</v>
      </c>
    </row>
    <row r="5605">
      <c r="A5605" s="23">
        <v>82997.0</v>
      </c>
      <c r="B5605" s="24" t="str">
        <f t="array" ref="B5605">xlookup($A5605,product!$A:$A,product!B:B)</f>
        <v>Epicerie salée</v>
      </c>
      <c r="C5605" s="24" t="str">
        <f t="array" ref="C5605">xlookup($A5605,product!$A:$A,product!C:C)</f>
        <v>Sel, épices, aide culinaire</v>
      </c>
      <c r="D5605" s="24" t="str">
        <f t="array" ref="D5605">xlookup($A5605,product!$A:$A,product!D:D)</f>
        <v>Gomasio</v>
      </c>
      <c r="E5605" s="25" t="str">
        <f t="shared" si="1"/>
        <v>82997-Sel, épices, aide culinaire-Gomasio</v>
      </c>
      <c r="F5605" s="25">
        <v>1.0</v>
      </c>
      <c r="G5605" s="25">
        <v>214.0</v>
      </c>
      <c r="H5605" s="25">
        <v>38.0</v>
      </c>
      <c r="I5605" s="26">
        <f t="array" ref="I5605">XLOOKUP($A5605,product!A:A,product!E:E)</f>
        <v>2.19</v>
      </c>
      <c r="J5605" s="25">
        <f t="shared" si="2"/>
        <v>83.22</v>
      </c>
      <c r="K5605" s="27">
        <f t="shared" si="3"/>
        <v>1</v>
      </c>
      <c r="L5605" s="25">
        <f t="shared" si="4"/>
        <v>1</v>
      </c>
    </row>
    <row r="5606">
      <c r="A5606" s="19">
        <v>108350.0</v>
      </c>
      <c r="B5606" s="20" t="str">
        <f t="array" ref="B5606">xlookup($A5606,product!$A:$A,product!B:B)</f>
        <v>Epicerie salée</v>
      </c>
      <c r="C5606" s="20" t="str">
        <f t="array" ref="C5606">xlookup($A5606,product!$A:$A,product!C:C)</f>
        <v>Sel, épices, aide culinaire</v>
      </c>
      <c r="D5606" s="20" t="str">
        <f t="array" ref="D5606">xlookup($A5606,product!$A:$A,product!D:D)</f>
        <v>Gomasio</v>
      </c>
      <c r="E5606" s="4" t="str">
        <f t="shared" si="1"/>
        <v>108350-Sel, épices, aide culinaire-Gomasio</v>
      </c>
      <c r="F5606" s="4">
        <v>0.0</v>
      </c>
      <c r="G5606" s="4">
        <v>380.0</v>
      </c>
      <c r="H5606" s="4">
        <v>41.0</v>
      </c>
      <c r="I5606" s="21">
        <f t="array" ref="I5606">XLOOKUP($A5606,product!A:A,product!E:E)</f>
        <v>3.69</v>
      </c>
      <c r="J5606" s="4">
        <f t="shared" si="2"/>
        <v>151.29</v>
      </c>
      <c r="K5606" s="22">
        <f t="shared" si="3"/>
        <v>1</v>
      </c>
      <c r="L5606" s="4">
        <f t="shared" si="4"/>
        <v>1</v>
      </c>
    </row>
    <row r="5607">
      <c r="A5607" s="23">
        <v>48699.0</v>
      </c>
      <c r="B5607" s="24" t="str">
        <f t="array" ref="B5607">xlookup($A5607,product!$A:$A,product!B:B)</f>
        <v>Epicerie salée</v>
      </c>
      <c r="C5607" s="24" t="str">
        <f t="array" ref="C5607">xlookup($A5607,product!$A:$A,product!C:C)</f>
        <v>Sel, épices, aide culinaire</v>
      </c>
      <c r="D5607" s="24" t="str">
        <f t="array" ref="D5607">xlookup($A5607,product!$A:$A,product!D:D)</f>
        <v>Gomasio</v>
      </c>
      <c r="E5607" s="25" t="str">
        <f t="shared" si="1"/>
        <v>48699-Sel, épices, aide culinaire-Gomasio</v>
      </c>
      <c r="F5607" s="25">
        <v>1.0</v>
      </c>
      <c r="G5607" s="25">
        <v>418.0</v>
      </c>
      <c r="H5607" s="25">
        <v>96.0</v>
      </c>
      <c r="I5607" s="26">
        <f t="array" ref="I5607">XLOOKUP($A5607,product!A:A,product!E:E)</f>
        <v>3.91</v>
      </c>
      <c r="J5607" s="25">
        <f t="shared" si="2"/>
        <v>375.36</v>
      </c>
      <c r="K5607" s="27">
        <f t="shared" si="3"/>
        <v>1</v>
      </c>
      <c r="L5607" s="25">
        <f t="shared" si="4"/>
        <v>1</v>
      </c>
    </row>
    <row r="5608">
      <c r="A5608" s="19">
        <v>108364.0</v>
      </c>
      <c r="B5608" s="20" t="str">
        <f t="array" ref="B5608">xlookup($A5608,product!$A:$A,product!B:B)</f>
        <v>Epicerie salée</v>
      </c>
      <c r="C5608" s="20" t="str">
        <f t="array" ref="C5608">xlookup($A5608,product!$A:$A,product!C:C)</f>
        <v>Sel, épices, aide culinaire</v>
      </c>
      <c r="D5608" s="20" t="str">
        <f t="array" ref="D5608">xlookup($A5608,product!$A:$A,product!D:D)</f>
        <v>Gomasio</v>
      </c>
      <c r="E5608" s="4" t="str">
        <f t="shared" si="1"/>
        <v>108364-Sel, épices, aide culinaire-Gomasio</v>
      </c>
      <c r="F5608" s="4">
        <v>1.0</v>
      </c>
      <c r="G5608" s="4">
        <v>537.0</v>
      </c>
      <c r="H5608" s="4">
        <v>118.0</v>
      </c>
      <c r="I5608" s="21">
        <f t="array" ref="I5608">XLOOKUP($A5608,product!A:A,product!E:E)</f>
        <v>3.97</v>
      </c>
      <c r="J5608" s="4">
        <f t="shared" si="2"/>
        <v>468.46</v>
      </c>
      <c r="K5608" s="22">
        <f t="shared" si="3"/>
        <v>1</v>
      </c>
      <c r="L5608" s="4">
        <f t="shared" si="4"/>
        <v>1</v>
      </c>
    </row>
    <row r="5609">
      <c r="A5609" s="23">
        <v>5799.0</v>
      </c>
      <c r="B5609" s="24" t="str">
        <f t="array" ref="B5609">xlookup($A5609,product!$A:$A,product!B:B)</f>
        <v>Epicerie salée</v>
      </c>
      <c r="C5609" s="24" t="str">
        <f t="array" ref="C5609">xlookup($A5609,product!$A:$A,product!C:C)</f>
        <v>Sel, épices, aide culinaire</v>
      </c>
      <c r="D5609" s="24" t="str">
        <f t="array" ref="D5609">xlookup($A5609,product!$A:$A,product!D:D)</f>
        <v>Gomasio</v>
      </c>
      <c r="E5609" s="25" t="str">
        <f t="shared" si="1"/>
        <v>5799-Sel, épices, aide culinaire-Gomasio</v>
      </c>
      <c r="F5609" s="25">
        <v>0.0</v>
      </c>
      <c r="G5609" s="25">
        <v>148.0</v>
      </c>
      <c r="H5609" s="25">
        <v>67.0</v>
      </c>
      <c r="I5609" s="26">
        <f t="array" ref="I5609">XLOOKUP($A5609,product!A:A,product!E:E)</f>
        <v>2.79</v>
      </c>
      <c r="J5609" s="25">
        <f t="shared" si="2"/>
        <v>186.93</v>
      </c>
      <c r="K5609" s="27">
        <f t="shared" si="3"/>
        <v>1</v>
      </c>
      <c r="L5609" s="25">
        <f t="shared" si="4"/>
        <v>1</v>
      </c>
    </row>
    <row r="5610">
      <c r="A5610" s="19">
        <v>81501.0</v>
      </c>
      <c r="B5610" s="20" t="str">
        <f t="array" ref="B5610">xlookup($A5610,product!$A:$A,product!B:B)</f>
        <v>Epicerie salée</v>
      </c>
      <c r="C5610" s="20" t="str">
        <f t="array" ref="C5610">xlookup($A5610,product!$A:$A,product!C:C)</f>
        <v>Sel, épices, aide culinaire</v>
      </c>
      <c r="D5610" s="20" t="str">
        <f t="array" ref="D5610">xlookup($A5610,product!$A:$A,product!D:D)</f>
        <v>Bouillons cube</v>
      </c>
      <c r="E5610" s="4" t="str">
        <f t="shared" si="1"/>
        <v>81501-Sel, épices, aide culinaire-Bouillons cube</v>
      </c>
      <c r="F5610" s="4">
        <v>1.0</v>
      </c>
      <c r="G5610" s="4">
        <v>514.0</v>
      </c>
      <c r="H5610" s="4">
        <v>181.0</v>
      </c>
      <c r="I5610" s="21">
        <f t="array" ref="I5610">XLOOKUP($A5610,product!A:A,product!E:E)</f>
        <v>5.04</v>
      </c>
      <c r="J5610" s="4">
        <f t="shared" si="2"/>
        <v>912.24</v>
      </c>
      <c r="K5610" s="22">
        <f t="shared" si="3"/>
        <v>1</v>
      </c>
      <c r="L5610" s="4">
        <f t="shared" si="4"/>
        <v>1</v>
      </c>
    </row>
    <row r="5611">
      <c r="A5611" s="23">
        <v>47648.0</v>
      </c>
      <c r="B5611" s="24" t="str">
        <f t="array" ref="B5611">xlookup($A5611,product!$A:$A,product!B:B)</f>
        <v>Epicerie salée</v>
      </c>
      <c r="C5611" s="24" t="str">
        <f t="array" ref="C5611">xlookup($A5611,product!$A:$A,product!C:C)</f>
        <v>Sel, épices, aide culinaire</v>
      </c>
      <c r="D5611" s="24" t="str">
        <f t="array" ref="D5611">xlookup($A5611,product!$A:$A,product!D:D)</f>
        <v>Bouillons cube</v>
      </c>
      <c r="E5611" s="25" t="str">
        <f t="shared" si="1"/>
        <v>47648-Sel, épices, aide culinaire-Bouillons cube</v>
      </c>
      <c r="F5611" s="25">
        <v>1.0</v>
      </c>
      <c r="G5611" s="25">
        <v>670.0</v>
      </c>
      <c r="H5611" s="25">
        <v>87.0</v>
      </c>
      <c r="I5611" s="26">
        <f t="array" ref="I5611">XLOOKUP($A5611,product!A:A,product!E:E)</f>
        <v>1.1</v>
      </c>
      <c r="J5611" s="25">
        <f t="shared" si="2"/>
        <v>95.7</v>
      </c>
      <c r="K5611" s="27">
        <f t="shared" si="3"/>
        <v>1</v>
      </c>
      <c r="L5611" s="25">
        <f t="shared" si="4"/>
        <v>1</v>
      </c>
    </row>
    <row r="5612">
      <c r="A5612" s="19">
        <v>105328.0</v>
      </c>
      <c r="B5612" s="20" t="str">
        <f t="array" ref="B5612">xlookup($A5612,product!$A:$A,product!B:B)</f>
        <v>Epicerie salée</v>
      </c>
      <c r="C5612" s="20" t="str">
        <f t="array" ref="C5612">xlookup($A5612,product!$A:$A,product!C:C)</f>
        <v>Sel, épices, aide culinaire</v>
      </c>
      <c r="D5612" s="20" t="str">
        <f t="array" ref="D5612">xlookup($A5612,product!$A:$A,product!D:D)</f>
        <v>Bouillons cube</v>
      </c>
      <c r="E5612" s="4" t="str">
        <f t="shared" si="1"/>
        <v>105328-Sel, épices, aide culinaire-Bouillons cube</v>
      </c>
      <c r="F5612" s="4">
        <v>0.0</v>
      </c>
      <c r="G5612" s="4">
        <v>79.0</v>
      </c>
      <c r="H5612" s="4">
        <v>36.0</v>
      </c>
      <c r="I5612" s="21">
        <f t="array" ref="I5612">XLOOKUP($A5612,product!A:A,product!E:E)</f>
        <v>0.79</v>
      </c>
      <c r="J5612" s="4">
        <f t="shared" si="2"/>
        <v>28.44</v>
      </c>
      <c r="K5612" s="22">
        <f t="shared" si="3"/>
        <v>1</v>
      </c>
      <c r="L5612" s="4">
        <f t="shared" si="4"/>
        <v>1</v>
      </c>
    </row>
    <row r="5613">
      <c r="A5613" s="23">
        <v>47654.0</v>
      </c>
      <c r="B5613" s="24" t="str">
        <f t="array" ref="B5613">xlookup($A5613,product!$A:$A,product!B:B)</f>
        <v>Epicerie salée</v>
      </c>
      <c r="C5613" s="24" t="str">
        <f t="array" ref="C5613">xlookup($A5613,product!$A:$A,product!C:C)</f>
        <v>Sel, épices, aide culinaire</v>
      </c>
      <c r="D5613" s="24" t="str">
        <f t="array" ref="D5613">xlookup($A5613,product!$A:$A,product!D:D)</f>
        <v>Bouillons cube</v>
      </c>
      <c r="E5613" s="25" t="str">
        <f t="shared" si="1"/>
        <v>47654-Sel, épices, aide culinaire-Bouillons cube</v>
      </c>
      <c r="F5613" s="25">
        <v>0.0</v>
      </c>
      <c r="G5613" s="25">
        <v>298.0</v>
      </c>
      <c r="H5613" s="25">
        <v>271.0</v>
      </c>
      <c r="I5613" s="26">
        <f t="array" ref="I5613">XLOOKUP($A5613,product!A:A,product!E:E)</f>
        <v>1.26</v>
      </c>
      <c r="J5613" s="25">
        <f t="shared" si="2"/>
        <v>341.46</v>
      </c>
      <c r="K5613" s="27">
        <f t="shared" si="3"/>
        <v>1</v>
      </c>
      <c r="L5613" s="25">
        <f t="shared" si="4"/>
        <v>1</v>
      </c>
    </row>
    <row r="5614">
      <c r="A5614" s="19">
        <v>82371.0</v>
      </c>
      <c r="B5614" s="20" t="str">
        <f t="array" ref="B5614">xlookup($A5614,product!$A:$A,product!B:B)</f>
        <v>Epicerie salée</v>
      </c>
      <c r="C5614" s="20" t="str">
        <f t="array" ref="C5614">xlookup($A5614,product!$A:$A,product!C:C)</f>
        <v>Sel, épices, aide culinaire</v>
      </c>
      <c r="D5614" s="20" t="str">
        <f t="array" ref="D5614">xlookup($A5614,product!$A:$A,product!D:D)</f>
        <v>Bouillons cube</v>
      </c>
      <c r="E5614" s="4" t="str">
        <f t="shared" si="1"/>
        <v>82371-Sel, épices, aide culinaire-Bouillons cube</v>
      </c>
      <c r="F5614" s="4">
        <v>1.0</v>
      </c>
      <c r="G5614" s="4">
        <v>298.0</v>
      </c>
      <c r="H5614" s="4">
        <v>271.0</v>
      </c>
      <c r="I5614" s="21">
        <f t="array" ref="I5614">XLOOKUP($A5614,product!A:A,product!E:E)</f>
        <v>1.33</v>
      </c>
      <c r="J5614" s="4">
        <f t="shared" si="2"/>
        <v>360.43</v>
      </c>
      <c r="K5614" s="22">
        <f t="shared" si="3"/>
        <v>1</v>
      </c>
      <c r="L5614" s="4">
        <f t="shared" si="4"/>
        <v>1</v>
      </c>
    </row>
    <row r="5615">
      <c r="A5615" s="23">
        <v>81500.0</v>
      </c>
      <c r="B5615" s="24" t="str">
        <f t="array" ref="B5615">xlookup($A5615,product!$A:$A,product!B:B)</f>
        <v>Epicerie salée</v>
      </c>
      <c r="C5615" s="24" t="str">
        <f t="array" ref="C5615">xlookup($A5615,product!$A:$A,product!C:C)</f>
        <v>Sel, épices, aide culinaire</v>
      </c>
      <c r="D5615" s="24" t="str">
        <f t="array" ref="D5615">xlookup($A5615,product!$A:$A,product!D:D)</f>
        <v>Bouillons cube</v>
      </c>
      <c r="E5615" s="25" t="str">
        <f t="shared" si="1"/>
        <v>81500-Sel, épices, aide culinaire-Bouillons cube</v>
      </c>
      <c r="F5615" s="25">
        <v>0.0</v>
      </c>
      <c r="G5615" s="25">
        <v>562.0</v>
      </c>
      <c r="H5615" s="25">
        <v>364.0</v>
      </c>
      <c r="I5615" s="26">
        <f t="array" ref="I5615">XLOOKUP($A5615,product!A:A,product!E:E)</f>
        <v>1.94</v>
      </c>
      <c r="J5615" s="25">
        <f t="shared" si="2"/>
        <v>706.16</v>
      </c>
      <c r="K5615" s="27">
        <f t="shared" si="3"/>
        <v>1</v>
      </c>
      <c r="L5615" s="25">
        <f t="shared" si="4"/>
        <v>1</v>
      </c>
    </row>
    <row r="5616">
      <c r="A5616" s="19">
        <v>48501.0</v>
      </c>
      <c r="B5616" s="20" t="str">
        <f t="array" ref="B5616">xlookup($A5616,product!$A:$A,product!B:B)</f>
        <v>Epicerie salée</v>
      </c>
      <c r="C5616" s="20" t="str">
        <f t="array" ref="C5616">xlookup($A5616,product!$A:$A,product!C:C)</f>
        <v>Sel, épices, aide culinaire</v>
      </c>
      <c r="D5616" s="20" t="str">
        <f t="array" ref="D5616">xlookup($A5616,product!$A:$A,product!D:D)</f>
        <v>Bouillons cube</v>
      </c>
      <c r="E5616" s="4" t="str">
        <f t="shared" si="1"/>
        <v>48501-Sel, épices, aide culinaire-Bouillons cube</v>
      </c>
      <c r="F5616" s="4">
        <v>0.0</v>
      </c>
      <c r="G5616" s="4">
        <v>192.0</v>
      </c>
      <c r="H5616" s="4">
        <v>62.0</v>
      </c>
      <c r="I5616" s="21">
        <f t="array" ref="I5616">XLOOKUP($A5616,product!A:A,product!E:E)</f>
        <v>1.32</v>
      </c>
      <c r="J5616" s="4">
        <f t="shared" si="2"/>
        <v>81.84</v>
      </c>
      <c r="K5616" s="22">
        <f t="shared" si="3"/>
        <v>1</v>
      </c>
      <c r="L5616" s="4">
        <f t="shared" si="4"/>
        <v>1</v>
      </c>
    </row>
    <row r="5617">
      <c r="A5617" s="23">
        <v>81498.0</v>
      </c>
      <c r="B5617" s="24" t="str">
        <f t="array" ref="B5617">xlookup($A5617,product!$A:$A,product!B:B)</f>
        <v>Epicerie salée</v>
      </c>
      <c r="C5617" s="24" t="str">
        <f t="array" ref="C5617">xlookup($A5617,product!$A:$A,product!C:C)</f>
        <v>Sel, épices, aide culinaire</v>
      </c>
      <c r="D5617" s="24" t="str">
        <f t="array" ref="D5617">xlookup($A5617,product!$A:$A,product!D:D)</f>
        <v>Bouillons cube</v>
      </c>
      <c r="E5617" s="25" t="str">
        <f t="shared" si="1"/>
        <v>81498-Sel, épices, aide culinaire-Bouillons cube</v>
      </c>
      <c r="F5617" s="25">
        <v>0.0</v>
      </c>
      <c r="G5617" s="25">
        <v>529.0</v>
      </c>
      <c r="H5617" s="25">
        <v>494.0</v>
      </c>
      <c r="I5617" s="26">
        <f t="array" ref="I5617">XLOOKUP($A5617,product!A:A,product!E:E)</f>
        <v>0.97</v>
      </c>
      <c r="J5617" s="25">
        <f t="shared" si="2"/>
        <v>479.18</v>
      </c>
      <c r="K5617" s="27">
        <f t="shared" si="3"/>
        <v>1</v>
      </c>
      <c r="L5617" s="25">
        <f t="shared" si="4"/>
        <v>1</v>
      </c>
    </row>
    <row r="5618">
      <c r="A5618" s="19">
        <v>48498.0</v>
      </c>
      <c r="B5618" s="20" t="str">
        <f t="array" ref="B5618">xlookup($A5618,product!$A:$A,product!B:B)</f>
        <v>Epicerie salée</v>
      </c>
      <c r="C5618" s="20" t="str">
        <f t="array" ref="C5618">xlookup($A5618,product!$A:$A,product!C:C)</f>
        <v>Sel, épices, aide culinaire</v>
      </c>
      <c r="D5618" s="20" t="str">
        <f t="array" ref="D5618">xlookup($A5618,product!$A:$A,product!D:D)</f>
        <v>Bouillons cube</v>
      </c>
      <c r="E5618" s="4" t="str">
        <f t="shared" si="1"/>
        <v>48498-Sel, épices, aide culinaire-Bouillons cube</v>
      </c>
      <c r="F5618" s="4">
        <v>1.0</v>
      </c>
      <c r="G5618" s="4">
        <v>318.0</v>
      </c>
      <c r="H5618" s="4">
        <v>155.0</v>
      </c>
      <c r="I5618" s="21">
        <f t="array" ref="I5618">XLOOKUP($A5618,product!A:A,product!E:E)</f>
        <v>1.28</v>
      </c>
      <c r="J5618" s="4">
        <f t="shared" si="2"/>
        <v>198.4</v>
      </c>
      <c r="K5618" s="22">
        <f t="shared" si="3"/>
        <v>1</v>
      </c>
      <c r="L5618" s="4">
        <f t="shared" si="4"/>
        <v>1</v>
      </c>
    </row>
    <row r="5619">
      <c r="A5619" s="23">
        <v>88628.0</v>
      </c>
      <c r="B5619" s="24" t="str">
        <f t="array" ref="B5619">xlookup($A5619,product!$A:$A,product!B:B)</f>
        <v>Epicerie salée</v>
      </c>
      <c r="C5619" s="24" t="str">
        <f t="array" ref="C5619">xlookup($A5619,product!$A:$A,product!C:C)</f>
        <v>Sel, épices, aide culinaire</v>
      </c>
      <c r="D5619" s="24" t="str">
        <f t="array" ref="D5619">xlookup($A5619,product!$A:$A,product!D:D)</f>
        <v>Bouillons cube</v>
      </c>
      <c r="E5619" s="25" t="str">
        <f t="shared" si="1"/>
        <v>88628-Sel, épices, aide culinaire-Bouillons cube</v>
      </c>
      <c r="F5619" s="25">
        <v>0.0</v>
      </c>
      <c r="G5619" s="25">
        <v>555.0</v>
      </c>
      <c r="H5619" s="25">
        <v>426.0</v>
      </c>
      <c r="I5619" s="26">
        <f t="array" ref="I5619">XLOOKUP($A5619,product!A:A,product!E:E)</f>
        <v>1.34</v>
      </c>
      <c r="J5619" s="25">
        <f t="shared" si="2"/>
        <v>570.84</v>
      </c>
      <c r="K5619" s="27">
        <f t="shared" si="3"/>
        <v>1</v>
      </c>
      <c r="L5619" s="25">
        <f t="shared" si="4"/>
        <v>1</v>
      </c>
    </row>
    <row r="5620">
      <c r="A5620" s="19">
        <v>180340.0</v>
      </c>
      <c r="B5620" s="20" t="str">
        <f t="array" ref="B5620">xlookup($A5620,product!$A:$A,product!B:B)</f>
        <v>Epicerie salée</v>
      </c>
      <c r="C5620" s="20" t="str">
        <f t="array" ref="C5620">xlookup($A5620,product!$A:$A,product!C:C)</f>
        <v>Sel, épices, aide culinaire</v>
      </c>
      <c r="D5620" s="20" t="str">
        <f t="array" ref="D5620">xlookup($A5620,product!$A:$A,product!D:D)</f>
        <v>Bouillons cube</v>
      </c>
      <c r="E5620" s="4" t="str">
        <f t="shared" si="1"/>
        <v>180340-Sel, épices, aide culinaire-Bouillons cube</v>
      </c>
      <c r="F5620" s="4">
        <v>0.0</v>
      </c>
      <c r="G5620" s="4">
        <v>88.0</v>
      </c>
      <c r="H5620" s="4">
        <v>53.0</v>
      </c>
      <c r="I5620" s="21">
        <f t="array" ref="I5620">XLOOKUP($A5620,product!A:A,product!E:E)</f>
        <v>2.46</v>
      </c>
      <c r="J5620" s="4">
        <f t="shared" si="2"/>
        <v>130.38</v>
      </c>
      <c r="K5620" s="22">
        <f t="shared" si="3"/>
        <v>1</v>
      </c>
      <c r="L5620" s="4">
        <f t="shared" si="4"/>
        <v>1</v>
      </c>
    </row>
    <row r="5621">
      <c r="A5621" s="23">
        <v>48503.0</v>
      </c>
      <c r="B5621" s="24" t="str">
        <f t="array" ref="B5621">xlookup($A5621,product!$A:$A,product!B:B)</f>
        <v>Epicerie salée</v>
      </c>
      <c r="C5621" s="24" t="str">
        <f t="array" ref="C5621">xlookup($A5621,product!$A:$A,product!C:C)</f>
        <v>Sel, épices, aide culinaire</v>
      </c>
      <c r="D5621" s="24" t="str">
        <f t="array" ref="D5621">xlookup($A5621,product!$A:$A,product!D:D)</f>
        <v>Bouillons cube</v>
      </c>
      <c r="E5621" s="25" t="str">
        <f t="shared" si="1"/>
        <v>48503-Sel, épices, aide culinaire-Bouillons cube</v>
      </c>
      <c r="F5621" s="25">
        <v>0.0</v>
      </c>
      <c r="G5621" s="25">
        <v>151.0</v>
      </c>
      <c r="H5621" s="25">
        <v>10.0</v>
      </c>
      <c r="I5621" s="26">
        <f t="array" ref="I5621">XLOOKUP($A5621,product!A:A,product!E:E)</f>
        <v>1.21</v>
      </c>
      <c r="J5621" s="25">
        <f t="shared" si="2"/>
        <v>12.1</v>
      </c>
      <c r="K5621" s="27">
        <f t="shared" si="3"/>
        <v>1</v>
      </c>
      <c r="L5621" s="25">
        <f t="shared" si="4"/>
        <v>1</v>
      </c>
    </row>
    <row r="5622">
      <c r="A5622" s="19">
        <v>74819.0</v>
      </c>
      <c r="B5622" s="20" t="str">
        <f t="array" ref="B5622">xlookup($A5622,product!$A:$A,product!B:B)</f>
        <v>Epicerie salée</v>
      </c>
      <c r="C5622" s="20" t="str">
        <f t="array" ref="C5622">xlookup($A5622,product!$A:$A,product!C:C)</f>
        <v>Sel, épices, aide culinaire</v>
      </c>
      <c r="D5622" s="20" t="str">
        <f t="array" ref="D5622">xlookup($A5622,product!$A:$A,product!D:D)</f>
        <v>Bouillons cube</v>
      </c>
      <c r="E5622" s="4" t="str">
        <f t="shared" si="1"/>
        <v>74819-Sel, épices, aide culinaire-Bouillons cube</v>
      </c>
      <c r="F5622" s="4">
        <v>1.0</v>
      </c>
      <c r="G5622" s="4">
        <v>445.0</v>
      </c>
      <c r="H5622" s="4">
        <v>38.0</v>
      </c>
      <c r="I5622" s="21">
        <f t="array" ref="I5622">XLOOKUP($A5622,product!A:A,product!E:E)</f>
        <v>3.24</v>
      </c>
      <c r="J5622" s="4">
        <f t="shared" si="2"/>
        <v>123.12</v>
      </c>
      <c r="K5622" s="22">
        <f t="shared" si="3"/>
        <v>1</v>
      </c>
      <c r="L5622" s="4">
        <f t="shared" si="4"/>
        <v>1</v>
      </c>
    </row>
    <row r="5623">
      <c r="A5623" s="23">
        <v>48502.0</v>
      </c>
      <c r="B5623" s="24" t="str">
        <f t="array" ref="B5623">xlookup($A5623,product!$A:$A,product!B:B)</f>
        <v>Epicerie salée</v>
      </c>
      <c r="C5623" s="24" t="str">
        <f t="array" ref="C5623">xlookup($A5623,product!$A:$A,product!C:C)</f>
        <v>Sel, épices, aide culinaire</v>
      </c>
      <c r="D5623" s="24" t="str">
        <f t="array" ref="D5623">xlookup($A5623,product!$A:$A,product!D:D)</f>
        <v>Bouillons cube</v>
      </c>
      <c r="E5623" s="25" t="str">
        <f t="shared" si="1"/>
        <v>48502-Sel, épices, aide culinaire-Bouillons cube</v>
      </c>
      <c r="F5623" s="25">
        <v>1.0</v>
      </c>
      <c r="G5623" s="25">
        <v>424.0</v>
      </c>
      <c r="H5623" s="25">
        <v>414.0</v>
      </c>
      <c r="I5623" s="26">
        <f t="array" ref="I5623">XLOOKUP($A5623,product!A:A,product!E:E)</f>
        <v>1.15</v>
      </c>
      <c r="J5623" s="25">
        <f t="shared" si="2"/>
        <v>476.1</v>
      </c>
      <c r="K5623" s="27">
        <f t="shared" si="3"/>
        <v>1</v>
      </c>
      <c r="L5623" s="25">
        <f t="shared" si="4"/>
        <v>1</v>
      </c>
    </row>
    <row r="5624">
      <c r="A5624" s="19">
        <v>96001.0</v>
      </c>
      <c r="B5624" s="20" t="str">
        <f t="array" ref="B5624">xlookup($A5624,product!$A:$A,product!B:B)</f>
        <v>Epicerie salée</v>
      </c>
      <c r="C5624" s="20" t="str">
        <f t="array" ref="C5624">xlookup($A5624,product!$A:$A,product!C:C)</f>
        <v>Sel, épices, aide culinaire</v>
      </c>
      <c r="D5624" s="20" t="str">
        <f t="array" ref="D5624">xlookup($A5624,product!$A:$A,product!D:D)</f>
        <v>Bouillons cube</v>
      </c>
      <c r="E5624" s="4" t="str">
        <f t="shared" si="1"/>
        <v>96001-Sel, épices, aide culinaire-Bouillons cube</v>
      </c>
      <c r="F5624" s="4">
        <v>1.0</v>
      </c>
      <c r="G5624" s="4">
        <v>668.0</v>
      </c>
      <c r="H5624" s="4">
        <v>285.0</v>
      </c>
      <c r="I5624" s="21">
        <f t="array" ref="I5624">XLOOKUP($A5624,product!A:A,product!E:E)</f>
        <v>1.54</v>
      </c>
      <c r="J5624" s="4">
        <f t="shared" si="2"/>
        <v>438.9</v>
      </c>
      <c r="K5624" s="22">
        <f t="shared" si="3"/>
        <v>1</v>
      </c>
      <c r="L5624" s="4">
        <f t="shared" si="4"/>
        <v>1</v>
      </c>
    </row>
    <row r="5625">
      <c r="A5625" s="23">
        <v>103095.0</v>
      </c>
      <c r="B5625" s="24" t="str">
        <f t="array" ref="B5625">xlookup($A5625,product!$A:$A,product!B:B)</f>
        <v>Epicerie salée</v>
      </c>
      <c r="C5625" s="24" t="str">
        <f t="array" ref="C5625">xlookup($A5625,product!$A:$A,product!C:C)</f>
        <v>Sel, épices, aide culinaire</v>
      </c>
      <c r="D5625" s="24" t="str">
        <f t="array" ref="D5625">xlookup($A5625,product!$A:$A,product!D:D)</f>
        <v>Bouillons cube</v>
      </c>
      <c r="E5625" s="25" t="str">
        <f t="shared" si="1"/>
        <v>103095-Sel, épices, aide culinaire-Bouillons cube</v>
      </c>
      <c r="F5625" s="25">
        <v>1.0</v>
      </c>
      <c r="G5625" s="25">
        <v>159.0</v>
      </c>
      <c r="H5625" s="25">
        <v>56.0</v>
      </c>
      <c r="I5625" s="26">
        <f t="array" ref="I5625">XLOOKUP($A5625,product!A:A,product!E:E)</f>
        <v>3.44</v>
      </c>
      <c r="J5625" s="25">
        <f t="shared" si="2"/>
        <v>192.64</v>
      </c>
      <c r="K5625" s="27">
        <f t="shared" si="3"/>
        <v>1</v>
      </c>
      <c r="L5625" s="25">
        <f t="shared" si="4"/>
        <v>1</v>
      </c>
    </row>
    <row r="5626">
      <c r="A5626" s="19">
        <v>88627.0</v>
      </c>
      <c r="B5626" s="20" t="str">
        <f t="array" ref="B5626">xlookup($A5626,product!$A:$A,product!B:B)</f>
        <v>Epicerie salée</v>
      </c>
      <c r="C5626" s="20" t="str">
        <f t="array" ref="C5626">xlookup($A5626,product!$A:$A,product!C:C)</f>
        <v>Sel, épices, aide culinaire</v>
      </c>
      <c r="D5626" s="20" t="str">
        <f t="array" ref="D5626">xlookup($A5626,product!$A:$A,product!D:D)</f>
        <v>Bouillons cube</v>
      </c>
      <c r="E5626" s="4" t="str">
        <f t="shared" si="1"/>
        <v>88627-Sel, épices, aide culinaire-Bouillons cube</v>
      </c>
      <c r="F5626" s="4">
        <v>1.0</v>
      </c>
      <c r="G5626" s="4">
        <v>597.0</v>
      </c>
      <c r="H5626" s="4">
        <v>18.0</v>
      </c>
      <c r="I5626" s="21">
        <f t="array" ref="I5626">XLOOKUP($A5626,product!A:A,product!E:E)</f>
        <v>1.16</v>
      </c>
      <c r="J5626" s="4">
        <f t="shared" si="2"/>
        <v>20.88</v>
      </c>
      <c r="K5626" s="22">
        <f t="shared" si="3"/>
        <v>1</v>
      </c>
      <c r="L5626" s="4">
        <f t="shared" si="4"/>
        <v>1</v>
      </c>
    </row>
    <row r="5627">
      <c r="A5627" s="23">
        <v>105329.0</v>
      </c>
      <c r="B5627" s="24" t="str">
        <f t="array" ref="B5627">xlookup($A5627,product!$A:$A,product!B:B)</f>
        <v>Epicerie salée</v>
      </c>
      <c r="C5627" s="24" t="str">
        <f t="array" ref="C5627">xlookup($A5627,product!$A:$A,product!C:C)</f>
        <v>Sel, épices, aide culinaire</v>
      </c>
      <c r="D5627" s="24" t="str">
        <f t="array" ref="D5627">xlookup($A5627,product!$A:$A,product!D:D)</f>
        <v>Bouillons cube</v>
      </c>
      <c r="E5627" s="25" t="str">
        <f t="shared" si="1"/>
        <v>105329-Sel, épices, aide culinaire-Bouillons cube</v>
      </c>
      <c r="F5627" s="25">
        <v>0.0</v>
      </c>
      <c r="G5627" s="25">
        <v>174.0</v>
      </c>
      <c r="H5627" s="25">
        <v>162.0</v>
      </c>
      <c r="I5627" s="26">
        <f t="array" ref="I5627">XLOOKUP($A5627,product!A:A,product!E:E)</f>
        <v>0.79</v>
      </c>
      <c r="J5627" s="25">
        <f t="shared" si="2"/>
        <v>127.98</v>
      </c>
      <c r="K5627" s="27">
        <f t="shared" si="3"/>
        <v>1</v>
      </c>
      <c r="L5627" s="25">
        <f t="shared" si="4"/>
        <v>1</v>
      </c>
    </row>
    <row r="5628">
      <c r="A5628" s="19">
        <v>105330.0</v>
      </c>
      <c r="B5628" s="20" t="str">
        <f t="array" ref="B5628">xlookup($A5628,product!$A:$A,product!B:B)</f>
        <v>Epicerie salée</v>
      </c>
      <c r="C5628" s="20" t="str">
        <f t="array" ref="C5628">xlookup($A5628,product!$A:$A,product!C:C)</f>
        <v>Sel, épices, aide culinaire</v>
      </c>
      <c r="D5628" s="20" t="str">
        <f t="array" ref="D5628">xlookup($A5628,product!$A:$A,product!D:D)</f>
        <v>Bouillons cube</v>
      </c>
      <c r="E5628" s="4" t="str">
        <f t="shared" si="1"/>
        <v>105330-Sel, épices, aide culinaire-Bouillons cube</v>
      </c>
      <c r="F5628" s="4">
        <v>1.0</v>
      </c>
      <c r="G5628" s="4">
        <v>509.0</v>
      </c>
      <c r="H5628" s="4">
        <v>325.0</v>
      </c>
      <c r="I5628" s="21">
        <f t="array" ref="I5628">XLOOKUP($A5628,product!A:A,product!E:E)</f>
        <v>0.79</v>
      </c>
      <c r="J5628" s="4">
        <f t="shared" si="2"/>
        <v>256.75</v>
      </c>
      <c r="K5628" s="22">
        <f t="shared" si="3"/>
        <v>1</v>
      </c>
      <c r="L5628" s="4">
        <f t="shared" si="4"/>
        <v>1</v>
      </c>
    </row>
    <row r="5629">
      <c r="A5629" s="23">
        <v>80252.0</v>
      </c>
      <c r="B5629" s="24" t="str">
        <f t="array" ref="B5629">xlookup($A5629,product!$A:$A,product!B:B)</f>
        <v>Epicerie salée</v>
      </c>
      <c r="C5629" s="24" t="str">
        <f t="array" ref="C5629">xlookup($A5629,product!$A:$A,product!C:C)</f>
        <v>Sel, épices, aide culinaire</v>
      </c>
      <c r="D5629" s="24" t="str">
        <f t="array" ref="D5629">xlookup($A5629,product!$A:$A,product!D:D)</f>
        <v>Bouillons cube</v>
      </c>
      <c r="E5629" s="25" t="str">
        <f t="shared" si="1"/>
        <v>80252-Sel, épices, aide culinaire-Bouillons cube</v>
      </c>
      <c r="F5629" s="25">
        <v>1.0</v>
      </c>
      <c r="G5629" s="25">
        <v>831.0</v>
      </c>
      <c r="H5629" s="25">
        <v>44.0</v>
      </c>
      <c r="I5629" s="26">
        <f t="array" ref="I5629">XLOOKUP($A5629,product!A:A,product!E:E)</f>
        <v>1.15</v>
      </c>
      <c r="J5629" s="25">
        <f t="shared" si="2"/>
        <v>50.6</v>
      </c>
      <c r="K5629" s="27">
        <f t="shared" si="3"/>
        <v>1</v>
      </c>
      <c r="L5629" s="25">
        <f t="shared" si="4"/>
        <v>1</v>
      </c>
    </row>
    <row r="5630">
      <c r="A5630" s="19">
        <v>77468.0</v>
      </c>
      <c r="B5630" s="20" t="str">
        <f t="array" ref="B5630">xlookup($A5630,product!$A:$A,product!B:B)</f>
        <v>Epicerie salée</v>
      </c>
      <c r="C5630" s="20" t="str">
        <f t="array" ref="C5630">xlookup($A5630,product!$A:$A,product!C:C)</f>
        <v>Sel, épices, aide culinaire</v>
      </c>
      <c r="D5630" s="20" t="str">
        <f t="array" ref="D5630">xlookup($A5630,product!$A:$A,product!D:D)</f>
        <v>Herbes et aromates</v>
      </c>
      <c r="E5630" s="4" t="str">
        <f t="shared" si="1"/>
        <v>77468-Sel, épices, aide culinaire-Herbes et aromates</v>
      </c>
      <c r="F5630" s="4">
        <v>1.0</v>
      </c>
      <c r="G5630" s="4">
        <v>396.0</v>
      </c>
      <c r="H5630" s="4">
        <v>176.0</v>
      </c>
      <c r="I5630" s="21">
        <f t="array" ref="I5630">XLOOKUP($A5630,product!A:A,product!E:E)</f>
        <v>1.72</v>
      </c>
      <c r="J5630" s="4">
        <f t="shared" si="2"/>
        <v>302.72</v>
      </c>
      <c r="K5630" s="22">
        <f t="shared" si="3"/>
        <v>1</v>
      </c>
      <c r="L5630" s="4">
        <f t="shared" si="4"/>
        <v>1</v>
      </c>
    </row>
    <row r="5631">
      <c r="A5631" s="23">
        <v>24203.0</v>
      </c>
      <c r="B5631" s="24" t="str">
        <f t="array" ref="B5631">xlookup($A5631,product!$A:$A,product!B:B)</f>
        <v>Epicerie salée</v>
      </c>
      <c r="C5631" s="24" t="str">
        <f t="array" ref="C5631">xlookup($A5631,product!$A:$A,product!C:C)</f>
        <v>Sel, épices, aide culinaire</v>
      </c>
      <c r="D5631" s="24" t="str">
        <f t="array" ref="D5631">xlookup($A5631,product!$A:$A,product!D:D)</f>
        <v>Herbes et aromates</v>
      </c>
      <c r="E5631" s="25" t="str">
        <f t="shared" si="1"/>
        <v>24203-Sel, épices, aide culinaire-Herbes et aromates</v>
      </c>
      <c r="F5631" s="25">
        <v>0.0</v>
      </c>
      <c r="G5631" s="25">
        <v>363.0</v>
      </c>
      <c r="H5631" s="25">
        <v>272.0</v>
      </c>
      <c r="I5631" s="26">
        <f t="array" ref="I5631">XLOOKUP($A5631,product!A:A,product!E:E)</f>
        <v>1.99</v>
      </c>
      <c r="J5631" s="25">
        <f t="shared" si="2"/>
        <v>541.28</v>
      </c>
      <c r="K5631" s="27">
        <f t="shared" si="3"/>
        <v>1</v>
      </c>
      <c r="L5631" s="25">
        <f t="shared" si="4"/>
        <v>1</v>
      </c>
    </row>
    <row r="5632">
      <c r="A5632" s="19">
        <v>139291.0</v>
      </c>
      <c r="B5632" s="20" t="str">
        <f t="array" ref="B5632">xlookup($A5632,product!$A:$A,product!B:B)</f>
        <v>Epicerie salée</v>
      </c>
      <c r="C5632" s="20" t="str">
        <f t="array" ref="C5632">xlookup($A5632,product!$A:$A,product!C:C)</f>
        <v>Sel, épices, aide culinaire</v>
      </c>
      <c r="D5632" s="20" t="str">
        <f t="array" ref="D5632">xlookup($A5632,product!$A:$A,product!D:D)</f>
        <v>Herbes et aromates</v>
      </c>
      <c r="E5632" s="4" t="str">
        <f t="shared" si="1"/>
        <v>139291-Sel, épices, aide culinaire-Herbes et aromates</v>
      </c>
      <c r="F5632" s="4">
        <v>0.0</v>
      </c>
      <c r="G5632" s="4">
        <v>701.0</v>
      </c>
      <c r="H5632" s="4">
        <v>366.0</v>
      </c>
      <c r="I5632" s="21">
        <f t="array" ref="I5632">XLOOKUP($A5632,product!A:A,product!E:E)</f>
        <v>4.1</v>
      </c>
      <c r="J5632" s="4">
        <f t="shared" si="2"/>
        <v>1500.6</v>
      </c>
      <c r="K5632" s="22">
        <f t="shared" si="3"/>
        <v>1</v>
      </c>
      <c r="L5632" s="4">
        <f t="shared" si="4"/>
        <v>1</v>
      </c>
    </row>
    <row r="5633">
      <c r="A5633" s="23">
        <v>77426.0</v>
      </c>
      <c r="B5633" s="24" t="str">
        <f t="array" ref="B5633">xlookup($A5633,product!$A:$A,product!B:B)</f>
        <v>Epicerie salée</v>
      </c>
      <c r="C5633" s="24" t="str">
        <f t="array" ref="C5633">xlookup($A5633,product!$A:$A,product!C:C)</f>
        <v>Sel, épices, aide culinaire</v>
      </c>
      <c r="D5633" s="24" t="str">
        <f t="array" ref="D5633">xlookup($A5633,product!$A:$A,product!D:D)</f>
        <v>Herbes et aromates</v>
      </c>
      <c r="E5633" s="25" t="str">
        <f t="shared" si="1"/>
        <v>77426-Sel, épices, aide culinaire-Herbes et aromates</v>
      </c>
      <c r="F5633" s="25">
        <v>1.0</v>
      </c>
      <c r="G5633" s="25">
        <v>486.0</v>
      </c>
      <c r="H5633" s="25">
        <v>449.0</v>
      </c>
      <c r="I5633" s="26">
        <f t="array" ref="I5633">XLOOKUP($A5633,product!A:A,product!E:E)</f>
        <v>1.65</v>
      </c>
      <c r="J5633" s="25">
        <f t="shared" si="2"/>
        <v>740.85</v>
      </c>
      <c r="K5633" s="27">
        <f t="shared" si="3"/>
        <v>1</v>
      </c>
      <c r="L5633" s="25">
        <f t="shared" si="4"/>
        <v>1</v>
      </c>
    </row>
    <row r="5634">
      <c r="A5634" s="19">
        <v>94039.0</v>
      </c>
      <c r="B5634" s="20" t="str">
        <f t="array" ref="B5634">xlookup($A5634,product!$A:$A,product!B:B)</f>
        <v>Epicerie salée</v>
      </c>
      <c r="C5634" s="20" t="str">
        <f t="array" ref="C5634">xlookup($A5634,product!$A:$A,product!C:C)</f>
        <v>Sel, épices, aide culinaire</v>
      </c>
      <c r="D5634" s="20" t="str">
        <f t="array" ref="D5634">xlookup($A5634,product!$A:$A,product!D:D)</f>
        <v>Herbes et aromates</v>
      </c>
      <c r="E5634" s="4" t="str">
        <f t="shared" si="1"/>
        <v>94039-Sel, épices, aide culinaire-Herbes et aromates</v>
      </c>
      <c r="F5634" s="4">
        <v>0.0</v>
      </c>
      <c r="G5634" s="4">
        <v>764.0</v>
      </c>
      <c r="H5634" s="4">
        <v>323.0</v>
      </c>
      <c r="I5634" s="21">
        <f t="array" ref="I5634">XLOOKUP($A5634,product!A:A,product!E:E)</f>
        <v>1.91</v>
      </c>
      <c r="J5634" s="4">
        <f t="shared" si="2"/>
        <v>616.93</v>
      </c>
      <c r="K5634" s="22">
        <f t="shared" si="3"/>
        <v>1</v>
      </c>
      <c r="L5634" s="4">
        <f t="shared" si="4"/>
        <v>1</v>
      </c>
    </row>
    <row r="5635">
      <c r="A5635" s="23">
        <v>9508.0</v>
      </c>
      <c r="B5635" s="24" t="str">
        <f t="array" ref="B5635">xlookup($A5635,product!$A:$A,product!B:B)</f>
        <v>Epicerie salée</v>
      </c>
      <c r="C5635" s="24" t="str">
        <f t="array" ref="C5635">xlookup($A5635,product!$A:$A,product!C:C)</f>
        <v>Sel, épices, aide culinaire</v>
      </c>
      <c r="D5635" s="24" t="str">
        <f t="array" ref="D5635">xlookup($A5635,product!$A:$A,product!D:D)</f>
        <v>Herbes et aromates</v>
      </c>
      <c r="E5635" s="25" t="str">
        <f t="shared" si="1"/>
        <v>9508-Sel, épices, aide culinaire-Herbes et aromates</v>
      </c>
      <c r="F5635" s="25">
        <v>1.0</v>
      </c>
      <c r="G5635" s="25">
        <v>563.0</v>
      </c>
      <c r="H5635" s="25">
        <v>331.0</v>
      </c>
      <c r="I5635" s="26">
        <f t="array" ref="I5635">XLOOKUP($A5635,product!A:A,product!E:E)</f>
        <v>1.21</v>
      </c>
      <c r="J5635" s="25">
        <f t="shared" si="2"/>
        <v>400.51</v>
      </c>
      <c r="K5635" s="27">
        <f t="shared" si="3"/>
        <v>1</v>
      </c>
      <c r="L5635" s="25">
        <f t="shared" si="4"/>
        <v>1</v>
      </c>
    </row>
    <row r="5636">
      <c r="A5636" s="19">
        <v>121595.0</v>
      </c>
      <c r="B5636" s="20" t="str">
        <f t="array" ref="B5636">xlookup($A5636,product!$A:$A,product!B:B)</f>
        <v>Epicerie salée</v>
      </c>
      <c r="C5636" s="20" t="str">
        <f t="array" ref="C5636">xlookup($A5636,product!$A:$A,product!C:C)</f>
        <v>Sel, épices, aide culinaire</v>
      </c>
      <c r="D5636" s="20" t="str">
        <f t="array" ref="D5636">xlookup($A5636,product!$A:$A,product!D:D)</f>
        <v>Herbes et aromates</v>
      </c>
      <c r="E5636" s="4" t="str">
        <f t="shared" si="1"/>
        <v>121595-Sel, épices, aide culinaire-Herbes et aromates</v>
      </c>
      <c r="F5636" s="4">
        <v>1.0</v>
      </c>
      <c r="G5636" s="4">
        <v>607.0</v>
      </c>
      <c r="H5636" s="4">
        <v>239.0</v>
      </c>
      <c r="I5636" s="21">
        <f t="array" ref="I5636">XLOOKUP($A5636,product!A:A,product!E:E)</f>
        <v>0.97</v>
      </c>
      <c r="J5636" s="4">
        <f t="shared" si="2"/>
        <v>231.83</v>
      </c>
      <c r="K5636" s="22">
        <f t="shared" si="3"/>
        <v>1</v>
      </c>
      <c r="L5636" s="4">
        <f t="shared" si="4"/>
        <v>1</v>
      </c>
    </row>
    <row r="5637">
      <c r="A5637" s="23">
        <v>124762.0</v>
      </c>
      <c r="B5637" s="24" t="str">
        <f t="array" ref="B5637">xlookup($A5637,product!$A:$A,product!B:B)</f>
        <v>Epicerie salée</v>
      </c>
      <c r="C5637" s="24" t="str">
        <f t="array" ref="C5637">xlookup($A5637,product!$A:$A,product!C:C)</f>
        <v>Sel, épices, aide culinaire</v>
      </c>
      <c r="D5637" s="24" t="str">
        <f t="array" ref="D5637">xlookup($A5637,product!$A:$A,product!D:D)</f>
        <v>Herbes et aromates</v>
      </c>
      <c r="E5637" s="25" t="str">
        <f t="shared" si="1"/>
        <v>124762-Sel, épices, aide culinaire-Herbes et aromates</v>
      </c>
      <c r="F5637" s="25">
        <v>1.0</v>
      </c>
      <c r="G5637" s="25">
        <v>57.0</v>
      </c>
      <c r="H5637" s="25">
        <v>48.0</v>
      </c>
      <c r="I5637" s="26">
        <f t="array" ref="I5637">XLOOKUP($A5637,product!A:A,product!E:E)</f>
        <v>4.94</v>
      </c>
      <c r="J5637" s="25">
        <f t="shared" si="2"/>
        <v>237.12</v>
      </c>
      <c r="K5637" s="27">
        <f t="shared" si="3"/>
        <v>1</v>
      </c>
      <c r="L5637" s="25">
        <f t="shared" si="4"/>
        <v>1</v>
      </c>
    </row>
    <row r="5638">
      <c r="A5638" s="19">
        <v>77462.0</v>
      </c>
      <c r="B5638" s="20" t="str">
        <f t="array" ref="B5638">xlookup($A5638,product!$A:$A,product!B:B)</f>
        <v>Epicerie salée</v>
      </c>
      <c r="C5638" s="20" t="str">
        <f t="array" ref="C5638">xlookup($A5638,product!$A:$A,product!C:C)</f>
        <v>Sel, épices, aide culinaire</v>
      </c>
      <c r="D5638" s="20" t="str">
        <f t="array" ref="D5638">xlookup($A5638,product!$A:$A,product!D:D)</f>
        <v>Herbes et aromates</v>
      </c>
      <c r="E5638" s="4" t="str">
        <f t="shared" si="1"/>
        <v>77462-Sel, épices, aide culinaire-Herbes et aromates</v>
      </c>
      <c r="F5638" s="4">
        <v>0.0</v>
      </c>
      <c r="G5638" s="4">
        <v>698.0</v>
      </c>
      <c r="H5638" s="4">
        <v>372.0</v>
      </c>
      <c r="I5638" s="21">
        <f t="array" ref="I5638">XLOOKUP($A5638,product!A:A,product!E:E)</f>
        <v>1.27</v>
      </c>
      <c r="J5638" s="4">
        <f t="shared" si="2"/>
        <v>472.44</v>
      </c>
      <c r="K5638" s="22">
        <f t="shared" si="3"/>
        <v>1</v>
      </c>
      <c r="L5638" s="4">
        <f t="shared" si="4"/>
        <v>1</v>
      </c>
    </row>
    <row r="5639">
      <c r="A5639" s="23">
        <v>49158.0</v>
      </c>
      <c r="B5639" s="24" t="str">
        <f t="array" ref="B5639">xlookup($A5639,product!$A:$A,product!B:B)</f>
        <v>Epicerie salée</v>
      </c>
      <c r="C5639" s="24" t="str">
        <f t="array" ref="C5639">xlookup($A5639,product!$A:$A,product!C:C)</f>
        <v>Sel, épices, aide culinaire</v>
      </c>
      <c r="D5639" s="24" t="str">
        <f t="array" ref="D5639">xlookup($A5639,product!$A:$A,product!D:D)</f>
        <v>Herbes et aromates</v>
      </c>
      <c r="E5639" s="25" t="str">
        <f t="shared" si="1"/>
        <v>49158-Sel, épices, aide culinaire-Herbes et aromates</v>
      </c>
      <c r="F5639" s="25">
        <v>1.0</v>
      </c>
      <c r="G5639" s="25">
        <v>496.0</v>
      </c>
      <c r="H5639" s="25">
        <v>461.0</v>
      </c>
      <c r="I5639" s="26">
        <f t="array" ref="I5639">XLOOKUP($A5639,product!A:A,product!E:E)</f>
        <v>2.39</v>
      </c>
      <c r="J5639" s="25">
        <f t="shared" si="2"/>
        <v>1101.79</v>
      </c>
      <c r="K5639" s="27">
        <f t="shared" si="3"/>
        <v>1</v>
      </c>
      <c r="L5639" s="25">
        <f t="shared" si="4"/>
        <v>1</v>
      </c>
    </row>
    <row r="5640">
      <c r="A5640" s="19">
        <v>93982.0</v>
      </c>
      <c r="B5640" s="20" t="str">
        <f t="array" ref="B5640">xlookup($A5640,product!$A:$A,product!B:B)</f>
        <v>Epicerie salée</v>
      </c>
      <c r="C5640" s="20" t="str">
        <f t="array" ref="C5640">xlookup($A5640,product!$A:$A,product!C:C)</f>
        <v>Sel, épices, aide culinaire</v>
      </c>
      <c r="D5640" s="20" t="str">
        <f t="array" ref="D5640">xlookup($A5640,product!$A:$A,product!D:D)</f>
        <v>Herbes et aromates</v>
      </c>
      <c r="E5640" s="4" t="str">
        <f t="shared" si="1"/>
        <v>93982-Sel, épices, aide culinaire-Herbes et aromates</v>
      </c>
      <c r="F5640" s="4">
        <v>1.0</v>
      </c>
      <c r="G5640" s="4">
        <v>98.0</v>
      </c>
      <c r="H5640" s="4">
        <v>84.0</v>
      </c>
      <c r="I5640" s="21">
        <f t="array" ref="I5640">XLOOKUP($A5640,product!A:A,product!E:E)</f>
        <v>1.43</v>
      </c>
      <c r="J5640" s="4">
        <f t="shared" si="2"/>
        <v>120.12</v>
      </c>
      <c r="K5640" s="22">
        <f t="shared" si="3"/>
        <v>1</v>
      </c>
      <c r="L5640" s="4">
        <f t="shared" si="4"/>
        <v>1</v>
      </c>
    </row>
    <row r="5641">
      <c r="A5641" s="23">
        <v>9546.0</v>
      </c>
      <c r="B5641" s="24" t="str">
        <f t="array" ref="B5641">xlookup($A5641,product!$A:$A,product!B:B)</f>
        <v>Epicerie salée</v>
      </c>
      <c r="C5641" s="24" t="str">
        <f t="array" ref="C5641">xlookup($A5641,product!$A:$A,product!C:C)</f>
        <v>Sel, épices, aide culinaire</v>
      </c>
      <c r="D5641" s="24" t="str">
        <f t="array" ref="D5641">xlookup($A5641,product!$A:$A,product!D:D)</f>
        <v>Herbes et aromates</v>
      </c>
      <c r="E5641" s="25" t="str">
        <f t="shared" si="1"/>
        <v>9546-Sel, épices, aide culinaire-Herbes et aromates</v>
      </c>
      <c r="F5641" s="25">
        <v>0.0</v>
      </c>
      <c r="G5641" s="25">
        <v>700.0</v>
      </c>
      <c r="H5641" s="25">
        <v>650.0</v>
      </c>
      <c r="I5641" s="26">
        <f t="array" ref="I5641">XLOOKUP($A5641,product!A:A,product!E:E)</f>
        <v>1.75</v>
      </c>
      <c r="J5641" s="25">
        <f t="shared" si="2"/>
        <v>1137.5</v>
      </c>
      <c r="K5641" s="27">
        <f t="shared" si="3"/>
        <v>1</v>
      </c>
      <c r="L5641" s="25">
        <f t="shared" si="4"/>
        <v>1</v>
      </c>
    </row>
    <row r="5642">
      <c r="A5642" s="19">
        <v>9482.0</v>
      </c>
      <c r="B5642" s="20" t="str">
        <f t="array" ref="B5642">xlookup($A5642,product!$A:$A,product!B:B)</f>
        <v>Epicerie salée</v>
      </c>
      <c r="C5642" s="20" t="str">
        <f t="array" ref="C5642">xlookup($A5642,product!$A:$A,product!C:C)</f>
        <v>Sel, épices, aide culinaire</v>
      </c>
      <c r="D5642" s="20" t="str">
        <f t="array" ref="D5642">xlookup($A5642,product!$A:$A,product!D:D)</f>
        <v>Herbes et aromates</v>
      </c>
      <c r="E5642" s="4" t="str">
        <f t="shared" si="1"/>
        <v>9482-Sel, épices, aide culinaire-Herbes et aromates</v>
      </c>
      <c r="F5642" s="4">
        <v>0.0</v>
      </c>
      <c r="G5642" s="4">
        <v>688.0</v>
      </c>
      <c r="H5642" s="4">
        <v>246.0</v>
      </c>
      <c r="I5642" s="21">
        <f t="array" ref="I5642">XLOOKUP($A5642,product!A:A,product!E:E)</f>
        <v>2.11</v>
      </c>
      <c r="J5642" s="4">
        <f t="shared" si="2"/>
        <v>519.06</v>
      </c>
      <c r="K5642" s="22">
        <f t="shared" si="3"/>
        <v>1</v>
      </c>
      <c r="L5642" s="4">
        <f t="shared" si="4"/>
        <v>1</v>
      </c>
    </row>
    <row r="5643">
      <c r="A5643" s="23">
        <v>139290.0</v>
      </c>
      <c r="B5643" s="24" t="str">
        <f t="array" ref="B5643">xlookup($A5643,product!$A:$A,product!B:B)</f>
        <v>Epicerie salée</v>
      </c>
      <c r="C5643" s="24" t="str">
        <f t="array" ref="C5643">xlookup($A5643,product!$A:$A,product!C:C)</f>
        <v>Sel, épices, aide culinaire</v>
      </c>
      <c r="D5643" s="24" t="str">
        <f t="array" ref="D5643">xlookup($A5643,product!$A:$A,product!D:D)</f>
        <v>Herbes et aromates</v>
      </c>
      <c r="E5643" s="25" t="str">
        <f t="shared" si="1"/>
        <v>139290-Sel, épices, aide culinaire-Herbes et aromates</v>
      </c>
      <c r="F5643" s="25">
        <v>0.0</v>
      </c>
      <c r="G5643" s="25">
        <v>353.0</v>
      </c>
      <c r="H5643" s="25">
        <v>306.0</v>
      </c>
      <c r="I5643" s="26">
        <f t="array" ref="I5643">XLOOKUP($A5643,product!A:A,product!E:E)</f>
        <v>1.58</v>
      </c>
      <c r="J5643" s="25">
        <f t="shared" si="2"/>
        <v>483.48</v>
      </c>
      <c r="K5643" s="27">
        <f t="shared" si="3"/>
        <v>1</v>
      </c>
      <c r="L5643" s="25">
        <f t="shared" si="4"/>
        <v>1</v>
      </c>
    </row>
    <row r="5644">
      <c r="A5644" s="19">
        <v>121596.0</v>
      </c>
      <c r="B5644" s="20" t="str">
        <f t="array" ref="B5644">xlookup($A5644,product!$A:$A,product!B:B)</f>
        <v>Epicerie salée</v>
      </c>
      <c r="C5644" s="20" t="str">
        <f t="array" ref="C5644">xlookup($A5644,product!$A:$A,product!C:C)</f>
        <v>Sel, épices, aide culinaire</v>
      </c>
      <c r="D5644" s="20" t="str">
        <f t="array" ref="D5644">xlookup($A5644,product!$A:$A,product!D:D)</f>
        <v>Herbes et aromates</v>
      </c>
      <c r="E5644" s="4" t="str">
        <f t="shared" si="1"/>
        <v>121596-Sel, épices, aide culinaire-Herbes et aromates</v>
      </c>
      <c r="F5644" s="4">
        <v>1.0</v>
      </c>
      <c r="G5644" s="4">
        <v>627.0</v>
      </c>
      <c r="H5644" s="4">
        <v>260.0</v>
      </c>
      <c r="I5644" s="21">
        <f t="array" ref="I5644">XLOOKUP($A5644,product!A:A,product!E:E)</f>
        <v>0.77</v>
      </c>
      <c r="J5644" s="4">
        <f t="shared" si="2"/>
        <v>200.2</v>
      </c>
      <c r="K5644" s="22">
        <f t="shared" si="3"/>
        <v>1</v>
      </c>
      <c r="L5644" s="4">
        <f t="shared" si="4"/>
        <v>1</v>
      </c>
    </row>
    <row r="5645">
      <c r="A5645" s="23">
        <v>14441.0</v>
      </c>
      <c r="B5645" s="24" t="str">
        <f t="array" ref="B5645">xlookup($A5645,product!$A:$A,product!B:B)</f>
        <v>Epicerie salée</v>
      </c>
      <c r="C5645" s="24" t="str">
        <f t="array" ref="C5645">xlookup($A5645,product!$A:$A,product!C:C)</f>
        <v>Sel, épices, aide culinaire</v>
      </c>
      <c r="D5645" s="24" t="str">
        <f t="array" ref="D5645">xlookup($A5645,product!$A:$A,product!D:D)</f>
        <v>Herbes et aromates</v>
      </c>
      <c r="E5645" s="25" t="str">
        <f t="shared" si="1"/>
        <v>14441-Sel, épices, aide culinaire-Herbes et aromates</v>
      </c>
      <c r="F5645" s="25">
        <v>1.0</v>
      </c>
      <c r="G5645" s="25">
        <v>950.0</v>
      </c>
      <c r="H5645" s="25">
        <v>676.0</v>
      </c>
      <c r="I5645" s="26">
        <f t="array" ref="I5645">XLOOKUP($A5645,product!A:A,product!E:E)</f>
        <v>2.39</v>
      </c>
      <c r="J5645" s="25">
        <f t="shared" si="2"/>
        <v>1615.64</v>
      </c>
      <c r="K5645" s="27">
        <f t="shared" si="3"/>
        <v>1</v>
      </c>
      <c r="L5645" s="25">
        <f t="shared" si="4"/>
        <v>1</v>
      </c>
    </row>
    <row r="5646">
      <c r="A5646" s="19">
        <v>9489.0</v>
      </c>
      <c r="B5646" s="20" t="str">
        <f t="array" ref="B5646">xlookup($A5646,product!$A:$A,product!B:B)</f>
        <v>Epicerie salée</v>
      </c>
      <c r="C5646" s="20" t="str">
        <f t="array" ref="C5646">xlookup($A5646,product!$A:$A,product!C:C)</f>
        <v>Sel, épices, aide culinaire</v>
      </c>
      <c r="D5646" s="20" t="str">
        <f t="array" ref="D5646">xlookup($A5646,product!$A:$A,product!D:D)</f>
        <v>Herbes et aromates</v>
      </c>
      <c r="E5646" s="4" t="str">
        <f t="shared" si="1"/>
        <v>9489-Sel, épices, aide culinaire-Herbes et aromates</v>
      </c>
      <c r="F5646" s="4">
        <v>0.0</v>
      </c>
      <c r="G5646" s="4">
        <v>8.0</v>
      </c>
      <c r="H5646" s="4">
        <v>4.0</v>
      </c>
      <c r="I5646" s="21">
        <f t="array" ref="I5646">XLOOKUP($A5646,product!A:A,product!E:E)</f>
        <v>1.13</v>
      </c>
      <c r="J5646" s="4">
        <f t="shared" si="2"/>
        <v>4.52</v>
      </c>
      <c r="K5646" s="22">
        <f t="shared" si="3"/>
        <v>1</v>
      </c>
      <c r="L5646" s="4">
        <f t="shared" si="4"/>
        <v>1</v>
      </c>
    </row>
    <row r="5647">
      <c r="A5647" s="23">
        <v>103189.0</v>
      </c>
      <c r="B5647" s="24" t="str">
        <f t="array" ref="B5647">xlookup($A5647,product!$A:$A,product!B:B)</f>
        <v>Epicerie salée</v>
      </c>
      <c r="C5647" s="24" t="str">
        <f t="array" ref="C5647">xlookup($A5647,product!$A:$A,product!C:C)</f>
        <v>Sel, épices, aide culinaire</v>
      </c>
      <c r="D5647" s="24" t="str">
        <f t="array" ref="D5647">xlookup($A5647,product!$A:$A,product!D:D)</f>
        <v>Herbes et aromates</v>
      </c>
      <c r="E5647" s="25" t="str">
        <f t="shared" si="1"/>
        <v>103189-Sel, épices, aide culinaire-Herbes et aromates</v>
      </c>
      <c r="F5647" s="25">
        <v>0.0</v>
      </c>
      <c r="G5647" s="25">
        <v>453.0</v>
      </c>
      <c r="H5647" s="25">
        <v>120.0</v>
      </c>
      <c r="I5647" s="26">
        <f t="array" ref="I5647">XLOOKUP($A5647,product!A:A,product!E:E)</f>
        <v>3.22</v>
      </c>
      <c r="J5647" s="25">
        <f t="shared" si="2"/>
        <v>386.4</v>
      </c>
      <c r="K5647" s="27">
        <f t="shared" si="3"/>
        <v>1</v>
      </c>
      <c r="L5647" s="25">
        <f t="shared" si="4"/>
        <v>1</v>
      </c>
    </row>
    <row r="5648">
      <c r="A5648" s="19">
        <v>9567.0</v>
      </c>
      <c r="B5648" s="20" t="str">
        <f t="array" ref="B5648">xlookup($A5648,product!$A:$A,product!B:B)</f>
        <v>Epicerie salée</v>
      </c>
      <c r="C5648" s="20" t="str">
        <f t="array" ref="C5648">xlookup($A5648,product!$A:$A,product!C:C)</f>
        <v>Sel, épices, aide culinaire</v>
      </c>
      <c r="D5648" s="20" t="str">
        <f t="array" ref="D5648">xlookup($A5648,product!$A:$A,product!D:D)</f>
        <v>Herbes et aromates</v>
      </c>
      <c r="E5648" s="4" t="str">
        <f t="shared" si="1"/>
        <v>9567-Sel, épices, aide culinaire-Herbes et aromates</v>
      </c>
      <c r="F5648" s="4">
        <v>1.0</v>
      </c>
      <c r="G5648" s="4">
        <v>897.0</v>
      </c>
      <c r="H5648" s="4">
        <v>37.0</v>
      </c>
      <c r="I5648" s="21">
        <f t="array" ref="I5648">XLOOKUP($A5648,product!A:A,product!E:E)</f>
        <v>1.2</v>
      </c>
      <c r="J5648" s="4">
        <f t="shared" si="2"/>
        <v>44.4</v>
      </c>
      <c r="K5648" s="22">
        <f t="shared" si="3"/>
        <v>1</v>
      </c>
      <c r="L5648" s="4">
        <f t="shared" si="4"/>
        <v>1</v>
      </c>
    </row>
    <row r="5649">
      <c r="A5649" s="23">
        <v>9543.0</v>
      </c>
      <c r="B5649" s="24" t="str">
        <f t="array" ref="B5649">xlookup($A5649,product!$A:$A,product!B:B)</f>
        <v>Epicerie salée</v>
      </c>
      <c r="C5649" s="24" t="str">
        <f t="array" ref="C5649">xlookup($A5649,product!$A:$A,product!C:C)</f>
        <v>Sel, épices, aide culinaire</v>
      </c>
      <c r="D5649" s="24" t="str">
        <f t="array" ref="D5649">xlookup($A5649,product!$A:$A,product!D:D)</f>
        <v>Herbes et aromates</v>
      </c>
      <c r="E5649" s="25" t="str">
        <f t="shared" si="1"/>
        <v>9543-Sel, épices, aide culinaire-Herbes et aromates</v>
      </c>
      <c r="F5649" s="25">
        <v>0.0</v>
      </c>
      <c r="G5649" s="25">
        <v>935.0</v>
      </c>
      <c r="H5649" s="25">
        <v>49.0</v>
      </c>
      <c r="I5649" s="26">
        <f t="array" ref="I5649">XLOOKUP($A5649,product!A:A,product!E:E)</f>
        <v>1.58</v>
      </c>
      <c r="J5649" s="25">
        <f t="shared" si="2"/>
        <v>77.42</v>
      </c>
      <c r="K5649" s="27">
        <f t="shared" si="3"/>
        <v>1</v>
      </c>
      <c r="L5649" s="25">
        <f t="shared" si="4"/>
        <v>1</v>
      </c>
    </row>
    <row r="5650">
      <c r="A5650" s="19">
        <v>77471.0</v>
      </c>
      <c r="B5650" s="20" t="str">
        <f t="array" ref="B5650">xlookup($A5650,product!$A:$A,product!B:B)</f>
        <v>Epicerie salée</v>
      </c>
      <c r="C5650" s="20" t="str">
        <f t="array" ref="C5650">xlookup($A5650,product!$A:$A,product!C:C)</f>
        <v>Sel, épices, aide culinaire</v>
      </c>
      <c r="D5650" s="20" t="str">
        <f t="array" ref="D5650">xlookup($A5650,product!$A:$A,product!D:D)</f>
        <v>Herbes et aromates</v>
      </c>
      <c r="E5650" s="4" t="str">
        <f t="shared" si="1"/>
        <v>77471-Sel, épices, aide culinaire-Herbes et aromates</v>
      </c>
      <c r="F5650" s="4">
        <v>0.0</v>
      </c>
      <c r="G5650" s="4">
        <v>572.0</v>
      </c>
      <c r="H5650" s="4">
        <v>431.0</v>
      </c>
      <c r="I5650" s="21">
        <f t="array" ref="I5650">XLOOKUP($A5650,product!A:A,product!E:E)</f>
        <v>1.77</v>
      </c>
      <c r="J5650" s="4">
        <f t="shared" si="2"/>
        <v>762.87</v>
      </c>
      <c r="K5650" s="22">
        <f t="shared" si="3"/>
        <v>1</v>
      </c>
      <c r="L5650" s="4">
        <f t="shared" si="4"/>
        <v>1</v>
      </c>
    </row>
    <row r="5651">
      <c r="A5651" s="23">
        <v>164631.0</v>
      </c>
      <c r="B5651" s="24" t="str">
        <f t="array" ref="B5651">xlookup($A5651,product!$A:$A,product!B:B)</f>
        <v>Epicerie salée</v>
      </c>
      <c r="C5651" s="24" t="str">
        <f t="array" ref="C5651">xlookup($A5651,product!$A:$A,product!C:C)</f>
        <v>Sel, épices, aide culinaire</v>
      </c>
      <c r="D5651" s="24" t="str">
        <f t="array" ref="D5651">xlookup($A5651,product!$A:$A,product!D:D)</f>
        <v>Herbes et aromates</v>
      </c>
      <c r="E5651" s="25" t="str">
        <f t="shared" si="1"/>
        <v>164631-Sel, épices, aide culinaire-Herbes et aromates</v>
      </c>
      <c r="F5651" s="25">
        <v>1.0</v>
      </c>
      <c r="G5651" s="25">
        <v>48.0</v>
      </c>
      <c r="H5651" s="25">
        <v>12.0</v>
      </c>
      <c r="I5651" s="26">
        <f t="array" ref="I5651">XLOOKUP($A5651,product!A:A,product!E:E)</f>
        <v>1.16</v>
      </c>
      <c r="J5651" s="25">
        <f t="shared" si="2"/>
        <v>13.92</v>
      </c>
      <c r="K5651" s="27">
        <f t="shared" si="3"/>
        <v>1</v>
      </c>
      <c r="L5651" s="25">
        <f t="shared" si="4"/>
        <v>1</v>
      </c>
    </row>
    <row r="5652">
      <c r="A5652" s="19">
        <v>9606.0</v>
      </c>
      <c r="B5652" s="20" t="str">
        <f t="array" ref="B5652">xlookup($A5652,product!$A:$A,product!B:B)</f>
        <v>Epicerie salée</v>
      </c>
      <c r="C5652" s="20" t="str">
        <f t="array" ref="C5652">xlookup($A5652,product!$A:$A,product!C:C)</f>
        <v>Sel, épices, aide culinaire</v>
      </c>
      <c r="D5652" s="20" t="str">
        <f t="array" ref="D5652">xlookup($A5652,product!$A:$A,product!D:D)</f>
        <v>Herbes et aromates</v>
      </c>
      <c r="E5652" s="4" t="str">
        <f t="shared" si="1"/>
        <v>9606-Sel, épices, aide culinaire-Herbes et aromates</v>
      </c>
      <c r="F5652" s="4">
        <v>0.0</v>
      </c>
      <c r="G5652" s="4">
        <v>189.0</v>
      </c>
      <c r="H5652" s="4">
        <v>62.0</v>
      </c>
      <c r="I5652" s="21">
        <f t="array" ref="I5652">XLOOKUP($A5652,product!A:A,product!E:E)</f>
        <v>2.44</v>
      </c>
      <c r="J5652" s="4">
        <f t="shared" si="2"/>
        <v>151.28</v>
      </c>
      <c r="K5652" s="22">
        <f t="shared" si="3"/>
        <v>1</v>
      </c>
      <c r="L5652" s="4">
        <f t="shared" si="4"/>
        <v>1</v>
      </c>
    </row>
    <row r="5653">
      <c r="A5653" s="23">
        <v>77473.0</v>
      </c>
      <c r="B5653" s="24" t="str">
        <f t="array" ref="B5653">xlookup($A5653,product!$A:$A,product!B:B)</f>
        <v>Epicerie salée</v>
      </c>
      <c r="C5653" s="24" t="str">
        <f t="array" ref="C5653">xlookup($A5653,product!$A:$A,product!C:C)</f>
        <v>Sel, épices, aide culinaire</v>
      </c>
      <c r="D5653" s="24" t="str">
        <f t="array" ref="D5653">xlookup($A5653,product!$A:$A,product!D:D)</f>
        <v>Herbes et aromates</v>
      </c>
      <c r="E5653" s="25" t="str">
        <f t="shared" si="1"/>
        <v>77473-Sel, épices, aide culinaire-Herbes et aromates</v>
      </c>
      <c r="F5653" s="25">
        <v>1.0</v>
      </c>
      <c r="G5653" s="25">
        <v>74.0</v>
      </c>
      <c r="H5653" s="25">
        <v>59.0</v>
      </c>
      <c r="I5653" s="26">
        <f t="array" ref="I5653">XLOOKUP($A5653,product!A:A,product!E:E)</f>
        <v>1.48</v>
      </c>
      <c r="J5653" s="25">
        <f t="shared" si="2"/>
        <v>87.32</v>
      </c>
      <c r="K5653" s="27">
        <f t="shared" si="3"/>
        <v>1</v>
      </c>
      <c r="L5653" s="25">
        <f t="shared" si="4"/>
        <v>1</v>
      </c>
    </row>
    <row r="5654">
      <c r="A5654" s="19">
        <v>9484.0</v>
      </c>
      <c r="B5654" s="20" t="str">
        <f t="array" ref="B5654">xlookup($A5654,product!$A:$A,product!B:B)</f>
        <v>Epicerie salée</v>
      </c>
      <c r="C5654" s="20" t="str">
        <f t="array" ref="C5654">xlookup($A5654,product!$A:$A,product!C:C)</f>
        <v>Sel, épices, aide culinaire</v>
      </c>
      <c r="D5654" s="20" t="str">
        <f t="array" ref="D5654">xlookup($A5654,product!$A:$A,product!D:D)</f>
        <v>Herbes et aromates</v>
      </c>
      <c r="E5654" s="4" t="str">
        <f t="shared" si="1"/>
        <v>9484-Sel, épices, aide culinaire-Herbes et aromates</v>
      </c>
      <c r="F5654" s="4">
        <v>0.0</v>
      </c>
      <c r="G5654" s="4">
        <v>170.0</v>
      </c>
      <c r="H5654" s="4">
        <v>94.0</v>
      </c>
      <c r="I5654" s="21">
        <f t="array" ref="I5654">XLOOKUP($A5654,product!A:A,product!E:E)</f>
        <v>2.16</v>
      </c>
      <c r="J5654" s="4">
        <f t="shared" si="2"/>
        <v>203.04</v>
      </c>
      <c r="K5654" s="22">
        <f t="shared" si="3"/>
        <v>1</v>
      </c>
      <c r="L5654" s="4">
        <f t="shared" si="4"/>
        <v>1</v>
      </c>
    </row>
    <row r="5655">
      <c r="A5655" s="23">
        <v>14439.0</v>
      </c>
      <c r="B5655" s="24" t="str">
        <f t="array" ref="B5655">xlookup($A5655,product!$A:$A,product!B:B)</f>
        <v>Epicerie salée</v>
      </c>
      <c r="C5655" s="24" t="str">
        <f t="array" ref="C5655">xlookup($A5655,product!$A:$A,product!C:C)</f>
        <v>Sel, épices, aide culinaire</v>
      </c>
      <c r="D5655" s="24" t="str">
        <f t="array" ref="D5655">xlookup($A5655,product!$A:$A,product!D:D)</f>
        <v>Herbes et aromates</v>
      </c>
      <c r="E5655" s="25" t="str">
        <f t="shared" si="1"/>
        <v>14439-Sel, épices, aide culinaire-Herbes et aromates</v>
      </c>
      <c r="F5655" s="25">
        <v>1.0</v>
      </c>
      <c r="G5655" s="25">
        <v>483.0</v>
      </c>
      <c r="H5655" s="25">
        <v>473.0</v>
      </c>
      <c r="I5655" s="26">
        <f t="array" ref="I5655">XLOOKUP($A5655,product!A:A,product!E:E)</f>
        <v>2.39</v>
      </c>
      <c r="J5655" s="25">
        <f t="shared" si="2"/>
        <v>1130.47</v>
      </c>
      <c r="K5655" s="27">
        <f t="shared" si="3"/>
        <v>1</v>
      </c>
      <c r="L5655" s="25">
        <f t="shared" si="4"/>
        <v>1</v>
      </c>
    </row>
    <row r="5656">
      <c r="A5656" s="19">
        <v>124761.0</v>
      </c>
      <c r="B5656" s="20" t="str">
        <f t="array" ref="B5656">xlookup($A5656,product!$A:$A,product!B:B)</f>
        <v>Epicerie salée</v>
      </c>
      <c r="C5656" s="20" t="str">
        <f t="array" ref="C5656">xlookup($A5656,product!$A:$A,product!C:C)</f>
        <v>Sel, épices, aide culinaire</v>
      </c>
      <c r="D5656" s="20" t="str">
        <f t="array" ref="D5656">xlookup($A5656,product!$A:$A,product!D:D)</f>
        <v>Herbes et aromates</v>
      </c>
      <c r="E5656" s="4" t="str">
        <f t="shared" si="1"/>
        <v>124761-Sel, épices, aide culinaire-Herbes et aromates</v>
      </c>
      <c r="F5656" s="4">
        <v>0.0</v>
      </c>
      <c r="G5656" s="4">
        <v>641.0</v>
      </c>
      <c r="H5656" s="4">
        <v>108.0</v>
      </c>
      <c r="I5656" s="21">
        <f t="array" ref="I5656">XLOOKUP($A5656,product!A:A,product!E:E)</f>
        <v>4.63</v>
      </c>
      <c r="J5656" s="4">
        <f t="shared" si="2"/>
        <v>500.04</v>
      </c>
      <c r="K5656" s="22">
        <f t="shared" si="3"/>
        <v>1</v>
      </c>
      <c r="L5656" s="4">
        <f t="shared" si="4"/>
        <v>1</v>
      </c>
    </row>
    <row r="5657">
      <c r="A5657" s="23">
        <v>14440.0</v>
      </c>
      <c r="B5657" s="24" t="str">
        <f t="array" ref="B5657">xlookup($A5657,product!$A:$A,product!B:B)</f>
        <v>Epicerie salée</v>
      </c>
      <c r="C5657" s="24" t="str">
        <f t="array" ref="C5657">xlookup($A5657,product!$A:$A,product!C:C)</f>
        <v>Sel, épices, aide culinaire</v>
      </c>
      <c r="D5657" s="24" t="str">
        <f t="array" ref="D5657">xlookup($A5657,product!$A:$A,product!D:D)</f>
        <v>Herbes et aromates</v>
      </c>
      <c r="E5657" s="25" t="str">
        <f t="shared" si="1"/>
        <v>14440-Sel, épices, aide culinaire-Herbes et aromates</v>
      </c>
      <c r="F5657" s="25">
        <v>1.0</v>
      </c>
      <c r="G5657" s="25">
        <v>8.0</v>
      </c>
      <c r="H5657" s="25">
        <v>8.0</v>
      </c>
      <c r="I5657" s="26">
        <f t="array" ref="I5657">XLOOKUP($A5657,product!A:A,product!E:E)</f>
        <v>2.39</v>
      </c>
      <c r="J5657" s="25">
        <f t="shared" si="2"/>
        <v>19.12</v>
      </c>
      <c r="K5657" s="27">
        <f t="shared" si="3"/>
        <v>1</v>
      </c>
      <c r="L5657" s="25">
        <f t="shared" si="4"/>
        <v>1</v>
      </c>
    </row>
    <row r="5658">
      <c r="A5658" s="19">
        <v>9544.0</v>
      </c>
      <c r="B5658" s="20" t="str">
        <f t="array" ref="B5658">xlookup($A5658,product!$A:$A,product!B:B)</f>
        <v>Epicerie salée</v>
      </c>
      <c r="C5658" s="20" t="str">
        <f t="array" ref="C5658">xlookup($A5658,product!$A:$A,product!C:C)</f>
        <v>Sel, épices, aide culinaire</v>
      </c>
      <c r="D5658" s="20" t="str">
        <f t="array" ref="D5658">xlookup($A5658,product!$A:$A,product!D:D)</f>
        <v>Herbes et aromates</v>
      </c>
      <c r="E5658" s="4" t="str">
        <f t="shared" si="1"/>
        <v>9544-Sel, épices, aide culinaire-Herbes et aromates</v>
      </c>
      <c r="F5658" s="4">
        <v>1.0</v>
      </c>
      <c r="G5658" s="4">
        <v>375.0</v>
      </c>
      <c r="H5658" s="4">
        <v>267.0</v>
      </c>
      <c r="I5658" s="21">
        <f t="array" ref="I5658">XLOOKUP($A5658,product!A:A,product!E:E)</f>
        <v>1.27</v>
      </c>
      <c r="J5658" s="4">
        <f t="shared" si="2"/>
        <v>339.09</v>
      </c>
      <c r="K5658" s="22">
        <f t="shared" si="3"/>
        <v>1</v>
      </c>
      <c r="L5658" s="4">
        <f t="shared" si="4"/>
        <v>1</v>
      </c>
    </row>
    <row r="5659">
      <c r="A5659" s="23">
        <v>46482.0</v>
      </c>
      <c r="B5659" s="24" t="str">
        <f t="array" ref="B5659">xlookup($A5659,product!$A:$A,product!B:B)</f>
        <v>Epicerie salée</v>
      </c>
      <c r="C5659" s="24" t="str">
        <f t="array" ref="C5659">xlookup($A5659,product!$A:$A,product!C:C)</f>
        <v>Sel, épices, aide culinaire</v>
      </c>
      <c r="D5659" s="24" t="str">
        <f t="array" ref="D5659">xlookup($A5659,product!$A:$A,product!D:D)</f>
        <v>Levure de bière et germe de blé</v>
      </c>
      <c r="E5659" s="25" t="str">
        <f t="shared" si="1"/>
        <v>46482-Sel, épices, aide culinaire-Levure de bière et germe de blé</v>
      </c>
      <c r="F5659" s="25">
        <v>0.0</v>
      </c>
      <c r="G5659" s="25">
        <v>746.0</v>
      </c>
      <c r="H5659" s="25">
        <v>728.0</v>
      </c>
      <c r="I5659" s="26">
        <f t="array" ref="I5659">XLOOKUP($A5659,product!A:A,product!E:E)</f>
        <v>2.59</v>
      </c>
      <c r="J5659" s="25">
        <f t="shared" si="2"/>
        <v>1885.52</v>
      </c>
      <c r="K5659" s="27">
        <f t="shared" si="3"/>
        <v>1</v>
      </c>
      <c r="L5659" s="25">
        <f t="shared" si="4"/>
        <v>1</v>
      </c>
    </row>
    <row r="5660">
      <c r="A5660" s="19">
        <v>46773.0</v>
      </c>
      <c r="B5660" s="20" t="str">
        <f t="array" ref="B5660">xlookup($A5660,product!$A:$A,product!B:B)</f>
        <v>Epicerie salée</v>
      </c>
      <c r="C5660" s="20" t="str">
        <f t="array" ref="C5660">xlookup($A5660,product!$A:$A,product!C:C)</f>
        <v>Sel, épices, aide culinaire</v>
      </c>
      <c r="D5660" s="20" t="str">
        <f t="array" ref="D5660">xlookup($A5660,product!$A:$A,product!D:D)</f>
        <v>Levure de bière et germe de blé</v>
      </c>
      <c r="E5660" s="4" t="str">
        <f t="shared" si="1"/>
        <v>46773-Sel, épices, aide culinaire-Levure de bière et germe de blé</v>
      </c>
      <c r="F5660" s="4">
        <v>1.0</v>
      </c>
      <c r="G5660" s="4">
        <v>676.0</v>
      </c>
      <c r="H5660" s="4">
        <v>109.0</v>
      </c>
      <c r="I5660" s="21">
        <f t="array" ref="I5660">XLOOKUP($A5660,product!A:A,product!E:E)</f>
        <v>1.8</v>
      </c>
      <c r="J5660" s="4">
        <f t="shared" si="2"/>
        <v>196.2</v>
      </c>
      <c r="K5660" s="22">
        <f t="shared" si="3"/>
        <v>1</v>
      </c>
      <c r="L5660" s="4">
        <f t="shared" si="4"/>
        <v>1</v>
      </c>
    </row>
    <row r="5661">
      <c r="A5661" s="23">
        <v>81502.0</v>
      </c>
      <c r="B5661" s="24" t="str">
        <f t="array" ref="B5661">xlookup($A5661,product!$A:$A,product!B:B)</f>
        <v>Epicerie salée</v>
      </c>
      <c r="C5661" s="24" t="str">
        <f t="array" ref="C5661">xlookup($A5661,product!$A:$A,product!C:C)</f>
        <v>Sel, épices, aide culinaire</v>
      </c>
      <c r="D5661" s="24" t="str">
        <f t="array" ref="D5661">xlookup($A5661,product!$A:$A,product!D:D)</f>
        <v>Levure de bière et germe de blé</v>
      </c>
      <c r="E5661" s="25" t="str">
        <f t="shared" si="1"/>
        <v>81502-Sel, épices, aide culinaire-Levure de bière et germe de blé</v>
      </c>
      <c r="F5661" s="25">
        <v>1.0</v>
      </c>
      <c r="G5661" s="25">
        <v>290.0</v>
      </c>
      <c r="H5661" s="25">
        <v>215.0</v>
      </c>
      <c r="I5661" s="26">
        <f t="array" ref="I5661">XLOOKUP($A5661,product!A:A,product!E:E)</f>
        <v>3.6</v>
      </c>
      <c r="J5661" s="25">
        <f t="shared" si="2"/>
        <v>774</v>
      </c>
      <c r="K5661" s="27">
        <f t="shared" si="3"/>
        <v>1</v>
      </c>
      <c r="L5661" s="25">
        <f t="shared" si="4"/>
        <v>1</v>
      </c>
    </row>
    <row r="5662">
      <c r="A5662" s="19">
        <v>76035.0</v>
      </c>
      <c r="B5662" s="20" t="str">
        <f t="array" ref="B5662">xlookup($A5662,product!$A:$A,product!B:B)</f>
        <v>Epicerie salée</v>
      </c>
      <c r="C5662" s="20" t="str">
        <f t="array" ref="C5662">xlookup($A5662,product!$A:$A,product!C:C)</f>
        <v>Sel, épices, aide culinaire</v>
      </c>
      <c r="D5662" s="20" t="str">
        <f t="array" ref="D5662">xlookup($A5662,product!$A:$A,product!D:D)</f>
        <v>Levure de bière et germe de blé</v>
      </c>
      <c r="E5662" s="4" t="str">
        <f t="shared" si="1"/>
        <v>76035-Sel, épices, aide culinaire-Levure de bière et germe de blé</v>
      </c>
      <c r="F5662" s="4">
        <v>0.0</v>
      </c>
      <c r="G5662" s="4">
        <v>317.0</v>
      </c>
      <c r="H5662" s="4">
        <v>247.0</v>
      </c>
      <c r="I5662" s="21">
        <f t="array" ref="I5662">XLOOKUP($A5662,product!A:A,product!E:E)</f>
        <v>2.2</v>
      </c>
      <c r="J5662" s="4">
        <f t="shared" si="2"/>
        <v>543.4</v>
      </c>
      <c r="K5662" s="22">
        <f t="shared" si="3"/>
        <v>1</v>
      </c>
      <c r="L5662" s="4">
        <f t="shared" si="4"/>
        <v>1</v>
      </c>
    </row>
    <row r="5663">
      <c r="A5663" s="23">
        <v>46774.0</v>
      </c>
      <c r="B5663" s="24" t="str">
        <f t="array" ref="B5663">xlookup($A5663,product!$A:$A,product!B:B)</f>
        <v>Epicerie salée</v>
      </c>
      <c r="C5663" s="24" t="str">
        <f t="array" ref="C5663">xlookup($A5663,product!$A:$A,product!C:C)</f>
        <v>Sel, épices, aide culinaire</v>
      </c>
      <c r="D5663" s="24" t="str">
        <f t="array" ref="D5663">xlookup($A5663,product!$A:$A,product!D:D)</f>
        <v>Levure de bière et germe de blé</v>
      </c>
      <c r="E5663" s="25" t="str">
        <f t="shared" si="1"/>
        <v>46774-Sel, épices, aide culinaire-Levure de bière et germe de blé</v>
      </c>
      <c r="F5663" s="25">
        <v>1.0</v>
      </c>
      <c r="G5663" s="25">
        <v>206.0</v>
      </c>
      <c r="H5663" s="25">
        <v>146.0</v>
      </c>
      <c r="I5663" s="26">
        <f t="array" ref="I5663">XLOOKUP($A5663,product!A:A,product!E:E)</f>
        <v>1.43</v>
      </c>
      <c r="J5663" s="25">
        <f t="shared" si="2"/>
        <v>208.78</v>
      </c>
      <c r="K5663" s="27">
        <f t="shared" si="3"/>
        <v>1</v>
      </c>
      <c r="L5663" s="25">
        <f t="shared" si="4"/>
        <v>1</v>
      </c>
    </row>
    <row r="5664">
      <c r="A5664" s="19">
        <v>121029.0</v>
      </c>
      <c r="B5664" s="20" t="str">
        <f t="array" ref="B5664">xlookup($A5664,product!$A:$A,product!B:B)</f>
        <v>Santé &amp; Bien-être</v>
      </c>
      <c r="C5664" s="20" t="str">
        <f t="array" ref="C5664">xlookup($A5664,product!$A:$A,product!C:C)</f>
        <v>Relaxation, Détente, Sommeil</v>
      </c>
      <c r="D5664" s="20" t="str">
        <f t="array" ref="D5664">xlookup($A5664,product!$A:$A,product!D:D)</f>
        <v>Aide à l'endormissement</v>
      </c>
      <c r="E5664" s="4" t="str">
        <f t="shared" si="1"/>
        <v>121029-Relaxation, Détente, Sommeil-Aide à l'endormissement</v>
      </c>
      <c r="F5664" s="4">
        <v>1.0</v>
      </c>
      <c r="G5664" s="4">
        <v>365.0</v>
      </c>
      <c r="H5664" s="4">
        <v>247.0</v>
      </c>
      <c r="I5664" s="21">
        <f t="array" ref="I5664">XLOOKUP($A5664,product!A:A,product!E:E)</f>
        <v>46.58</v>
      </c>
      <c r="J5664" s="4">
        <f t="shared" si="2"/>
        <v>11505.26</v>
      </c>
      <c r="K5664" s="22">
        <f t="shared" si="3"/>
        <v>1</v>
      </c>
      <c r="L5664" s="4">
        <f t="shared" si="4"/>
        <v>1</v>
      </c>
    </row>
    <row r="5665">
      <c r="A5665" s="23">
        <v>128199.0</v>
      </c>
      <c r="B5665" s="24" t="str">
        <f t="array" ref="B5665">xlookup($A5665,product!$A:$A,product!B:B)</f>
        <v>Santé &amp; Bien-être</v>
      </c>
      <c r="C5665" s="24" t="str">
        <f t="array" ref="C5665">xlookup($A5665,product!$A:$A,product!C:C)</f>
        <v>Relaxation, Détente, Sommeil</v>
      </c>
      <c r="D5665" s="24" t="str">
        <f t="array" ref="D5665">xlookup($A5665,product!$A:$A,product!D:D)</f>
        <v>Aide à l'endormissement</v>
      </c>
      <c r="E5665" s="25" t="str">
        <f t="shared" si="1"/>
        <v>128199-Relaxation, Détente, Sommeil-Aide à l'endormissement</v>
      </c>
      <c r="F5665" s="25">
        <v>1.0</v>
      </c>
      <c r="G5665" s="25">
        <v>506.0</v>
      </c>
      <c r="H5665" s="25">
        <v>111.0</v>
      </c>
      <c r="I5665" s="26">
        <f t="array" ref="I5665">XLOOKUP($A5665,product!A:A,product!E:E)</f>
        <v>47.53</v>
      </c>
      <c r="J5665" s="25">
        <f t="shared" si="2"/>
        <v>5275.83</v>
      </c>
      <c r="K5665" s="27">
        <f t="shared" si="3"/>
        <v>1</v>
      </c>
      <c r="L5665" s="25">
        <f t="shared" si="4"/>
        <v>1</v>
      </c>
    </row>
    <row r="5666">
      <c r="A5666" s="19">
        <v>82408.0</v>
      </c>
      <c r="B5666" s="20" t="str">
        <f t="array" ref="B5666">xlookup($A5666,product!$A:$A,product!B:B)</f>
        <v>Alimentation Bébé</v>
      </c>
      <c r="C5666" s="20" t="str">
        <f t="array" ref="C5666">xlookup($A5666,product!$A:$A,product!C:C)</f>
        <v>Goûters &amp; biscuits bio bébé</v>
      </c>
      <c r="D5666" s="20" t="str">
        <f t="array" ref="D5666">xlookup($A5666,product!$A:$A,product!D:D)</f>
        <v>Goûters bio bébé 6 mois</v>
      </c>
      <c r="E5666" s="4" t="str">
        <f t="shared" si="1"/>
        <v>82408-Goûters &amp; biscuits bio bébé-Goûters bio bébé 6 mois</v>
      </c>
      <c r="F5666" s="4">
        <v>0.0</v>
      </c>
      <c r="G5666" s="4">
        <v>101.0</v>
      </c>
      <c r="H5666" s="4">
        <v>58.0</v>
      </c>
      <c r="I5666" s="21">
        <f t="array" ref="I5666">XLOOKUP($A5666,product!A:A,product!E:E)</f>
        <v>2.86</v>
      </c>
      <c r="J5666" s="4">
        <f t="shared" si="2"/>
        <v>165.88</v>
      </c>
      <c r="K5666" s="22">
        <f t="shared" si="3"/>
        <v>1</v>
      </c>
      <c r="L5666" s="4">
        <f t="shared" si="4"/>
        <v>1</v>
      </c>
    </row>
    <row r="5667">
      <c r="A5667" s="23">
        <v>139298.0</v>
      </c>
      <c r="B5667" s="24" t="str">
        <f t="array" ref="B5667">xlookup($A5667,product!$A:$A,product!B:B)</f>
        <v>Alimentation Bébé</v>
      </c>
      <c r="C5667" s="24" t="str">
        <f t="array" ref="C5667">xlookup($A5667,product!$A:$A,product!C:C)</f>
        <v>Goûters &amp; biscuits bio bébé</v>
      </c>
      <c r="D5667" s="24" t="str">
        <f t="array" ref="D5667">xlookup($A5667,product!$A:$A,product!D:D)</f>
        <v>Goûters bio bébé 8 mois</v>
      </c>
      <c r="E5667" s="25" t="str">
        <f t="shared" si="1"/>
        <v>139298-Goûters &amp; biscuits bio bébé-Goûters bio bébé 8 mois</v>
      </c>
      <c r="F5667" s="25">
        <v>0.0</v>
      </c>
      <c r="G5667" s="25">
        <v>108.0</v>
      </c>
      <c r="H5667" s="25">
        <v>12.0</v>
      </c>
      <c r="I5667" s="26">
        <f t="array" ref="I5667">XLOOKUP($A5667,product!A:A,product!E:E)</f>
        <v>2.33</v>
      </c>
      <c r="J5667" s="25">
        <f t="shared" si="2"/>
        <v>27.96</v>
      </c>
      <c r="K5667" s="27">
        <f t="shared" si="3"/>
        <v>1</v>
      </c>
      <c r="L5667" s="25">
        <f t="shared" si="4"/>
        <v>1</v>
      </c>
    </row>
    <row r="5668">
      <c r="A5668" s="19">
        <v>91397.0</v>
      </c>
      <c r="B5668" s="20" t="str">
        <f t="array" ref="B5668">xlookup($A5668,product!$A:$A,product!B:B)</f>
        <v>Alimentation Bébé</v>
      </c>
      <c r="C5668" s="20" t="str">
        <f t="array" ref="C5668">xlookup($A5668,product!$A:$A,product!C:C)</f>
        <v>Goûters &amp; biscuits bio bébé</v>
      </c>
      <c r="D5668" s="20" t="str">
        <f t="array" ref="D5668">xlookup($A5668,product!$A:$A,product!D:D)</f>
        <v>Goûters bio bébé 8 mois</v>
      </c>
      <c r="E5668" s="4" t="str">
        <f t="shared" si="1"/>
        <v>91397-Goûters &amp; biscuits bio bébé-Goûters bio bébé 8 mois</v>
      </c>
      <c r="F5668" s="4">
        <v>0.0</v>
      </c>
      <c r="G5668" s="4">
        <v>490.0</v>
      </c>
      <c r="H5668" s="4">
        <v>490.0</v>
      </c>
      <c r="I5668" s="21">
        <f t="array" ref="I5668">XLOOKUP($A5668,product!A:A,product!E:E)</f>
        <v>2.1</v>
      </c>
      <c r="J5668" s="4">
        <f t="shared" si="2"/>
        <v>1029</v>
      </c>
      <c r="K5668" s="22">
        <f t="shared" si="3"/>
        <v>1</v>
      </c>
      <c r="L5668" s="4">
        <f t="shared" si="4"/>
        <v>1</v>
      </c>
    </row>
    <row r="5669">
      <c r="A5669" s="23">
        <v>91396.0</v>
      </c>
      <c r="B5669" s="24" t="str">
        <f t="array" ref="B5669">xlookup($A5669,product!$A:$A,product!B:B)</f>
        <v>Alimentation Bébé</v>
      </c>
      <c r="C5669" s="24" t="str">
        <f t="array" ref="C5669">xlookup($A5669,product!$A:$A,product!C:C)</f>
        <v>Goûters &amp; biscuits bio bébé</v>
      </c>
      <c r="D5669" s="24" t="str">
        <f t="array" ref="D5669">xlookup($A5669,product!$A:$A,product!D:D)</f>
        <v>Goûters bio bébé 8 mois</v>
      </c>
      <c r="E5669" s="25" t="str">
        <f t="shared" si="1"/>
        <v>91396-Goûters &amp; biscuits bio bébé-Goûters bio bébé 8 mois</v>
      </c>
      <c r="F5669" s="25">
        <v>0.0</v>
      </c>
      <c r="G5669" s="25">
        <v>45.0</v>
      </c>
      <c r="H5669" s="25">
        <v>34.0</v>
      </c>
      <c r="I5669" s="26">
        <f t="array" ref="I5669">XLOOKUP($A5669,product!A:A,product!E:E)</f>
        <v>2.1</v>
      </c>
      <c r="J5669" s="25">
        <f t="shared" si="2"/>
        <v>71.4</v>
      </c>
      <c r="K5669" s="27">
        <f t="shared" si="3"/>
        <v>1</v>
      </c>
      <c r="L5669" s="25">
        <f t="shared" si="4"/>
        <v>1</v>
      </c>
    </row>
    <row r="5670">
      <c r="A5670" s="19">
        <v>139302.0</v>
      </c>
      <c r="B5670" s="20" t="str">
        <f t="array" ref="B5670">xlookup($A5670,product!$A:$A,product!B:B)</f>
        <v>Alimentation Bébé</v>
      </c>
      <c r="C5670" s="20" t="str">
        <f t="array" ref="C5670">xlookup($A5670,product!$A:$A,product!C:C)</f>
        <v>Goûters &amp; biscuits bio bébé</v>
      </c>
      <c r="D5670" s="20" t="str">
        <f t="array" ref="D5670">xlookup($A5670,product!$A:$A,product!D:D)</f>
        <v>Goûters bio bébé 8 mois</v>
      </c>
      <c r="E5670" s="4" t="str">
        <f t="shared" si="1"/>
        <v>139302-Goûters &amp; biscuits bio bébé-Goûters bio bébé 8 mois</v>
      </c>
      <c r="F5670" s="4">
        <v>1.0</v>
      </c>
      <c r="G5670" s="4">
        <v>548.0</v>
      </c>
      <c r="H5670" s="4">
        <v>281.0</v>
      </c>
      <c r="I5670" s="21">
        <f t="array" ref="I5670">XLOOKUP($A5670,product!A:A,product!E:E)</f>
        <v>2.26</v>
      </c>
      <c r="J5670" s="4">
        <f t="shared" si="2"/>
        <v>635.06</v>
      </c>
      <c r="K5670" s="22">
        <f t="shared" si="3"/>
        <v>1</v>
      </c>
      <c r="L5670" s="4">
        <f t="shared" si="4"/>
        <v>1</v>
      </c>
    </row>
    <row r="5671">
      <c r="A5671" s="23">
        <v>118283.0</v>
      </c>
      <c r="B5671" s="24" t="str">
        <f t="array" ref="B5671">xlookup($A5671,product!$A:$A,product!B:B)</f>
        <v>Alimentation Bébé</v>
      </c>
      <c r="C5671" s="24" t="str">
        <f t="array" ref="C5671">xlookup($A5671,product!$A:$A,product!C:C)</f>
        <v>Goûters &amp; biscuits bio bébé</v>
      </c>
      <c r="D5671" s="24" t="str">
        <f t="array" ref="D5671">xlookup($A5671,product!$A:$A,product!D:D)</f>
        <v>Goûters bio bébé 8 mois</v>
      </c>
      <c r="E5671" s="25" t="str">
        <f t="shared" si="1"/>
        <v>118283-Goûters &amp; biscuits bio bébé-Goûters bio bébé 8 mois</v>
      </c>
      <c r="F5671" s="25">
        <v>1.0</v>
      </c>
      <c r="G5671" s="25">
        <v>407.0</v>
      </c>
      <c r="H5671" s="25">
        <v>3.0</v>
      </c>
      <c r="I5671" s="26">
        <f t="array" ref="I5671">XLOOKUP($A5671,product!A:A,product!E:E)</f>
        <v>1.58</v>
      </c>
      <c r="J5671" s="25">
        <f t="shared" si="2"/>
        <v>4.74</v>
      </c>
      <c r="K5671" s="27">
        <f t="shared" si="3"/>
        <v>1</v>
      </c>
      <c r="L5671" s="25">
        <f t="shared" si="4"/>
        <v>1</v>
      </c>
    </row>
    <row r="5672">
      <c r="A5672" s="19">
        <v>118286.0</v>
      </c>
      <c r="B5672" s="20" t="str">
        <f t="array" ref="B5672">xlookup($A5672,product!$A:$A,product!B:B)</f>
        <v>Alimentation Bébé</v>
      </c>
      <c r="C5672" s="20" t="str">
        <f t="array" ref="C5672">xlookup($A5672,product!$A:$A,product!C:C)</f>
        <v>Goûters &amp; biscuits bio bébé</v>
      </c>
      <c r="D5672" s="20" t="str">
        <f t="array" ref="D5672">xlookup($A5672,product!$A:$A,product!D:D)</f>
        <v>Goûters bio bébé 8 mois</v>
      </c>
      <c r="E5672" s="4" t="str">
        <f t="shared" si="1"/>
        <v>118286-Goûters &amp; biscuits bio bébé-Goûters bio bébé 8 mois</v>
      </c>
      <c r="F5672" s="4">
        <v>0.0</v>
      </c>
      <c r="G5672" s="4">
        <v>85.0</v>
      </c>
      <c r="H5672" s="4">
        <v>0.0</v>
      </c>
      <c r="I5672" s="21">
        <f t="array" ref="I5672">XLOOKUP($A5672,product!A:A,product!E:E)</f>
        <v>1.72</v>
      </c>
      <c r="J5672" s="4">
        <f t="shared" si="2"/>
        <v>0</v>
      </c>
      <c r="K5672" s="22">
        <f t="shared" si="3"/>
        <v>0</v>
      </c>
      <c r="L5672" s="4">
        <f t="shared" si="4"/>
        <v>1</v>
      </c>
    </row>
    <row r="5673">
      <c r="A5673" s="23">
        <v>3375.0</v>
      </c>
      <c r="B5673" s="24" t="str">
        <f t="array" ref="B5673">xlookup($A5673,product!$A:$A,product!B:B)</f>
        <v>Alimentation Bébé</v>
      </c>
      <c r="C5673" s="24" t="str">
        <f t="array" ref="C5673">xlookup($A5673,product!$A:$A,product!C:C)</f>
        <v>Goûters &amp; biscuits bio bébé</v>
      </c>
      <c r="D5673" s="24" t="str">
        <f t="array" ref="D5673">xlookup($A5673,product!$A:$A,product!D:D)</f>
        <v>Goûters bio bébé 8 mois</v>
      </c>
      <c r="E5673" s="25" t="str">
        <f t="shared" si="1"/>
        <v>3375-Goûters &amp; biscuits bio bébé-Goûters bio bébé 8 mois</v>
      </c>
      <c r="F5673" s="25">
        <v>1.0</v>
      </c>
      <c r="G5673" s="25">
        <v>906.0</v>
      </c>
      <c r="H5673" s="25">
        <v>731.0</v>
      </c>
      <c r="I5673" s="26">
        <f t="array" ref="I5673">XLOOKUP($A5673,product!A:A,product!E:E)</f>
        <v>2.31</v>
      </c>
      <c r="J5673" s="25">
        <f t="shared" si="2"/>
        <v>1688.61</v>
      </c>
      <c r="K5673" s="27">
        <f t="shared" si="3"/>
        <v>1</v>
      </c>
      <c r="L5673" s="25">
        <f t="shared" si="4"/>
        <v>1</v>
      </c>
    </row>
    <row r="5674">
      <c r="A5674" s="19">
        <v>118285.0</v>
      </c>
      <c r="B5674" s="20" t="str">
        <f t="array" ref="B5674">xlookup($A5674,product!$A:$A,product!B:B)</f>
        <v>Alimentation Bébé</v>
      </c>
      <c r="C5674" s="20" t="str">
        <f t="array" ref="C5674">xlookup($A5674,product!$A:$A,product!C:C)</f>
        <v>Goûters &amp; biscuits bio bébé</v>
      </c>
      <c r="D5674" s="20" t="str">
        <f t="array" ref="D5674">xlookup($A5674,product!$A:$A,product!D:D)</f>
        <v>Goûters bio bébé 8 mois</v>
      </c>
      <c r="E5674" s="4" t="str">
        <f t="shared" si="1"/>
        <v>118285-Goûters &amp; biscuits bio bébé-Goûters bio bébé 8 mois</v>
      </c>
      <c r="F5674" s="4">
        <v>0.0</v>
      </c>
      <c r="G5674" s="4">
        <v>542.0</v>
      </c>
      <c r="H5674" s="4">
        <v>231.0</v>
      </c>
      <c r="I5674" s="21">
        <f t="array" ref="I5674">XLOOKUP($A5674,product!A:A,product!E:E)</f>
        <v>1.58</v>
      </c>
      <c r="J5674" s="4">
        <f t="shared" si="2"/>
        <v>364.98</v>
      </c>
      <c r="K5674" s="22">
        <f t="shared" si="3"/>
        <v>1</v>
      </c>
      <c r="L5674" s="4">
        <f t="shared" si="4"/>
        <v>1</v>
      </c>
    </row>
    <row r="5675">
      <c r="A5675" s="23">
        <v>118284.0</v>
      </c>
      <c r="B5675" s="24" t="str">
        <f t="array" ref="B5675">xlookup($A5675,product!$A:$A,product!B:B)</f>
        <v>Alimentation Bébé</v>
      </c>
      <c r="C5675" s="24" t="str">
        <f t="array" ref="C5675">xlookup($A5675,product!$A:$A,product!C:C)</f>
        <v>Goûters &amp; biscuits bio bébé</v>
      </c>
      <c r="D5675" s="24" t="str">
        <f t="array" ref="D5675">xlookup($A5675,product!$A:$A,product!D:D)</f>
        <v>Goûters bio bébé 8 mois</v>
      </c>
      <c r="E5675" s="25" t="str">
        <f t="shared" si="1"/>
        <v>118284-Goûters &amp; biscuits bio bébé-Goûters bio bébé 8 mois</v>
      </c>
      <c r="F5675" s="25">
        <v>1.0</v>
      </c>
      <c r="G5675" s="25">
        <v>395.0</v>
      </c>
      <c r="H5675" s="25">
        <v>126.0</v>
      </c>
      <c r="I5675" s="26">
        <f t="array" ref="I5675">XLOOKUP($A5675,product!A:A,product!E:E)</f>
        <v>1.58</v>
      </c>
      <c r="J5675" s="25">
        <f t="shared" si="2"/>
        <v>199.08</v>
      </c>
      <c r="K5675" s="27">
        <f t="shared" si="3"/>
        <v>1</v>
      </c>
      <c r="L5675" s="25">
        <f t="shared" si="4"/>
        <v>1</v>
      </c>
    </row>
    <row r="5676">
      <c r="A5676" s="19">
        <v>116522.0</v>
      </c>
      <c r="B5676" s="20" t="str">
        <f t="array" ref="B5676">xlookup($A5676,product!$A:$A,product!B:B)</f>
        <v>Alimentation Bébé</v>
      </c>
      <c r="C5676" s="20" t="str">
        <f t="array" ref="C5676">xlookup($A5676,product!$A:$A,product!C:C)</f>
        <v>Goûters &amp; biscuits bio bébé</v>
      </c>
      <c r="D5676" s="20" t="str">
        <f t="array" ref="D5676">xlookup($A5676,product!$A:$A,product!D:D)</f>
        <v>Goûters bio bébé +10 mois</v>
      </c>
      <c r="E5676" s="4" t="str">
        <f t="shared" si="1"/>
        <v>116522-Goûters &amp; biscuits bio bébé-Goûters bio bébé +10 mois</v>
      </c>
      <c r="F5676" s="4">
        <v>0.0</v>
      </c>
      <c r="G5676" s="4">
        <v>707.0</v>
      </c>
      <c r="H5676" s="4">
        <v>511.0</v>
      </c>
      <c r="I5676" s="21">
        <f t="array" ref="I5676">XLOOKUP($A5676,product!A:A,product!E:E)</f>
        <v>0.77</v>
      </c>
      <c r="J5676" s="4">
        <f t="shared" si="2"/>
        <v>393.47</v>
      </c>
      <c r="K5676" s="22">
        <f t="shared" si="3"/>
        <v>1</v>
      </c>
      <c r="L5676" s="4">
        <f t="shared" si="4"/>
        <v>1</v>
      </c>
    </row>
    <row r="5677">
      <c r="A5677" s="23">
        <v>139307.0</v>
      </c>
      <c r="B5677" s="24" t="str">
        <f t="array" ref="B5677">xlookup($A5677,product!$A:$A,product!B:B)</f>
        <v>Alimentation Bébé</v>
      </c>
      <c r="C5677" s="24" t="str">
        <f t="array" ref="C5677">xlookup($A5677,product!$A:$A,product!C:C)</f>
        <v>Goûters &amp; biscuits bio bébé</v>
      </c>
      <c r="D5677" s="24" t="str">
        <f t="array" ref="D5677">xlookup($A5677,product!$A:$A,product!D:D)</f>
        <v>Goûters bio bébé +10 mois</v>
      </c>
      <c r="E5677" s="25" t="str">
        <f t="shared" si="1"/>
        <v>139307-Goûters &amp; biscuits bio bébé-Goûters bio bébé +10 mois</v>
      </c>
      <c r="F5677" s="25">
        <v>0.0</v>
      </c>
      <c r="G5677" s="25">
        <v>239.0</v>
      </c>
      <c r="H5677" s="25">
        <v>222.0</v>
      </c>
      <c r="I5677" s="26">
        <f t="array" ref="I5677">XLOOKUP($A5677,product!A:A,product!E:E)</f>
        <v>1.85</v>
      </c>
      <c r="J5677" s="25">
        <f t="shared" si="2"/>
        <v>410.7</v>
      </c>
      <c r="K5677" s="27">
        <f t="shared" si="3"/>
        <v>1</v>
      </c>
      <c r="L5677" s="25">
        <f t="shared" si="4"/>
        <v>1</v>
      </c>
    </row>
    <row r="5678">
      <c r="A5678" s="19">
        <v>120253.0</v>
      </c>
      <c r="B5678" s="20" t="str">
        <f t="array" ref="B5678">xlookup($A5678,product!$A:$A,product!B:B)</f>
        <v>Alimentation Bébé</v>
      </c>
      <c r="C5678" s="20" t="str">
        <f t="array" ref="C5678">xlookup($A5678,product!$A:$A,product!C:C)</f>
        <v>Goûters &amp; biscuits bio bébé</v>
      </c>
      <c r="D5678" s="20" t="str">
        <f t="array" ref="D5678">xlookup($A5678,product!$A:$A,product!D:D)</f>
        <v>Goûters bio bébé +10 mois</v>
      </c>
      <c r="E5678" s="4" t="str">
        <f t="shared" si="1"/>
        <v>120253-Goûters &amp; biscuits bio bébé-Goûters bio bébé +10 mois</v>
      </c>
      <c r="F5678" s="4">
        <v>1.0</v>
      </c>
      <c r="G5678" s="4">
        <v>668.0</v>
      </c>
      <c r="H5678" s="4">
        <v>518.0</v>
      </c>
      <c r="I5678" s="21">
        <f t="array" ref="I5678">XLOOKUP($A5678,product!A:A,product!E:E)</f>
        <v>2.38</v>
      </c>
      <c r="J5678" s="4">
        <f t="shared" si="2"/>
        <v>1232.84</v>
      </c>
      <c r="K5678" s="22">
        <f t="shared" si="3"/>
        <v>1</v>
      </c>
      <c r="L5678" s="4">
        <f t="shared" si="4"/>
        <v>1</v>
      </c>
    </row>
    <row r="5679">
      <c r="A5679" s="23">
        <v>120252.0</v>
      </c>
      <c r="B5679" s="24" t="str">
        <f t="array" ref="B5679">xlookup($A5679,product!$A:$A,product!B:B)</f>
        <v>Alimentation Bébé</v>
      </c>
      <c r="C5679" s="24" t="str">
        <f t="array" ref="C5679">xlookup($A5679,product!$A:$A,product!C:C)</f>
        <v>Goûters &amp; biscuits bio bébé</v>
      </c>
      <c r="D5679" s="24" t="str">
        <f t="array" ref="D5679">xlookup($A5679,product!$A:$A,product!D:D)</f>
        <v>Goûters bio bébé +10 mois</v>
      </c>
      <c r="E5679" s="25" t="str">
        <f t="shared" si="1"/>
        <v>120252-Goûters &amp; biscuits bio bébé-Goûters bio bébé +10 mois</v>
      </c>
      <c r="F5679" s="25">
        <v>0.0</v>
      </c>
      <c r="G5679" s="25">
        <v>736.0</v>
      </c>
      <c r="H5679" s="25">
        <v>629.0</v>
      </c>
      <c r="I5679" s="26">
        <f t="array" ref="I5679">XLOOKUP($A5679,product!A:A,product!E:E)</f>
        <v>2.55</v>
      </c>
      <c r="J5679" s="25">
        <f t="shared" si="2"/>
        <v>1603.95</v>
      </c>
      <c r="K5679" s="27">
        <f t="shared" si="3"/>
        <v>1</v>
      </c>
      <c r="L5679" s="25">
        <f t="shared" si="4"/>
        <v>1</v>
      </c>
    </row>
    <row r="5680">
      <c r="A5680" s="19">
        <v>120251.0</v>
      </c>
      <c r="B5680" s="20" t="str">
        <f t="array" ref="B5680">xlookup($A5680,product!$A:$A,product!B:B)</f>
        <v>Alimentation Bébé</v>
      </c>
      <c r="C5680" s="20" t="str">
        <f t="array" ref="C5680">xlookup($A5680,product!$A:$A,product!C:C)</f>
        <v>Goûters &amp; biscuits bio bébé</v>
      </c>
      <c r="D5680" s="20" t="str">
        <f t="array" ref="D5680">xlookup($A5680,product!$A:$A,product!D:D)</f>
        <v>Goûters bio bébé +10 mois</v>
      </c>
      <c r="E5680" s="4" t="str">
        <f t="shared" si="1"/>
        <v>120251-Goûters &amp; biscuits bio bébé-Goûters bio bébé +10 mois</v>
      </c>
      <c r="F5680" s="4">
        <v>0.0</v>
      </c>
      <c r="G5680" s="4">
        <v>926.0</v>
      </c>
      <c r="H5680" s="4">
        <v>315.0</v>
      </c>
      <c r="I5680" s="21">
        <f t="array" ref="I5680">XLOOKUP($A5680,product!A:A,product!E:E)</f>
        <v>2.42</v>
      </c>
      <c r="J5680" s="4">
        <f t="shared" si="2"/>
        <v>762.3</v>
      </c>
      <c r="K5680" s="22">
        <f t="shared" si="3"/>
        <v>1</v>
      </c>
      <c r="L5680" s="4">
        <f t="shared" si="4"/>
        <v>1</v>
      </c>
    </row>
    <row r="5681">
      <c r="A5681" s="23">
        <v>139306.0</v>
      </c>
      <c r="B5681" s="24" t="str">
        <f t="array" ref="B5681">xlookup($A5681,product!$A:$A,product!B:B)</f>
        <v>Alimentation Bébé</v>
      </c>
      <c r="C5681" s="24" t="str">
        <f t="array" ref="C5681">xlookup($A5681,product!$A:$A,product!C:C)</f>
        <v>Goûters &amp; biscuits bio bébé</v>
      </c>
      <c r="D5681" s="24" t="str">
        <f t="array" ref="D5681">xlookup($A5681,product!$A:$A,product!D:D)</f>
        <v>Goûters bio bébé +10 mois</v>
      </c>
      <c r="E5681" s="25" t="str">
        <f t="shared" si="1"/>
        <v>139306-Goûters &amp; biscuits bio bébé-Goûters bio bébé +10 mois</v>
      </c>
      <c r="F5681" s="25">
        <v>1.0</v>
      </c>
      <c r="G5681" s="25">
        <v>784.0</v>
      </c>
      <c r="H5681" s="25">
        <v>667.0</v>
      </c>
      <c r="I5681" s="26">
        <f t="array" ref="I5681">XLOOKUP($A5681,product!A:A,product!E:E)</f>
        <v>1.85</v>
      </c>
      <c r="J5681" s="25">
        <f t="shared" si="2"/>
        <v>1233.95</v>
      </c>
      <c r="K5681" s="27">
        <f t="shared" si="3"/>
        <v>1</v>
      </c>
      <c r="L5681" s="25">
        <f t="shared" si="4"/>
        <v>1</v>
      </c>
    </row>
    <row r="5682">
      <c r="A5682" s="19">
        <v>120255.0</v>
      </c>
      <c r="B5682" s="20" t="str">
        <f t="array" ref="B5682">xlookup($A5682,product!$A:$A,product!B:B)</f>
        <v>Alimentation Bébé</v>
      </c>
      <c r="C5682" s="20" t="str">
        <f t="array" ref="C5682">xlookup($A5682,product!$A:$A,product!C:C)</f>
        <v>Goûters &amp; biscuits bio bébé</v>
      </c>
      <c r="D5682" s="20" t="str">
        <f t="array" ref="D5682">xlookup($A5682,product!$A:$A,product!D:D)</f>
        <v>Goûters bio bébé +10 mois</v>
      </c>
      <c r="E5682" s="4" t="str">
        <f t="shared" si="1"/>
        <v>120255-Goûters &amp; biscuits bio bébé-Goûters bio bébé +10 mois</v>
      </c>
      <c r="F5682" s="4">
        <v>0.0</v>
      </c>
      <c r="G5682" s="4">
        <v>374.0</v>
      </c>
      <c r="H5682" s="4">
        <v>206.0</v>
      </c>
      <c r="I5682" s="21">
        <f t="array" ref="I5682">XLOOKUP($A5682,product!A:A,product!E:E)</f>
        <v>2.26</v>
      </c>
      <c r="J5682" s="4">
        <f t="shared" si="2"/>
        <v>465.56</v>
      </c>
      <c r="K5682" s="22">
        <f t="shared" si="3"/>
        <v>1</v>
      </c>
      <c r="L5682" s="4">
        <f t="shared" si="4"/>
        <v>1</v>
      </c>
    </row>
    <row r="5683">
      <c r="A5683" s="23">
        <v>120980.0</v>
      </c>
      <c r="B5683" s="24" t="str">
        <f t="array" ref="B5683">xlookup($A5683,product!$A:$A,product!B:B)</f>
        <v>Alimentation Bébé</v>
      </c>
      <c r="C5683" s="24" t="str">
        <f t="array" ref="C5683">xlookup($A5683,product!$A:$A,product!C:C)</f>
        <v>Goûters &amp; biscuits bio bébé</v>
      </c>
      <c r="D5683" s="24" t="str">
        <f t="array" ref="D5683">xlookup($A5683,product!$A:$A,product!D:D)</f>
        <v>Goûters bio bébé +10 mois</v>
      </c>
      <c r="E5683" s="25" t="str">
        <f t="shared" si="1"/>
        <v>120980-Goûters &amp; biscuits bio bébé-Goûters bio bébé +10 mois</v>
      </c>
      <c r="F5683" s="25">
        <v>0.0</v>
      </c>
      <c r="G5683" s="25">
        <v>494.0</v>
      </c>
      <c r="H5683" s="25">
        <v>156.0</v>
      </c>
      <c r="I5683" s="26">
        <f t="array" ref="I5683">XLOOKUP($A5683,product!A:A,product!E:E)</f>
        <v>0.69</v>
      </c>
      <c r="J5683" s="25">
        <f t="shared" si="2"/>
        <v>107.64</v>
      </c>
      <c r="K5683" s="27">
        <f t="shared" si="3"/>
        <v>1</v>
      </c>
      <c r="L5683" s="25">
        <f t="shared" si="4"/>
        <v>1</v>
      </c>
    </row>
    <row r="5684">
      <c r="A5684" s="19">
        <v>139299.0</v>
      </c>
      <c r="B5684" s="20" t="str">
        <f t="array" ref="B5684">xlookup($A5684,product!$A:$A,product!B:B)</f>
        <v>Alimentation Bébé</v>
      </c>
      <c r="C5684" s="20" t="str">
        <f t="array" ref="C5684">xlookup($A5684,product!$A:$A,product!C:C)</f>
        <v>Goûters &amp; biscuits bio bébé</v>
      </c>
      <c r="D5684" s="20" t="str">
        <f t="array" ref="D5684">xlookup($A5684,product!$A:$A,product!D:D)</f>
        <v>Goûters bio bébé +10 mois</v>
      </c>
      <c r="E5684" s="4" t="str">
        <f t="shared" si="1"/>
        <v>139299-Goûters &amp; biscuits bio bébé-Goûters bio bébé +10 mois</v>
      </c>
      <c r="F5684" s="4">
        <v>1.0</v>
      </c>
      <c r="G5684" s="4">
        <v>689.0</v>
      </c>
      <c r="H5684" s="4">
        <v>413.0</v>
      </c>
      <c r="I5684" s="21">
        <f t="array" ref="I5684">XLOOKUP($A5684,product!A:A,product!E:E)</f>
        <v>2.06</v>
      </c>
      <c r="J5684" s="4">
        <f t="shared" si="2"/>
        <v>850.78</v>
      </c>
      <c r="K5684" s="22">
        <f t="shared" si="3"/>
        <v>1</v>
      </c>
      <c r="L5684" s="4">
        <f t="shared" si="4"/>
        <v>1</v>
      </c>
    </row>
    <row r="5685">
      <c r="A5685" s="23">
        <v>73635.0</v>
      </c>
      <c r="B5685" s="24" t="str">
        <f t="array" ref="B5685">xlookup($A5685,product!$A:$A,product!B:B)</f>
        <v>Alimentation Bébé</v>
      </c>
      <c r="C5685" s="24" t="str">
        <f t="array" ref="C5685">xlookup($A5685,product!$A:$A,product!C:C)</f>
        <v>Goûters &amp; biscuits bio bébé</v>
      </c>
      <c r="D5685" s="24" t="str">
        <f t="array" ref="D5685">xlookup($A5685,product!$A:$A,product!D:D)</f>
        <v>Goûters bio bébé +10 mois</v>
      </c>
      <c r="E5685" s="25" t="str">
        <f t="shared" si="1"/>
        <v>73635-Goûters &amp; biscuits bio bébé-Goûters bio bébé +10 mois</v>
      </c>
      <c r="F5685" s="25">
        <v>1.0</v>
      </c>
      <c r="G5685" s="25">
        <v>371.0</v>
      </c>
      <c r="H5685" s="25">
        <v>186.0</v>
      </c>
      <c r="I5685" s="26">
        <f t="array" ref="I5685">XLOOKUP($A5685,product!A:A,product!E:E)</f>
        <v>1.28</v>
      </c>
      <c r="J5685" s="25">
        <f t="shared" si="2"/>
        <v>238.08</v>
      </c>
      <c r="K5685" s="27">
        <f t="shared" si="3"/>
        <v>1</v>
      </c>
      <c r="L5685" s="25">
        <f t="shared" si="4"/>
        <v>1</v>
      </c>
    </row>
    <row r="5686">
      <c r="A5686" s="19">
        <v>116537.0</v>
      </c>
      <c r="B5686" s="20" t="str">
        <f t="array" ref="B5686">xlookup($A5686,product!$A:$A,product!B:B)</f>
        <v>Alimentation Bébé</v>
      </c>
      <c r="C5686" s="20" t="str">
        <f t="array" ref="C5686">xlookup($A5686,product!$A:$A,product!C:C)</f>
        <v>Goûters &amp; biscuits bio bébé</v>
      </c>
      <c r="D5686" s="20" t="str">
        <f t="array" ref="D5686">xlookup($A5686,product!$A:$A,product!D:D)</f>
        <v>Goûters bio bébé +10 mois</v>
      </c>
      <c r="E5686" s="4" t="str">
        <f t="shared" si="1"/>
        <v>116537-Goûters &amp; biscuits bio bébé-Goûters bio bébé +10 mois</v>
      </c>
      <c r="F5686" s="4">
        <v>0.0</v>
      </c>
      <c r="G5686" s="4">
        <v>331.0</v>
      </c>
      <c r="H5686" s="4">
        <v>191.0</v>
      </c>
      <c r="I5686" s="21">
        <f t="array" ref="I5686">XLOOKUP($A5686,product!A:A,product!E:E)</f>
        <v>0.92</v>
      </c>
      <c r="J5686" s="4">
        <f t="shared" si="2"/>
        <v>175.72</v>
      </c>
      <c r="K5686" s="22">
        <f t="shared" si="3"/>
        <v>1</v>
      </c>
      <c r="L5686" s="4">
        <f t="shared" si="4"/>
        <v>1</v>
      </c>
    </row>
    <row r="5687">
      <c r="A5687" s="23">
        <v>46716.0</v>
      </c>
      <c r="B5687" s="24" t="str">
        <f t="array" ref="B5687">xlookup($A5687,product!$A:$A,product!B:B)</f>
        <v>Alimentation Bébé</v>
      </c>
      <c r="C5687" s="24" t="str">
        <f t="array" ref="C5687">xlookup($A5687,product!$A:$A,product!C:C)</f>
        <v>Goûters &amp; biscuits bio bébé</v>
      </c>
      <c r="D5687" s="24" t="str">
        <f t="array" ref="D5687">xlookup($A5687,product!$A:$A,product!D:D)</f>
        <v>Goûters bio bébé +10 mois</v>
      </c>
      <c r="E5687" s="25" t="str">
        <f t="shared" si="1"/>
        <v>46716-Goûters &amp; biscuits bio bébé-Goûters bio bébé +10 mois</v>
      </c>
      <c r="F5687" s="25">
        <v>1.0</v>
      </c>
      <c r="G5687" s="25">
        <v>184.0</v>
      </c>
      <c r="H5687" s="25">
        <v>166.0</v>
      </c>
      <c r="I5687" s="26">
        <f t="array" ref="I5687">XLOOKUP($A5687,product!A:A,product!E:E)</f>
        <v>1.28</v>
      </c>
      <c r="J5687" s="25">
        <f t="shared" si="2"/>
        <v>212.48</v>
      </c>
      <c r="K5687" s="27">
        <f t="shared" si="3"/>
        <v>1</v>
      </c>
      <c r="L5687" s="25">
        <f t="shared" si="4"/>
        <v>1</v>
      </c>
    </row>
    <row r="5688">
      <c r="A5688" s="19">
        <v>109161.0</v>
      </c>
      <c r="B5688" s="20" t="str">
        <f t="array" ref="B5688">xlookup($A5688,product!$A:$A,product!B:B)</f>
        <v>Alimentation Bébé</v>
      </c>
      <c r="C5688" s="20" t="str">
        <f t="array" ref="C5688">xlookup($A5688,product!$A:$A,product!C:C)</f>
        <v>Goûters &amp; biscuits bio bébé</v>
      </c>
      <c r="D5688" s="20" t="str">
        <f t="array" ref="D5688">xlookup($A5688,product!$A:$A,product!D:D)</f>
        <v>Goûters bio bébé +10 mois</v>
      </c>
      <c r="E5688" s="4" t="str">
        <f t="shared" si="1"/>
        <v>109161-Goûters &amp; biscuits bio bébé-Goûters bio bébé +10 mois</v>
      </c>
      <c r="F5688" s="4">
        <v>0.0</v>
      </c>
      <c r="G5688" s="4">
        <v>936.0</v>
      </c>
      <c r="H5688" s="4">
        <v>813.0</v>
      </c>
      <c r="I5688" s="21">
        <f t="array" ref="I5688">XLOOKUP($A5688,product!A:A,product!E:E)</f>
        <v>1.96</v>
      </c>
      <c r="J5688" s="4">
        <f t="shared" si="2"/>
        <v>1593.48</v>
      </c>
      <c r="K5688" s="22">
        <f t="shared" si="3"/>
        <v>1</v>
      </c>
      <c r="L5688" s="4">
        <f t="shared" si="4"/>
        <v>1</v>
      </c>
    </row>
    <row r="5689">
      <c r="A5689" s="23">
        <v>110760.0</v>
      </c>
      <c r="B5689" s="24" t="str">
        <f t="array" ref="B5689">xlookup($A5689,product!$A:$A,product!B:B)</f>
        <v>Alimentation Bébé</v>
      </c>
      <c r="C5689" s="24" t="str">
        <f t="array" ref="C5689">xlookup($A5689,product!$A:$A,product!C:C)</f>
        <v>Goûters &amp; biscuits bio bébé</v>
      </c>
      <c r="D5689" s="24" t="str">
        <f t="array" ref="D5689">xlookup($A5689,product!$A:$A,product!D:D)</f>
        <v>Goûters bio bébé +10 mois</v>
      </c>
      <c r="E5689" s="25" t="str">
        <f t="shared" si="1"/>
        <v>110760-Goûters &amp; biscuits bio bébé-Goûters bio bébé +10 mois</v>
      </c>
      <c r="F5689" s="25">
        <v>1.0</v>
      </c>
      <c r="G5689" s="25">
        <v>275.0</v>
      </c>
      <c r="H5689" s="25">
        <v>217.0</v>
      </c>
      <c r="I5689" s="26">
        <f t="array" ref="I5689">XLOOKUP($A5689,product!A:A,product!E:E)</f>
        <v>1.55</v>
      </c>
      <c r="J5689" s="25">
        <f t="shared" si="2"/>
        <v>336.35</v>
      </c>
      <c r="K5689" s="27">
        <f t="shared" si="3"/>
        <v>1</v>
      </c>
      <c r="L5689" s="25">
        <f t="shared" si="4"/>
        <v>1</v>
      </c>
    </row>
    <row r="5690">
      <c r="A5690" s="19">
        <v>112095.0</v>
      </c>
      <c r="B5690" s="20" t="str">
        <f t="array" ref="B5690">xlookup($A5690,product!$A:$A,product!B:B)</f>
        <v>Alimentation Bébé</v>
      </c>
      <c r="C5690" s="20" t="str">
        <f t="array" ref="C5690">xlookup($A5690,product!$A:$A,product!C:C)</f>
        <v>Goûters &amp; biscuits bio bébé</v>
      </c>
      <c r="D5690" s="20" t="str">
        <f t="array" ref="D5690">xlookup($A5690,product!$A:$A,product!D:D)</f>
        <v>Goûters bio bébé +10 mois</v>
      </c>
      <c r="E5690" s="4" t="str">
        <f t="shared" si="1"/>
        <v>112095-Goûters &amp; biscuits bio bébé-Goûters bio bébé +10 mois</v>
      </c>
      <c r="F5690" s="4">
        <v>0.0</v>
      </c>
      <c r="G5690" s="4">
        <v>496.0</v>
      </c>
      <c r="H5690" s="4">
        <v>396.0</v>
      </c>
      <c r="I5690" s="21">
        <f t="array" ref="I5690">XLOOKUP($A5690,product!A:A,product!E:E)</f>
        <v>2.31</v>
      </c>
      <c r="J5690" s="4">
        <f t="shared" si="2"/>
        <v>914.76</v>
      </c>
      <c r="K5690" s="22">
        <f t="shared" si="3"/>
        <v>1</v>
      </c>
      <c r="L5690" s="4">
        <f t="shared" si="4"/>
        <v>1</v>
      </c>
    </row>
    <row r="5691">
      <c r="A5691" s="23">
        <v>120261.0</v>
      </c>
      <c r="B5691" s="24" t="str">
        <f t="array" ref="B5691">xlookup($A5691,product!$A:$A,product!B:B)</f>
        <v>Alimentation Bébé</v>
      </c>
      <c r="C5691" s="24" t="str">
        <f t="array" ref="C5691">xlookup($A5691,product!$A:$A,product!C:C)</f>
        <v>Goûters &amp; biscuits bio bébé</v>
      </c>
      <c r="D5691" s="24" t="str">
        <f t="array" ref="D5691">xlookup($A5691,product!$A:$A,product!D:D)</f>
        <v>Goûters bio bébé +10 mois</v>
      </c>
      <c r="E5691" s="25" t="str">
        <f t="shared" si="1"/>
        <v>120261-Goûters &amp; biscuits bio bébé-Goûters bio bébé +10 mois</v>
      </c>
      <c r="F5691" s="25">
        <v>1.0</v>
      </c>
      <c r="G5691" s="25">
        <v>971.0</v>
      </c>
      <c r="H5691" s="25">
        <v>401.0</v>
      </c>
      <c r="I5691" s="26">
        <f t="array" ref="I5691">XLOOKUP($A5691,product!A:A,product!E:E)</f>
        <v>2.26</v>
      </c>
      <c r="J5691" s="25">
        <f t="shared" si="2"/>
        <v>906.26</v>
      </c>
      <c r="K5691" s="27">
        <f t="shared" si="3"/>
        <v>1</v>
      </c>
      <c r="L5691" s="25">
        <f t="shared" si="4"/>
        <v>1</v>
      </c>
    </row>
    <row r="5692">
      <c r="A5692" s="19">
        <v>142302.0</v>
      </c>
      <c r="B5692" s="20" t="str">
        <f t="array" ref="B5692">xlookup($A5692,product!$A:$A,product!B:B)</f>
        <v>Alimentation Bébé</v>
      </c>
      <c r="C5692" s="20" t="str">
        <f t="array" ref="C5692">xlookup($A5692,product!$A:$A,product!C:C)</f>
        <v>Goûters &amp; biscuits bio bébé</v>
      </c>
      <c r="D5692" s="20" t="str">
        <f t="array" ref="D5692">xlookup($A5692,product!$A:$A,product!D:D)</f>
        <v>Goûters bio bébé +10 mois</v>
      </c>
      <c r="E5692" s="4" t="str">
        <f t="shared" si="1"/>
        <v>142302-Goûters &amp; biscuits bio bébé-Goûters bio bébé +10 mois</v>
      </c>
      <c r="F5692" s="4">
        <v>0.0</v>
      </c>
      <c r="G5692" s="4">
        <v>717.0</v>
      </c>
      <c r="H5692" s="4">
        <v>685.0</v>
      </c>
      <c r="I5692" s="21">
        <f t="array" ref="I5692">XLOOKUP($A5692,product!A:A,product!E:E)</f>
        <v>0.67</v>
      </c>
      <c r="J5692" s="4">
        <f t="shared" si="2"/>
        <v>458.95</v>
      </c>
      <c r="K5692" s="22">
        <f t="shared" si="3"/>
        <v>1</v>
      </c>
      <c r="L5692" s="4">
        <f t="shared" si="4"/>
        <v>1</v>
      </c>
    </row>
    <row r="5693">
      <c r="A5693" s="23">
        <v>46715.0</v>
      </c>
      <c r="B5693" s="24" t="str">
        <f t="array" ref="B5693">xlookup($A5693,product!$A:$A,product!B:B)</f>
        <v>Alimentation Bébé</v>
      </c>
      <c r="C5693" s="24" t="str">
        <f t="array" ref="C5693">xlookup($A5693,product!$A:$A,product!C:C)</f>
        <v>Goûters &amp; biscuits bio bébé</v>
      </c>
      <c r="D5693" s="24" t="str">
        <f t="array" ref="D5693">xlookup($A5693,product!$A:$A,product!D:D)</f>
        <v>Goûters bio bébé +10 mois</v>
      </c>
      <c r="E5693" s="25" t="str">
        <f t="shared" si="1"/>
        <v>46715-Goûters &amp; biscuits bio bébé-Goûters bio bébé +10 mois</v>
      </c>
      <c r="F5693" s="25">
        <v>1.0</v>
      </c>
      <c r="G5693" s="25">
        <v>90.0</v>
      </c>
      <c r="H5693" s="25">
        <v>46.0</v>
      </c>
      <c r="I5693" s="26">
        <f t="array" ref="I5693">XLOOKUP($A5693,product!A:A,product!E:E)</f>
        <v>1.21</v>
      </c>
      <c r="J5693" s="25">
        <f t="shared" si="2"/>
        <v>55.66</v>
      </c>
      <c r="K5693" s="27">
        <f t="shared" si="3"/>
        <v>1</v>
      </c>
      <c r="L5693" s="25">
        <f t="shared" si="4"/>
        <v>1</v>
      </c>
    </row>
    <row r="5694">
      <c r="A5694" s="19">
        <v>102190.0</v>
      </c>
      <c r="B5694" s="20" t="str">
        <f t="array" ref="B5694">xlookup($A5694,product!$A:$A,product!B:B)</f>
        <v>Alimentation Bébé</v>
      </c>
      <c r="C5694" s="20" t="str">
        <f t="array" ref="C5694">xlookup($A5694,product!$A:$A,product!C:C)</f>
        <v>Goûters &amp; biscuits bio bébé</v>
      </c>
      <c r="D5694" s="20" t="str">
        <f t="array" ref="D5694">xlookup($A5694,product!$A:$A,product!D:D)</f>
        <v>Goûters bio bébé +10 mois</v>
      </c>
      <c r="E5694" s="4" t="str">
        <f t="shared" si="1"/>
        <v>102190-Goûters &amp; biscuits bio bébé-Goûters bio bébé +10 mois</v>
      </c>
      <c r="F5694" s="4">
        <v>0.0</v>
      </c>
      <c r="G5694" s="4">
        <v>293.0</v>
      </c>
      <c r="H5694" s="4">
        <v>227.0</v>
      </c>
      <c r="I5694" s="21">
        <f t="array" ref="I5694">XLOOKUP($A5694,product!A:A,product!E:E)</f>
        <v>2.26</v>
      </c>
      <c r="J5694" s="4">
        <f t="shared" si="2"/>
        <v>513.02</v>
      </c>
      <c r="K5694" s="22">
        <f t="shared" si="3"/>
        <v>1</v>
      </c>
      <c r="L5694" s="4">
        <f t="shared" si="4"/>
        <v>1</v>
      </c>
    </row>
    <row r="5695">
      <c r="A5695" s="23">
        <v>112098.0</v>
      </c>
      <c r="B5695" s="24" t="str">
        <f t="array" ref="B5695">xlookup($A5695,product!$A:$A,product!B:B)</f>
        <v>Alimentation Bébé</v>
      </c>
      <c r="C5695" s="24" t="str">
        <f t="array" ref="C5695">xlookup($A5695,product!$A:$A,product!C:C)</f>
        <v>Goûters &amp; biscuits bio bébé</v>
      </c>
      <c r="D5695" s="24" t="str">
        <f t="array" ref="D5695">xlookup($A5695,product!$A:$A,product!D:D)</f>
        <v>Goûters bio bébé +10 mois</v>
      </c>
      <c r="E5695" s="25" t="str">
        <f t="shared" si="1"/>
        <v>112098-Goûters &amp; biscuits bio bébé-Goûters bio bébé +10 mois</v>
      </c>
      <c r="F5695" s="25">
        <v>1.0</v>
      </c>
      <c r="G5695" s="25">
        <v>550.0</v>
      </c>
      <c r="H5695" s="25">
        <v>267.0</v>
      </c>
      <c r="I5695" s="26">
        <f t="array" ref="I5695">XLOOKUP($A5695,product!A:A,product!E:E)</f>
        <v>2.31</v>
      </c>
      <c r="J5695" s="25">
        <f t="shared" si="2"/>
        <v>616.77</v>
      </c>
      <c r="K5695" s="27">
        <f t="shared" si="3"/>
        <v>1</v>
      </c>
      <c r="L5695" s="25">
        <f t="shared" si="4"/>
        <v>1</v>
      </c>
    </row>
    <row r="5696">
      <c r="A5696" s="19">
        <v>110761.0</v>
      </c>
      <c r="B5696" s="20" t="str">
        <f t="array" ref="B5696">xlookup($A5696,product!$A:$A,product!B:B)</f>
        <v>Alimentation Bébé</v>
      </c>
      <c r="C5696" s="20" t="str">
        <f t="array" ref="C5696">xlookup($A5696,product!$A:$A,product!C:C)</f>
        <v>Goûters &amp; biscuits bio bébé</v>
      </c>
      <c r="D5696" s="20" t="str">
        <f t="array" ref="D5696">xlookup($A5696,product!$A:$A,product!D:D)</f>
        <v>Goûters bio bébé +10 mois</v>
      </c>
      <c r="E5696" s="4" t="str">
        <f t="shared" si="1"/>
        <v>110761-Goûters &amp; biscuits bio bébé-Goûters bio bébé +10 mois</v>
      </c>
      <c r="F5696" s="4">
        <v>1.0</v>
      </c>
      <c r="G5696" s="4">
        <v>281.0</v>
      </c>
      <c r="H5696" s="4">
        <v>125.0</v>
      </c>
      <c r="I5696" s="21">
        <f t="array" ref="I5696">XLOOKUP($A5696,product!A:A,product!E:E)</f>
        <v>1.55</v>
      </c>
      <c r="J5696" s="4">
        <f t="shared" si="2"/>
        <v>193.75</v>
      </c>
      <c r="K5696" s="22">
        <f t="shared" si="3"/>
        <v>1</v>
      </c>
      <c r="L5696" s="4">
        <f t="shared" si="4"/>
        <v>1</v>
      </c>
    </row>
    <row r="5697">
      <c r="A5697" s="23">
        <v>116529.0</v>
      </c>
      <c r="B5697" s="24" t="str">
        <f t="array" ref="B5697">xlookup($A5697,product!$A:$A,product!B:B)</f>
        <v>Alimentation Bébé</v>
      </c>
      <c r="C5697" s="24" t="str">
        <f t="array" ref="C5697">xlookup($A5697,product!$A:$A,product!C:C)</f>
        <v>Goûters &amp; biscuits bio bébé</v>
      </c>
      <c r="D5697" s="24" t="str">
        <f t="array" ref="D5697">xlookup($A5697,product!$A:$A,product!D:D)</f>
        <v>Goûters bio bébé +10 mois</v>
      </c>
      <c r="E5697" s="25" t="str">
        <f t="shared" si="1"/>
        <v>116529-Goûters &amp; biscuits bio bébé-Goûters bio bébé +10 mois</v>
      </c>
      <c r="F5697" s="25">
        <v>1.0</v>
      </c>
      <c r="G5697" s="25">
        <v>697.0</v>
      </c>
      <c r="H5697" s="25">
        <v>411.0</v>
      </c>
      <c r="I5697" s="26">
        <f t="array" ref="I5697">XLOOKUP($A5697,product!A:A,product!E:E)</f>
        <v>0.83</v>
      </c>
      <c r="J5697" s="25">
        <f t="shared" si="2"/>
        <v>341.13</v>
      </c>
      <c r="K5697" s="27">
        <f t="shared" si="3"/>
        <v>1</v>
      </c>
      <c r="L5697" s="25">
        <f t="shared" si="4"/>
        <v>1</v>
      </c>
    </row>
    <row r="5698">
      <c r="A5698" s="19">
        <v>119245.0</v>
      </c>
      <c r="B5698" s="20" t="str">
        <f t="array" ref="B5698">xlookup($A5698,product!$A:$A,product!B:B)</f>
        <v>Santé &amp; Bien-être</v>
      </c>
      <c r="C5698" s="20" t="str">
        <f t="array" ref="C5698">xlookup($A5698,product!$A:$A,product!C:C)</f>
        <v>Masques, Gels hydroalcooliques</v>
      </c>
      <c r="D5698" s="20" t="str">
        <f t="array" ref="D5698">xlookup($A5698,product!$A:$A,product!D:D)</f>
        <v/>
      </c>
      <c r="E5698" s="4" t="str">
        <f t="shared" si="1"/>
        <v>119245-Masques, Gels hydroalcooliques-</v>
      </c>
      <c r="F5698" s="4">
        <v>0.0</v>
      </c>
      <c r="G5698" s="4">
        <v>227.0</v>
      </c>
      <c r="H5698" s="4">
        <v>183.0</v>
      </c>
      <c r="I5698" s="21">
        <f t="array" ref="I5698">XLOOKUP($A5698,product!A:A,product!E:E)</f>
        <v>5.65</v>
      </c>
      <c r="J5698" s="4">
        <f t="shared" si="2"/>
        <v>1033.95</v>
      </c>
      <c r="K5698" s="22">
        <f t="shared" si="3"/>
        <v>1</v>
      </c>
      <c r="L5698" s="4">
        <f t="shared" si="4"/>
        <v>1</v>
      </c>
    </row>
    <row r="5699">
      <c r="A5699" s="23">
        <v>119454.0</v>
      </c>
      <c r="B5699" s="24" t="str">
        <f t="array" ref="B5699">xlookup($A5699,product!$A:$A,product!B:B)</f>
        <v>Santé &amp; Bien-être</v>
      </c>
      <c r="C5699" s="24" t="str">
        <f t="array" ref="C5699">xlookup($A5699,product!$A:$A,product!C:C)</f>
        <v>Masques, Gels hydroalcooliques</v>
      </c>
      <c r="D5699" s="24" t="str">
        <f t="array" ref="D5699">xlookup($A5699,product!$A:$A,product!D:D)</f>
        <v/>
      </c>
      <c r="E5699" s="25" t="str">
        <f t="shared" si="1"/>
        <v>119454-Masques, Gels hydroalcooliques-</v>
      </c>
      <c r="F5699" s="25">
        <v>1.0</v>
      </c>
      <c r="G5699" s="25">
        <v>442.0</v>
      </c>
      <c r="H5699" s="25">
        <v>352.0</v>
      </c>
      <c r="I5699" s="26">
        <f t="array" ref="I5699">XLOOKUP($A5699,product!A:A,product!E:E)</f>
        <v>2.97</v>
      </c>
      <c r="J5699" s="25">
        <f t="shared" si="2"/>
        <v>1045.44</v>
      </c>
      <c r="K5699" s="27">
        <f t="shared" si="3"/>
        <v>1</v>
      </c>
      <c r="L5699" s="25">
        <f t="shared" si="4"/>
        <v>1</v>
      </c>
    </row>
    <row r="5700">
      <c r="A5700" s="19">
        <v>118131.0</v>
      </c>
      <c r="B5700" s="20" t="str">
        <f t="array" ref="B5700">xlookup($A5700,product!$A:$A,product!B:B)</f>
        <v>Santé &amp; Bien-être</v>
      </c>
      <c r="C5700" s="20" t="str">
        <f t="array" ref="C5700">xlookup($A5700,product!$A:$A,product!C:C)</f>
        <v>Masques, Gels hydroalcooliques</v>
      </c>
      <c r="D5700" s="20" t="str">
        <f t="array" ref="D5700">xlookup($A5700,product!$A:$A,product!D:D)</f>
        <v/>
      </c>
      <c r="E5700" s="4" t="str">
        <f t="shared" si="1"/>
        <v>118131-Masques, Gels hydroalcooliques-</v>
      </c>
      <c r="F5700" s="4">
        <v>0.0</v>
      </c>
      <c r="G5700" s="4">
        <v>496.0</v>
      </c>
      <c r="H5700" s="4">
        <v>146.0</v>
      </c>
      <c r="I5700" s="21">
        <f t="array" ref="I5700">XLOOKUP($A5700,product!A:A,product!E:E)</f>
        <v>3.99</v>
      </c>
      <c r="J5700" s="4">
        <f t="shared" si="2"/>
        <v>582.54</v>
      </c>
      <c r="K5700" s="22">
        <f t="shared" si="3"/>
        <v>1</v>
      </c>
      <c r="L5700" s="4">
        <f t="shared" si="4"/>
        <v>1</v>
      </c>
    </row>
    <row r="5701">
      <c r="A5701" s="23">
        <v>128395.0</v>
      </c>
      <c r="B5701" s="24" t="str">
        <f t="array" ref="B5701">xlookup($A5701,product!$A:$A,product!B:B)</f>
        <v>Santé &amp; Bien-être</v>
      </c>
      <c r="C5701" s="24" t="str">
        <f t="array" ref="C5701">xlookup($A5701,product!$A:$A,product!C:C)</f>
        <v>Masques, Gels hydroalcooliques</v>
      </c>
      <c r="D5701" s="24" t="str">
        <f t="array" ref="D5701">xlookup($A5701,product!$A:$A,product!D:D)</f>
        <v/>
      </c>
      <c r="E5701" s="25" t="str">
        <f t="shared" si="1"/>
        <v>128395-Masques, Gels hydroalcooliques-</v>
      </c>
      <c r="F5701" s="25">
        <v>1.0</v>
      </c>
      <c r="G5701" s="25">
        <v>933.0</v>
      </c>
      <c r="H5701" s="25">
        <v>18.0</v>
      </c>
      <c r="I5701" s="26">
        <f t="array" ref="I5701">XLOOKUP($A5701,product!A:A,product!E:E)</f>
        <v>3.78</v>
      </c>
      <c r="J5701" s="25">
        <f t="shared" si="2"/>
        <v>68.04</v>
      </c>
      <c r="K5701" s="27">
        <f t="shared" si="3"/>
        <v>1</v>
      </c>
      <c r="L5701" s="25">
        <f t="shared" si="4"/>
        <v>1</v>
      </c>
    </row>
    <row r="5702">
      <c r="A5702" s="19">
        <v>117482.0</v>
      </c>
      <c r="B5702" s="20" t="str">
        <f t="array" ref="B5702">xlookup($A5702,product!$A:$A,product!B:B)</f>
        <v>Santé &amp; Bien-être</v>
      </c>
      <c r="C5702" s="20" t="str">
        <f t="array" ref="C5702">xlookup($A5702,product!$A:$A,product!C:C)</f>
        <v>Masques, Gels hydroalcooliques</v>
      </c>
      <c r="D5702" s="20" t="str">
        <f t="array" ref="D5702">xlookup($A5702,product!$A:$A,product!D:D)</f>
        <v/>
      </c>
      <c r="E5702" s="4" t="str">
        <f t="shared" si="1"/>
        <v>117482-Masques, Gels hydroalcooliques-</v>
      </c>
      <c r="F5702" s="4">
        <v>0.0</v>
      </c>
      <c r="G5702" s="4">
        <v>809.0</v>
      </c>
      <c r="H5702" s="4">
        <v>41.0</v>
      </c>
      <c r="I5702" s="21">
        <f t="array" ref="I5702">XLOOKUP($A5702,product!A:A,product!E:E)</f>
        <v>1.9</v>
      </c>
      <c r="J5702" s="4">
        <f t="shared" si="2"/>
        <v>77.9</v>
      </c>
      <c r="K5702" s="22">
        <f t="shared" si="3"/>
        <v>1</v>
      </c>
      <c r="L5702" s="4">
        <f t="shared" si="4"/>
        <v>1</v>
      </c>
    </row>
    <row r="5703">
      <c r="A5703" s="23">
        <v>118130.0</v>
      </c>
      <c r="B5703" s="24" t="str">
        <f t="array" ref="B5703">xlookup($A5703,product!$A:$A,product!B:B)</f>
        <v>Santé &amp; Bien-être</v>
      </c>
      <c r="C5703" s="24" t="str">
        <f t="array" ref="C5703">xlookup($A5703,product!$A:$A,product!C:C)</f>
        <v>Masques, Gels hydroalcooliques</v>
      </c>
      <c r="D5703" s="24" t="str">
        <f t="array" ref="D5703">xlookup($A5703,product!$A:$A,product!D:D)</f>
        <v/>
      </c>
      <c r="E5703" s="25" t="str">
        <f t="shared" si="1"/>
        <v>118130-Masques, Gels hydroalcooliques-</v>
      </c>
      <c r="F5703" s="25">
        <v>1.0</v>
      </c>
      <c r="G5703" s="25">
        <v>648.0</v>
      </c>
      <c r="H5703" s="25">
        <v>406.0</v>
      </c>
      <c r="I5703" s="26">
        <f t="array" ref="I5703">XLOOKUP($A5703,product!A:A,product!E:E)</f>
        <v>3.99</v>
      </c>
      <c r="J5703" s="25">
        <f t="shared" si="2"/>
        <v>1619.94</v>
      </c>
      <c r="K5703" s="27">
        <f t="shared" si="3"/>
        <v>1</v>
      </c>
      <c r="L5703" s="25">
        <f t="shared" si="4"/>
        <v>1</v>
      </c>
    </row>
    <row r="5704">
      <c r="A5704" s="19">
        <v>109209.0</v>
      </c>
      <c r="B5704" s="20" t="str">
        <f t="array" ref="B5704">xlookup($A5704,product!$A:$A,product!B:B)</f>
        <v>Santé &amp; Bien-être</v>
      </c>
      <c r="C5704" s="20" t="str">
        <f t="array" ref="C5704">xlookup($A5704,product!$A:$A,product!C:C)</f>
        <v>Masques, Gels hydroalcooliques</v>
      </c>
      <c r="D5704" s="20" t="str">
        <f t="array" ref="D5704">xlookup($A5704,product!$A:$A,product!D:D)</f>
        <v/>
      </c>
      <c r="E5704" s="4" t="str">
        <f t="shared" si="1"/>
        <v>109209-Masques, Gels hydroalcooliques-</v>
      </c>
      <c r="F5704" s="4">
        <v>1.0</v>
      </c>
      <c r="G5704" s="4">
        <v>387.0</v>
      </c>
      <c r="H5704" s="4">
        <v>228.0</v>
      </c>
      <c r="I5704" s="21">
        <f t="array" ref="I5704">XLOOKUP($A5704,product!A:A,product!E:E)</f>
        <v>1.79</v>
      </c>
      <c r="J5704" s="4">
        <f t="shared" si="2"/>
        <v>408.12</v>
      </c>
      <c r="K5704" s="22">
        <f t="shared" si="3"/>
        <v>1</v>
      </c>
      <c r="L5704" s="4">
        <f t="shared" si="4"/>
        <v>1</v>
      </c>
    </row>
    <row r="5705">
      <c r="A5705" s="23">
        <v>74428.0</v>
      </c>
      <c r="B5705" s="24" t="str">
        <f t="array" ref="B5705">xlookup($A5705,product!$A:$A,product!B:B)</f>
        <v>Santé &amp; Bien-être</v>
      </c>
      <c r="C5705" s="24" t="str">
        <f t="array" ref="C5705">xlookup($A5705,product!$A:$A,product!C:C)</f>
        <v>Phytothérapie, gemmothérapie</v>
      </c>
      <c r="D5705" s="24" t="str">
        <f t="array" ref="D5705">xlookup($A5705,product!$A:$A,product!D:D)</f>
        <v>Extrait de plantes fraîches</v>
      </c>
      <c r="E5705" s="25" t="str">
        <f t="shared" si="1"/>
        <v>74428-Phytothérapie, gemmothérapie-Extrait de plantes fraîches</v>
      </c>
      <c r="F5705" s="25">
        <v>0.0</v>
      </c>
      <c r="G5705" s="25">
        <v>753.0</v>
      </c>
      <c r="H5705" s="25">
        <v>580.0</v>
      </c>
      <c r="I5705" s="26">
        <f t="array" ref="I5705">XLOOKUP($A5705,product!A:A,product!E:E)</f>
        <v>10.85</v>
      </c>
      <c r="J5705" s="25">
        <f t="shared" si="2"/>
        <v>6293</v>
      </c>
      <c r="K5705" s="27">
        <f t="shared" si="3"/>
        <v>1</v>
      </c>
      <c r="L5705" s="25">
        <f t="shared" si="4"/>
        <v>1</v>
      </c>
    </row>
    <row r="5706">
      <c r="A5706" s="19">
        <v>13941.0</v>
      </c>
      <c r="B5706" s="20" t="str">
        <f t="array" ref="B5706">xlookup($A5706,product!$A:$A,product!B:B)</f>
        <v>Santé &amp; Bien-être</v>
      </c>
      <c r="C5706" s="20" t="str">
        <f t="array" ref="C5706">xlookup($A5706,product!$A:$A,product!C:C)</f>
        <v>Phytothérapie, gemmothérapie</v>
      </c>
      <c r="D5706" s="20" t="str">
        <f t="array" ref="D5706">xlookup($A5706,product!$A:$A,product!D:D)</f>
        <v>Extrait de plantes fraîches</v>
      </c>
      <c r="E5706" s="4" t="str">
        <f t="shared" si="1"/>
        <v>13941-Phytothérapie, gemmothérapie-Extrait de plantes fraîches</v>
      </c>
      <c r="F5706" s="4">
        <v>1.0</v>
      </c>
      <c r="G5706" s="4">
        <v>655.0</v>
      </c>
      <c r="H5706" s="4">
        <v>339.0</v>
      </c>
      <c r="I5706" s="21">
        <f t="array" ref="I5706">XLOOKUP($A5706,product!A:A,product!E:E)</f>
        <v>5.66</v>
      </c>
      <c r="J5706" s="4">
        <f t="shared" si="2"/>
        <v>1918.74</v>
      </c>
      <c r="K5706" s="22">
        <f t="shared" si="3"/>
        <v>1</v>
      </c>
      <c r="L5706" s="4">
        <f t="shared" si="4"/>
        <v>1</v>
      </c>
    </row>
    <row r="5707">
      <c r="A5707" s="23">
        <v>44316.0</v>
      </c>
      <c r="B5707" s="24" t="str">
        <f t="array" ref="B5707">xlookup($A5707,product!$A:$A,product!B:B)</f>
        <v>Alimentation Bébé</v>
      </c>
      <c r="C5707" s="24" t="str">
        <f t="array" ref="C5707">xlookup($A5707,product!$A:$A,product!C:C)</f>
        <v>Préparation végétale bébé</v>
      </c>
      <c r="D5707" s="24" t="str">
        <f t="array" ref="D5707">xlookup($A5707,product!$A:$A,product!D:D)</f>
        <v>Préparation végétale 1er âge</v>
      </c>
      <c r="E5707" s="25" t="str">
        <f t="shared" si="1"/>
        <v>44316-Préparation végétale bébé-Préparation végétale 1er âge</v>
      </c>
      <c r="F5707" s="25">
        <v>1.0</v>
      </c>
      <c r="G5707" s="25">
        <v>48.0</v>
      </c>
      <c r="H5707" s="25">
        <v>16.0</v>
      </c>
      <c r="I5707" s="26">
        <f t="array" ref="I5707">XLOOKUP($A5707,product!A:A,product!E:E)</f>
        <v>25.63</v>
      </c>
      <c r="J5707" s="25">
        <f t="shared" si="2"/>
        <v>410.08</v>
      </c>
      <c r="K5707" s="27">
        <f t="shared" si="3"/>
        <v>1</v>
      </c>
      <c r="L5707" s="25">
        <f t="shared" si="4"/>
        <v>1</v>
      </c>
    </row>
    <row r="5708">
      <c r="A5708" s="19">
        <v>122748.0</v>
      </c>
      <c r="B5708" s="20" t="str">
        <f t="array" ref="B5708">xlookup($A5708,product!$A:$A,product!B:B)</f>
        <v>Alimentation Bébé</v>
      </c>
      <c r="C5708" s="20" t="str">
        <f t="array" ref="C5708">xlookup($A5708,product!$A:$A,product!C:C)</f>
        <v>Préparation végétale bébé</v>
      </c>
      <c r="D5708" s="20" t="str">
        <f t="array" ref="D5708">xlookup($A5708,product!$A:$A,product!D:D)</f>
        <v>Préparation végétale 1er âge</v>
      </c>
      <c r="E5708" s="4" t="str">
        <f t="shared" si="1"/>
        <v>122748-Préparation végétale bébé-Préparation végétale 1er âge</v>
      </c>
      <c r="F5708" s="4">
        <v>1.0</v>
      </c>
      <c r="G5708" s="4">
        <v>295.0</v>
      </c>
      <c r="H5708" s="4">
        <v>149.0</v>
      </c>
      <c r="I5708" s="21">
        <f t="array" ref="I5708">XLOOKUP($A5708,product!A:A,product!E:E)</f>
        <v>15.04</v>
      </c>
      <c r="J5708" s="4">
        <f t="shared" si="2"/>
        <v>2240.96</v>
      </c>
      <c r="K5708" s="22">
        <f t="shared" si="3"/>
        <v>1</v>
      </c>
      <c r="L5708" s="4">
        <f t="shared" si="4"/>
        <v>1</v>
      </c>
    </row>
    <row r="5709">
      <c r="A5709" s="23">
        <v>118936.0</v>
      </c>
      <c r="B5709" s="24" t="str">
        <f t="array" ref="B5709">xlookup($A5709,product!$A:$A,product!B:B)</f>
        <v>Alimentation Bébé</v>
      </c>
      <c r="C5709" s="24" t="str">
        <f t="array" ref="C5709">xlookup($A5709,product!$A:$A,product!C:C)</f>
        <v>Préparation végétale bébé</v>
      </c>
      <c r="D5709" s="24" t="str">
        <f t="array" ref="D5709">xlookup($A5709,product!$A:$A,product!D:D)</f>
        <v>Préparation végétale 2ème âge</v>
      </c>
      <c r="E5709" s="25" t="str">
        <f t="shared" si="1"/>
        <v>118936-Préparation végétale bébé-Préparation végétale 2ème âge</v>
      </c>
      <c r="F5709" s="25">
        <v>1.0</v>
      </c>
      <c r="G5709" s="25">
        <v>317.0</v>
      </c>
      <c r="H5709" s="25">
        <v>237.0</v>
      </c>
      <c r="I5709" s="26">
        <f t="array" ref="I5709">XLOOKUP($A5709,product!A:A,product!E:E)</f>
        <v>17.68</v>
      </c>
      <c r="J5709" s="25">
        <f t="shared" si="2"/>
        <v>4190.16</v>
      </c>
      <c r="K5709" s="27">
        <f t="shared" si="3"/>
        <v>1</v>
      </c>
      <c r="L5709" s="25">
        <f t="shared" si="4"/>
        <v>1</v>
      </c>
    </row>
    <row r="5710">
      <c r="A5710" s="19">
        <v>122746.0</v>
      </c>
      <c r="B5710" s="20" t="str">
        <f t="array" ref="B5710">xlookup($A5710,product!$A:$A,product!B:B)</f>
        <v>Alimentation Bébé</v>
      </c>
      <c r="C5710" s="20" t="str">
        <f t="array" ref="C5710">xlookup($A5710,product!$A:$A,product!C:C)</f>
        <v>Préparation végétale bébé</v>
      </c>
      <c r="D5710" s="20" t="str">
        <f t="array" ref="D5710">xlookup($A5710,product!$A:$A,product!D:D)</f>
        <v>Préparation végétale 2ème âge</v>
      </c>
      <c r="E5710" s="4" t="str">
        <f t="shared" si="1"/>
        <v>122746-Préparation végétale bébé-Préparation végétale 2ème âge</v>
      </c>
      <c r="F5710" s="4">
        <v>1.0</v>
      </c>
      <c r="G5710" s="4">
        <v>327.0</v>
      </c>
      <c r="H5710" s="4">
        <v>27.0</v>
      </c>
      <c r="I5710" s="21">
        <f t="array" ref="I5710">XLOOKUP($A5710,product!A:A,product!E:E)</f>
        <v>15.04</v>
      </c>
      <c r="J5710" s="4">
        <f t="shared" si="2"/>
        <v>406.08</v>
      </c>
      <c r="K5710" s="22">
        <f t="shared" si="3"/>
        <v>1</v>
      </c>
      <c r="L5710" s="4">
        <f t="shared" si="4"/>
        <v>1</v>
      </c>
    </row>
    <row r="5711">
      <c r="A5711" s="23">
        <v>76567.0</v>
      </c>
      <c r="B5711" s="24" t="str">
        <f t="array" ref="B5711">xlookup($A5711,product!$A:$A,product!B:B)</f>
        <v>Alimentation Bébé</v>
      </c>
      <c r="C5711" s="24" t="str">
        <f t="array" ref="C5711">xlookup($A5711,product!$A:$A,product!C:C)</f>
        <v>Préparation végétale bébé</v>
      </c>
      <c r="D5711" s="24" t="str">
        <f t="array" ref="D5711">xlookup($A5711,product!$A:$A,product!D:D)</f>
        <v>Préparation végétale croissance</v>
      </c>
      <c r="E5711" s="25" t="str">
        <f t="shared" si="1"/>
        <v>76567-Préparation végétale bébé-Préparation végétale croissance</v>
      </c>
      <c r="F5711" s="25">
        <v>0.0</v>
      </c>
      <c r="G5711" s="25">
        <v>595.0</v>
      </c>
      <c r="H5711" s="25">
        <v>275.0</v>
      </c>
      <c r="I5711" s="26">
        <f t="array" ref="I5711">XLOOKUP($A5711,product!A:A,product!E:E)</f>
        <v>25.63</v>
      </c>
      <c r="J5711" s="25">
        <f t="shared" si="2"/>
        <v>7048.25</v>
      </c>
      <c r="K5711" s="27">
        <f t="shared" si="3"/>
        <v>1</v>
      </c>
      <c r="L5711" s="25">
        <f t="shared" si="4"/>
        <v>1</v>
      </c>
    </row>
    <row r="5712">
      <c r="A5712" s="19">
        <v>122747.0</v>
      </c>
      <c r="B5712" s="20" t="str">
        <f t="array" ref="B5712">xlookup($A5712,product!$A:$A,product!B:B)</f>
        <v>Alimentation Bébé</v>
      </c>
      <c r="C5712" s="20" t="str">
        <f t="array" ref="C5712">xlookup($A5712,product!$A:$A,product!C:C)</f>
        <v>Préparation végétale bébé</v>
      </c>
      <c r="D5712" s="20" t="str">
        <f t="array" ref="D5712">xlookup($A5712,product!$A:$A,product!D:D)</f>
        <v>Préparation végétale croissance</v>
      </c>
      <c r="E5712" s="4" t="str">
        <f t="shared" si="1"/>
        <v>122747-Préparation végétale bébé-Préparation végétale croissance</v>
      </c>
      <c r="F5712" s="4">
        <v>1.0</v>
      </c>
      <c r="G5712" s="4">
        <v>501.0</v>
      </c>
      <c r="H5712" s="4">
        <v>60.0</v>
      </c>
      <c r="I5712" s="21">
        <f t="array" ref="I5712">XLOOKUP($A5712,product!A:A,product!E:E)</f>
        <v>15.04</v>
      </c>
      <c r="J5712" s="4">
        <f t="shared" si="2"/>
        <v>902.4</v>
      </c>
      <c r="K5712" s="22">
        <f t="shared" si="3"/>
        <v>1</v>
      </c>
      <c r="L5712" s="4">
        <f t="shared" si="4"/>
        <v>1</v>
      </c>
    </row>
    <row r="5713">
      <c r="A5713" s="23">
        <v>48484.0</v>
      </c>
      <c r="B5713" s="24" t="str">
        <f t="array" ref="B5713">xlookup($A5713,product!$A:$A,product!B:B)</f>
        <v>Maison</v>
      </c>
      <c r="C5713" s="24" t="str">
        <f t="array" ref="C5713">xlookup($A5713,product!$A:$A,product!C:C)</f>
        <v>Carafes filtrantes et Fontaines</v>
      </c>
      <c r="D5713" s="24" t="str">
        <f t="array" ref="D5713">xlookup($A5713,product!$A:$A,product!D:D)</f>
        <v>Filtres à eau pour robinet</v>
      </c>
      <c r="E5713" s="25" t="str">
        <f t="shared" si="1"/>
        <v>48484-Carafes filtrantes et Fontaines-Filtres à eau pour robinet</v>
      </c>
      <c r="F5713" s="25">
        <v>1.0</v>
      </c>
      <c r="G5713" s="25">
        <v>622.0</v>
      </c>
      <c r="H5713" s="25">
        <v>378.0</v>
      </c>
      <c r="I5713" s="26">
        <f t="array" ref="I5713">XLOOKUP($A5713,product!A:A,product!E:E)</f>
        <v>22.96</v>
      </c>
      <c r="J5713" s="25">
        <f t="shared" si="2"/>
        <v>8678.88</v>
      </c>
      <c r="K5713" s="27">
        <f t="shared" si="3"/>
        <v>1</v>
      </c>
      <c r="L5713" s="25">
        <f t="shared" si="4"/>
        <v>1</v>
      </c>
    </row>
    <row r="5714">
      <c r="A5714" s="19">
        <v>10856.0</v>
      </c>
      <c r="B5714" s="20" t="str">
        <f t="array" ref="B5714">xlookup($A5714,product!$A:$A,product!B:B)</f>
        <v>Maison</v>
      </c>
      <c r="C5714" s="20" t="str">
        <f t="array" ref="C5714">xlookup($A5714,product!$A:$A,product!C:C)</f>
        <v>Carafes filtrantes et Fontaines</v>
      </c>
      <c r="D5714" s="20" t="str">
        <f t="array" ref="D5714">xlookup($A5714,product!$A:$A,product!D:D)</f>
        <v>Filtres à eau pour robinet</v>
      </c>
      <c r="E5714" s="4" t="str">
        <f t="shared" si="1"/>
        <v>10856-Carafes filtrantes et Fontaines-Filtres à eau pour robinet</v>
      </c>
      <c r="F5714" s="4">
        <v>1.0</v>
      </c>
      <c r="G5714" s="4">
        <v>255.0</v>
      </c>
      <c r="H5714" s="4">
        <v>131.0</v>
      </c>
      <c r="I5714" s="21">
        <f t="array" ref="I5714">XLOOKUP($A5714,product!A:A,product!E:E)</f>
        <v>26.54</v>
      </c>
      <c r="J5714" s="4">
        <f t="shared" si="2"/>
        <v>3476.74</v>
      </c>
      <c r="K5714" s="22">
        <f t="shared" si="3"/>
        <v>1</v>
      </c>
      <c r="L5714" s="4">
        <f t="shared" si="4"/>
        <v>1</v>
      </c>
    </row>
    <row r="5715">
      <c r="A5715" s="23">
        <v>48486.0</v>
      </c>
      <c r="B5715" s="24" t="str">
        <f t="array" ref="B5715">xlookup($A5715,product!$A:$A,product!B:B)</f>
        <v>Maison</v>
      </c>
      <c r="C5715" s="24" t="str">
        <f t="array" ref="C5715">xlookup($A5715,product!$A:$A,product!C:C)</f>
        <v>Carafes filtrantes et Fontaines</v>
      </c>
      <c r="D5715" s="24" t="str">
        <f t="array" ref="D5715">xlookup($A5715,product!$A:$A,product!D:D)</f>
        <v>Filtres à eau pour robinet</v>
      </c>
      <c r="E5715" s="25" t="str">
        <f t="shared" si="1"/>
        <v>48486-Carafes filtrantes et Fontaines-Filtres à eau pour robinet</v>
      </c>
      <c r="F5715" s="25">
        <v>1.0</v>
      </c>
      <c r="G5715" s="25">
        <v>694.0</v>
      </c>
      <c r="H5715" s="25">
        <v>109.0</v>
      </c>
      <c r="I5715" s="26">
        <f t="array" ref="I5715">XLOOKUP($A5715,product!A:A,product!E:E)</f>
        <v>14.04</v>
      </c>
      <c r="J5715" s="25">
        <f t="shared" si="2"/>
        <v>1530.36</v>
      </c>
      <c r="K5715" s="27">
        <f t="shared" si="3"/>
        <v>1</v>
      </c>
      <c r="L5715" s="25">
        <f t="shared" si="4"/>
        <v>1</v>
      </c>
    </row>
    <row r="5716">
      <c r="A5716" s="19">
        <v>108707.0</v>
      </c>
      <c r="B5716" s="20" t="str">
        <f t="array" ref="B5716">xlookup($A5716,product!$A:$A,product!B:B)</f>
        <v>Maison</v>
      </c>
      <c r="C5716" s="20" t="str">
        <f t="array" ref="C5716">xlookup($A5716,product!$A:$A,product!C:C)</f>
        <v>Carafes filtrantes et Fontaines</v>
      </c>
      <c r="D5716" s="20" t="str">
        <f t="array" ref="D5716">xlookup($A5716,product!$A:$A,product!D:D)</f>
        <v>Charbon, filtres et cartouches</v>
      </c>
      <c r="E5716" s="4" t="str">
        <f t="shared" si="1"/>
        <v>108707-Carafes filtrantes et Fontaines-Charbon, filtres et cartouches</v>
      </c>
      <c r="F5716" s="4">
        <v>0.0</v>
      </c>
      <c r="G5716" s="4">
        <v>957.0</v>
      </c>
      <c r="H5716" s="4">
        <v>58.0</v>
      </c>
      <c r="I5716" s="21">
        <f t="array" ref="I5716">XLOOKUP($A5716,product!A:A,product!E:E)</f>
        <v>19.49</v>
      </c>
      <c r="J5716" s="4">
        <f t="shared" si="2"/>
        <v>1130.42</v>
      </c>
      <c r="K5716" s="22">
        <f t="shared" si="3"/>
        <v>1</v>
      </c>
      <c r="L5716" s="4">
        <f t="shared" si="4"/>
        <v>1</v>
      </c>
    </row>
    <row r="5717">
      <c r="A5717" s="23">
        <v>109565.0</v>
      </c>
      <c r="B5717" s="24" t="str">
        <f t="array" ref="B5717">xlookup($A5717,product!$A:$A,product!B:B)</f>
        <v>Maison</v>
      </c>
      <c r="C5717" s="24" t="str">
        <f t="array" ref="C5717">xlookup($A5717,product!$A:$A,product!C:C)</f>
        <v>Carafes filtrantes et Fontaines</v>
      </c>
      <c r="D5717" s="24" t="str">
        <f t="array" ref="D5717">xlookup($A5717,product!$A:$A,product!D:D)</f>
        <v>Charbon, filtres et cartouches</v>
      </c>
      <c r="E5717" s="25" t="str">
        <f t="shared" si="1"/>
        <v>109565-Carafes filtrantes et Fontaines-Charbon, filtres et cartouches</v>
      </c>
      <c r="F5717" s="25">
        <v>1.0</v>
      </c>
      <c r="G5717" s="25">
        <v>523.0</v>
      </c>
      <c r="H5717" s="25">
        <v>514.0</v>
      </c>
      <c r="I5717" s="26">
        <f t="array" ref="I5717">XLOOKUP($A5717,product!A:A,product!E:E)</f>
        <v>2.74</v>
      </c>
      <c r="J5717" s="25">
        <f t="shared" si="2"/>
        <v>1408.36</v>
      </c>
      <c r="K5717" s="27">
        <f t="shared" si="3"/>
        <v>1</v>
      </c>
      <c r="L5717" s="25">
        <f t="shared" si="4"/>
        <v>1</v>
      </c>
    </row>
    <row r="5718">
      <c r="A5718" s="19">
        <v>99181.0</v>
      </c>
      <c r="B5718" s="20" t="str">
        <f t="array" ref="B5718">xlookup($A5718,product!$A:$A,product!B:B)</f>
        <v>Maison</v>
      </c>
      <c r="C5718" s="20" t="str">
        <f t="array" ref="C5718">xlookup($A5718,product!$A:$A,product!C:C)</f>
        <v>Carafes filtrantes et Fontaines</v>
      </c>
      <c r="D5718" s="20" t="str">
        <f t="array" ref="D5718">xlookup($A5718,product!$A:$A,product!D:D)</f>
        <v>Charbon, filtres et cartouches</v>
      </c>
      <c r="E5718" s="4" t="str">
        <f t="shared" si="1"/>
        <v>99181-Carafes filtrantes et Fontaines-Charbon, filtres et cartouches</v>
      </c>
      <c r="F5718" s="4">
        <v>0.0</v>
      </c>
      <c r="G5718" s="4">
        <v>804.0</v>
      </c>
      <c r="H5718" s="4">
        <v>14.0</v>
      </c>
      <c r="I5718" s="21">
        <f t="array" ref="I5718">XLOOKUP($A5718,product!A:A,product!E:E)</f>
        <v>11.7</v>
      </c>
      <c r="J5718" s="4">
        <f t="shared" si="2"/>
        <v>163.8</v>
      </c>
      <c r="K5718" s="22">
        <f t="shared" si="3"/>
        <v>1</v>
      </c>
      <c r="L5718" s="4">
        <f t="shared" si="4"/>
        <v>1</v>
      </c>
    </row>
    <row r="5719">
      <c r="A5719" s="23">
        <v>109060.0</v>
      </c>
      <c r="B5719" s="24" t="str">
        <f t="array" ref="B5719">xlookup($A5719,product!$A:$A,product!B:B)</f>
        <v>Maison</v>
      </c>
      <c r="C5719" s="24" t="str">
        <f t="array" ref="C5719">xlookup($A5719,product!$A:$A,product!C:C)</f>
        <v>Carafes filtrantes et Fontaines</v>
      </c>
      <c r="D5719" s="24" t="str">
        <f t="array" ref="D5719">xlookup($A5719,product!$A:$A,product!D:D)</f>
        <v>Charbon, filtres et cartouches</v>
      </c>
      <c r="E5719" s="25" t="str">
        <f t="shared" si="1"/>
        <v>109060-Carafes filtrantes et Fontaines-Charbon, filtres et cartouches</v>
      </c>
      <c r="F5719" s="25">
        <v>1.0</v>
      </c>
      <c r="G5719" s="25">
        <v>489.0</v>
      </c>
      <c r="H5719" s="25">
        <v>455.0</v>
      </c>
      <c r="I5719" s="26">
        <f t="array" ref="I5719">XLOOKUP($A5719,product!A:A,product!E:E)</f>
        <v>3.19</v>
      </c>
      <c r="J5719" s="25">
        <f t="shared" si="2"/>
        <v>1451.45</v>
      </c>
      <c r="K5719" s="27">
        <f t="shared" si="3"/>
        <v>1</v>
      </c>
      <c r="L5719" s="25">
        <f t="shared" si="4"/>
        <v>1</v>
      </c>
    </row>
    <row r="5720">
      <c r="A5720" s="19">
        <v>109628.0</v>
      </c>
      <c r="B5720" s="20" t="str">
        <f t="array" ref="B5720">xlookup($A5720,product!$A:$A,product!B:B)</f>
        <v>Maison</v>
      </c>
      <c r="C5720" s="20" t="str">
        <f t="array" ref="C5720">xlookup($A5720,product!$A:$A,product!C:C)</f>
        <v>Carafes filtrantes et Fontaines</v>
      </c>
      <c r="D5720" s="20" t="str">
        <f t="array" ref="D5720">xlookup($A5720,product!$A:$A,product!D:D)</f>
        <v>Charbon, filtres et cartouches</v>
      </c>
      <c r="E5720" s="4" t="str">
        <f t="shared" si="1"/>
        <v>109628-Carafes filtrantes et Fontaines-Charbon, filtres et cartouches</v>
      </c>
      <c r="F5720" s="4">
        <v>0.0</v>
      </c>
      <c r="G5720" s="4">
        <v>256.0</v>
      </c>
      <c r="H5720" s="4">
        <v>246.0</v>
      </c>
      <c r="I5720" s="21">
        <f t="array" ref="I5720">XLOOKUP($A5720,product!A:A,product!E:E)</f>
        <v>4.03</v>
      </c>
      <c r="J5720" s="4">
        <f t="shared" si="2"/>
        <v>991.38</v>
      </c>
      <c r="K5720" s="22">
        <f t="shared" si="3"/>
        <v>1</v>
      </c>
      <c r="L5720" s="4">
        <f t="shared" si="4"/>
        <v>1</v>
      </c>
    </row>
    <row r="5721">
      <c r="A5721" s="23">
        <v>128346.0</v>
      </c>
      <c r="B5721" s="24" t="str">
        <f t="array" ref="B5721">xlookup($A5721,product!$A:$A,product!B:B)</f>
        <v>Maison</v>
      </c>
      <c r="C5721" s="24" t="str">
        <f t="array" ref="C5721">xlookup($A5721,product!$A:$A,product!C:C)</f>
        <v>Carafes filtrantes et Fontaines</v>
      </c>
      <c r="D5721" s="24" t="str">
        <f t="array" ref="D5721">xlookup($A5721,product!$A:$A,product!D:D)</f>
        <v>Charbon, filtres et cartouches</v>
      </c>
      <c r="E5721" s="25" t="str">
        <f t="shared" si="1"/>
        <v>128346-Carafes filtrantes et Fontaines-Charbon, filtres et cartouches</v>
      </c>
      <c r="F5721" s="25">
        <v>1.0</v>
      </c>
      <c r="G5721" s="25">
        <v>4.0</v>
      </c>
      <c r="H5721" s="25">
        <v>0.0</v>
      </c>
      <c r="I5721" s="26">
        <f t="array" ref="I5721">XLOOKUP($A5721,product!A:A,product!E:E)</f>
        <v>5.1</v>
      </c>
      <c r="J5721" s="25">
        <f t="shared" si="2"/>
        <v>0</v>
      </c>
      <c r="K5721" s="27">
        <f t="shared" si="3"/>
        <v>0</v>
      </c>
      <c r="L5721" s="25">
        <f t="shared" si="4"/>
        <v>1</v>
      </c>
    </row>
    <row r="5722">
      <c r="A5722" s="19">
        <v>90319.0</v>
      </c>
      <c r="B5722" s="20" t="str">
        <f t="array" ref="B5722">xlookup($A5722,product!$A:$A,product!B:B)</f>
        <v>Maison</v>
      </c>
      <c r="C5722" s="20" t="str">
        <f t="array" ref="C5722">xlookup($A5722,product!$A:$A,product!C:C)</f>
        <v>Carafes filtrantes et Fontaines</v>
      </c>
      <c r="D5722" s="20" t="str">
        <f t="array" ref="D5722">xlookup($A5722,product!$A:$A,product!D:D)</f>
        <v>Charbon, filtres et cartouches</v>
      </c>
      <c r="E5722" s="4" t="str">
        <f t="shared" si="1"/>
        <v>90319-Carafes filtrantes et Fontaines-Charbon, filtres et cartouches</v>
      </c>
      <c r="F5722" s="4">
        <v>0.0</v>
      </c>
      <c r="G5722" s="4">
        <v>514.0</v>
      </c>
      <c r="H5722" s="4">
        <v>11.0</v>
      </c>
      <c r="I5722" s="21">
        <f t="array" ref="I5722">XLOOKUP($A5722,product!A:A,product!E:E)</f>
        <v>15.14</v>
      </c>
      <c r="J5722" s="4">
        <f t="shared" si="2"/>
        <v>166.54</v>
      </c>
      <c r="K5722" s="22">
        <f t="shared" si="3"/>
        <v>1</v>
      </c>
      <c r="L5722" s="4">
        <f t="shared" si="4"/>
        <v>1</v>
      </c>
    </row>
    <row r="5723">
      <c r="A5723" s="23">
        <v>96287.0</v>
      </c>
      <c r="B5723" s="24" t="str">
        <f t="array" ref="B5723">xlookup($A5723,product!$A:$A,product!B:B)</f>
        <v>Maison</v>
      </c>
      <c r="C5723" s="24" t="str">
        <f t="array" ref="C5723">xlookup($A5723,product!$A:$A,product!C:C)</f>
        <v>Carafes filtrantes et Fontaines</v>
      </c>
      <c r="D5723" s="24" t="str">
        <f t="array" ref="D5723">xlookup($A5723,product!$A:$A,product!D:D)</f>
        <v>Charbon, filtres et cartouches</v>
      </c>
      <c r="E5723" s="25" t="str">
        <f t="shared" si="1"/>
        <v>96287-Carafes filtrantes et Fontaines-Charbon, filtres et cartouches</v>
      </c>
      <c r="F5723" s="25">
        <v>0.0</v>
      </c>
      <c r="G5723" s="25">
        <v>522.0</v>
      </c>
      <c r="H5723" s="25">
        <v>58.0</v>
      </c>
      <c r="I5723" s="26">
        <f t="array" ref="I5723">XLOOKUP($A5723,product!A:A,product!E:E)</f>
        <v>9.38</v>
      </c>
      <c r="J5723" s="25">
        <f t="shared" si="2"/>
        <v>544.04</v>
      </c>
      <c r="K5723" s="27">
        <f t="shared" si="3"/>
        <v>1</v>
      </c>
      <c r="L5723" s="25">
        <f t="shared" si="4"/>
        <v>1</v>
      </c>
    </row>
    <row r="5724">
      <c r="A5724" s="19">
        <v>96238.0</v>
      </c>
      <c r="B5724" s="20" t="str">
        <f t="array" ref="B5724">xlookup($A5724,product!$A:$A,product!B:B)</f>
        <v>Maison</v>
      </c>
      <c r="C5724" s="20" t="str">
        <f t="array" ref="C5724">xlookup($A5724,product!$A:$A,product!C:C)</f>
        <v>Carafes filtrantes et Fontaines</v>
      </c>
      <c r="D5724" s="20" t="str">
        <f t="array" ref="D5724">xlookup($A5724,product!$A:$A,product!D:D)</f>
        <v>Charbon, filtres et cartouches</v>
      </c>
      <c r="E5724" s="4" t="str">
        <f t="shared" si="1"/>
        <v>96238-Carafes filtrantes et Fontaines-Charbon, filtres et cartouches</v>
      </c>
      <c r="F5724" s="4">
        <v>1.0</v>
      </c>
      <c r="G5724" s="4">
        <v>201.0</v>
      </c>
      <c r="H5724" s="4">
        <v>69.0</v>
      </c>
      <c r="I5724" s="21">
        <f t="array" ref="I5724">XLOOKUP($A5724,product!A:A,product!E:E)</f>
        <v>5.45</v>
      </c>
      <c r="J5724" s="4">
        <f t="shared" si="2"/>
        <v>376.05</v>
      </c>
      <c r="K5724" s="22">
        <f t="shared" si="3"/>
        <v>1</v>
      </c>
      <c r="L5724" s="4">
        <f t="shared" si="4"/>
        <v>1</v>
      </c>
    </row>
    <row r="5725">
      <c r="A5725" s="23">
        <v>116553.0</v>
      </c>
      <c r="B5725" s="24" t="str">
        <f t="array" ref="B5725">xlookup($A5725,product!$A:$A,product!B:B)</f>
        <v>Maison</v>
      </c>
      <c r="C5725" s="24" t="str">
        <f t="array" ref="C5725">xlookup($A5725,product!$A:$A,product!C:C)</f>
        <v>Carafes filtrantes et Fontaines</v>
      </c>
      <c r="D5725" s="24" t="str">
        <f t="array" ref="D5725">xlookup($A5725,product!$A:$A,product!D:D)</f>
        <v>Charbon, filtres et cartouches</v>
      </c>
      <c r="E5725" s="25" t="str">
        <f t="shared" si="1"/>
        <v>116553-Carafes filtrantes et Fontaines-Charbon, filtres et cartouches</v>
      </c>
      <c r="F5725" s="25">
        <v>1.0</v>
      </c>
      <c r="G5725" s="25">
        <v>731.0</v>
      </c>
      <c r="H5725" s="25">
        <v>690.0</v>
      </c>
      <c r="I5725" s="26">
        <f t="array" ref="I5725">XLOOKUP($A5725,product!A:A,product!E:E)</f>
        <v>3.74</v>
      </c>
      <c r="J5725" s="25">
        <f t="shared" si="2"/>
        <v>2580.6</v>
      </c>
      <c r="K5725" s="27">
        <f t="shared" si="3"/>
        <v>1</v>
      </c>
      <c r="L5725" s="25">
        <f t="shared" si="4"/>
        <v>1</v>
      </c>
    </row>
    <row r="5726">
      <c r="A5726" s="19">
        <v>116539.0</v>
      </c>
      <c r="B5726" s="20" t="str">
        <f t="array" ref="B5726">xlookup($A5726,product!$A:$A,product!B:B)</f>
        <v>Maison</v>
      </c>
      <c r="C5726" s="20" t="str">
        <f t="array" ref="C5726">xlookup($A5726,product!$A:$A,product!C:C)</f>
        <v>Carafes filtrantes et Fontaines</v>
      </c>
      <c r="D5726" s="20" t="str">
        <f t="array" ref="D5726">xlookup($A5726,product!$A:$A,product!D:D)</f>
        <v>Charbon, filtres et cartouches</v>
      </c>
      <c r="E5726" s="4" t="str">
        <f t="shared" si="1"/>
        <v>116539-Carafes filtrantes et Fontaines-Charbon, filtres et cartouches</v>
      </c>
      <c r="F5726" s="4">
        <v>0.0</v>
      </c>
      <c r="G5726" s="4">
        <v>723.0</v>
      </c>
      <c r="H5726" s="4">
        <v>551.0</v>
      </c>
      <c r="I5726" s="21">
        <f t="array" ref="I5726">XLOOKUP($A5726,product!A:A,product!E:E)</f>
        <v>3.18</v>
      </c>
      <c r="J5726" s="4">
        <f t="shared" si="2"/>
        <v>1752.18</v>
      </c>
      <c r="K5726" s="22">
        <f t="shared" si="3"/>
        <v>1</v>
      </c>
      <c r="L5726" s="4">
        <f t="shared" si="4"/>
        <v>1</v>
      </c>
    </row>
    <row r="5727">
      <c r="A5727" s="23">
        <v>156015.0</v>
      </c>
      <c r="B5727" s="24" t="str">
        <f t="array" ref="B5727">xlookup($A5727,product!$A:$A,product!B:B)</f>
        <v>Santé &amp; Bien-être</v>
      </c>
      <c r="C5727" s="24" t="str">
        <f t="array" ref="C5727">xlookup($A5727,product!$A:$A,product!C:C)</f>
        <v>Fleurs de Bach, Elixirs floraux</v>
      </c>
      <c r="D5727" s="24" t="str">
        <f t="array" ref="D5727">xlookup($A5727,product!$A:$A,product!D:D)</f>
        <v/>
      </c>
      <c r="E5727" s="25" t="str">
        <f t="shared" si="1"/>
        <v>156015-Fleurs de Bach, Elixirs floraux-</v>
      </c>
      <c r="F5727" s="25">
        <v>0.0</v>
      </c>
      <c r="G5727" s="25">
        <v>567.0</v>
      </c>
      <c r="H5727" s="25">
        <v>350.0</v>
      </c>
      <c r="I5727" s="26">
        <f t="array" ref="I5727">XLOOKUP($A5727,product!A:A,product!E:E)</f>
        <v>5.82</v>
      </c>
      <c r="J5727" s="25">
        <f t="shared" si="2"/>
        <v>2037</v>
      </c>
      <c r="K5727" s="27">
        <f t="shared" si="3"/>
        <v>1</v>
      </c>
      <c r="L5727" s="25">
        <f t="shared" si="4"/>
        <v>1</v>
      </c>
    </row>
    <row r="5728">
      <c r="A5728" s="19">
        <v>77049.0</v>
      </c>
      <c r="B5728" s="20" t="str">
        <f t="array" ref="B5728">xlookup($A5728,product!$A:$A,product!B:B)</f>
        <v>Santé &amp; Bien-être</v>
      </c>
      <c r="C5728" s="20" t="str">
        <f t="array" ref="C5728">xlookup($A5728,product!$A:$A,product!C:C)</f>
        <v>Fleurs de Bach, Elixirs floraux</v>
      </c>
      <c r="D5728" s="20" t="str">
        <f t="array" ref="D5728">xlookup($A5728,product!$A:$A,product!D:D)</f>
        <v>Remède de secours, rescue</v>
      </c>
      <c r="E5728" s="4" t="str">
        <f t="shared" si="1"/>
        <v>77049-Fleurs de Bach, Elixirs floraux-Remède de secours, rescue</v>
      </c>
      <c r="F5728" s="4">
        <v>1.0</v>
      </c>
      <c r="G5728" s="4">
        <v>421.0</v>
      </c>
      <c r="H5728" s="4">
        <v>349.0</v>
      </c>
      <c r="I5728" s="21">
        <f t="array" ref="I5728">XLOOKUP($A5728,product!A:A,product!E:E)</f>
        <v>6.67</v>
      </c>
      <c r="J5728" s="4">
        <f t="shared" si="2"/>
        <v>2327.83</v>
      </c>
      <c r="K5728" s="22">
        <f t="shared" si="3"/>
        <v>1</v>
      </c>
      <c r="L5728" s="4">
        <f t="shared" si="4"/>
        <v>1</v>
      </c>
    </row>
    <row r="5729">
      <c r="A5729" s="23">
        <v>92906.0</v>
      </c>
      <c r="B5729" s="24" t="str">
        <f t="array" ref="B5729">xlookup($A5729,product!$A:$A,product!B:B)</f>
        <v>Santé &amp; Bien-être</v>
      </c>
      <c r="C5729" s="24" t="str">
        <f t="array" ref="C5729">xlookup($A5729,product!$A:$A,product!C:C)</f>
        <v>Fleurs de Bach, Elixirs floraux</v>
      </c>
      <c r="D5729" s="24" t="str">
        <f t="array" ref="D5729">xlookup($A5729,product!$A:$A,product!D:D)</f>
        <v>Remède de secours, rescue</v>
      </c>
      <c r="E5729" s="25" t="str">
        <f t="shared" si="1"/>
        <v>92906-Fleurs de Bach, Elixirs floraux-Remède de secours, rescue</v>
      </c>
      <c r="F5729" s="25">
        <v>1.0</v>
      </c>
      <c r="G5729" s="25">
        <v>977.0</v>
      </c>
      <c r="H5729" s="25">
        <v>67.0</v>
      </c>
      <c r="I5729" s="26">
        <f t="array" ref="I5729">XLOOKUP($A5729,product!A:A,product!E:E)</f>
        <v>4.77</v>
      </c>
      <c r="J5729" s="25">
        <f t="shared" si="2"/>
        <v>319.59</v>
      </c>
      <c r="K5729" s="27">
        <f t="shared" si="3"/>
        <v>1</v>
      </c>
      <c r="L5729" s="25">
        <f t="shared" si="4"/>
        <v>1</v>
      </c>
    </row>
    <row r="5730">
      <c r="A5730" s="19">
        <v>6425.0</v>
      </c>
      <c r="B5730" s="20" t="str">
        <f t="array" ref="B5730">xlookup($A5730,product!$A:$A,product!B:B)</f>
        <v>Santé &amp; Bien-être</v>
      </c>
      <c r="C5730" s="20" t="str">
        <f t="array" ref="C5730">xlookup($A5730,product!$A:$A,product!C:C)</f>
        <v>Fleurs de Bach, Elixirs floraux</v>
      </c>
      <c r="D5730" s="20" t="str">
        <f t="array" ref="D5730">xlookup($A5730,product!$A:$A,product!D:D)</f>
        <v>Remède de secours, rescue</v>
      </c>
      <c r="E5730" s="4" t="str">
        <f t="shared" si="1"/>
        <v>6425-Fleurs de Bach, Elixirs floraux-Remède de secours, rescue</v>
      </c>
      <c r="F5730" s="4">
        <v>0.0</v>
      </c>
      <c r="G5730" s="4">
        <v>309.0</v>
      </c>
      <c r="H5730" s="4">
        <v>205.0</v>
      </c>
      <c r="I5730" s="21">
        <f t="array" ref="I5730">XLOOKUP($A5730,product!A:A,product!E:E)</f>
        <v>10.61</v>
      </c>
      <c r="J5730" s="4">
        <f t="shared" si="2"/>
        <v>2175.05</v>
      </c>
      <c r="K5730" s="22">
        <f t="shared" si="3"/>
        <v>1</v>
      </c>
      <c r="L5730" s="4">
        <f t="shared" si="4"/>
        <v>1</v>
      </c>
    </row>
    <row r="5731">
      <c r="A5731" s="23">
        <v>77653.0</v>
      </c>
      <c r="B5731" s="24" t="str">
        <f t="array" ref="B5731">xlookup($A5731,product!$A:$A,product!B:B)</f>
        <v>Santé &amp; Bien-être</v>
      </c>
      <c r="C5731" s="24" t="str">
        <f t="array" ref="C5731">xlookup($A5731,product!$A:$A,product!C:C)</f>
        <v>Fleurs de Bach, Elixirs floraux</v>
      </c>
      <c r="D5731" s="24" t="str">
        <f t="array" ref="D5731">xlookup($A5731,product!$A:$A,product!D:D)</f>
        <v>Fleur de Bach unitaire n°1 à 38</v>
      </c>
      <c r="E5731" s="25" t="str">
        <f t="shared" si="1"/>
        <v>77653-Fleurs de Bach, Elixirs floraux-Fleur de Bach unitaire n°1 à 38</v>
      </c>
      <c r="F5731" s="25">
        <v>1.0</v>
      </c>
      <c r="G5731" s="25">
        <v>329.0</v>
      </c>
      <c r="H5731" s="25">
        <v>25.0</v>
      </c>
      <c r="I5731" s="26">
        <f t="array" ref="I5731">XLOOKUP($A5731,product!A:A,product!E:E)</f>
        <v>6.86</v>
      </c>
      <c r="J5731" s="25">
        <f t="shared" si="2"/>
        <v>171.5</v>
      </c>
      <c r="K5731" s="27">
        <f t="shared" si="3"/>
        <v>1</v>
      </c>
      <c r="L5731" s="25">
        <f t="shared" si="4"/>
        <v>1</v>
      </c>
    </row>
    <row r="5732">
      <c r="A5732" s="19">
        <v>156029.0</v>
      </c>
      <c r="B5732" s="20" t="str">
        <f t="array" ref="B5732">xlookup($A5732,product!$A:$A,product!B:B)</f>
        <v>Santé &amp; Bien-être</v>
      </c>
      <c r="C5732" s="20" t="str">
        <f t="array" ref="C5732">xlookup($A5732,product!$A:$A,product!C:C)</f>
        <v>Fleurs de Bach, Elixirs floraux</v>
      </c>
      <c r="D5732" s="20" t="str">
        <f t="array" ref="D5732">xlookup($A5732,product!$A:$A,product!D:D)</f>
        <v>Fleur de Bach unitaire n°1 à 38</v>
      </c>
      <c r="E5732" s="4" t="str">
        <f t="shared" si="1"/>
        <v>156029-Fleurs de Bach, Elixirs floraux-Fleur de Bach unitaire n°1 à 38</v>
      </c>
      <c r="F5732" s="4">
        <v>1.0</v>
      </c>
      <c r="G5732" s="4">
        <v>575.0</v>
      </c>
      <c r="H5732" s="4">
        <v>292.0</v>
      </c>
      <c r="I5732" s="21">
        <f t="array" ref="I5732">XLOOKUP($A5732,product!A:A,product!E:E)</f>
        <v>9.28</v>
      </c>
      <c r="J5732" s="4">
        <f t="shared" si="2"/>
        <v>2709.76</v>
      </c>
      <c r="K5732" s="22">
        <f t="shared" si="3"/>
        <v>1</v>
      </c>
      <c r="L5732" s="4">
        <f t="shared" si="4"/>
        <v>1</v>
      </c>
    </row>
    <row r="5733">
      <c r="A5733" s="23">
        <v>182726.0</v>
      </c>
      <c r="B5733" s="24" t="str">
        <f t="array" ref="B5733">xlookup($A5733,product!$A:$A,product!B:B)</f>
        <v>Extérieur</v>
      </c>
      <c r="C5733" s="24" t="str">
        <f t="array" ref="C5733">xlookup($A5733,product!$A:$A,product!C:C)</f>
        <v>Nature, Activités d'extérieur</v>
      </c>
      <c r="D5733" s="24" t="str">
        <f t="array" ref="D5733">xlookup($A5733,product!$A:$A,product!D:D)</f>
        <v>Accessoires camping</v>
      </c>
      <c r="E5733" s="25" t="str">
        <f t="shared" si="1"/>
        <v>182726-Nature, Activités d'extérieur-Accessoires camping</v>
      </c>
      <c r="F5733" s="25">
        <v>1.0</v>
      </c>
      <c r="G5733" s="25">
        <v>213.0</v>
      </c>
      <c r="H5733" s="25">
        <v>3.0</v>
      </c>
      <c r="I5733" s="26">
        <f t="array" ref="I5733">XLOOKUP($A5733,product!A:A,product!E:E)</f>
        <v>9.99</v>
      </c>
      <c r="J5733" s="25">
        <f t="shared" si="2"/>
        <v>29.97</v>
      </c>
      <c r="K5733" s="27">
        <f t="shared" si="3"/>
        <v>1</v>
      </c>
      <c r="L5733" s="25">
        <f t="shared" si="4"/>
        <v>1</v>
      </c>
    </row>
    <row r="5734">
      <c r="A5734" s="19">
        <v>3536.0</v>
      </c>
      <c r="B5734" s="20" t="str">
        <f t="array" ref="B5734">xlookup($A5734,product!$A:$A,product!B:B)</f>
        <v>Santé &amp; Bien-être</v>
      </c>
      <c r="C5734" s="20" t="str">
        <f t="array" ref="C5734">xlookup($A5734,product!$A:$A,product!C:C)</f>
        <v>Diffuseurs d'huiles essentielles</v>
      </c>
      <c r="D5734" s="20" t="str">
        <f t="array" ref="D5734">xlookup($A5734,product!$A:$A,product!D:D)</f>
        <v>Diffuseurs provençaux</v>
      </c>
      <c r="E5734" s="4" t="str">
        <f t="shared" si="1"/>
        <v>3536-Diffuseurs d'huiles essentielles-Diffuseurs provençaux</v>
      </c>
      <c r="F5734" s="4">
        <v>0.0</v>
      </c>
      <c r="G5734" s="4">
        <v>296.0</v>
      </c>
      <c r="H5734" s="4">
        <v>233.0</v>
      </c>
      <c r="I5734" s="21">
        <f t="array" ref="I5734">XLOOKUP($A5734,product!A:A,product!E:E)</f>
        <v>3.88</v>
      </c>
      <c r="J5734" s="4">
        <f t="shared" si="2"/>
        <v>904.04</v>
      </c>
      <c r="K5734" s="22">
        <f t="shared" si="3"/>
        <v>1</v>
      </c>
      <c r="L5734" s="4">
        <f t="shared" si="4"/>
        <v>1</v>
      </c>
    </row>
    <row r="5735">
      <c r="A5735" s="23">
        <v>3541.0</v>
      </c>
      <c r="B5735" s="24" t="str">
        <f t="array" ref="B5735">xlookup($A5735,product!$A:$A,product!B:B)</f>
        <v>Santé &amp; Bien-être</v>
      </c>
      <c r="C5735" s="24" t="str">
        <f t="array" ref="C5735">xlookup($A5735,product!$A:$A,product!C:C)</f>
        <v>Diffuseurs d'huiles essentielles</v>
      </c>
      <c r="D5735" s="24" t="str">
        <f t="array" ref="D5735">xlookup($A5735,product!$A:$A,product!D:D)</f>
        <v>Diffuseurs provençaux</v>
      </c>
      <c r="E5735" s="25" t="str">
        <f t="shared" si="1"/>
        <v>3541-Diffuseurs d'huiles essentielles-Diffuseurs provençaux</v>
      </c>
      <c r="F5735" s="25">
        <v>1.0</v>
      </c>
      <c r="G5735" s="25">
        <v>384.0</v>
      </c>
      <c r="H5735" s="25">
        <v>25.0</v>
      </c>
      <c r="I5735" s="26">
        <f t="array" ref="I5735">XLOOKUP($A5735,product!A:A,product!E:E)</f>
        <v>1.7</v>
      </c>
      <c r="J5735" s="25">
        <f t="shared" si="2"/>
        <v>42.5</v>
      </c>
      <c r="K5735" s="27">
        <f t="shared" si="3"/>
        <v>1</v>
      </c>
      <c r="L5735" s="25">
        <f t="shared" si="4"/>
        <v>1</v>
      </c>
    </row>
    <row r="5736">
      <c r="A5736" s="19">
        <v>147335.0</v>
      </c>
      <c r="B5736" s="20" t="str">
        <f t="array" ref="B5736">xlookup($A5736,product!$A:$A,product!B:B)</f>
        <v>Alimentation Bébé</v>
      </c>
      <c r="C5736" s="20" t="str">
        <f t="array" ref="C5736">xlookup($A5736,product!$A:$A,product!C:C)</f>
        <v>Huiles bébé, huiles enfant bio</v>
      </c>
      <c r="D5736" s="20" t="str">
        <f t="array" ref="D5736">xlookup($A5736,product!$A:$A,product!D:D)</f>
        <v/>
      </c>
      <c r="E5736" s="4" t="str">
        <f t="shared" si="1"/>
        <v>147335-Huiles bébé, huiles enfant bio-</v>
      </c>
      <c r="F5736" s="4">
        <v>1.0</v>
      </c>
      <c r="G5736" s="4">
        <v>129.0</v>
      </c>
      <c r="H5736" s="4">
        <v>121.0</v>
      </c>
      <c r="I5736" s="21">
        <f t="array" ref="I5736">XLOOKUP($A5736,product!A:A,product!E:E)</f>
        <v>2.82</v>
      </c>
      <c r="J5736" s="4">
        <f t="shared" si="2"/>
        <v>341.22</v>
      </c>
      <c r="K5736" s="22">
        <f t="shared" si="3"/>
        <v>1</v>
      </c>
      <c r="L5736" s="4">
        <f t="shared" si="4"/>
        <v>1</v>
      </c>
    </row>
    <row r="5737">
      <c r="A5737" s="23">
        <v>46896.0</v>
      </c>
      <c r="B5737" s="24" t="str">
        <f t="array" ref="B5737">xlookup($A5737,product!$A:$A,product!B:B)</f>
        <v>Alimentation Bébé</v>
      </c>
      <c r="C5737" s="24" t="str">
        <f t="array" ref="C5737">xlookup($A5737,product!$A:$A,product!C:C)</f>
        <v>Huiles bébé, huiles enfant bio</v>
      </c>
      <c r="D5737" s="24" t="str">
        <f t="array" ref="D5737">xlookup($A5737,product!$A:$A,product!D:D)</f>
        <v/>
      </c>
      <c r="E5737" s="25" t="str">
        <f t="shared" si="1"/>
        <v>46896-Huiles bébé, huiles enfant bio-</v>
      </c>
      <c r="F5737" s="25">
        <v>1.0</v>
      </c>
      <c r="G5737" s="25">
        <v>238.0</v>
      </c>
      <c r="H5737" s="25">
        <v>190.0</v>
      </c>
      <c r="I5737" s="26">
        <f t="array" ref="I5737">XLOOKUP($A5737,product!A:A,product!E:E)</f>
        <v>4.04</v>
      </c>
      <c r="J5737" s="25">
        <f t="shared" si="2"/>
        <v>767.6</v>
      </c>
      <c r="K5737" s="27">
        <f t="shared" si="3"/>
        <v>1</v>
      </c>
      <c r="L5737" s="25">
        <f t="shared" si="4"/>
        <v>1</v>
      </c>
    </row>
    <row r="5738">
      <c r="A5738" s="19">
        <v>46897.0</v>
      </c>
      <c r="B5738" s="20" t="str">
        <f t="array" ref="B5738">xlookup($A5738,product!$A:$A,product!B:B)</f>
        <v>Alimentation Bébé</v>
      </c>
      <c r="C5738" s="20" t="str">
        <f t="array" ref="C5738">xlookup($A5738,product!$A:$A,product!C:C)</f>
        <v>Huiles bébé, huiles enfant bio</v>
      </c>
      <c r="D5738" s="20" t="str">
        <f t="array" ref="D5738">xlookup($A5738,product!$A:$A,product!D:D)</f>
        <v/>
      </c>
      <c r="E5738" s="4" t="str">
        <f t="shared" si="1"/>
        <v>46897-Huiles bébé, huiles enfant bio-</v>
      </c>
      <c r="F5738" s="4">
        <v>0.0</v>
      </c>
      <c r="G5738" s="4">
        <v>208.0</v>
      </c>
      <c r="H5738" s="4">
        <v>59.0</v>
      </c>
      <c r="I5738" s="21">
        <f t="array" ref="I5738">XLOOKUP($A5738,product!A:A,product!E:E)</f>
        <v>4.12</v>
      </c>
      <c r="J5738" s="4">
        <f t="shared" si="2"/>
        <v>243.08</v>
      </c>
      <c r="K5738" s="22">
        <f t="shared" si="3"/>
        <v>1</v>
      </c>
      <c r="L5738" s="4">
        <f t="shared" si="4"/>
        <v>1</v>
      </c>
    </row>
    <row r="5739">
      <c r="A5739" s="23">
        <v>71729.0</v>
      </c>
      <c r="B5739" s="24" t="str">
        <f t="array" ref="B5739">xlookup($A5739,product!$A:$A,product!B:B)</f>
        <v>Beauté &amp; Hygiène</v>
      </c>
      <c r="C5739" s="24" t="str">
        <f t="array" ref="C5739">xlookup($A5739,product!$A:$A,product!C:C)</f>
        <v>Hygiène Bébé, soin maternité</v>
      </c>
      <c r="D5739" s="24" t="str">
        <f t="array" ref="D5739">xlookup($A5739,product!$A:$A,product!D:D)</f>
        <v>Change bébé</v>
      </c>
      <c r="E5739" s="25" t="str">
        <f t="shared" si="1"/>
        <v>71729-Hygiène Bébé, soin maternité-Change bébé</v>
      </c>
      <c r="F5739" s="25">
        <v>0.0</v>
      </c>
      <c r="G5739" s="25">
        <v>368.0</v>
      </c>
      <c r="H5739" s="25">
        <v>245.0</v>
      </c>
      <c r="I5739" s="26">
        <f t="array" ref="I5739">XLOOKUP($A5739,product!A:A,product!E:E)</f>
        <v>1.41</v>
      </c>
      <c r="J5739" s="25">
        <f t="shared" si="2"/>
        <v>345.45</v>
      </c>
      <c r="K5739" s="27">
        <f t="shared" si="3"/>
        <v>1</v>
      </c>
      <c r="L5739" s="25">
        <f t="shared" si="4"/>
        <v>1</v>
      </c>
    </row>
    <row r="5740">
      <c r="A5740" s="19">
        <v>45471.0</v>
      </c>
      <c r="B5740" s="20" t="str">
        <f t="array" ref="B5740">xlookup($A5740,product!$A:$A,product!B:B)</f>
        <v>Beauté &amp; Hygiène</v>
      </c>
      <c r="C5740" s="20" t="str">
        <f t="array" ref="C5740">xlookup($A5740,product!$A:$A,product!C:C)</f>
        <v>Hygiène Bébé, soin maternité</v>
      </c>
      <c r="D5740" s="20" t="str">
        <f t="array" ref="D5740">xlookup($A5740,product!$A:$A,product!D:D)</f>
        <v>Change bébé</v>
      </c>
      <c r="E5740" s="4" t="str">
        <f t="shared" si="1"/>
        <v>45471-Hygiène Bébé, soin maternité-Change bébé</v>
      </c>
      <c r="F5740" s="4">
        <v>1.0</v>
      </c>
      <c r="G5740" s="4">
        <v>512.0</v>
      </c>
      <c r="H5740" s="4">
        <v>261.0</v>
      </c>
      <c r="I5740" s="21">
        <f t="array" ref="I5740">XLOOKUP($A5740,product!A:A,product!E:E)</f>
        <v>4.72</v>
      </c>
      <c r="J5740" s="4">
        <f t="shared" si="2"/>
        <v>1231.92</v>
      </c>
      <c r="K5740" s="22">
        <f t="shared" si="3"/>
        <v>1</v>
      </c>
      <c r="L5740" s="4">
        <f t="shared" si="4"/>
        <v>1</v>
      </c>
    </row>
    <row r="5741">
      <c r="A5741" s="23">
        <v>80622.0</v>
      </c>
      <c r="B5741" s="24" t="str">
        <f t="array" ref="B5741">xlookup($A5741,product!$A:$A,product!B:B)</f>
        <v>Beauté &amp; Hygiène</v>
      </c>
      <c r="C5741" s="24" t="str">
        <f t="array" ref="C5741">xlookup($A5741,product!$A:$A,product!C:C)</f>
        <v>Hygiène Bébé, soin maternité</v>
      </c>
      <c r="D5741" s="24" t="str">
        <f t="array" ref="D5741">xlookup($A5741,product!$A:$A,product!D:D)</f>
        <v>Change bébé</v>
      </c>
      <c r="E5741" s="25" t="str">
        <f t="shared" si="1"/>
        <v>80622-Hygiène Bébé, soin maternité-Change bébé</v>
      </c>
      <c r="F5741" s="25">
        <v>1.0</v>
      </c>
      <c r="G5741" s="25">
        <v>858.0</v>
      </c>
      <c r="H5741" s="25">
        <v>490.0</v>
      </c>
      <c r="I5741" s="26">
        <f t="array" ref="I5741">XLOOKUP($A5741,product!A:A,product!E:E)</f>
        <v>3.25</v>
      </c>
      <c r="J5741" s="25">
        <f t="shared" si="2"/>
        <v>1592.5</v>
      </c>
      <c r="K5741" s="27">
        <f t="shared" si="3"/>
        <v>1</v>
      </c>
      <c r="L5741" s="25">
        <f t="shared" si="4"/>
        <v>1</v>
      </c>
    </row>
    <row r="5742">
      <c r="A5742" s="19">
        <v>111204.0</v>
      </c>
      <c r="B5742" s="20" t="str">
        <f t="array" ref="B5742">xlookup($A5742,product!$A:$A,product!B:B)</f>
        <v>Beauté &amp; Hygiène</v>
      </c>
      <c r="C5742" s="20" t="str">
        <f t="array" ref="C5742">xlookup($A5742,product!$A:$A,product!C:C)</f>
        <v>Hygiène Bébé, soin maternité</v>
      </c>
      <c r="D5742" s="20" t="str">
        <f t="array" ref="D5742">xlookup($A5742,product!$A:$A,product!D:D)</f>
        <v>Change bébé</v>
      </c>
      <c r="E5742" s="4" t="str">
        <f t="shared" si="1"/>
        <v>111204-Hygiène Bébé, soin maternité-Change bébé</v>
      </c>
      <c r="F5742" s="4">
        <v>1.0</v>
      </c>
      <c r="G5742" s="4">
        <v>406.0</v>
      </c>
      <c r="H5742" s="4">
        <v>156.0</v>
      </c>
      <c r="I5742" s="21">
        <f t="array" ref="I5742">XLOOKUP($A5742,product!A:A,product!E:E)</f>
        <v>3.29</v>
      </c>
      <c r="J5742" s="4">
        <f t="shared" si="2"/>
        <v>513.24</v>
      </c>
      <c r="K5742" s="22">
        <f t="shared" si="3"/>
        <v>1</v>
      </c>
      <c r="L5742" s="4">
        <f t="shared" si="4"/>
        <v>1</v>
      </c>
    </row>
    <row r="5743">
      <c r="A5743" s="23">
        <v>27843.0</v>
      </c>
      <c r="B5743" s="24" t="str">
        <f t="array" ref="B5743">xlookup($A5743,product!$A:$A,product!B:B)</f>
        <v>Beauté &amp; Hygiène</v>
      </c>
      <c r="C5743" s="24" t="str">
        <f t="array" ref="C5743">xlookup($A5743,product!$A:$A,product!C:C)</f>
        <v>Hygiène Bébé, soin maternité</v>
      </c>
      <c r="D5743" s="24" t="str">
        <f t="array" ref="D5743">xlookup($A5743,product!$A:$A,product!D:D)</f>
        <v>Change bébé</v>
      </c>
      <c r="E5743" s="25" t="str">
        <f t="shared" si="1"/>
        <v>27843-Hygiène Bébé, soin maternité-Change bébé</v>
      </c>
      <c r="F5743" s="25">
        <v>1.0</v>
      </c>
      <c r="G5743" s="25">
        <v>683.0</v>
      </c>
      <c r="H5743" s="25">
        <v>675.0</v>
      </c>
      <c r="I5743" s="26">
        <f t="array" ref="I5743">XLOOKUP($A5743,product!A:A,product!E:E)</f>
        <v>3.16</v>
      </c>
      <c r="J5743" s="25">
        <f t="shared" si="2"/>
        <v>2133</v>
      </c>
      <c r="K5743" s="27">
        <f t="shared" si="3"/>
        <v>1</v>
      </c>
      <c r="L5743" s="25">
        <f t="shared" si="4"/>
        <v>1</v>
      </c>
    </row>
    <row r="5744">
      <c r="A5744" s="19">
        <v>111656.0</v>
      </c>
      <c r="B5744" s="20" t="str">
        <f t="array" ref="B5744">xlookup($A5744,product!$A:$A,product!B:B)</f>
        <v>Beauté &amp; Hygiène</v>
      </c>
      <c r="C5744" s="20" t="str">
        <f t="array" ref="C5744">xlookup($A5744,product!$A:$A,product!C:C)</f>
        <v>Hygiène Bébé, soin maternité</v>
      </c>
      <c r="D5744" s="20" t="str">
        <f t="array" ref="D5744">xlookup($A5744,product!$A:$A,product!D:D)</f>
        <v>Change bébé</v>
      </c>
      <c r="E5744" s="4" t="str">
        <f t="shared" si="1"/>
        <v>111656-Hygiène Bébé, soin maternité-Change bébé</v>
      </c>
      <c r="F5744" s="4">
        <v>0.0</v>
      </c>
      <c r="G5744" s="4">
        <v>915.0</v>
      </c>
      <c r="H5744" s="4">
        <v>747.0</v>
      </c>
      <c r="I5744" s="21">
        <f t="array" ref="I5744">XLOOKUP($A5744,product!A:A,product!E:E)</f>
        <v>5.21</v>
      </c>
      <c r="J5744" s="4">
        <f t="shared" si="2"/>
        <v>3891.87</v>
      </c>
      <c r="K5744" s="22">
        <f t="shared" si="3"/>
        <v>1</v>
      </c>
      <c r="L5744" s="4">
        <f t="shared" si="4"/>
        <v>1</v>
      </c>
    </row>
    <row r="5745">
      <c r="A5745" s="23">
        <v>70043.0</v>
      </c>
      <c r="B5745" s="24" t="str">
        <f t="array" ref="B5745">xlookup($A5745,product!$A:$A,product!B:B)</f>
        <v>Beauté &amp; Hygiène</v>
      </c>
      <c r="C5745" s="24" t="str">
        <f t="array" ref="C5745">xlookup($A5745,product!$A:$A,product!C:C)</f>
        <v>Hygiène Bébé, soin maternité</v>
      </c>
      <c r="D5745" s="24" t="str">
        <f t="array" ref="D5745">xlookup($A5745,product!$A:$A,product!D:D)</f>
        <v>Change bébé</v>
      </c>
      <c r="E5745" s="25" t="str">
        <f t="shared" si="1"/>
        <v>70043-Hygiène Bébé, soin maternité-Change bébé</v>
      </c>
      <c r="F5745" s="25">
        <v>0.0</v>
      </c>
      <c r="G5745" s="25">
        <v>724.0</v>
      </c>
      <c r="H5745" s="25">
        <v>168.0</v>
      </c>
      <c r="I5745" s="26">
        <f t="array" ref="I5745">XLOOKUP($A5745,product!A:A,product!E:E)</f>
        <v>5.55</v>
      </c>
      <c r="J5745" s="25">
        <f t="shared" si="2"/>
        <v>932.4</v>
      </c>
      <c r="K5745" s="27">
        <f t="shared" si="3"/>
        <v>1</v>
      </c>
      <c r="L5745" s="25">
        <f t="shared" si="4"/>
        <v>1</v>
      </c>
    </row>
    <row r="5746">
      <c r="A5746" s="19">
        <v>127017.0</v>
      </c>
      <c r="B5746" s="20" t="str">
        <f t="array" ref="B5746">xlookup($A5746,product!$A:$A,product!B:B)</f>
        <v>Beauté &amp; Hygiène</v>
      </c>
      <c r="C5746" s="20" t="str">
        <f t="array" ref="C5746">xlookup($A5746,product!$A:$A,product!C:C)</f>
        <v>Hygiène Bébé, soin maternité</v>
      </c>
      <c r="D5746" s="20" t="str">
        <f t="array" ref="D5746">xlookup($A5746,product!$A:$A,product!D:D)</f>
        <v>Change bébé</v>
      </c>
      <c r="E5746" s="4" t="str">
        <f t="shared" si="1"/>
        <v>127017-Hygiène Bébé, soin maternité-Change bébé</v>
      </c>
      <c r="F5746" s="4">
        <v>1.0</v>
      </c>
      <c r="G5746" s="4">
        <v>836.0</v>
      </c>
      <c r="H5746" s="4">
        <v>391.0</v>
      </c>
      <c r="I5746" s="21">
        <f t="array" ref="I5746">XLOOKUP($A5746,product!A:A,product!E:E)</f>
        <v>1.8</v>
      </c>
      <c r="J5746" s="4">
        <f t="shared" si="2"/>
        <v>703.8</v>
      </c>
      <c r="K5746" s="22">
        <f t="shared" si="3"/>
        <v>1</v>
      </c>
      <c r="L5746" s="4">
        <f t="shared" si="4"/>
        <v>1</v>
      </c>
    </row>
    <row r="5747">
      <c r="A5747" s="23">
        <v>92320.0</v>
      </c>
      <c r="B5747" s="24" t="str">
        <f t="array" ref="B5747">xlookup($A5747,product!$A:$A,product!B:B)</f>
        <v>Beauté &amp; Hygiène</v>
      </c>
      <c r="C5747" s="24" t="str">
        <f t="array" ref="C5747">xlookup($A5747,product!$A:$A,product!C:C)</f>
        <v>Hygiène Bébé, soin maternité</v>
      </c>
      <c r="D5747" s="24" t="str">
        <f t="array" ref="D5747">xlookup($A5747,product!$A:$A,product!D:D)</f>
        <v>Change bébé</v>
      </c>
      <c r="E5747" s="25" t="str">
        <f t="shared" si="1"/>
        <v>92320-Hygiène Bébé, soin maternité-Change bébé</v>
      </c>
      <c r="F5747" s="25">
        <v>0.0</v>
      </c>
      <c r="G5747" s="25">
        <v>658.0</v>
      </c>
      <c r="H5747" s="25">
        <v>404.0</v>
      </c>
      <c r="I5747" s="26">
        <f t="array" ref="I5747">XLOOKUP($A5747,product!A:A,product!E:E)</f>
        <v>18.55</v>
      </c>
      <c r="J5747" s="25">
        <f t="shared" si="2"/>
        <v>7494.2</v>
      </c>
      <c r="K5747" s="27">
        <f t="shared" si="3"/>
        <v>1</v>
      </c>
      <c r="L5747" s="25">
        <f t="shared" si="4"/>
        <v>1</v>
      </c>
    </row>
    <row r="5748">
      <c r="A5748" s="19">
        <v>109985.0</v>
      </c>
      <c r="B5748" s="20" t="str">
        <f t="array" ref="B5748">xlookup($A5748,product!$A:$A,product!B:B)</f>
        <v>Beauté &amp; Hygiène</v>
      </c>
      <c r="C5748" s="20" t="str">
        <f t="array" ref="C5748">xlookup($A5748,product!$A:$A,product!C:C)</f>
        <v>Hygiène Bébé, soin maternité</v>
      </c>
      <c r="D5748" s="20" t="str">
        <f t="array" ref="D5748">xlookup($A5748,product!$A:$A,product!D:D)</f>
        <v>Change bébé</v>
      </c>
      <c r="E5748" s="4" t="str">
        <f t="shared" si="1"/>
        <v>109985-Hygiène Bébé, soin maternité-Change bébé</v>
      </c>
      <c r="F5748" s="4">
        <v>0.0</v>
      </c>
      <c r="G5748" s="4">
        <v>7.0</v>
      </c>
      <c r="H5748" s="4">
        <v>1.0</v>
      </c>
      <c r="I5748" s="21">
        <f t="array" ref="I5748">XLOOKUP($A5748,product!A:A,product!E:E)</f>
        <v>1.8</v>
      </c>
      <c r="J5748" s="4">
        <f t="shared" si="2"/>
        <v>1.8</v>
      </c>
      <c r="K5748" s="22">
        <f t="shared" si="3"/>
        <v>1</v>
      </c>
      <c r="L5748" s="4">
        <f t="shared" si="4"/>
        <v>1</v>
      </c>
    </row>
    <row r="5749">
      <c r="A5749" s="23">
        <v>110415.0</v>
      </c>
      <c r="B5749" s="24" t="str">
        <f t="array" ref="B5749">xlookup($A5749,product!$A:$A,product!B:B)</f>
        <v>Beauté &amp; Hygiène</v>
      </c>
      <c r="C5749" s="24" t="str">
        <f t="array" ref="C5749">xlookup($A5749,product!$A:$A,product!C:C)</f>
        <v>Hygiène Bébé, soin maternité</v>
      </c>
      <c r="D5749" s="24" t="str">
        <f t="array" ref="D5749">xlookup($A5749,product!$A:$A,product!D:D)</f>
        <v>Change bébé</v>
      </c>
      <c r="E5749" s="25" t="str">
        <f t="shared" si="1"/>
        <v>110415-Hygiène Bébé, soin maternité-Change bébé</v>
      </c>
      <c r="F5749" s="25">
        <v>1.0</v>
      </c>
      <c r="G5749" s="25">
        <v>370.0</v>
      </c>
      <c r="H5749" s="25">
        <v>87.0</v>
      </c>
      <c r="I5749" s="26">
        <f t="array" ref="I5749">XLOOKUP($A5749,product!A:A,product!E:E)</f>
        <v>5.07</v>
      </c>
      <c r="J5749" s="25">
        <f t="shared" si="2"/>
        <v>441.09</v>
      </c>
      <c r="K5749" s="27">
        <f t="shared" si="3"/>
        <v>1</v>
      </c>
      <c r="L5749" s="25">
        <f t="shared" si="4"/>
        <v>1</v>
      </c>
    </row>
    <row r="5750">
      <c r="A5750" s="19">
        <v>101325.0</v>
      </c>
      <c r="B5750" s="20" t="str">
        <f t="array" ref="B5750">xlookup($A5750,product!$A:$A,product!B:B)</f>
        <v>Beauté &amp; Hygiène</v>
      </c>
      <c r="C5750" s="20" t="str">
        <f t="array" ref="C5750">xlookup($A5750,product!$A:$A,product!C:C)</f>
        <v>Hygiène Bébé, soin maternité</v>
      </c>
      <c r="D5750" s="20" t="str">
        <f t="array" ref="D5750">xlookup($A5750,product!$A:$A,product!D:D)</f>
        <v>Change bébé</v>
      </c>
      <c r="E5750" s="4" t="str">
        <f t="shared" si="1"/>
        <v>101325-Hygiène Bébé, soin maternité-Change bébé</v>
      </c>
      <c r="F5750" s="4">
        <v>0.0</v>
      </c>
      <c r="G5750" s="4">
        <v>660.0</v>
      </c>
      <c r="H5750" s="4">
        <v>411.0</v>
      </c>
      <c r="I5750" s="21">
        <f t="array" ref="I5750">XLOOKUP($A5750,product!A:A,product!E:E)</f>
        <v>1.98</v>
      </c>
      <c r="J5750" s="4">
        <f t="shared" si="2"/>
        <v>813.78</v>
      </c>
      <c r="K5750" s="22">
        <f t="shared" si="3"/>
        <v>1</v>
      </c>
      <c r="L5750" s="4">
        <f t="shared" si="4"/>
        <v>1</v>
      </c>
    </row>
    <row r="5751">
      <c r="A5751" s="23">
        <v>133904.0</v>
      </c>
      <c r="B5751" s="24" t="str">
        <f t="array" ref="B5751">xlookup($A5751,product!$A:$A,product!B:B)</f>
        <v>Beauté &amp; Hygiène</v>
      </c>
      <c r="C5751" s="24" t="str">
        <f t="array" ref="C5751">xlookup($A5751,product!$A:$A,product!C:C)</f>
        <v>Hygiène Bébé, soin maternité</v>
      </c>
      <c r="D5751" s="24" t="str">
        <f t="array" ref="D5751">xlookup($A5751,product!$A:$A,product!D:D)</f>
        <v>Change bébé</v>
      </c>
      <c r="E5751" s="25" t="str">
        <f t="shared" si="1"/>
        <v>133904-Hygiène Bébé, soin maternité-Change bébé</v>
      </c>
      <c r="F5751" s="25">
        <v>1.0</v>
      </c>
      <c r="G5751" s="25">
        <v>89.0</v>
      </c>
      <c r="H5751" s="25">
        <v>13.0</v>
      </c>
      <c r="I5751" s="26">
        <f t="array" ref="I5751">XLOOKUP($A5751,product!A:A,product!E:E)</f>
        <v>3.75</v>
      </c>
      <c r="J5751" s="25">
        <f t="shared" si="2"/>
        <v>48.75</v>
      </c>
      <c r="K5751" s="27">
        <f t="shared" si="3"/>
        <v>1</v>
      </c>
      <c r="L5751" s="25">
        <f t="shared" si="4"/>
        <v>1</v>
      </c>
    </row>
    <row r="5752">
      <c r="A5752" s="19">
        <v>91357.0</v>
      </c>
      <c r="B5752" s="20" t="str">
        <f t="array" ref="B5752">xlookup($A5752,product!$A:$A,product!B:B)</f>
        <v>Beauté &amp; Hygiène</v>
      </c>
      <c r="C5752" s="20" t="str">
        <f t="array" ref="C5752">xlookup($A5752,product!$A:$A,product!C:C)</f>
        <v>Hygiène Bébé, soin maternité</v>
      </c>
      <c r="D5752" s="20" t="str">
        <f t="array" ref="D5752">xlookup($A5752,product!$A:$A,product!D:D)</f>
        <v>Change bébé</v>
      </c>
      <c r="E5752" s="4" t="str">
        <f t="shared" si="1"/>
        <v>91357-Hygiène Bébé, soin maternité-Change bébé</v>
      </c>
      <c r="F5752" s="4">
        <v>0.0</v>
      </c>
      <c r="G5752" s="4">
        <v>653.0</v>
      </c>
      <c r="H5752" s="4">
        <v>633.0</v>
      </c>
      <c r="I5752" s="21">
        <f t="array" ref="I5752">XLOOKUP($A5752,product!A:A,product!E:E)</f>
        <v>3.32</v>
      </c>
      <c r="J5752" s="4">
        <f t="shared" si="2"/>
        <v>2101.56</v>
      </c>
      <c r="K5752" s="22">
        <f t="shared" si="3"/>
        <v>1</v>
      </c>
      <c r="L5752" s="4">
        <f t="shared" si="4"/>
        <v>1</v>
      </c>
    </row>
    <row r="5753">
      <c r="A5753" s="23">
        <v>92330.0</v>
      </c>
      <c r="B5753" s="24" t="str">
        <f t="array" ref="B5753">xlookup($A5753,product!$A:$A,product!B:B)</f>
        <v>Beauté &amp; Hygiène</v>
      </c>
      <c r="C5753" s="24" t="str">
        <f t="array" ref="C5753">xlookup($A5753,product!$A:$A,product!C:C)</f>
        <v>Hygiène Bébé, soin maternité</v>
      </c>
      <c r="D5753" s="24" t="str">
        <f t="array" ref="D5753">xlookup($A5753,product!$A:$A,product!D:D)</f>
        <v>Change bébé</v>
      </c>
      <c r="E5753" s="25" t="str">
        <f t="shared" si="1"/>
        <v>92330-Hygiène Bébé, soin maternité-Change bébé</v>
      </c>
      <c r="F5753" s="25">
        <v>0.0</v>
      </c>
      <c r="G5753" s="25">
        <v>222.0</v>
      </c>
      <c r="H5753" s="25">
        <v>128.0</v>
      </c>
      <c r="I5753" s="26">
        <f t="array" ref="I5753">XLOOKUP($A5753,product!A:A,product!E:E)</f>
        <v>5.75</v>
      </c>
      <c r="J5753" s="25">
        <f t="shared" si="2"/>
        <v>736</v>
      </c>
      <c r="K5753" s="27">
        <f t="shared" si="3"/>
        <v>1</v>
      </c>
      <c r="L5753" s="25">
        <f t="shared" si="4"/>
        <v>1</v>
      </c>
    </row>
    <row r="5754">
      <c r="A5754" s="19">
        <v>128409.0</v>
      </c>
      <c r="B5754" s="20" t="str">
        <f t="array" ref="B5754">xlookup($A5754,product!$A:$A,product!B:B)</f>
        <v>Beauté &amp; Hygiène</v>
      </c>
      <c r="C5754" s="20" t="str">
        <f t="array" ref="C5754">xlookup($A5754,product!$A:$A,product!C:C)</f>
        <v>Hygiène Bébé, soin maternité</v>
      </c>
      <c r="D5754" s="20" t="str">
        <f t="array" ref="D5754">xlookup($A5754,product!$A:$A,product!D:D)</f>
        <v>Change bébé</v>
      </c>
      <c r="E5754" s="4" t="str">
        <f t="shared" si="1"/>
        <v>128409-Hygiène Bébé, soin maternité-Change bébé</v>
      </c>
      <c r="F5754" s="4">
        <v>1.0</v>
      </c>
      <c r="G5754" s="4">
        <v>289.0</v>
      </c>
      <c r="H5754" s="4">
        <v>147.0</v>
      </c>
      <c r="I5754" s="21">
        <f t="array" ref="I5754">XLOOKUP($A5754,product!A:A,product!E:E)</f>
        <v>1.54</v>
      </c>
      <c r="J5754" s="4">
        <f t="shared" si="2"/>
        <v>226.38</v>
      </c>
      <c r="K5754" s="22">
        <f t="shared" si="3"/>
        <v>1</v>
      </c>
      <c r="L5754" s="4">
        <f t="shared" si="4"/>
        <v>1</v>
      </c>
    </row>
    <row r="5755">
      <c r="A5755" s="23">
        <v>124704.0</v>
      </c>
      <c r="B5755" s="24" t="str">
        <f t="array" ref="B5755">xlookup($A5755,product!$A:$A,product!B:B)</f>
        <v>Beauté &amp; Hygiène</v>
      </c>
      <c r="C5755" s="24" t="str">
        <f t="array" ref="C5755">xlookup($A5755,product!$A:$A,product!C:C)</f>
        <v>Hygiène Bébé, soin maternité</v>
      </c>
      <c r="D5755" s="24" t="str">
        <f t="array" ref="D5755">xlookup($A5755,product!$A:$A,product!D:D)</f>
        <v>Change bébé</v>
      </c>
      <c r="E5755" s="25" t="str">
        <f t="shared" si="1"/>
        <v>124704-Hygiène Bébé, soin maternité-Change bébé</v>
      </c>
      <c r="F5755" s="25">
        <v>1.0</v>
      </c>
      <c r="G5755" s="25">
        <v>501.0</v>
      </c>
      <c r="H5755" s="25">
        <v>78.0</v>
      </c>
      <c r="I5755" s="26">
        <f t="array" ref="I5755">XLOOKUP($A5755,product!A:A,product!E:E)</f>
        <v>4.74</v>
      </c>
      <c r="J5755" s="25">
        <f t="shared" si="2"/>
        <v>369.72</v>
      </c>
      <c r="K5755" s="27">
        <f t="shared" si="3"/>
        <v>1</v>
      </c>
      <c r="L5755" s="25">
        <f t="shared" si="4"/>
        <v>1</v>
      </c>
    </row>
    <row r="5756">
      <c r="A5756" s="19">
        <v>122252.0</v>
      </c>
      <c r="B5756" s="20" t="str">
        <f t="array" ref="B5756">xlookup($A5756,product!$A:$A,product!B:B)</f>
        <v>Beauté &amp; Hygiène</v>
      </c>
      <c r="C5756" s="20" t="str">
        <f t="array" ref="C5756">xlookup($A5756,product!$A:$A,product!C:C)</f>
        <v>Hygiène Bébé, soin maternité</v>
      </c>
      <c r="D5756" s="20" t="str">
        <f t="array" ref="D5756">xlookup($A5756,product!$A:$A,product!D:D)</f>
        <v>Change bébé</v>
      </c>
      <c r="E5756" s="4" t="str">
        <f t="shared" si="1"/>
        <v>122252-Hygiène Bébé, soin maternité-Change bébé</v>
      </c>
      <c r="F5756" s="4">
        <v>1.0</v>
      </c>
      <c r="G5756" s="4">
        <v>718.0</v>
      </c>
      <c r="H5756" s="4">
        <v>453.0</v>
      </c>
      <c r="I5756" s="21">
        <f t="array" ref="I5756">XLOOKUP($A5756,product!A:A,product!E:E)</f>
        <v>5.07</v>
      </c>
      <c r="J5756" s="4">
        <f t="shared" si="2"/>
        <v>2296.71</v>
      </c>
      <c r="K5756" s="22">
        <f t="shared" si="3"/>
        <v>1</v>
      </c>
      <c r="L5756" s="4">
        <f t="shared" si="4"/>
        <v>1</v>
      </c>
    </row>
    <row r="5757">
      <c r="A5757" s="23">
        <v>85159.0</v>
      </c>
      <c r="B5757" s="24" t="str">
        <f t="array" ref="B5757">xlookup($A5757,product!$A:$A,product!B:B)</f>
        <v>Beauté &amp; Hygiène</v>
      </c>
      <c r="C5757" s="24" t="str">
        <f t="array" ref="C5757">xlookup($A5757,product!$A:$A,product!C:C)</f>
        <v>Hygiène Bébé, soin maternité</v>
      </c>
      <c r="D5757" s="24" t="str">
        <f t="array" ref="D5757">xlookup($A5757,product!$A:$A,product!D:D)</f>
        <v>Change bébé</v>
      </c>
      <c r="E5757" s="25" t="str">
        <f t="shared" si="1"/>
        <v>85159-Hygiène Bébé, soin maternité-Change bébé</v>
      </c>
      <c r="F5757" s="25">
        <v>1.0</v>
      </c>
      <c r="G5757" s="25">
        <v>86.0</v>
      </c>
      <c r="H5757" s="25">
        <v>74.0</v>
      </c>
      <c r="I5757" s="26">
        <f t="array" ref="I5757">XLOOKUP($A5757,product!A:A,product!E:E)</f>
        <v>1.87</v>
      </c>
      <c r="J5757" s="25">
        <f t="shared" si="2"/>
        <v>138.38</v>
      </c>
      <c r="K5757" s="27">
        <f t="shared" si="3"/>
        <v>1</v>
      </c>
      <c r="L5757" s="25">
        <f t="shared" si="4"/>
        <v>1</v>
      </c>
    </row>
    <row r="5758">
      <c r="A5758" s="19">
        <v>103604.0</v>
      </c>
      <c r="B5758" s="20" t="str">
        <f t="array" ref="B5758">xlookup($A5758,product!$A:$A,product!B:B)</f>
        <v>Beauté &amp; Hygiène</v>
      </c>
      <c r="C5758" s="20" t="str">
        <f t="array" ref="C5758">xlookup($A5758,product!$A:$A,product!C:C)</f>
        <v>Hygiène Bébé, soin maternité</v>
      </c>
      <c r="D5758" s="20" t="str">
        <f t="array" ref="D5758">xlookup($A5758,product!$A:$A,product!D:D)</f>
        <v>Change bébé</v>
      </c>
      <c r="E5758" s="4" t="str">
        <f t="shared" si="1"/>
        <v>103604-Hygiène Bébé, soin maternité-Change bébé</v>
      </c>
      <c r="F5758" s="4">
        <v>0.0</v>
      </c>
      <c r="G5758" s="4">
        <v>170.0</v>
      </c>
      <c r="H5758" s="4">
        <v>66.0</v>
      </c>
      <c r="I5758" s="21">
        <f t="array" ref="I5758">XLOOKUP($A5758,product!A:A,product!E:E)</f>
        <v>1.86</v>
      </c>
      <c r="J5758" s="4">
        <f t="shared" si="2"/>
        <v>122.76</v>
      </c>
      <c r="K5758" s="22">
        <f t="shared" si="3"/>
        <v>1</v>
      </c>
      <c r="L5758" s="4">
        <f t="shared" si="4"/>
        <v>1</v>
      </c>
    </row>
    <row r="5759">
      <c r="A5759" s="23">
        <v>27845.0</v>
      </c>
      <c r="B5759" s="24" t="str">
        <f t="array" ref="B5759">xlookup($A5759,product!$A:$A,product!B:B)</f>
        <v>Beauté &amp; Hygiène</v>
      </c>
      <c r="C5759" s="24" t="str">
        <f t="array" ref="C5759">xlookup($A5759,product!$A:$A,product!C:C)</f>
        <v>Hygiène Bébé, soin maternité</v>
      </c>
      <c r="D5759" s="24" t="str">
        <f t="array" ref="D5759">xlookup($A5759,product!$A:$A,product!D:D)</f>
        <v>Change bébé</v>
      </c>
      <c r="E5759" s="25" t="str">
        <f t="shared" si="1"/>
        <v>27845-Hygiène Bébé, soin maternité-Change bébé</v>
      </c>
      <c r="F5759" s="25">
        <v>1.0</v>
      </c>
      <c r="G5759" s="25">
        <v>600.0</v>
      </c>
      <c r="H5759" s="25">
        <v>533.0</v>
      </c>
      <c r="I5759" s="26">
        <f t="array" ref="I5759">XLOOKUP($A5759,product!A:A,product!E:E)</f>
        <v>5.53</v>
      </c>
      <c r="J5759" s="25">
        <f t="shared" si="2"/>
        <v>2947.49</v>
      </c>
      <c r="K5759" s="27">
        <f t="shared" si="3"/>
        <v>1</v>
      </c>
      <c r="L5759" s="25">
        <f t="shared" si="4"/>
        <v>1</v>
      </c>
    </row>
    <row r="5760">
      <c r="A5760" s="19">
        <v>11666.0</v>
      </c>
      <c r="B5760" s="20" t="str">
        <f t="array" ref="B5760">xlookup($A5760,product!$A:$A,product!B:B)</f>
        <v>Beauté &amp; Hygiène</v>
      </c>
      <c r="C5760" s="20" t="str">
        <f t="array" ref="C5760">xlookup($A5760,product!$A:$A,product!C:C)</f>
        <v>Hygiène Bébé, soin maternité</v>
      </c>
      <c r="D5760" s="20" t="str">
        <f t="array" ref="D5760">xlookup($A5760,product!$A:$A,product!D:D)</f>
        <v>Change bébé</v>
      </c>
      <c r="E5760" s="4" t="str">
        <f t="shared" si="1"/>
        <v>11666-Hygiène Bébé, soin maternité-Change bébé</v>
      </c>
      <c r="F5760" s="4">
        <v>1.0</v>
      </c>
      <c r="G5760" s="4">
        <v>952.0</v>
      </c>
      <c r="H5760" s="4">
        <v>895.0</v>
      </c>
      <c r="I5760" s="21">
        <f t="array" ref="I5760">XLOOKUP($A5760,product!A:A,product!E:E)</f>
        <v>4.31</v>
      </c>
      <c r="J5760" s="4">
        <f t="shared" si="2"/>
        <v>3857.45</v>
      </c>
      <c r="K5760" s="22">
        <f t="shared" si="3"/>
        <v>1</v>
      </c>
      <c r="L5760" s="4">
        <f t="shared" si="4"/>
        <v>1</v>
      </c>
    </row>
    <row r="5761">
      <c r="A5761" s="23">
        <v>127016.0</v>
      </c>
      <c r="B5761" s="24" t="str">
        <f t="array" ref="B5761">xlookup($A5761,product!$A:$A,product!B:B)</f>
        <v>Beauté &amp; Hygiène</v>
      </c>
      <c r="C5761" s="24" t="str">
        <f t="array" ref="C5761">xlookup($A5761,product!$A:$A,product!C:C)</f>
        <v>Hygiène Bébé, soin maternité</v>
      </c>
      <c r="D5761" s="24" t="str">
        <f t="array" ref="D5761">xlookup($A5761,product!$A:$A,product!D:D)</f>
        <v>Change bébé</v>
      </c>
      <c r="E5761" s="25" t="str">
        <f t="shared" si="1"/>
        <v>127016-Hygiène Bébé, soin maternité-Change bébé</v>
      </c>
      <c r="F5761" s="25">
        <v>0.0</v>
      </c>
      <c r="G5761" s="25">
        <v>176.0</v>
      </c>
      <c r="H5761" s="25">
        <v>125.0</v>
      </c>
      <c r="I5761" s="26">
        <f t="array" ref="I5761">XLOOKUP($A5761,product!A:A,product!E:E)</f>
        <v>3.21</v>
      </c>
      <c r="J5761" s="25">
        <f t="shared" si="2"/>
        <v>401.25</v>
      </c>
      <c r="K5761" s="27">
        <f t="shared" si="3"/>
        <v>1</v>
      </c>
      <c r="L5761" s="25">
        <f t="shared" si="4"/>
        <v>1</v>
      </c>
    </row>
    <row r="5762">
      <c r="A5762" s="19">
        <v>2046.0</v>
      </c>
      <c r="B5762" s="20" t="str">
        <f t="array" ref="B5762">xlookup($A5762,product!$A:$A,product!B:B)</f>
        <v>Beauté &amp; Hygiène</v>
      </c>
      <c r="C5762" s="20" t="str">
        <f t="array" ref="C5762">xlookup($A5762,product!$A:$A,product!C:C)</f>
        <v>Hygiène Bébé, soin maternité</v>
      </c>
      <c r="D5762" s="20" t="str">
        <f t="array" ref="D5762">xlookup($A5762,product!$A:$A,product!D:D)</f>
        <v>Change bébé</v>
      </c>
      <c r="E5762" s="4" t="str">
        <f t="shared" si="1"/>
        <v>2046-Hygiène Bébé, soin maternité-Change bébé</v>
      </c>
      <c r="F5762" s="4">
        <v>0.0</v>
      </c>
      <c r="G5762" s="4">
        <v>728.0</v>
      </c>
      <c r="H5762" s="4">
        <v>727.0</v>
      </c>
      <c r="I5762" s="21">
        <f t="array" ref="I5762">XLOOKUP($A5762,product!A:A,product!E:E)</f>
        <v>4.22</v>
      </c>
      <c r="J5762" s="4">
        <f t="shared" si="2"/>
        <v>3067.94</v>
      </c>
      <c r="K5762" s="22">
        <f t="shared" si="3"/>
        <v>1</v>
      </c>
      <c r="L5762" s="4">
        <f t="shared" si="4"/>
        <v>1</v>
      </c>
    </row>
    <row r="5763">
      <c r="A5763" s="23">
        <v>66998.0</v>
      </c>
      <c r="B5763" s="24" t="str">
        <f t="array" ref="B5763">xlookup($A5763,product!$A:$A,product!B:B)</f>
        <v>Beauté &amp; Hygiène</v>
      </c>
      <c r="C5763" s="24" t="str">
        <f t="array" ref="C5763">xlookup($A5763,product!$A:$A,product!C:C)</f>
        <v>Hygiène Bébé, soin maternité</v>
      </c>
      <c r="D5763" s="24" t="str">
        <f t="array" ref="D5763">xlookup($A5763,product!$A:$A,product!D:D)</f>
        <v>Change bébé</v>
      </c>
      <c r="E5763" s="25" t="str">
        <f t="shared" si="1"/>
        <v>66998-Hygiène Bébé, soin maternité-Change bébé</v>
      </c>
      <c r="F5763" s="25">
        <v>1.0</v>
      </c>
      <c r="G5763" s="25">
        <v>10.0</v>
      </c>
      <c r="H5763" s="25">
        <v>0.0</v>
      </c>
      <c r="I5763" s="26">
        <f t="array" ref="I5763">XLOOKUP($A5763,product!A:A,product!E:E)</f>
        <v>4.8</v>
      </c>
      <c r="J5763" s="25">
        <f t="shared" si="2"/>
        <v>0</v>
      </c>
      <c r="K5763" s="27">
        <f t="shared" si="3"/>
        <v>0</v>
      </c>
      <c r="L5763" s="25">
        <f t="shared" si="4"/>
        <v>1</v>
      </c>
    </row>
    <row r="5764">
      <c r="A5764" s="19">
        <v>103626.0</v>
      </c>
      <c r="B5764" s="20" t="str">
        <f t="array" ref="B5764">xlookup($A5764,product!$A:$A,product!B:B)</f>
        <v>Beauté &amp; Hygiène</v>
      </c>
      <c r="C5764" s="20" t="str">
        <f t="array" ref="C5764">xlookup($A5764,product!$A:$A,product!C:C)</f>
        <v>Hygiène Bébé, soin maternité</v>
      </c>
      <c r="D5764" s="20" t="str">
        <f t="array" ref="D5764">xlookup($A5764,product!$A:$A,product!D:D)</f>
        <v>Change bébé</v>
      </c>
      <c r="E5764" s="4" t="str">
        <f t="shared" si="1"/>
        <v>103626-Hygiène Bébé, soin maternité-Change bébé</v>
      </c>
      <c r="F5764" s="4">
        <v>0.0</v>
      </c>
      <c r="G5764" s="4">
        <v>132.0</v>
      </c>
      <c r="H5764" s="4">
        <v>128.0</v>
      </c>
      <c r="I5764" s="21">
        <f t="array" ref="I5764">XLOOKUP($A5764,product!A:A,product!E:E)</f>
        <v>2.25</v>
      </c>
      <c r="J5764" s="4">
        <f t="shared" si="2"/>
        <v>288</v>
      </c>
      <c r="K5764" s="22">
        <f t="shared" si="3"/>
        <v>1</v>
      </c>
      <c r="L5764" s="4">
        <f t="shared" si="4"/>
        <v>1</v>
      </c>
    </row>
    <row r="5765">
      <c r="A5765" s="23">
        <v>103603.0</v>
      </c>
      <c r="B5765" s="24" t="str">
        <f t="array" ref="B5765">xlookup($A5765,product!$A:$A,product!B:B)</f>
        <v>Beauté &amp; Hygiène</v>
      </c>
      <c r="C5765" s="24" t="str">
        <f t="array" ref="C5765">xlookup($A5765,product!$A:$A,product!C:C)</f>
        <v>Hygiène Bébé, soin maternité</v>
      </c>
      <c r="D5765" s="24" t="str">
        <f t="array" ref="D5765">xlookup($A5765,product!$A:$A,product!D:D)</f>
        <v>Change bébé</v>
      </c>
      <c r="E5765" s="25" t="str">
        <f t="shared" si="1"/>
        <v>103603-Hygiène Bébé, soin maternité-Change bébé</v>
      </c>
      <c r="F5765" s="25">
        <v>1.0</v>
      </c>
      <c r="G5765" s="25">
        <v>634.0</v>
      </c>
      <c r="H5765" s="25">
        <v>344.0</v>
      </c>
      <c r="I5765" s="26">
        <f t="array" ref="I5765">XLOOKUP($A5765,product!A:A,product!E:E)</f>
        <v>1.86</v>
      </c>
      <c r="J5765" s="25">
        <f t="shared" si="2"/>
        <v>639.84</v>
      </c>
      <c r="K5765" s="27">
        <f t="shared" si="3"/>
        <v>1</v>
      </c>
      <c r="L5765" s="25">
        <f t="shared" si="4"/>
        <v>1</v>
      </c>
    </row>
    <row r="5766">
      <c r="A5766" s="19">
        <v>85156.0</v>
      </c>
      <c r="B5766" s="20" t="str">
        <f t="array" ref="B5766">xlookup($A5766,product!$A:$A,product!B:B)</f>
        <v>Beauté &amp; Hygiène</v>
      </c>
      <c r="C5766" s="20" t="str">
        <f t="array" ref="C5766">xlookup($A5766,product!$A:$A,product!C:C)</f>
        <v>Hygiène Bébé, soin maternité</v>
      </c>
      <c r="D5766" s="20" t="str">
        <f t="array" ref="D5766">xlookup($A5766,product!$A:$A,product!D:D)</f>
        <v>Change bébé</v>
      </c>
      <c r="E5766" s="4" t="str">
        <f t="shared" si="1"/>
        <v>85156-Hygiène Bébé, soin maternité-Change bébé</v>
      </c>
      <c r="F5766" s="4">
        <v>0.0</v>
      </c>
      <c r="G5766" s="4">
        <v>53.0</v>
      </c>
      <c r="H5766" s="4">
        <v>16.0</v>
      </c>
      <c r="I5766" s="21">
        <f t="array" ref="I5766">XLOOKUP($A5766,product!A:A,product!E:E)</f>
        <v>2.15</v>
      </c>
      <c r="J5766" s="4">
        <f t="shared" si="2"/>
        <v>34.4</v>
      </c>
      <c r="K5766" s="22">
        <f t="shared" si="3"/>
        <v>1</v>
      </c>
      <c r="L5766" s="4">
        <f t="shared" si="4"/>
        <v>1</v>
      </c>
    </row>
    <row r="5767">
      <c r="A5767" s="23">
        <v>8118.0</v>
      </c>
      <c r="B5767" s="24" t="str">
        <f t="array" ref="B5767">xlookup($A5767,product!$A:$A,product!B:B)</f>
        <v>Beauté &amp; Hygiène</v>
      </c>
      <c r="C5767" s="24" t="str">
        <f t="array" ref="C5767">xlookup($A5767,product!$A:$A,product!C:C)</f>
        <v>Hygiène Bébé, soin maternité</v>
      </c>
      <c r="D5767" s="24" t="str">
        <f t="array" ref="D5767">xlookup($A5767,product!$A:$A,product!D:D)</f>
        <v>Change bébé</v>
      </c>
      <c r="E5767" s="25" t="str">
        <f t="shared" si="1"/>
        <v>8118-Hygiène Bébé, soin maternité-Change bébé</v>
      </c>
      <c r="F5767" s="25">
        <v>1.0</v>
      </c>
      <c r="G5767" s="25">
        <v>773.0</v>
      </c>
      <c r="H5767" s="25">
        <v>432.0</v>
      </c>
      <c r="I5767" s="26">
        <f t="array" ref="I5767">XLOOKUP($A5767,product!A:A,product!E:E)</f>
        <v>5.32</v>
      </c>
      <c r="J5767" s="25">
        <f t="shared" si="2"/>
        <v>2298.24</v>
      </c>
      <c r="K5767" s="27">
        <f t="shared" si="3"/>
        <v>1</v>
      </c>
      <c r="L5767" s="25">
        <f t="shared" si="4"/>
        <v>1</v>
      </c>
    </row>
    <row r="5768">
      <c r="A5768" s="19">
        <v>109984.0</v>
      </c>
      <c r="B5768" s="20" t="str">
        <f t="array" ref="B5768">xlookup($A5768,product!$A:$A,product!B:B)</f>
        <v>Beauté &amp; Hygiène</v>
      </c>
      <c r="C5768" s="20" t="str">
        <f t="array" ref="C5768">xlookup($A5768,product!$A:$A,product!C:C)</f>
        <v>Hygiène Bébé, soin maternité</v>
      </c>
      <c r="D5768" s="20" t="str">
        <f t="array" ref="D5768">xlookup($A5768,product!$A:$A,product!D:D)</f>
        <v>Change bébé</v>
      </c>
      <c r="E5768" s="4" t="str">
        <f t="shared" si="1"/>
        <v>109984-Hygiène Bébé, soin maternité-Change bébé</v>
      </c>
      <c r="F5768" s="4">
        <v>0.0</v>
      </c>
      <c r="G5768" s="4">
        <v>819.0</v>
      </c>
      <c r="H5768" s="4">
        <v>786.0</v>
      </c>
      <c r="I5768" s="21">
        <f t="array" ref="I5768">XLOOKUP($A5768,product!A:A,product!E:E)</f>
        <v>1.8</v>
      </c>
      <c r="J5768" s="4">
        <f t="shared" si="2"/>
        <v>1414.8</v>
      </c>
      <c r="K5768" s="22">
        <f t="shared" si="3"/>
        <v>1</v>
      </c>
      <c r="L5768" s="4">
        <f t="shared" si="4"/>
        <v>1</v>
      </c>
    </row>
    <row r="5769">
      <c r="A5769" s="23">
        <v>92134.0</v>
      </c>
      <c r="B5769" s="24" t="str">
        <f t="array" ref="B5769">xlookup($A5769,product!$A:$A,product!B:B)</f>
        <v>Beauté &amp; Hygiène</v>
      </c>
      <c r="C5769" s="24" t="str">
        <f t="array" ref="C5769">xlookup($A5769,product!$A:$A,product!C:C)</f>
        <v>Hygiène Bébé, soin maternité</v>
      </c>
      <c r="D5769" s="24" t="str">
        <f t="array" ref="D5769">xlookup($A5769,product!$A:$A,product!D:D)</f>
        <v>Change bébé</v>
      </c>
      <c r="E5769" s="25" t="str">
        <f t="shared" si="1"/>
        <v>92134-Hygiène Bébé, soin maternité-Change bébé</v>
      </c>
      <c r="F5769" s="25">
        <v>0.0</v>
      </c>
      <c r="G5769" s="25">
        <v>672.0</v>
      </c>
      <c r="H5769" s="25">
        <v>635.0</v>
      </c>
      <c r="I5769" s="26">
        <f t="array" ref="I5769">XLOOKUP($A5769,product!A:A,product!E:E)</f>
        <v>9.18</v>
      </c>
      <c r="J5769" s="25">
        <f t="shared" si="2"/>
        <v>5829.3</v>
      </c>
      <c r="K5769" s="27">
        <f t="shared" si="3"/>
        <v>1</v>
      </c>
      <c r="L5769" s="25">
        <f t="shared" si="4"/>
        <v>1</v>
      </c>
    </row>
    <row r="5770">
      <c r="A5770" s="19">
        <v>129420.0</v>
      </c>
      <c r="B5770" s="20" t="str">
        <f t="array" ref="B5770">xlookup($A5770,product!$A:$A,product!B:B)</f>
        <v>Beauté &amp; Hygiène</v>
      </c>
      <c r="C5770" s="20" t="str">
        <f t="array" ref="C5770">xlookup($A5770,product!$A:$A,product!C:C)</f>
        <v>Hygiène Bébé, soin maternité</v>
      </c>
      <c r="D5770" s="20" t="str">
        <f t="array" ref="D5770">xlookup($A5770,product!$A:$A,product!D:D)</f>
        <v>Change bébé</v>
      </c>
      <c r="E5770" s="4" t="str">
        <f t="shared" si="1"/>
        <v>129420-Hygiène Bébé, soin maternité-Change bébé</v>
      </c>
      <c r="F5770" s="4">
        <v>0.0</v>
      </c>
      <c r="G5770" s="4">
        <v>208.0</v>
      </c>
      <c r="H5770" s="4">
        <v>59.0</v>
      </c>
      <c r="I5770" s="21">
        <f t="array" ref="I5770">XLOOKUP($A5770,product!A:A,product!E:E)</f>
        <v>8.39</v>
      </c>
      <c r="J5770" s="4">
        <f t="shared" si="2"/>
        <v>495.01</v>
      </c>
      <c r="K5770" s="22">
        <f t="shared" si="3"/>
        <v>1</v>
      </c>
      <c r="L5770" s="4">
        <f t="shared" si="4"/>
        <v>1</v>
      </c>
    </row>
    <row r="5771">
      <c r="A5771" s="23">
        <v>111010.0</v>
      </c>
      <c r="B5771" s="24" t="str">
        <f t="array" ref="B5771">xlookup($A5771,product!$A:$A,product!B:B)</f>
        <v>Beauté &amp; Hygiène</v>
      </c>
      <c r="C5771" s="24" t="str">
        <f t="array" ref="C5771">xlookup($A5771,product!$A:$A,product!C:C)</f>
        <v>Hygiène Bébé, soin maternité</v>
      </c>
      <c r="D5771" s="24" t="str">
        <f t="array" ref="D5771">xlookup($A5771,product!$A:$A,product!D:D)</f>
        <v>Change bébé</v>
      </c>
      <c r="E5771" s="25" t="str">
        <f t="shared" si="1"/>
        <v>111010-Hygiène Bébé, soin maternité-Change bébé</v>
      </c>
      <c r="F5771" s="25">
        <v>1.0</v>
      </c>
      <c r="G5771" s="25">
        <v>827.0</v>
      </c>
      <c r="H5771" s="25">
        <v>728.0</v>
      </c>
      <c r="I5771" s="26">
        <f t="array" ref="I5771">XLOOKUP($A5771,product!A:A,product!E:E)</f>
        <v>9.07</v>
      </c>
      <c r="J5771" s="25">
        <f t="shared" si="2"/>
        <v>6602.96</v>
      </c>
      <c r="K5771" s="27">
        <f t="shared" si="3"/>
        <v>1</v>
      </c>
      <c r="L5771" s="25">
        <f t="shared" si="4"/>
        <v>1</v>
      </c>
    </row>
    <row r="5772">
      <c r="A5772" s="19">
        <v>46771.0</v>
      </c>
      <c r="B5772" s="20" t="str">
        <f t="array" ref="B5772">xlookup($A5772,product!$A:$A,product!B:B)</f>
        <v>Beauté &amp; Hygiène</v>
      </c>
      <c r="C5772" s="20" t="str">
        <f t="array" ref="C5772">xlookup($A5772,product!$A:$A,product!C:C)</f>
        <v>Hygiène Bébé, soin maternité</v>
      </c>
      <c r="D5772" s="20" t="str">
        <f t="array" ref="D5772">xlookup($A5772,product!$A:$A,product!D:D)</f>
        <v>Change bébé</v>
      </c>
      <c r="E5772" s="4" t="str">
        <f t="shared" si="1"/>
        <v>46771-Hygiène Bébé, soin maternité-Change bébé</v>
      </c>
      <c r="F5772" s="4">
        <v>0.0</v>
      </c>
      <c r="G5772" s="4">
        <v>293.0</v>
      </c>
      <c r="H5772" s="4">
        <v>188.0</v>
      </c>
      <c r="I5772" s="21">
        <f t="array" ref="I5772">XLOOKUP($A5772,product!A:A,product!E:E)</f>
        <v>5.38</v>
      </c>
      <c r="J5772" s="4">
        <f t="shared" si="2"/>
        <v>1011.44</v>
      </c>
      <c r="K5772" s="22">
        <f t="shared" si="3"/>
        <v>1</v>
      </c>
      <c r="L5772" s="4">
        <f t="shared" si="4"/>
        <v>1</v>
      </c>
    </row>
    <row r="5773">
      <c r="A5773" s="23">
        <v>88396.0</v>
      </c>
      <c r="B5773" s="24" t="str">
        <f t="array" ref="B5773">xlookup($A5773,product!$A:$A,product!B:B)</f>
        <v>Beauté &amp; Hygiène</v>
      </c>
      <c r="C5773" s="24" t="str">
        <f t="array" ref="C5773">xlookup($A5773,product!$A:$A,product!C:C)</f>
        <v>Hygiène Bébé, soin maternité</v>
      </c>
      <c r="D5773" s="24" t="str">
        <f t="array" ref="D5773">xlookup($A5773,product!$A:$A,product!D:D)</f>
        <v>Change bébé</v>
      </c>
      <c r="E5773" s="25" t="str">
        <f t="shared" si="1"/>
        <v>88396-Hygiène Bébé, soin maternité-Change bébé</v>
      </c>
      <c r="F5773" s="25">
        <v>1.0</v>
      </c>
      <c r="G5773" s="25">
        <v>46.0</v>
      </c>
      <c r="H5773" s="25">
        <v>20.0</v>
      </c>
      <c r="I5773" s="26">
        <f t="array" ref="I5773">XLOOKUP($A5773,product!A:A,product!E:E)</f>
        <v>2.02</v>
      </c>
      <c r="J5773" s="25">
        <f t="shared" si="2"/>
        <v>40.4</v>
      </c>
      <c r="K5773" s="27">
        <f t="shared" si="3"/>
        <v>1</v>
      </c>
      <c r="L5773" s="25">
        <f t="shared" si="4"/>
        <v>1</v>
      </c>
    </row>
    <row r="5774">
      <c r="A5774" s="19">
        <v>88188.0</v>
      </c>
      <c r="B5774" s="20" t="str">
        <f t="array" ref="B5774">xlookup($A5774,product!$A:$A,product!B:B)</f>
        <v>Beauté &amp; Hygiène</v>
      </c>
      <c r="C5774" s="20" t="str">
        <f t="array" ref="C5774">xlookup($A5774,product!$A:$A,product!C:C)</f>
        <v>Hygiène Bébé, soin maternité</v>
      </c>
      <c r="D5774" s="20" t="str">
        <f t="array" ref="D5774">xlookup($A5774,product!$A:$A,product!D:D)</f>
        <v>Change bébé</v>
      </c>
      <c r="E5774" s="4" t="str">
        <f t="shared" si="1"/>
        <v>88188-Hygiène Bébé, soin maternité-Change bébé</v>
      </c>
      <c r="F5774" s="4">
        <v>1.0</v>
      </c>
      <c r="G5774" s="4">
        <v>975.0</v>
      </c>
      <c r="H5774" s="4">
        <v>432.0</v>
      </c>
      <c r="I5774" s="21">
        <f t="array" ref="I5774">XLOOKUP($A5774,product!A:A,product!E:E)</f>
        <v>9.35</v>
      </c>
      <c r="J5774" s="4">
        <f t="shared" si="2"/>
        <v>4039.2</v>
      </c>
      <c r="K5774" s="22">
        <f t="shared" si="3"/>
        <v>1</v>
      </c>
      <c r="L5774" s="4">
        <f t="shared" si="4"/>
        <v>1</v>
      </c>
    </row>
    <row r="5775">
      <c r="A5775" s="23">
        <v>129373.0</v>
      </c>
      <c r="B5775" s="24" t="str">
        <f t="array" ref="B5775">xlookup($A5775,product!$A:$A,product!B:B)</f>
        <v>Beauté &amp; Hygiène</v>
      </c>
      <c r="C5775" s="24" t="str">
        <f t="array" ref="C5775">xlookup($A5775,product!$A:$A,product!C:C)</f>
        <v>Hygiène Bébé, soin maternité</v>
      </c>
      <c r="D5775" s="24" t="str">
        <f t="array" ref="D5775">xlookup($A5775,product!$A:$A,product!D:D)</f>
        <v>Change bébé</v>
      </c>
      <c r="E5775" s="25" t="str">
        <f t="shared" si="1"/>
        <v>129373-Hygiène Bébé, soin maternité-Change bébé</v>
      </c>
      <c r="F5775" s="25">
        <v>1.0</v>
      </c>
      <c r="G5775" s="25">
        <v>864.0</v>
      </c>
      <c r="H5775" s="25">
        <v>259.0</v>
      </c>
      <c r="I5775" s="26">
        <f t="array" ref="I5775">XLOOKUP($A5775,product!A:A,product!E:E)</f>
        <v>3.25</v>
      </c>
      <c r="J5775" s="25">
        <f t="shared" si="2"/>
        <v>841.75</v>
      </c>
      <c r="K5775" s="27">
        <f t="shared" si="3"/>
        <v>1</v>
      </c>
      <c r="L5775" s="25">
        <f t="shared" si="4"/>
        <v>1</v>
      </c>
    </row>
    <row r="5776">
      <c r="A5776" s="19">
        <v>103625.0</v>
      </c>
      <c r="B5776" s="20" t="str">
        <f t="array" ref="B5776">xlookup($A5776,product!$A:$A,product!B:B)</f>
        <v>Beauté &amp; Hygiène</v>
      </c>
      <c r="C5776" s="20" t="str">
        <f t="array" ref="C5776">xlookup($A5776,product!$A:$A,product!C:C)</f>
        <v>Hygiène Bébé, soin maternité</v>
      </c>
      <c r="D5776" s="20" t="str">
        <f t="array" ref="D5776">xlookup($A5776,product!$A:$A,product!D:D)</f>
        <v>Change bébé</v>
      </c>
      <c r="E5776" s="4" t="str">
        <f t="shared" si="1"/>
        <v>103625-Hygiène Bébé, soin maternité-Change bébé</v>
      </c>
      <c r="F5776" s="4">
        <v>0.0</v>
      </c>
      <c r="G5776" s="4">
        <v>631.0</v>
      </c>
      <c r="H5776" s="4">
        <v>226.0</v>
      </c>
      <c r="I5776" s="21">
        <f t="array" ref="I5776">XLOOKUP($A5776,product!A:A,product!E:E)</f>
        <v>1.86</v>
      </c>
      <c r="J5776" s="4">
        <f t="shared" si="2"/>
        <v>420.36</v>
      </c>
      <c r="K5776" s="22">
        <f t="shared" si="3"/>
        <v>1</v>
      </c>
      <c r="L5776" s="4">
        <f t="shared" si="4"/>
        <v>1</v>
      </c>
    </row>
    <row r="5777">
      <c r="A5777" s="23">
        <v>109332.0</v>
      </c>
      <c r="B5777" s="24" t="str">
        <f t="array" ref="B5777">xlookup($A5777,product!$A:$A,product!B:B)</f>
        <v>Beauté &amp; Hygiène</v>
      </c>
      <c r="C5777" s="24" t="str">
        <f t="array" ref="C5777">xlookup($A5777,product!$A:$A,product!C:C)</f>
        <v>Hygiène Bébé, soin maternité</v>
      </c>
      <c r="D5777" s="24" t="str">
        <f t="array" ref="D5777">xlookup($A5777,product!$A:$A,product!D:D)</f>
        <v>Change bébé</v>
      </c>
      <c r="E5777" s="25" t="str">
        <f t="shared" si="1"/>
        <v>109332-Hygiène Bébé, soin maternité-Change bébé</v>
      </c>
      <c r="F5777" s="25">
        <v>0.0</v>
      </c>
      <c r="G5777" s="25">
        <v>754.0</v>
      </c>
      <c r="H5777" s="25">
        <v>264.0</v>
      </c>
      <c r="I5777" s="26">
        <f t="array" ref="I5777">XLOOKUP($A5777,product!A:A,product!E:E)</f>
        <v>6.45</v>
      </c>
      <c r="J5777" s="25">
        <f t="shared" si="2"/>
        <v>1702.8</v>
      </c>
      <c r="K5777" s="27">
        <f t="shared" si="3"/>
        <v>1</v>
      </c>
      <c r="L5777" s="25">
        <f t="shared" si="4"/>
        <v>1</v>
      </c>
    </row>
    <row r="5778">
      <c r="A5778" s="19">
        <v>92327.0</v>
      </c>
      <c r="B5778" s="20" t="str">
        <f t="array" ref="B5778">xlookup($A5778,product!$A:$A,product!B:B)</f>
        <v>Beauté &amp; Hygiène</v>
      </c>
      <c r="C5778" s="20" t="str">
        <f t="array" ref="C5778">xlookup($A5778,product!$A:$A,product!C:C)</f>
        <v>Hygiène Bébé, soin maternité</v>
      </c>
      <c r="D5778" s="20" t="str">
        <f t="array" ref="D5778">xlookup($A5778,product!$A:$A,product!D:D)</f>
        <v>Change bébé</v>
      </c>
      <c r="E5778" s="4" t="str">
        <f t="shared" si="1"/>
        <v>92327-Hygiène Bébé, soin maternité-Change bébé</v>
      </c>
      <c r="F5778" s="4">
        <v>1.0</v>
      </c>
      <c r="G5778" s="4">
        <v>965.0</v>
      </c>
      <c r="H5778" s="4">
        <v>439.0</v>
      </c>
      <c r="I5778" s="21">
        <f t="array" ref="I5778">XLOOKUP($A5778,product!A:A,product!E:E)</f>
        <v>4.61</v>
      </c>
      <c r="J5778" s="4">
        <f t="shared" si="2"/>
        <v>2023.79</v>
      </c>
      <c r="K5778" s="22">
        <f t="shared" si="3"/>
        <v>1</v>
      </c>
      <c r="L5778" s="4">
        <f t="shared" si="4"/>
        <v>1</v>
      </c>
    </row>
    <row r="5779">
      <c r="A5779" s="23">
        <v>80699.0</v>
      </c>
      <c r="B5779" s="24" t="str">
        <f t="array" ref="B5779">xlookup($A5779,product!$A:$A,product!B:B)</f>
        <v>Beauté &amp; Hygiène</v>
      </c>
      <c r="C5779" s="24" t="str">
        <f t="array" ref="C5779">xlookup($A5779,product!$A:$A,product!C:C)</f>
        <v>Hygiène Bébé, soin maternité</v>
      </c>
      <c r="D5779" s="24" t="str">
        <f t="array" ref="D5779">xlookup($A5779,product!$A:$A,product!D:D)</f>
        <v>Change bébé</v>
      </c>
      <c r="E5779" s="25" t="str">
        <f t="shared" si="1"/>
        <v>80699-Hygiène Bébé, soin maternité-Change bébé</v>
      </c>
      <c r="F5779" s="25">
        <v>1.0</v>
      </c>
      <c r="G5779" s="25">
        <v>486.0</v>
      </c>
      <c r="H5779" s="25">
        <v>218.0</v>
      </c>
      <c r="I5779" s="26">
        <f t="array" ref="I5779">XLOOKUP($A5779,product!A:A,product!E:E)</f>
        <v>10.4</v>
      </c>
      <c r="J5779" s="25">
        <f t="shared" si="2"/>
        <v>2267.2</v>
      </c>
      <c r="K5779" s="27">
        <f t="shared" si="3"/>
        <v>1</v>
      </c>
      <c r="L5779" s="25">
        <f t="shared" si="4"/>
        <v>1</v>
      </c>
    </row>
    <row r="5780">
      <c r="A5780" s="19">
        <v>101043.0</v>
      </c>
      <c r="B5780" s="20" t="str">
        <f t="array" ref="B5780">xlookup($A5780,product!$A:$A,product!B:B)</f>
        <v>Beauté &amp; Hygiène</v>
      </c>
      <c r="C5780" s="20" t="str">
        <f t="array" ref="C5780">xlookup($A5780,product!$A:$A,product!C:C)</f>
        <v>Hygiène Bébé, soin maternité</v>
      </c>
      <c r="D5780" s="20" t="str">
        <f t="array" ref="D5780">xlookup($A5780,product!$A:$A,product!D:D)</f>
        <v>Change bébé</v>
      </c>
      <c r="E5780" s="4" t="str">
        <f t="shared" si="1"/>
        <v>101043-Hygiène Bébé, soin maternité-Change bébé</v>
      </c>
      <c r="F5780" s="4">
        <v>1.0</v>
      </c>
      <c r="G5780" s="4">
        <v>836.0</v>
      </c>
      <c r="H5780" s="4">
        <v>571.0</v>
      </c>
      <c r="I5780" s="21">
        <f t="array" ref="I5780">XLOOKUP($A5780,product!A:A,product!E:E)</f>
        <v>5.6</v>
      </c>
      <c r="J5780" s="4">
        <f t="shared" si="2"/>
        <v>3197.6</v>
      </c>
      <c r="K5780" s="22">
        <f t="shared" si="3"/>
        <v>1</v>
      </c>
      <c r="L5780" s="4">
        <f t="shared" si="4"/>
        <v>1</v>
      </c>
    </row>
    <row r="5781">
      <c r="A5781" s="23">
        <v>46760.0</v>
      </c>
      <c r="B5781" s="24" t="str">
        <f t="array" ref="B5781">xlookup($A5781,product!$A:$A,product!B:B)</f>
        <v>Beauté &amp; Hygiène</v>
      </c>
      <c r="C5781" s="24" t="str">
        <f t="array" ref="C5781">xlookup($A5781,product!$A:$A,product!C:C)</f>
        <v>Hygiène Bébé, soin maternité</v>
      </c>
      <c r="D5781" s="24" t="str">
        <f t="array" ref="D5781">xlookup($A5781,product!$A:$A,product!D:D)</f>
        <v>Change bébé</v>
      </c>
      <c r="E5781" s="25" t="str">
        <f t="shared" si="1"/>
        <v>46760-Hygiène Bébé, soin maternité-Change bébé</v>
      </c>
      <c r="F5781" s="25">
        <v>1.0</v>
      </c>
      <c r="G5781" s="25">
        <v>405.0</v>
      </c>
      <c r="H5781" s="25">
        <v>80.0</v>
      </c>
      <c r="I5781" s="26">
        <f t="array" ref="I5781">XLOOKUP($A5781,product!A:A,product!E:E)</f>
        <v>1.87</v>
      </c>
      <c r="J5781" s="25">
        <f t="shared" si="2"/>
        <v>149.6</v>
      </c>
      <c r="K5781" s="27">
        <f t="shared" si="3"/>
        <v>1</v>
      </c>
      <c r="L5781" s="25">
        <f t="shared" si="4"/>
        <v>1</v>
      </c>
    </row>
    <row r="5782">
      <c r="A5782" s="19">
        <v>109966.0</v>
      </c>
      <c r="B5782" s="20" t="str">
        <f t="array" ref="B5782">xlookup($A5782,product!$A:$A,product!B:B)</f>
        <v>Beauté &amp; Hygiène</v>
      </c>
      <c r="C5782" s="20" t="str">
        <f t="array" ref="C5782">xlookup($A5782,product!$A:$A,product!C:C)</f>
        <v>Hygiène Bébé, soin maternité</v>
      </c>
      <c r="D5782" s="20" t="str">
        <f t="array" ref="D5782">xlookup($A5782,product!$A:$A,product!D:D)</f>
        <v>Change bébé</v>
      </c>
      <c r="E5782" s="4" t="str">
        <f t="shared" si="1"/>
        <v>109966-Hygiène Bébé, soin maternité-Change bébé</v>
      </c>
      <c r="F5782" s="4">
        <v>1.0</v>
      </c>
      <c r="G5782" s="4">
        <v>128.0</v>
      </c>
      <c r="H5782" s="4">
        <v>125.0</v>
      </c>
      <c r="I5782" s="21">
        <f t="array" ref="I5782">XLOOKUP($A5782,product!A:A,product!E:E)</f>
        <v>5.16</v>
      </c>
      <c r="J5782" s="4">
        <f t="shared" si="2"/>
        <v>645</v>
      </c>
      <c r="K5782" s="22">
        <f t="shared" si="3"/>
        <v>1</v>
      </c>
      <c r="L5782" s="4">
        <f t="shared" si="4"/>
        <v>1</v>
      </c>
    </row>
    <row r="5783">
      <c r="A5783" s="23">
        <v>128408.0</v>
      </c>
      <c r="B5783" s="24" t="str">
        <f t="array" ref="B5783">xlookup($A5783,product!$A:$A,product!B:B)</f>
        <v>Beauté &amp; Hygiène</v>
      </c>
      <c r="C5783" s="24" t="str">
        <f t="array" ref="C5783">xlookup($A5783,product!$A:$A,product!C:C)</f>
        <v>Hygiène Bébé, soin maternité</v>
      </c>
      <c r="D5783" s="24" t="str">
        <f t="array" ref="D5783">xlookup($A5783,product!$A:$A,product!D:D)</f>
        <v>Change bébé</v>
      </c>
      <c r="E5783" s="25" t="str">
        <f t="shared" si="1"/>
        <v>128408-Hygiène Bébé, soin maternité-Change bébé</v>
      </c>
      <c r="F5783" s="25">
        <v>0.0</v>
      </c>
      <c r="G5783" s="25">
        <v>311.0</v>
      </c>
      <c r="H5783" s="25">
        <v>299.0</v>
      </c>
      <c r="I5783" s="26">
        <f t="array" ref="I5783">XLOOKUP($A5783,product!A:A,product!E:E)</f>
        <v>2.17</v>
      </c>
      <c r="J5783" s="25">
        <f t="shared" si="2"/>
        <v>648.83</v>
      </c>
      <c r="K5783" s="27">
        <f t="shared" si="3"/>
        <v>1</v>
      </c>
      <c r="L5783" s="25">
        <f t="shared" si="4"/>
        <v>1</v>
      </c>
    </row>
    <row r="5784">
      <c r="A5784" s="19">
        <v>81128.0</v>
      </c>
      <c r="B5784" s="20" t="str">
        <f t="array" ref="B5784">xlookup($A5784,product!$A:$A,product!B:B)</f>
        <v>Beauté &amp; Hygiène</v>
      </c>
      <c r="C5784" s="20" t="str">
        <f t="array" ref="C5784">xlookup($A5784,product!$A:$A,product!C:C)</f>
        <v>Hygiène Bébé, soin maternité</v>
      </c>
      <c r="D5784" s="20" t="str">
        <f t="array" ref="D5784">xlookup($A5784,product!$A:$A,product!D:D)</f>
        <v>Change bébé</v>
      </c>
      <c r="E5784" s="4" t="str">
        <f t="shared" si="1"/>
        <v>81128-Hygiène Bébé, soin maternité-Change bébé</v>
      </c>
      <c r="F5784" s="4">
        <v>0.0</v>
      </c>
      <c r="G5784" s="4">
        <v>502.0</v>
      </c>
      <c r="H5784" s="4">
        <v>149.0</v>
      </c>
      <c r="I5784" s="21">
        <f t="array" ref="I5784">XLOOKUP($A5784,product!A:A,product!E:E)</f>
        <v>2.14</v>
      </c>
      <c r="J5784" s="4">
        <f t="shared" si="2"/>
        <v>318.86</v>
      </c>
      <c r="K5784" s="22">
        <f t="shared" si="3"/>
        <v>1</v>
      </c>
      <c r="L5784" s="4">
        <f t="shared" si="4"/>
        <v>1</v>
      </c>
    </row>
    <row r="5785">
      <c r="A5785" s="23">
        <v>45571.0</v>
      </c>
      <c r="B5785" s="24" t="str">
        <f t="array" ref="B5785">xlookup($A5785,product!$A:$A,product!B:B)</f>
        <v>Beauté &amp; Hygiène</v>
      </c>
      <c r="C5785" s="24" t="str">
        <f t="array" ref="C5785">xlookup($A5785,product!$A:$A,product!C:C)</f>
        <v>Hygiène Bébé, soin maternité</v>
      </c>
      <c r="D5785" s="24" t="str">
        <f t="array" ref="D5785">xlookup($A5785,product!$A:$A,product!D:D)</f>
        <v>Change bébé</v>
      </c>
      <c r="E5785" s="25" t="str">
        <f t="shared" si="1"/>
        <v>45571-Hygiène Bébé, soin maternité-Change bébé</v>
      </c>
      <c r="F5785" s="25">
        <v>0.0</v>
      </c>
      <c r="G5785" s="25">
        <v>957.0</v>
      </c>
      <c r="H5785" s="25">
        <v>183.0</v>
      </c>
      <c r="I5785" s="26">
        <f t="array" ref="I5785">XLOOKUP($A5785,product!A:A,product!E:E)</f>
        <v>2.47</v>
      </c>
      <c r="J5785" s="25">
        <f t="shared" si="2"/>
        <v>452.01</v>
      </c>
      <c r="K5785" s="27">
        <f t="shared" si="3"/>
        <v>1</v>
      </c>
      <c r="L5785" s="25">
        <f t="shared" si="4"/>
        <v>1</v>
      </c>
    </row>
    <row r="5786">
      <c r="A5786" s="19">
        <v>44612.0</v>
      </c>
      <c r="B5786" s="20" t="str">
        <f t="array" ref="B5786">xlookup($A5786,product!$A:$A,product!B:B)</f>
        <v>Beauté &amp; Hygiène</v>
      </c>
      <c r="C5786" s="20" t="str">
        <f t="array" ref="C5786">xlookup($A5786,product!$A:$A,product!C:C)</f>
        <v>Hygiène Bébé, soin maternité</v>
      </c>
      <c r="D5786" s="20" t="str">
        <f t="array" ref="D5786">xlookup($A5786,product!$A:$A,product!D:D)</f>
        <v>Change bébé</v>
      </c>
      <c r="E5786" s="4" t="str">
        <f t="shared" si="1"/>
        <v>44612-Hygiène Bébé, soin maternité-Change bébé</v>
      </c>
      <c r="F5786" s="4">
        <v>0.0</v>
      </c>
      <c r="G5786" s="4">
        <v>883.0</v>
      </c>
      <c r="H5786" s="4">
        <v>551.0</v>
      </c>
      <c r="I5786" s="21">
        <f t="array" ref="I5786">XLOOKUP($A5786,product!A:A,product!E:E)</f>
        <v>3.26</v>
      </c>
      <c r="J5786" s="4">
        <f t="shared" si="2"/>
        <v>1796.26</v>
      </c>
      <c r="K5786" s="22">
        <f t="shared" si="3"/>
        <v>1</v>
      </c>
      <c r="L5786" s="4">
        <f t="shared" si="4"/>
        <v>1</v>
      </c>
    </row>
    <row r="5787">
      <c r="A5787" s="23">
        <v>124684.0</v>
      </c>
      <c r="B5787" s="24" t="str">
        <f t="array" ref="B5787">xlookup($A5787,product!$A:$A,product!B:B)</f>
        <v>Beauté &amp; Hygiène</v>
      </c>
      <c r="C5787" s="24" t="str">
        <f t="array" ref="C5787">xlookup($A5787,product!$A:$A,product!C:C)</f>
        <v>Hygiène Bébé, soin maternité</v>
      </c>
      <c r="D5787" s="24" t="str">
        <f t="array" ref="D5787">xlookup($A5787,product!$A:$A,product!D:D)</f>
        <v>Change bébé</v>
      </c>
      <c r="E5787" s="25" t="str">
        <f t="shared" si="1"/>
        <v>124684-Hygiène Bébé, soin maternité-Change bébé</v>
      </c>
      <c r="F5787" s="25">
        <v>0.0</v>
      </c>
      <c r="G5787" s="25">
        <v>661.0</v>
      </c>
      <c r="H5787" s="25">
        <v>299.0</v>
      </c>
      <c r="I5787" s="26">
        <f t="array" ref="I5787">XLOOKUP($A5787,product!A:A,product!E:E)</f>
        <v>4.74</v>
      </c>
      <c r="J5787" s="25">
        <f t="shared" si="2"/>
        <v>1417.26</v>
      </c>
      <c r="K5787" s="27">
        <f t="shared" si="3"/>
        <v>1</v>
      </c>
      <c r="L5787" s="25">
        <f t="shared" si="4"/>
        <v>1</v>
      </c>
    </row>
    <row r="5788">
      <c r="A5788" s="19">
        <v>112365.0</v>
      </c>
      <c r="B5788" s="20" t="str">
        <f t="array" ref="B5788">xlookup($A5788,product!$A:$A,product!B:B)</f>
        <v>Beauté &amp; Hygiène</v>
      </c>
      <c r="C5788" s="20" t="str">
        <f t="array" ref="C5788">xlookup($A5788,product!$A:$A,product!C:C)</f>
        <v>Hygiène Bébé, soin maternité</v>
      </c>
      <c r="D5788" s="20" t="str">
        <f t="array" ref="D5788">xlookup($A5788,product!$A:$A,product!D:D)</f>
        <v>Soins Maternité</v>
      </c>
      <c r="E5788" s="4" t="str">
        <f t="shared" si="1"/>
        <v>112365-Hygiène Bébé, soin maternité-Soins Maternité</v>
      </c>
      <c r="F5788" s="4">
        <v>0.0</v>
      </c>
      <c r="G5788" s="4">
        <v>236.0</v>
      </c>
      <c r="H5788" s="4">
        <v>66.0</v>
      </c>
      <c r="I5788" s="21">
        <f t="array" ref="I5788">XLOOKUP($A5788,product!A:A,product!E:E)</f>
        <v>1.89</v>
      </c>
      <c r="J5788" s="4">
        <f t="shared" si="2"/>
        <v>124.74</v>
      </c>
      <c r="K5788" s="22">
        <f t="shared" si="3"/>
        <v>1</v>
      </c>
      <c r="L5788" s="4">
        <f t="shared" si="4"/>
        <v>1</v>
      </c>
    </row>
    <row r="5789">
      <c r="A5789" s="23">
        <v>41038.0</v>
      </c>
      <c r="B5789" s="24" t="str">
        <f t="array" ref="B5789">xlookup($A5789,product!$A:$A,product!B:B)</f>
        <v>Beauté &amp; Hygiène</v>
      </c>
      <c r="C5789" s="24" t="str">
        <f t="array" ref="C5789">xlookup($A5789,product!$A:$A,product!C:C)</f>
        <v>Hygiène Bébé, soin maternité</v>
      </c>
      <c r="D5789" s="24" t="str">
        <f t="array" ref="D5789">xlookup($A5789,product!$A:$A,product!D:D)</f>
        <v>Soins Maternité</v>
      </c>
      <c r="E5789" s="25" t="str">
        <f t="shared" si="1"/>
        <v>41038-Hygiène Bébé, soin maternité-Soins Maternité</v>
      </c>
      <c r="F5789" s="25">
        <v>1.0</v>
      </c>
      <c r="G5789" s="25">
        <v>875.0</v>
      </c>
      <c r="H5789" s="25">
        <v>366.0</v>
      </c>
      <c r="I5789" s="26">
        <f t="array" ref="I5789">XLOOKUP($A5789,product!A:A,product!E:E)</f>
        <v>3.01</v>
      </c>
      <c r="J5789" s="25">
        <f t="shared" si="2"/>
        <v>1101.66</v>
      </c>
      <c r="K5789" s="27">
        <f t="shared" si="3"/>
        <v>1</v>
      </c>
      <c r="L5789" s="25">
        <f t="shared" si="4"/>
        <v>1</v>
      </c>
    </row>
    <row r="5790">
      <c r="A5790" s="19">
        <v>87761.0</v>
      </c>
      <c r="B5790" s="20" t="str">
        <f t="array" ref="B5790">xlookup($A5790,product!$A:$A,product!B:B)</f>
        <v>Beauté &amp; Hygiène</v>
      </c>
      <c r="C5790" s="20" t="str">
        <f t="array" ref="C5790">xlookup($A5790,product!$A:$A,product!C:C)</f>
        <v>Hygiène Bébé, soin maternité</v>
      </c>
      <c r="D5790" s="20" t="str">
        <f t="array" ref="D5790">xlookup($A5790,product!$A:$A,product!D:D)</f>
        <v>Soins Maternité</v>
      </c>
      <c r="E5790" s="4" t="str">
        <f t="shared" si="1"/>
        <v>87761-Hygiène Bébé, soin maternité-Soins Maternité</v>
      </c>
      <c r="F5790" s="4">
        <v>0.0</v>
      </c>
      <c r="G5790" s="4">
        <v>78.0</v>
      </c>
      <c r="H5790" s="4">
        <v>30.0</v>
      </c>
      <c r="I5790" s="21">
        <f t="array" ref="I5790">XLOOKUP($A5790,product!A:A,product!E:E)</f>
        <v>2.27</v>
      </c>
      <c r="J5790" s="4">
        <f t="shared" si="2"/>
        <v>68.1</v>
      </c>
      <c r="K5790" s="22">
        <f t="shared" si="3"/>
        <v>1</v>
      </c>
      <c r="L5790" s="4">
        <f t="shared" si="4"/>
        <v>1</v>
      </c>
    </row>
    <row r="5791">
      <c r="A5791" s="23">
        <v>106590.0</v>
      </c>
      <c r="B5791" s="24" t="str">
        <f t="array" ref="B5791">xlookup($A5791,product!$A:$A,product!B:B)</f>
        <v>Beauté &amp; Hygiène</v>
      </c>
      <c r="C5791" s="24" t="str">
        <f t="array" ref="C5791">xlookup($A5791,product!$A:$A,product!C:C)</f>
        <v>Hygiène Bébé, soin maternité</v>
      </c>
      <c r="D5791" s="24" t="str">
        <f t="array" ref="D5791">xlookup($A5791,product!$A:$A,product!D:D)</f>
        <v>Soins Maternité</v>
      </c>
      <c r="E5791" s="25" t="str">
        <f t="shared" si="1"/>
        <v>106590-Hygiène Bébé, soin maternité-Soins Maternité</v>
      </c>
      <c r="F5791" s="25">
        <v>1.0</v>
      </c>
      <c r="G5791" s="25">
        <v>516.0</v>
      </c>
      <c r="H5791" s="25">
        <v>52.0</v>
      </c>
      <c r="I5791" s="26">
        <f t="array" ref="I5791">XLOOKUP($A5791,product!A:A,product!E:E)</f>
        <v>11.58</v>
      </c>
      <c r="J5791" s="25">
        <f t="shared" si="2"/>
        <v>602.16</v>
      </c>
      <c r="K5791" s="27">
        <f t="shared" si="3"/>
        <v>1</v>
      </c>
      <c r="L5791" s="25">
        <f t="shared" si="4"/>
        <v>1</v>
      </c>
    </row>
    <row r="5792">
      <c r="A5792" s="19">
        <v>85734.0</v>
      </c>
      <c r="B5792" s="20" t="str">
        <f t="array" ref="B5792">xlookup($A5792,product!$A:$A,product!B:B)</f>
        <v>Beauté &amp; Hygiène</v>
      </c>
      <c r="C5792" s="20" t="str">
        <f t="array" ref="C5792">xlookup($A5792,product!$A:$A,product!C:C)</f>
        <v>Hygiène Bébé, soin maternité</v>
      </c>
      <c r="D5792" s="20" t="str">
        <f t="array" ref="D5792">xlookup($A5792,product!$A:$A,product!D:D)</f>
        <v>Soins Maternité</v>
      </c>
      <c r="E5792" s="4" t="str">
        <f t="shared" si="1"/>
        <v>85734-Hygiène Bébé, soin maternité-Soins Maternité</v>
      </c>
      <c r="F5792" s="4">
        <v>1.0</v>
      </c>
      <c r="G5792" s="4">
        <v>903.0</v>
      </c>
      <c r="H5792" s="4">
        <v>523.0</v>
      </c>
      <c r="I5792" s="21">
        <f t="array" ref="I5792">XLOOKUP($A5792,product!A:A,product!E:E)</f>
        <v>3.65</v>
      </c>
      <c r="J5792" s="4">
        <f t="shared" si="2"/>
        <v>1908.95</v>
      </c>
      <c r="K5792" s="22">
        <f t="shared" si="3"/>
        <v>1</v>
      </c>
      <c r="L5792" s="4">
        <f t="shared" si="4"/>
        <v>1</v>
      </c>
    </row>
    <row r="5793">
      <c r="A5793" s="23">
        <v>122511.0</v>
      </c>
      <c r="B5793" s="24" t="str">
        <f t="array" ref="B5793">xlookup($A5793,product!$A:$A,product!B:B)</f>
        <v>Beauté &amp; Hygiène</v>
      </c>
      <c r="C5793" s="24" t="str">
        <f t="array" ref="C5793">xlookup($A5793,product!$A:$A,product!C:C)</f>
        <v>Hygiène Bébé, soin maternité</v>
      </c>
      <c r="D5793" s="24" t="str">
        <f t="array" ref="D5793">xlookup($A5793,product!$A:$A,product!D:D)</f>
        <v>Soins Maternité</v>
      </c>
      <c r="E5793" s="25" t="str">
        <f t="shared" si="1"/>
        <v>122511-Hygiène Bébé, soin maternité-Soins Maternité</v>
      </c>
      <c r="F5793" s="25">
        <v>1.0</v>
      </c>
      <c r="G5793" s="25">
        <v>237.0</v>
      </c>
      <c r="H5793" s="25">
        <v>69.0</v>
      </c>
      <c r="I5793" s="26">
        <f t="array" ref="I5793">XLOOKUP($A5793,product!A:A,product!E:E)</f>
        <v>19.53</v>
      </c>
      <c r="J5793" s="25">
        <f t="shared" si="2"/>
        <v>1347.57</v>
      </c>
      <c r="K5793" s="27">
        <f t="shared" si="3"/>
        <v>1</v>
      </c>
      <c r="L5793" s="25">
        <f t="shared" si="4"/>
        <v>1</v>
      </c>
    </row>
    <row r="5794">
      <c r="A5794" s="19">
        <v>2335.0</v>
      </c>
      <c r="B5794" s="20" t="str">
        <f t="array" ref="B5794">xlookup($A5794,product!$A:$A,product!B:B)</f>
        <v>Beauté &amp; Hygiène</v>
      </c>
      <c r="C5794" s="20" t="str">
        <f t="array" ref="C5794">xlookup($A5794,product!$A:$A,product!C:C)</f>
        <v>Hygiène Bébé, soin maternité</v>
      </c>
      <c r="D5794" s="20" t="str">
        <f t="array" ref="D5794">xlookup($A5794,product!$A:$A,product!D:D)</f>
        <v>Soins Maternité</v>
      </c>
      <c r="E5794" s="4" t="str">
        <f t="shared" si="1"/>
        <v>2335-Hygiène Bébé, soin maternité-Soins Maternité</v>
      </c>
      <c r="F5794" s="4">
        <v>0.0</v>
      </c>
      <c r="G5794" s="4">
        <v>845.0</v>
      </c>
      <c r="H5794" s="4">
        <v>531.0</v>
      </c>
      <c r="I5794" s="21">
        <f t="array" ref="I5794">XLOOKUP($A5794,product!A:A,product!E:E)</f>
        <v>5.84</v>
      </c>
      <c r="J5794" s="4">
        <f t="shared" si="2"/>
        <v>3101.04</v>
      </c>
      <c r="K5794" s="22">
        <f t="shared" si="3"/>
        <v>1</v>
      </c>
      <c r="L5794" s="4">
        <f t="shared" si="4"/>
        <v>1</v>
      </c>
    </row>
    <row r="5795">
      <c r="A5795" s="23">
        <v>2339.0</v>
      </c>
      <c r="B5795" s="24" t="str">
        <f t="array" ref="B5795">xlookup($A5795,product!$A:$A,product!B:B)</f>
        <v>Beauté &amp; Hygiène</v>
      </c>
      <c r="C5795" s="24" t="str">
        <f t="array" ref="C5795">xlookup($A5795,product!$A:$A,product!C:C)</f>
        <v>Hygiène Bébé, soin maternité</v>
      </c>
      <c r="D5795" s="24" t="str">
        <f t="array" ref="D5795">xlookup($A5795,product!$A:$A,product!D:D)</f>
        <v>Soins Maternité</v>
      </c>
      <c r="E5795" s="25" t="str">
        <f t="shared" si="1"/>
        <v>2339-Hygiène Bébé, soin maternité-Soins Maternité</v>
      </c>
      <c r="F5795" s="25">
        <v>0.0</v>
      </c>
      <c r="G5795" s="25">
        <v>697.0</v>
      </c>
      <c r="H5795" s="25">
        <v>149.0</v>
      </c>
      <c r="I5795" s="26">
        <f t="array" ref="I5795">XLOOKUP($A5795,product!A:A,product!E:E)</f>
        <v>3.65</v>
      </c>
      <c r="J5795" s="25">
        <f t="shared" si="2"/>
        <v>543.85</v>
      </c>
      <c r="K5795" s="27">
        <f t="shared" si="3"/>
        <v>1</v>
      </c>
      <c r="L5795" s="25">
        <f t="shared" si="4"/>
        <v>1</v>
      </c>
    </row>
    <row r="5796">
      <c r="A5796" s="19">
        <v>108468.0</v>
      </c>
      <c r="B5796" s="20" t="str">
        <f t="array" ref="B5796">xlookup($A5796,product!$A:$A,product!B:B)</f>
        <v>Beauté &amp; Hygiène</v>
      </c>
      <c r="C5796" s="20" t="str">
        <f t="array" ref="C5796">xlookup($A5796,product!$A:$A,product!C:C)</f>
        <v>Hygiène Bébé, soin maternité</v>
      </c>
      <c r="D5796" s="20" t="str">
        <f t="array" ref="D5796">xlookup($A5796,product!$A:$A,product!D:D)</f>
        <v>Soins Maternité</v>
      </c>
      <c r="E5796" s="4" t="str">
        <f t="shared" si="1"/>
        <v>108468-Hygiène Bébé, soin maternité-Soins Maternité</v>
      </c>
      <c r="F5796" s="4">
        <v>1.0</v>
      </c>
      <c r="G5796" s="4">
        <v>39.0</v>
      </c>
      <c r="H5796" s="4">
        <v>3.0</v>
      </c>
      <c r="I5796" s="21">
        <f t="array" ref="I5796">XLOOKUP($A5796,product!A:A,product!E:E)</f>
        <v>8.85</v>
      </c>
      <c r="J5796" s="4">
        <f t="shared" si="2"/>
        <v>26.55</v>
      </c>
      <c r="K5796" s="22">
        <f t="shared" si="3"/>
        <v>1</v>
      </c>
      <c r="L5796" s="4">
        <f t="shared" si="4"/>
        <v>1</v>
      </c>
    </row>
    <row r="5797">
      <c r="A5797" s="23">
        <v>3439.0</v>
      </c>
      <c r="B5797" s="24" t="str">
        <f t="array" ref="B5797">xlookup($A5797,product!$A:$A,product!B:B)</f>
        <v>Beauté &amp; Hygiène</v>
      </c>
      <c r="C5797" s="24" t="str">
        <f t="array" ref="C5797">xlookup($A5797,product!$A:$A,product!C:C)</f>
        <v>Hygiène Bébé, soin maternité</v>
      </c>
      <c r="D5797" s="24" t="str">
        <f t="array" ref="D5797">xlookup($A5797,product!$A:$A,product!D:D)</f>
        <v>Soins Maternité</v>
      </c>
      <c r="E5797" s="25" t="str">
        <f t="shared" si="1"/>
        <v>3439-Hygiène Bébé, soin maternité-Soins Maternité</v>
      </c>
      <c r="F5797" s="25">
        <v>1.0</v>
      </c>
      <c r="G5797" s="25">
        <v>330.0</v>
      </c>
      <c r="H5797" s="25">
        <v>56.0</v>
      </c>
      <c r="I5797" s="26">
        <f t="array" ref="I5797">XLOOKUP($A5797,product!A:A,product!E:E)</f>
        <v>5.49</v>
      </c>
      <c r="J5797" s="25">
        <f t="shared" si="2"/>
        <v>307.44</v>
      </c>
      <c r="K5797" s="27">
        <f t="shared" si="3"/>
        <v>1</v>
      </c>
      <c r="L5797" s="25">
        <f t="shared" si="4"/>
        <v>1</v>
      </c>
    </row>
    <row r="5798">
      <c r="A5798" s="19">
        <v>2044.0</v>
      </c>
      <c r="B5798" s="20" t="str">
        <f t="array" ref="B5798">xlookup($A5798,product!$A:$A,product!B:B)</f>
        <v>Beauté &amp; Hygiène</v>
      </c>
      <c r="C5798" s="20" t="str">
        <f t="array" ref="C5798">xlookup($A5798,product!$A:$A,product!C:C)</f>
        <v>Hygiène Bébé, soin maternité</v>
      </c>
      <c r="D5798" s="20" t="str">
        <f t="array" ref="D5798">xlookup($A5798,product!$A:$A,product!D:D)</f>
        <v>Bébé, hygiène et soin</v>
      </c>
      <c r="E5798" s="4" t="str">
        <f t="shared" si="1"/>
        <v>2044-Hygiène Bébé, soin maternité-Bébé, hygiène et soin</v>
      </c>
      <c r="F5798" s="4">
        <v>0.0</v>
      </c>
      <c r="G5798" s="4">
        <v>47.0</v>
      </c>
      <c r="H5798" s="4">
        <v>35.0</v>
      </c>
      <c r="I5798" s="21">
        <f t="array" ref="I5798">XLOOKUP($A5798,product!A:A,product!E:E)</f>
        <v>6.07</v>
      </c>
      <c r="J5798" s="4">
        <f t="shared" si="2"/>
        <v>212.45</v>
      </c>
      <c r="K5798" s="22">
        <f t="shared" si="3"/>
        <v>1</v>
      </c>
      <c r="L5798" s="4">
        <f t="shared" si="4"/>
        <v>1</v>
      </c>
    </row>
    <row r="5799">
      <c r="A5799" s="23">
        <v>188354.0</v>
      </c>
      <c r="B5799" s="24" t="str">
        <f t="array" ref="B5799">xlookup($A5799,product!$A:$A,product!B:B)</f>
        <v>Beauté &amp; Hygiène</v>
      </c>
      <c r="C5799" s="24" t="str">
        <f t="array" ref="C5799">xlookup($A5799,product!$A:$A,product!C:C)</f>
        <v>Hygiène Bébé, soin maternité</v>
      </c>
      <c r="D5799" s="24" t="str">
        <f t="array" ref="D5799">xlookup($A5799,product!$A:$A,product!D:D)</f>
        <v>Bébé, hygiène et soin</v>
      </c>
      <c r="E5799" s="25" t="str">
        <f t="shared" si="1"/>
        <v>188354-Hygiène Bébé, soin maternité-Bébé, hygiène et soin</v>
      </c>
      <c r="F5799" s="25">
        <v>0.0</v>
      </c>
      <c r="G5799" s="25">
        <v>682.0</v>
      </c>
      <c r="H5799" s="25">
        <v>249.0</v>
      </c>
      <c r="I5799" s="26">
        <f t="array" ref="I5799">XLOOKUP($A5799,product!A:A,product!E:E)</f>
        <v>5.29</v>
      </c>
      <c r="J5799" s="25">
        <f t="shared" si="2"/>
        <v>1317.21</v>
      </c>
      <c r="K5799" s="27">
        <f t="shared" si="3"/>
        <v>1</v>
      </c>
      <c r="L5799" s="25">
        <f t="shared" si="4"/>
        <v>1</v>
      </c>
    </row>
    <row r="5800">
      <c r="A5800" s="19">
        <v>27848.0</v>
      </c>
      <c r="B5800" s="20" t="str">
        <f t="array" ref="B5800">xlookup($A5800,product!$A:$A,product!B:B)</f>
        <v>Beauté &amp; Hygiène</v>
      </c>
      <c r="C5800" s="20" t="str">
        <f t="array" ref="C5800">xlookup($A5800,product!$A:$A,product!C:C)</f>
        <v>Hygiène Bébé, soin maternité</v>
      </c>
      <c r="D5800" s="20" t="str">
        <f t="array" ref="D5800">xlookup($A5800,product!$A:$A,product!D:D)</f>
        <v>Bébé, hygiène et soin</v>
      </c>
      <c r="E5800" s="4" t="str">
        <f t="shared" si="1"/>
        <v>27848-Hygiène Bébé, soin maternité-Bébé, hygiène et soin</v>
      </c>
      <c r="F5800" s="4">
        <v>1.0</v>
      </c>
      <c r="G5800" s="4">
        <v>908.0</v>
      </c>
      <c r="H5800" s="4">
        <v>497.0</v>
      </c>
      <c r="I5800" s="21">
        <f t="array" ref="I5800">XLOOKUP($A5800,product!A:A,product!E:E)</f>
        <v>6.08</v>
      </c>
      <c r="J5800" s="4">
        <f t="shared" si="2"/>
        <v>3021.76</v>
      </c>
      <c r="K5800" s="22">
        <f t="shared" si="3"/>
        <v>1</v>
      </c>
      <c r="L5800" s="4">
        <f t="shared" si="4"/>
        <v>1</v>
      </c>
    </row>
    <row r="5801">
      <c r="A5801" s="23">
        <v>45642.0</v>
      </c>
      <c r="B5801" s="24" t="str">
        <f t="array" ref="B5801">xlookup($A5801,product!$A:$A,product!B:B)</f>
        <v>Beauté &amp; Hygiène</v>
      </c>
      <c r="C5801" s="24" t="str">
        <f t="array" ref="C5801">xlookup($A5801,product!$A:$A,product!C:C)</f>
        <v>Hygiène Bébé, soin maternité</v>
      </c>
      <c r="D5801" s="24" t="str">
        <f t="array" ref="D5801">xlookup($A5801,product!$A:$A,product!D:D)</f>
        <v>Bébé, hygiène et soin</v>
      </c>
      <c r="E5801" s="25" t="str">
        <f t="shared" si="1"/>
        <v>45642-Hygiène Bébé, soin maternité-Bébé, hygiène et soin</v>
      </c>
      <c r="F5801" s="25">
        <v>0.0</v>
      </c>
      <c r="G5801" s="25">
        <v>364.0</v>
      </c>
      <c r="H5801" s="25">
        <v>135.0</v>
      </c>
      <c r="I5801" s="26">
        <f t="array" ref="I5801">XLOOKUP($A5801,product!A:A,product!E:E)</f>
        <v>2.54</v>
      </c>
      <c r="J5801" s="25">
        <f t="shared" si="2"/>
        <v>342.9</v>
      </c>
      <c r="K5801" s="27">
        <f t="shared" si="3"/>
        <v>1</v>
      </c>
      <c r="L5801" s="25">
        <f t="shared" si="4"/>
        <v>1</v>
      </c>
    </row>
    <row r="5802">
      <c r="A5802" s="19">
        <v>79815.0</v>
      </c>
      <c r="B5802" s="20" t="str">
        <f t="array" ref="B5802">xlookup($A5802,product!$A:$A,product!B:B)</f>
        <v>Beauté &amp; Hygiène</v>
      </c>
      <c r="C5802" s="20" t="str">
        <f t="array" ref="C5802">xlookup($A5802,product!$A:$A,product!C:C)</f>
        <v>Hygiène Bébé, soin maternité</v>
      </c>
      <c r="D5802" s="20" t="str">
        <f t="array" ref="D5802">xlookup($A5802,product!$A:$A,product!D:D)</f>
        <v>Bébé, hygiène et soin</v>
      </c>
      <c r="E5802" s="4" t="str">
        <f t="shared" si="1"/>
        <v>79815-Hygiène Bébé, soin maternité-Bébé, hygiène et soin</v>
      </c>
      <c r="F5802" s="4">
        <v>0.0</v>
      </c>
      <c r="G5802" s="4">
        <v>92.0</v>
      </c>
      <c r="H5802" s="4">
        <v>43.0</v>
      </c>
      <c r="I5802" s="21">
        <f t="array" ref="I5802">XLOOKUP($A5802,product!A:A,product!E:E)</f>
        <v>5.94</v>
      </c>
      <c r="J5802" s="4">
        <f t="shared" si="2"/>
        <v>255.42</v>
      </c>
      <c r="K5802" s="22">
        <f t="shared" si="3"/>
        <v>1</v>
      </c>
      <c r="L5802" s="4">
        <f t="shared" si="4"/>
        <v>1</v>
      </c>
    </row>
    <row r="5803">
      <c r="A5803" s="23">
        <v>87643.0</v>
      </c>
      <c r="B5803" s="24" t="str">
        <f t="array" ref="B5803">xlookup($A5803,product!$A:$A,product!B:B)</f>
        <v>Beauté &amp; Hygiène</v>
      </c>
      <c r="C5803" s="24" t="str">
        <f t="array" ref="C5803">xlookup($A5803,product!$A:$A,product!C:C)</f>
        <v>Hygiène Bébé, soin maternité</v>
      </c>
      <c r="D5803" s="24" t="str">
        <f t="array" ref="D5803">xlookup($A5803,product!$A:$A,product!D:D)</f>
        <v>Bébé, hygiène et soin</v>
      </c>
      <c r="E5803" s="25" t="str">
        <f t="shared" si="1"/>
        <v>87643-Hygiène Bébé, soin maternité-Bébé, hygiène et soin</v>
      </c>
      <c r="F5803" s="25">
        <v>1.0</v>
      </c>
      <c r="G5803" s="25">
        <v>91.0</v>
      </c>
      <c r="H5803" s="25">
        <v>61.0</v>
      </c>
      <c r="I5803" s="26">
        <f t="array" ref="I5803">XLOOKUP($A5803,product!A:A,product!E:E)</f>
        <v>6.28</v>
      </c>
      <c r="J5803" s="25">
        <f t="shared" si="2"/>
        <v>383.08</v>
      </c>
      <c r="K5803" s="27">
        <f t="shared" si="3"/>
        <v>1</v>
      </c>
      <c r="L5803" s="25">
        <f t="shared" si="4"/>
        <v>1</v>
      </c>
    </row>
    <row r="5804">
      <c r="A5804" s="19">
        <v>30501.0</v>
      </c>
      <c r="B5804" s="20" t="str">
        <f t="array" ref="B5804">xlookup($A5804,product!$A:$A,product!B:B)</f>
        <v>Beauté &amp; Hygiène</v>
      </c>
      <c r="C5804" s="20" t="str">
        <f t="array" ref="C5804">xlookup($A5804,product!$A:$A,product!C:C)</f>
        <v>Hygiène Bébé, soin maternité</v>
      </c>
      <c r="D5804" s="20" t="str">
        <f t="array" ref="D5804">xlookup($A5804,product!$A:$A,product!D:D)</f>
        <v>Bébé, hygiène et soin</v>
      </c>
      <c r="E5804" s="4" t="str">
        <f t="shared" si="1"/>
        <v>30501-Hygiène Bébé, soin maternité-Bébé, hygiène et soin</v>
      </c>
      <c r="F5804" s="4">
        <v>0.0</v>
      </c>
      <c r="G5804" s="4">
        <v>187.0</v>
      </c>
      <c r="H5804" s="4">
        <v>146.0</v>
      </c>
      <c r="I5804" s="21">
        <f t="array" ref="I5804">XLOOKUP($A5804,product!A:A,product!E:E)</f>
        <v>6.33</v>
      </c>
      <c r="J5804" s="4">
        <f t="shared" si="2"/>
        <v>924.18</v>
      </c>
      <c r="K5804" s="22">
        <f t="shared" si="3"/>
        <v>1</v>
      </c>
      <c r="L5804" s="4">
        <f t="shared" si="4"/>
        <v>1</v>
      </c>
    </row>
    <row r="5805">
      <c r="A5805" s="23">
        <v>118198.0</v>
      </c>
      <c r="B5805" s="24" t="str">
        <f t="array" ref="B5805">xlookup($A5805,product!$A:$A,product!B:B)</f>
        <v>Beauté &amp; Hygiène</v>
      </c>
      <c r="C5805" s="24" t="str">
        <f t="array" ref="C5805">xlookup($A5805,product!$A:$A,product!C:C)</f>
        <v>Hygiène Bébé, soin maternité</v>
      </c>
      <c r="D5805" s="24" t="str">
        <f t="array" ref="D5805">xlookup($A5805,product!$A:$A,product!D:D)</f>
        <v>Bébé, hygiène et soin</v>
      </c>
      <c r="E5805" s="25" t="str">
        <f t="shared" si="1"/>
        <v>118198-Hygiène Bébé, soin maternité-Bébé, hygiène et soin</v>
      </c>
      <c r="F5805" s="25">
        <v>1.0</v>
      </c>
      <c r="G5805" s="25">
        <v>694.0</v>
      </c>
      <c r="H5805" s="25">
        <v>465.0</v>
      </c>
      <c r="I5805" s="26">
        <f t="array" ref="I5805">XLOOKUP($A5805,product!A:A,product!E:E)</f>
        <v>5.38</v>
      </c>
      <c r="J5805" s="25">
        <f t="shared" si="2"/>
        <v>2501.7</v>
      </c>
      <c r="K5805" s="27">
        <f t="shared" si="3"/>
        <v>1</v>
      </c>
      <c r="L5805" s="25">
        <f t="shared" si="4"/>
        <v>1</v>
      </c>
    </row>
    <row r="5806">
      <c r="A5806" s="19">
        <v>4891.0</v>
      </c>
      <c r="B5806" s="20" t="str">
        <f t="array" ref="B5806">xlookup($A5806,product!$A:$A,product!B:B)</f>
        <v>Beauté &amp; Hygiène</v>
      </c>
      <c r="C5806" s="20" t="str">
        <f t="array" ref="C5806">xlookup($A5806,product!$A:$A,product!C:C)</f>
        <v>Hygiène Bébé, soin maternité</v>
      </c>
      <c r="D5806" s="20" t="str">
        <f t="array" ref="D5806">xlookup($A5806,product!$A:$A,product!D:D)</f>
        <v>Bébé, hygiène et soin</v>
      </c>
      <c r="E5806" s="4" t="str">
        <f t="shared" si="1"/>
        <v>4891-Hygiène Bébé, soin maternité-Bébé, hygiène et soin</v>
      </c>
      <c r="F5806" s="4">
        <v>1.0</v>
      </c>
      <c r="G5806" s="4">
        <v>212.0</v>
      </c>
      <c r="H5806" s="4">
        <v>40.0</v>
      </c>
      <c r="I5806" s="21">
        <f t="array" ref="I5806">XLOOKUP($A5806,product!A:A,product!E:E)</f>
        <v>5.45</v>
      </c>
      <c r="J5806" s="4">
        <f t="shared" si="2"/>
        <v>218</v>
      </c>
      <c r="K5806" s="22">
        <f t="shared" si="3"/>
        <v>1</v>
      </c>
      <c r="L5806" s="4">
        <f t="shared" si="4"/>
        <v>1</v>
      </c>
    </row>
    <row r="5807">
      <c r="A5807" s="23">
        <v>23050.0</v>
      </c>
      <c r="B5807" s="24" t="str">
        <f t="array" ref="B5807">xlookup($A5807,product!$A:$A,product!B:B)</f>
        <v>Beauté &amp; Hygiène</v>
      </c>
      <c r="C5807" s="24" t="str">
        <f t="array" ref="C5807">xlookup($A5807,product!$A:$A,product!C:C)</f>
        <v>Hygiène Bébé, soin maternité</v>
      </c>
      <c r="D5807" s="24" t="str">
        <f t="array" ref="D5807">xlookup($A5807,product!$A:$A,product!D:D)</f>
        <v>Bébé, hygiène et soin</v>
      </c>
      <c r="E5807" s="25" t="str">
        <f t="shared" si="1"/>
        <v>23050-Hygiène Bébé, soin maternité-Bébé, hygiène et soin</v>
      </c>
      <c r="F5807" s="25">
        <v>0.0</v>
      </c>
      <c r="G5807" s="25">
        <v>169.0</v>
      </c>
      <c r="H5807" s="25">
        <v>108.0</v>
      </c>
      <c r="I5807" s="26">
        <f t="array" ref="I5807">XLOOKUP($A5807,product!A:A,product!E:E)</f>
        <v>8.5</v>
      </c>
      <c r="J5807" s="25">
        <f t="shared" si="2"/>
        <v>918</v>
      </c>
      <c r="K5807" s="27">
        <f t="shared" si="3"/>
        <v>1</v>
      </c>
      <c r="L5807" s="25">
        <f t="shared" si="4"/>
        <v>1</v>
      </c>
    </row>
    <row r="5808">
      <c r="A5808" s="19">
        <v>94612.0</v>
      </c>
      <c r="B5808" s="20" t="str">
        <f t="array" ref="B5808">xlookup($A5808,product!$A:$A,product!B:B)</f>
        <v>Beauté &amp; Hygiène</v>
      </c>
      <c r="C5808" s="20" t="str">
        <f t="array" ref="C5808">xlookup($A5808,product!$A:$A,product!C:C)</f>
        <v>Hygiène Bébé, soin maternité</v>
      </c>
      <c r="D5808" s="20" t="str">
        <f t="array" ref="D5808">xlookup($A5808,product!$A:$A,product!D:D)</f>
        <v>Bébé, hygiène et soin</v>
      </c>
      <c r="E5808" s="4" t="str">
        <f t="shared" si="1"/>
        <v>94612-Hygiène Bébé, soin maternité-Bébé, hygiène et soin</v>
      </c>
      <c r="F5808" s="4">
        <v>1.0</v>
      </c>
      <c r="G5808" s="4">
        <v>447.0</v>
      </c>
      <c r="H5808" s="4">
        <v>168.0</v>
      </c>
      <c r="I5808" s="21">
        <f t="array" ref="I5808">XLOOKUP($A5808,product!A:A,product!E:E)</f>
        <v>5.6</v>
      </c>
      <c r="J5808" s="4">
        <f t="shared" si="2"/>
        <v>940.8</v>
      </c>
      <c r="K5808" s="22">
        <f t="shared" si="3"/>
        <v>1</v>
      </c>
      <c r="L5808" s="4">
        <f t="shared" si="4"/>
        <v>1</v>
      </c>
    </row>
    <row r="5809">
      <c r="A5809" s="23">
        <v>109983.0</v>
      </c>
      <c r="B5809" s="24" t="str">
        <f t="array" ref="B5809">xlookup($A5809,product!$A:$A,product!B:B)</f>
        <v>Beauté &amp; Hygiène</v>
      </c>
      <c r="C5809" s="24" t="str">
        <f t="array" ref="C5809">xlookup($A5809,product!$A:$A,product!C:C)</f>
        <v>Hygiène Bébé, soin maternité</v>
      </c>
      <c r="D5809" s="24" t="str">
        <f t="array" ref="D5809">xlookup($A5809,product!$A:$A,product!D:D)</f>
        <v>Bébé, hygiène et soin</v>
      </c>
      <c r="E5809" s="25" t="str">
        <f t="shared" si="1"/>
        <v>109983-Hygiène Bébé, soin maternité-Bébé, hygiène et soin</v>
      </c>
      <c r="F5809" s="25">
        <v>0.0</v>
      </c>
      <c r="G5809" s="25">
        <v>649.0</v>
      </c>
      <c r="H5809" s="25">
        <v>416.0</v>
      </c>
      <c r="I5809" s="26">
        <f t="array" ref="I5809">XLOOKUP($A5809,product!A:A,product!E:E)</f>
        <v>4.51</v>
      </c>
      <c r="J5809" s="25">
        <f t="shared" si="2"/>
        <v>1876.16</v>
      </c>
      <c r="K5809" s="27">
        <f t="shared" si="3"/>
        <v>1</v>
      </c>
      <c r="L5809" s="25">
        <f t="shared" si="4"/>
        <v>1</v>
      </c>
    </row>
    <row r="5810">
      <c r="A5810" s="19">
        <v>110854.0</v>
      </c>
      <c r="B5810" s="20" t="str">
        <f t="array" ref="B5810">xlookup($A5810,product!$A:$A,product!B:B)</f>
        <v>Beauté &amp; Hygiène</v>
      </c>
      <c r="C5810" s="20" t="str">
        <f t="array" ref="C5810">xlookup($A5810,product!$A:$A,product!C:C)</f>
        <v>Hygiène Bébé, soin maternité</v>
      </c>
      <c r="D5810" s="20" t="str">
        <f t="array" ref="D5810">xlookup($A5810,product!$A:$A,product!D:D)</f>
        <v>Bébé, hygiène et soin</v>
      </c>
      <c r="E5810" s="4" t="str">
        <f t="shared" si="1"/>
        <v>110854-Hygiène Bébé, soin maternité-Bébé, hygiène et soin</v>
      </c>
      <c r="F5810" s="4">
        <v>1.0</v>
      </c>
      <c r="G5810" s="4">
        <v>17.0</v>
      </c>
      <c r="H5810" s="4">
        <v>0.0</v>
      </c>
      <c r="I5810" s="21">
        <f t="array" ref="I5810">XLOOKUP($A5810,product!A:A,product!E:E)</f>
        <v>5.98</v>
      </c>
      <c r="J5810" s="4">
        <f t="shared" si="2"/>
        <v>0</v>
      </c>
      <c r="K5810" s="22">
        <f t="shared" si="3"/>
        <v>0</v>
      </c>
      <c r="L5810" s="4">
        <f t="shared" si="4"/>
        <v>1</v>
      </c>
    </row>
    <row r="5811">
      <c r="A5811" s="23">
        <v>110414.0</v>
      </c>
      <c r="B5811" s="24" t="str">
        <f t="array" ref="B5811">xlookup($A5811,product!$A:$A,product!B:B)</f>
        <v>Beauté &amp; Hygiène</v>
      </c>
      <c r="C5811" s="24" t="str">
        <f t="array" ref="C5811">xlookup($A5811,product!$A:$A,product!C:C)</f>
        <v>Hygiène Bébé, soin maternité</v>
      </c>
      <c r="D5811" s="24" t="str">
        <f t="array" ref="D5811">xlookup($A5811,product!$A:$A,product!D:D)</f>
        <v>Bébé, hygiène et soin</v>
      </c>
      <c r="E5811" s="25" t="str">
        <f t="shared" si="1"/>
        <v>110414-Hygiène Bébé, soin maternité-Bébé, hygiène et soin</v>
      </c>
      <c r="F5811" s="25">
        <v>1.0</v>
      </c>
      <c r="G5811" s="25">
        <v>473.0</v>
      </c>
      <c r="H5811" s="25">
        <v>425.0</v>
      </c>
      <c r="I5811" s="26">
        <f t="array" ref="I5811">XLOOKUP($A5811,product!A:A,product!E:E)</f>
        <v>4.12</v>
      </c>
      <c r="J5811" s="25">
        <f t="shared" si="2"/>
        <v>1751</v>
      </c>
      <c r="K5811" s="27">
        <f t="shared" si="3"/>
        <v>1</v>
      </c>
      <c r="L5811" s="25">
        <f t="shared" si="4"/>
        <v>1</v>
      </c>
    </row>
    <row r="5812">
      <c r="A5812" s="19">
        <v>103631.0</v>
      </c>
      <c r="B5812" s="20" t="str">
        <f t="array" ref="B5812">xlookup($A5812,product!$A:$A,product!B:B)</f>
        <v>Beauté &amp; Hygiène</v>
      </c>
      <c r="C5812" s="20" t="str">
        <f t="array" ref="C5812">xlookup($A5812,product!$A:$A,product!C:C)</f>
        <v>Hygiène Bébé, soin maternité</v>
      </c>
      <c r="D5812" s="20" t="str">
        <f t="array" ref="D5812">xlookup($A5812,product!$A:$A,product!D:D)</f>
        <v>Bébé, hygiène et soin</v>
      </c>
      <c r="E5812" s="4" t="str">
        <f t="shared" si="1"/>
        <v>103631-Hygiène Bébé, soin maternité-Bébé, hygiène et soin</v>
      </c>
      <c r="F5812" s="4">
        <v>1.0</v>
      </c>
      <c r="G5812" s="4">
        <v>302.0</v>
      </c>
      <c r="H5812" s="4">
        <v>296.0</v>
      </c>
      <c r="I5812" s="21">
        <f t="array" ref="I5812">XLOOKUP($A5812,product!A:A,product!E:E)</f>
        <v>4.12</v>
      </c>
      <c r="J5812" s="4">
        <f t="shared" si="2"/>
        <v>1219.52</v>
      </c>
      <c r="K5812" s="22">
        <f t="shared" si="3"/>
        <v>1</v>
      </c>
      <c r="L5812" s="4">
        <f t="shared" si="4"/>
        <v>1</v>
      </c>
    </row>
    <row r="5813">
      <c r="A5813" s="23">
        <v>111009.0</v>
      </c>
      <c r="B5813" s="24" t="str">
        <f t="array" ref="B5813">xlookup($A5813,product!$A:$A,product!B:B)</f>
        <v>Beauté &amp; Hygiène</v>
      </c>
      <c r="C5813" s="24" t="str">
        <f t="array" ref="C5813">xlookup($A5813,product!$A:$A,product!C:C)</f>
        <v>Hygiène Bébé, soin maternité</v>
      </c>
      <c r="D5813" s="24" t="str">
        <f t="array" ref="D5813">xlookup($A5813,product!$A:$A,product!D:D)</f>
        <v>Bébé, hygiène et soin</v>
      </c>
      <c r="E5813" s="25" t="str">
        <f t="shared" si="1"/>
        <v>111009-Hygiène Bébé, soin maternité-Bébé, hygiène et soin</v>
      </c>
      <c r="F5813" s="25">
        <v>0.0</v>
      </c>
      <c r="G5813" s="25">
        <v>371.0</v>
      </c>
      <c r="H5813" s="25">
        <v>276.0</v>
      </c>
      <c r="I5813" s="26">
        <f t="array" ref="I5813">XLOOKUP($A5813,product!A:A,product!E:E)</f>
        <v>6.05</v>
      </c>
      <c r="J5813" s="25">
        <f t="shared" si="2"/>
        <v>1669.8</v>
      </c>
      <c r="K5813" s="27">
        <f t="shared" si="3"/>
        <v>1</v>
      </c>
      <c r="L5813" s="25">
        <f t="shared" si="4"/>
        <v>1</v>
      </c>
    </row>
    <row r="5814">
      <c r="A5814" s="19">
        <v>109213.0</v>
      </c>
      <c r="B5814" s="20" t="str">
        <f t="array" ref="B5814">xlookup($A5814,product!$A:$A,product!B:B)</f>
        <v>Beauté &amp; Hygiène</v>
      </c>
      <c r="C5814" s="20" t="str">
        <f t="array" ref="C5814">xlookup($A5814,product!$A:$A,product!C:C)</f>
        <v>Hygiène Bébé, soin maternité</v>
      </c>
      <c r="D5814" s="20" t="str">
        <f t="array" ref="D5814">xlookup($A5814,product!$A:$A,product!D:D)</f>
        <v>Bébé, hygiène et soin</v>
      </c>
      <c r="E5814" s="4" t="str">
        <f t="shared" si="1"/>
        <v>109213-Hygiène Bébé, soin maternité-Bébé, hygiène et soin</v>
      </c>
      <c r="F5814" s="4">
        <v>0.0</v>
      </c>
      <c r="G5814" s="4">
        <v>847.0</v>
      </c>
      <c r="H5814" s="4">
        <v>577.0</v>
      </c>
      <c r="I5814" s="21">
        <f t="array" ref="I5814">XLOOKUP($A5814,product!A:A,product!E:E)</f>
        <v>3.75</v>
      </c>
      <c r="J5814" s="4">
        <f t="shared" si="2"/>
        <v>2163.75</v>
      </c>
      <c r="K5814" s="22">
        <f t="shared" si="3"/>
        <v>1</v>
      </c>
      <c r="L5814" s="4">
        <f t="shared" si="4"/>
        <v>1</v>
      </c>
    </row>
    <row r="5815">
      <c r="A5815" s="23">
        <v>103847.0</v>
      </c>
      <c r="B5815" s="24" t="str">
        <f t="array" ref="B5815">xlookup($A5815,product!$A:$A,product!B:B)</f>
        <v>Beauté &amp; Hygiène</v>
      </c>
      <c r="C5815" s="24" t="str">
        <f t="array" ref="C5815">xlookup($A5815,product!$A:$A,product!C:C)</f>
        <v>Hygiène Bébé, soin maternité</v>
      </c>
      <c r="D5815" s="24" t="str">
        <f t="array" ref="D5815">xlookup($A5815,product!$A:$A,product!D:D)</f>
        <v>Bébé, hygiène et soin</v>
      </c>
      <c r="E5815" s="25" t="str">
        <f t="shared" si="1"/>
        <v>103847-Hygiène Bébé, soin maternité-Bébé, hygiène et soin</v>
      </c>
      <c r="F5815" s="25">
        <v>0.0</v>
      </c>
      <c r="G5815" s="25">
        <v>480.0</v>
      </c>
      <c r="H5815" s="25">
        <v>389.0</v>
      </c>
      <c r="I5815" s="26">
        <f t="array" ref="I5815">XLOOKUP($A5815,product!A:A,product!E:E)</f>
        <v>9.18</v>
      </c>
      <c r="J5815" s="25">
        <f t="shared" si="2"/>
        <v>3571.02</v>
      </c>
      <c r="K5815" s="27">
        <f t="shared" si="3"/>
        <v>1</v>
      </c>
      <c r="L5815" s="25">
        <f t="shared" si="4"/>
        <v>1</v>
      </c>
    </row>
    <row r="5816">
      <c r="A5816" s="19">
        <v>96156.0</v>
      </c>
      <c r="B5816" s="20" t="str">
        <f t="array" ref="B5816">xlookup($A5816,product!$A:$A,product!B:B)</f>
        <v>Beauté &amp; Hygiène</v>
      </c>
      <c r="C5816" s="20" t="str">
        <f t="array" ref="C5816">xlookup($A5816,product!$A:$A,product!C:C)</f>
        <v>Hygiène Bébé, soin maternité</v>
      </c>
      <c r="D5816" s="20" t="str">
        <f t="array" ref="D5816">xlookup($A5816,product!$A:$A,product!D:D)</f>
        <v>Bébé, hygiène et soin</v>
      </c>
      <c r="E5816" s="4" t="str">
        <f t="shared" si="1"/>
        <v>96156-Hygiène Bébé, soin maternité-Bébé, hygiène et soin</v>
      </c>
      <c r="F5816" s="4">
        <v>1.0</v>
      </c>
      <c r="G5816" s="4">
        <v>468.0</v>
      </c>
      <c r="H5816" s="4">
        <v>105.0</v>
      </c>
      <c r="I5816" s="21">
        <f t="array" ref="I5816">XLOOKUP($A5816,product!A:A,product!E:E)</f>
        <v>6.92</v>
      </c>
      <c r="J5816" s="4">
        <f t="shared" si="2"/>
        <v>726.6</v>
      </c>
      <c r="K5816" s="22">
        <f t="shared" si="3"/>
        <v>1</v>
      </c>
      <c r="L5816" s="4">
        <f t="shared" si="4"/>
        <v>1</v>
      </c>
    </row>
    <row r="5817">
      <c r="A5817" s="23">
        <v>4887.0</v>
      </c>
      <c r="B5817" s="24" t="str">
        <f t="array" ref="B5817">xlookup($A5817,product!$A:$A,product!B:B)</f>
        <v>Beauté &amp; Hygiène</v>
      </c>
      <c r="C5817" s="24" t="str">
        <f t="array" ref="C5817">xlookup($A5817,product!$A:$A,product!C:C)</f>
        <v>Hygiène Bébé, soin maternité</v>
      </c>
      <c r="D5817" s="24" t="str">
        <f t="array" ref="D5817">xlookup($A5817,product!$A:$A,product!D:D)</f>
        <v>Bébé, hygiène et soin</v>
      </c>
      <c r="E5817" s="25" t="str">
        <f t="shared" si="1"/>
        <v>4887-Hygiène Bébé, soin maternité-Bébé, hygiène et soin</v>
      </c>
      <c r="F5817" s="25">
        <v>0.0</v>
      </c>
      <c r="G5817" s="25">
        <v>476.0</v>
      </c>
      <c r="H5817" s="25">
        <v>115.0</v>
      </c>
      <c r="I5817" s="26">
        <f t="array" ref="I5817">XLOOKUP($A5817,product!A:A,product!E:E)</f>
        <v>4.08</v>
      </c>
      <c r="J5817" s="25">
        <f t="shared" si="2"/>
        <v>469.2</v>
      </c>
      <c r="K5817" s="27">
        <f t="shared" si="3"/>
        <v>1</v>
      </c>
      <c r="L5817" s="25">
        <f t="shared" si="4"/>
        <v>1</v>
      </c>
    </row>
    <row r="5818">
      <c r="A5818" s="19">
        <v>92146.0</v>
      </c>
      <c r="B5818" s="20" t="str">
        <f t="array" ref="B5818">xlookup($A5818,product!$A:$A,product!B:B)</f>
        <v>Beauté &amp; Hygiène</v>
      </c>
      <c r="C5818" s="20" t="str">
        <f t="array" ref="C5818">xlookup($A5818,product!$A:$A,product!C:C)</f>
        <v>Hygiène Bébé, soin maternité</v>
      </c>
      <c r="D5818" s="20" t="str">
        <f t="array" ref="D5818">xlookup($A5818,product!$A:$A,product!D:D)</f>
        <v>Bébé, hygiène et soin</v>
      </c>
      <c r="E5818" s="4" t="str">
        <f t="shared" si="1"/>
        <v>92146-Hygiène Bébé, soin maternité-Bébé, hygiène et soin</v>
      </c>
      <c r="F5818" s="4">
        <v>0.0</v>
      </c>
      <c r="G5818" s="4">
        <v>789.0</v>
      </c>
      <c r="H5818" s="4">
        <v>55.0</v>
      </c>
      <c r="I5818" s="21">
        <f t="array" ref="I5818">XLOOKUP($A5818,product!A:A,product!E:E)</f>
        <v>9.18</v>
      </c>
      <c r="J5818" s="4">
        <f t="shared" si="2"/>
        <v>504.9</v>
      </c>
      <c r="K5818" s="22">
        <f t="shared" si="3"/>
        <v>1</v>
      </c>
      <c r="L5818" s="4">
        <f t="shared" si="4"/>
        <v>1</v>
      </c>
    </row>
    <row r="5819">
      <c r="A5819" s="23">
        <v>122248.0</v>
      </c>
      <c r="B5819" s="24" t="str">
        <f t="array" ref="B5819">xlookup($A5819,product!$A:$A,product!B:B)</f>
        <v>Beauté &amp; Hygiène</v>
      </c>
      <c r="C5819" s="24" t="str">
        <f t="array" ref="C5819">xlookup($A5819,product!$A:$A,product!C:C)</f>
        <v>Hygiène Bébé, soin maternité</v>
      </c>
      <c r="D5819" s="24" t="str">
        <f t="array" ref="D5819">xlookup($A5819,product!$A:$A,product!D:D)</f>
        <v>Bébé, hygiène et soin</v>
      </c>
      <c r="E5819" s="25" t="str">
        <f t="shared" si="1"/>
        <v>122248-Hygiène Bébé, soin maternité-Bébé, hygiène et soin</v>
      </c>
      <c r="F5819" s="25">
        <v>1.0</v>
      </c>
      <c r="G5819" s="25">
        <v>801.0</v>
      </c>
      <c r="H5819" s="25">
        <v>468.0</v>
      </c>
      <c r="I5819" s="26">
        <f t="array" ref="I5819">XLOOKUP($A5819,product!A:A,product!E:E)</f>
        <v>4.33</v>
      </c>
      <c r="J5819" s="25">
        <f t="shared" si="2"/>
        <v>2026.44</v>
      </c>
      <c r="K5819" s="27">
        <f t="shared" si="3"/>
        <v>1</v>
      </c>
      <c r="L5819" s="25">
        <f t="shared" si="4"/>
        <v>1</v>
      </c>
    </row>
    <row r="5820">
      <c r="A5820" s="19">
        <v>122251.0</v>
      </c>
      <c r="B5820" s="20" t="str">
        <f t="array" ref="B5820">xlookup($A5820,product!$A:$A,product!B:B)</f>
        <v>Beauté &amp; Hygiène</v>
      </c>
      <c r="C5820" s="20" t="str">
        <f t="array" ref="C5820">xlookup($A5820,product!$A:$A,product!C:C)</f>
        <v>Hygiène Bébé, soin maternité</v>
      </c>
      <c r="D5820" s="20" t="str">
        <f t="array" ref="D5820">xlookup($A5820,product!$A:$A,product!D:D)</f>
        <v>Bébé, hygiène et soin</v>
      </c>
      <c r="E5820" s="4" t="str">
        <f t="shared" si="1"/>
        <v>122251-Hygiène Bébé, soin maternité-Bébé, hygiène et soin</v>
      </c>
      <c r="F5820" s="4">
        <v>1.0</v>
      </c>
      <c r="G5820" s="4">
        <v>438.0</v>
      </c>
      <c r="H5820" s="4">
        <v>150.0</v>
      </c>
      <c r="I5820" s="21">
        <f t="array" ref="I5820">XLOOKUP($A5820,product!A:A,product!E:E)</f>
        <v>6.45</v>
      </c>
      <c r="J5820" s="4">
        <f t="shared" si="2"/>
        <v>967.5</v>
      </c>
      <c r="K5820" s="22">
        <f t="shared" si="3"/>
        <v>1</v>
      </c>
      <c r="L5820" s="4">
        <f t="shared" si="4"/>
        <v>1</v>
      </c>
    </row>
    <row r="5821">
      <c r="A5821" s="23">
        <v>103638.0</v>
      </c>
      <c r="B5821" s="24" t="str">
        <f t="array" ref="B5821">xlookup($A5821,product!$A:$A,product!B:B)</f>
        <v>Beauté &amp; Hygiène</v>
      </c>
      <c r="C5821" s="24" t="str">
        <f t="array" ref="C5821">xlookup($A5821,product!$A:$A,product!C:C)</f>
        <v>Hygiène Bébé, soin maternité</v>
      </c>
      <c r="D5821" s="24" t="str">
        <f t="array" ref="D5821">xlookup($A5821,product!$A:$A,product!D:D)</f>
        <v>Bébé, hygiène et soin</v>
      </c>
      <c r="E5821" s="25" t="str">
        <f t="shared" si="1"/>
        <v>103638-Hygiène Bébé, soin maternité-Bébé, hygiène et soin</v>
      </c>
      <c r="F5821" s="25">
        <v>1.0</v>
      </c>
      <c r="G5821" s="25">
        <v>734.0</v>
      </c>
      <c r="H5821" s="25">
        <v>294.0</v>
      </c>
      <c r="I5821" s="26">
        <f t="array" ref="I5821">XLOOKUP($A5821,product!A:A,product!E:E)</f>
        <v>4.12</v>
      </c>
      <c r="J5821" s="25">
        <f t="shared" si="2"/>
        <v>1211.28</v>
      </c>
      <c r="K5821" s="27">
        <f t="shared" si="3"/>
        <v>1</v>
      </c>
      <c r="L5821" s="25">
        <f t="shared" si="4"/>
        <v>1</v>
      </c>
    </row>
    <row r="5822">
      <c r="A5822" s="19">
        <v>111655.0</v>
      </c>
      <c r="B5822" s="20" t="str">
        <f t="array" ref="B5822">xlookup($A5822,product!$A:$A,product!B:B)</f>
        <v>Beauté &amp; Hygiène</v>
      </c>
      <c r="C5822" s="20" t="str">
        <f t="array" ref="C5822">xlookup($A5822,product!$A:$A,product!C:C)</f>
        <v>Hygiène Bébé, soin maternité</v>
      </c>
      <c r="D5822" s="20" t="str">
        <f t="array" ref="D5822">xlookup($A5822,product!$A:$A,product!D:D)</f>
        <v>Bébé, hygiène et soin</v>
      </c>
      <c r="E5822" s="4" t="str">
        <f t="shared" si="1"/>
        <v>111655-Hygiène Bébé, soin maternité-Bébé, hygiène et soin</v>
      </c>
      <c r="F5822" s="4">
        <v>1.0</v>
      </c>
      <c r="G5822" s="4">
        <v>920.0</v>
      </c>
      <c r="H5822" s="4">
        <v>499.0</v>
      </c>
      <c r="I5822" s="21">
        <f t="array" ref="I5822">XLOOKUP($A5822,product!A:A,product!E:E)</f>
        <v>4.33</v>
      </c>
      <c r="J5822" s="4">
        <f t="shared" si="2"/>
        <v>2160.67</v>
      </c>
      <c r="K5822" s="22">
        <f t="shared" si="3"/>
        <v>1</v>
      </c>
      <c r="L5822" s="4">
        <f t="shared" si="4"/>
        <v>1</v>
      </c>
    </row>
    <row r="5823">
      <c r="A5823" s="23">
        <v>84201.0</v>
      </c>
      <c r="B5823" s="24" t="str">
        <f t="array" ref="B5823">xlookup($A5823,product!$A:$A,product!B:B)</f>
        <v>Beauté &amp; Hygiène</v>
      </c>
      <c r="C5823" s="24" t="str">
        <f t="array" ref="C5823">xlookup($A5823,product!$A:$A,product!C:C)</f>
        <v>Hygiène Bébé, soin maternité</v>
      </c>
      <c r="D5823" s="24" t="str">
        <f t="array" ref="D5823">xlookup($A5823,product!$A:$A,product!D:D)</f>
        <v>Bébé, hygiène et soin</v>
      </c>
      <c r="E5823" s="25" t="str">
        <f t="shared" si="1"/>
        <v>84201-Hygiène Bébé, soin maternité-Bébé, hygiène et soin</v>
      </c>
      <c r="F5823" s="25">
        <v>0.0</v>
      </c>
      <c r="G5823" s="25">
        <v>270.0</v>
      </c>
      <c r="H5823" s="25">
        <v>24.0</v>
      </c>
      <c r="I5823" s="26">
        <f t="array" ref="I5823">XLOOKUP($A5823,product!A:A,product!E:E)</f>
        <v>5.49</v>
      </c>
      <c r="J5823" s="25">
        <f t="shared" si="2"/>
        <v>131.76</v>
      </c>
      <c r="K5823" s="27">
        <f t="shared" si="3"/>
        <v>1</v>
      </c>
      <c r="L5823" s="25">
        <f t="shared" si="4"/>
        <v>1</v>
      </c>
    </row>
    <row r="5824">
      <c r="A5824" s="19">
        <v>80697.0</v>
      </c>
      <c r="B5824" s="20" t="str">
        <f t="array" ref="B5824">xlookup($A5824,product!$A:$A,product!B:B)</f>
        <v>Beauté &amp; Hygiène</v>
      </c>
      <c r="C5824" s="20" t="str">
        <f t="array" ref="C5824">xlookup($A5824,product!$A:$A,product!C:C)</f>
        <v>Hygiène Bébé, soin maternité</v>
      </c>
      <c r="D5824" s="20" t="str">
        <f t="array" ref="D5824">xlookup($A5824,product!$A:$A,product!D:D)</f>
        <v>Bébé, hygiène et soin</v>
      </c>
      <c r="E5824" s="4" t="str">
        <f t="shared" si="1"/>
        <v>80697-Hygiène Bébé, soin maternité-Bébé, hygiène et soin</v>
      </c>
      <c r="F5824" s="4">
        <v>1.0</v>
      </c>
      <c r="G5824" s="4">
        <v>29.0</v>
      </c>
      <c r="H5824" s="4">
        <v>2.0</v>
      </c>
      <c r="I5824" s="21">
        <f t="array" ref="I5824">XLOOKUP($A5824,product!A:A,product!E:E)</f>
        <v>6.44</v>
      </c>
      <c r="J5824" s="4">
        <f t="shared" si="2"/>
        <v>12.88</v>
      </c>
      <c r="K5824" s="22">
        <f t="shared" si="3"/>
        <v>1</v>
      </c>
      <c r="L5824" s="4">
        <f t="shared" si="4"/>
        <v>1</v>
      </c>
    </row>
    <row r="5825">
      <c r="A5825" s="23">
        <v>117394.0</v>
      </c>
      <c r="B5825" s="24" t="str">
        <f t="array" ref="B5825">xlookup($A5825,product!$A:$A,product!B:B)</f>
        <v>Beauté &amp; Hygiène</v>
      </c>
      <c r="C5825" s="24" t="str">
        <f t="array" ref="C5825">xlookup($A5825,product!$A:$A,product!C:C)</f>
        <v>Hygiène Bébé, soin maternité</v>
      </c>
      <c r="D5825" s="24" t="str">
        <f t="array" ref="D5825">xlookup($A5825,product!$A:$A,product!D:D)</f>
        <v>Bébé, hygiène et soin</v>
      </c>
      <c r="E5825" s="25" t="str">
        <f t="shared" si="1"/>
        <v>117394-Hygiène Bébé, soin maternité-Bébé, hygiène et soin</v>
      </c>
      <c r="F5825" s="25">
        <v>0.0</v>
      </c>
      <c r="G5825" s="25">
        <v>847.0</v>
      </c>
      <c r="H5825" s="25">
        <v>250.0</v>
      </c>
      <c r="I5825" s="26">
        <f t="array" ref="I5825">XLOOKUP($A5825,product!A:A,product!E:E)</f>
        <v>5.21</v>
      </c>
      <c r="J5825" s="25">
        <f t="shared" si="2"/>
        <v>1302.5</v>
      </c>
      <c r="K5825" s="27">
        <f t="shared" si="3"/>
        <v>1</v>
      </c>
      <c r="L5825" s="25">
        <f t="shared" si="4"/>
        <v>1</v>
      </c>
    </row>
    <row r="5826">
      <c r="A5826" s="19">
        <v>103636.0</v>
      </c>
      <c r="B5826" s="20" t="str">
        <f t="array" ref="B5826">xlookup($A5826,product!$A:$A,product!B:B)</f>
        <v>Beauté &amp; Hygiène</v>
      </c>
      <c r="C5826" s="20" t="str">
        <f t="array" ref="C5826">xlookup($A5826,product!$A:$A,product!C:C)</f>
        <v>Hygiène Bébé, soin maternité</v>
      </c>
      <c r="D5826" s="20" t="str">
        <f t="array" ref="D5826">xlookup($A5826,product!$A:$A,product!D:D)</f>
        <v>Bébé, hygiène et soin</v>
      </c>
      <c r="E5826" s="4" t="str">
        <f t="shared" si="1"/>
        <v>103636-Hygiène Bébé, soin maternité-Bébé, hygiène et soin</v>
      </c>
      <c r="F5826" s="4">
        <v>0.0</v>
      </c>
      <c r="G5826" s="4">
        <v>935.0</v>
      </c>
      <c r="H5826" s="4">
        <v>222.0</v>
      </c>
      <c r="I5826" s="21">
        <f t="array" ref="I5826">XLOOKUP($A5826,product!A:A,product!E:E)</f>
        <v>4.12</v>
      </c>
      <c r="J5826" s="4">
        <f t="shared" si="2"/>
        <v>914.64</v>
      </c>
      <c r="K5826" s="22">
        <f t="shared" si="3"/>
        <v>1</v>
      </c>
      <c r="L5826" s="4">
        <f t="shared" si="4"/>
        <v>1</v>
      </c>
    </row>
    <row r="5827">
      <c r="A5827" s="23">
        <v>67001.0</v>
      </c>
      <c r="B5827" s="24" t="str">
        <f t="array" ref="B5827">xlookup($A5827,product!$A:$A,product!B:B)</f>
        <v>Beauté &amp; Hygiène</v>
      </c>
      <c r="C5827" s="24" t="str">
        <f t="array" ref="C5827">xlookup($A5827,product!$A:$A,product!C:C)</f>
        <v>Hygiène Bébé, soin maternité</v>
      </c>
      <c r="D5827" s="24" t="str">
        <f t="array" ref="D5827">xlookup($A5827,product!$A:$A,product!D:D)</f>
        <v>Bébé, hygiène et soin</v>
      </c>
      <c r="E5827" s="25" t="str">
        <f t="shared" si="1"/>
        <v>67001-Hygiène Bébé, soin maternité-Bébé, hygiène et soin</v>
      </c>
      <c r="F5827" s="25">
        <v>0.0</v>
      </c>
      <c r="G5827" s="25">
        <v>383.0</v>
      </c>
      <c r="H5827" s="25">
        <v>379.0</v>
      </c>
      <c r="I5827" s="26">
        <f t="array" ref="I5827">XLOOKUP($A5827,product!A:A,product!E:E)</f>
        <v>6.03</v>
      </c>
      <c r="J5827" s="25">
        <f t="shared" si="2"/>
        <v>2285.37</v>
      </c>
      <c r="K5827" s="27">
        <f t="shared" si="3"/>
        <v>1</v>
      </c>
      <c r="L5827" s="25">
        <f t="shared" si="4"/>
        <v>1</v>
      </c>
    </row>
    <row r="5828">
      <c r="A5828" s="19">
        <v>2148.0</v>
      </c>
      <c r="B5828" s="20" t="str">
        <f t="array" ref="B5828">xlookup($A5828,product!$A:$A,product!B:B)</f>
        <v>Beauté &amp; Hygiène</v>
      </c>
      <c r="C5828" s="20" t="str">
        <f t="array" ref="C5828">xlookup($A5828,product!$A:$A,product!C:C)</f>
        <v>Hygiène Bébé, soin maternité</v>
      </c>
      <c r="D5828" s="20" t="str">
        <f t="array" ref="D5828">xlookup($A5828,product!$A:$A,product!D:D)</f>
        <v>Bébé, hygiène et soin</v>
      </c>
      <c r="E5828" s="4" t="str">
        <f t="shared" si="1"/>
        <v>2148-Hygiène Bébé, soin maternité-Bébé, hygiène et soin</v>
      </c>
      <c r="F5828" s="4">
        <v>1.0</v>
      </c>
      <c r="G5828" s="4">
        <v>967.0</v>
      </c>
      <c r="H5828" s="4">
        <v>567.0</v>
      </c>
      <c r="I5828" s="21">
        <f t="array" ref="I5828">XLOOKUP($A5828,product!A:A,product!E:E)</f>
        <v>3.95</v>
      </c>
      <c r="J5828" s="4">
        <f t="shared" si="2"/>
        <v>2239.65</v>
      </c>
      <c r="K5828" s="22">
        <f t="shared" si="3"/>
        <v>1</v>
      </c>
      <c r="L5828" s="4">
        <f t="shared" si="4"/>
        <v>1</v>
      </c>
    </row>
    <row r="5829">
      <c r="A5829" s="23">
        <v>111672.0</v>
      </c>
      <c r="B5829" s="24" t="str">
        <f t="array" ref="B5829">xlookup($A5829,product!$A:$A,product!B:B)</f>
        <v>Beauté &amp; Hygiène</v>
      </c>
      <c r="C5829" s="24" t="str">
        <f t="array" ref="C5829">xlookup($A5829,product!$A:$A,product!C:C)</f>
        <v>Hygiène Bébé, soin maternité</v>
      </c>
      <c r="D5829" s="24" t="str">
        <f t="array" ref="D5829">xlookup($A5829,product!$A:$A,product!D:D)</f>
        <v>Bébé, hygiène et soin</v>
      </c>
      <c r="E5829" s="25" t="str">
        <f t="shared" si="1"/>
        <v>111672-Hygiène Bébé, soin maternité-Bébé, hygiène et soin</v>
      </c>
      <c r="F5829" s="25">
        <v>0.0</v>
      </c>
      <c r="G5829" s="25">
        <v>846.0</v>
      </c>
      <c r="H5829" s="25">
        <v>751.0</v>
      </c>
      <c r="I5829" s="26">
        <f t="array" ref="I5829">XLOOKUP($A5829,product!A:A,product!E:E)</f>
        <v>4.16</v>
      </c>
      <c r="J5829" s="25">
        <f t="shared" si="2"/>
        <v>3124.16</v>
      </c>
      <c r="K5829" s="27">
        <f t="shared" si="3"/>
        <v>1</v>
      </c>
      <c r="L5829" s="25">
        <f t="shared" si="4"/>
        <v>1</v>
      </c>
    </row>
    <row r="5830">
      <c r="A5830" s="19">
        <v>80696.0</v>
      </c>
      <c r="B5830" s="20" t="str">
        <f t="array" ref="B5830">xlookup($A5830,product!$A:$A,product!B:B)</f>
        <v>Beauté &amp; Hygiène</v>
      </c>
      <c r="C5830" s="20" t="str">
        <f t="array" ref="C5830">xlookup($A5830,product!$A:$A,product!C:C)</f>
        <v>Hygiène Bébé, soin maternité</v>
      </c>
      <c r="D5830" s="20" t="str">
        <f t="array" ref="D5830">xlookup($A5830,product!$A:$A,product!D:D)</f>
        <v>Bébé, hygiène et soin</v>
      </c>
      <c r="E5830" s="4" t="str">
        <f t="shared" si="1"/>
        <v>80696-Hygiène Bébé, soin maternité-Bébé, hygiène et soin</v>
      </c>
      <c r="F5830" s="4">
        <v>1.0</v>
      </c>
      <c r="G5830" s="4">
        <v>35.0</v>
      </c>
      <c r="H5830" s="4">
        <v>19.0</v>
      </c>
      <c r="I5830" s="21">
        <f t="array" ref="I5830">XLOOKUP($A5830,product!A:A,product!E:E)</f>
        <v>9.31</v>
      </c>
      <c r="J5830" s="4">
        <f t="shared" si="2"/>
        <v>176.89</v>
      </c>
      <c r="K5830" s="22">
        <f t="shared" si="3"/>
        <v>1</v>
      </c>
      <c r="L5830" s="4">
        <f t="shared" si="4"/>
        <v>1</v>
      </c>
    </row>
    <row r="5831">
      <c r="A5831" s="23">
        <v>96853.0</v>
      </c>
      <c r="B5831" s="24" t="str">
        <f t="array" ref="B5831">xlookup($A5831,product!$A:$A,product!B:B)</f>
        <v>Beauté &amp; Hygiène</v>
      </c>
      <c r="C5831" s="24" t="str">
        <f t="array" ref="C5831">xlookup($A5831,product!$A:$A,product!C:C)</f>
        <v>Hygiène Bébé, soin maternité</v>
      </c>
      <c r="D5831" s="24" t="str">
        <f t="array" ref="D5831">xlookup($A5831,product!$A:$A,product!D:D)</f>
        <v>Bébé, hygiène et soin</v>
      </c>
      <c r="E5831" s="25" t="str">
        <f t="shared" si="1"/>
        <v>96853-Hygiène Bébé, soin maternité-Bébé, hygiène et soin</v>
      </c>
      <c r="F5831" s="25">
        <v>1.0</v>
      </c>
      <c r="G5831" s="25">
        <v>508.0</v>
      </c>
      <c r="H5831" s="25">
        <v>49.0</v>
      </c>
      <c r="I5831" s="26">
        <f t="array" ref="I5831">XLOOKUP($A5831,product!A:A,product!E:E)</f>
        <v>6.22</v>
      </c>
      <c r="J5831" s="25">
        <f t="shared" si="2"/>
        <v>304.78</v>
      </c>
      <c r="K5831" s="27">
        <f t="shared" si="3"/>
        <v>1</v>
      </c>
      <c r="L5831" s="25">
        <f t="shared" si="4"/>
        <v>1</v>
      </c>
    </row>
    <row r="5832">
      <c r="A5832" s="19">
        <v>117388.0</v>
      </c>
      <c r="B5832" s="20" t="str">
        <f t="array" ref="B5832">xlookup($A5832,product!$A:$A,product!B:B)</f>
        <v>Beauté &amp; Hygiène</v>
      </c>
      <c r="C5832" s="20" t="str">
        <f t="array" ref="C5832">xlookup($A5832,product!$A:$A,product!C:C)</f>
        <v>Hygiène Bébé, soin maternité</v>
      </c>
      <c r="D5832" s="20" t="str">
        <f t="array" ref="D5832">xlookup($A5832,product!$A:$A,product!D:D)</f>
        <v>Bébé, hygiène et soin</v>
      </c>
      <c r="E5832" s="4" t="str">
        <f t="shared" si="1"/>
        <v>117388-Hygiène Bébé, soin maternité-Bébé, hygiène et soin</v>
      </c>
      <c r="F5832" s="4">
        <v>1.0</v>
      </c>
      <c r="G5832" s="4">
        <v>413.0</v>
      </c>
      <c r="H5832" s="4">
        <v>82.0</v>
      </c>
      <c r="I5832" s="21">
        <f t="array" ref="I5832">XLOOKUP($A5832,product!A:A,product!E:E)</f>
        <v>3.75</v>
      </c>
      <c r="J5832" s="4">
        <f t="shared" si="2"/>
        <v>307.5</v>
      </c>
      <c r="K5832" s="22">
        <f t="shared" si="3"/>
        <v>1</v>
      </c>
      <c r="L5832" s="4">
        <f t="shared" si="4"/>
        <v>1</v>
      </c>
    </row>
    <row r="5833">
      <c r="A5833" s="23">
        <v>109971.0</v>
      </c>
      <c r="B5833" s="24" t="str">
        <f t="array" ref="B5833">xlookup($A5833,product!$A:$A,product!B:B)</f>
        <v>Beauté &amp; Hygiène</v>
      </c>
      <c r="C5833" s="24" t="str">
        <f t="array" ref="C5833">xlookup($A5833,product!$A:$A,product!C:C)</f>
        <v>Hygiène Bébé, soin maternité</v>
      </c>
      <c r="D5833" s="24" t="str">
        <f t="array" ref="D5833">xlookup($A5833,product!$A:$A,product!D:D)</f>
        <v>Bébé, hygiène et soin</v>
      </c>
      <c r="E5833" s="25" t="str">
        <f t="shared" si="1"/>
        <v>109971-Hygiène Bébé, soin maternité-Bébé, hygiène et soin</v>
      </c>
      <c r="F5833" s="25">
        <v>0.0</v>
      </c>
      <c r="G5833" s="25">
        <v>347.0</v>
      </c>
      <c r="H5833" s="25">
        <v>214.0</v>
      </c>
      <c r="I5833" s="26">
        <f t="array" ref="I5833">XLOOKUP($A5833,product!A:A,product!E:E)</f>
        <v>4.51</v>
      </c>
      <c r="J5833" s="25">
        <f t="shared" si="2"/>
        <v>965.14</v>
      </c>
      <c r="K5833" s="27">
        <f t="shared" si="3"/>
        <v>1</v>
      </c>
      <c r="L5833" s="25">
        <f t="shared" si="4"/>
        <v>1</v>
      </c>
    </row>
    <row r="5834">
      <c r="A5834" s="19">
        <v>122247.0</v>
      </c>
      <c r="B5834" s="20" t="str">
        <f t="array" ref="B5834">xlookup($A5834,product!$A:$A,product!B:B)</f>
        <v>Beauté &amp; Hygiène</v>
      </c>
      <c r="C5834" s="20" t="str">
        <f t="array" ref="C5834">xlookup($A5834,product!$A:$A,product!C:C)</f>
        <v>Hygiène Bébé, soin maternité</v>
      </c>
      <c r="D5834" s="20" t="str">
        <f t="array" ref="D5834">xlookup($A5834,product!$A:$A,product!D:D)</f>
        <v>Bébé, hygiène et soin</v>
      </c>
      <c r="E5834" s="4" t="str">
        <f t="shared" si="1"/>
        <v>122247-Hygiène Bébé, soin maternité-Bébé, hygiène et soin</v>
      </c>
      <c r="F5834" s="4">
        <v>0.0</v>
      </c>
      <c r="G5834" s="4">
        <v>457.0</v>
      </c>
      <c r="H5834" s="4">
        <v>400.0</v>
      </c>
      <c r="I5834" s="21">
        <f t="array" ref="I5834">XLOOKUP($A5834,product!A:A,product!E:E)</f>
        <v>6.05</v>
      </c>
      <c r="J5834" s="4">
        <f t="shared" si="2"/>
        <v>2420</v>
      </c>
      <c r="K5834" s="22">
        <f t="shared" si="3"/>
        <v>1</v>
      </c>
      <c r="L5834" s="4">
        <f t="shared" si="4"/>
        <v>1</v>
      </c>
    </row>
    <row r="5835">
      <c r="A5835" s="23">
        <v>103635.0</v>
      </c>
      <c r="B5835" s="24" t="str">
        <f t="array" ref="B5835">xlookup($A5835,product!$A:$A,product!B:B)</f>
        <v>Beauté &amp; Hygiène</v>
      </c>
      <c r="C5835" s="24" t="str">
        <f t="array" ref="C5835">xlookup($A5835,product!$A:$A,product!C:C)</f>
        <v>Hygiène Bébé, soin maternité</v>
      </c>
      <c r="D5835" s="24" t="str">
        <f t="array" ref="D5835">xlookup($A5835,product!$A:$A,product!D:D)</f>
        <v>Bébé, hygiène et soin</v>
      </c>
      <c r="E5835" s="25" t="str">
        <f t="shared" si="1"/>
        <v>103635-Hygiène Bébé, soin maternité-Bébé, hygiène et soin</v>
      </c>
      <c r="F5835" s="25">
        <v>1.0</v>
      </c>
      <c r="G5835" s="25">
        <v>971.0</v>
      </c>
      <c r="H5835" s="25">
        <v>284.0</v>
      </c>
      <c r="I5835" s="26">
        <f t="array" ref="I5835">XLOOKUP($A5835,product!A:A,product!E:E)</f>
        <v>4.12</v>
      </c>
      <c r="J5835" s="25">
        <f t="shared" si="2"/>
        <v>1170.08</v>
      </c>
      <c r="K5835" s="27">
        <f t="shared" si="3"/>
        <v>1</v>
      </c>
      <c r="L5835" s="25">
        <f t="shared" si="4"/>
        <v>1</v>
      </c>
    </row>
    <row r="5836">
      <c r="A5836" s="19">
        <v>122295.0</v>
      </c>
      <c r="B5836" s="20" t="str">
        <f t="array" ref="B5836">xlookup($A5836,product!$A:$A,product!B:B)</f>
        <v>Beauté &amp; Hygiène</v>
      </c>
      <c r="C5836" s="20" t="str">
        <f t="array" ref="C5836">xlookup($A5836,product!$A:$A,product!C:C)</f>
        <v>Hygiène Bébé, soin maternité</v>
      </c>
      <c r="D5836" s="20" t="str">
        <f t="array" ref="D5836">xlookup($A5836,product!$A:$A,product!D:D)</f>
        <v>Bébé, hygiène et soin</v>
      </c>
      <c r="E5836" s="4" t="str">
        <f t="shared" si="1"/>
        <v>122295-Hygiène Bébé, soin maternité-Bébé, hygiène et soin</v>
      </c>
      <c r="F5836" s="4">
        <v>0.0</v>
      </c>
      <c r="G5836" s="4">
        <v>499.0</v>
      </c>
      <c r="H5836" s="4">
        <v>409.0</v>
      </c>
      <c r="I5836" s="21">
        <f t="array" ref="I5836">XLOOKUP($A5836,product!A:A,product!E:E)</f>
        <v>0.9</v>
      </c>
      <c r="J5836" s="4">
        <f t="shared" si="2"/>
        <v>368.1</v>
      </c>
      <c r="K5836" s="22">
        <f t="shared" si="3"/>
        <v>1</v>
      </c>
      <c r="L5836" s="4">
        <f t="shared" si="4"/>
        <v>1</v>
      </c>
    </row>
    <row r="5837">
      <c r="A5837" s="23">
        <v>118351.0</v>
      </c>
      <c r="B5837" s="24" t="str">
        <f t="array" ref="B5837">xlookup($A5837,product!$A:$A,product!B:B)</f>
        <v>Beauté &amp; Hygiène</v>
      </c>
      <c r="C5837" s="24" t="str">
        <f t="array" ref="C5837">xlookup($A5837,product!$A:$A,product!C:C)</f>
        <v>Hygiène Bébé, soin maternité</v>
      </c>
      <c r="D5837" s="24" t="str">
        <f t="array" ref="D5837">xlookup($A5837,product!$A:$A,product!D:D)</f>
        <v>Enfant, hygiène et soin</v>
      </c>
      <c r="E5837" s="25" t="str">
        <f t="shared" si="1"/>
        <v>118351-Hygiène Bébé, soin maternité-Enfant, hygiène et soin</v>
      </c>
      <c r="F5837" s="25">
        <v>1.0</v>
      </c>
      <c r="G5837" s="25">
        <v>929.0</v>
      </c>
      <c r="H5837" s="25">
        <v>841.0</v>
      </c>
      <c r="I5837" s="26">
        <f t="array" ref="I5837">XLOOKUP($A5837,product!A:A,product!E:E)</f>
        <v>3.15</v>
      </c>
      <c r="J5837" s="25">
        <f t="shared" si="2"/>
        <v>2649.15</v>
      </c>
      <c r="K5837" s="27">
        <f t="shared" si="3"/>
        <v>1</v>
      </c>
      <c r="L5837" s="25">
        <f t="shared" si="4"/>
        <v>1</v>
      </c>
    </row>
    <row r="5838">
      <c r="A5838" s="19">
        <v>91624.0</v>
      </c>
      <c r="B5838" s="20" t="str">
        <f t="array" ref="B5838">xlookup($A5838,product!$A:$A,product!B:B)</f>
        <v>Beauté &amp; Hygiène</v>
      </c>
      <c r="C5838" s="20" t="str">
        <f t="array" ref="C5838">xlookup($A5838,product!$A:$A,product!C:C)</f>
        <v>Hygiène Bébé, soin maternité</v>
      </c>
      <c r="D5838" s="20" t="str">
        <f t="array" ref="D5838">xlookup($A5838,product!$A:$A,product!D:D)</f>
        <v>Enfant, hygiène et soin</v>
      </c>
      <c r="E5838" s="4" t="str">
        <f t="shared" si="1"/>
        <v>91624-Hygiène Bébé, soin maternité-Enfant, hygiène et soin</v>
      </c>
      <c r="F5838" s="4">
        <v>1.0</v>
      </c>
      <c r="G5838" s="4">
        <v>963.0</v>
      </c>
      <c r="H5838" s="4">
        <v>355.0</v>
      </c>
      <c r="I5838" s="21">
        <f t="array" ref="I5838">XLOOKUP($A5838,product!A:A,product!E:E)</f>
        <v>4.38</v>
      </c>
      <c r="J5838" s="4">
        <f t="shared" si="2"/>
        <v>1554.9</v>
      </c>
      <c r="K5838" s="22">
        <f t="shared" si="3"/>
        <v>1</v>
      </c>
      <c r="L5838" s="4">
        <f t="shared" si="4"/>
        <v>1</v>
      </c>
    </row>
    <row r="5839">
      <c r="A5839" s="23">
        <v>27765.0</v>
      </c>
      <c r="B5839" s="24" t="str">
        <f t="array" ref="B5839">xlookup($A5839,product!$A:$A,product!B:B)</f>
        <v>Beauté &amp; Hygiène</v>
      </c>
      <c r="C5839" s="24" t="str">
        <f t="array" ref="C5839">xlookup($A5839,product!$A:$A,product!C:C)</f>
        <v>Hygiène Bébé, soin maternité</v>
      </c>
      <c r="D5839" s="24" t="str">
        <f t="array" ref="D5839">xlookup($A5839,product!$A:$A,product!D:D)</f>
        <v>Enfant, hygiène et soin</v>
      </c>
      <c r="E5839" s="25" t="str">
        <f t="shared" si="1"/>
        <v>27765-Hygiène Bébé, soin maternité-Enfant, hygiène et soin</v>
      </c>
      <c r="F5839" s="25">
        <v>0.0</v>
      </c>
      <c r="G5839" s="25">
        <v>908.0</v>
      </c>
      <c r="H5839" s="25">
        <v>216.0</v>
      </c>
      <c r="I5839" s="26">
        <f t="array" ref="I5839">XLOOKUP($A5839,product!A:A,product!E:E)</f>
        <v>5.33</v>
      </c>
      <c r="J5839" s="25">
        <f t="shared" si="2"/>
        <v>1151.28</v>
      </c>
      <c r="K5839" s="27">
        <f t="shared" si="3"/>
        <v>1</v>
      </c>
      <c r="L5839" s="25">
        <f t="shared" si="4"/>
        <v>1</v>
      </c>
    </row>
    <row r="5840">
      <c r="A5840" s="19">
        <v>26313.0</v>
      </c>
      <c r="B5840" s="20" t="str">
        <f t="array" ref="B5840">xlookup($A5840,product!$A:$A,product!B:B)</f>
        <v>Beauté &amp; Hygiène</v>
      </c>
      <c r="C5840" s="20" t="str">
        <f t="array" ref="C5840">xlookup($A5840,product!$A:$A,product!C:C)</f>
        <v>Hygiène Bébé, soin maternité</v>
      </c>
      <c r="D5840" s="20" t="str">
        <f t="array" ref="D5840">xlookup($A5840,product!$A:$A,product!D:D)</f>
        <v>Enfant, hygiène et soin</v>
      </c>
      <c r="E5840" s="4" t="str">
        <f t="shared" si="1"/>
        <v>26313-Hygiène Bébé, soin maternité-Enfant, hygiène et soin</v>
      </c>
      <c r="F5840" s="4">
        <v>0.0</v>
      </c>
      <c r="G5840" s="4">
        <v>89.0</v>
      </c>
      <c r="H5840" s="4">
        <v>59.0</v>
      </c>
      <c r="I5840" s="21">
        <f t="array" ref="I5840">XLOOKUP($A5840,product!A:A,product!E:E)</f>
        <v>4.41</v>
      </c>
      <c r="J5840" s="4">
        <f t="shared" si="2"/>
        <v>260.19</v>
      </c>
      <c r="K5840" s="22">
        <f t="shared" si="3"/>
        <v>1</v>
      </c>
      <c r="L5840" s="4">
        <f t="shared" si="4"/>
        <v>1</v>
      </c>
    </row>
    <row r="5841">
      <c r="A5841" s="23">
        <v>26314.0</v>
      </c>
      <c r="B5841" s="24" t="str">
        <f t="array" ref="B5841">xlookup($A5841,product!$A:$A,product!B:B)</f>
        <v>Beauté &amp; Hygiène</v>
      </c>
      <c r="C5841" s="24" t="str">
        <f t="array" ref="C5841">xlookup($A5841,product!$A:$A,product!C:C)</f>
        <v>Hygiène Bébé, soin maternité</v>
      </c>
      <c r="D5841" s="24" t="str">
        <f t="array" ref="D5841">xlookup($A5841,product!$A:$A,product!D:D)</f>
        <v>Enfant, hygiène et soin</v>
      </c>
      <c r="E5841" s="25" t="str">
        <f t="shared" si="1"/>
        <v>26314-Hygiène Bébé, soin maternité-Enfant, hygiène et soin</v>
      </c>
      <c r="F5841" s="25">
        <v>1.0</v>
      </c>
      <c r="G5841" s="25">
        <v>770.0</v>
      </c>
      <c r="H5841" s="25">
        <v>330.0</v>
      </c>
      <c r="I5841" s="26">
        <f t="array" ref="I5841">XLOOKUP($A5841,product!A:A,product!E:E)</f>
        <v>4.25</v>
      </c>
      <c r="J5841" s="25">
        <f t="shared" si="2"/>
        <v>1402.5</v>
      </c>
      <c r="K5841" s="27">
        <f t="shared" si="3"/>
        <v>1</v>
      </c>
      <c r="L5841" s="25">
        <f t="shared" si="4"/>
        <v>1</v>
      </c>
    </row>
    <row r="5842">
      <c r="A5842" s="19">
        <v>91626.0</v>
      </c>
      <c r="B5842" s="20" t="str">
        <f t="array" ref="B5842">xlookup($A5842,product!$A:$A,product!B:B)</f>
        <v>Beauté &amp; Hygiène</v>
      </c>
      <c r="C5842" s="20" t="str">
        <f t="array" ref="C5842">xlookup($A5842,product!$A:$A,product!C:C)</f>
        <v>Hygiène Bébé, soin maternité</v>
      </c>
      <c r="D5842" s="20" t="str">
        <f t="array" ref="D5842">xlookup($A5842,product!$A:$A,product!D:D)</f>
        <v>Enfant, hygiène et soin</v>
      </c>
      <c r="E5842" s="4" t="str">
        <f t="shared" si="1"/>
        <v>91626-Hygiène Bébé, soin maternité-Enfant, hygiène et soin</v>
      </c>
      <c r="F5842" s="4">
        <v>0.0</v>
      </c>
      <c r="G5842" s="4">
        <v>447.0</v>
      </c>
      <c r="H5842" s="4">
        <v>365.0</v>
      </c>
      <c r="I5842" s="21">
        <f t="array" ref="I5842">XLOOKUP($A5842,product!A:A,product!E:E)</f>
        <v>4.38</v>
      </c>
      <c r="J5842" s="4">
        <f t="shared" si="2"/>
        <v>1598.7</v>
      </c>
      <c r="K5842" s="22">
        <f t="shared" si="3"/>
        <v>1</v>
      </c>
      <c r="L5842" s="4">
        <f t="shared" si="4"/>
        <v>1</v>
      </c>
    </row>
    <row r="5843">
      <c r="A5843" s="23">
        <v>112264.0</v>
      </c>
      <c r="B5843" s="24" t="str">
        <f t="array" ref="B5843">xlookup($A5843,product!$A:$A,product!B:B)</f>
        <v>Beauté &amp; Hygiène</v>
      </c>
      <c r="C5843" s="24" t="str">
        <f t="array" ref="C5843">xlookup($A5843,product!$A:$A,product!C:C)</f>
        <v>Hygiène Bébé, soin maternité</v>
      </c>
      <c r="D5843" s="24" t="str">
        <f t="array" ref="D5843">xlookup($A5843,product!$A:$A,product!D:D)</f>
        <v>Enfant, hygiène et soin</v>
      </c>
      <c r="E5843" s="25" t="str">
        <f t="shared" si="1"/>
        <v>112264-Hygiène Bébé, soin maternité-Enfant, hygiène et soin</v>
      </c>
      <c r="F5843" s="25">
        <v>0.0</v>
      </c>
      <c r="G5843" s="25">
        <v>474.0</v>
      </c>
      <c r="H5843" s="25">
        <v>216.0</v>
      </c>
      <c r="I5843" s="26">
        <f t="array" ref="I5843">XLOOKUP($A5843,product!A:A,product!E:E)</f>
        <v>4.95</v>
      </c>
      <c r="J5843" s="25">
        <f t="shared" si="2"/>
        <v>1069.2</v>
      </c>
      <c r="K5843" s="27">
        <f t="shared" si="3"/>
        <v>1</v>
      </c>
      <c r="L5843" s="25">
        <f t="shared" si="4"/>
        <v>1</v>
      </c>
    </row>
    <row r="5844">
      <c r="A5844" s="19">
        <v>27764.0</v>
      </c>
      <c r="B5844" s="20" t="str">
        <f t="array" ref="B5844">xlookup($A5844,product!$A:$A,product!B:B)</f>
        <v>Beauté &amp; Hygiène</v>
      </c>
      <c r="C5844" s="20" t="str">
        <f t="array" ref="C5844">xlookup($A5844,product!$A:$A,product!C:C)</f>
        <v>Hygiène Bébé, soin maternité</v>
      </c>
      <c r="D5844" s="20" t="str">
        <f t="array" ref="D5844">xlookup($A5844,product!$A:$A,product!D:D)</f>
        <v>Enfant, hygiène et soin</v>
      </c>
      <c r="E5844" s="4" t="str">
        <f t="shared" si="1"/>
        <v>27764-Hygiène Bébé, soin maternité-Enfant, hygiène et soin</v>
      </c>
      <c r="F5844" s="4">
        <v>0.0</v>
      </c>
      <c r="G5844" s="4">
        <v>819.0</v>
      </c>
      <c r="H5844" s="4">
        <v>178.0</v>
      </c>
      <c r="I5844" s="21">
        <f t="array" ref="I5844">XLOOKUP($A5844,product!A:A,product!E:E)</f>
        <v>5.33</v>
      </c>
      <c r="J5844" s="4">
        <f t="shared" si="2"/>
        <v>948.74</v>
      </c>
      <c r="K5844" s="22">
        <f t="shared" si="3"/>
        <v>1</v>
      </c>
      <c r="L5844" s="4">
        <f t="shared" si="4"/>
        <v>1</v>
      </c>
    </row>
    <row r="5845">
      <c r="A5845" s="23">
        <v>92653.0</v>
      </c>
      <c r="B5845" s="24" t="str">
        <f t="array" ref="B5845">xlookup($A5845,product!$A:$A,product!B:B)</f>
        <v>Beauté &amp; Hygiène</v>
      </c>
      <c r="C5845" s="24" t="str">
        <f t="array" ref="C5845">xlookup($A5845,product!$A:$A,product!C:C)</f>
        <v>Hygiène Bébé, soin maternité</v>
      </c>
      <c r="D5845" s="24" t="str">
        <f t="array" ref="D5845">xlookup($A5845,product!$A:$A,product!D:D)</f>
        <v>Enfant, hygiène et soin</v>
      </c>
      <c r="E5845" s="25" t="str">
        <f t="shared" si="1"/>
        <v>92653-Hygiène Bébé, soin maternité-Enfant, hygiène et soin</v>
      </c>
      <c r="F5845" s="25">
        <v>0.0</v>
      </c>
      <c r="G5845" s="25">
        <v>45.0</v>
      </c>
      <c r="H5845" s="25">
        <v>42.0</v>
      </c>
      <c r="I5845" s="26">
        <f t="array" ref="I5845">XLOOKUP($A5845,product!A:A,product!E:E)</f>
        <v>6.88</v>
      </c>
      <c r="J5845" s="25">
        <f t="shared" si="2"/>
        <v>288.96</v>
      </c>
      <c r="K5845" s="27">
        <f t="shared" si="3"/>
        <v>1</v>
      </c>
      <c r="L5845" s="25">
        <f t="shared" si="4"/>
        <v>1</v>
      </c>
    </row>
    <row r="5846">
      <c r="A5846" s="19">
        <v>117990.0</v>
      </c>
      <c r="B5846" s="20" t="str">
        <f t="array" ref="B5846">xlookup($A5846,product!$A:$A,product!B:B)</f>
        <v>Beauté &amp; Hygiène</v>
      </c>
      <c r="C5846" s="20" t="str">
        <f t="array" ref="C5846">xlookup($A5846,product!$A:$A,product!C:C)</f>
        <v>Hygiène Bébé, soin maternité</v>
      </c>
      <c r="D5846" s="20" t="str">
        <f t="array" ref="D5846">xlookup($A5846,product!$A:$A,product!D:D)</f>
        <v>Enfant, hygiène et soin</v>
      </c>
      <c r="E5846" s="4" t="str">
        <f t="shared" si="1"/>
        <v>117990-Hygiène Bébé, soin maternité-Enfant, hygiène et soin</v>
      </c>
      <c r="F5846" s="4">
        <v>1.0</v>
      </c>
      <c r="G5846" s="4">
        <v>474.0</v>
      </c>
      <c r="H5846" s="4">
        <v>385.0</v>
      </c>
      <c r="I5846" s="21">
        <f t="array" ref="I5846">XLOOKUP($A5846,product!A:A,product!E:E)</f>
        <v>8.78</v>
      </c>
      <c r="J5846" s="4">
        <f t="shared" si="2"/>
        <v>3380.3</v>
      </c>
      <c r="K5846" s="22">
        <f t="shared" si="3"/>
        <v>1</v>
      </c>
      <c r="L5846" s="4">
        <f t="shared" si="4"/>
        <v>1</v>
      </c>
    </row>
    <row r="5847">
      <c r="A5847" s="23">
        <v>92651.0</v>
      </c>
      <c r="B5847" s="24" t="str">
        <f t="array" ref="B5847">xlookup($A5847,product!$A:$A,product!B:B)</f>
        <v>Beauté &amp; Hygiène</v>
      </c>
      <c r="C5847" s="24" t="str">
        <f t="array" ref="C5847">xlookup($A5847,product!$A:$A,product!C:C)</f>
        <v>Hygiène Bébé, soin maternité</v>
      </c>
      <c r="D5847" s="24" t="str">
        <f t="array" ref="D5847">xlookup($A5847,product!$A:$A,product!D:D)</f>
        <v>Enfant, hygiène et soin</v>
      </c>
      <c r="E5847" s="25" t="str">
        <f t="shared" si="1"/>
        <v>92651-Hygiène Bébé, soin maternité-Enfant, hygiène et soin</v>
      </c>
      <c r="F5847" s="25">
        <v>1.0</v>
      </c>
      <c r="G5847" s="25">
        <v>378.0</v>
      </c>
      <c r="H5847" s="25">
        <v>47.0</v>
      </c>
      <c r="I5847" s="26">
        <f t="array" ref="I5847">XLOOKUP($A5847,product!A:A,product!E:E)</f>
        <v>4.09</v>
      </c>
      <c r="J5847" s="25">
        <f t="shared" si="2"/>
        <v>192.23</v>
      </c>
      <c r="K5847" s="27">
        <f t="shared" si="3"/>
        <v>1</v>
      </c>
      <c r="L5847" s="25">
        <f t="shared" si="4"/>
        <v>1</v>
      </c>
    </row>
    <row r="5848">
      <c r="A5848" s="19">
        <v>104143.0</v>
      </c>
      <c r="B5848" s="20" t="str">
        <f t="array" ref="B5848">xlookup($A5848,product!$A:$A,product!B:B)</f>
        <v>Beauté &amp; Hygiène</v>
      </c>
      <c r="C5848" s="20" t="str">
        <f t="array" ref="C5848">xlookup($A5848,product!$A:$A,product!C:C)</f>
        <v>Hygiène Bébé, soin maternité</v>
      </c>
      <c r="D5848" s="20" t="str">
        <f t="array" ref="D5848">xlookup($A5848,product!$A:$A,product!D:D)</f>
        <v>Enfant, hygiène et soin</v>
      </c>
      <c r="E5848" s="4" t="str">
        <f t="shared" si="1"/>
        <v>104143-Hygiène Bébé, soin maternité-Enfant, hygiène et soin</v>
      </c>
      <c r="F5848" s="4">
        <v>0.0</v>
      </c>
      <c r="G5848" s="4">
        <v>890.0</v>
      </c>
      <c r="H5848" s="4">
        <v>172.0</v>
      </c>
      <c r="I5848" s="21">
        <f t="array" ref="I5848">XLOOKUP($A5848,product!A:A,product!E:E)</f>
        <v>5.33</v>
      </c>
      <c r="J5848" s="4">
        <f t="shared" si="2"/>
        <v>916.76</v>
      </c>
      <c r="K5848" s="22">
        <f t="shared" si="3"/>
        <v>1</v>
      </c>
      <c r="L5848" s="4">
        <f t="shared" si="4"/>
        <v>1</v>
      </c>
    </row>
    <row r="5849">
      <c r="A5849" s="23">
        <v>48641.0</v>
      </c>
      <c r="B5849" s="24" t="str">
        <f t="array" ref="B5849">xlookup($A5849,product!$A:$A,product!B:B)</f>
        <v>Epicerie sucrée</v>
      </c>
      <c r="C5849" s="24" t="str">
        <f t="array" ref="C5849">xlookup($A5849,product!$A:$A,product!C:C)</f>
        <v>Barre de céréales, pâte d'amande</v>
      </c>
      <c r="D5849" s="24" t="str">
        <f t="array" ref="D5849">xlookup($A5849,product!$A:$A,product!D:D)</f>
        <v>Pâte d'amande, de fruit</v>
      </c>
      <c r="E5849" s="25" t="str">
        <f t="shared" si="1"/>
        <v>48641-Barre de céréales, pâte d'amande-Pâte d'amande, de fruit</v>
      </c>
      <c r="F5849" s="25">
        <v>1.0</v>
      </c>
      <c r="G5849" s="25">
        <v>638.0</v>
      </c>
      <c r="H5849" s="25">
        <v>371.0</v>
      </c>
      <c r="I5849" s="26">
        <f t="array" ref="I5849">XLOOKUP($A5849,product!A:A,product!E:E)</f>
        <v>0.98</v>
      </c>
      <c r="J5849" s="25">
        <f t="shared" si="2"/>
        <v>363.58</v>
      </c>
      <c r="K5849" s="27">
        <f t="shared" si="3"/>
        <v>1</v>
      </c>
      <c r="L5849" s="25">
        <f t="shared" si="4"/>
        <v>1</v>
      </c>
    </row>
    <row r="5850">
      <c r="A5850" s="19">
        <v>47543.0</v>
      </c>
      <c r="B5850" s="20" t="str">
        <f t="array" ref="B5850">xlookup($A5850,product!$A:$A,product!B:B)</f>
        <v>Epicerie sucrée</v>
      </c>
      <c r="C5850" s="20" t="str">
        <f t="array" ref="C5850">xlookup($A5850,product!$A:$A,product!C:C)</f>
        <v>Barre de céréales, pâte d'amande</v>
      </c>
      <c r="D5850" s="20" t="str">
        <f t="array" ref="D5850">xlookup($A5850,product!$A:$A,product!D:D)</f>
        <v>Pâte d'amande, de fruit</v>
      </c>
      <c r="E5850" s="4" t="str">
        <f t="shared" si="1"/>
        <v>47543-Barre de céréales, pâte d'amande-Pâte d'amande, de fruit</v>
      </c>
      <c r="F5850" s="4">
        <v>1.0</v>
      </c>
      <c r="G5850" s="4">
        <v>263.0</v>
      </c>
      <c r="H5850" s="4">
        <v>62.0</v>
      </c>
      <c r="I5850" s="21">
        <f t="array" ref="I5850">XLOOKUP($A5850,product!A:A,product!E:E)</f>
        <v>2.28</v>
      </c>
      <c r="J5850" s="4">
        <f t="shared" si="2"/>
        <v>141.36</v>
      </c>
      <c r="K5850" s="22">
        <f t="shared" si="3"/>
        <v>1</v>
      </c>
      <c r="L5850" s="4">
        <f t="shared" si="4"/>
        <v>1</v>
      </c>
    </row>
    <row r="5851">
      <c r="A5851" s="23">
        <v>117045.0</v>
      </c>
      <c r="B5851" s="24" t="str">
        <f t="array" ref="B5851">xlookup($A5851,product!$A:$A,product!B:B)</f>
        <v>Epicerie sucrée</v>
      </c>
      <c r="C5851" s="24" t="str">
        <f t="array" ref="C5851">xlookup($A5851,product!$A:$A,product!C:C)</f>
        <v>Barre de céréales, pâte d'amande</v>
      </c>
      <c r="D5851" s="24" t="str">
        <f t="array" ref="D5851">xlookup($A5851,product!$A:$A,product!D:D)</f>
        <v>Pâte d'amande, de fruit</v>
      </c>
      <c r="E5851" s="25" t="str">
        <f t="shared" si="1"/>
        <v>117045-Barre de céréales, pâte d'amande-Pâte d'amande, de fruit</v>
      </c>
      <c r="F5851" s="25">
        <v>0.0</v>
      </c>
      <c r="G5851" s="25">
        <v>437.0</v>
      </c>
      <c r="H5851" s="25">
        <v>402.0</v>
      </c>
      <c r="I5851" s="26">
        <f t="array" ref="I5851">XLOOKUP($A5851,product!A:A,product!E:E)</f>
        <v>3.01</v>
      </c>
      <c r="J5851" s="25">
        <f t="shared" si="2"/>
        <v>1210.02</v>
      </c>
      <c r="K5851" s="27">
        <f t="shared" si="3"/>
        <v>1</v>
      </c>
      <c r="L5851" s="25">
        <f t="shared" si="4"/>
        <v>1</v>
      </c>
    </row>
    <row r="5852">
      <c r="A5852" s="19">
        <v>109276.0</v>
      </c>
      <c r="B5852" s="20" t="str">
        <f t="array" ref="B5852">xlookup($A5852,product!$A:$A,product!B:B)</f>
        <v>Epicerie sucrée</v>
      </c>
      <c r="C5852" s="20" t="str">
        <f t="array" ref="C5852">xlookup($A5852,product!$A:$A,product!C:C)</f>
        <v>Barre de céréales, pâte d'amande</v>
      </c>
      <c r="D5852" s="20" t="str">
        <f t="array" ref="D5852">xlookup($A5852,product!$A:$A,product!D:D)</f>
        <v>Pâte d'amande, de fruit</v>
      </c>
      <c r="E5852" s="4" t="str">
        <f t="shared" si="1"/>
        <v>109276-Barre de céréales, pâte d'amande-Pâte d'amande, de fruit</v>
      </c>
      <c r="F5852" s="4">
        <v>0.0</v>
      </c>
      <c r="G5852" s="4">
        <v>588.0</v>
      </c>
      <c r="H5852" s="4">
        <v>79.0</v>
      </c>
      <c r="I5852" s="21">
        <f t="array" ref="I5852">XLOOKUP($A5852,product!A:A,product!E:E)</f>
        <v>2.7</v>
      </c>
      <c r="J5852" s="4">
        <f t="shared" si="2"/>
        <v>213.3</v>
      </c>
      <c r="K5852" s="22">
        <f t="shared" si="3"/>
        <v>1</v>
      </c>
      <c r="L5852" s="4">
        <f t="shared" si="4"/>
        <v>1</v>
      </c>
    </row>
    <row r="5853">
      <c r="A5853" s="23">
        <v>117040.0</v>
      </c>
      <c r="B5853" s="24" t="str">
        <f t="array" ref="B5853">xlookup($A5853,product!$A:$A,product!B:B)</f>
        <v>Epicerie sucrée</v>
      </c>
      <c r="C5853" s="24" t="str">
        <f t="array" ref="C5853">xlookup($A5853,product!$A:$A,product!C:C)</f>
        <v>Barre de céréales, pâte d'amande</v>
      </c>
      <c r="D5853" s="24" t="str">
        <f t="array" ref="D5853">xlookup($A5853,product!$A:$A,product!D:D)</f>
        <v>Pâte d'amande, de fruit</v>
      </c>
      <c r="E5853" s="25" t="str">
        <f t="shared" si="1"/>
        <v>117040-Barre de céréales, pâte d'amande-Pâte d'amande, de fruit</v>
      </c>
      <c r="F5853" s="25">
        <v>0.0</v>
      </c>
      <c r="G5853" s="25">
        <v>179.0</v>
      </c>
      <c r="H5853" s="25">
        <v>140.0</v>
      </c>
      <c r="I5853" s="26">
        <f t="array" ref="I5853">XLOOKUP($A5853,product!A:A,product!E:E)</f>
        <v>3.01</v>
      </c>
      <c r="J5853" s="25">
        <f t="shared" si="2"/>
        <v>421.4</v>
      </c>
      <c r="K5853" s="27">
        <f t="shared" si="3"/>
        <v>1</v>
      </c>
      <c r="L5853" s="25">
        <f t="shared" si="4"/>
        <v>1</v>
      </c>
    </row>
    <row r="5854">
      <c r="A5854" s="19">
        <v>108485.0</v>
      </c>
      <c r="B5854" s="20" t="str">
        <f t="array" ref="B5854">xlookup($A5854,product!$A:$A,product!B:B)</f>
        <v>Epicerie sucrée</v>
      </c>
      <c r="C5854" s="20" t="str">
        <f t="array" ref="C5854">xlookup($A5854,product!$A:$A,product!C:C)</f>
        <v>Barre de céréales, pâte d'amande</v>
      </c>
      <c r="D5854" s="20" t="str">
        <f t="array" ref="D5854">xlookup($A5854,product!$A:$A,product!D:D)</f>
        <v>Pâte d'amande, de fruit</v>
      </c>
      <c r="E5854" s="4" t="str">
        <f t="shared" si="1"/>
        <v>108485-Barre de céréales, pâte d'amande-Pâte d'amande, de fruit</v>
      </c>
      <c r="F5854" s="4">
        <v>1.0</v>
      </c>
      <c r="G5854" s="4">
        <v>545.0</v>
      </c>
      <c r="H5854" s="4">
        <v>5.0</v>
      </c>
      <c r="I5854" s="21">
        <f t="array" ref="I5854">XLOOKUP($A5854,product!A:A,product!E:E)</f>
        <v>2.85</v>
      </c>
      <c r="J5854" s="4">
        <f t="shared" si="2"/>
        <v>14.25</v>
      </c>
      <c r="K5854" s="22">
        <f t="shared" si="3"/>
        <v>1</v>
      </c>
      <c r="L5854" s="4">
        <f t="shared" si="4"/>
        <v>1</v>
      </c>
    </row>
    <row r="5855">
      <c r="A5855" s="23">
        <v>80095.0</v>
      </c>
      <c r="B5855" s="24" t="str">
        <f t="array" ref="B5855">xlookup($A5855,product!$A:$A,product!B:B)</f>
        <v>Epicerie sucrée</v>
      </c>
      <c r="C5855" s="24" t="str">
        <f t="array" ref="C5855">xlookup($A5855,product!$A:$A,product!C:C)</f>
        <v>Barre de céréales, pâte d'amande</v>
      </c>
      <c r="D5855" s="24" t="str">
        <f t="array" ref="D5855">xlookup($A5855,product!$A:$A,product!D:D)</f>
        <v>Pâte d'amande, de fruit</v>
      </c>
      <c r="E5855" s="25" t="str">
        <f t="shared" si="1"/>
        <v>80095-Barre de céréales, pâte d'amande-Pâte d'amande, de fruit</v>
      </c>
      <c r="F5855" s="25">
        <v>0.0</v>
      </c>
      <c r="G5855" s="25">
        <v>719.0</v>
      </c>
      <c r="H5855" s="25">
        <v>704.0</v>
      </c>
      <c r="I5855" s="26">
        <f t="array" ref="I5855">XLOOKUP($A5855,product!A:A,product!E:E)</f>
        <v>1.97</v>
      </c>
      <c r="J5855" s="25">
        <f t="shared" si="2"/>
        <v>1386.88</v>
      </c>
      <c r="K5855" s="27">
        <f t="shared" si="3"/>
        <v>1</v>
      </c>
      <c r="L5855" s="25">
        <f t="shared" si="4"/>
        <v>1</v>
      </c>
    </row>
    <row r="5856">
      <c r="A5856" s="19">
        <v>117044.0</v>
      </c>
      <c r="B5856" s="20" t="str">
        <f t="array" ref="B5856">xlookup($A5856,product!$A:$A,product!B:B)</f>
        <v>Epicerie sucrée</v>
      </c>
      <c r="C5856" s="20" t="str">
        <f t="array" ref="C5856">xlookup($A5856,product!$A:$A,product!C:C)</f>
        <v>Barre de céréales, pâte d'amande</v>
      </c>
      <c r="D5856" s="20" t="str">
        <f t="array" ref="D5856">xlookup($A5856,product!$A:$A,product!D:D)</f>
        <v>Pâte d'amande, de fruit</v>
      </c>
      <c r="E5856" s="4" t="str">
        <f t="shared" si="1"/>
        <v>117044-Barre de céréales, pâte d'amande-Pâte d'amande, de fruit</v>
      </c>
      <c r="F5856" s="4">
        <v>0.0</v>
      </c>
      <c r="G5856" s="4">
        <v>911.0</v>
      </c>
      <c r="H5856" s="4">
        <v>317.0</v>
      </c>
      <c r="I5856" s="21">
        <f t="array" ref="I5856">XLOOKUP($A5856,product!A:A,product!E:E)</f>
        <v>3.01</v>
      </c>
      <c r="J5856" s="4">
        <f t="shared" si="2"/>
        <v>954.17</v>
      </c>
      <c r="K5856" s="22">
        <f t="shared" si="3"/>
        <v>1</v>
      </c>
      <c r="L5856" s="4">
        <f t="shared" si="4"/>
        <v>1</v>
      </c>
    </row>
    <row r="5857">
      <c r="A5857" s="23">
        <v>69279.0</v>
      </c>
      <c r="B5857" s="24" t="str">
        <f t="array" ref="B5857">xlookup($A5857,product!$A:$A,product!B:B)</f>
        <v>Epicerie sucrée</v>
      </c>
      <c r="C5857" s="24" t="str">
        <f t="array" ref="C5857">xlookup($A5857,product!$A:$A,product!C:C)</f>
        <v>Barre de céréales, pâte d'amande</v>
      </c>
      <c r="D5857" s="24" t="str">
        <f t="array" ref="D5857">xlookup($A5857,product!$A:$A,product!D:D)</f>
        <v>Pâte d'amande, de fruit</v>
      </c>
      <c r="E5857" s="25" t="str">
        <f t="shared" si="1"/>
        <v>69279-Barre de céréales, pâte d'amande-Pâte d'amande, de fruit</v>
      </c>
      <c r="F5857" s="25">
        <v>1.0</v>
      </c>
      <c r="G5857" s="25">
        <v>198.0</v>
      </c>
      <c r="H5857" s="25">
        <v>20.0</v>
      </c>
      <c r="I5857" s="26">
        <f t="array" ref="I5857">XLOOKUP($A5857,product!A:A,product!E:E)</f>
        <v>3.51</v>
      </c>
      <c r="J5857" s="25">
        <f t="shared" si="2"/>
        <v>70.2</v>
      </c>
      <c r="K5857" s="27">
        <f t="shared" si="3"/>
        <v>1</v>
      </c>
      <c r="L5857" s="25">
        <f t="shared" si="4"/>
        <v>1</v>
      </c>
    </row>
    <row r="5858">
      <c r="A5858" s="19">
        <v>48642.0</v>
      </c>
      <c r="B5858" s="20" t="str">
        <f t="array" ref="B5858">xlookup($A5858,product!$A:$A,product!B:B)</f>
        <v>Epicerie sucrée</v>
      </c>
      <c r="C5858" s="20" t="str">
        <f t="array" ref="C5858">xlookup($A5858,product!$A:$A,product!C:C)</f>
        <v>Barre de céréales, pâte d'amande</v>
      </c>
      <c r="D5858" s="20" t="str">
        <f t="array" ref="D5858">xlookup($A5858,product!$A:$A,product!D:D)</f>
        <v>Pâte d'amande, de fruit</v>
      </c>
      <c r="E5858" s="4" t="str">
        <f t="shared" si="1"/>
        <v>48642-Barre de céréales, pâte d'amande-Pâte d'amande, de fruit</v>
      </c>
      <c r="F5858" s="4">
        <v>0.0</v>
      </c>
      <c r="G5858" s="4">
        <v>444.0</v>
      </c>
      <c r="H5858" s="4">
        <v>242.0</v>
      </c>
      <c r="I5858" s="21">
        <f t="array" ref="I5858">XLOOKUP($A5858,product!A:A,product!E:E)</f>
        <v>13.72</v>
      </c>
      <c r="J5858" s="4">
        <f t="shared" si="2"/>
        <v>3320.24</v>
      </c>
      <c r="K5858" s="22">
        <f t="shared" si="3"/>
        <v>1</v>
      </c>
      <c r="L5858" s="4">
        <f t="shared" si="4"/>
        <v>1</v>
      </c>
    </row>
    <row r="5859">
      <c r="A5859" s="23">
        <v>117569.0</v>
      </c>
      <c r="B5859" s="24" t="str">
        <f t="array" ref="B5859">xlookup($A5859,product!$A:$A,product!B:B)</f>
        <v>Epicerie sucrée</v>
      </c>
      <c r="C5859" s="24" t="str">
        <f t="array" ref="C5859">xlookup($A5859,product!$A:$A,product!C:C)</f>
        <v>Barre de céréales, pâte d'amande</v>
      </c>
      <c r="D5859" s="24" t="str">
        <f t="array" ref="D5859">xlookup($A5859,product!$A:$A,product!D:D)</f>
        <v>Barre de céréales, fruits</v>
      </c>
      <c r="E5859" s="25" t="str">
        <f t="shared" si="1"/>
        <v>117569-Barre de céréales, pâte d'amande-Barre de céréales, fruits</v>
      </c>
      <c r="F5859" s="25">
        <v>1.0</v>
      </c>
      <c r="G5859" s="25">
        <v>691.0</v>
      </c>
      <c r="H5859" s="25">
        <v>539.0</v>
      </c>
      <c r="I5859" s="26">
        <f t="array" ref="I5859">XLOOKUP($A5859,product!A:A,product!E:E)</f>
        <v>1.08</v>
      </c>
      <c r="J5859" s="25">
        <f t="shared" si="2"/>
        <v>582.12</v>
      </c>
      <c r="K5859" s="27">
        <f t="shared" si="3"/>
        <v>1</v>
      </c>
      <c r="L5859" s="25">
        <f t="shared" si="4"/>
        <v>1</v>
      </c>
    </row>
    <row r="5860">
      <c r="A5860" s="19">
        <v>83590.0</v>
      </c>
      <c r="B5860" s="20" t="str">
        <f t="array" ref="B5860">xlookup($A5860,product!$A:$A,product!B:B)</f>
        <v>Epicerie sucrée</v>
      </c>
      <c r="C5860" s="20" t="str">
        <f t="array" ref="C5860">xlookup($A5860,product!$A:$A,product!C:C)</f>
        <v>Barre de céréales, pâte d'amande</v>
      </c>
      <c r="D5860" s="20" t="str">
        <f t="array" ref="D5860">xlookup($A5860,product!$A:$A,product!D:D)</f>
        <v>Barre de céréales, fruits</v>
      </c>
      <c r="E5860" s="4" t="str">
        <f t="shared" si="1"/>
        <v>83590-Barre de céréales, pâte d'amande-Barre de céréales, fruits</v>
      </c>
      <c r="F5860" s="4">
        <v>0.0</v>
      </c>
      <c r="G5860" s="4">
        <v>8.0</v>
      </c>
      <c r="H5860" s="4">
        <v>0.0</v>
      </c>
      <c r="I5860" s="21">
        <f t="array" ref="I5860">XLOOKUP($A5860,product!A:A,product!E:E)</f>
        <v>2.41</v>
      </c>
      <c r="J5860" s="4">
        <f t="shared" si="2"/>
        <v>0</v>
      </c>
      <c r="K5860" s="22">
        <f t="shared" si="3"/>
        <v>0</v>
      </c>
      <c r="L5860" s="4">
        <f t="shared" si="4"/>
        <v>1</v>
      </c>
    </row>
    <row r="5861">
      <c r="A5861" s="23">
        <v>117566.0</v>
      </c>
      <c r="B5861" s="24" t="str">
        <f t="array" ref="B5861">xlookup($A5861,product!$A:$A,product!B:B)</f>
        <v>Epicerie sucrée</v>
      </c>
      <c r="C5861" s="24" t="str">
        <f t="array" ref="C5861">xlookup($A5861,product!$A:$A,product!C:C)</f>
        <v>Barre de céréales, pâte d'amande</v>
      </c>
      <c r="D5861" s="24" t="str">
        <f t="array" ref="D5861">xlookup($A5861,product!$A:$A,product!D:D)</f>
        <v>Barre de céréales, fruits</v>
      </c>
      <c r="E5861" s="25" t="str">
        <f t="shared" si="1"/>
        <v>117566-Barre de céréales, pâte d'amande-Barre de céréales, fruits</v>
      </c>
      <c r="F5861" s="25">
        <v>0.0</v>
      </c>
      <c r="G5861" s="25">
        <v>701.0</v>
      </c>
      <c r="H5861" s="25">
        <v>663.0</v>
      </c>
      <c r="I5861" s="26">
        <f t="array" ref="I5861">XLOOKUP($A5861,product!A:A,product!E:E)</f>
        <v>1.08</v>
      </c>
      <c r="J5861" s="25">
        <f t="shared" si="2"/>
        <v>716.04</v>
      </c>
      <c r="K5861" s="27">
        <f t="shared" si="3"/>
        <v>1</v>
      </c>
      <c r="L5861" s="25">
        <f t="shared" si="4"/>
        <v>1</v>
      </c>
    </row>
    <row r="5862">
      <c r="A5862" s="19">
        <v>116391.0</v>
      </c>
      <c r="B5862" s="20" t="str">
        <f t="array" ref="B5862">xlookup($A5862,product!$A:$A,product!B:B)</f>
        <v>Epicerie sucrée</v>
      </c>
      <c r="C5862" s="20" t="str">
        <f t="array" ref="C5862">xlookup($A5862,product!$A:$A,product!C:C)</f>
        <v>Barre de céréales, pâte d'amande</v>
      </c>
      <c r="D5862" s="20" t="str">
        <f t="array" ref="D5862">xlookup($A5862,product!$A:$A,product!D:D)</f>
        <v>Barre de céréales, fruits</v>
      </c>
      <c r="E5862" s="4" t="str">
        <f t="shared" si="1"/>
        <v>116391-Barre de céréales, pâte d'amande-Barre de céréales, fruits</v>
      </c>
      <c r="F5862" s="4">
        <v>1.0</v>
      </c>
      <c r="G5862" s="4">
        <v>666.0</v>
      </c>
      <c r="H5862" s="4">
        <v>375.0</v>
      </c>
      <c r="I5862" s="21">
        <f t="array" ref="I5862">XLOOKUP($A5862,product!A:A,product!E:E)</f>
        <v>2.41</v>
      </c>
      <c r="J5862" s="4">
        <f t="shared" si="2"/>
        <v>903.75</v>
      </c>
      <c r="K5862" s="22">
        <f t="shared" si="3"/>
        <v>1</v>
      </c>
      <c r="L5862" s="4">
        <f t="shared" si="4"/>
        <v>1</v>
      </c>
    </row>
    <row r="5863">
      <c r="A5863" s="23">
        <v>47388.0</v>
      </c>
      <c r="B5863" s="24" t="str">
        <f t="array" ref="B5863">xlookup($A5863,product!$A:$A,product!B:B)</f>
        <v>Epicerie sucrée</v>
      </c>
      <c r="C5863" s="24" t="str">
        <f t="array" ref="C5863">xlookup($A5863,product!$A:$A,product!C:C)</f>
        <v>Barre de céréales, pâte d'amande</v>
      </c>
      <c r="D5863" s="24" t="str">
        <f t="array" ref="D5863">xlookup($A5863,product!$A:$A,product!D:D)</f>
        <v>Barre de céréales, fruits</v>
      </c>
      <c r="E5863" s="25" t="str">
        <f t="shared" si="1"/>
        <v>47388-Barre de céréales, pâte d'amande-Barre de céréales, fruits</v>
      </c>
      <c r="F5863" s="25">
        <v>1.0</v>
      </c>
      <c r="G5863" s="25">
        <v>342.0</v>
      </c>
      <c r="H5863" s="25">
        <v>101.0</v>
      </c>
      <c r="I5863" s="26">
        <f t="array" ref="I5863">XLOOKUP($A5863,product!A:A,product!E:E)</f>
        <v>2.23</v>
      </c>
      <c r="J5863" s="25">
        <f t="shared" si="2"/>
        <v>225.23</v>
      </c>
      <c r="K5863" s="27">
        <f t="shared" si="3"/>
        <v>1</v>
      </c>
      <c r="L5863" s="25">
        <f t="shared" si="4"/>
        <v>1</v>
      </c>
    </row>
    <row r="5864">
      <c r="A5864" s="19">
        <v>117567.0</v>
      </c>
      <c r="B5864" s="20" t="str">
        <f t="array" ref="B5864">xlookup($A5864,product!$A:$A,product!B:B)</f>
        <v>Epicerie sucrée</v>
      </c>
      <c r="C5864" s="20" t="str">
        <f t="array" ref="C5864">xlookup($A5864,product!$A:$A,product!C:C)</f>
        <v>Barre de céréales, pâte d'amande</v>
      </c>
      <c r="D5864" s="20" t="str">
        <f t="array" ref="D5864">xlookup($A5864,product!$A:$A,product!D:D)</f>
        <v>Barre de céréales, fruits</v>
      </c>
      <c r="E5864" s="4" t="str">
        <f t="shared" si="1"/>
        <v>117567-Barre de céréales, pâte d'amande-Barre de céréales, fruits</v>
      </c>
      <c r="F5864" s="4">
        <v>0.0</v>
      </c>
      <c r="G5864" s="4">
        <v>874.0</v>
      </c>
      <c r="H5864" s="4">
        <v>807.0</v>
      </c>
      <c r="I5864" s="21">
        <f t="array" ref="I5864">XLOOKUP($A5864,product!A:A,product!E:E)</f>
        <v>1.08</v>
      </c>
      <c r="J5864" s="4">
        <f t="shared" si="2"/>
        <v>871.56</v>
      </c>
      <c r="K5864" s="22">
        <f t="shared" si="3"/>
        <v>1</v>
      </c>
      <c r="L5864" s="4">
        <f t="shared" si="4"/>
        <v>1</v>
      </c>
    </row>
    <row r="5865">
      <c r="A5865" s="23">
        <v>104319.0</v>
      </c>
      <c r="B5865" s="24" t="str">
        <f t="array" ref="B5865">xlookup($A5865,product!$A:$A,product!B:B)</f>
        <v>Epicerie sucrée</v>
      </c>
      <c r="C5865" s="24" t="str">
        <f t="array" ref="C5865">xlookup($A5865,product!$A:$A,product!C:C)</f>
        <v>Barre de céréales, pâte d'amande</v>
      </c>
      <c r="D5865" s="24" t="str">
        <f t="array" ref="D5865">xlookup($A5865,product!$A:$A,product!D:D)</f>
        <v>Barre de céréales, fruits</v>
      </c>
      <c r="E5865" s="25" t="str">
        <f t="shared" si="1"/>
        <v>104319-Barre de céréales, pâte d'amande-Barre de céréales, fruits</v>
      </c>
      <c r="F5865" s="25">
        <v>0.0</v>
      </c>
      <c r="G5865" s="25">
        <v>543.0</v>
      </c>
      <c r="H5865" s="25">
        <v>73.0</v>
      </c>
      <c r="I5865" s="26">
        <f t="array" ref="I5865">XLOOKUP($A5865,product!A:A,product!E:E)</f>
        <v>1.67</v>
      </c>
      <c r="J5865" s="25">
        <f t="shared" si="2"/>
        <v>121.91</v>
      </c>
      <c r="K5865" s="27">
        <f t="shared" si="3"/>
        <v>1</v>
      </c>
      <c r="L5865" s="25">
        <f t="shared" si="4"/>
        <v>1</v>
      </c>
    </row>
    <row r="5866">
      <c r="A5866" s="19">
        <v>120399.0</v>
      </c>
      <c r="B5866" s="20" t="str">
        <f t="array" ref="B5866">xlookup($A5866,product!$A:$A,product!B:B)</f>
        <v>Epicerie sucrée</v>
      </c>
      <c r="C5866" s="20" t="str">
        <f t="array" ref="C5866">xlookup($A5866,product!$A:$A,product!C:C)</f>
        <v>Barre de céréales, pâte d'amande</v>
      </c>
      <c r="D5866" s="20" t="str">
        <f t="array" ref="D5866">xlookup($A5866,product!$A:$A,product!D:D)</f>
        <v>Barre de céréales, fruits</v>
      </c>
      <c r="E5866" s="4" t="str">
        <f t="shared" si="1"/>
        <v>120399-Barre de céréales, pâte d'amande-Barre de céréales, fruits</v>
      </c>
      <c r="F5866" s="4">
        <v>0.0</v>
      </c>
      <c r="G5866" s="4">
        <v>154.0</v>
      </c>
      <c r="H5866" s="4">
        <v>100.0</v>
      </c>
      <c r="I5866" s="21">
        <f t="array" ref="I5866">XLOOKUP($A5866,product!A:A,product!E:E)</f>
        <v>1.73</v>
      </c>
      <c r="J5866" s="4">
        <f t="shared" si="2"/>
        <v>173</v>
      </c>
      <c r="K5866" s="22">
        <f t="shared" si="3"/>
        <v>1</v>
      </c>
      <c r="L5866" s="4">
        <f t="shared" si="4"/>
        <v>1</v>
      </c>
    </row>
    <row r="5867">
      <c r="A5867" s="23">
        <v>47389.0</v>
      </c>
      <c r="B5867" s="24" t="str">
        <f t="array" ref="B5867">xlookup($A5867,product!$A:$A,product!B:B)</f>
        <v>Epicerie sucrée</v>
      </c>
      <c r="C5867" s="24" t="str">
        <f t="array" ref="C5867">xlookup($A5867,product!$A:$A,product!C:C)</f>
        <v>Barre de céréales, pâte d'amande</v>
      </c>
      <c r="D5867" s="24" t="str">
        <f t="array" ref="D5867">xlookup($A5867,product!$A:$A,product!D:D)</f>
        <v>Barre de céréales, fruits</v>
      </c>
      <c r="E5867" s="25" t="str">
        <f t="shared" si="1"/>
        <v>47389-Barre de céréales, pâte d'amande-Barre de céréales, fruits</v>
      </c>
      <c r="F5867" s="25">
        <v>0.0</v>
      </c>
      <c r="G5867" s="25">
        <v>897.0</v>
      </c>
      <c r="H5867" s="25">
        <v>282.0</v>
      </c>
      <c r="I5867" s="26">
        <f t="array" ref="I5867">XLOOKUP($A5867,product!A:A,product!E:E)</f>
        <v>2.23</v>
      </c>
      <c r="J5867" s="25">
        <f t="shared" si="2"/>
        <v>628.86</v>
      </c>
      <c r="K5867" s="27">
        <f t="shared" si="3"/>
        <v>1</v>
      </c>
      <c r="L5867" s="25">
        <f t="shared" si="4"/>
        <v>1</v>
      </c>
    </row>
    <row r="5868">
      <c r="A5868" s="19">
        <v>47384.0</v>
      </c>
      <c r="B5868" s="20" t="str">
        <f t="array" ref="B5868">xlookup($A5868,product!$A:$A,product!B:B)</f>
        <v>Epicerie sucrée</v>
      </c>
      <c r="C5868" s="20" t="str">
        <f t="array" ref="C5868">xlookup($A5868,product!$A:$A,product!C:C)</f>
        <v>Barre de céréales, pâte d'amande</v>
      </c>
      <c r="D5868" s="20" t="str">
        <f t="array" ref="D5868">xlookup($A5868,product!$A:$A,product!D:D)</f>
        <v>Barre de céréales, fruits</v>
      </c>
      <c r="E5868" s="4" t="str">
        <f t="shared" si="1"/>
        <v>47384-Barre de céréales, pâte d'amande-Barre de céréales, fruits</v>
      </c>
      <c r="F5868" s="4">
        <v>1.0</v>
      </c>
      <c r="G5868" s="4">
        <v>671.0</v>
      </c>
      <c r="H5868" s="4">
        <v>652.0</v>
      </c>
      <c r="I5868" s="21">
        <f t="array" ref="I5868">XLOOKUP($A5868,product!A:A,product!E:E)</f>
        <v>2.23</v>
      </c>
      <c r="J5868" s="4">
        <f t="shared" si="2"/>
        <v>1453.96</v>
      </c>
      <c r="K5868" s="22">
        <f t="shared" si="3"/>
        <v>1</v>
      </c>
      <c r="L5868" s="4">
        <f t="shared" si="4"/>
        <v>1</v>
      </c>
    </row>
    <row r="5869">
      <c r="A5869" s="23">
        <v>117568.0</v>
      </c>
      <c r="B5869" s="24" t="str">
        <f t="array" ref="B5869">xlookup($A5869,product!$A:$A,product!B:B)</f>
        <v>Epicerie sucrée</v>
      </c>
      <c r="C5869" s="24" t="str">
        <f t="array" ref="C5869">xlookup($A5869,product!$A:$A,product!C:C)</f>
        <v>Barre de céréales, pâte d'amande</v>
      </c>
      <c r="D5869" s="24" t="str">
        <f t="array" ref="D5869">xlookup($A5869,product!$A:$A,product!D:D)</f>
        <v>Barre de céréales, fruits</v>
      </c>
      <c r="E5869" s="25" t="str">
        <f t="shared" si="1"/>
        <v>117568-Barre de céréales, pâte d'amande-Barre de céréales, fruits</v>
      </c>
      <c r="F5869" s="25">
        <v>1.0</v>
      </c>
      <c r="G5869" s="25">
        <v>806.0</v>
      </c>
      <c r="H5869" s="25">
        <v>143.0</v>
      </c>
      <c r="I5869" s="26">
        <f t="array" ref="I5869">XLOOKUP($A5869,product!A:A,product!E:E)</f>
        <v>1.08</v>
      </c>
      <c r="J5869" s="25">
        <f t="shared" si="2"/>
        <v>154.44</v>
      </c>
      <c r="K5869" s="27">
        <f t="shared" si="3"/>
        <v>1</v>
      </c>
      <c r="L5869" s="25">
        <f t="shared" si="4"/>
        <v>1</v>
      </c>
    </row>
    <row r="5870">
      <c r="A5870" s="19">
        <v>80233.0</v>
      </c>
      <c r="B5870" s="20" t="str">
        <f t="array" ref="B5870">xlookup($A5870,product!$A:$A,product!B:B)</f>
        <v>Epicerie sucrée</v>
      </c>
      <c r="C5870" s="20" t="str">
        <f t="array" ref="C5870">xlookup($A5870,product!$A:$A,product!C:C)</f>
        <v>Barre de céréales, pâte d'amande</v>
      </c>
      <c r="D5870" s="20" t="str">
        <f t="array" ref="D5870">xlookup($A5870,product!$A:$A,product!D:D)</f>
        <v>Barre de céréales, fruits</v>
      </c>
      <c r="E5870" s="4" t="str">
        <f t="shared" si="1"/>
        <v>80233-Barre de céréales, pâte d'amande-Barre de céréales, fruits</v>
      </c>
      <c r="F5870" s="4">
        <v>1.0</v>
      </c>
      <c r="G5870" s="4">
        <v>879.0</v>
      </c>
      <c r="H5870" s="4">
        <v>345.0</v>
      </c>
      <c r="I5870" s="21">
        <f t="array" ref="I5870">XLOOKUP($A5870,product!A:A,product!E:E)</f>
        <v>1.87</v>
      </c>
      <c r="J5870" s="4">
        <f t="shared" si="2"/>
        <v>645.15</v>
      </c>
      <c r="K5870" s="22">
        <f t="shared" si="3"/>
        <v>1</v>
      </c>
      <c r="L5870" s="4">
        <f t="shared" si="4"/>
        <v>1</v>
      </c>
    </row>
    <row r="5871">
      <c r="A5871" s="23">
        <v>120396.0</v>
      </c>
      <c r="B5871" s="24" t="str">
        <f t="array" ref="B5871">xlookup($A5871,product!$A:$A,product!B:B)</f>
        <v>Epicerie sucrée</v>
      </c>
      <c r="C5871" s="24" t="str">
        <f t="array" ref="C5871">xlookup($A5871,product!$A:$A,product!C:C)</f>
        <v>Barre de céréales, pâte d'amande</v>
      </c>
      <c r="D5871" s="24" t="str">
        <f t="array" ref="D5871">xlookup($A5871,product!$A:$A,product!D:D)</f>
        <v>Barre de céréales, fruits</v>
      </c>
      <c r="E5871" s="25" t="str">
        <f t="shared" si="1"/>
        <v>120396-Barre de céréales, pâte d'amande-Barre de céréales, fruits</v>
      </c>
      <c r="F5871" s="25">
        <v>0.0</v>
      </c>
      <c r="G5871" s="25">
        <v>291.0</v>
      </c>
      <c r="H5871" s="25">
        <v>69.0</v>
      </c>
      <c r="I5871" s="26">
        <f t="array" ref="I5871">XLOOKUP($A5871,product!A:A,product!E:E)</f>
        <v>1.73</v>
      </c>
      <c r="J5871" s="25">
        <f t="shared" si="2"/>
        <v>119.37</v>
      </c>
      <c r="K5871" s="27">
        <f t="shared" si="3"/>
        <v>1</v>
      </c>
      <c r="L5871" s="25">
        <f t="shared" si="4"/>
        <v>1</v>
      </c>
    </row>
    <row r="5872">
      <c r="A5872" s="19">
        <v>47386.0</v>
      </c>
      <c r="B5872" s="20" t="str">
        <f t="array" ref="B5872">xlookup($A5872,product!$A:$A,product!B:B)</f>
        <v>Epicerie sucrée</v>
      </c>
      <c r="C5872" s="20" t="str">
        <f t="array" ref="C5872">xlookup($A5872,product!$A:$A,product!C:C)</f>
        <v>Barre de céréales, pâte d'amande</v>
      </c>
      <c r="D5872" s="20" t="str">
        <f t="array" ref="D5872">xlookup($A5872,product!$A:$A,product!D:D)</f>
        <v>Barre de céréales, fruits</v>
      </c>
      <c r="E5872" s="4" t="str">
        <f t="shared" si="1"/>
        <v>47386-Barre de céréales, pâte d'amande-Barre de céréales, fruits</v>
      </c>
      <c r="F5872" s="4">
        <v>0.0</v>
      </c>
      <c r="G5872" s="4">
        <v>924.0</v>
      </c>
      <c r="H5872" s="4">
        <v>810.0</v>
      </c>
      <c r="I5872" s="21">
        <f t="array" ref="I5872">XLOOKUP($A5872,product!A:A,product!E:E)</f>
        <v>2.23</v>
      </c>
      <c r="J5872" s="4">
        <f t="shared" si="2"/>
        <v>1806.3</v>
      </c>
      <c r="K5872" s="22">
        <f t="shared" si="3"/>
        <v>1</v>
      </c>
      <c r="L5872" s="4">
        <f t="shared" si="4"/>
        <v>1</v>
      </c>
    </row>
    <row r="5873">
      <c r="A5873" s="23">
        <v>110294.0</v>
      </c>
      <c r="B5873" s="24" t="str">
        <f t="array" ref="B5873">xlookup($A5873,product!$A:$A,product!B:B)</f>
        <v>Epicerie sucrée</v>
      </c>
      <c r="C5873" s="24" t="str">
        <f t="array" ref="C5873">xlookup($A5873,product!$A:$A,product!C:C)</f>
        <v>Barre de céréales, pâte d'amande</v>
      </c>
      <c r="D5873" s="24" t="str">
        <f t="array" ref="D5873">xlookup($A5873,product!$A:$A,product!D:D)</f>
        <v>Barre de céréales, fruits</v>
      </c>
      <c r="E5873" s="25" t="str">
        <f t="shared" si="1"/>
        <v>110294-Barre de céréales, pâte d'amande-Barre de céréales, fruits</v>
      </c>
      <c r="F5873" s="25">
        <v>1.0</v>
      </c>
      <c r="G5873" s="25">
        <v>337.0</v>
      </c>
      <c r="H5873" s="25">
        <v>180.0</v>
      </c>
      <c r="I5873" s="26">
        <f t="array" ref="I5873">XLOOKUP($A5873,product!A:A,product!E:E)</f>
        <v>0.97</v>
      </c>
      <c r="J5873" s="25">
        <f t="shared" si="2"/>
        <v>174.6</v>
      </c>
      <c r="K5873" s="27">
        <f t="shared" si="3"/>
        <v>1</v>
      </c>
      <c r="L5873" s="25">
        <f t="shared" si="4"/>
        <v>1</v>
      </c>
    </row>
    <row r="5874">
      <c r="A5874" s="19">
        <v>47374.0</v>
      </c>
      <c r="B5874" s="20" t="str">
        <f t="array" ref="B5874">xlookup($A5874,product!$A:$A,product!B:B)</f>
        <v>Epicerie sucrée</v>
      </c>
      <c r="C5874" s="20" t="str">
        <f t="array" ref="C5874">xlookup($A5874,product!$A:$A,product!C:C)</f>
        <v>Barre de céréales, pâte d'amande</v>
      </c>
      <c r="D5874" s="20" t="str">
        <f t="array" ref="D5874">xlookup($A5874,product!$A:$A,product!D:D)</f>
        <v>Barre de céréales, fruits</v>
      </c>
      <c r="E5874" s="4" t="str">
        <f t="shared" si="1"/>
        <v>47374-Barre de céréales, pâte d'amande-Barre de céréales, fruits</v>
      </c>
      <c r="F5874" s="4">
        <v>0.0</v>
      </c>
      <c r="G5874" s="4">
        <v>773.0</v>
      </c>
      <c r="H5874" s="4">
        <v>175.0</v>
      </c>
      <c r="I5874" s="21">
        <f t="array" ref="I5874">XLOOKUP($A5874,product!A:A,product!E:E)</f>
        <v>2.23</v>
      </c>
      <c r="J5874" s="4">
        <f t="shared" si="2"/>
        <v>390.25</v>
      </c>
      <c r="K5874" s="22">
        <f t="shared" si="3"/>
        <v>1</v>
      </c>
      <c r="L5874" s="4">
        <f t="shared" si="4"/>
        <v>1</v>
      </c>
    </row>
    <row r="5875">
      <c r="A5875" s="23">
        <v>115586.0</v>
      </c>
      <c r="B5875" s="24" t="str">
        <f t="array" ref="B5875">xlookup($A5875,product!$A:$A,product!B:B)</f>
        <v>Epicerie sucrée</v>
      </c>
      <c r="C5875" s="24" t="str">
        <f t="array" ref="C5875">xlookup($A5875,product!$A:$A,product!C:C)</f>
        <v>Barre de céréales, pâte d'amande</v>
      </c>
      <c r="D5875" s="24" t="str">
        <f t="array" ref="D5875">xlookup($A5875,product!$A:$A,product!D:D)</f>
        <v>Barre de céréales, fruits</v>
      </c>
      <c r="E5875" s="25" t="str">
        <f t="shared" si="1"/>
        <v>115586-Barre de céréales, pâte d'amande-Barre de céréales, fruits</v>
      </c>
      <c r="F5875" s="25">
        <v>1.0</v>
      </c>
      <c r="G5875" s="25">
        <v>506.0</v>
      </c>
      <c r="H5875" s="25">
        <v>473.0</v>
      </c>
      <c r="I5875" s="26">
        <f t="array" ref="I5875">XLOOKUP($A5875,product!A:A,product!E:E)</f>
        <v>2.43</v>
      </c>
      <c r="J5875" s="25">
        <f t="shared" si="2"/>
        <v>1149.39</v>
      </c>
      <c r="K5875" s="27">
        <f t="shared" si="3"/>
        <v>1</v>
      </c>
      <c r="L5875" s="25">
        <f t="shared" si="4"/>
        <v>1</v>
      </c>
    </row>
    <row r="5876">
      <c r="A5876" s="19">
        <v>112736.0</v>
      </c>
      <c r="B5876" s="20" t="str">
        <f t="array" ref="B5876">xlookup($A5876,product!$A:$A,product!B:B)</f>
        <v>Epicerie sucrée</v>
      </c>
      <c r="C5876" s="20" t="str">
        <f t="array" ref="C5876">xlookup($A5876,product!$A:$A,product!C:C)</f>
        <v>Barre de céréales, pâte d'amande</v>
      </c>
      <c r="D5876" s="20" t="str">
        <f t="array" ref="D5876">xlookup($A5876,product!$A:$A,product!D:D)</f>
        <v>Barre de céréales, fruits</v>
      </c>
      <c r="E5876" s="4" t="str">
        <f t="shared" si="1"/>
        <v>112736-Barre de céréales, pâte d'amande-Barre de céréales, fruits</v>
      </c>
      <c r="F5876" s="4">
        <v>1.0</v>
      </c>
      <c r="G5876" s="4">
        <v>727.0</v>
      </c>
      <c r="H5876" s="4">
        <v>226.0</v>
      </c>
      <c r="I5876" s="21">
        <f t="array" ref="I5876">XLOOKUP($A5876,product!A:A,product!E:E)</f>
        <v>1.28</v>
      </c>
      <c r="J5876" s="4">
        <f t="shared" si="2"/>
        <v>289.28</v>
      </c>
      <c r="K5876" s="22">
        <f t="shared" si="3"/>
        <v>1</v>
      </c>
      <c r="L5876" s="4">
        <f t="shared" si="4"/>
        <v>1</v>
      </c>
    </row>
    <row r="5877">
      <c r="A5877" s="23">
        <v>80234.0</v>
      </c>
      <c r="B5877" s="24" t="str">
        <f t="array" ref="B5877">xlookup($A5877,product!$A:$A,product!B:B)</f>
        <v>Epicerie sucrée</v>
      </c>
      <c r="C5877" s="24" t="str">
        <f t="array" ref="C5877">xlookup($A5877,product!$A:$A,product!C:C)</f>
        <v>Barre de céréales, pâte d'amande</v>
      </c>
      <c r="D5877" s="24" t="str">
        <f t="array" ref="D5877">xlookup($A5877,product!$A:$A,product!D:D)</f>
        <v>Barre de céréales, fruits</v>
      </c>
      <c r="E5877" s="25" t="str">
        <f t="shared" si="1"/>
        <v>80234-Barre de céréales, pâte d'amande-Barre de céréales, fruits</v>
      </c>
      <c r="F5877" s="25">
        <v>1.0</v>
      </c>
      <c r="G5877" s="25">
        <v>286.0</v>
      </c>
      <c r="H5877" s="25">
        <v>139.0</v>
      </c>
      <c r="I5877" s="26">
        <f t="array" ref="I5877">XLOOKUP($A5877,product!A:A,product!E:E)</f>
        <v>1.87</v>
      </c>
      <c r="J5877" s="25">
        <f t="shared" si="2"/>
        <v>259.93</v>
      </c>
      <c r="K5877" s="27">
        <f t="shared" si="3"/>
        <v>1</v>
      </c>
      <c r="L5877" s="25">
        <f t="shared" si="4"/>
        <v>1</v>
      </c>
    </row>
    <row r="5878">
      <c r="A5878" s="19">
        <v>92426.0</v>
      </c>
      <c r="B5878" s="20" t="str">
        <f t="array" ref="B5878">xlookup($A5878,product!$A:$A,product!B:B)</f>
        <v>Epicerie sucrée</v>
      </c>
      <c r="C5878" s="20" t="str">
        <f t="array" ref="C5878">xlookup($A5878,product!$A:$A,product!C:C)</f>
        <v>Barre de céréales, pâte d'amande</v>
      </c>
      <c r="D5878" s="20" t="str">
        <f t="array" ref="D5878">xlookup($A5878,product!$A:$A,product!D:D)</f>
        <v>Barre de céréales, fruits</v>
      </c>
      <c r="E5878" s="4" t="str">
        <f t="shared" si="1"/>
        <v>92426-Barre de céréales, pâte d'amande-Barre de céréales, fruits</v>
      </c>
      <c r="F5878" s="4">
        <v>0.0</v>
      </c>
      <c r="G5878" s="4">
        <v>295.0</v>
      </c>
      <c r="H5878" s="4">
        <v>177.0</v>
      </c>
      <c r="I5878" s="21">
        <f t="array" ref="I5878">XLOOKUP($A5878,product!A:A,product!E:E)</f>
        <v>0.85</v>
      </c>
      <c r="J5878" s="4">
        <f t="shared" si="2"/>
        <v>150.45</v>
      </c>
      <c r="K5878" s="22">
        <f t="shared" si="3"/>
        <v>1</v>
      </c>
      <c r="L5878" s="4">
        <f t="shared" si="4"/>
        <v>1</v>
      </c>
    </row>
    <row r="5879">
      <c r="A5879" s="23">
        <v>92429.0</v>
      </c>
      <c r="B5879" s="24" t="str">
        <f t="array" ref="B5879">xlookup($A5879,product!$A:$A,product!B:B)</f>
        <v>Epicerie sucrée</v>
      </c>
      <c r="C5879" s="24" t="str">
        <f t="array" ref="C5879">xlookup($A5879,product!$A:$A,product!C:C)</f>
        <v>Barre de céréales, pâte d'amande</v>
      </c>
      <c r="D5879" s="24" t="str">
        <f t="array" ref="D5879">xlookup($A5879,product!$A:$A,product!D:D)</f>
        <v>Barre de céréales, fruits</v>
      </c>
      <c r="E5879" s="25" t="str">
        <f t="shared" si="1"/>
        <v>92429-Barre de céréales, pâte d'amande-Barre de céréales, fruits</v>
      </c>
      <c r="F5879" s="25">
        <v>1.0</v>
      </c>
      <c r="G5879" s="25">
        <v>12.0</v>
      </c>
      <c r="H5879" s="25">
        <v>6.0</v>
      </c>
      <c r="I5879" s="26">
        <f t="array" ref="I5879">XLOOKUP($A5879,product!A:A,product!E:E)</f>
        <v>0.78</v>
      </c>
      <c r="J5879" s="25">
        <f t="shared" si="2"/>
        <v>4.68</v>
      </c>
      <c r="K5879" s="27">
        <f t="shared" si="3"/>
        <v>1</v>
      </c>
      <c r="L5879" s="25">
        <f t="shared" si="4"/>
        <v>1</v>
      </c>
    </row>
    <row r="5880">
      <c r="A5880" s="19">
        <v>117572.0</v>
      </c>
      <c r="B5880" s="20" t="str">
        <f t="array" ref="B5880">xlookup($A5880,product!$A:$A,product!B:B)</f>
        <v>Epicerie sucrée</v>
      </c>
      <c r="C5880" s="20" t="str">
        <f t="array" ref="C5880">xlookup($A5880,product!$A:$A,product!C:C)</f>
        <v>Barre de céréales, pâte d'amande</v>
      </c>
      <c r="D5880" s="20" t="str">
        <f t="array" ref="D5880">xlookup($A5880,product!$A:$A,product!D:D)</f>
        <v>Barre de céréales, fruits</v>
      </c>
      <c r="E5880" s="4" t="str">
        <f t="shared" si="1"/>
        <v>117572-Barre de céréales, pâte d'amande-Barre de céréales, fruits</v>
      </c>
      <c r="F5880" s="4">
        <v>0.0</v>
      </c>
      <c r="G5880" s="4">
        <v>390.0</v>
      </c>
      <c r="H5880" s="4">
        <v>124.0</v>
      </c>
      <c r="I5880" s="21">
        <f t="array" ref="I5880">XLOOKUP($A5880,product!A:A,product!E:E)</f>
        <v>1.55</v>
      </c>
      <c r="J5880" s="4">
        <f t="shared" si="2"/>
        <v>192.2</v>
      </c>
      <c r="K5880" s="22">
        <f t="shared" si="3"/>
        <v>1</v>
      </c>
      <c r="L5880" s="4">
        <f t="shared" si="4"/>
        <v>1</v>
      </c>
    </row>
    <row r="5881">
      <c r="A5881" s="23">
        <v>110982.0</v>
      </c>
      <c r="B5881" s="24" t="str">
        <f t="array" ref="B5881">xlookup($A5881,product!$A:$A,product!B:B)</f>
        <v>Epicerie sucrée</v>
      </c>
      <c r="C5881" s="24" t="str">
        <f t="array" ref="C5881">xlookup($A5881,product!$A:$A,product!C:C)</f>
        <v>Barre de céréales, pâte d'amande</v>
      </c>
      <c r="D5881" s="24" t="str">
        <f t="array" ref="D5881">xlookup($A5881,product!$A:$A,product!D:D)</f>
        <v>Barre de céréales, fruits</v>
      </c>
      <c r="E5881" s="25" t="str">
        <f t="shared" si="1"/>
        <v>110982-Barre de céréales, pâte d'amande-Barre de céréales, fruits</v>
      </c>
      <c r="F5881" s="25">
        <v>1.0</v>
      </c>
      <c r="G5881" s="25">
        <v>737.0</v>
      </c>
      <c r="H5881" s="25">
        <v>521.0</v>
      </c>
      <c r="I5881" s="26">
        <f t="array" ref="I5881">XLOOKUP($A5881,product!A:A,product!E:E)</f>
        <v>1.22</v>
      </c>
      <c r="J5881" s="25">
        <f t="shared" si="2"/>
        <v>635.62</v>
      </c>
      <c r="K5881" s="27">
        <f t="shared" si="3"/>
        <v>1</v>
      </c>
      <c r="L5881" s="25">
        <f t="shared" si="4"/>
        <v>1</v>
      </c>
    </row>
    <row r="5882">
      <c r="A5882" s="19">
        <v>92442.0</v>
      </c>
      <c r="B5882" s="20" t="str">
        <f t="array" ref="B5882">xlookup($A5882,product!$A:$A,product!B:B)</f>
        <v>Epicerie sucrée</v>
      </c>
      <c r="C5882" s="20" t="str">
        <f t="array" ref="C5882">xlookup($A5882,product!$A:$A,product!C:C)</f>
        <v>Barre de céréales, pâte d'amande</v>
      </c>
      <c r="D5882" s="20" t="str">
        <f t="array" ref="D5882">xlookup($A5882,product!$A:$A,product!D:D)</f>
        <v>Barre de céréales, fruits</v>
      </c>
      <c r="E5882" s="4" t="str">
        <f t="shared" si="1"/>
        <v>92442-Barre de céréales, pâte d'amande-Barre de céréales, fruits</v>
      </c>
      <c r="F5882" s="4">
        <v>1.0</v>
      </c>
      <c r="G5882" s="4">
        <v>12.0</v>
      </c>
      <c r="H5882" s="4">
        <v>10.0</v>
      </c>
      <c r="I5882" s="21">
        <f t="array" ref="I5882">XLOOKUP($A5882,product!A:A,product!E:E)</f>
        <v>1.34</v>
      </c>
      <c r="J5882" s="4">
        <f t="shared" si="2"/>
        <v>13.4</v>
      </c>
      <c r="K5882" s="22">
        <f t="shared" si="3"/>
        <v>1</v>
      </c>
      <c r="L5882" s="4">
        <f t="shared" si="4"/>
        <v>1</v>
      </c>
    </row>
    <row r="5883">
      <c r="A5883" s="23">
        <v>83591.0</v>
      </c>
      <c r="B5883" s="24" t="str">
        <f t="array" ref="B5883">xlookup($A5883,product!$A:$A,product!B:B)</f>
        <v>Epicerie sucrée</v>
      </c>
      <c r="C5883" s="24" t="str">
        <f t="array" ref="C5883">xlookup($A5883,product!$A:$A,product!C:C)</f>
        <v>Barre de céréales, pâte d'amande</v>
      </c>
      <c r="D5883" s="24" t="str">
        <f t="array" ref="D5883">xlookup($A5883,product!$A:$A,product!D:D)</f>
        <v>Barre de céréales, fruits</v>
      </c>
      <c r="E5883" s="25" t="str">
        <f t="shared" si="1"/>
        <v>83591-Barre de céréales, pâte d'amande-Barre de céréales, fruits</v>
      </c>
      <c r="F5883" s="25">
        <v>1.0</v>
      </c>
      <c r="G5883" s="25">
        <v>686.0</v>
      </c>
      <c r="H5883" s="25">
        <v>660.0</v>
      </c>
      <c r="I5883" s="26">
        <f t="array" ref="I5883">XLOOKUP($A5883,product!A:A,product!E:E)</f>
        <v>2.41</v>
      </c>
      <c r="J5883" s="25">
        <f t="shared" si="2"/>
        <v>1590.6</v>
      </c>
      <c r="K5883" s="27">
        <f t="shared" si="3"/>
        <v>1</v>
      </c>
      <c r="L5883" s="25">
        <f t="shared" si="4"/>
        <v>1</v>
      </c>
    </row>
    <row r="5884">
      <c r="A5884" s="19">
        <v>104318.0</v>
      </c>
      <c r="B5884" s="20" t="str">
        <f t="array" ref="B5884">xlookup($A5884,product!$A:$A,product!B:B)</f>
        <v>Epicerie sucrée</v>
      </c>
      <c r="C5884" s="20" t="str">
        <f t="array" ref="C5884">xlookup($A5884,product!$A:$A,product!C:C)</f>
        <v>Barre de céréales, pâte d'amande</v>
      </c>
      <c r="D5884" s="20" t="str">
        <f t="array" ref="D5884">xlookup($A5884,product!$A:$A,product!D:D)</f>
        <v>Barre de céréales, fruits</v>
      </c>
      <c r="E5884" s="4" t="str">
        <f t="shared" si="1"/>
        <v>104318-Barre de céréales, pâte d'amande-Barre de céréales, fruits</v>
      </c>
      <c r="F5884" s="4">
        <v>0.0</v>
      </c>
      <c r="G5884" s="4">
        <v>458.0</v>
      </c>
      <c r="H5884" s="4">
        <v>72.0</v>
      </c>
      <c r="I5884" s="21">
        <f t="array" ref="I5884">XLOOKUP($A5884,product!A:A,product!E:E)</f>
        <v>1.67</v>
      </c>
      <c r="J5884" s="4">
        <f t="shared" si="2"/>
        <v>120.24</v>
      </c>
      <c r="K5884" s="22">
        <f t="shared" si="3"/>
        <v>1</v>
      </c>
      <c r="L5884" s="4">
        <f t="shared" si="4"/>
        <v>1</v>
      </c>
    </row>
    <row r="5885">
      <c r="A5885" s="23">
        <v>112740.0</v>
      </c>
      <c r="B5885" s="24" t="str">
        <f t="array" ref="B5885">xlookup($A5885,product!$A:$A,product!B:B)</f>
        <v>Epicerie sucrée</v>
      </c>
      <c r="C5885" s="24" t="str">
        <f t="array" ref="C5885">xlookup($A5885,product!$A:$A,product!C:C)</f>
        <v>Barre de céréales, pâte d'amande</v>
      </c>
      <c r="D5885" s="24" t="str">
        <f t="array" ref="D5885">xlookup($A5885,product!$A:$A,product!D:D)</f>
        <v>Barre de céréales, fruits</v>
      </c>
      <c r="E5885" s="25" t="str">
        <f t="shared" si="1"/>
        <v>112740-Barre de céréales, pâte d'amande-Barre de céréales, fruits</v>
      </c>
      <c r="F5885" s="25">
        <v>0.0</v>
      </c>
      <c r="G5885" s="25">
        <v>30.0</v>
      </c>
      <c r="H5885" s="25">
        <v>16.0</v>
      </c>
      <c r="I5885" s="26">
        <f t="array" ref="I5885">XLOOKUP($A5885,product!A:A,product!E:E)</f>
        <v>5.72</v>
      </c>
      <c r="J5885" s="25">
        <f t="shared" si="2"/>
        <v>91.52</v>
      </c>
      <c r="K5885" s="27">
        <f t="shared" si="3"/>
        <v>1</v>
      </c>
      <c r="L5885" s="25">
        <f t="shared" si="4"/>
        <v>1</v>
      </c>
    </row>
    <row r="5886">
      <c r="A5886" s="19">
        <v>117570.0</v>
      </c>
      <c r="B5886" s="20" t="str">
        <f t="array" ref="B5886">xlookup($A5886,product!$A:$A,product!B:B)</f>
        <v>Epicerie sucrée</v>
      </c>
      <c r="C5886" s="20" t="str">
        <f t="array" ref="C5886">xlookup($A5886,product!$A:$A,product!C:C)</f>
        <v>Barre de céréales, pâte d'amande</v>
      </c>
      <c r="D5886" s="20" t="str">
        <f t="array" ref="D5886">xlookup($A5886,product!$A:$A,product!D:D)</f>
        <v>Barre de céréales, fruits</v>
      </c>
      <c r="E5886" s="4" t="str">
        <f t="shared" si="1"/>
        <v>117570-Barre de céréales, pâte d'amande-Barre de céréales, fruits</v>
      </c>
      <c r="F5886" s="4">
        <v>0.0</v>
      </c>
      <c r="G5886" s="4">
        <v>621.0</v>
      </c>
      <c r="H5886" s="4">
        <v>475.0</v>
      </c>
      <c r="I5886" s="21">
        <f t="array" ref="I5886">XLOOKUP($A5886,product!A:A,product!E:E)</f>
        <v>1.08</v>
      </c>
      <c r="J5886" s="4">
        <f t="shared" si="2"/>
        <v>513</v>
      </c>
      <c r="K5886" s="22">
        <f t="shared" si="3"/>
        <v>1</v>
      </c>
      <c r="L5886" s="4">
        <f t="shared" si="4"/>
        <v>1</v>
      </c>
    </row>
    <row r="5887">
      <c r="A5887" s="23">
        <v>115584.0</v>
      </c>
      <c r="B5887" s="24" t="str">
        <f t="array" ref="B5887">xlookup($A5887,product!$A:$A,product!B:B)</f>
        <v>Epicerie sucrée</v>
      </c>
      <c r="C5887" s="24" t="str">
        <f t="array" ref="C5887">xlookup($A5887,product!$A:$A,product!C:C)</f>
        <v>Barre de céréales, pâte d'amande</v>
      </c>
      <c r="D5887" s="24" t="str">
        <f t="array" ref="D5887">xlookup($A5887,product!$A:$A,product!D:D)</f>
        <v>Barre de céréales, fruits</v>
      </c>
      <c r="E5887" s="25" t="str">
        <f t="shared" si="1"/>
        <v>115584-Barre de céréales, pâte d'amande-Barre de céréales, fruits</v>
      </c>
      <c r="F5887" s="25">
        <v>0.0</v>
      </c>
      <c r="G5887" s="25">
        <v>746.0</v>
      </c>
      <c r="H5887" s="25">
        <v>513.0</v>
      </c>
      <c r="I5887" s="26">
        <f t="array" ref="I5887">XLOOKUP($A5887,product!A:A,product!E:E)</f>
        <v>2.43</v>
      </c>
      <c r="J5887" s="25">
        <f t="shared" si="2"/>
        <v>1246.59</v>
      </c>
      <c r="K5887" s="27">
        <f t="shared" si="3"/>
        <v>1</v>
      </c>
      <c r="L5887" s="25">
        <f t="shared" si="4"/>
        <v>1</v>
      </c>
    </row>
    <row r="5888">
      <c r="A5888" s="19">
        <v>47629.0</v>
      </c>
      <c r="B5888" s="20" t="str">
        <f t="array" ref="B5888">xlookup($A5888,product!$A:$A,product!B:B)</f>
        <v>Epicerie sucrée</v>
      </c>
      <c r="C5888" s="20" t="str">
        <f t="array" ref="C5888">xlookup($A5888,product!$A:$A,product!C:C)</f>
        <v>Barre de céréales, pâte d'amande</v>
      </c>
      <c r="D5888" s="20" t="str">
        <f t="array" ref="D5888">xlookup($A5888,product!$A:$A,product!D:D)</f>
        <v>Barre de céréales, fruits</v>
      </c>
      <c r="E5888" s="4" t="str">
        <f t="shared" si="1"/>
        <v>47629-Barre de céréales, pâte d'amande-Barre de céréales, fruits</v>
      </c>
      <c r="F5888" s="4">
        <v>1.0</v>
      </c>
      <c r="G5888" s="4">
        <v>520.0</v>
      </c>
      <c r="H5888" s="4">
        <v>149.0</v>
      </c>
      <c r="I5888" s="21">
        <f t="array" ref="I5888">XLOOKUP($A5888,product!A:A,product!E:E)</f>
        <v>1.04</v>
      </c>
      <c r="J5888" s="4">
        <f t="shared" si="2"/>
        <v>154.96</v>
      </c>
      <c r="K5888" s="22">
        <f t="shared" si="3"/>
        <v>1</v>
      </c>
      <c r="L5888" s="4">
        <f t="shared" si="4"/>
        <v>1</v>
      </c>
    </row>
    <row r="5889">
      <c r="A5889" s="23">
        <v>116389.0</v>
      </c>
      <c r="B5889" s="24" t="str">
        <f t="array" ref="B5889">xlookup($A5889,product!$A:$A,product!B:B)</f>
        <v>Epicerie sucrée</v>
      </c>
      <c r="C5889" s="24" t="str">
        <f t="array" ref="C5889">xlookup($A5889,product!$A:$A,product!C:C)</f>
        <v>Barre de céréales, pâte d'amande</v>
      </c>
      <c r="D5889" s="24" t="str">
        <f t="array" ref="D5889">xlookup($A5889,product!$A:$A,product!D:D)</f>
        <v>Barre de céréales, fruits</v>
      </c>
      <c r="E5889" s="25" t="str">
        <f t="shared" si="1"/>
        <v>116389-Barre de céréales, pâte d'amande-Barre de céréales, fruits</v>
      </c>
      <c r="F5889" s="25">
        <v>1.0</v>
      </c>
      <c r="G5889" s="25">
        <v>904.0</v>
      </c>
      <c r="H5889" s="25">
        <v>440.0</v>
      </c>
      <c r="I5889" s="26">
        <f t="array" ref="I5889">XLOOKUP($A5889,product!A:A,product!E:E)</f>
        <v>2.5</v>
      </c>
      <c r="J5889" s="25">
        <f t="shared" si="2"/>
        <v>1100</v>
      </c>
      <c r="K5889" s="27">
        <f t="shared" si="3"/>
        <v>1</v>
      </c>
      <c r="L5889" s="25">
        <f t="shared" si="4"/>
        <v>1</v>
      </c>
    </row>
    <row r="5890">
      <c r="A5890" s="19">
        <v>117573.0</v>
      </c>
      <c r="B5890" s="20" t="str">
        <f t="array" ref="B5890">xlookup($A5890,product!$A:$A,product!B:B)</f>
        <v>Epicerie sucrée</v>
      </c>
      <c r="C5890" s="20" t="str">
        <f t="array" ref="C5890">xlookup($A5890,product!$A:$A,product!C:C)</f>
        <v>Barre de céréales, pâte d'amande</v>
      </c>
      <c r="D5890" s="20" t="str">
        <f t="array" ref="D5890">xlookup($A5890,product!$A:$A,product!D:D)</f>
        <v>Barre de céréales, fruits</v>
      </c>
      <c r="E5890" s="4" t="str">
        <f t="shared" si="1"/>
        <v>117573-Barre de céréales, pâte d'amande-Barre de céréales, fruits</v>
      </c>
      <c r="F5890" s="4">
        <v>0.0</v>
      </c>
      <c r="G5890" s="4">
        <v>420.0</v>
      </c>
      <c r="H5890" s="4">
        <v>299.0</v>
      </c>
      <c r="I5890" s="21">
        <f t="array" ref="I5890">XLOOKUP($A5890,product!A:A,product!E:E)</f>
        <v>1.55</v>
      </c>
      <c r="J5890" s="4">
        <f t="shared" si="2"/>
        <v>463.45</v>
      </c>
      <c r="K5890" s="22">
        <f t="shared" si="3"/>
        <v>1</v>
      </c>
      <c r="L5890" s="4">
        <f t="shared" si="4"/>
        <v>1</v>
      </c>
    </row>
    <row r="5891">
      <c r="A5891" s="23">
        <v>47638.0</v>
      </c>
      <c r="B5891" s="24" t="str">
        <f t="array" ref="B5891">xlookup($A5891,product!$A:$A,product!B:B)</f>
        <v>Epicerie sucrée</v>
      </c>
      <c r="C5891" s="24" t="str">
        <f t="array" ref="C5891">xlookup($A5891,product!$A:$A,product!C:C)</f>
        <v>Barre de céréales, pâte d'amande</v>
      </c>
      <c r="D5891" s="24" t="str">
        <f t="array" ref="D5891">xlookup($A5891,product!$A:$A,product!D:D)</f>
        <v>Barre de céréales, fruits</v>
      </c>
      <c r="E5891" s="25" t="str">
        <f t="shared" si="1"/>
        <v>47638-Barre de céréales, pâte d'amande-Barre de céréales, fruits</v>
      </c>
      <c r="F5891" s="25">
        <v>0.0</v>
      </c>
      <c r="G5891" s="25">
        <v>236.0</v>
      </c>
      <c r="H5891" s="25">
        <v>197.0</v>
      </c>
      <c r="I5891" s="26">
        <f t="array" ref="I5891">XLOOKUP($A5891,product!A:A,product!E:E)</f>
        <v>1.15</v>
      </c>
      <c r="J5891" s="25">
        <f t="shared" si="2"/>
        <v>226.55</v>
      </c>
      <c r="K5891" s="27">
        <f t="shared" si="3"/>
        <v>1</v>
      </c>
      <c r="L5891" s="25">
        <f t="shared" si="4"/>
        <v>1</v>
      </c>
    </row>
    <row r="5892">
      <c r="A5892" s="19">
        <v>110219.0</v>
      </c>
      <c r="B5892" s="20" t="str">
        <f t="array" ref="B5892">xlookup($A5892,product!$A:$A,product!B:B)</f>
        <v>Alimentation Bébé</v>
      </c>
      <c r="C5892" s="20" t="str">
        <f t="array" ref="C5892">xlookup($A5892,product!$A:$A,product!C:C)</f>
        <v>Préparation lait de chèvre bébé</v>
      </c>
      <c r="D5892" s="20" t="str">
        <f t="array" ref="D5892">xlookup($A5892,product!$A:$A,product!D:D)</f>
        <v>Préparations chèvre 1er âge</v>
      </c>
      <c r="E5892" s="4" t="str">
        <f t="shared" si="1"/>
        <v>110219-Préparation lait de chèvre bébé-Préparations chèvre 1er âge</v>
      </c>
      <c r="F5892" s="4">
        <v>1.0</v>
      </c>
      <c r="G5892" s="4">
        <v>284.0</v>
      </c>
      <c r="H5892" s="4">
        <v>159.0</v>
      </c>
      <c r="I5892" s="21">
        <f t="array" ref="I5892">XLOOKUP($A5892,product!A:A,product!E:E)</f>
        <v>20.81</v>
      </c>
      <c r="J5892" s="4">
        <f t="shared" si="2"/>
        <v>3308.79</v>
      </c>
      <c r="K5892" s="22">
        <f t="shared" si="3"/>
        <v>1</v>
      </c>
      <c r="L5892" s="4">
        <f t="shared" si="4"/>
        <v>1</v>
      </c>
    </row>
    <row r="5893">
      <c r="A5893" s="23">
        <v>116851.0</v>
      </c>
      <c r="B5893" s="24" t="str">
        <f t="array" ref="B5893">xlookup($A5893,product!$A:$A,product!B:B)</f>
        <v>Alimentation Bébé</v>
      </c>
      <c r="C5893" s="24" t="str">
        <f t="array" ref="C5893">xlookup($A5893,product!$A:$A,product!C:C)</f>
        <v>Préparation lait de chèvre bébé</v>
      </c>
      <c r="D5893" s="24" t="str">
        <f t="array" ref="D5893">xlookup($A5893,product!$A:$A,product!D:D)</f>
        <v>Préparations chèvre 1er âge</v>
      </c>
      <c r="E5893" s="25" t="str">
        <f t="shared" si="1"/>
        <v>116851-Préparation lait de chèvre bébé-Préparations chèvre 1er âge</v>
      </c>
      <c r="F5893" s="25">
        <v>0.0</v>
      </c>
      <c r="G5893" s="25">
        <v>960.0</v>
      </c>
      <c r="H5893" s="25">
        <v>2.0</v>
      </c>
      <c r="I5893" s="26">
        <f t="array" ref="I5893">XLOOKUP($A5893,product!A:A,product!E:E)</f>
        <v>18.81</v>
      </c>
      <c r="J5893" s="25">
        <f t="shared" si="2"/>
        <v>37.62</v>
      </c>
      <c r="K5893" s="27">
        <f t="shared" si="3"/>
        <v>1</v>
      </c>
      <c r="L5893" s="25">
        <f t="shared" si="4"/>
        <v>1</v>
      </c>
    </row>
    <row r="5894">
      <c r="A5894" s="19">
        <v>122737.0</v>
      </c>
      <c r="B5894" s="20" t="str">
        <f t="array" ref="B5894">xlookup($A5894,product!$A:$A,product!B:B)</f>
        <v>Alimentation Bébé</v>
      </c>
      <c r="C5894" s="20" t="str">
        <f t="array" ref="C5894">xlookup($A5894,product!$A:$A,product!C:C)</f>
        <v>Préparation lait de chèvre bébé</v>
      </c>
      <c r="D5894" s="20" t="str">
        <f t="array" ref="D5894">xlookup($A5894,product!$A:$A,product!D:D)</f>
        <v>Préparations chèvre 1er âge</v>
      </c>
      <c r="E5894" s="4" t="str">
        <f t="shared" si="1"/>
        <v>122737-Préparation lait de chèvre bébé-Préparations chèvre 1er âge</v>
      </c>
      <c r="F5894" s="4">
        <v>0.0</v>
      </c>
      <c r="G5894" s="4">
        <v>916.0</v>
      </c>
      <c r="H5894" s="4">
        <v>366.0</v>
      </c>
      <c r="I5894" s="21">
        <f t="array" ref="I5894">XLOOKUP($A5894,product!A:A,product!E:E)</f>
        <v>13.94</v>
      </c>
      <c r="J5894" s="4">
        <f t="shared" si="2"/>
        <v>5102.04</v>
      </c>
      <c r="K5894" s="22">
        <f t="shared" si="3"/>
        <v>1</v>
      </c>
      <c r="L5894" s="4">
        <f t="shared" si="4"/>
        <v>1</v>
      </c>
    </row>
    <row r="5895">
      <c r="A5895" s="23">
        <v>110226.0</v>
      </c>
      <c r="B5895" s="24" t="str">
        <f t="array" ref="B5895">xlookup($A5895,product!$A:$A,product!B:B)</f>
        <v>Alimentation Bébé</v>
      </c>
      <c r="C5895" s="24" t="str">
        <f t="array" ref="C5895">xlookup($A5895,product!$A:$A,product!C:C)</f>
        <v>Préparation lait de chèvre bébé</v>
      </c>
      <c r="D5895" s="24" t="str">
        <f t="array" ref="D5895">xlookup($A5895,product!$A:$A,product!D:D)</f>
        <v>Préparations chèvre 2ème âge</v>
      </c>
      <c r="E5895" s="25" t="str">
        <f t="shared" si="1"/>
        <v>110226-Préparation lait de chèvre bébé-Préparations chèvre 2ème âge</v>
      </c>
      <c r="F5895" s="25">
        <v>0.0</v>
      </c>
      <c r="G5895" s="25">
        <v>356.0</v>
      </c>
      <c r="H5895" s="25">
        <v>88.0</v>
      </c>
      <c r="I5895" s="26">
        <f t="array" ref="I5895">XLOOKUP($A5895,product!A:A,product!E:E)</f>
        <v>20.81</v>
      </c>
      <c r="J5895" s="25">
        <f t="shared" si="2"/>
        <v>1831.28</v>
      </c>
      <c r="K5895" s="27">
        <f t="shared" si="3"/>
        <v>1</v>
      </c>
      <c r="L5895" s="25">
        <f t="shared" si="4"/>
        <v>1</v>
      </c>
    </row>
    <row r="5896">
      <c r="A5896" s="19">
        <v>115773.0</v>
      </c>
      <c r="B5896" s="20" t="str">
        <f t="array" ref="B5896">xlookup($A5896,product!$A:$A,product!B:B)</f>
        <v>Alimentation Bébé</v>
      </c>
      <c r="C5896" s="20" t="str">
        <f t="array" ref="C5896">xlookup($A5896,product!$A:$A,product!C:C)</f>
        <v>Préparation lait de chèvre bébé</v>
      </c>
      <c r="D5896" s="20" t="str">
        <f t="array" ref="D5896">xlookup($A5896,product!$A:$A,product!D:D)</f>
        <v>Préparations chèvre 2ème âge</v>
      </c>
      <c r="E5896" s="4" t="str">
        <f t="shared" si="1"/>
        <v>115773-Préparation lait de chèvre bébé-Préparations chèvre 2ème âge</v>
      </c>
      <c r="F5896" s="4">
        <v>0.0</v>
      </c>
      <c r="G5896" s="4">
        <v>651.0</v>
      </c>
      <c r="H5896" s="4">
        <v>250.0</v>
      </c>
      <c r="I5896" s="21">
        <f t="array" ref="I5896">XLOOKUP($A5896,product!A:A,product!E:E)</f>
        <v>20.85</v>
      </c>
      <c r="J5896" s="4">
        <f t="shared" si="2"/>
        <v>5212.5</v>
      </c>
      <c r="K5896" s="22">
        <f t="shared" si="3"/>
        <v>1</v>
      </c>
      <c r="L5896" s="4">
        <f t="shared" si="4"/>
        <v>1</v>
      </c>
    </row>
    <row r="5897">
      <c r="A5897" s="23">
        <v>109580.0</v>
      </c>
      <c r="B5897" s="24" t="str">
        <f t="array" ref="B5897">xlookup($A5897,product!$A:$A,product!B:B)</f>
        <v>Alimentation Bébé</v>
      </c>
      <c r="C5897" s="24" t="str">
        <f t="array" ref="C5897">xlookup($A5897,product!$A:$A,product!C:C)</f>
        <v>Préparation lait de chèvre bébé</v>
      </c>
      <c r="D5897" s="24" t="str">
        <f t="array" ref="D5897">xlookup($A5897,product!$A:$A,product!D:D)</f>
        <v>Préparations chèvre 2ème âge</v>
      </c>
      <c r="E5897" s="25" t="str">
        <f t="shared" si="1"/>
        <v>109580-Préparation lait de chèvre bébé-Préparations chèvre 2ème âge</v>
      </c>
      <c r="F5897" s="25">
        <v>1.0</v>
      </c>
      <c r="G5897" s="25">
        <v>98.0</v>
      </c>
      <c r="H5897" s="25">
        <v>6.0</v>
      </c>
      <c r="I5897" s="26">
        <f t="array" ref="I5897">XLOOKUP($A5897,product!A:A,product!E:E)</f>
        <v>19.86</v>
      </c>
      <c r="J5897" s="25">
        <f t="shared" si="2"/>
        <v>119.16</v>
      </c>
      <c r="K5897" s="27">
        <f t="shared" si="3"/>
        <v>1</v>
      </c>
      <c r="L5897" s="25">
        <f t="shared" si="4"/>
        <v>1</v>
      </c>
    </row>
    <row r="5898">
      <c r="A5898" s="19">
        <v>114255.0</v>
      </c>
      <c r="B5898" s="20" t="str">
        <f t="array" ref="B5898">xlookup($A5898,product!$A:$A,product!B:B)</f>
        <v>Alimentation Bébé</v>
      </c>
      <c r="C5898" s="20" t="str">
        <f t="array" ref="C5898">xlookup($A5898,product!$A:$A,product!C:C)</f>
        <v>Préparation lait de chèvre bébé</v>
      </c>
      <c r="D5898" s="20" t="str">
        <f t="array" ref="D5898">xlookup($A5898,product!$A:$A,product!D:D)</f>
        <v>Préparations chèvre croissance</v>
      </c>
      <c r="E5898" s="4" t="str">
        <f t="shared" si="1"/>
        <v>114255-Préparation lait de chèvre bébé-Préparations chèvre croissance</v>
      </c>
      <c r="F5898" s="4">
        <v>0.0</v>
      </c>
      <c r="G5898" s="4">
        <v>494.0</v>
      </c>
      <c r="H5898" s="4">
        <v>107.0</v>
      </c>
      <c r="I5898" s="21">
        <f t="array" ref="I5898">XLOOKUP($A5898,product!A:A,product!E:E)</f>
        <v>20.77</v>
      </c>
      <c r="J5898" s="4">
        <f t="shared" si="2"/>
        <v>2222.39</v>
      </c>
      <c r="K5898" s="22">
        <f t="shared" si="3"/>
        <v>1</v>
      </c>
      <c r="L5898" s="4">
        <f t="shared" si="4"/>
        <v>1</v>
      </c>
    </row>
    <row r="5899">
      <c r="A5899" s="23">
        <v>122745.0</v>
      </c>
      <c r="B5899" s="24" t="str">
        <f t="array" ref="B5899">xlookup($A5899,product!$A:$A,product!B:B)</f>
        <v>Alimentation Bébé</v>
      </c>
      <c r="C5899" s="24" t="str">
        <f t="array" ref="C5899">xlookup($A5899,product!$A:$A,product!C:C)</f>
        <v>Préparation lait de chèvre bébé</v>
      </c>
      <c r="D5899" s="24" t="str">
        <f t="array" ref="D5899">xlookup($A5899,product!$A:$A,product!D:D)</f>
        <v>Préparations chèvre croissance</v>
      </c>
      <c r="E5899" s="25" t="str">
        <f t="shared" si="1"/>
        <v>122745-Préparation lait de chèvre bébé-Préparations chèvre croissance</v>
      </c>
      <c r="F5899" s="25">
        <v>1.0</v>
      </c>
      <c r="G5899" s="25">
        <v>300.0</v>
      </c>
      <c r="H5899" s="25">
        <v>176.0</v>
      </c>
      <c r="I5899" s="26">
        <f t="array" ref="I5899">XLOOKUP($A5899,product!A:A,product!E:E)</f>
        <v>13.94</v>
      </c>
      <c r="J5899" s="25">
        <f t="shared" si="2"/>
        <v>2453.44</v>
      </c>
      <c r="K5899" s="27">
        <f t="shared" si="3"/>
        <v>1</v>
      </c>
      <c r="L5899" s="25">
        <f t="shared" si="4"/>
        <v>1</v>
      </c>
    </row>
    <row r="5900">
      <c r="A5900" s="19">
        <v>116873.0</v>
      </c>
      <c r="B5900" s="20" t="str">
        <f t="array" ref="B5900">xlookup($A5900,product!$A:$A,product!B:B)</f>
        <v>Alimentation Bébé</v>
      </c>
      <c r="C5900" s="20" t="str">
        <f t="array" ref="C5900">xlookup($A5900,product!$A:$A,product!C:C)</f>
        <v>Préparation lait de chèvre bébé</v>
      </c>
      <c r="D5900" s="20" t="str">
        <f t="array" ref="D5900">xlookup($A5900,product!$A:$A,product!D:D)</f>
        <v>Préparations chèvre croissance</v>
      </c>
      <c r="E5900" s="4" t="str">
        <f t="shared" si="1"/>
        <v>116873-Préparation lait de chèvre bébé-Préparations chèvre croissance</v>
      </c>
      <c r="F5900" s="4">
        <v>1.0</v>
      </c>
      <c r="G5900" s="4">
        <v>867.0</v>
      </c>
      <c r="H5900" s="4">
        <v>282.0</v>
      </c>
      <c r="I5900" s="21">
        <f t="array" ref="I5900">XLOOKUP($A5900,product!A:A,product!E:E)</f>
        <v>18.81</v>
      </c>
      <c r="J5900" s="4">
        <f t="shared" si="2"/>
        <v>5304.42</v>
      </c>
      <c r="K5900" s="22">
        <f t="shared" si="3"/>
        <v>1</v>
      </c>
      <c r="L5900" s="4">
        <f t="shared" si="4"/>
        <v>1</v>
      </c>
    </row>
    <row r="5901">
      <c r="A5901" s="23">
        <v>110228.0</v>
      </c>
      <c r="B5901" s="24" t="str">
        <f t="array" ref="B5901">xlookup($A5901,product!$A:$A,product!B:B)</f>
        <v>Alimentation Bébé</v>
      </c>
      <c r="C5901" s="24" t="str">
        <f t="array" ref="C5901">xlookup($A5901,product!$A:$A,product!C:C)</f>
        <v>Préparation lait de chèvre bébé</v>
      </c>
      <c r="D5901" s="24" t="str">
        <f t="array" ref="D5901">xlookup($A5901,product!$A:$A,product!D:D)</f>
        <v>Préparations chèvre croissance</v>
      </c>
      <c r="E5901" s="25" t="str">
        <f t="shared" si="1"/>
        <v>110228-Préparation lait de chèvre bébé-Préparations chèvre croissance</v>
      </c>
      <c r="F5901" s="25">
        <v>1.0</v>
      </c>
      <c r="G5901" s="25">
        <v>346.0</v>
      </c>
      <c r="H5901" s="25">
        <v>142.0</v>
      </c>
      <c r="I5901" s="26">
        <f t="array" ref="I5901">XLOOKUP($A5901,product!A:A,product!E:E)</f>
        <v>20.81</v>
      </c>
      <c r="J5901" s="28">
        <f t="shared" si="2"/>
        <v>2955.02</v>
      </c>
      <c r="K5901" s="29">
        <f t="shared" si="3"/>
        <v>1</v>
      </c>
      <c r="L5901" s="25">
        <f t="shared" si="4"/>
        <v>1</v>
      </c>
    </row>
    <row r="5902">
      <c r="A5902" s="19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</row>
    <row r="5903">
      <c r="A5903" s="23"/>
      <c r="B5903" s="25"/>
      <c r="C5903" s="25"/>
      <c r="D5903" s="25"/>
      <c r="E5903" s="25"/>
      <c r="F5903" s="25"/>
      <c r="G5903" s="25"/>
      <c r="H5903" s="25"/>
      <c r="I5903" s="25"/>
      <c r="J5903" s="25"/>
      <c r="K5903" s="25"/>
      <c r="L5903" s="25"/>
    </row>
    <row r="5904">
      <c r="A5904" s="19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</row>
    <row r="5905">
      <c r="A5905" s="23"/>
      <c r="B5905" s="25"/>
      <c r="C5905" s="25"/>
      <c r="D5905" s="25"/>
      <c r="E5905" s="25"/>
      <c r="F5905" s="25"/>
      <c r="G5905" s="25"/>
      <c r="H5905" s="25"/>
      <c r="I5905" s="25"/>
      <c r="J5905" s="25"/>
      <c r="K5905" s="25"/>
      <c r="L5905" s="25"/>
    </row>
    <row r="5906">
      <c r="A5906" s="19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</row>
    <row r="5907">
      <c r="A5907" s="23"/>
      <c r="B5907" s="25"/>
      <c r="C5907" s="25"/>
      <c r="D5907" s="25"/>
      <c r="E5907" s="25"/>
      <c r="F5907" s="25"/>
      <c r="G5907" s="25"/>
      <c r="H5907" s="25"/>
      <c r="I5907" s="25"/>
      <c r="J5907" s="25"/>
      <c r="K5907" s="25"/>
      <c r="L5907" s="25"/>
    </row>
    <row r="5908">
      <c r="A5908" s="19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</row>
    <row r="5909">
      <c r="A5909" s="23"/>
      <c r="B5909" s="25"/>
      <c r="C5909" s="25"/>
      <c r="D5909" s="25"/>
      <c r="E5909" s="25"/>
      <c r="F5909" s="25"/>
      <c r="G5909" s="25"/>
      <c r="H5909" s="25"/>
      <c r="I5909" s="25"/>
      <c r="J5909" s="25"/>
      <c r="K5909" s="25"/>
      <c r="L5909" s="25"/>
    </row>
    <row r="5910">
      <c r="A5910" s="19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</row>
    <row r="5911">
      <c r="A5911" s="23"/>
      <c r="B5911" s="25"/>
      <c r="C5911" s="25"/>
      <c r="D5911" s="25"/>
      <c r="E5911" s="25"/>
      <c r="F5911" s="25"/>
      <c r="G5911" s="25"/>
      <c r="H5911" s="25"/>
      <c r="I5911" s="25"/>
      <c r="J5911" s="25"/>
      <c r="K5911" s="25"/>
      <c r="L5911" s="25"/>
    </row>
    <row r="5912">
      <c r="A5912" s="19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</row>
    <row r="5913">
      <c r="A5913" s="23"/>
      <c r="B5913" s="25"/>
      <c r="C5913" s="25"/>
      <c r="D5913" s="25"/>
      <c r="E5913" s="25"/>
      <c r="F5913" s="25"/>
      <c r="G5913" s="25"/>
      <c r="H5913" s="25"/>
      <c r="I5913" s="25"/>
      <c r="J5913" s="25"/>
      <c r="K5913" s="25"/>
      <c r="L5913" s="25"/>
    </row>
    <row r="5914">
      <c r="A5914" s="19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</row>
    <row r="5915">
      <c r="A5915" s="23"/>
      <c r="B5915" s="25"/>
      <c r="C5915" s="25"/>
      <c r="D5915" s="25"/>
      <c r="E5915" s="25"/>
      <c r="F5915" s="25"/>
      <c r="G5915" s="25"/>
      <c r="H5915" s="25"/>
      <c r="I5915" s="25"/>
      <c r="J5915" s="25"/>
      <c r="K5915" s="25"/>
      <c r="L5915" s="25"/>
    </row>
    <row r="5916">
      <c r="A5916" s="19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</row>
    <row r="5917">
      <c r="A5917" s="23"/>
      <c r="B5917" s="25"/>
      <c r="C5917" s="25"/>
      <c r="D5917" s="25"/>
      <c r="E5917" s="25"/>
      <c r="F5917" s="25"/>
      <c r="G5917" s="25"/>
      <c r="H5917" s="25"/>
      <c r="I5917" s="25"/>
      <c r="J5917" s="25"/>
      <c r="K5917" s="25"/>
      <c r="L5917" s="25"/>
    </row>
    <row r="5918">
      <c r="A5918" s="19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</row>
    <row r="5919">
      <c r="A5919" s="23"/>
      <c r="B5919" s="25"/>
      <c r="C5919" s="25"/>
      <c r="D5919" s="25"/>
      <c r="E5919" s="25"/>
      <c r="F5919" s="25"/>
      <c r="G5919" s="25"/>
      <c r="H5919" s="25"/>
      <c r="I5919" s="25"/>
      <c r="J5919" s="25"/>
      <c r="K5919" s="25"/>
      <c r="L5919" s="25"/>
    </row>
    <row r="5920">
      <c r="A5920" s="19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</row>
    <row r="5921">
      <c r="A5921" s="23"/>
      <c r="B5921" s="25"/>
      <c r="C5921" s="25"/>
      <c r="D5921" s="25"/>
      <c r="E5921" s="25"/>
      <c r="F5921" s="25"/>
      <c r="G5921" s="25"/>
      <c r="H5921" s="25"/>
      <c r="I5921" s="25"/>
      <c r="J5921" s="25"/>
      <c r="K5921" s="25"/>
      <c r="L5921" s="25"/>
    </row>
    <row r="5922">
      <c r="A5922" s="19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</row>
    <row r="5923">
      <c r="A5923" s="23"/>
      <c r="B5923" s="25"/>
      <c r="C5923" s="25"/>
      <c r="D5923" s="25"/>
      <c r="E5923" s="25"/>
      <c r="F5923" s="25"/>
      <c r="G5923" s="25"/>
      <c r="H5923" s="25"/>
      <c r="I5923" s="25"/>
      <c r="J5923" s="25"/>
      <c r="K5923" s="25"/>
      <c r="L5923" s="25"/>
    </row>
    <row r="5924">
      <c r="A5924" s="19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</row>
    <row r="5925">
      <c r="A5925" s="23"/>
      <c r="B5925" s="25"/>
      <c r="C5925" s="25"/>
      <c r="D5925" s="25"/>
      <c r="E5925" s="25"/>
      <c r="F5925" s="25"/>
      <c r="G5925" s="25"/>
      <c r="H5925" s="25"/>
      <c r="I5925" s="25"/>
      <c r="J5925" s="25"/>
      <c r="K5925" s="25"/>
      <c r="L5925" s="25"/>
    </row>
    <row r="5926">
      <c r="A5926" s="19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</row>
    <row r="5927">
      <c r="A5927" s="23"/>
      <c r="B5927" s="25"/>
      <c r="C5927" s="25"/>
      <c r="D5927" s="25"/>
      <c r="E5927" s="25"/>
      <c r="F5927" s="25"/>
      <c r="G5927" s="25"/>
      <c r="H5927" s="25"/>
      <c r="I5927" s="25"/>
      <c r="J5927" s="25"/>
      <c r="K5927" s="25"/>
      <c r="L5927" s="25"/>
    </row>
    <row r="5928">
      <c r="A5928" s="19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</row>
    <row r="5929">
      <c r="A5929" s="23"/>
      <c r="B5929" s="25"/>
      <c r="C5929" s="25"/>
      <c r="D5929" s="25"/>
      <c r="E5929" s="25"/>
      <c r="F5929" s="25"/>
      <c r="G5929" s="25"/>
      <c r="H5929" s="25"/>
      <c r="I5929" s="25"/>
      <c r="J5929" s="25"/>
      <c r="K5929" s="25"/>
      <c r="L5929" s="25"/>
    </row>
    <row r="5930">
      <c r="A5930" s="19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</row>
    <row r="5931">
      <c r="A5931" s="23"/>
      <c r="B5931" s="25"/>
      <c r="C5931" s="25"/>
      <c r="D5931" s="25"/>
      <c r="E5931" s="25"/>
      <c r="F5931" s="25"/>
      <c r="G5931" s="25"/>
      <c r="H5931" s="25"/>
      <c r="I5931" s="25"/>
      <c r="J5931" s="25"/>
      <c r="K5931" s="25"/>
      <c r="L5931" s="25"/>
    </row>
    <row r="5932">
      <c r="A5932" s="19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</row>
    <row r="5933">
      <c r="A5933" s="23"/>
      <c r="B5933" s="25"/>
      <c r="C5933" s="25"/>
      <c r="D5933" s="25"/>
      <c r="E5933" s="25"/>
      <c r="F5933" s="25"/>
      <c r="G5933" s="25"/>
      <c r="H5933" s="25"/>
      <c r="I5933" s="25"/>
      <c r="J5933" s="25"/>
      <c r="K5933" s="25"/>
      <c r="L5933" s="25"/>
    </row>
    <row r="5934">
      <c r="A5934" s="19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</row>
    <row r="5935">
      <c r="A5935" s="23"/>
      <c r="B5935" s="25"/>
      <c r="C5935" s="25"/>
      <c r="D5935" s="25"/>
      <c r="E5935" s="25"/>
      <c r="F5935" s="25"/>
      <c r="G5935" s="25"/>
      <c r="H5935" s="25"/>
      <c r="I5935" s="25"/>
      <c r="J5935" s="25"/>
      <c r="K5935" s="25"/>
      <c r="L5935" s="25"/>
    </row>
    <row r="5936">
      <c r="A5936" s="19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</row>
    <row r="5937">
      <c r="A5937" s="23"/>
      <c r="B5937" s="25"/>
      <c r="C5937" s="25"/>
      <c r="D5937" s="25"/>
      <c r="E5937" s="25"/>
      <c r="F5937" s="25"/>
      <c r="G5937" s="25"/>
      <c r="H5937" s="25"/>
      <c r="I5937" s="25"/>
      <c r="J5937" s="25"/>
      <c r="K5937" s="25"/>
      <c r="L5937" s="25"/>
    </row>
    <row r="5938">
      <c r="A5938" s="19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</row>
    <row r="5939">
      <c r="A5939" s="23"/>
      <c r="B5939" s="25"/>
      <c r="C5939" s="25"/>
      <c r="D5939" s="25"/>
      <c r="E5939" s="25"/>
      <c r="F5939" s="25"/>
      <c r="G5939" s="25"/>
      <c r="H5939" s="25"/>
      <c r="I5939" s="25"/>
      <c r="J5939" s="25"/>
      <c r="K5939" s="25"/>
      <c r="L5939" s="25"/>
    </row>
    <row r="5940">
      <c r="A5940" s="19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</row>
    <row r="5941">
      <c r="A5941" s="23"/>
      <c r="B5941" s="25"/>
      <c r="C5941" s="25"/>
      <c r="D5941" s="25"/>
      <c r="E5941" s="25"/>
      <c r="F5941" s="25"/>
      <c r="G5941" s="25"/>
      <c r="H5941" s="25"/>
      <c r="I5941" s="25"/>
      <c r="J5941" s="25"/>
      <c r="K5941" s="25"/>
      <c r="L5941" s="25"/>
    </row>
    <row r="5942">
      <c r="A5942" s="19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</row>
    <row r="5943">
      <c r="A5943" s="23"/>
      <c r="B5943" s="25"/>
      <c r="C5943" s="25"/>
      <c r="D5943" s="25"/>
      <c r="E5943" s="25"/>
      <c r="F5943" s="25"/>
      <c r="G5943" s="25"/>
      <c r="H5943" s="25"/>
      <c r="I5943" s="25"/>
      <c r="J5943" s="25"/>
      <c r="K5943" s="25"/>
      <c r="L5943" s="25"/>
    </row>
    <row r="5944">
      <c r="A5944" s="19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</row>
    <row r="5945">
      <c r="A5945" s="23"/>
      <c r="B5945" s="25"/>
      <c r="C5945" s="25"/>
      <c r="D5945" s="25"/>
      <c r="E5945" s="25"/>
      <c r="F5945" s="25"/>
      <c r="G5945" s="25"/>
      <c r="H5945" s="25"/>
      <c r="I5945" s="25"/>
      <c r="J5945" s="25"/>
      <c r="K5945" s="25"/>
      <c r="L5945" s="25"/>
    </row>
    <row r="5946">
      <c r="A5946" s="19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</row>
    <row r="5947">
      <c r="A5947" s="23"/>
      <c r="B5947" s="25"/>
      <c r="C5947" s="25"/>
      <c r="D5947" s="25"/>
      <c r="E5947" s="25"/>
      <c r="F5947" s="25"/>
      <c r="G5947" s="25"/>
      <c r="H5947" s="25"/>
      <c r="I5947" s="25"/>
      <c r="J5947" s="25"/>
      <c r="K5947" s="25"/>
      <c r="L5947" s="25"/>
    </row>
    <row r="5948">
      <c r="A5948" s="19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</row>
    <row r="5949">
      <c r="A5949" s="23"/>
      <c r="B5949" s="25"/>
      <c r="C5949" s="25"/>
      <c r="D5949" s="25"/>
      <c r="E5949" s="25"/>
      <c r="F5949" s="25"/>
      <c r="G5949" s="25"/>
      <c r="H5949" s="25"/>
      <c r="I5949" s="25"/>
      <c r="J5949" s="25"/>
      <c r="K5949" s="25"/>
      <c r="L5949" s="25"/>
    </row>
    <row r="5950">
      <c r="A5950" s="19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</row>
    <row r="5951">
      <c r="A5951" s="23"/>
      <c r="B5951" s="25"/>
      <c r="C5951" s="25"/>
      <c r="D5951" s="25"/>
      <c r="E5951" s="25"/>
      <c r="F5951" s="25"/>
      <c r="G5951" s="25"/>
      <c r="H5951" s="25"/>
      <c r="I5951" s="25"/>
      <c r="J5951" s="25"/>
      <c r="K5951" s="25"/>
      <c r="L5951" s="25"/>
    </row>
    <row r="5952">
      <c r="A5952" s="19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</row>
    <row r="5953">
      <c r="A5953" s="23"/>
      <c r="B5953" s="25"/>
      <c r="C5953" s="25"/>
      <c r="D5953" s="25"/>
      <c r="E5953" s="25"/>
      <c r="F5953" s="25"/>
      <c r="G5953" s="25"/>
      <c r="H5953" s="25"/>
      <c r="I5953" s="25"/>
      <c r="J5953" s="25"/>
      <c r="K5953" s="25"/>
      <c r="L5953" s="25"/>
    </row>
    <row r="5954">
      <c r="A5954" s="19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</row>
    <row r="5955">
      <c r="A5955" s="23"/>
      <c r="B5955" s="25"/>
      <c r="C5955" s="25"/>
      <c r="D5955" s="25"/>
      <c r="E5955" s="25"/>
      <c r="F5955" s="25"/>
      <c r="G5955" s="25"/>
      <c r="H5955" s="25"/>
      <c r="I5955" s="25"/>
      <c r="J5955" s="25"/>
      <c r="K5955" s="25"/>
      <c r="L5955" s="25"/>
    </row>
    <row r="5956">
      <c r="A5956" s="19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</row>
    <row r="5957">
      <c r="A5957" s="23"/>
      <c r="B5957" s="25"/>
      <c r="C5957" s="25"/>
      <c r="D5957" s="25"/>
      <c r="E5957" s="25"/>
      <c r="F5957" s="25"/>
      <c r="G5957" s="25"/>
      <c r="H5957" s="25"/>
      <c r="I5957" s="25"/>
      <c r="J5957" s="25"/>
      <c r="K5957" s="25"/>
      <c r="L5957" s="25"/>
    </row>
    <row r="5958">
      <c r="A5958" s="19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</row>
    <row r="5959">
      <c r="A5959" s="23"/>
      <c r="B5959" s="25"/>
      <c r="C5959" s="25"/>
      <c r="D5959" s="25"/>
      <c r="E5959" s="25"/>
      <c r="F5959" s="25"/>
      <c r="G5959" s="25"/>
      <c r="H5959" s="25"/>
      <c r="I5959" s="25"/>
      <c r="J5959" s="25"/>
      <c r="K5959" s="25"/>
      <c r="L5959" s="25"/>
    </row>
    <row r="5960">
      <c r="A5960" s="19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</row>
    <row r="5961">
      <c r="A5961" s="23"/>
      <c r="B5961" s="25"/>
      <c r="C5961" s="25"/>
      <c r="D5961" s="25"/>
      <c r="E5961" s="25"/>
      <c r="F5961" s="25"/>
      <c r="G5961" s="25"/>
      <c r="H5961" s="25"/>
      <c r="I5961" s="25"/>
      <c r="J5961" s="25"/>
      <c r="K5961" s="25"/>
      <c r="L5961" s="25"/>
    </row>
    <row r="5962">
      <c r="A5962" s="19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</row>
    <row r="5963">
      <c r="A5963" s="23"/>
      <c r="B5963" s="25"/>
      <c r="C5963" s="25"/>
      <c r="D5963" s="25"/>
      <c r="E5963" s="25"/>
      <c r="F5963" s="25"/>
      <c r="G5963" s="25"/>
      <c r="H5963" s="25"/>
      <c r="I5963" s="25"/>
      <c r="J5963" s="25"/>
      <c r="K5963" s="25"/>
      <c r="L5963" s="25"/>
    </row>
    <row r="5964">
      <c r="A5964" s="19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</row>
    <row r="5965">
      <c r="A5965" s="23"/>
      <c r="B5965" s="25"/>
      <c r="C5965" s="25"/>
      <c r="D5965" s="25"/>
      <c r="E5965" s="25"/>
      <c r="F5965" s="25"/>
      <c r="G5965" s="25"/>
      <c r="H5965" s="25"/>
      <c r="I5965" s="25"/>
      <c r="J5965" s="25"/>
      <c r="K5965" s="25"/>
      <c r="L5965" s="25"/>
    </row>
    <row r="5966">
      <c r="A5966" s="19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</row>
    <row r="5967">
      <c r="A5967" s="23"/>
      <c r="B5967" s="25"/>
      <c r="C5967" s="25"/>
      <c r="D5967" s="25"/>
      <c r="E5967" s="25"/>
      <c r="F5967" s="25"/>
      <c r="G5967" s="25"/>
      <c r="H5967" s="25"/>
      <c r="I5967" s="25"/>
      <c r="J5967" s="25"/>
      <c r="K5967" s="25"/>
      <c r="L5967" s="25"/>
    </row>
    <row r="5968">
      <c r="A5968" s="19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</row>
    <row r="5969">
      <c r="A5969" s="23"/>
      <c r="B5969" s="25"/>
      <c r="C5969" s="25"/>
      <c r="D5969" s="25"/>
      <c r="E5969" s="25"/>
      <c r="F5969" s="25"/>
      <c r="G5969" s="25"/>
      <c r="H5969" s="25"/>
      <c r="I5969" s="25"/>
      <c r="J5969" s="25"/>
      <c r="K5969" s="25"/>
      <c r="L5969" s="25"/>
    </row>
    <row r="5970">
      <c r="A5970" s="19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</row>
    <row r="5971">
      <c r="A5971" s="23"/>
      <c r="B5971" s="25"/>
      <c r="C5971" s="25"/>
      <c r="D5971" s="25"/>
      <c r="E5971" s="25"/>
      <c r="F5971" s="25"/>
      <c r="G5971" s="25"/>
      <c r="H5971" s="25"/>
      <c r="I5971" s="25"/>
      <c r="J5971" s="25"/>
      <c r="K5971" s="25"/>
      <c r="L5971" s="25"/>
    </row>
    <row r="5972">
      <c r="A5972" s="19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</row>
    <row r="5973">
      <c r="A5973" s="23"/>
      <c r="B5973" s="25"/>
      <c r="C5973" s="25"/>
      <c r="D5973" s="25"/>
      <c r="E5973" s="25"/>
      <c r="F5973" s="25"/>
      <c r="G5973" s="25"/>
      <c r="H5973" s="25"/>
      <c r="I5973" s="25"/>
      <c r="J5973" s="25"/>
      <c r="K5973" s="25"/>
      <c r="L5973" s="25"/>
    </row>
    <row r="5974">
      <c r="A5974" s="19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</row>
    <row r="5975">
      <c r="A5975" s="23"/>
      <c r="B5975" s="25"/>
      <c r="C5975" s="25"/>
      <c r="D5975" s="25"/>
      <c r="E5975" s="25"/>
      <c r="F5975" s="25"/>
      <c r="G5975" s="25"/>
      <c r="H5975" s="25"/>
      <c r="I5975" s="25"/>
      <c r="J5975" s="25"/>
      <c r="K5975" s="25"/>
      <c r="L5975" s="25"/>
    </row>
    <row r="5976">
      <c r="A5976" s="19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</row>
    <row r="5977">
      <c r="A5977" s="23"/>
      <c r="B5977" s="25"/>
      <c r="C5977" s="25"/>
      <c r="D5977" s="25"/>
      <c r="E5977" s="25"/>
      <c r="F5977" s="25"/>
      <c r="G5977" s="25"/>
      <c r="H5977" s="25"/>
      <c r="I5977" s="25"/>
      <c r="J5977" s="25"/>
      <c r="K5977" s="25"/>
      <c r="L5977" s="25"/>
    </row>
    <row r="5978">
      <c r="A5978" s="19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</row>
    <row r="5979">
      <c r="A5979" s="23"/>
      <c r="B5979" s="25"/>
      <c r="C5979" s="25"/>
      <c r="D5979" s="25"/>
      <c r="E5979" s="25"/>
      <c r="F5979" s="25"/>
      <c r="G5979" s="25"/>
      <c r="H5979" s="25"/>
      <c r="I5979" s="25"/>
      <c r="J5979" s="25"/>
      <c r="K5979" s="25"/>
      <c r="L5979" s="25"/>
    </row>
    <row r="5980">
      <c r="A5980" s="19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</row>
    <row r="5981">
      <c r="A5981" s="23"/>
      <c r="B5981" s="25"/>
      <c r="C5981" s="25"/>
      <c r="D5981" s="25"/>
      <c r="E5981" s="25"/>
      <c r="F5981" s="25"/>
      <c r="G5981" s="25"/>
      <c r="H5981" s="25"/>
      <c r="I5981" s="25"/>
      <c r="J5981" s="25"/>
      <c r="K5981" s="25"/>
      <c r="L5981" s="25"/>
    </row>
    <row r="5982">
      <c r="A5982" s="19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</row>
    <row r="5983">
      <c r="A5983" s="23"/>
      <c r="B5983" s="25"/>
      <c r="C5983" s="25"/>
      <c r="D5983" s="25"/>
      <c r="E5983" s="25"/>
      <c r="F5983" s="25"/>
      <c r="G5983" s="25"/>
      <c r="H5983" s="25"/>
      <c r="I5983" s="25"/>
      <c r="J5983" s="25"/>
      <c r="K5983" s="25"/>
      <c r="L5983" s="25"/>
    </row>
    <row r="5984">
      <c r="A5984" s="19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</row>
    <row r="5985">
      <c r="A5985" s="23"/>
      <c r="B5985" s="25"/>
      <c r="C5985" s="25"/>
      <c r="D5985" s="25"/>
      <c r="E5985" s="25"/>
      <c r="F5985" s="25"/>
      <c r="G5985" s="25"/>
      <c r="H5985" s="25"/>
      <c r="I5985" s="25"/>
      <c r="J5985" s="25"/>
      <c r="K5985" s="25"/>
      <c r="L5985" s="25"/>
    </row>
    <row r="5986">
      <c r="A5986" s="19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</row>
    <row r="5987">
      <c r="A5987" s="23"/>
      <c r="B5987" s="25"/>
      <c r="C5987" s="25"/>
      <c r="D5987" s="25"/>
      <c r="E5987" s="25"/>
      <c r="F5987" s="25"/>
      <c r="G5987" s="25"/>
      <c r="H5987" s="25"/>
      <c r="I5987" s="25"/>
      <c r="J5987" s="25"/>
      <c r="K5987" s="25"/>
      <c r="L5987" s="25"/>
    </row>
    <row r="5988">
      <c r="A5988" s="19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</row>
    <row r="5989">
      <c r="A5989" s="23"/>
      <c r="B5989" s="25"/>
      <c r="C5989" s="25"/>
      <c r="D5989" s="25"/>
      <c r="E5989" s="25"/>
      <c r="F5989" s="25"/>
      <c r="G5989" s="25"/>
      <c r="H5989" s="25"/>
      <c r="I5989" s="25"/>
      <c r="J5989" s="25"/>
      <c r="K5989" s="25"/>
      <c r="L5989" s="25"/>
    </row>
    <row r="5990">
      <c r="A5990" s="19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</row>
    <row r="5991">
      <c r="A5991" s="23"/>
      <c r="B5991" s="25"/>
      <c r="C5991" s="25"/>
      <c r="D5991" s="25"/>
      <c r="E5991" s="25"/>
      <c r="F5991" s="25"/>
      <c r="G5991" s="25"/>
      <c r="H5991" s="25"/>
      <c r="I5991" s="25"/>
      <c r="J5991" s="25"/>
      <c r="K5991" s="25"/>
      <c r="L5991" s="25"/>
    </row>
    <row r="5992">
      <c r="A5992" s="19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</row>
    <row r="5993">
      <c r="A5993" s="23"/>
      <c r="B5993" s="25"/>
      <c r="C5993" s="25"/>
      <c r="D5993" s="25"/>
      <c r="E5993" s="25"/>
      <c r="F5993" s="25"/>
      <c r="G5993" s="25"/>
      <c r="H5993" s="25"/>
      <c r="I5993" s="25"/>
      <c r="J5993" s="25"/>
      <c r="K5993" s="25"/>
      <c r="L5993" s="25"/>
    </row>
    <row r="5994">
      <c r="A5994" s="19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</row>
    <row r="5995">
      <c r="A5995" s="23"/>
      <c r="B5995" s="25"/>
      <c r="C5995" s="25"/>
      <c r="D5995" s="25"/>
      <c r="E5995" s="25"/>
      <c r="F5995" s="25"/>
      <c r="G5995" s="25"/>
      <c r="H5995" s="25"/>
      <c r="I5995" s="25"/>
      <c r="J5995" s="25"/>
      <c r="K5995" s="25"/>
      <c r="L5995" s="25"/>
    </row>
    <row r="5996">
      <c r="A5996" s="19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</row>
    <row r="5997">
      <c r="A5997" s="23"/>
      <c r="B5997" s="25"/>
      <c r="C5997" s="25"/>
      <c r="D5997" s="25"/>
      <c r="E5997" s="25"/>
      <c r="F5997" s="25"/>
      <c r="G5997" s="25"/>
      <c r="H5997" s="25"/>
      <c r="I5997" s="25"/>
      <c r="J5997" s="25"/>
      <c r="K5997" s="25"/>
      <c r="L5997" s="25"/>
    </row>
    <row r="5998">
      <c r="A5998" s="19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</row>
    <row r="5999">
      <c r="A5999" s="23"/>
      <c r="B5999" s="25"/>
      <c r="C5999" s="25"/>
      <c r="D5999" s="25"/>
      <c r="E5999" s="25"/>
      <c r="F5999" s="25"/>
      <c r="G5999" s="25"/>
      <c r="H5999" s="25"/>
      <c r="I5999" s="25"/>
      <c r="J5999" s="25"/>
      <c r="K5999" s="25"/>
      <c r="L5999" s="25"/>
    </row>
    <row r="6000">
      <c r="A6000" s="19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</row>
    <row r="6001">
      <c r="A6001" s="23"/>
      <c r="B6001" s="25"/>
      <c r="C6001" s="25"/>
      <c r="D6001" s="25"/>
      <c r="E6001" s="25"/>
      <c r="F6001" s="25"/>
      <c r="G6001" s="25"/>
      <c r="H6001" s="25"/>
      <c r="I6001" s="25"/>
      <c r="J6001" s="25"/>
      <c r="K6001" s="25"/>
      <c r="L6001" s="25"/>
    </row>
    <row r="6002">
      <c r="A6002" s="19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</row>
    <row r="6003">
      <c r="A6003" s="23"/>
      <c r="B6003" s="25"/>
      <c r="C6003" s="25"/>
      <c r="D6003" s="25"/>
      <c r="E6003" s="25"/>
      <c r="F6003" s="25"/>
      <c r="G6003" s="25"/>
      <c r="H6003" s="25"/>
      <c r="I6003" s="25"/>
      <c r="J6003" s="25"/>
      <c r="K6003" s="25"/>
      <c r="L6003" s="25"/>
    </row>
    <row r="6004">
      <c r="A6004" s="19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</row>
    <row r="6005">
      <c r="A6005" s="23"/>
      <c r="B6005" s="25"/>
      <c r="C6005" s="25"/>
      <c r="D6005" s="25"/>
      <c r="E6005" s="25"/>
      <c r="F6005" s="25"/>
      <c r="G6005" s="25"/>
      <c r="H6005" s="25"/>
      <c r="I6005" s="25"/>
      <c r="J6005" s="25"/>
      <c r="K6005" s="25"/>
      <c r="L6005" s="25"/>
    </row>
    <row r="6006">
      <c r="A6006" s="19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</row>
    <row r="6007">
      <c r="A6007" s="23"/>
      <c r="B6007" s="25"/>
      <c r="C6007" s="25"/>
      <c r="D6007" s="25"/>
      <c r="E6007" s="25"/>
      <c r="F6007" s="25"/>
      <c r="G6007" s="25"/>
      <c r="H6007" s="25"/>
      <c r="I6007" s="25"/>
      <c r="J6007" s="25"/>
      <c r="K6007" s="25"/>
      <c r="L6007" s="25"/>
    </row>
    <row r="6008">
      <c r="A6008" s="19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</row>
    <row r="6009">
      <c r="A6009" s="23"/>
      <c r="B6009" s="25"/>
      <c r="C6009" s="25"/>
      <c r="D6009" s="25"/>
      <c r="E6009" s="25"/>
      <c r="F6009" s="25"/>
      <c r="G6009" s="25"/>
      <c r="H6009" s="25"/>
      <c r="I6009" s="25"/>
      <c r="J6009" s="25"/>
      <c r="K6009" s="25"/>
      <c r="L6009" s="25"/>
    </row>
    <row r="6010">
      <c r="A6010" s="19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</row>
    <row r="6011">
      <c r="A6011" s="23"/>
      <c r="B6011" s="25"/>
      <c r="C6011" s="25"/>
      <c r="D6011" s="25"/>
      <c r="E6011" s="25"/>
      <c r="F6011" s="25"/>
      <c r="G6011" s="25"/>
      <c r="H6011" s="25"/>
      <c r="I6011" s="25"/>
      <c r="J6011" s="25"/>
      <c r="K6011" s="25"/>
      <c r="L6011" s="25"/>
    </row>
    <row r="6012">
      <c r="A6012" s="19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</row>
    <row r="6013">
      <c r="A6013" s="23"/>
      <c r="B6013" s="25"/>
      <c r="C6013" s="25"/>
      <c r="D6013" s="25"/>
      <c r="E6013" s="25"/>
      <c r="F6013" s="25"/>
      <c r="G6013" s="25"/>
      <c r="H6013" s="25"/>
      <c r="I6013" s="25"/>
      <c r="J6013" s="25"/>
      <c r="K6013" s="25"/>
      <c r="L6013" s="25"/>
    </row>
    <row r="6014">
      <c r="A6014" s="19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</row>
    <row r="6015">
      <c r="A6015" s="23"/>
      <c r="B6015" s="25"/>
      <c r="C6015" s="25"/>
      <c r="D6015" s="25"/>
      <c r="E6015" s="25"/>
      <c r="F6015" s="25"/>
      <c r="G6015" s="25"/>
      <c r="H6015" s="25"/>
      <c r="I6015" s="25"/>
      <c r="J6015" s="25"/>
      <c r="K6015" s="25"/>
      <c r="L6015" s="25"/>
    </row>
    <row r="6016">
      <c r="A6016" s="19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</row>
    <row r="6017">
      <c r="A6017" s="23"/>
      <c r="B6017" s="25"/>
      <c r="C6017" s="25"/>
      <c r="D6017" s="25"/>
      <c r="E6017" s="25"/>
      <c r="F6017" s="25"/>
      <c r="G6017" s="25"/>
      <c r="H6017" s="25"/>
      <c r="I6017" s="25"/>
      <c r="J6017" s="25"/>
      <c r="K6017" s="25"/>
      <c r="L6017" s="25"/>
    </row>
    <row r="6018">
      <c r="A6018" s="19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</row>
    <row r="6019">
      <c r="A6019" s="23"/>
      <c r="B6019" s="25"/>
      <c r="C6019" s="25"/>
      <c r="D6019" s="25"/>
      <c r="E6019" s="25"/>
      <c r="F6019" s="25"/>
      <c r="G6019" s="25"/>
      <c r="H6019" s="25"/>
      <c r="I6019" s="25"/>
      <c r="J6019" s="25"/>
      <c r="K6019" s="25"/>
      <c r="L6019" s="25"/>
    </row>
    <row r="6020">
      <c r="A6020" s="19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</row>
    <row r="6021">
      <c r="A6021" s="23"/>
      <c r="B6021" s="25"/>
      <c r="C6021" s="25"/>
      <c r="D6021" s="25"/>
      <c r="E6021" s="25"/>
      <c r="F6021" s="25"/>
      <c r="G6021" s="25"/>
      <c r="H6021" s="25"/>
      <c r="I6021" s="25"/>
      <c r="J6021" s="25"/>
      <c r="K6021" s="25"/>
      <c r="L6021" s="25"/>
    </row>
    <row r="6022">
      <c r="A6022" s="19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</row>
    <row r="6023">
      <c r="A6023" s="23"/>
      <c r="B6023" s="25"/>
      <c r="C6023" s="25"/>
      <c r="D6023" s="25"/>
      <c r="E6023" s="25"/>
      <c r="F6023" s="25"/>
      <c r="G6023" s="25"/>
      <c r="H6023" s="25"/>
      <c r="I6023" s="25"/>
      <c r="J6023" s="25"/>
      <c r="K6023" s="25"/>
      <c r="L6023" s="25"/>
    </row>
    <row r="6024">
      <c r="A6024" s="19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</row>
    <row r="6025">
      <c r="A6025" s="23"/>
      <c r="B6025" s="25"/>
      <c r="C6025" s="25"/>
      <c r="D6025" s="25"/>
      <c r="E6025" s="25"/>
      <c r="F6025" s="25"/>
      <c r="G6025" s="25"/>
      <c r="H6025" s="25"/>
      <c r="I6025" s="25"/>
      <c r="J6025" s="25"/>
      <c r="K6025" s="25"/>
      <c r="L6025" s="25"/>
    </row>
    <row r="6026">
      <c r="A6026" s="19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</row>
    <row r="6027">
      <c r="A6027" s="23"/>
      <c r="B6027" s="25"/>
      <c r="C6027" s="25"/>
      <c r="D6027" s="25"/>
      <c r="E6027" s="25"/>
      <c r="F6027" s="25"/>
      <c r="G6027" s="25"/>
      <c r="H6027" s="25"/>
      <c r="I6027" s="25"/>
      <c r="J6027" s="25"/>
      <c r="K6027" s="25"/>
      <c r="L6027" s="25"/>
    </row>
    <row r="6028">
      <c r="A6028" s="19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</row>
    <row r="6029">
      <c r="A6029" s="23"/>
      <c r="B6029" s="25"/>
      <c r="C6029" s="25"/>
      <c r="D6029" s="25"/>
      <c r="E6029" s="25"/>
      <c r="F6029" s="25"/>
      <c r="G6029" s="25"/>
      <c r="H6029" s="25"/>
      <c r="I6029" s="25"/>
      <c r="J6029" s="25"/>
      <c r="K6029" s="25"/>
      <c r="L6029" s="25"/>
    </row>
    <row r="6030">
      <c r="A6030" s="19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</row>
    <row r="6031">
      <c r="A6031" s="23"/>
      <c r="B6031" s="25"/>
      <c r="C6031" s="25"/>
      <c r="D6031" s="25"/>
      <c r="E6031" s="25"/>
      <c r="F6031" s="25"/>
      <c r="G6031" s="25"/>
      <c r="H6031" s="25"/>
      <c r="I6031" s="25"/>
      <c r="J6031" s="25"/>
      <c r="K6031" s="25"/>
      <c r="L6031" s="25"/>
    </row>
    <row r="6032">
      <c r="A6032" s="19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</row>
    <row r="6033">
      <c r="A6033" s="23"/>
      <c r="B6033" s="25"/>
      <c r="C6033" s="25"/>
      <c r="D6033" s="25"/>
      <c r="E6033" s="25"/>
      <c r="F6033" s="25"/>
      <c r="G6033" s="25"/>
      <c r="H6033" s="25"/>
      <c r="I6033" s="25"/>
      <c r="J6033" s="25"/>
      <c r="K6033" s="25"/>
      <c r="L6033" s="25"/>
    </row>
    <row r="6034">
      <c r="A6034" s="19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</row>
    <row r="6035">
      <c r="A6035" s="23"/>
      <c r="B6035" s="25"/>
      <c r="C6035" s="25"/>
      <c r="D6035" s="25"/>
      <c r="E6035" s="25"/>
      <c r="F6035" s="25"/>
      <c r="G6035" s="25"/>
      <c r="H6035" s="25"/>
      <c r="I6035" s="25"/>
      <c r="J6035" s="25"/>
      <c r="K6035" s="25"/>
      <c r="L6035" s="25"/>
    </row>
    <row r="6036">
      <c r="A6036" s="19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</row>
    <row r="6037">
      <c r="A6037" s="23"/>
      <c r="B6037" s="25"/>
      <c r="C6037" s="25"/>
      <c r="D6037" s="25"/>
      <c r="E6037" s="25"/>
      <c r="F6037" s="25"/>
      <c r="G6037" s="25"/>
      <c r="H6037" s="25"/>
      <c r="I6037" s="25"/>
      <c r="J6037" s="25"/>
      <c r="K6037" s="25"/>
      <c r="L6037" s="25"/>
    </row>
    <row r="6038">
      <c r="A6038" s="19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</row>
    <row r="6039">
      <c r="A6039" s="23"/>
      <c r="B6039" s="25"/>
      <c r="C6039" s="25"/>
      <c r="D6039" s="25"/>
      <c r="E6039" s="25"/>
      <c r="F6039" s="25"/>
      <c r="G6039" s="25"/>
      <c r="H6039" s="25"/>
      <c r="I6039" s="25"/>
      <c r="J6039" s="25"/>
      <c r="K6039" s="25"/>
      <c r="L6039" s="25"/>
    </row>
    <row r="6040">
      <c r="A6040" s="19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</row>
    <row r="6041">
      <c r="A6041" s="23"/>
      <c r="B6041" s="25"/>
      <c r="C6041" s="25"/>
      <c r="D6041" s="25"/>
      <c r="E6041" s="25"/>
      <c r="F6041" s="25"/>
      <c r="G6041" s="25"/>
      <c r="H6041" s="25"/>
      <c r="I6041" s="25"/>
      <c r="J6041" s="25"/>
      <c r="K6041" s="25"/>
      <c r="L6041" s="25"/>
    </row>
    <row r="6042">
      <c r="A6042" s="19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</row>
    <row r="6043">
      <c r="A6043" s="23"/>
      <c r="B6043" s="25"/>
      <c r="C6043" s="25"/>
      <c r="D6043" s="25"/>
      <c r="E6043" s="25"/>
      <c r="F6043" s="25"/>
      <c r="G6043" s="25"/>
      <c r="H6043" s="25"/>
      <c r="I6043" s="25"/>
      <c r="J6043" s="25"/>
      <c r="K6043" s="25"/>
      <c r="L6043" s="25"/>
    </row>
    <row r="6044">
      <c r="A6044" s="19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</row>
    <row r="6045">
      <c r="A6045" s="23"/>
      <c r="B6045" s="25"/>
      <c r="C6045" s="25"/>
      <c r="D6045" s="25"/>
      <c r="E6045" s="25"/>
      <c r="F6045" s="25"/>
      <c r="G6045" s="25"/>
      <c r="H6045" s="25"/>
      <c r="I6045" s="25"/>
      <c r="J6045" s="25"/>
      <c r="K6045" s="25"/>
      <c r="L6045" s="25"/>
    </row>
    <row r="6046">
      <c r="A6046" s="19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</row>
    <row r="6047">
      <c r="A6047" s="23"/>
      <c r="B6047" s="25"/>
      <c r="C6047" s="25"/>
      <c r="D6047" s="25"/>
      <c r="E6047" s="25"/>
      <c r="F6047" s="25"/>
      <c r="G6047" s="25"/>
      <c r="H6047" s="25"/>
      <c r="I6047" s="25"/>
      <c r="J6047" s="25"/>
      <c r="K6047" s="25"/>
      <c r="L6047" s="25"/>
    </row>
    <row r="6048">
      <c r="A6048" s="19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</row>
    <row r="6049">
      <c r="A6049" s="23"/>
      <c r="B6049" s="25"/>
      <c r="C6049" s="25"/>
      <c r="D6049" s="25"/>
      <c r="E6049" s="25"/>
      <c r="F6049" s="25"/>
      <c r="G6049" s="25"/>
      <c r="H6049" s="25"/>
      <c r="I6049" s="25"/>
      <c r="J6049" s="25"/>
      <c r="K6049" s="25"/>
      <c r="L6049" s="25"/>
    </row>
    <row r="6050">
      <c r="A6050" s="19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</row>
    <row r="6051">
      <c r="A6051" s="23"/>
      <c r="B6051" s="25"/>
      <c r="C6051" s="25"/>
      <c r="D6051" s="25"/>
      <c r="E6051" s="25"/>
      <c r="F6051" s="25"/>
      <c r="G6051" s="25"/>
      <c r="H6051" s="25"/>
      <c r="I6051" s="25"/>
      <c r="J6051" s="25"/>
      <c r="K6051" s="25"/>
      <c r="L6051" s="25"/>
    </row>
    <row r="6052">
      <c r="A6052" s="19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</row>
    <row r="6053">
      <c r="A6053" s="23"/>
      <c r="B6053" s="25"/>
      <c r="C6053" s="25"/>
      <c r="D6053" s="25"/>
      <c r="E6053" s="25"/>
      <c r="F6053" s="25"/>
      <c r="G6053" s="25"/>
      <c r="H6053" s="25"/>
      <c r="I6053" s="25"/>
      <c r="J6053" s="25"/>
      <c r="K6053" s="25"/>
      <c r="L6053" s="25"/>
    </row>
    <row r="6054">
      <c r="A6054" s="19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</row>
    <row r="6055">
      <c r="A6055" s="23"/>
      <c r="B6055" s="25"/>
      <c r="C6055" s="25"/>
      <c r="D6055" s="25"/>
      <c r="E6055" s="25"/>
      <c r="F6055" s="25"/>
      <c r="G6055" s="25"/>
      <c r="H6055" s="25"/>
      <c r="I6055" s="25"/>
      <c r="J6055" s="25"/>
      <c r="K6055" s="25"/>
      <c r="L6055" s="25"/>
    </row>
    <row r="6056">
      <c r="A6056" s="19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</row>
    <row r="6057">
      <c r="A6057" s="23"/>
      <c r="B6057" s="25"/>
      <c r="C6057" s="25"/>
      <c r="D6057" s="25"/>
      <c r="E6057" s="25"/>
      <c r="F6057" s="25"/>
      <c r="G6057" s="25"/>
      <c r="H6057" s="25"/>
      <c r="I6057" s="25"/>
      <c r="J6057" s="25"/>
      <c r="K6057" s="25"/>
      <c r="L6057" s="25"/>
    </row>
    <row r="6058">
      <c r="A6058" s="19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</row>
    <row r="6059">
      <c r="A6059" s="23"/>
      <c r="B6059" s="25"/>
      <c r="C6059" s="25"/>
      <c r="D6059" s="25"/>
      <c r="E6059" s="25"/>
      <c r="F6059" s="25"/>
      <c r="G6059" s="25"/>
      <c r="H6059" s="25"/>
      <c r="I6059" s="25"/>
      <c r="J6059" s="25"/>
      <c r="K6059" s="25"/>
      <c r="L6059" s="25"/>
    </row>
    <row r="6060">
      <c r="A6060" s="19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</row>
    <row r="6061">
      <c r="A6061" s="23"/>
      <c r="B6061" s="25"/>
      <c r="C6061" s="25"/>
      <c r="D6061" s="25"/>
      <c r="E6061" s="25"/>
      <c r="F6061" s="25"/>
      <c r="G6061" s="25"/>
      <c r="H6061" s="25"/>
      <c r="I6061" s="25"/>
      <c r="J6061" s="25"/>
      <c r="K6061" s="25"/>
      <c r="L6061" s="25"/>
    </row>
    <row r="6062">
      <c r="A6062" s="19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</row>
    <row r="6063">
      <c r="A6063" s="23"/>
      <c r="B6063" s="25"/>
      <c r="C6063" s="25"/>
      <c r="D6063" s="25"/>
      <c r="E6063" s="25"/>
      <c r="F6063" s="25"/>
      <c r="G6063" s="25"/>
      <c r="H6063" s="25"/>
      <c r="I6063" s="25"/>
      <c r="J6063" s="25"/>
      <c r="K6063" s="25"/>
      <c r="L6063" s="25"/>
    </row>
    <row r="6064">
      <c r="A6064" s="19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</row>
    <row r="6065">
      <c r="A6065" s="23"/>
      <c r="B6065" s="25"/>
      <c r="C6065" s="25"/>
      <c r="D6065" s="25"/>
      <c r="E6065" s="25"/>
      <c r="F6065" s="25"/>
      <c r="G6065" s="25"/>
      <c r="H6065" s="25"/>
      <c r="I6065" s="25"/>
      <c r="J6065" s="25"/>
      <c r="K6065" s="25"/>
      <c r="L6065" s="25"/>
    </row>
    <row r="6066">
      <c r="A6066" s="19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</row>
    <row r="6067">
      <c r="A6067" s="23"/>
      <c r="B6067" s="25"/>
      <c r="C6067" s="25"/>
      <c r="D6067" s="25"/>
      <c r="E6067" s="25"/>
      <c r="F6067" s="25"/>
      <c r="G6067" s="25"/>
      <c r="H6067" s="25"/>
      <c r="I6067" s="25"/>
      <c r="J6067" s="25"/>
      <c r="K6067" s="25"/>
      <c r="L6067" s="25"/>
    </row>
    <row r="6068">
      <c r="A6068" s="19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</row>
    <row r="6069">
      <c r="A6069" s="23"/>
      <c r="B6069" s="25"/>
      <c r="C6069" s="25"/>
      <c r="D6069" s="25"/>
      <c r="E6069" s="25"/>
      <c r="F6069" s="25"/>
      <c r="G6069" s="25"/>
      <c r="H6069" s="25"/>
      <c r="I6069" s="25"/>
      <c r="J6069" s="25"/>
      <c r="K6069" s="25"/>
      <c r="L6069" s="25"/>
    </row>
    <row r="6070">
      <c r="A6070" s="19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</row>
    <row r="6071">
      <c r="A6071" s="23"/>
      <c r="B6071" s="25"/>
      <c r="C6071" s="25"/>
      <c r="D6071" s="25"/>
      <c r="E6071" s="25"/>
      <c r="F6071" s="25"/>
      <c r="G6071" s="25"/>
      <c r="H6071" s="25"/>
      <c r="I6071" s="25"/>
      <c r="J6071" s="25"/>
      <c r="K6071" s="25"/>
      <c r="L6071" s="25"/>
    </row>
    <row r="6072">
      <c r="A6072" s="19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</row>
    <row r="6073">
      <c r="A6073" s="23"/>
      <c r="B6073" s="25"/>
      <c r="C6073" s="25"/>
      <c r="D6073" s="25"/>
      <c r="E6073" s="25"/>
      <c r="F6073" s="25"/>
      <c r="G6073" s="25"/>
      <c r="H6073" s="25"/>
      <c r="I6073" s="25"/>
      <c r="J6073" s="25"/>
      <c r="K6073" s="25"/>
      <c r="L6073" s="25"/>
    </row>
    <row r="6074">
      <c r="A6074" s="19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</row>
    <row r="6075">
      <c r="A6075" s="23"/>
      <c r="B6075" s="25"/>
      <c r="C6075" s="25"/>
      <c r="D6075" s="25"/>
      <c r="E6075" s="25"/>
      <c r="F6075" s="25"/>
      <c r="G6075" s="25"/>
      <c r="H6075" s="25"/>
      <c r="I6075" s="25"/>
      <c r="J6075" s="25"/>
      <c r="K6075" s="25"/>
      <c r="L6075" s="25"/>
    </row>
    <row r="6076">
      <c r="A6076" s="19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</row>
    <row r="6077">
      <c r="A6077" s="23"/>
      <c r="B6077" s="25"/>
      <c r="C6077" s="25"/>
      <c r="D6077" s="25"/>
      <c r="E6077" s="25"/>
      <c r="F6077" s="25"/>
      <c r="G6077" s="25"/>
      <c r="H6077" s="25"/>
      <c r="I6077" s="25"/>
      <c r="J6077" s="25"/>
      <c r="K6077" s="25"/>
      <c r="L6077" s="25"/>
    </row>
    <row r="6078">
      <c r="A6078" s="19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</row>
    <row r="6079">
      <c r="A6079" s="23"/>
      <c r="B6079" s="25"/>
      <c r="C6079" s="25"/>
      <c r="D6079" s="25"/>
      <c r="E6079" s="25"/>
      <c r="F6079" s="25"/>
      <c r="G6079" s="25"/>
      <c r="H6079" s="25"/>
      <c r="I6079" s="25"/>
      <c r="J6079" s="25"/>
      <c r="K6079" s="25"/>
      <c r="L6079" s="25"/>
    </row>
    <row r="6080">
      <c r="A6080" s="19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</row>
    <row r="6081">
      <c r="A6081" s="23"/>
      <c r="B6081" s="25"/>
      <c r="C6081" s="25"/>
      <c r="D6081" s="25"/>
      <c r="E6081" s="25"/>
      <c r="F6081" s="25"/>
      <c r="G6081" s="25"/>
      <c r="H6081" s="25"/>
      <c r="I6081" s="25"/>
      <c r="J6081" s="25"/>
      <c r="K6081" s="25"/>
      <c r="L6081" s="25"/>
    </row>
    <row r="6082">
      <c r="A6082" s="19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</row>
    <row r="6083">
      <c r="A6083" s="23"/>
      <c r="B6083" s="25"/>
      <c r="C6083" s="25"/>
      <c r="D6083" s="25"/>
      <c r="E6083" s="25"/>
      <c r="F6083" s="25"/>
      <c r="G6083" s="25"/>
      <c r="H6083" s="25"/>
      <c r="I6083" s="25"/>
      <c r="J6083" s="25"/>
      <c r="K6083" s="25"/>
      <c r="L6083" s="25"/>
    </row>
    <row r="6084">
      <c r="A6084" s="19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</row>
    <row r="6085">
      <c r="A6085" s="23"/>
      <c r="B6085" s="25"/>
      <c r="C6085" s="25"/>
      <c r="D6085" s="25"/>
      <c r="E6085" s="25"/>
      <c r="F6085" s="25"/>
      <c r="G6085" s="25"/>
      <c r="H6085" s="25"/>
      <c r="I6085" s="25"/>
      <c r="J6085" s="25"/>
      <c r="K6085" s="25"/>
      <c r="L6085" s="25"/>
    </row>
    <row r="6086">
      <c r="A6086" s="19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</row>
    <row r="6087">
      <c r="A6087" s="23"/>
      <c r="B6087" s="25"/>
      <c r="C6087" s="25"/>
      <c r="D6087" s="25"/>
      <c r="E6087" s="25"/>
      <c r="F6087" s="25"/>
      <c r="G6087" s="25"/>
      <c r="H6087" s="25"/>
      <c r="I6087" s="25"/>
      <c r="J6087" s="25"/>
      <c r="K6087" s="25"/>
      <c r="L6087" s="25"/>
    </row>
    <row r="6088">
      <c r="A6088" s="19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</row>
    <row r="6089">
      <c r="A6089" s="23"/>
      <c r="B6089" s="25"/>
      <c r="C6089" s="25"/>
      <c r="D6089" s="25"/>
      <c r="E6089" s="25"/>
      <c r="F6089" s="25"/>
      <c r="G6089" s="25"/>
      <c r="H6089" s="25"/>
      <c r="I6089" s="25"/>
      <c r="J6089" s="25"/>
      <c r="K6089" s="25"/>
      <c r="L6089" s="25"/>
    </row>
    <row r="6090">
      <c r="A6090" s="19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</row>
    <row r="6091">
      <c r="A6091" s="23"/>
      <c r="B6091" s="25"/>
      <c r="C6091" s="25"/>
      <c r="D6091" s="25"/>
      <c r="E6091" s="25"/>
      <c r="F6091" s="25"/>
      <c r="G6091" s="25"/>
      <c r="H6091" s="25"/>
      <c r="I6091" s="25"/>
      <c r="J6091" s="25"/>
      <c r="K6091" s="25"/>
      <c r="L6091" s="25"/>
    </row>
    <row r="6092">
      <c r="A6092" s="19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</row>
    <row r="6093">
      <c r="A6093" s="23"/>
      <c r="B6093" s="25"/>
      <c r="C6093" s="25"/>
      <c r="D6093" s="25"/>
      <c r="E6093" s="25"/>
      <c r="F6093" s="25"/>
      <c r="G6093" s="25"/>
      <c r="H6093" s="25"/>
      <c r="I6093" s="25"/>
      <c r="J6093" s="25"/>
      <c r="K6093" s="25"/>
      <c r="L6093" s="25"/>
    </row>
    <row r="6094">
      <c r="A6094" s="19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</row>
    <row r="6095">
      <c r="A6095" s="23"/>
      <c r="B6095" s="25"/>
      <c r="C6095" s="25"/>
      <c r="D6095" s="25"/>
      <c r="E6095" s="25"/>
      <c r="F6095" s="25"/>
      <c r="G6095" s="25"/>
      <c r="H6095" s="25"/>
      <c r="I6095" s="25"/>
      <c r="J6095" s="25"/>
      <c r="K6095" s="25"/>
      <c r="L6095" s="25"/>
    </row>
    <row r="6096">
      <c r="A6096" s="19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</row>
    <row r="6097">
      <c r="A6097" s="23"/>
      <c r="B6097" s="25"/>
      <c r="C6097" s="25"/>
      <c r="D6097" s="25"/>
      <c r="E6097" s="25"/>
      <c r="F6097" s="25"/>
      <c r="G6097" s="25"/>
      <c r="H6097" s="25"/>
      <c r="I6097" s="25"/>
      <c r="J6097" s="25"/>
      <c r="K6097" s="25"/>
      <c r="L6097" s="25"/>
    </row>
    <row r="6098">
      <c r="A6098" s="19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</row>
    <row r="6099">
      <c r="A6099" s="23"/>
      <c r="B6099" s="25"/>
      <c r="C6099" s="25"/>
      <c r="D6099" s="25"/>
      <c r="E6099" s="25"/>
      <c r="F6099" s="25"/>
      <c r="G6099" s="25"/>
      <c r="H6099" s="25"/>
      <c r="I6099" s="25"/>
      <c r="J6099" s="25"/>
      <c r="K6099" s="25"/>
      <c r="L6099" s="25"/>
    </row>
    <row r="6100">
      <c r="A6100" s="19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</row>
    <row r="6101">
      <c r="A6101" s="23"/>
      <c r="B6101" s="25"/>
      <c r="C6101" s="25"/>
      <c r="D6101" s="25"/>
      <c r="E6101" s="25"/>
      <c r="F6101" s="25"/>
      <c r="G6101" s="25"/>
      <c r="H6101" s="25"/>
      <c r="I6101" s="25"/>
      <c r="J6101" s="25"/>
      <c r="K6101" s="25"/>
      <c r="L6101" s="25"/>
    </row>
    <row r="6102">
      <c r="A6102" s="19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</row>
    <row r="6103">
      <c r="A6103" s="23"/>
      <c r="B6103" s="25"/>
      <c r="C6103" s="25"/>
      <c r="D6103" s="25"/>
      <c r="E6103" s="25"/>
      <c r="F6103" s="25"/>
      <c r="G6103" s="25"/>
      <c r="H6103" s="25"/>
      <c r="I6103" s="25"/>
      <c r="J6103" s="25"/>
      <c r="K6103" s="25"/>
      <c r="L6103" s="25"/>
    </row>
    <row r="6104">
      <c r="A6104" s="19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</row>
    <row r="6105">
      <c r="A6105" s="23"/>
      <c r="B6105" s="25"/>
      <c r="C6105" s="25"/>
      <c r="D6105" s="25"/>
      <c r="E6105" s="25"/>
      <c r="F6105" s="25"/>
      <c r="G6105" s="25"/>
      <c r="H6105" s="25"/>
      <c r="I6105" s="25"/>
      <c r="J6105" s="25"/>
      <c r="K6105" s="25"/>
      <c r="L6105" s="25"/>
    </row>
    <row r="6106">
      <c r="A6106" s="19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</row>
    <row r="6107">
      <c r="A6107" s="23"/>
      <c r="B6107" s="25"/>
      <c r="C6107" s="25"/>
      <c r="D6107" s="25"/>
      <c r="E6107" s="25"/>
      <c r="F6107" s="25"/>
      <c r="G6107" s="25"/>
      <c r="H6107" s="25"/>
      <c r="I6107" s="25"/>
      <c r="J6107" s="25"/>
      <c r="K6107" s="25"/>
      <c r="L6107" s="25"/>
    </row>
    <row r="6108">
      <c r="A6108" s="19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</row>
    <row r="6109">
      <c r="A6109" s="23"/>
      <c r="B6109" s="25"/>
      <c r="C6109" s="25"/>
      <c r="D6109" s="25"/>
      <c r="E6109" s="25"/>
      <c r="F6109" s="25"/>
      <c r="G6109" s="25"/>
      <c r="H6109" s="25"/>
      <c r="I6109" s="25"/>
      <c r="J6109" s="25"/>
      <c r="K6109" s="25"/>
      <c r="L6109" s="25"/>
    </row>
    <row r="6110">
      <c r="A6110" s="19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</row>
    <row r="6111">
      <c r="A6111" s="23"/>
      <c r="B6111" s="25"/>
      <c r="C6111" s="25"/>
      <c r="D6111" s="25"/>
      <c r="E6111" s="25"/>
      <c r="F6111" s="25"/>
      <c r="G6111" s="25"/>
      <c r="H6111" s="25"/>
      <c r="I6111" s="25"/>
      <c r="J6111" s="25"/>
      <c r="K6111" s="25"/>
      <c r="L6111" s="25"/>
    </row>
    <row r="6112">
      <c r="A6112" s="19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</row>
    <row r="6113">
      <c r="A6113" s="23"/>
      <c r="B6113" s="25"/>
      <c r="C6113" s="25"/>
      <c r="D6113" s="25"/>
      <c r="E6113" s="25"/>
      <c r="F6113" s="25"/>
      <c r="G6113" s="25"/>
      <c r="H6113" s="25"/>
      <c r="I6113" s="25"/>
      <c r="J6113" s="25"/>
      <c r="K6113" s="25"/>
      <c r="L6113" s="25"/>
    </row>
    <row r="6114">
      <c r="A6114" s="19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</row>
    <row r="6115">
      <c r="A6115" s="23"/>
      <c r="B6115" s="25"/>
      <c r="C6115" s="25"/>
      <c r="D6115" s="25"/>
      <c r="E6115" s="25"/>
      <c r="F6115" s="25"/>
      <c r="G6115" s="25"/>
      <c r="H6115" s="25"/>
      <c r="I6115" s="25"/>
      <c r="J6115" s="25"/>
      <c r="K6115" s="25"/>
      <c r="L6115" s="25"/>
    </row>
    <row r="6116">
      <c r="A6116" s="19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</row>
    <row r="6117">
      <c r="A6117" s="23"/>
      <c r="B6117" s="25"/>
      <c r="C6117" s="25"/>
      <c r="D6117" s="25"/>
      <c r="E6117" s="25"/>
      <c r="F6117" s="25"/>
      <c r="G6117" s="25"/>
      <c r="H6117" s="25"/>
      <c r="I6117" s="25"/>
      <c r="J6117" s="25"/>
      <c r="K6117" s="25"/>
      <c r="L6117" s="25"/>
    </row>
    <row r="6118">
      <c r="A6118" s="19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</row>
    <row r="6119">
      <c r="A6119" s="23"/>
      <c r="B6119" s="25"/>
      <c r="C6119" s="25"/>
      <c r="D6119" s="25"/>
      <c r="E6119" s="25"/>
      <c r="F6119" s="25"/>
      <c r="G6119" s="25"/>
      <c r="H6119" s="25"/>
      <c r="I6119" s="25"/>
      <c r="J6119" s="25"/>
      <c r="K6119" s="25"/>
      <c r="L6119" s="25"/>
    </row>
    <row r="6120">
      <c r="A6120" s="19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</row>
    <row r="6121">
      <c r="A6121" s="23"/>
      <c r="B6121" s="25"/>
      <c r="C6121" s="25"/>
      <c r="D6121" s="25"/>
      <c r="E6121" s="25"/>
      <c r="F6121" s="25"/>
      <c r="G6121" s="25"/>
      <c r="H6121" s="25"/>
      <c r="I6121" s="25"/>
      <c r="J6121" s="25"/>
      <c r="K6121" s="25"/>
      <c r="L6121" s="25"/>
    </row>
    <row r="6122">
      <c r="A6122" s="19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</row>
    <row r="6123">
      <c r="A6123" s="23"/>
      <c r="B6123" s="25"/>
      <c r="C6123" s="25"/>
      <c r="D6123" s="25"/>
      <c r="E6123" s="25"/>
      <c r="F6123" s="25"/>
      <c r="G6123" s="25"/>
      <c r="H6123" s="25"/>
      <c r="I6123" s="25"/>
      <c r="J6123" s="25"/>
      <c r="K6123" s="25"/>
      <c r="L6123" s="25"/>
    </row>
    <row r="6124">
      <c r="A6124" s="19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</row>
    <row r="6125">
      <c r="A6125" s="23"/>
      <c r="B6125" s="25"/>
      <c r="C6125" s="25"/>
      <c r="D6125" s="25"/>
      <c r="E6125" s="25"/>
      <c r="F6125" s="25"/>
      <c r="G6125" s="25"/>
      <c r="H6125" s="25"/>
      <c r="I6125" s="25"/>
      <c r="J6125" s="25"/>
      <c r="K6125" s="25"/>
      <c r="L6125" s="25"/>
    </row>
    <row r="6126">
      <c r="A6126" s="19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</row>
    <row r="6127">
      <c r="A6127" s="23"/>
      <c r="B6127" s="25"/>
      <c r="C6127" s="25"/>
      <c r="D6127" s="25"/>
      <c r="E6127" s="25"/>
      <c r="F6127" s="25"/>
      <c r="G6127" s="25"/>
      <c r="H6127" s="25"/>
      <c r="I6127" s="25"/>
      <c r="J6127" s="25"/>
      <c r="K6127" s="25"/>
      <c r="L6127" s="25"/>
    </row>
    <row r="6128">
      <c r="A6128" s="19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</row>
    <row r="6129">
      <c r="A6129" s="23"/>
      <c r="B6129" s="25"/>
      <c r="C6129" s="25"/>
      <c r="D6129" s="25"/>
      <c r="E6129" s="25"/>
      <c r="F6129" s="25"/>
      <c r="G6129" s="25"/>
      <c r="H6129" s="25"/>
      <c r="I6129" s="25"/>
      <c r="J6129" s="25"/>
      <c r="K6129" s="25"/>
      <c r="L6129" s="25"/>
    </row>
    <row r="6130">
      <c r="A6130" s="19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</row>
    <row r="6131">
      <c r="A6131" s="23"/>
      <c r="B6131" s="25"/>
      <c r="C6131" s="25"/>
      <c r="D6131" s="25"/>
      <c r="E6131" s="25"/>
      <c r="F6131" s="25"/>
      <c r="G6131" s="25"/>
      <c r="H6131" s="25"/>
      <c r="I6131" s="25"/>
      <c r="J6131" s="25"/>
      <c r="K6131" s="25"/>
      <c r="L6131" s="25"/>
    </row>
    <row r="6132">
      <c r="A6132" s="19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</row>
    <row r="6133">
      <c r="A6133" s="23"/>
      <c r="B6133" s="25"/>
      <c r="C6133" s="25"/>
      <c r="D6133" s="25"/>
      <c r="E6133" s="25"/>
      <c r="F6133" s="25"/>
      <c r="G6133" s="25"/>
      <c r="H6133" s="25"/>
      <c r="I6133" s="25"/>
      <c r="J6133" s="25"/>
      <c r="K6133" s="25"/>
      <c r="L6133" s="25"/>
    </row>
    <row r="6134">
      <c r="A6134" s="19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</row>
    <row r="6135">
      <c r="A6135" s="23"/>
      <c r="B6135" s="25"/>
      <c r="C6135" s="25"/>
      <c r="D6135" s="25"/>
      <c r="E6135" s="25"/>
      <c r="F6135" s="25"/>
      <c r="G6135" s="25"/>
      <c r="H6135" s="25"/>
      <c r="I6135" s="25"/>
      <c r="J6135" s="25"/>
      <c r="K6135" s="25"/>
      <c r="L6135" s="25"/>
    </row>
    <row r="6136">
      <c r="A6136" s="19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</row>
    <row r="6137">
      <c r="A6137" s="23"/>
      <c r="B6137" s="25"/>
      <c r="C6137" s="25"/>
      <c r="D6137" s="25"/>
      <c r="E6137" s="25"/>
      <c r="F6137" s="25"/>
      <c r="G6137" s="25"/>
      <c r="H6137" s="25"/>
      <c r="I6137" s="25"/>
      <c r="J6137" s="25"/>
      <c r="K6137" s="25"/>
      <c r="L6137" s="25"/>
    </row>
    <row r="6138">
      <c r="A6138" s="19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</row>
    <row r="6139">
      <c r="A6139" s="23"/>
      <c r="B6139" s="25"/>
      <c r="C6139" s="25"/>
      <c r="D6139" s="25"/>
      <c r="E6139" s="25"/>
      <c r="F6139" s="25"/>
      <c r="G6139" s="25"/>
      <c r="H6139" s="25"/>
      <c r="I6139" s="25"/>
      <c r="J6139" s="25"/>
      <c r="K6139" s="25"/>
      <c r="L6139" s="25"/>
    </row>
    <row r="6140">
      <c r="A6140" s="19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</row>
    <row r="6141">
      <c r="A6141" s="23"/>
      <c r="B6141" s="25"/>
      <c r="C6141" s="25"/>
      <c r="D6141" s="25"/>
      <c r="E6141" s="25"/>
      <c r="F6141" s="25"/>
      <c r="G6141" s="25"/>
      <c r="H6141" s="25"/>
      <c r="I6141" s="25"/>
      <c r="J6141" s="25"/>
      <c r="K6141" s="25"/>
      <c r="L6141" s="25"/>
    </row>
    <row r="6142">
      <c r="A6142" s="19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</row>
    <row r="6143">
      <c r="A6143" s="23"/>
      <c r="B6143" s="25"/>
      <c r="C6143" s="25"/>
      <c r="D6143" s="25"/>
      <c r="E6143" s="25"/>
      <c r="F6143" s="25"/>
      <c r="G6143" s="25"/>
      <c r="H6143" s="25"/>
      <c r="I6143" s="25"/>
      <c r="J6143" s="25"/>
      <c r="K6143" s="25"/>
      <c r="L6143" s="25"/>
    </row>
    <row r="6144">
      <c r="A6144" s="19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</row>
    <row r="6145">
      <c r="A6145" s="23"/>
      <c r="B6145" s="25"/>
      <c r="C6145" s="25"/>
      <c r="D6145" s="25"/>
      <c r="E6145" s="25"/>
      <c r="F6145" s="25"/>
      <c r="G6145" s="25"/>
      <c r="H6145" s="25"/>
      <c r="I6145" s="25"/>
      <c r="J6145" s="25"/>
      <c r="K6145" s="25"/>
      <c r="L6145" s="25"/>
    </row>
    <row r="6146">
      <c r="A6146" s="19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</row>
    <row r="6147">
      <c r="A6147" s="23"/>
      <c r="B6147" s="25"/>
      <c r="C6147" s="25"/>
      <c r="D6147" s="25"/>
      <c r="E6147" s="25"/>
      <c r="F6147" s="25"/>
      <c r="G6147" s="25"/>
      <c r="H6147" s="25"/>
      <c r="I6147" s="25"/>
      <c r="J6147" s="25"/>
      <c r="K6147" s="25"/>
      <c r="L6147" s="25"/>
    </row>
    <row r="6148">
      <c r="A6148" s="19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</row>
    <row r="6149">
      <c r="A6149" s="23"/>
      <c r="B6149" s="25"/>
      <c r="C6149" s="25"/>
      <c r="D6149" s="25"/>
      <c r="E6149" s="25"/>
      <c r="F6149" s="25"/>
      <c r="G6149" s="25"/>
      <c r="H6149" s="25"/>
      <c r="I6149" s="25"/>
      <c r="J6149" s="25"/>
      <c r="K6149" s="25"/>
      <c r="L6149" s="25"/>
    </row>
    <row r="6150">
      <c r="A6150" s="19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</row>
    <row r="6151">
      <c r="A6151" s="23"/>
      <c r="B6151" s="25"/>
      <c r="C6151" s="25"/>
      <c r="D6151" s="25"/>
      <c r="E6151" s="25"/>
      <c r="F6151" s="25"/>
      <c r="G6151" s="25"/>
      <c r="H6151" s="25"/>
      <c r="I6151" s="25"/>
      <c r="J6151" s="25"/>
      <c r="K6151" s="25"/>
      <c r="L6151" s="25"/>
    </row>
    <row r="6152">
      <c r="A6152" s="19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</row>
    <row r="6153">
      <c r="A6153" s="23"/>
      <c r="B6153" s="25"/>
      <c r="C6153" s="25"/>
      <c r="D6153" s="25"/>
      <c r="E6153" s="25"/>
      <c r="F6153" s="25"/>
      <c r="G6153" s="25"/>
      <c r="H6153" s="25"/>
      <c r="I6153" s="25"/>
      <c r="J6153" s="25"/>
      <c r="K6153" s="25"/>
      <c r="L6153" s="25"/>
    </row>
    <row r="6154">
      <c r="A6154" s="19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</row>
    <row r="6155">
      <c r="A6155" s="23"/>
      <c r="B6155" s="25"/>
      <c r="C6155" s="25"/>
      <c r="D6155" s="25"/>
      <c r="E6155" s="25"/>
      <c r="F6155" s="25"/>
      <c r="G6155" s="25"/>
      <c r="H6155" s="25"/>
      <c r="I6155" s="25"/>
      <c r="J6155" s="25"/>
      <c r="K6155" s="25"/>
      <c r="L6155" s="25"/>
    </row>
    <row r="6156">
      <c r="A6156" s="19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</row>
    <row r="6157">
      <c r="A6157" s="23"/>
      <c r="B6157" s="25"/>
      <c r="C6157" s="25"/>
      <c r="D6157" s="25"/>
      <c r="E6157" s="25"/>
      <c r="F6157" s="25"/>
      <c r="G6157" s="25"/>
      <c r="H6157" s="25"/>
      <c r="I6157" s="25"/>
      <c r="J6157" s="25"/>
      <c r="K6157" s="25"/>
      <c r="L6157" s="25"/>
    </row>
    <row r="6158">
      <c r="A6158" s="19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</row>
    <row r="6159">
      <c r="A6159" s="23"/>
      <c r="B6159" s="25"/>
      <c r="C6159" s="25"/>
      <c r="D6159" s="25"/>
      <c r="E6159" s="25"/>
      <c r="F6159" s="25"/>
      <c r="G6159" s="25"/>
      <c r="H6159" s="25"/>
      <c r="I6159" s="25"/>
      <c r="J6159" s="25"/>
      <c r="K6159" s="25"/>
      <c r="L6159" s="25"/>
    </row>
    <row r="6160">
      <c r="A6160" s="19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</row>
    <row r="6161">
      <c r="A6161" s="23"/>
      <c r="B6161" s="25"/>
      <c r="C6161" s="25"/>
      <c r="D6161" s="25"/>
      <c r="E6161" s="25"/>
      <c r="F6161" s="25"/>
      <c r="G6161" s="25"/>
      <c r="H6161" s="25"/>
      <c r="I6161" s="25"/>
      <c r="J6161" s="25"/>
      <c r="K6161" s="25"/>
      <c r="L6161" s="25"/>
    </row>
    <row r="6162">
      <c r="A6162" s="19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</row>
    <row r="6163">
      <c r="A6163" s="23"/>
      <c r="B6163" s="25"/>
      <c r="C6163" s="25"/>
      <c r="D6163" s="25"/>
      <c r="E6163" s="25"/>
      <c r="F6163" s="25"/>
      <c r="G6163" s="25"/>
      <c r="H6163" s="25"/>
      <c r="I6163" s="25"/>
      <c r="J6163" s="25"/>
      <c r="K6163" s="25"/>
      <c r="L6163" s="25"/>
    </row>
    <row r="6164">
      <c r="A6164" s="19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</row>
    <row r="6165">
      <c r="A6165" s="23"/>
      <c r="B6165" s="25"/>
      <c r="C6165" s="25"/>
      <c r="D6165" s="25"/>
      <c r="E6165" s="25"/>
      <c r="F6165" s="25"/>
      <c r="G6165" s="25"/>
      <c r="H6165" s="25"/>
      <c r="I6165" s="25"/>
      <c r="J6165" s="25"/>
      <c r="K6165" s="25"/>
      <c r="L6165" s="25"/>
    </row>
    <row r="6166">
      <c r="A6166" s="19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</row>
    <row r="6167">
      <c r="A6167" s="23"/>
      <c r="B6167" s="25"/>
      <c r="C6167" s="25"/>
      <c r="D6167" s="25"/>
      <c r="E6167" s="25"/>
      <c r="F6167" s="25"/>
      <c r="G6167" s="25"/>
      <c r="H6167" s="25"/>
      <c r="I6167" s="25"/>
      <c r="J6167" s="25"/>
      <c r="K6167" s="25"/>
      <c r="L6167" s="25"/>
    </row>
    <row r="6168">
      <c r="A6168" s="19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</row>
    <row r="6169">
      <c r="A6169" s="23"/>
      <c r="B6169" s="25"/>
      <c r="C6169" s="25"/>
      <c r="D6169" s="25"/>
      <c r="E6169" s="25"/>
      <c r="F6169" s="25"/>
      <c r="G6169" s="25"/>
      <c r="H6169" s="25"/>
      <c r="I6169" s="25"/>
      <c r="J6169" s="25"/>
      <c r="K6169" s="25"/>
      <c r="L6169" s="25"/>
    </row>
    <row r="6170">
      <c r="A6170" s="19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</row>
    <row r="6171">
      <c r="A6171" s="23"/>
      <c r="B6171" s="25"/>
      <c r="C6171" s="25"/>
      <c r="D6171" s="25"/>
      <c r="E6171" s="25"/>
      <c r="F6171" s="25"/>
      <c r="G6171" s="25"/>
      <c r="H6171" s="25"/>
      <c r="I6171" s="25"/>
      <c r="J6171" s="25"/>
      <c r="K6171" s="25"/>
      <c r="L6171" s="25"/>
    </row>
    <row r="6172">
      <c r="A6172" s="19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</row>
    <row r="6173">
      <c r="A6173" s="23"/>
      <c r="B6173" s="25"/>
      <c r="C6173" s="25"/>
      <c r="D6173" s="25"/>
      <c r="E6173" s="25"/>
      <c r="F6173" s="25"/>
      <c r="G6173" s="25"/>
      <c r="H6173" s="25"/>
      <c r="I6173" s="25"/>
      <c r="J6173" s="25"/>
      <c r="K6173" s="25"/>
      <c r="L6173" s="25"/>
    </row>
    <row r="6174">
      <c r="A6174" s="19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</row>
    <row r="6175">
      <c r="A6175" s="23"/>
      <c r="B6175" s="25"/>
      <c r="C6175" s="25"/>
      <c r="D6175" s="25"/>
      <c r="E6175" s="25"/>
      <c r="F6175" s="25"/>
      <c r="G6175" s="25"/>
      <c r="H6175" s="25"/>
      <c r="I6175" s="25"/>
      <c r="J6175" s="25"/>
      <c r="K6175" s="25"/>
      <c r="L6175" s="25"/>
    </row>
    <row r="6176">
      <c r="A6176" s="19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</row>
    <row r="6177">
      <c r="A6177" s="23"/>
      <c r="B6177" s="25"/>
      <c r="C6177" s="25"/>
      <c r="D6177" s="25"/>
      <c r="E6177" s="25"/>
      <c r="F6177" s="25"/>
      <c r="G6177" s="25"/>
      <c r="H6177" s="25"/>
      <c r="I6177" s="25"/>
      <c r="J6177" s="25"/>
      <c r="K6177" s="25"/>
      <c r="L6177" s="25"/>
    </row>
    <row r="6178">
      <c r="A6178" s="19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</row>
    <row r="6179">
      <c r="A6179" s="23"/>
      <c r="B6179" s="25"/>
      <c r="C6179" s="25"/>
      <c r="D6179" s="25"/>
      <c r="E6179" s="25"/>
      <c r="F6179" s="25"/>
      <c r="G6179" s="25"/>
      <c r="H6179" s="25"/>
      <c r="I6179" s="25"/>
      <c r="J6179" s="25"/>
      <c r="K6179" s="25"/>
      <c r="L6179" s="25"/>
    </row>
    <row r="6180">
      <c r="A6180" s="19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</row>
    <row r="6181">
      <c r="A6181" s="23"/>
      <c r="B6181" s="25"/>
      <c r="C6181" s="25"/>
      <c r="D6181" s="25"/>
      <c r="E6181" s="25"/>
      <c r="F6181" s="25"/>
      <c r="G6181" s="25"/>
      <c r="H6181" s="25"/>
      <c r="I6181" s="25"/>
      <c r="J6181" s="25"/>
      <c r="K6181" s="25"/>
      <c r="L6181" s="25"/>
    </row>
    <row r="6182">
      <c r="A6182" s="19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</row>
    <row r="6183">
      <c r="A6183" s="23"/>
      <c r="B6183" s="25"/>
      <c r="C6183" s="25"/>
      <c r="D6183" s="25"/>
      <c r="E6183" s="25"/>
      <c r="F6183" s="25"/>
      <c r="G6183" s="25"/>
      <c r="H6183" s="25"/>
      <c r="I6183" s="25"/>
      <c r="J6183" s="25"/>
      <c r="K6183" s="25"/>
      <c r="L6183" s="25"/>
    </row>
    <row r="6184">
      <c r="A6184" s="19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</row>
    <row r="6185">
      <c r="A6185" s="23"/>
      <c r="B6185" s="25"/>
      <c r="C6185" s="25"/>
      <c r="D6185" s="25"/>
      <c r="E6185" s="25"/>
      <c r="F6185" s="25"/>
      <c r="G6185" s="25"/>
      <c r="H6185" s="25"/>
      <c r="I6185" s="25"/>
      <c r="J6185" s="25"/>
      <c r="K6185" s="25"/>
      <c r="L6185" s="25"/>
    </row>
    <row r="6186">
      <c r="A6186" s="19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</row>
    <row r="6187">
      <c r="A6187" s="23"/>
      <c r="B6187" s="25"/>
      <c r="C6187" s="25"/>
      <c r="D6187" s="25"/>
      <c r="E6187" s="25"/>
      <c r="F6187" s="25"/>
      <c r="G6187" s="25"/>
      <c r="H6187" s="25"/>
      <c r="I6187" s="25"/>
      <c r="J6187" s="25"/>
      <c r="K6187" s="25"/>
      <c r="L6187" s="25"/>
    </row>
    <row r="6188">
      <c r="A6188" s="19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</row>
    <row r="6189">
      <c r="A6189" s="23"/>
      <c r="B6189" s="25"/>
      <c r="C6189" s="25"/>
      <c r="D6189" s="25"/>
      <c r="E6189" s="25"/>
      <c r="F6189" s="25"/>
      <c r="G6189" s="25"/>
      <c r="H6189" s="25"/>
      <c r="I6189" s="25"/>
      <c r="J6189" s="25"/>
      <c r="K6189" s="25"/>
      <c r="L6189" s="25"/>
    </row>
    <row r="6190">
      <c r="A6190" s="19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</row>
    <row r="6191">
      <c r="A6191" s="23"/>
      <c r="B6191" s="25"/>
      <c r="C6191" s="25"/>
      <c r="D6191" s="25"/>
      <c r="E6191" s="25"/>
      <c r="F6191" s="25"/>
      <c r="G6191" s="25"/>
      <c r="H6191" s="25"/>
      <c r="I6191" s="25"/>
      <c r="J6191" s="25"/>
      <c r="K6191" s="25"/>
      <c r="L6191" s="25"/>
    </row>
    <row r="6192">
      <c r="A6192" s="19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</row>
    <row r="6193">
      <c r="A6193" s="23"/>
      <c r="B6193" s="25"/>
      <c r="C6193" s="25"/>
      <c r="D6193" s="25"/>
      <c r="E6193" s="25"/>
      <c r="F6193" s="25"/>
      <c r="G6193" s="25"/>
      <c r="H6193" s="25"/>
      <c r="I6193" s="25"/>
      <c r="J6193" s="25"/>
      <c r="K6193" s="25"/>
      <c r="L6193" s="25"/>
    </row>
    <row r="6194">
      <c r="A6194" s="19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</row>
    <row r="6195">
      <c r="A6195" s="23"/>
      <c r="B6195" s="25"/>
      <c r="C6195" s="25"/>
      <c r="D6195" s="25"/>
      <c r="E6195" s="25"/>
      <c r="F6195" s="25"/>
      <c r="G6195" s="25"/>
      <c r="H6195" s="25"/>
      <c r="I6195" s="25"/>
      <c r="J6195" s="25"/>
      <c r="K6195" s="25"/>
      <c r="L6195" s="25"/>
    </row>
    <row r="6196">
      <c r="A6196" s="19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</row>
    <row r="6197">
      <c r="A6197" s="23"/>
      <c r="B6197" s="25"/>
      <c r="C6197" s="25"/>
      <c r="D6197" s="25"/>
      <c r="E6197" s="25"/>
      <c r="F6197" s="25"/>
      <c r="G6197" s="25"/>
      <c r="H6197" s="25"/>
      <c r="I6197" s="25"/>
      <c r="J6197" s="25"/>
      <c r="K6197" s="25"/>
      <c r="L6197" s="25"/>
    </row>
    <row r="6198">
      <c r="A6198" s="19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</row>
    <row r="6199">
      <c r="A6199" s="23"/>
      <c r="B6199" s="25"/>
      <c r="C6199" s="25"/>
      <c r="D6199" s="25"/>
      <c r="E6199" s="25"/>
      <c r="F6199" s="25"/>
      <c r="G6199" s="25"/>
      <c r="H6199" s="25"/>
      <c r="I6199" s="25"/>
      <c r="J6199" s="25"/>
      <c r="K6199" s="25"/>
      <c r="L6199" s="25"/>
    </row>
    <row r="6200">
      <c r="A6200" s="19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</row>
    <row r="6201">
      <c r="A6201" s="23"/>
      <c r="B6201" s="25"/>
      <c r="C6201" s="25"/>
      <c r="D6201" s="25"/>
      <c r="E6201" s="25"/>
      <c r="F6201" s="25"/>
      <c r="G6201" s="25"/>
      <c r="H6201" s="25"/>
      <c r="I6201" s="25"/>
      <c r="J6201" s="25"/>
      <c r="K6201" s="25"/>
      <c r="L6201" s="25"/>
    </row>
    <row r="6202">
      <c r="A6202" s="19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</row>
    <row r="6203">
      <c r="A6203" s="23"/>
      <c r="B6203" s="25"/>
      <c r="C6203" s="25"/>
      <c r="D6203" s="25"/>
      <c r="E6203" s="25"/>
      <c r="F6203" s="25"/>
      <c r="G6203" s="25"/>
      <c r="H6203" s="25"/>
      <c r="I6203" s="25"/>
      <c r="J6203" s="25"/>
      <c r="K6203" s="25"/>
      <c r="L6203" s="25"/>
    </row>
    <row r="6204">
      <c r="A6204" s="19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</row>
    <row r="6205">
      <c r="A6205" s="23"/>
      <c r="B6205" s="25"/>
      <c r="C6205" s="25"/>
      <c r="D6205" s="25"/>
      <c r="E6205" s="25"/>
      <c r="F6205" s="25"/>
      <c r="G6205" s="25"/>
      <c r="H6205" s="25"/>
      <c r="I6205" s="25"/>
      <c r="J6205" s="25"/>
      <c r="K6205" s="25"/>
      <c r="L6205" s="25"/>
    </row>
    <row r="6206">
      <c r="A6206" s="19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</row>
    <row r="6207">
      <c r="A6207" s="23"/>
      <c r="B6207" s="25"/>
      <c r="C6207" s="25"/>
      <c r="D6207" s="25"/>
      <c r="E6207" s="25"/>
      <c r="F6207" s="25"/>
      <c r="G6207" s="25"/>
      <c r="H6207" s="25"/>
      <c r="I6207" s="25"/>
      <c r="J6207" s="25"/>
      <c r="K6207" s="25"/>
      <c r="L6207" s="25"/>
    </row>
    <row r="6208">
      <c r="A6208" s="19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</row>
    <row r="6209">
      <c r="A6209" s="23"/>
      <c r="B6209" s="25"/>
      <c r="C6209" s="25"/>
      <c r="D6209" s="25"/>
      <c r="E6209" s="25"/>
      <c r="F6209" s="25"/>
      <c r="G6209" s="25"/>
      <c r="H6209" s="25"/>
      <c r="I6209" s="25"/>
      <c r="J6209" s="25"/>
      <c r="K6209" s="25"/>
      <c r="L6209" s="25"/>
    </row>
    <row r="6210">
      <c r="A6210" s="19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</row>
    <row r="6211">
      <c r="A6211" s="23"/>
      <c r="B6211" s="25"/>
      <c r="C6211" s="25"/>
      <c r="D6211" s="25"/>
      <c r="E6211" s="25"/>
      <c r="F6211" s="25"/>
      <c r="G6211" s="25"/>
      <c r="H6211" s="25"/>
      <c r="I6211" s="25"/>
      <c r="J6211" s="25"/>
      <c r="K6211" s="25"/>
      <c r="L6211" s="25"/>
    </row>
    <row r="6212">
      <c r="A6212" s="19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</row>
    <row r="6213">
      <c r="A6213" s="23"/>
      <c r="B6213" s="25"/>
      <c r="C6213" s="25"/>
      <c r="D6213" s="25"/>
      <c r="E6213" s="25"/>
      <c r="F6213" s="25"/>
      <c r="G6213" s="25"/>
      <c r="H6213" s="25"/>
      <c r="I6213" s="25"/>
      <c r="J6213" s="25"/>
      <c r="K6213" s="25"/>
      <c r="L6213" s="25"/>
    </row>
    <row r="6214">
      <c r="A6214" s="19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</row>
    <row r="6215">
      <c r="A6215" s="23"/>
      <c r="B6215" s="25"/>
      <c r="C6215" s="25"/>
      <c r="D6215" s="25"/>
      <c r="E6215" s="25"/>
      <c r="F6215" s="25"/>
      <c r="G6215" s="25"/>
      <c r="H6215" s="25"/>
      <c r="I6215" s="25"/>
      <c r="J6215" s="25"/>
      <c r="K6215" s="25"/>
      <c r="L6215" s="25"/>
    </row>
    <row r="6216">
      <c r="A6216" s="19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</row>
    <row r="6217">
      <c r="A6217" s="23"/>
      <c r="B6217" s="25"/>
      <c r="C6217" s="25"/>
      <c r="D6217" s="25"/>
      <c r="E6217" s="25"/>
      <c r="F6217" s="25"/>
      <c r="G6217" s="25"/>
      <c r="H6217" s="25"/>
      <c r="I6217" s="25"/>
      <c r="J6217" s="25"/>
      <c r="K6217" s="25"/>
      <c r="L6217" s="25"/>
    </row>
    <row r="6218">
      <c r="A6218" s="19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</row>
    <row r="6219">
      <c r="A6219" s="23"/>
      <c r="B6219" s="25"/>
      <c r="C6219" s="25"/>
      <c r="D6219" s="25"/>
      <c r="E6219" s="25"/>
      <c r="F6219" s="25"/>
      <c r="G6219" s="25"/>
      <c r="H6219" s="25"/>
      <c r="I6219" s="25"/>
      <c r="J6219" s="25"/>
      <c r="K6219" s="25"/>
      <c r="L6219" s="25"/>
    </row>
    <row r="6220">
      <c r="A6220" s="19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</row>
    <row r="6221">
      <c r="A6221" s="23"/>
      <c r="B6221" s="25"/>
      <c r="C6221" s="25"/>
      <c r="D6221" s="25"/>
      <c r="E6221" s="25"/>
      <c r="F6221" s="25"/>
      <c r="G6221" s="25"/>
      <c r="H6221" s="25"/>
      <c r="I6221" s="25"/>
      <c r="J6221" s="25"/>
      <c r="K6221" s="25"/>
      <c r="L6221" s="25"/>
    </row>
    <row r="6222">
      <c r="A6222" s="19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</row>
    <row r="6223">
      <c r="A6223" s="23"/>
      <c r="B6223" s="25"/>
      <c r="C6223" s="25"/>
      <c r="D6223" s="25"/>
      <c r="E6223" s="25"/>
      <c r="F6223" s="25"/>
      <c r="G6223" s="25"/>
      <c r="H6223" s="25"/>
      <c r="I6223" s="25"/>
      <c r="J6223" s="25"/>
      <c r="K6223" s="25"/>
      <c r="L6223" s="25"/>
    </row>
    <row r="6224">
      <c r="A6224" s="19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</row>
    <row r="6225">
      <c r="A6225" s="23"/>
      <c r="B6225" s="25"/>
      <c r="C6225" s="25"/>
      <c r="D6225" s="25"/>
      <c r="E6225" s="25"/>
      <c r="F6225" s="25"/>
      <c r="G6225" s="25"/>
      <c r="H6225" s="25"/>
      <c r="I6225" s="25"/>
      <c r="J6225" s="25"/>
      <c r="K6225" s="25"/>
      <c r="L6225" s="25"/>
    </row>
    <row r="6226">
      <c r="A6226" s="19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</row>
    <row r="6227">
      <c r="A6227" s="23"/>
      <c r="B6227" s="25"/>
      <c r="C6227" s="25"/>
      <c r="D6227" s="25"/>
      <c r="E6227" s="25"/>
      <c r="F6227" s="25"/>
      <c r="G6227" s="25"/>
      <c r="H6227" s="25"/>
      <c r="I6227" s="25"/>
      <c r="J6227" s="25"/>
      <c r="K6227" s="25"/>
      <c r="L6227" s="25"/>
    </row>
    <row r="6228">
      <c r="A6228" s="19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</row>
    <row r="6229">
      <c r="A6229" s="23"/>
      <c r="B6229" s="25"/>
      <c r="C6229" s="25"/>
      <c r="D6229" s="25"/>
      <c r="E6229" s="25"/>
      <c r="F6229" s="25"/>
      <c r="G6229" s="25"/>
      <c r="H6229" s="25"/>
      <c r="I6229" s="25"/>
      <c r="J6229" s="25"/>
      <c r="K6229" s="25"/>
      <c r="L6229" s="25"/>
    </row>
    <row r="6230">
      <c r="A6230" s="19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</row>
    <row r="6231">
      <c r="A6231" s="23"/>
      <c r="B6231" s="25"/>
      <c r="C6231" s="25"/>
      <c r="D6231" s="25"/>
      <c r="E6231" s="25"/>
      <c r="F6231" s="25"/>
      <c r="G6231" s="25"/>
      <c r="H6231" s="25"/>
      <c r="I6231" s="25"/>
      <c r="J6231" s="25"/>
      <c r="K6231" s="25"/>
      <c r="L6231" s="25"/>
    </row>
    <row r="6232">
      <c r="A6232" s="19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</row>
    <row r="6233">
      <c r="A6233" s="23"/>
      <c r="B6233" s="25"/>
      <c r="C6233" s="25"/>
      <c r="D6233" s="25"/>
      <c r="E6233" s="25"/>
      <c r="F6233" s="25"/>
      <c r="G6233" s="25"/>
      <c r="H6233" s="25"/>
      <c r="I6233" s="25"/>
      <c r="J6233" s="25"/>
      <c r="K6233" s="25"/>
      <c r="L6233" s="25"/>
    </row>
    <row r="6234">
      <c r="A6234" s="19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</row>
    <row r="6235">
      <c r="A6235" s="23"/>
      <c r="B6235" s="25"/>
      <c r="C6235" s="25"/>
      <c r="D6235" s="25"/>
      <c r="E6235" s="25"/>
      <c r="F6235" s="25"/>
      <c r="G6235" s="25"/>
      <c r="H6235" s="25"/>
      <c r="I6235" s="25"/>
      <c r="J6235" s="25"/>
      <c r="K6235" s="25"/>
      <c r="L6235" s="25"/>
    </row>
    <row r="6236">
      <c r="A6236" s="19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</row>
    <row r="6237">
      <c r="A6237" s="23"/>
      <c r="B6237" s="25"/>
      <c r="C6237" s="25"/>
      <c r="D6237" s="25"/>
      <c r="E6237" s="25"/>
      <c r="F6237" s="25"/>
      <c r="G6237" s="25"/>
      <c r="H6237" s="25"/>
      <c r="I6237" s="25"/>
      <c r="J6237" s="25"/>
      <c r="K6237" s="25"/>
      <c r="L6237" s="25"/>
    </row>
    <row r="6238">
      <c r="A6238" s="19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</row>
    <row r="6239">
      <c r="A6239" s="23"/>
      <c r="B6239" s="25"/>
      <c r="C6239" s="25"/>
      <c r="D6239" s="25"/>
      <c r="E6239" s="25"/>
      <c r="F6239" s="25"/>
      <c r="G6239" s="25"/>
      <c r="H6239" s="25"/>
      <c r="I6239" s="25"/>
      <c r="J6239" s="25"/>
      <c r="K6239" s="25"/>
      <c r="L6239" s="25"/>
    </row>
    <row r="6240">
      <c r="A6240" s="19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</row>
    <row r="6241">
      <c r="A6241" s="23"/>
      <c r="B6241" s="25"/>
      <c r="C6241" s="25"/>
      <c r="D6241" s="25"/>
      <c r="E6241" s="25"/>
      <c r="F6241" s="25"/>
      <c r="G6241" s="25"/>
      <c r="H6241" s="25"/>
      <c r="I6241" s="25"/>
      <c r="J6241" s="25"/>
      <c r="K6241" s="25"/>
      <c r="L6241" s="25"/>
    </row>
    <row r="6242">
      <c r="A6242" s="19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</row>
    <row r="6243">
      <c r="A6243" s="23"/>
      <c r="B6243" s="25"/>
      <c r="C6243" s="25"/>
      <c r="D6243" s="25"/>
      <c r="E6243" s="25"/>
      <c r="F6243" s="25"/>
      <c r="G6243" s="25"/>
      <c r="H6243" s="25"/>
      <c r="I6243" s="25"/>
      <c r="J6243" s="25"/>
      <c r="K6243" s="25"/>
      <c r="L6243" s="25"/>
    </row>
    <row r="6244">
      <c r="A6244" s="19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</row>
    <row r="6245">
      <c r="A6245" s="23"/>
      <c r="B6245" s="25"/>
      <c r="C6245" s="25"/>
      <c r="D6245" s="25"/>
      <c r="E6245" s="25"/>
      <c r="F6245" s="25"/>
      <c r="G6245" s="25"/>
      <c r="H6245" s="25"/>
      <c r="I6245" s="25"/>
      <c r="J6245" s="25"/>
      <c r="K6245" s="25"/>
      <c r="L6245" s="25"/>
    </row>
    <row r="6246">
      <c r="A6246" s="19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</row>
    <row r="6247">
      <c r="A6247" s="23"/>
      <c r="B6247" s="25"/>
      <c r="C6247" s="25"/>
      <c r="D6247" s="25"/>
      <c r="E6247" s="25"/>
      <c r="F6247" s="25"/>
      <c r="G6247" s="25"/>
      <c r="H6247" s="25"/>
      <c r="I6247" s="25"/>
      <c r="J6247" s="25"/>
      <c r="K6247" s="25"/>
      <c r="L6247" s="25"/>
    </row>
    <row r="6248">
      <c r="A6248" s="19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</row>
    <row r="6249">
      <c r="A6249" s="23"/>
      <c r="B6249" s="25"/>
      <c r="C6249" s="25"/>
      <c r="D6249" s="25"/>
      <c r="E6249" s="25"/>
      <c r="F6249" s="25"/>
      <c r="G6249" s="25"/>
      <c r="H6249" s="25"/>
      <c r="I6249" s="25"/>
      <c r="J6249" s="25"/>
      <c r="K6249" s="25"/>
      <c r="L6249" s="25"/>
    </row>
    <row r="6250">
      <c r="A6250" s="19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</row>
    <row r="6251">
      <c r="A6251" s="23"/>
      <c r="B6251" s="25"/>
      <c r="C6251" s="25"/>
      <c r="D6251" s="25"/>
      <c r="E6251" s="25"/>
      <c r="F6251" s="25"/>
      <c r="G6251" s="25"/>
      <c r="H6251" s="25"/>
      <c r="I6251" s="25"/>
      <c r="J6251" s="25"/>
      <c r="K6251" s="25"/>
      <c r="L6251" s="25"/>
    </row>
    <row r="6252">
      <c r="A6252" s="19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</row>
    <row r="6253">
      <c r="A6253" s="23"/>
      <c r="B6253" s="25"/>
      <c r="C6253" s="25"/>
      <c r="D6253" s="25"/>
      <c r="E6253" s="25"/>
      <c r="F6253" s="25"/>
      <c r="G6253" s="25"/>
      <c r="H6253" s="25"/>
      <c r="I6253" s="25"/>
      <c r="J6253" s="25"/>
      <c r="K6253" s="25"/>
      <c r="L6253" s="25"/>
    </row>
    <row r="6254">
      <c r="A6254" s="19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</row>
    <row r="6255">
      <c r="A6255" s="23"/>
      <c r="B6255" s="25"/>
      <c r="C6255" s="25"/>
      <c r="D6255" s="25"/>
      <c r="E6255" s="25"/>
      <c r="F6255" s="25"/>
      <c r="G6255" s="25"/>
      <c r="H6255" s="25"/>
      <c r="I6255" s="25"/>
      <c r="J6255" s="25"/>
      <c r="K6255" s="25"/>
      <c r="L6255" s="25"/>
    </row>
    <row r="6256">
      <c r="A6256" s="19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</row>
    <row r="6257">
      <c r="A6257" s="23"/>
      <c r="B6257" s="25"/>
      <c r="C6257" s="25"/>
      <c r="D6257" s="25"/>
      <c r="E6257" s="25"/>
      <c r="F6257" s="25"/>
      <c r="G6257" s="25"/>
      <c r="H6257" s="25"/>
      <c r="I6257" s="25"/>
      <c r="J6257" s="25"/>
      <c r="K6257" s="25"/>
      <c r="L6257" s="25"/>
    </row>
    <row r="6258">
      <c r="A6258" s="19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</row>
    <row r="6259">
      <c r="A6259" s="23"/>
      <c r="B6259" s="25"/>
      <c r="C6259" s="25"/>
      <c r="D6259" s="25"/>
      <c r="E6259" s="25"/>
      <c r="F6259" s="25"/>
      <c r="G6259" s="25"/>
      <c r="H6259" s="25"/>
      <c r="I6259" s="25"/>
      <c r="J6259" s="25"/>
      <c r="K6259" s="25"/>
      <c r="L6259" s="25"/>
    </row>
    <row r="6260">
      <c r="A6260" s="19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</row>
    <row r="6261">
      <c r="A6261" s="23"/>
      <c r="B6261" s="25"/>
      <c r="C6261" s="25"/>
      <c r="D6261" s="25"/>
      <c r="E6261" s="25"/>
      <c r="F6261" s="25"/>
      <c r="G6261" s="25"/>
      <c r="H6261" s="25"/>
      <c r="I6261" s="25"/>
      <c r="J6261" s="25"/>
      <c r="K6261" s="25"/>
      <c r="L6261" s="25"/>
    </row>
    <row r="6262">
      <c r="A6262" s="19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</row>
    <row r="6263">
      <c r="A6263" s="23"/>
      <c r="B6263" s="25"/>
      <c r="C6263" s="25"/>
      <c r="D6263" s="25"/>
      <c r="E6263" s="25"/>
      <c r="F6263" s="25"/>
      <c r="G6263" s="25"/>
      <c r="H6263" s="25"/>
      <c r="I6263" s="25"/>
      <c r="J6263" s="25"/>
      <c r="K6263" s="25"/>
      <c r="L6263" s="25"/>
    </row>
    <row r="6264">
      <c r="A6264" s="19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</row>
    <row r="6265">
      <c r="A6265" s="23"/>
      <c r="B6265" s="25"/>
      <c r="C6265" s="25"/>
      <c r="D6265" s="25"/>
      <c r="E6265" s="25"/>
      <c r="F6265" s="25"/>
      <c r="G6265" s="25"/>
      <c r="H6265" s="25"/>
      <c r="I6265" s="25"/>
      <c r="J6265" s="25"/>
      <c r="K6265" s="25"/>
      <c r="L6265" s="25"/>
    </row>
    <row r="6266">
      <c r="A6266" s="19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</row>
    <row r="6267">
      <c r="A6267" s="23"/>
      <c r="B6267" s="25"/>
      <c r="C6267" s="25"/>
      <c r="D6267" s="25"/>
      <c r="E6267" s="25"/>
      <c r="F6267" s="25"/>
      <c r="G6267" s="25"/>
      <c r="H6267" s="25"/>
      <c r="I6267" s="25"/>
      <c r="J6267" s="25"/>
      <c r="K6267" s="25"/>
      <c r="L6267" s="25"/>
    </row>
    <row r="6268">
      <c r="A6268" s="19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</row>
    <row r="6269">
      <c r="A6269" s="23"/>
      <c r="B6269" s="25"/>
      <c r="C6269" s="25"/>
      <c r="D6269" s="25"/>
      <c r="E6269" s="25"/>
      <c r="F6269" s="25"/>
      <c r="G6269" s="25"/>
      <c r="H6269" s="25"/>
      <c r="I6269" s="25"/>
      <c r="J6269" s="25"/>
      <c r="K6269" s="25"/>
      <c r="L6269" s="25"/>
    </row>
    <row r="6270">
      <c r="A6270" s="19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</row>
    <row r="6271">
      <c r="A6271" s="23"/>
      <c r="B6271" s="25"/>
      <c r="C6271" s="25"/>
      <c r="D6271" s="25"/>
      <c r="E6271" s="25"/>
      <c r="F6271" s="25"/>
      <c r="G6271" s="25"/>
      <c r="H6271" s="25"/>
      <c r="I6271" s="25"/>
      <c r="J6271" s="25"/>
      <c r="K6271" s="25"/>
      <c r="L6271" s="25"/>
    </row>
    <row r="6272">
      <c r="A6272" s="19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</row>
    <row r="6273">
      <c r="A6273" s="23"/>
      <c r="B6273" s="25"/>
      <c r="C6273" s="25"/>
      <c r="D6273" s="25"/>
      <c r="E6273" s="25"/>
      <c r="F6273" s="25"/>
      <c r="G6273" s="25"/>
      <c r="H6273" s="25"/>
      <c r="I6273" s="25"/>
      <c r="J6273" s="25"/>
      <c r="K6273" s="25"/>
      <c r="L6273" s="25"/>
    </row>
    <row r="6274">
      <c r="A6274" s="19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</row>
    <row r="6275">
      <c r="A6275" s="23"/>
      <c r="B6275" s="25"/>
      <c r="C6275" s="25"/>
      <c r="D6275" s="25"/>
      <c r="E6275" s="25"/>
      <c r="F6275" s="25"/>
      <c r="G6275" s="25"/>
      <c r="H6275" s="25"/>
      <c r="I6275" s="25"/>
      <c r="J6275" s="25"/>
      <c r="K6275" s="25"/>
      <c r="L6275" s="25"/>
    </row>
    <row r="6276">
      <c r="A6276" s="19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</row>
    <row r="6277">
      <c r="A6277" s="23"/>
      <c r="B6277" s="25"/>
      <c r="C6277" s="25"/>
      <c r="D6277" s="25"/>
      <c r="E6277" s="25"/>
      <c r="F6277" s="25"/>
      <c r="G6277" s="25"/>
      <c r="H6277" s="25"/>
      <c r="I6277" s="25"/>
      <c r="J6277" s="25"/>
      <c r="K6277" s="25"/>
      <c r="L6277" s="25"/>
    </row>
    <row r="6278">
      <c r="A6278" s="19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</row>
    <row r="6279">
      <c r="A6279" s="23"/>
      <c r="B6279" s="25"/>
      <c r="C6279" s="25"/>
      <c r="D6279" s="25"/>
      <c r="E6279" s="25"/>
      <c r="F6279" s="25"/>
      <c r="G6279" s="25"/>
      <c r="H6279" s="25"/>
      <c r="I6279" s="25"/>
      <c r="J6279" s="25"/>
      <c r="K6279" s="25"/>
      <c r="L6279" s="25"/>
    </row>
    <row r="6280">
      <c r="A6280" s="19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</row>
    <row r="6281">
      <c r="A6281" s="23"/>
      <c r="B6281" s="25"/>
      <c r="C6281" s="25"/>
      <c r="D6281" s="25"/>
      <c r="E6281" s="25"/>
      <c r="F6281" s="25"/>
      <c r="G6281" s="25"/>
      <c r="H6281" s="25"/>
      <c r="I6281" s="25"/>
      <c r="J6281" s="25"/>
      <c r="K6281" s="25"/>
      <c r="L6281" s="25"/>
    </row>
    <row r="6282">
      <c r="A6282" s="19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</row>
    <row r="6283">
      <c r="A6283" s="23"/>
      <c r="B6283" s="25"/>
      <c r="C6283" s="25"/>
      <c r="D6283" s="25"/>
      <c r="E6283" s="25"/>
      <c r="F6283" s="25"/>
      <c r="G6283" s="25"/>
      <c r="H6283" s="25"/>
      <c r="I6283" s="25"/>
      <c r="J6283" s="25"/>
      <c r="K6283" s="25"/>
      <c r="L6283" s="25"/>
    </row>
    <row r="6284">
      <c r="A6284" s="19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</row>
    <row r="6285">
      <c r="A6285" s="23"/>
      <c r="B6285" s="25"/>
      <c r="C6285" s="25"/>
      <c r="D6285" s="25"/>
      <c r="E6285" s="25"/>
      <c r="F6285" s="25"/>
      <c r="G6285" s="25"/>
      <c r="H6285" s="25"/>
      <c r="I6285" s="25"/>
      <c r="J6285" s="25"/>
      <c r="K6285" s="25"/>
      <c r="L6285" s="25"/>
    </row>
    <row r="6286">
      <c r="A6286" s="19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</row>
    <row r="6287">
      <c r="A6287" s="23"/>
      <c r="B6287" s="25"/>
      <c r="C6287" s="25"/>
      <c r="D6287" s="25"/>
      <c r="E6287" s="25"/>
      <c r="F6287" s="25"/>
      <c r="G6287" s="25"/>
      <c r="H6287" s="25"/>
      <c r="I6287" s="25"/>
      <c r="J6287" s="25"/>
      <c r="K6287" s="25"/>
      <c r="L6287" s="25"/>
    </row>
    <row r="6288">
      <c r="A6288" s="19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</row>
    <row r="6289">
      <c r="A6289" s="23"/>
      <c r="B6289" s="25"/>
      <c r="C6289" s="25"/>
      <c r="D6289" s="25"/>
      <c r="E6289" s="25"/>
      <c r="F6289" s="25"/>
      <c r="G6289" s="25"/>
      <c r="H6289" s="25"/>
      <c r="I6289" s="25"/>
      <c r="J6289" s="25"/>
      <c r="K6289" s="25"/>
      <c r="L6289" s="25"/>
    </row>
    <row r="6290">
      <c r="A6290" s="19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</row>
    <row r="6291">
      <c r="A6291" s="23"/>
      <c r="B6291" s="25"/>
      <c r="C6291" s="25"/>
      <c r="D6291" s="25"/>
      <c r="E6291" s="25"/>
      <c r="F6291" s="25"/>
      <c r="G6291" s="25"/>
      <c r="H6291" s="25"/>
      <c r="I6291" s="25"/>
      <c r="J6291" s="25"/>
      <c r="K6291" s="25"/>
      <c r="L6291" s="25"/>
    </row>
    <row r="6292">
      <c r="A6292" s="19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</row>
    <row r="6293">
      <c r="A6293" s="23"/>
      <c r="B6293" s="25"/>
      <c r="C6293" s="25"/>
      <c r="D6293" s="25"/>
      <c r="E6293" s="25"/>
      <c r="F6293" s="25"/>
      <c r="G6293" s="25"/>
      <c r="H6293" s="25"/>
      <c r="I6293" s="25"/>
      <c r="J6293" s="25"/>
      <c r="K6293" s="25"/>
      <c r="L6293" s="25"/>
    </row>
    <row r="6294">
      <c r="A6294" s="19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</row>
    <row r="6295">
      <c r="A6295" s="23"/>
      <c r="B6295" s="25"/>
      <c r="C6295" s="25"/>
      <c r="D6295" s="25"/>
      <c r="E6295" s="25"/>
      <c r="F6295" s="25"/>
      <c r="G6295" s="25"/>
      <c r="H6295" s="25"/>
      <c r="I6295" s="25"/>
      <c r="J6295" s="25"/>
      <c r="K6295" s="25"/>
      <c r="L6295" s="25"/>
    </row>
    <row r="6296">
      <c r="A6296" s="19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</row>
    <row r="6297">
      <c r="A6297" s="23"/>
      <c r="B6297" s="25"/>
      <c r="C6297" s="25"/>
      <c r="D6297" s="25"/>
      <c r="E6297" s="25"/>
      <c r="F6297" s="25"/>
      <c r="G6297" s="25"/>
      <c r="H6297" s="25"/>
      <c r="I6297" s="25"/>
      <c r="J6297" s="25"/>
      <c r="K6297" s="25"/>
      <c r="L6297" s="25"/>
    </row>
    <row r="6298">
      <c r="A6298" s="19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</row>
    <row r="6299">
      <c r="A6299" s="23"/>
      <c r="B6299" s="25"/>
      <c r="C6299" s="25"/>
      <c r="D6299" s="25"/>
      <c r="E6299" s="25"/>
      <c r="F6299" s="25"/>
      <c r="G6299" s="25"/>
      <c r="H6299" s="25"/>
      <c r="I6299" s="25"/>
      <c r="J6299" s="25"/>
      <c r="K6299" s="25"/>
      <c r="L6299" s="25"/>
    </row>
    <row r="6300">
      <c r="A6300" s="19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</row>
    <row r="6301">
      <c r="A6301" s="23"/>
      <c r="B6301" s="25"/>
      <c r="C6301" s="25"/>
      <c r="D6301" s="25"/>
      <c r="E6301" s="25"/>
      <c r="F6301" s="25"/>
      <c r="G6301" s="25"/>
      <c r="H6301" s="25"/>
      <c r="I6301" s="25"/>
      <c r="J6301" s="25"/>
      <c r="K6301" s="25"/>
      <c r="L6301" s="25"/>
    </row>
    <row r="6302">
      <c r="A6302" s="19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</row>
    <row r="6303">
      <c r="A6303" s="23"/>
      <c r="B6303" s="25"/>
      <c r="C6303" s="25"/>
      <c r="D6303" s="25"/>
      <c r="E6303" s="25"/>
      <c r="F6303" s="25"/>
      <c r="G6303" s="25"/>
      <c r="H6303" s="25"/>
      <c r="I6303" s="25"/>
      <c r="J6303" s="25"/>
      <c r="K6303" s="25"/>
      <c r="L6303" s="25"/>
    </row>
    <row r="6304">
      <c r="A6304" s="19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</row>
    <row r="6305">
      <c r="A6305" s="23"/>
      <c r="B6305" s="25"/>
      <c r="C6305" s="25"/>
      <c r="D6305" s="25"/>
      <c r="E6305" s="25"/>
      <c r="F6305" s="25"/>
      <c r="G6305" s="25"/>
      <c r="H6305" s="25"/>
      <c r="I6305" s="25"/>
      <c r="J6305" s="25"/>
      <c r="K6305" s="25"/>
      <c r="L6305" s="25"/>
    </row>
    <row r="6306">
      <c r="A6306" s="19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</row>
    <row r="6307">
      <c r="A6307" s="23"/>
      <c r="B6307" s="25"/>
      <c r="C6307" s="25"/>
      <c r="D6307" s="25"/>
      <c r="E6307" s="25"/>
      <c r="F6307" s="25"/>
      <c r="G6307" s="25"/>
      <c r="H6307" s="25"/>
      <c r="I6307" s="25"/>
      <c r="J6307" s="25"/>
      <c r="K6307" s="25"/>
      <c r="L6307" s="25"/>
    </row>
    <row r="6308">
      <c r="A6308" s="19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</row>
    <row r="6309">
      <c r="A6309" s="23"/>
      <c r="B6309" s="25"/>
      <c r="C6309" s="25"/>
      <c r="D6309" s="25"/>
      <c r="E6309" s="25"/>
      <c r="F6309" s="25"/>
      <c r="G6309" s="25"/>
      <c r="H6309" s="25"/>
      <c r="I6309" s="25"/>
      <c r="J6309" s="25"/>
      <c r="K6309" s="25"/>
      <c r="L6309" s="25"/>
    </row>
    <row r="6310">
      <c r="A6310" s="19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</row>
    <row r="6311">
      <c r="A6311" s="23"/>
      <c r="B6311" s="25"/>
      <c r="C6311" s="25"/>
      <c r="D6311" s="25"/>
      <c r="E6311" s="25"/>
      <c r="F6311" s="25"/>
      <c r="G6311" s="25"/>
      <c r="H6311" s="25"/>
      <c r="I6311" s="25"/>
      <c r="J6311" s="25"/>
      <c r="K6311" s="25"/>
      <c r="L6311" s="25"/>
    </row>
    <row r="6312">
      <c r="A6312" s="19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</row>
    <row r="6313">
      <c r="A6313" s="23"/>
      <c r="B6313" s="25"/>
      <c r="C6313" s="25"/>
      <c r="D6313" s="25"/>
      <c r="E6313" s="25"/>
      <c r="F6313" s="25"/>
      <c r="G6313" s="25"/>
      <c r="H6313" s="25"/>
      <c r="I6313" s="25"/>
      <c r="J6313" s="25"/>
      <c r="K6313" s="25"/>
      <c r="L6313" s="25"/>
    </row>
    <row r="6314">
      <c r="A6314" s="19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</row>
    <row r="6315">
      <c r="A6315" s="23"/>
      <c r="B6315" s="25"/>
      <c r="C6315" s="25"/>
      <c r="D6315" s="25"/>
      <c r="E6315" s="25"/>
      <c r="F6315" s="25"/>
      <c r="G6315" s="25"/>
      <c r="H6315" s="25"/>
      <c r="I6315" s="25"/>
      <c r="J6315" s="25"/>
      <c r="K6315" s="25"/>
      <c r="L6315" s="25"/>
    </row>
    <row r="6316">
      <c r="A6316" s="19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</row>
    <row r="6317">
      <c r="A6317" s="23"/>
      <c r="B6317" s="25"/>
      <c r="C6317" s="25"/>
      <c r="D6317" s="25"/>
      <c r="E6317" s="25"/>
      <c r="F6317" s="25"/>
      <c r="G6317" s="25"/>
      <c r="H6317" s="25"/>
      <c r="I6317" s="25"/>
      <c r="J6317" s="25"/>
      <c r="K6317" s="25"/>
      <c r="L6317" s="25"/>
    </row>
    <row r="6318">
      <c r="A6318" s="19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</row>
    <row r="6319">
      <c r="A6319" s="23"/>
      <c r="B6319" s="25"/>
      <c r="C6319" s="25"/>
      <c r="D6319" s="25"/>
      <c r="E6319" s="25"/>
      <c r="F6319" s="25"/>
      <c r="G6319" s="25"/>
      <c r="H6319" s="25"/>
      <c r="I6319" s="25"/>
      <c r="J6319" s="25"/>
      <c r="K6319" s="25"/>
      <c r="L6319" s="25"/>
    </row>
    <row r="6320">
      <c r="A6320" s="19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</row>
    <row r="6321">
      <c r="A6321" s="23"/>
      <c r="B6321" s="25"/>
      <c r="C6321" s="25"/>
      <c r="D6321" s="25"/>
      <c r="E6321" s="25"/>
      <c r="F6321" s="25"/>
      <c r="G6321" s="25"/>
      <c r="H6321" s="25"/>
      <c r="I6321" s="25"/>
      <c r="J6321" s="25"/>
      <c r="K6321" s="25"/>
      <c r="L6321" s="25"/>
    </row>
    <row r="6322">
      <c r="A6322" s="19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</row>
    <row r="6323">
      <c r="A6323" s="23"/>
      <c r="B6323" s="25"/>
      <c r="C6323" s="25"/>
      <c r="D6323" s="25"/>
      <c r="E6323" s="25"/>
      <c r="F6323" s="25"/>
      <c r="G6323" s="25"/>
      <c r="H6323" s="25"/>
      <c r="I6323" s="25"/>
      <c r="J6323" s="25"/>
      <c r="K6323" s="25"/>
      <c r="L6323" s="25"/>
    </row>
    <row r="6324">
      <c r="A6324" s="19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</row>
    <row r="6325">
      <c r="A6325" s="23"/>
      <c r="B6325" s="25"/>
      <c r="C6325" s="25"/>
      <c r="D6325" s="25"/>
      <c r="E6325" s="25"/>
      <c r="F6325" s="25"/>
      <c r="G6325" s="25"/>
      <c r="H6325" s="25"/>
      <c r="I6325" s="25"/>
      <c r="J6325" s="25"/>
      <c r="K6325" s="25"/>
      <c r="L6325" s="25"/>
    </row>
    <row r="6326">
      <c r="A6326" s="19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</row>
    <row r="6327">
      <c r="A6327" s="23"/>
      <c r="B6327" s="25"/>
      <c r="C6327" s="25"/>
      <c r="D6327" s="25"/>
      <c r="E6327" s="25"/>
      <c r="F6327" s="25"/>
      <c r="G6327" s="25"/>
      <c r="H6327" s="25"/>
      <c r="I6327" s="25"/>
      <c r="J6327" s="25"/>
      <c r="K6327" s="25"/>
      <c r="L6327" s="25"/>
    </row>
    <row r="6328">
      <c r="A6328" s="19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</row>
    <row r="6329">
      <c r="A6329" s="23"/>
      <c r="B6329" s="25"/>
      <c r="C6329" s="25"/>
      <c r="D6329" s="25"/>
      <c r="E6329" s="25"/>
      <c r="F6329" s="25"/>
      <c r="G6329" s="25"/>
      <c r="H6329" s="25"/>
      <c r="I6329" s="25"/>
      <c r="J6329" s="25"/>
      <c r="K6329" s="25"/>
      <c r="L6329" s="25"/>
    </row>
    <row r="6330">
      <c r="A6330" s="19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</row>
    <row r="6331">
      <c r="A6331" s="23"/>
      <c r="B6331" s="25"/>
      <c r="C6331" s="25"/>
      <c r="D6331" s="25"/>
      <c r="E6331" s="25"/>
      <c r="F6331" s="25"/>
      <c r="G6331" s="25"/>
      <c r="H6331" s="25"/>
      <c r="I6331" s="25"/>
      <c r="J6331" s="25"/>
      <c r="K6331" s="25"/>
      <c r="L6331" s="25"/>
    </row>
    <row r="6332">
      <c r="A6332" s="19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</row>
    <row r="6333">
      <c r="A6333" s="23"/>
      <c r="B6333" s="25"/>
      <c r="C6333" s="25"/>
      <c r="D6333" s="25"/>
      <c r="E6333" s="25"/>
      <c r="F6333" s="25"/>
      <c r="G6333" s="25"/>
      <c r="H6333" s="25"/>
      <c r="I6333" s="25"/>
      <c r="J6333" s="25"/>
      <c r="K6333" s="25"/>
      <c r="L6333" s="25"/>
    </row>
    <row r="6334">
      <c r="A6334" s="19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</row>
    <row r="6335">
      <c r="A6335" s="23"/>
      <c r="B6335" s="25"/>
      <c r="C6335" s="25"/>
      <c r="D6335" s="25"/>
      <c r="E6335" s="25"/>
      <c r="F6335" s="25"/>
      <c r="G6335" s="25"/>
      <c r="H6335" s="25"/>
      <c r="I6335" s="25"/>
      <c r="J6335" s="25"/>
      <c r="K6335" s="25"/>
      <c r="L6335" s="25"/>
    </row>
    <row r="6336">
      <c r="A6336" s="19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</row>
    <row r="6337">
      <c r="A6337" s="23"/>
      <c r="B6337" s="25"/>
      <c r="C6337" s="25"/>
      <c r="D6337" s="25"/>
      <c r="E6337" s="25"/>
      <c r="F6337" s="25"/>
      <c r="G6337" s="25"/>
      <c r="H6337" s="25"/>
      <c r="I6337" s="25"/>
      <c r="J6337" s="25"/>
      <c r="K6337" s="25"/>
      <c r="L6337" s="25"/>
    </row>
    <row r="6338">
      <c r="A6338" s="19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</row>
    <row r="6339">
      <c r="A6339" s="23"/>
      <c r="B6339" s="25"/>
      <c r="C6339" s="25"/>
      <c r="D6339" s="25"/>
      <c r="E6339" s="25"/>
      <c r="F6339" s="25"/>
      <c r="G6339" s="25"/>
      <c r="H6339" s="25"/>
      <c r="I6339" s="25"/>
      <c r="J6339" s="25"/>
      <c r="K6339" s="25"/>
      <c r="L6339" s="25"/>
    </row>
    <row r="6340">
      <c r="A6340" s="19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</row>
    <row r="6341">
      <c r="A6341" s="23"/>
      <c r="B6341" s="25"/>
      <c r="C6341" s="25"/>
      <c r="D6341" s="25"/>
      <c r="E6341" s="25"/>
      <c r="F6341" s="25"/>
      <c r="G6341" s="25"/>
      <c r="H6341" s="25"/>
      <c r="I6341" s="25"/>
      <c r="J6341" s="25"/>
      <c r="K6341" s="25"/>
      <c r="L6341" s="25"/>
    </row>
    <row r="6342">
      <c r="A6342" s="19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</row>
    <row r="6343">
      <c r="A6343" s="23"/>
      <c r="B6343" s="25"/>
      <c r="C6343" s="25"/>
      <c r="D6343" s="25"/>
      <c r="E6343" s="25"/>
      <c r="F6343" s="25"/>
      <c r="G6343" s="25"/>
      <c r="H6343" s="25"/>
      <c r="I6343" s="25"/>
      <c r="J6343" s="25"/>
      <c r="K6343" s="25"/>
      <c r="L6343" s="25"/>
    </row>
    <row r="6344">
      <c r="A6344" s="19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</row>
    <row r="6345">
      <c r="A6345" s="23"/>
      <c r="B6345" s="25"/>
      <c r="C6345" s="25"/>
      <c r="D6345" s="25"/>
      <c r="E6345" s="25"/>
      <c r="F6345" s="25"/>
      <c r="G6345" s="25"/>
      <c r="H6345" s="25"/>
      <c r="I6345" s="25"/>
      <c r="J6345" s="25"/>
      <c r="K6345" s="25"/>
      <c r="L6345" s="25"/>
    </row>
    <row r="6346">
      <c r="A6346" s="19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</row>
    <row r="6347">
      <c r="A6347" s="23"/>
      <c r="B6347" s="25"/>
      <c r="C6347" s="25"/>
      <c r="D6347" s="25"/>
      <c r="E6347" s="25"/>
      <c r="F6347" s="25"/>
      <c r="G6347" s="25"/>
      <c r="H6347" s="25"/>
      <c r="I6347" s="25"/>
      <c r="J6347" s="25"/>
      <c r="K6347" s="25"/>
      <c r="L6347" s="25"/>
    </row>
    <row r="6348">
      <c r="A6348" s="19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</row>
    <row r="6349">
      <c r="A6349" s="23"/>
      <c r="B6349" s="25"/>
      <c r="C6349" s="25"/>
      <c r="D6349" s="25"/>
      <c r="E6349" s="25"/>
      <c r="F6349" s="25"/>
      <c r="G6349" s="25"/>
      <c r="H6349" s="25"/>
      <c r="I6349" s="25"/>
      <c r="J6349" s="25"/>
      <c r="K6349" s="25"/>
      <c r="L6349" s="25"/>
    </row>
    <row r="6350">
      <c r="A6350" s="19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</row>
    <row r="6351">
      <c r="A6351" s="23"/>
      <c r="B6351" s="25"/>
      <c r="C6351" s="25"/>
      <c r="D6351" s="25"/>
      <c r="E6351" s="25"/>
      <c r="F6351" s="25"/>
      <c r="G6351" s="25"/>
      <c r="H6351" s="25"/>
      <c r="I6351" s="25"/>
      <c r="J6351" s="25"/>
      <c r="K6351" s="25"/>
      <c r="L6351" s="25"/>
    </row>
    <row r="6352">
      <c r="A6352" s="19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</row>
    <row r="6353">
      <c r="A6353" s="23"/>
      <c r="B6353" s="25"/>
      <c r="C6353" s="25"/>
      <c r="D6353" s="25"/>
      <c r="E6353" s="25"/>
      <c r="F6353" s="25"/>
      <c r="G6353" s="25"/>
      <c r="H6353" s="25"/>
      <c r="I6353" s="25"/>
      <c r="J6353" s="25"/>
      <c r="K6353" s="25"/>
      <c r="L6353" s="25"/>
    </row>
    <row r="6354">
      <c r="A6354" s="19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</row>
    <row r="6355">
      <c r="A6355" s="23"/>
      <c r="B6355" s="25"/>
      <c r="C6355" s="25"/>
      <c r="D6355" s="25"/>
      <c r="E6355" s="25"/>
      <c r="F6355" s="25"/>
      <c r="G6355" s="25"/>
      <c r="H6355" s="25"/>
      <c r="I6355" s="25"/>
      <c r="J6355" s="25"/>
      <c r="K6355" s="25"/>
      <c r="L6355" s="25"/>
    </row>
    <row r="6356">
      <c r="A6356" s="19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</row>
    <row r="6357">
      <c r="A6357" s="23"/>
      <c r="B6357" s="25"/>
      <c r="C6357" s="25"/>
      <c r="D6357" s="25"/>
      <c r="E6357" s="25"/>
      <c r="F6357" s="25"/>
      <c r="G6357" s="25"/>
      <c r="H6357" s="25"/>
      <c r="I6357" s="25"/>
      <c r="J6357" s="25"/>
      <c r="K6357" s="25"/>
      <c r="L6357" s="25"/>
    </row>
    <row r="6358">
      <c r="A6358" s="19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</row>
    <row r="6359">
      <c r="A6359" s="23"/>
      <c r="B6359" s="25"/>
      <c r="C6359" s="25"/>
      <c r="D6359" s="25"/>
      <c r="E6359" s="25"/>
      <c r="F6359" s="25"/>
      <c r="G6359" s="25"/>
      <c r="H6359" s="25"/>
      <c r="I6359" s="25"/>
      <c r="J6359" s="25"/>
      <c r="K6359" s="25"/>
      <c r="L6359" s="25"/>
    </row>
    <row r="6360">
      <c r="A6360" s="19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</row>
    <row r="6361">
      <c r="A6361" s="23"/>
      <c r="B6361" s="25"/>
      <c r="C6361" s="25"/>
      <c r="D6361" s="25"/>
      <c r="E6361" s="25"/>
      <c r="F6361" s="25"/>
      <c r="G6361" s="25"/>
      <c r="H6361" s="25"/>
      <c r="I6361" s="25"/>
      <c r="J6361" s="25"/>
      <c r="K6361" s="25"/>
      <c r="L6361" s="25"/>
    </row>
    <row r="6362">
      <c r="A6362" s="19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</row>
    <row r="6363">
      <c r="A6363" s="23"/>
      <c r="B6363" s="25"/>
      <c r="C6363" s="25"/>
      <c r="D6363" s="25"/>
      <c r="E6363" s="25"/>
      <c r="F6363" s="25"/>
      <c r="G6363" s="25"/>
      <c r="H6363" s="25"/>
      <c r="I6363" s="25"/>
      <c r="J6363" s="25"/>
      <c r="K6363" s="25"/>
      <c r="L6363" s="25"/>
    </row>
    <row r="6364">
      <c r="A6364" s="19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</row>
    <row r="6365">
      <c r="A6365" s="23"/>
      <c r="B6365" s="25"/>
      <c r="C6365" s="25"/>
      <c r="D6365" s="25"/>
      <c r="E6365" s="25"/>
      <c r="F6365" s="25"/>
      <c r="G6365" s="25"/>
      <c r="H6365" s="25"/>
      <c r="I6365" s="25"/>
      <c r="J6365" s="25"/>
      <c r="K6365" s="25"/>
      <c r="L6365" s="25"/>
    </row>
    <row r="6366">
      <c r="A6366" s="19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</row>
    <row r="6367">
      <c r="A6367" s="23"/>
      <c r="B6367" s="25"/>
      <c r="C6367" s="25"/>
      <c r="D6367" s="25"/>
      <c r="E6367" s="25"/>
      <c r="F6367" s="25"/>
      <c r="G6367" s="25"/>
      <c r="H6367" s="25"/>
      <c r="I6367" s="25"/>
      <c r="J6367" s="25"/>
      <c r="K6367" s="25"/>
      <c r="L6367" s="25"/>
    </row>
    <row r="6368">
      <c r="A6368" s="19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</row>
    <row r="6369">
      <c r="A6369" s="23"/>
      <c r="B6369" s="25"/>
      <c r="C6369" s="25"/>
      <c r="D6369" s="25"/>
      <c r="E6369" s="25"/>
      <c r="F6369" s="25"/>
      <c r="G6369" s="25"/>
      <c r="H6369" s="25"/>
      <c r="I6369" s="25"/>
      <c r="J6369" s="25"/>
      <c r="K6369" s="25"/>
      <c r="L6369" s="25"/>
    </row>
    <row r="6370">
      <c r="A6370" s="19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</row>
    <row r="6371">
      <c r="A6371" s="23"/>
      <c r="B6371" s="25"/>
      <c r="C6371" s="25"/>
      <c r="D6371" s="25"/>
      <c r="E6371" s="25"/>
      <c r="F6371" s="25"/>
      <c r="G6371" s="25"/>
      <c r="H6371" s="25"/>
      <c r="I6371" s="25"/>
      <c r="J6371" s="25"/>
      <c r="K6371" s="25"/>
      <c r="L6371" s="25"/>
    </row>
    <row r="6372">
      <c r="A6372" s="19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</row>
    <row r="6373">
      <c r="A6373" s="23"/>
      <c r="B6373" s="25"/>
      <c r="C6373" s="25"/>
      <c r="D6373" s="25"/>
      <c r="E6373" s="25"/>
      <c r="F6373" s="25"/>
      <c r="G6373" s="25"/>
      <c r="H6373" s="25"/>
      <c r="I6373" s="25"/>
      <c r="J6373" s="25"/>
      <c r="K6373" s="25"/>
      <c r="L6373" s="25"/>
    </row>
    <row r="6374">
      <c r="A6374" s="19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</row>
    <row r="6375">
      <c r="A6375" s="23"/>
      <c r="B6375" s="25"/>
      <c r="C6375" s="25"/>
      <c r="D6375" s="25"/>
      <c r="E6375" s="25"/>
      <c r="F6375" s="25"/>
      <c r="G6375" s="25"/>
      <c r="H6375" s="25"/>
      <c r="I6375" s="25"/>
      <c r="J6375" s="25"/>
      <c r="K6375" s="25"/>
      <c r="L6375" s="25"/>
    </row>
    <row r="6376">
      <c r="A6376" s="19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</row>
    <row r="6377">
      <c r="A6377" s="23"/>
      <c r="B6377" s="25"/>
      <c r="C6377" s="25"/>
      <c r="D6377" s="25"/>
      <c r="E6377" s="25"/>
      <c r="F6377" s="25"/>
      <c r="G6377" s="25"/>
      <c r="H6377" s="25"/>
      <c r="I6377" s="25"/>
      <c r="J6377" s="25"/>
      <c r="K6377" s="25"/>
      <c r="L6377" s="25"/>
    </row>
    <row r="6378">
      <c r="A6378" s="19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</row>
    <row r="6379">
      <c r="A6379" s="23"/>
      <c r="B6379" s="25"/>
      <c r="C6379" s="25"/>
      <c r="D6379" s="25"/>
      <c r="E6379" s="25"/>
      <c r="F6379" s="25"/>
      <c r="G6379" s="25"/>
      <c r="H6379" s="25"/>
      <c r="I6379" s="25"/>
      <c r="J6379" s="25"/>
      <c r="K6379" s="25"/>
      <c r="L6379" s="25"/>
    </row>
    <row r="6380">
      <c r="A6380" s="19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</row>
    <row r="6381">
      <c r="A6381" s="23"/>
      <c r="B6381" s="25"/>
      <c r="C6381" s="25"/>
      <c r="D6381" s="25"/>
      <c r="E6381" s="25"/>
      <c r="F6381" s="25"/>
      <c r="G6381" s="25"/>
      <c r="H6381" s="25"/>
      <c r="I6381" s="25"/>
      <c r="J6381" s="25"/>
      <c r="K6381" s="25"/>
      <c r="L6381" s="25"/>
    </row>
    <row r="6382">
      <c r="A6382" s="19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</row>
    <row r="6383">
      <c r="A6383" s="23"/>
      <c r="B6383" s="25"/>
      <c r="C6383" s="25"/>
      <c r="D6383" s="25"/>
      <c r="E6383" s="25"/>
      <c r="F6383" s="25"/>
      <c r="G6383" s="25"/>
      <c r="H6383" s="25"/>
      <c r="I6383" s="25"/>
      <c r="J6383" s="25"/>
      <c r="K6383" s="25"/>
      <c r="L6383" s="25"/>
    </row>
    <row r="6384">
      <c r="A6384" s="19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</row>
    <row r="6385">
      <c r="A6385" s="23"/>
      <c r="B6385" s="25"/>
      <c r="C6385" s="25"/>
      <c r="D6385" s="25"/>
      <c r="E6385" s="25"/>
      <c r="F6385" s="25"/>
      <c r="G6385" s="25"/>
      <c r="H6385" s="25"/>
      <c r="I6385" s="25"/>
      <c r="J6385" s="25"/>
      <c r="K6385" s="25"/>
      <c r="L6385" s="25"/>
    </row>
    <row r="6386">
      <c r="A6386" s="19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</row>
    <row r="6387">
      <c r="A6387" s="23"/>
      <c r="B6387" s="25"/>
      <c r="C6387" s="25"/>
      <c r="D6387" s="25"/>
      <c r="E6387" s="25"/>
      <c r="F6387" s="25"/>
      <c r="G6387" s="25"/>
      <c r="H6387" s="25"/>
      <c r="I6387" s="25"/>
      <c r="J6387" s="25"/>
      <c r="K6387" s="25"/>
      <c r="L6387" s="25"/>
    </row>
    <row r="6388">
      <c r="A6388" s="19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</row>
    <row r="6389">
      <c r="A6389" s="23"/>
      <c r="B6389" s="25"/>
      <c r="C6389" s="25"/>
      <c r="D6389" s="25"/>
      <c r="E6389" s="25"/>
      <c r="F6389" s="25"/>
      <c r="G6389" s="25"/>
      <c r="H6389" s="25"/>
      <c r="I6389" s="25"/>
      <c r="J6389" s="25"/>
      <c r="K6389" s="25"/>
      <c r="L6389" s="25"/>
    </row>
    <row r="6390">
      <c r="A6390" s="19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</row>
    <row r="6391">
      <c r="A6391" s="23"/>
      <c r="B6391" s="25"/>
      <c r="C6391" s="25"/>
      <c r="D6391" s="25"/>
      <c r="E6391" s="25"/>
      <c r="F6391" s="25"/>
      <c r="G6391" s="25"/>
      <c r="H6391" s="25"/>
      <c r="I6391" s="25"/>
      <c r="J6391" s="25"/>
      <c r="K6391" s="25"/>
      <c r="L6391" s="25"/>
    </row>
    <row r="6392">
      <c r="A6392" s="19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</row>
    <row r="6393">
      <c r="A6393" s="23"/>
      <c r="B6393" s="25"/>
      <c r="C6393" s="25"/>
      <c r="D6393" s="25"/>
      <c r="E6393" s="25"/>
      <c r="F6393" s="25"/>
      <c r="G6393" s="25"/>
      <c r="H6393" s="25"/>
      <c r="I6393" s="25"/>
      <c r="J6393" s="25"/>
      <c r="K6393" s="25"/>
      <c r="L6393" s="25"/>
    </row>
    <row r="6394">
      <c r="A6394" s="19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</row>
    <row r="6395">
      <c r="A6395" s="23"/>
      <c r="B6395" s="25"/>
      <c r="C6395" s="25"/>
      <c r="D6395" s="25"/>
      <c r="E6395" s="25"/>
      <c r="F6395" s="25"/>
      <c r="G6395" s="25"/>
      <c r="H6395" s="25"/>
      <c r="I6395" s="25"/>
      <c r="J6395" s="25"/>
      <c r="K6395" s="25"/>
      <c r="L6395" s="25"/>
    </row>
    <row r="6396">
      <c r="A6396" s="19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</row>
    <row r="6397">
      <c r="A6397" s="23"/>
      <c r="B6397" s="25"/>
      <c r="C6397" s="25"/>
      <c r="D6397" s="25"/>
      <c r="E6397" s="25"/>
      <c r="F6397" s="25"/>
      <c r="G6397" s="25"/>
      <c r="H6397" s="25"/>
      <c r="I6397" s="25"/>
      <c r="J6397" s="25"/>
      <c r="K6397" s="25"/>
      <c r="L6397" s="25"/>
    </row>
    <row r="6398">
      <c r="A6398" s="19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</row>
    <row r="6399">
      <c r="A6399" s="23"/>
      <c r="B6399" s="25"/>
      <c r="C6399" s="25"/>
      <c r="D6399" s="25"/>
      <c r="E6399" s="25"/>
      <c r="F6399" s="25"/>
      <c r="G6399" s="25"/>
      <c r="H6399" s="25"/>
      <c r="I6399" s="25"/>
      <c r="J6399" s="25"/>
      <c r="K6399" s="25"/>
      <c r="L6399" s="25"/>
    </row>
    <row r="6400">
      <c r="A6400" s="19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</row>
    <row r="6401">
      <c r="A6401" s="23"/>
      <c r="B6401" s="25"/>
      <c r="C6401" s="25"/>
      <c r="D6401" s="25"/>
      <c r="E6401" s="25"/>
      <c r="F6401" s="25"/>
      <c r="G6401" s="25"/>
      <c r="H6401" s="25"/>
      <c r="I6401" s="25"/>
      <c r="J6401" s="25"/>
      <c r="K6401" s="25"/>
      <c r="L6401" s="25"/>
    </row>
  </sheetData>
  <autoFilter ref="$A$1:$L$640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5"/>
    <col customWidth="1" min="2" max="2" width="26.0"/>
    <col customWidth="1" min="3" max="3" width="15.38"/>
    <col customWidth="1" min="4" max="4" width="13.5"/>
  </cols>
  <sheetData>
    <row r="1"/>
    <row r="2"/>
    <row r="3"/>
    <row r="4"/>
    <row r="10"/>
    <row r="11">
      <c r="I11" s="30"/>
      <c r="K11" s="31"/>
      <c r="L11" s="31"/>
      <c r="M11" s="31"/>
    </row>
    <row r="12">
      <c r="I12" s="30"/>
      <c r="K12" s="31"/>
      <c r="L12" s="31"/>
      <c r="M12" s="31"/>
    </row>
    <row r="13">
      <c r="I13" s="30"/>
      <c r="K13" s="31"/>
      <c r="L13" s="31"/>
      <c r="M13" s="31"/>
    </row>
    <row r="14">
      <c r="I14" s="30"/>
      <c r="K14" s="31"/>
      <c r="L14" s="31"/>
      <c r="M14" s="31"/>
    </row>
    <row r="15">
      <c r="I15" s="30"/>
      <c r="K15" s="31"/>
      <c r="L15" s="31"/>
      <c r="M15" s="31"/>
    </row>
    <row r="16">
      <c r="I16" s="30"/>
      <c r="K16" s="31"/>
      <c r="L16" s="31"/>
      <c r="M16" s="31"/>
    </row>
    <row r="17">
      <c r="I17" s="30"/>
      <c r="K17" s="31"/>
      <c r="L17" s="31"/>
      <c r="M17" s="31"/>
    </row>
    <row r="18">
      <c r="I18" s="30"/>
      <c r="K18" s="31"/>
      <c r="L18" s="31"/>
      <c r="M18" s="31"/>
    </row>
    <row r="19">
      <c r="I19" s="30"/>
      <c r="K19" s="31"/>
      <c r="L19" s="31"/>
      <c r="M19" s="31"/>
    </row>
    <row r="20">
      <c r="I20" s="30"/>
      <c r="K20" s="31"/>
      <c r="L20" s="31"/>
      <c r="M20" s="31"/>
    </row>
    <row r="21">
      <c r="C21" s="30"/>
      <c r="E21" s="31"/>
      <c r="F21" s="31"/>
      <c r="I21" s="30"/>
      <c r="K21" s="31"/>
      <c r="L21" s="31"/>
      <c r="M21" s="31"/>
    </row>
    <row r="22">
      <c r="C22" s="30"/>
      <c r="E22" s="31"/>
      <c r="F22" s="31"/>
      <c r="J22" s="30"/>
      <c r="L22" s="31"/>
      <c r="M22" s="31"/>
    </row>
    <row r="23">
      <c r="C23" s="30"/>
      <c r="E23" s="31"/>
      <c r="F23" s="31"/>
      <c r="J23" s="30"/>
      <c r="L23" s="31"/>
      <c r="M23" s="31"/>
    </row>
    <row r="24">
      <c r="C24" s="30"/>
      <c r="E24" s="31"/>
      <c r="F24" s="31"/>
      <c r="J24" s="30"/>
      <c r="L24" s="31"/>
      <c r="M24" s="31"/>
    </row>
    <row r="25">
      <c r="C25" s="30"/>
      <c r="E25" s="31"/>
      <c r="F25" s="31"/>
      <c r="J25" s="30"/>
      <c r="L25" s="31"/>
      <c r="M25" s="31"/>
    </row>
    <row r="26">
      <c r="C26" s="30"/>
      <c r="E26" s="31"/>
      <c r="F26" s="31"/>
      <c r="J26" s="30"/>
      <c r="L26" s="31"/>
      <c r="M26" s="31"/>
    </row>
    <row r="27">
      <c r="C27" s="30"/>
      <c r="E27" s="31"/>
      <c r="F27" s="31"/>
      <c r="J27" s="30"/>
      <c r="L27" s="31"/>
      <c r="M27" s="31"/>
    </row>
    <row r="28">
      <c r="C28" s="30"/>
      <c r="E28" s="31"/>
      <c r="F28" s="31"/>
      <c r="J28" s="30"/>
      <c r="L28" s="31"/>
      <c r="M28" s="31"/>
    </row>
    <row r="29">
      <c r="C29" s="30"/>
      <c r="E29" s="31"/>
      <c r="F29" s="31"/>
      <c r="J29" s="30"/>
      <c r="L29" s="31"/>
      <c r="M29" s="31"/>
    </row>
    <row r="30">
      <c r="C30" s="30"/>
      <c r="E30" s="31"/>
      <c r="F30" s="31"/>
      <c r="J30" s="30"/>
      <c r="L30" s="31"/>
      <c r="M30" s="31"/>
    </row>
    <row r="31">
      <c r="C31" s="30"/>
      <c r="E31" s="31"/>
      <c r="F31" s="31"/>
      <c r="J31" s="30"/>
      <c r="L31" s="31"/>
      <c r="M31" s="31"/>
    </row>
    <row r="32">
      <c r="C32" s="30"/>
      <c r="E32" s="31"/>
      <c r="F32" s="31"/>
      <c r="J32" s="30"/>
      <c r="L32" s="31"/>
      <c r="M32" s="31"/>
    </row>
    <row r="33">
      <c r="C33" s="30"/>
      <c r="E33" s="31"/>
      <c r="F33" s="31"/>
      <c r="J33" s="30"/>
      <c r="L33" s="31"/>
      <c r="M33" s="31"/>
    </row>
    <row r="34">
      <c r="C34" s="30"/>
      <c r="E34" s="31"/>
      <c r="F34" s="31"/>
      <c r="J34" s="30"/>
      <c r="L34" s="31"/>
      <c r="M34" s="31"/>
    </row>
    <row r="35">
      <c r="C35" s="30"/>
      <c r="E35" s="31"/>
      <c r="F35" s="31"/>
      <c r="J35" s="30"/>
      <c r="L35" s="31"/>
      <c r="M35" s="31"/>
    </row>
    <row r="36">
      <c r="C36" s="30"/>
      <c r="E36" s="31"/>
      <c r="F36" s="31"/>
      <c r="J36" s="30"/>
      <c r="L36" s="31"/>
      <c r="M36" s="31"/>
    </row>
    <row r="37">
      <c r="C37" s="30"/>
      <c r="E37" s="31"/>
      <c r="F37" s="31"/>
      <c r="J37" s="30"/>
      <c r="L37" s="31"/>
      <c r="M37" s="31"/>
    </row>
    <row r="38">
      <c r="C38" s="30"/>
      <c r="E38" s="31"/>
      <c r="F38" s="31"/>
      <c r="J38" s="30"/>
      <c r="L38" s="31"/>
      <c r="M38" s="31"/>
    </row>
    <row r="39">
      <c r="C39" s="30"/>
      <c r="E39" s="31"/>
      <c r="F39" s="31"/>
      <c r="J39" s="30"/>
      <c r="L39" s="31"/>
      <c r="M39" s="31"/>
    </row>
    <row r="40">
      <c r="C40" s="30"/>
      <c r="E40" s="31"/>
      <c r="F40" s="31"/>
      <c r="J40" s="30"/>
      <c r="L40" s="31"/>
      <c r="M40" s="31"/>
    </row>
    <row r="41">
      <c r="C41" s="30"/>
      <c r="E41" s="31"/>
      <c r="F41" s="31"/>
      <c r="J41" s="30"/>
      <c r="L41" s="31"/>
      <c r="M41" s="31"/>
    </row>
    <row r="42">
      <c r="C42" s="30"/>
      <c r="E42" s="31"/>
      <c r="F42" s="31"/>
      <c r="J42" s="30"/>
      <c r="L42" s="31"/>
      <c r="M42" s="31"/>
    </row>
    <row r="43">
      <c r="C43" s="30"/>
      <c r="E43" s="31"/>
      <c r="F43" s="31"/>
      <c r="J43" s="30"/>
      <c r="L43" s="31"/>
      <c r="M43" s="31"/>
    </row>
    <row r="44">
      <c r="C44" s="30"/>
      <c r="E44" s="31"/>
      <c r="F44" s="31"/>
      <c r="J44" s="30"/>
      <c r="L44" s="31"/>
      <c r="M44" s="31"/>
    </row>
    <row r="45">
      <c r="C45" s="30"/>
      <c r="E45" s="31"/>
      <c r="F45" s="31"/>
      <c r="J45" s="30"/>
      <c r="L45" s="31"/>
      <c r="M45" s="31"/>
    </row>
    <row r="46">
      <c r="C46" s="30"/>
      <c r="E46" s="31"/>
      <c r="F46" s="31"/>
      <c r="J46" s="30"/>
      <c r="L46" s="31"/>
      <c r="M46" s="31"/>
    </row>
    <row r="47">
      <c r="C47" s="30"/>
      <c r="E47" s="31"/>
      <c r="F47" s="31"/>
      <c r="J47" s="30"/>
      <c r="L47" s="31"/>
      <c r="M47" s="31"/>
    </row>
    <row r="48">
      <c r="C48" s="30"/>
      <c r="E48" s="31"/>
      <c r="F48" s="31"/>
      <c r="J48" s="30"/>
      <c r="L48" s="31"/>
      <c r="M48" s="31"/>
    </row>
    <row r="49">
      <c r="C49" s="30"/>
      <c r="E49" s="31"/>
      <c r="F49" s="31"/>
      <c r="J49" s="30"/>
      <c r="L49" s="31"/>
      <c r="M49" s="31"/>
    </row>
    <row r="50">
      <c r="C50" s="30"/>
      <c r="E50" s="31"/>
      <c r="F50" s="31"/>
      <c r="J50" s="30"/>
      <c r="L50" s="31"/>
      <c r="M50" s="31"/>
    </row>
    <row r="51">
      <c r="C51" s="30"/>
      <c r="E51" s="31"/>
      <c r="F51" s="31"/>
      <c r="J51" s="30"/>
      <c r="L51" s="31"/>
      <c r="M51" s="31"/>
    </row>
    <row r="52">
      <c r="C52" s="30"/>
      <c r="E52" s="31"/>
      <c r="F52" s="31"/>
      <c r="J52" s="30"/>
      <c r="L52" s="31"/>
      <c r="M52" s="31"/>
    </row>
    <row r="53">
      <c r="C53" s="30"/>
      <c r="E53" s="31"/>
      <c r="F53" s="31"/>
      <c r="J53" s="30"/>
      <c r="L53" s="31"/>
      <c r="M53" s="31"/>
    </row>
    <row r="54">
      <c r="C54" s="30"/>
      <c r="E54" s="31"/>
      <c r="F54" s="31"/>
      <c r="J54" s="30"/>
      <c r="L54" s="31"/>
      <c r="M54" s="31"/>
    </row>
    <row r="55">
      <c r="C55" s="30"/>
      <c r="E55" s="31"/>
      <c r="F55" s="31"/>
      <c r="J55" s="30"/>
      <c r="L55" s="31"/>
      <c r="M55" s="31"/>
    </row>
    <row r="56">
      <c r="C56" s="30"/>
      <c r="E56" s="31"/>
      <c r="F56" s="31"/>
      <c r="J56" s="30"/>
      <c r="L56" s="31"/>
      <c r="M56" s="31"/>
    </row>
    <row r="57">
      <c r="C57" s="30"/>
      <c r="E57" s="31"/>
      <c r="F57" s="31"/>
      <c r="J57" s="30"/>
      <c r="L57" s="31"/>
      <c r="M57" s="31"/>
    </row>
    <row r="58">
      <c r="C58" s="30"/>
      <c r="E58" s="31"/>
      <c r="F58" s="31"/>
      <c r="J58" s="30"/>
      <c r="L58" s="31"/>
      <c r="M58" s="31"/>
    </row>
    <row r="59">
      <c r="C59" s="30"/>
      <c r="E59" s="31"/>
      <c r="F59" s="31"/>
      <c r="J59" s="30"/>
      <c r="L59" s="31"/>
      <c r="M59" s="31"/>
    </row>
    <row r="60">
      <c r="C60" s="30"/>
      <c r="E60" s="31"/>
      <c r="F60" s="31"/>
      <c r="J60" s="30"/>
      <c r="L60" s="31"/>
      <c r="M60" s="31"/>
    </row>
    <row r="61">
      <c r="C61" s="30"/>
      <c r="E61" s="31"/>
      <c r="F61" s="31"/>
      <c r="J61" s="30"/>
      <c r="L61" s="31"/>
      <c r="M61" s="31"/>
    </row>
    <row r="62">
      <c r="C62" s="30"/>
      <c r="E62" s="31"/>
      <c r="F62" s="31"/>
      <c r="J62" s="30"/>
      <c r="L62" s="31"/>
      <c r="M62" s="31"/>
    </row>
    <row r="63">
      <c r="C63" s="30"/>
      <c r="E63" s="31"/>
      <c r="F63" s="31"/>
      <c r="J63" s="30"/>
      <c r="L63" s="31"/>
      <c r="M63" s="31"/>
    </row>
    <row r="64">
      <c r="C64" s="30"/>
      <c r="E64" s="31"/>
      <c r="F64" s="31"/>
      <c r="J64" s="30"/>
      <c r="L64" s="31"/>
      <c r="M64" s="31"/>
    </row>
    <row r="65">
      <c r="C65" s="30"/>
      <c r="E65" s="31"/>
      <c r="F65" s="31"/>
      <c r="J65" s="30"/>
      <c r="L65" s="31"/>
      <c r="M65" s="31"/>
    </row>
    <row r="66">
      <c r="C66" s="30"/>
      <c r="E66" s="31"/>
      <c r="F66" s="31"/>
      <c r="J66" s="30"/>
      <c r="L66" s="31"/>
      <c r="M66" s="31"/>
    </row>
    <row r="67">
      <c r="C67" s="30"/>
      <c r="E67" s="31"/>
      <c r="F67" s="31"/>
      <c r="J67" s="30"/>
      <c r="L67" s="31"/>
      <c r="M67" s="31"/>
    </row>
    <row r="68">
      <c r="C68" s="30"/>
      <c r="E68" s="31"/>
      <c r="F68" s="31"/>
      <c r="J68" s="30"/>
      <c r="L68" s="31"/>
      <c r="M68" s="31"/>
    </row>
    <row r="69">
      <c r="C69" s="30"/>
      <c r="E69" s="31"/>
      <c r="F69" s="31"/>
      <c r="J69" s="30"/>
      <c r="L69" s="31"/>
      <c r="M69" s="31"/>
    </row>
    <row r="70">
      <c r="C70" s="30"/>
      <c r="E70" s="31"/>
      <c r="F70" s="31"/>
      <c r="J70" s="30"/>
      <c r="L70" s="31"/>
      <c r="M70" s="31"/>
    </row>
    <row r="71">
      <c r="C71" s="30"/>
      <c r="E71" s="31"/>
      <c r="F71" s="31"/>
      <c r="J71" s="30"/>
      <c r="L71" s="31"/>
      <c r="M71" s="31"/>
    </row>
    <row r="72">
      <c r="C72" s="30"/>
      <c r="E72" s="31"/>
      <c r="F72" s="31"/>
      <c r="J72" s="30"/>
      <c r="L72" s="31"/>
      <c r="M72" s="31"/>
    </row>
    <row r="73">
      <c r="C73" s="30"/>
      <c r="E73" s="31"/>
      <c r="F73" s="31"/>
      <c r="J73" s="30"/>
      <c r="L73" s="31"/>
      <c r="M73" s="31"/>
    </row>
    <row r="74">
      <c r="C74" s="30"/>
      <c r="E74" s="31"/>
      <c r="F74" s="31"/>
      <c r="J74" s="30"/>
      <c r="L74" s="31"/>
      <c r="M74" s="31"/>
    </row>
    <row r="75">
      <c r="C75" s="30"/>
      <c r="E75" s="31"/>
      <c r="F75" s="31"/>
      <c r="J75" s="30"/>
      <c r="L75" s="31"/>
      <c r="M75" s="31"/>
    </row>
    <row r="76">
      <c r="C76" s="30"/>
      <c r="E76" s="31"/>
      <c r="F76" s="31"/>
      <c r="J76" s="30"/>
      <c r="L76" s="31"/>
      <c r="M76" s="31"/>
    </row>
    <row r="77">
      <c r="C77" s="30"/>
      <c r="E77" s="31"/>
      <c r="F77" s="31"/>
      <c r="J77" s="30"/>
      <c r="L77" s="31"/>
      <c r="M77" s="31"/>
    </row>
    <row r="78">
      <c r="C78" s="30"/>
      <c r="E78" s="31"/>
      <c r="F78" s="31"/>
      <c r="J78" s="30"/>
      <c r="L78" s="31"/>
      <c r="M78" s="31"/>
    </row>
    <row r="79">
      <c r="C79" s="30"/>
      <c r="E79" s="31"/>
      <c r="F79" s="31"/>
      <c r="J79" s="30"/>
      <c r="L79" s="31"/>
      <c r="M79" s="31"/>
    </row>
    <row r="80">
      <c r="C80" s="30"/>
      <c r="E80" s="31"/>
      <c r="F80" s="31"/>
      <c r="J80" s="30"/>
      <c r="L80" s="31"/>
      <c r="M80" s="31"/>
    </row>
    <row r="81">
      <c r="C81" s="30"/>
      <c r="E81" s="31"/>
      <c r="F81" s="31"/>
      <c r="J81" s="30"/>
      <c r="L81" s="31"/>
      <c r="M81" s="31"/>
    </row>
    <row r="82">
      <c r="C82" s="30"/>
      <c r="E82" s="31"/>
      <c r="F82" s="31"/>
      <c r="J82" s="30"/>
      <c r="L82" s="31"/>
      <c r="M82" s="31"/>
    </row>
    <row r="83">
      <c r="C83" s="30"/>
      <c r="E83" s="31"/>
      <c r="F83" s="31"/>
      <c r="J83" s="30"/>
      <c r="L83" s="31"/>
      <c r="M83" s="31"/>
    </row>
    <row r="84">
      <c r="C84" s="30"/>
      <c r="E84" s="31"/>
      <c r="F84" s="31"/>
      <c r="J84" s="30"/>
      <c r="L84" s="31"/>
      <c r="M84" s="31"/>
    </row>
    <row r="85">
      <c r="C85" s="30"/>
      <c r="E85" s="31"/>
      <c r="F85" s="31"/>
      <c r="J85" s="30"/>
      <c r="L85" s="31"/>
      <c r="M85" s="31"/>
    </row>
    <row r="86">
      <c r="C86" s="30"/>
      <c r="E86" s="31"/>
      <c r="F86" s="31"/>
      <c r="J86" s="30"/>
      <c r="L86" s="31"/>
      <c r="M86" s="31"/>
    </row>
    <row r="87">
      <c r="C87" s="30"/>
      <c r="E87" s="31"/>
      <c r="F87" s="31"/>
      <c r="J87" s="30"/>
      <c r="L87" s="31"/>
      <c r="M87" s="31"/>
    </row>
    <row r="88">
      <c r="C88" s="30"/>
      <c r="E88" s="31"/>
      <c r="F88" s="31"/>
      <c r="J88" s="30"/>
      <c r="L88" s="31"/>
      <c r="M88" s="31"/>
    </row>
    <row r="89">
      <c r="C89" s="30"/>
      <c r="E89" s="31"/>
      <c r="F89" s="31"/>
      <c r="J89" s="30"/>
      <c r="L89" s="31"/>
      <c r="M89" s="31"/>
    </row>
    <row r="90">
      <c r="C90" s="30"/>
      <c r="E90" s="31"/>
      <c r="F90" s="31"/>
      <c r="J90" s="30"/>
      <c r="L90" s="31"/>
      <c r="M90" s="31"/>
    </row>
    <row r="91">
      <c r="C91" s="30"/>
      <c r="E91" s="31"/>
      <c r="F91" s="31"/>
      <c r="J91" s="30"/>
      <c r="L91" s="31"/>
      <c r="M91" s="31"/>
    </row>
    <row r="92">
      <c r="C92" s="30"/>
      <c r="E92" s="31"/>
      <c r="F92" s="31"/>
      <c r="J92" s="30"/>
      <c r="L92" s="31"/>
      <c r="M92" s="31"/>
    </row>
    <row r="93">
      <c r="C93" s="30"/>
      <c r="E93" s="31"/>
      <c r="F93" s="31"/>
      <c r="J93" s="30"/>
      <c r="L93" s="31"/>
      <c r="M93" s="31"/>
    </row>
    <row r="94">
      <c r="C94" s="30"/>
      <c r="E94" s="31"/>
      <c r="F94" s="31"/>
      <c r="J94" s="30"/>
      <c r="L94" s="31"/>
      <c r="M94" s="31"/>
    </row>
    <row r="95">
      <c r="C95" s="30"/>
      <c r="E95" s="31"/>
      <c r="F95" s="31"/>
      <c r="J95" s="30"/>
      <c r="L95" s="31"/>
      <c r="M95" s="31"/>
    </row>
    <row r="96">
      <c r="C96" s="30"/>
      <c r="E96" s="31"/>
      <c r="F96" s="31"/>
      <c r="J96" s="30"/>
      <c r="L96" s="31"/>
      <c r="M96" s="31"/>
    </row>
    <row r="97">
      <c r="C97" s="30"/>
      <c r="E97" s="31"/>
      <c r="F97" s="31"/>
      <c r="J97" s="30"/>
      <c r="L97" s="31"/>
      <c r="M97" s="31"/>
    </row>
    <row r="98">
      <c r="C98" s="30"/>
      <c r="E98" s="31"/>
      <c r="F98" s="31"/>
      <c r="J98" s="30"/>
      <c r="L98" s="31"/>
      <c r="M98" s="31"/>
    </row>
    <row r="99">
      <c r="C99" s="30"/>
      <c r="E99" s="31"/>
      <c r="F99" s="31"/>
      <c r="J99" s="30"/>
      <c r="L99" s="31"/>
      <c r="M99" s="31"/>
    </row>
    <row r="100">
      <c r="C100" s="30"/>
      <c r="E100" s="31"/>
      <c r="F100" s="31"/>
      <c r="J100" s="30"/>
      <c r="L100" s="31"/>
      <c r="M100" s="31"/>
    </row>
    <row r="101">
      <c r="C101" s="30"/>
      <c r="E101" s="31"/>
      <c r="F101" s="31"/>
      <c r="J101" s="30"/>
      <c r="L101" s="31"/>
      <c r="M101" s="31"/>
    </row>
    <row r="102">
      <c r="C102" s="30"/>
      <c r="E102" s="31"/>
      <c r="F102" s="31"/>
      <c r="J102" s="30"/>
      <c r="L102" s="31"/>
      <c r="M102" s="31"/>
    </row>
    <row r="103">
      <c r="C103" s="30"/>
      <c r="E103" s="31"/>
      <c r="F103" s="31"/>
      <c r="J103" s="30"/>
      <c r="L103" s="31"/>
      <c r="M103" s="31"/>
    </row>
    <row r="104">
      <c r="C104" s="30"/>
      <c r="E104" s="31"/>
      <c r="F104" s="31"/>
      <c r="J104" s="30"/>
      <c r="L104" s="31"/>
      <c r="M104" s="31"/>
    </row>
    <row r="105">
      <c r="C105" s="30"/>
      <c r="E105" s="31"/>
      <c r="F105" s="31"/>
      <c r="J105" s="30"/>
      <c r="L105" s="31"/>
      <c r="M105" s="31"/>
    </row>
    <row r="106">
      <c r="C106" s="30"/>
      <c r="E106" s="31"/>
      <c r="F106" s="31"/>
      <c r="J106" s="30"/>
      <c r="L106" s="31"/>
      <c r="M106" s="31"/>
    </row>
    <row r="107">
      <c r="C107" s="30"/>
      <c r="E107" s="31"/>
      <c r="F107" s="31"/>
      <c r="J107" s="30"/>
      <c r="L107" s="31"/>
      <c r="M107" s="31"/>
    </row>
    <row r="108">
      <c r="C108" s="30"/>
      <c r="E108" s="31"/>
      <c r="F108" s="31"/>
      <c r="J108" s="30"/>
      <c r="L108" s="31"/>
      <c r="M108" s="31"/>
    </row>
    <row r="109">
      <c r="C109" s="30"/>
      <c r="E109" s="31"/>
      <c r="F109" s="31"/>
      <c r="J109" s="30"/>
      <c r="L109" s="31"/>
      <c r="M109" s="31"/>
    </row>
    <row r="110">
      <c r="C110" s="30"/>
      <c r="E110" s="31"/>
      <c r="F110" s="31"/>
      <c r="J110" s="30"/>
      <c r="L110" s="31"/>
      <c r="M110" s="31"/>
    </row>
    <row r="111">
      <c r="C111" s="30"/>
      <c r="E111" s="31"/>
      <c r="F111" s="31"/>
      <c r="J111" s="30"/>
      <c r="L111" s="31"/>
      <c r="M111" s="31"/>
    </row>
    <row r="112">
      <c r="C112" s="30"/>
      <c r="E112" s="31"/>
      <c r="F112" s="31"/>
      <c r="J112" s="30"/>
      <c r="L112" s="31"/>
      <c r="M112" s="31"/>
    </row>
    <row r="113">
      <c r="C113" s="30"/>
      <c r="E113" s="31"/>
      <c r="F113" s="31"/>
      <c r="J113" s="30"/>
      <c r="L113" s="31"/>
      <c r="M113" s="31"/>
    </row>
    <row r="114">
      <c r="C114" s="30"/>
      <c r="E114" s="31"/>
      <c r="F114" s="31"/>
      <c r="J114" s="30"/>
      <c r="L114" s="31"/>
      <c r="M114" s="31"/>
    </row>
    <row r="115">
      <c r="C115" s="30"/>
      <c r="E115" s="31"/>
      <c r="F115" s="31"/>
      <c r="J115" s="30"/>
      <c r="L115" s="31"/>
      <c r="M115" s="31"/>
    </row>
    <row r="116">
      <c r="C116" s="30"/>
      <c r="E116" s="31"/>
      <c r="F116" s="31"/>
      <c r="J116" s="30"/>
      <c r="L116" s="31"/>
      <c r="M116" s="31"/>
    </row>
    <row r="117">
      <c r="C117" s="30"/>
      <c r="E117" s="31"/>
      <c r="F117" s="31"/>
      <c r="J117" s="30"/>
      <c r="L117" s="31"/>
      <c r="M117" s="31"/>
    </row>
    <row r="118">
      <c r="C118" s="30"/>
      <c r="E118" s="31"/>
      <c r="F118" s="31"/>
      <c r="J118" s="30"/>
      <c r="L118" s="31"/>
      <c r="M118" s="31"/>
    </row>
    <row r="119">
      <c r="C119" s="30"/>
      <c r="E119" s="31"/>
      <c r="F119" s="31"/>
      <c r="J119" s="30"/>
      <c r="L119" s="31"/>
      <c r="M119" s="31"/>
    </row>
    <row r="120">
      <c r="C120" s="30"/>
      <c r="E120" s="31"/>
      <c r="F120" s="31"/>
      <c r="J120" s="30"/>
      <c r="L120" s="31"/>
      <c r="M120" s="31"/>
    </row>
    <row r="121">
      <c r="C121" s="30"/>
      <c r="E121" s="31"/>
      <c r="F121" s="31"/>
      <c r="J121" s="30"/>
      <c r="L121" s="31"/>
      <c r="M121" s="31"/>
    </row>
    <row r="122">
      <c r="C122" s="30"/>
      <c r="E122" s="31"/>
      <c r="F122" s="31"/>
      <c r="J122" s="30"/>
      <c r="L122" s="31"/>
      <c r="M122" s="31"/>
    </row>
    <row r="123">
      <c r="C123" s="30"/>
      <c r="E123" s="31"/>
      <c r="F123" s="31"/>
      <c r="J123" s="30"/>
      <c r="L123" s="31"/>
      <c r="M123" s="31"/>
    </row>
    <row r="124">
      <c r="C124" s="30"/>
      <c r="E124" s="31"/>
      <c r="F124" s="31"/>
      <c r="J124" s="30"/>
      <c r="L124" s="31"/>
      <c r="M124" s="31"/>
    </row>
    <row r="125">
      <c r="C125" s="30"/>
      <c r="E125" s="31"/>
      <c r="F125" s="31"/>
      <c r="J125" s="30"/>
      <c r="L125" s="31"/>
      <c r="M125" s="31"/>
    </row>
    <row r="126">
      <c r="C126" s="30"/>
      <c r="E126" s="31"/>
      <c r="F126" s="31"/>
      <c r="J126" s="30"/>
      <c r="L126" s="31"/>
      <c r="M126" s="31"/>
    </row>
    <row r="127">
      <c r="C127" s="30"/>
      <c r="E127" s="31"/>
      <c r="F127" s="31"/>
      <c r="J127" s="30"/>
      <c r="L127" s="31"/>
      <c r="M127" s="31"/>
    </row>
    <row r="128">
      <c r="C128" s="30"/>
      <c r="E128" s="31"/>
      <c r="F128" s="31"/>
      <c r="J128" s="30"/>
      <c r="L128" s="31"/>
      <c r="M128" s="31"/>
    </row>
    <row r="129">
      <c r="C129" s="30"/>
      <c r="E129" s="31"/>
      <c r="F129" s="31"/>
      <c r="J129" s="30"/>
      <c r="L129" s="31"/>
      <c r="M129" s="31"/>
    </row>
    <row r="130">
      <c r="C130" s="30"/>
      <c r="E130" s="31"/>
      <c r="F130" s="31"/>
      <c r="J130" s="30"/>
      <c r="L130" s="31"/>
      <c r="M130" s="31"/>
    </row>
    <row r="131">
      <c r="C131" s="30"/>
      <c r="E131" s="31"/>
      <c r="F131" s="31"/>
      <c r="J131" s="30"/>
      <c r="L131" s="31"/>
      <c r="M131" s="31"/>
    </row>
    <row r="132">
      <c r="C132" s="30"/>
      <c r="E132" s="31"/>
      <c r="F132" s="31"/>
      <c r="J132" s="30"/>
      <c r="L132" s="31"/>
      <c r="M132" s="31"/>
    </row>
    <row r="133">
      <c r="C133" s="30"/>
      <c r="E133" s="31"/>
      <c r="F133" s="31"/>
      <c r="J133" s="30"/>
      <c r="L133" s="31"/>
      <c r="M133" s="31"/>
    </row>
    <row r="134">
      <c r="C134" s="30"/>
      <c r="E134" s="31"/>
      <c r="F134" s="31"/>
      <c r="J134" s="30"/>
      <c r="L134" s="31"/>
      <c r="M134" s="31"/>
    </row>
    <row r="135">
      <c r="C135" s="30"/>
      <c r="E135" s="31"/>
      <c r="F135" s="31"/>
      <c r="J135" s="30"/>
      <c r="L135" s="31"/>
      <c r="M135" s="31"/>
    </row>
    <row r="136">
      <c r="C136" s="30"/>
      <c r="E136" s="31"/>
      <c r="F136" s="31"/>
      <c r="J136" s="30"/>
      <c r="L136" s="31"/>
      <c r="M136" s="31"/>
    </row>
    <row r="137">
      <c r="C137" s="30"/>
      <c r="E137" s="31"/>
      <c r="F137" s="31"/>
      <c r="J137" s="30"/>
      <c r="L137" s="31"/>
      <c r="M137" s="31"/>
    </row>
    <row r="138">
      <c r="C138" s="30"/>
      <c r="E138" s="31"/>
      <c r="F138" s="31"/>
      <c r="J138" s="30"/>
      <c r="L138" s="31"/>
      <c r="M138" s="31"/>
    </row>
    <row r="139">
      <c r="C139" s="30"/>
      <c r="E139" s="31"/>
      <c r="F139" s="31"/>
      <c r="J139" s="30"/>
      <c r="L139" s="31"/>
      <c r="M139" s="31"/>
    </row>
    <row r="140">
      <c r="C140" s="30"/>
      <c r="E140" s="31"/>
      <c r="F140" s="31"/>
      <c r="J140" s="30"/>
      <c r="L140" s="31"/>
      <c r="M140" s="31"/>
    </row>
    <row r="141">
      <c r="C141" s="30"/>
      <c r="E141" s="31"/>
      <c r="F141" s="31"/>
      <c r="J141" s="30"/>
      <c r="L141" s="31"/>
      <c r="M141" s="31"/>
    </row>
    <row r="142">
      <c r="C142" s="30"/>
      <c r="E142" s="31"/>
      <c r="F142" s="31"/>
      <c r="J142" s="30"/>
      <c r="L142" s="31"/>
      <c r="M142" s="31"/>
    </row>
  </sheetData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75"/>
    <col customWidth="1" min="3" max="3" width="20.13"/>
    <col customWidth="1" min="4" max="6" width="10.5"/>
    <col customWidth="1" min="7" max="7" width="9.63"/>
    <col customWidth="1" min="19" max="19" width="36.63"/>
  </cols>
  <sheetData>
    <row r="16">
      <c r="B16" s="32" t="s">
        <v>2</v>
      </c>
      <c r="C16" s="33" t="s">
        <v>14</v>
      </c>
    </row>
    <row r="17">
      <c r="O17" s="32" t="s">
        <v>670</v>
      </c>
    </row>
    <row r="18">
      <c r="B18" s="32" t="s">
        <v>1</v>
      </c>
      <c r="C18" s="9" t="str">
        <f t="array" ref="C18">XLOOKUP(C16,explo_stock!C:C,explo_stock!B:B)</f>
        <v>Boisson</v>
      </c>
      <c r="O18" s="34" t="str">
        <f>explo_stock!A1</f>
        <v>product_id</v>
      </c>
      <c r="P18" s="34" t="str">
        <f>explo_stock!B1</f>
        <v>category_1</v>
      </c>
      <c r="Q18" s="34" t="str">
        <f>explo_stock!C1</f>
        <v>category_2</v>
      </c>
      <c r="R18" s="34" t="str">
        <f>explo_stock!D1</f>
        <v>category_3</v>
      </c>
      <c r="S18" s="34" t="str">
        <f>explo_stock!E1</f>
        <v>Product Name</v>
      </c>
      <c r="T18" s="34" t="str">
        <f>explo_stock!F1</f>
        <v>new</v>
      </c>
      <c r="U18" s="34" t="str">
        <f>explo_stock!G1</f>
        <v>forecast_stock</v>
      </c>
      <c r="V18" s="34" t="str">
        <f>explo_stock!H1</f>
        <v>stock</v>
      </c>
      <c r="W18" s="34" t="str">
        <f>explo_stock!I1</f>
        <v>price</v>
      </c>
      <c r="X18" s="34" t="str">
        <f>explo_stock!J1</f>
        <v>stock_value</v>
      </c>
      <c r="Y18" s="34" t="str">
        <f>explo_stock!K1</f>
        <v>in_stock</v>
      </c>
    </row>
    <row r="19">
      <c r="O19" s="34">
        <f>IFERROR(__xludf.DUMMYFUNCTION("FILTER(explo_stock!A:K,explo_stock!C:C=C16)"),19826.0)</f>
        <v>19826</v>
      </c>
      <c r="P19" s="34" t="str">
        <f>IFERROR(__xludf.DUMMYFUNCTION("""COMPUTED_VALUE"""),"Boisson")</f>
        <v>Boisson</v>
      </c>
      <c r="Q19" s="34" t="str">
        <f>IFERROR(__xludf.DUMMYFUNCTION("""COMPUTED_VALUE"""),"Café")</f>
        <v>Café</v>
      </c>
      <c r="R19" s="34" t="str">
        <f>IFERROR(__xludf.DUMMYFUNCTION("""COMPUTED_VALUE"""),"Café moulu")</f>
        <v>Café moulu</v>
      </c>
      <c r="S19" s="34" t="str">
        <f>IFERROR(__xludf.DUMMYFUNCTION("""COMPUTED_VALUE"""),"19826-Café-Café moulu")</f>
        <v>19826-Café-Café moulu</v>
      </c>
      <c r="T19" s="34">
        <f>IFERROR(__xludf.DUMMYFUNCTION("""COMPUTED_VALUE"""),0.0)</f>
        <v>0</v>
      </c>
      <c r="U19" s="34">
        <f>IFERROR(__xludf.DUMMYFUNCTION("""COMPUTED_VALUE"""),197.0)</f>
        <v>197</v>
      </c>
      <c r="V19" s="34">
        <f>IFERROR(__xludf.DUMMYFUNCTION("""COMPUTED_VALUE"""),97.0)</f>
        <v>97</v>
      </c>
      <c r="W19" s="34">
        <f>IFERROR(__xludf.DUMMYFUNCTION("""COMPUTED_VALUE"""),2.69)</f>
        <v>2.69</v>
      </c>
      <c r="X19" s="34">
        <f>IFERROR(__xludf.DUMMYFUNCTION("""COMPUTED_VALUE"""),260.93)</f>
        <v>260.93</v>
      </c>
      <c r="Y19" s="34">
        <f>IFERROR(__xludf.DUMMYFUNCTION("""COMPUTED_VALUE"""),1.0)</f>
        <v>1</v>
      </c>
    </row>
    <row r="20">
      <c r="O20" s="34">
        <f>IFERROR(__xludf.DUMMYFUNCTION("""COMPUTED_VALUE"""),93039.0)</f>
        <v>93039</v>
      </c>
      <c r="P20" s="34" t="str">
        <f>IFERROR(__xludf.DUMMYFUNCTION("""COMPUTED_VALUE"""),"Boisson")</f>
        <v>Boisson</v>
      </c>
      <c r="Q20" s="34" t="str">
        <f>IFERROR(__xludf.DUMMYFUNCTION("""COMPUTED_VALUE"""),"Café")</f>
        <v>Café</v>
      </c>
      <c r="R20" s="34" t="str">
        <f>IFERROR(__xludf.DUMMYFUNCTION("""COMPUTED_VALUE"""),"Café moulu")</f>
        <v>Café moulu</v>
      </c>
      <c r="S20" s="34" t="str">
        <f>IFERROR(__xludf.DUMMYFUNCTION("""COMPUTED_VALUE"""),"93039-Café-Café moulu")</f>
        <v>93039-Café-Café moulu</v>
      </c>
      <c r="T20" s="34">
        <f>IFERROR(__xludf.DUMMYFUNCTION("""COMPUTED_VALUE"""),0.0)</f>
        <v>0</v>
      </c>
      <c r="U20" s="34">
        <f>IFERROR(__xludf.DUMMYFUNCTION("""COMPUTED_VALUE"""),53.0)</f>
        <v>53</v>
      </c>
      <c r="V20" s="34">
        <f>IFERROR(__xludf.DUMMYFUNCTION("""COMPUTED_VALUE"""),53.0)</f>
        <v>53</v>
      </c>
      <c r="W20" s="34">
        <f>IFERROR(__xludf.DUMMYFUNCTION("""COMPUTED_VALUE"""),3.02)</f>
        <v>3.02</v>
      </c>
      <c r="X20" s="34">
        <f>IFERROR(__xludf.DUMMYFUNCTION("""COMPUTED_VALUE"""),160.06)</f>
        <v>160.06</v>
      </c>
      <c r="Y20" s="34">
        <f>IFERROR(__xludf.DUMMYFUNCTION("""COMPUTED_VALUE"""),1.0)</f>
        <v>1</v>
      </c>
    </row>
    <row r="21">
      <c r="O21" s="34">
        <f>IFERROR(__xludf.DUMMYFUNCTION("""COMPUTED_VALUE"""),128213.0)</f>
        <v>128213</v>
      </c>
      <c r="P21" s="34" t="str">
        <f>IFERROR(__xludf.DUMMYFUNCTION("""COMPUTED_VALUE"""),"Boisson")</f>
        <v>Boisson</v>
      </c>
      <c r="Q21" s="34" t="str">
        <f>IFERROR(__xludf.DUMMYFUNCTION("""COMPUTED_VALUE"""),"Café")</f>
        <v>Café</v>
      </c>
      <c r="R21" s="34" t="str">
        <f>IFERROR(__xludf.DUMMYFUNCTION("""COMPUTED_VALUE"""),"Café moulu")</f>
        <v>Café moulu</v>
      </c>
      <c r="S21" s="34" t="str">
        <f>IFERROR(__xludf.DUMMYFUNCTION("""COMPUTED_VALUE"""),"128213-Café-Café moulu")</f>
        <v>128213-Café-Café moulu</v>
      </c>
      <c r="T21" s="34">
        <f>IFERROR(__xludf.DUMMYFUNCTION("""COMPUTED_VALUE"""),0.0)</f>
        <v>0</v>
      </c>
      <c r="U21" s="34">
        <f>IFERROR(__xludf.DUMMYFUNCTION("""COMPUTED_VALUE"""),300.0)</f>
        <v>300</v>
      </c>
      <c r="V21" s="34">
        <f>IFERROR(__xludf.DUMMYFUNCTION("""COMPUTED_VALUE"""),153.0)</f>
        <v>153</v>
      </c>
      <c r="W21" s="34">
        <f>IFERROR(__xludf.DUMMYFUNCTION("""COMPUTED_VALUE"""),4.51)</f>
        <v>4.51</v>
      </c>
      <c r="X21" s="34">
        <f>IFERROR(__xludf.DUMMYFUNCTION("""COMPUTED_VALUE"""),690.03)</f>
        <v>690.03</v>
      </c>
      <c r="Y21" s="34">
        <f>IFERROR(__xludf.DUMMYFUNCTION("""COMPUTED_VALUE"""),1.0)</f>
        <v>1</v>
      </c>
    </row>
    <row r="22">
      <c r="O22" s="34">
        <f>IFERROR(__xludf.DUMMYFUNCTION("""COMPUTED_VALUE"""),83797.0)</f>
        <v>83797</v>
      </c>
      <c r="P22" s="34" t="str">
        <f>IFERROR(__xludf.DUMMYFUNCTION("""COMPUTED_VALUE"""),"Boisson")</f>
        <v>Boisson</v>
      </c>
      <c r="Q22" s="34" t="str">
        <f>IFERROR(__xludf.DUMMYFUNCTION("""COMPUTED_VALUE"""),"Café")</f>
        <v>Café</v>
      </c>
      <c r="R22" s="34" t="str">
        <f>IFERROR(__xludf.DUMMYFUNCTION("""COMPUTED_VALUE"""),"Café moulu")</f>
        <v>Café moulu</v>
      </c>
      <c r="S22" s="34" t="str">
        <f>IFERROR(__xludf.DUMMYFUNCTION("""COMPUTED_VALUE"""),"83797-Café-Café moulu")</f>
        <v>83797-Café-Café moulu</v>
      </c>
      <c r="T22" s="34">
        <f>IFERROR(__xludf.DUMMYFUNCTION("""COMPUTED_VALUE"""),0.0)</f>
        <v>0</v>
      </c>
      <c r="U22" s="34">
        <f>IFERROR(__xludf.DUMMYFUNCTION("""COMPUTED_VALUE"""),59.0)</f>
        <v>59</v>
      </c>
      <c r="V22" s="34">
        <f>IFERROR(__xludf.DUMMYFUNCTION("""COMPUTED_VALUE"""),59.0)</f>
        <v>59</v>
      </c>
      <c r="W22" s="34">
        <f>IFERROR(__xludf.DUMMYFUNCTION("""COMPUTED_VALUE"""),5.92)</f>
        <v>5.92</v>
      </c>
      <c r="X22" s="34">
        <f>IFERROR(__xludf.DUMMYFUNCTION("""COMPUTED_VALUE"""),349.28)</f>
        <v>349.28</v>
      </c>
      <c r="Y22" s="34">
        <f>IFERROR(__xludf.DUMMYFUNCTION("""COMPUTED_VALUE"""),1.0)</f>
        <v>1</v>
      </c>
    </row>
    <row r="23">
      <c r="O23" s="34">
        <f>IFERROR(__xludf.DUMMYFUNCTION("""COMPUTED_VALUE"""),19831.0)</f>
        <v>19831</v>
      </c>
      <c r="P23" s="34" t="str">
        <f>IFERROR(__xludf.DUMMYFUNCTION("""COMPUTED_VALUE"""),"Boisson")</f>
        <v>Boisson</v>
      </c>
      <c r="Q23" s="34" t="str">
        <f>IFERROR(__xludf.DUMMYFUNCTION("""COMPUTED_VALUE"""),"Café")</f>
        <v>Café</v>
      </c>
      <c r="R23" s="34" t="str">
        <f>IFERROR(__xludf.DUMMYFUNCTION("""COMPUTED_VALUE"""),"Café moulu")</f>
        <v>Café moulu</v>
      </c>
      <c r="S23" s="34" t="str">
        <f>IFERROR(__xludf.DUMMYFUNCTION("""COMPUTED_VALUE"""),"19831-Café-Café moulu")</f>
        <v>19831-Café-Café moulu</v>
      </c>
      <c r="T23" s="34">
        <f>IFERROR(__xludf.DUMMYFUNCTION("""COMPUTED_VALUE"""),0.0)</f>
        <v>0</v>
      </c>
      <c r="U23" s="34">
        <f>IFERROR(__xludf.DUMMYFUNCTION("""COMPUTED_VALUE"""),198.0)</f>
        <v>198</v>
      </c>
      <c r="V23" s="34">
        <f>IFERROR(__xludf.DUMMYFUNCTION("""COMPUTED_VALUE"""),143.0)</f>
        <v>143</v>
      </c>
      <c r="W23" s="34">
        <f>IFERROR(__xludf.DUMMYFUNCTION("""COMPUTED_VALUE"""),3.75)</f>
        <v>3.75</v>
      </c>
      <c r="X23" s="34">
        <f>IFERROR(__xludf.DUMMYFUNCTION("""COMPUTED_VALUE"""),536.25)</f>
        <v>536.25</v>
      </c>
      <c r="Y23" s="34">
        <f>IFERROR(__xludf.DUMMYFUNCTION("""COMPUTED_VALUE"""),1.0)</f>
        <v>1</v>
      </c>
    </row>
    <row r="24">
      <c r="O24" s="34">
        <f>IFERROR(__xludf.DUMMYFUNCTION("""COMPUTED_VALUE"""),93025.0)</f>
        <v>93025</v>
      </c>
      <c r="P24" s="34" t="str">
        <f>IFERROR(__xludf.DUMMYFUNCTION("""COMPUTED_VALUE"""),"Boisson")</f>
        <v>Boisson</v>
      </c>
      <c r="Q24" s="34" t="str">
        <f>IFERROR(__xludf.DUMMYFUNCTION("""COMPUTED_VALUE"""),"Café")</f>
        <v>Café</v>
      </c>
      <c r="R24" s="34" t="str">
        <f>IFERROR(__xludf.DUMMYFUNCTION("""COMPUTED_VALUE"""),"Café moulu")</f>
        <v>Café moulu</v>
      </c>
      <c r="S24" s="34" t="str">
        <f>IFERROR(__xludf.DUMMYFUNCTION("""COMPUTED_VALUE"""),"93025-Café-Café moulu")</f>
        <v>93025-Café-Café moulu</v>
      </c>
      <c r="T24" s="34">
        <f>IFERROR(__xludf.DUMMYFUNCTION("""COMPUTED_VALUE"""),0.0)</f>
        <v>0</v>
      </c>
      <c r="U24" s="34">
        <f>IFERROR(__xludf.DUMMYFUNCTION("""COMPUTED_VALUE"""),325.0)</f>
        <v>325</v>
      </c>
      <c r="V24" s="34">
        <f>IFERROR(__xludf.DUMMYFUNCTION("""COMPUTED_VALUE"""),325.0)</f>
        <v>325</v>
      </c>
      <c r="W24" s="34">
        <f>IFERROR(__xludf.DUMMYFUNCTION("""COMPUTED_VALUE"""),2.3)</f>
        <v>2.3</v>
      </c>
      <c r="X24" s="34">
        <f>IFERROR(__xludf.DUMMYFUNCTION("""COMPUTED_VALUE"""),747.4999999999999)</f>
        <v>747.5</v>
      </c>
      <c r="Y24" s="34">
        <f>IFERROR(__xludf.DUMMYFUNCTION("""COMPUTED_VALUE"""),1.0)</f>
        <v>1</v>
      </c>
    </row>
    <row r="25">
      <c r="O25" s="34">
        <f>IFERROR(__xludf.DUMMYFUNCTION("""COMPUTED_VALUE"""),81624.0)</f>
        <v>81624</v>
      </c>
      <c r="P25" s="34" t="str">
        <f>IFERROR(__xludf.DUMMYFUNCTION("""COMPUTED_VALUE"""),"Boisson")</f>
        <v>Boisson</v>
      </c>
      <c r="Q25" s="34" t="str">
        <f>IFERROR(__xludf.DUMMYFUNCTION("""COMPUTED_VALUE"""),"Café")</f>
        <v>Café</v>
      </c>
      <c r="R25" s="34" t="str">
        <f>IFERROR(__xludf.DUMMYFUNCTION("""COMPUTED_VALUE"""),"Café moulu")</f>
        <v>Café moulu</v>
      </c>
      <c r="S25" s="34" t="str">
        <f>IFERROR(__xludf.DUMMYFUNCTION("""COMPUTED_VALUE"""),"81624-Café-Café moulu")</f>
        <v>81624-Café-Café moulu</v>
      </c>
      <c r="T25" s="34">
        <f>IFERROR(__xludf.DUMMYFUNCTION("""COMPUTED_VALUE"""),1.0)</f>
        <v>1</v>
      </c>
      <c r="U25" s="34">
        <f>IFERROR(__xludf.DUMMYFUNCTION("""COMPUTED_VALUE"""),100.0)</f>
        <v>100</v>
      </c>
      <c r="V25" s="34">
        <f>IFERROR(__xludf.DUMMYFUNCTION("""COMPUTED_VALUE"""),100.0)</f>
        <v>100</v>
      </c>
      <c r="W25" s="34">
        <f>IFERROR(__xludf.DUMMYFUNCTION("""COMPUTED_VALUE"""),7.24)</f>
        <v>7.24</v>
      </c>
      <c r="X25" s="34">
        <f>IFERROR(__xludf.DUMMYFUNCTION("""COMPUTED_VALUE"""),724.0)</f>
        <v>724</v>
      </c>
      <c r="Y25" s="34">
        <f>IFERROR(__xludf.DUMMYFUNCTION("""COMPUTED_VALUE"""),1.0)</f>
        <v>1</v>
      </c>
    </row>
    <row r="26">
      <c r="O26" s="9">
        <f>IFERROR(__xludf.DUMMYFUNCTION("""COMPUTED_VALUE"""),92913.0)</f>
        <v>92913</v>
      </c>
      <c r="P26" s="9" t="str">
        <f>IFERROR(__xludf.DUMMYFUNCTION("""COMPUTED_VALUE"""),"Boisson")</f>
        <v>Boisson</v>
      </c>
      <c r="Q26" s="9" t="str">
        <f>IFERROR(__xludf.DUMMYFUNCTION("""COMPUTED_VALUE"""),"Café")</f>
        <v>Café</v>
      </c>
      <c r="R26" s="9" t="str">
        <f>IFERROR(__xludf.DUMMYFUNCTION("""COMPUTED_VALUE"""),"Café moulu")</f>
        <v>Café moulu</v>
      </c>
      <c r="S26" s="9" t="str">
        <f>IFERROR(__xludf.DUMMYFUNCTION("""COMPUTED_VALUE"""),"92913-Café-Café moulu")</f>
        <v>92913-Café-Café moulu</v>
      </c>
      <c r="T26" s="9">
        <f>IFERROR(__xludf.DUMMYFUNCTION("""COMPUTED_VALUE"""),0.0)</f>
        <v>0</v>
      </c>
      <c r="U26" s="9">
        <f>IFERROR(__xludf.DUMMYFUNCTION("""COMPUTED_VALUE"""),100.0)</f>
        <v>100</v>
      </c>
      <c r="V26" s="9">
        <f>IFERROR(__xludf.DUMMYFUNCTION("""COMPUTED_VALUE"""),100.0)</f>
        <v>100</v>
      </c>
      <c r="W26" s="9">
        <f>IFERROR(__xludf.DUMMYFUNCTION("""COMPUTED_VALUE"""),6.8)</f>
        <v>6.8</v>
      </c>
      <c r="X26" s="9">
        <f>IFERROR(__xludf.DUMMYFUNCTION("""COMPUTED_VALUE"""),680.0)</f>
        <v>680</v>
      </c>
      <c r="Y26" s="9">
        <f>IFERROR(__xludf.DUMMYFUNCTION("""COMPUTED_VALUE"""),1.0)</f>
        <v>1</v>
      </c>
    </row>
    <row r="27">
      <c r="O27" s="9">
        <f>IFERROR(__xludf.DUMMYFUNCTION("""COMPUTED_VALUE"""),126983.0)</f>
        <v>126983</v>
      </c>
      <c r="P27" s="9" t="str">
        <f>IFERROR(__xludf.DUMMYFUNCTION("""COMPUTED_VALUE"""),"Boisson")</f>
        <v>Boisson</v>
      </c>
      <c r="Q27" s="9" t="str">
        <f>IFERROR(__xludf.DUMMYFUNCTION("""COMPUTED_VALUE"""),"Café")</f>
        <v>Café</v>
      </c>
      <c r="R27" s="9" t="str">
        <f>IFERROR(__xludf.DUMMYFUNCTION("""COMPUTED_VALUE"""),"Café moulu")</f>
        <v>Café moulu</v>
      </c>
      <c r="S27" s="9" t="str">
        <f>IFERROR(__xludf.DUMMYFUNCTION("""COMPUTED_VALUE"""),"126983-Café-Café moulu")</f>
        <v>126983-Café-Café moulu</v>
      </c>
      <c r="T27" s="9">
        <f>IFERROR(__xludf.DUMMYFUNCTION("""COMPUTED_VALUE"""),0.0)</f>
        <v>0</v>
      </c>
      <c r="U27" s="9">
        <f>IFERROR(__xludf.DUMMYFUNCTION("""COMPUTED_VALUE"""),195.0)</f>
        <v>195</v>
      </c>
      <c r="V27" s="9">
        <f>IFERROR(__xludf.DUMMYFUNCTION("""COMPUTED_VALUE"""),79.0)</f>
        <v>79</v>
      </c>
      <c r="W27" s="9">
        <f>IFERROR(__xludf.DUMMYFUNCTION("""COMPUTED_VALUE"""),2.92)</f>
        <v>2.92</v>
      </c>
      <c r="X27" s="9">
        <f>IFERROR(__xludf.DUMMYFUNCTION("""COMPUTED_VALUE"""),230.68)</f>
        <v>230.68</v>
      </c>
      <c r="Y27" s="9">
        <f>IFERROR(__xludf.DUMMYFUNCTION("""COMPUTED_VALUE"""),1.0)</f>
        <v>1</v>
      </c>
    </row>
    <row r="28">
      <c r="O28" s="9">
        <f>IFERROR(__xludf.DUMMYFUNCTION("""COMPUTED_VALUE"""),118226.0)</f>
        <v>118226</v>
      </c>
      <c r="P28" s="9" t="str">
        <f>IFERROR(__xludf.DUMMYFUNCTION("""COMPUTED_VALUE"""),"Boisson")</f>
        <v>Boisson</v>
      </c>
      <c r="Q28" s="9" t="str">
        <f>IFERROR(__xludf.DUMMYFUNCTION("""COMPUTED_VALUE"""),"Café")</f>
        <v>Café</v>
      </c>
      <c r="R28" s="9" t="str">
        <f>IFERROR(__xludf.DUMMYFUNCTION("""COMPUTED_VALUE"""),"Café moulu")</f>
        <v>Café moulu</v>
      </c>
      <c r="S28" s="9" t="str">
        <f>IFERROR(__xludf.DUMMYFUNCTION("""COMPUTED_VALUE"""),"118226-Café-Café moulu")</f>
        <v>118226-Café-Café moulu</v>
      </c>
      <c r="T28" s="9">
        <f>IFERROR(__xludf.DUMMYFUNCTION("""COMPUTED_VALUE"""),0.0)</f>
        <v>0</v>
      </c>
      <c r="U28" s="9">
        <f>IFERROR(__xludf.DUMMYFUNCTION("""COMPUTED_VALUE"""),150.0)</f>
        <v>150</v>
      </c>
      <c r="V28" s="9">
        <f>IFERROR(__xludf.DUMMYFUNCTION("""COMPUTED_VALUE"""),150.0)</f>
        <v>150</v>
      </c>
      <c r="W28" s="9">
        <f>IFERROR(__xludf.DUMMYFUNCTION("""COMPUTED_VALUE"""),1.71)</f>
        <v>1.71</v>
      </c>
      <c r="X28" s="9">
        <f>IFERROR(__xludf.DUMMYFUNCTION("""COMPUTED_VALUE"""),256.5)</f>
        <v>256.5</v>
      </c>
      <c r="Y28" s="9">
        <f>IFERROR(__xludf.DUMMYFUNCTION("""COMPUTED_VALUE"""),1.0)</f>
        <v>1</v>
      </c>
    </row>
    <row r="29">
      <c r="O29" s="9">
        <f>IFERROR(__xludf.DUMMYFUNCTION("""COMPUTED_VALUE"""),48618.0)</f>
        <v>48618</v>
      </c>
      <c r="P29" s="9" t="str">
        <f>IFERROR(__xludf.DUMMYFUNCTION("""COMPUTED_VALUE"""),"Boisson")</f>
        <v>Boisson</v>
      </c>
      <c r="Q29" s="9" t="str">
        <f>IFERROR(__xludf.DUMMYFUNCTION("""COMPUTED_VALUE"""),"Café")</f>
        <v>Café</v>
      </c>
      <c r="R29" s="9" t="str">
        <f>IFERROR(__xludf.DUMMYFUNCTION("""COMPUTED_VALUE"""),"Café moulu")</f>
        <v>Café moulu</v>
      </c>
      <c r="S29" s="9" t="str">
        <f>IFERROR(__xludf.DUMMYFUNCTION("""COMPUTED_VALUE"""),"48618-Café-Café moulu")</f>
        <v>48618-Café-Café moulu</v>
      </c>
      <c r="T29" s="9">
        <f>IFERROR(__xludf.DUMMYFUNCTION("""COMPUTED_VALUE"""),1.0)</f>
        <v>1</v>
      </c>
      <c r="U29" s="9">
        <f>IFERROR(__xludf.DUMMYFUNCTION("""COMPUTED_VALUE"""),100.0)</f>
        <v>100</v>
      </c>
      <c r="V29" s="9">
        <f>IFERROR(__xludf.DUMMYFUNCTION("""COMPUTED_VALUE"""),100.0)</f>
        <v>100</v>
      </c>
      <c r="W29" s="9">
        <f>IFERROR(__xludf.DUMMYFUNCTION("""COMPUTED_VALUE"""),2.14)</f>
        <v>2.14</v>
      </c>
      <c r="X29" s="9">
        <f>IFERROR(__xludf.DUMMYFUNCTION("""COMPUTED_VALUE"""),214.0)</f>
        <v>214</v>
      </c>
      <c r="Y29" s="9">
        <f>IFERROR(__xludf.DUMMYFUNCTION("""COMPUTED_VALUE"""),1.0)</f>
        <v>1</v>
      </c>
    </row>
    <row r="30">
      <c r="O30" s="9">
        <f>IFERROR(__xludf.DUMMYFUNCTION("""COMPUTED_VALUE"""),93037.0)</f>
        <v>93037</v>
      </c>
      <c r="P30" s="9" t="str">
        <f>IFERROR(__xludf.DUMMYFUNCTION("""COMPUTED_VALUE"""),"Boisson")</f>
        <v>Boisson</v>
      </c>
      <c r="Q30" s="9" t="str">
        <f>IFERROR(__xludf.DUMMYFUNCTION("""COMPUTED_VALUE"""),"Café")</f>
        <v>Café</v>
      </c>
      <c r="R30" s="9" t="str">
        <f>IFERROR(__xludf.DUMMYFUNCTION("""COMPUTED_VALUE"""),"Café moulu")</f>
        <v>Café moulu</v>
      </c>
      <c r="S30" s="9" t="str">
        <f>IFERROR(__xludf.DUMMYFUNCTION("""COMPUTED_VALUE"""),"93037-Café-Café moulu")</f>
        <v>93037-Café-Café moulu</v>
      </c>
      <c r="T30" s="9">
        <f>IFERROR(__xludf.DUMMYFUNCTION("""COMPUTED_VALUE"""),0.0)</f>
        <v>0</v>
      </c>
      <c r="U30" s="9">
        <f>IFERROR(__xludf.DUMMYFUNCTION("""COMPUTED_VALUE"""),620.0)</f>
        <v>620</v>
      </c>
      <c r="V30" s="9">
        <f>IFERROR(__xludf.DUMMYFUNCTION("""COMPUTED_VALUE"""),620.0)</f>
        <v>620</v>
      </c>
      <c r="W30" s="9">
        <f>IFERROR(__xludf.DUMMYFUNCTION("""COMPUTED_VALUE"""),3.16)</f>
        <v>3.16</v>
      </c>
      <c r="X30" s="9">
        <f>IFERROR(__xludf.DUMMYFUNCTION("""COMPUTED_VALUE"""),1959.2)</f>
        <v>1959.2</v>
      </c>
      <c r="Y30" s="9">
        <f>IFERROR(__xludf.DUMMYFUNCTION("""COMPUTED_VALUE"""),1.0)</f>
        <v>1</v>
      </c>
    </row>
    <row r="31">
      <c r="O31" s="9">
        <f>IFERROR(__xludf.DUMMYFUNCTION("""COMPUTED_VALUE"""),126984.0)</f>
        <v>126984</v>
      </c>
      <c r="P31" s="9" t="str">
        <f>IFERROR(__xludf.DUMMYFUNCTION("""COMPUTED_VALUE"""),"Boisson")</f>
        <v>Boisson</v>
      </c>
      <c r="Q31" s="9" t="str">
        <f>IFERROR(__xludf.DUMMYFUNCTION("""COMPUTED_VALUE"""),"Café")</f>
        <v>Café</v>
      </c>
      <c r="R31" s="9" t="str">
        <f>IFERROR(__xludf.DUMMYFUNCTION("""COMPUTED_VALUE"""),"Café moulu")</f>
        <v>Café moulu</v>
      </c>
      <c r="S31" s="9" t="str">
        <f>IFERROR(__xludf.DUMMYFUNCTION("""COMPUTED_VALUE"""),"126984-Café-Café moulu")</f>
        <v>126984-Café-Café moulu</v>
      </c>
      <c r="T31" s="9">
        <f>IFERROR(__xludf.DUMMYFUNCTION("""COMPUTED_VALUE"""),0.0)</f>
        <v>0</v>
      </c>
      <c r="U31" s="9">
        <f>IFERROR(__xludf.DUMMYFUNCTION("""COMPUTED_VALUE"""),26.0)</f>
        <v>26</v>
      </c>
      <c r="V31" s="9">
        <f>IFERROR(__xludf.DUMMYFUNCTION("""COMPUTED_VALUE"""),6.0)</f>
        <v>6</v>
      </c>
      <c r="W31" s="9">
        <f>IFERROR(__xludf.DUMMYFUNCTION("""COMPUTED_VALUE"""),1.95)</f>
        <v>1.95</v>
      </c>
      <c r="X31" s="9">
        <f>IFERROR(__xludf.DUMMYFUNCTION("""COMPUTED_VALUE"""),11.7)</f>
        <v>11.7</v>
      </c>
      <c r="Y31" s="9">
        <f>IFERROR(__xludf.DUMMYFUNCTION("""COMPUTED_VALUE"""),1.0)</f>
        <v>1</v>
      </c>
    </row>
    <row r="32">
      <c r="O32" s="9">
        <f>IFERROR(__xludf.DUMMYFUNCTION("""COMPUTED_VALUE"""),47393.0)</f>
        <v>47393</v>
      </c>
      <c r="P32" s="9" t="str">
        <f>IFERROR(__xludf.DUMMYFUNCTION("""COMPUTED_VALUE"""),"Boisson")</f>
        <v>Boisson</v>
      </c>
      <c r="Q32" s="9" t="str">
        <f>IFERROR(__xludf.DUMMYFUNCTION("""COMPUTED_VALUE"""),"Café")</f>
        <v>Café</v>
      </c>
      <c r="R32" s="9" t="str">
        <f>IFERROR(__xludf.DUMMYFUNCTION("""COMPUTED_VALUE"""),"Café moulu")</f>
        <v>Café moulu</v>
      </c>
      <c r="S32" s="9" t="str">
        <f>IFERROR(__xludf.DUMMYFUNCTION("""COMPUTED_VALUE"""),"47393-Café-Café moulu")</f>
        <v>47393-Café-Café moulu</v>
      </c>
      <c r="T32" s="9">
        <f>IFERROR(__xludf.DUMMYFUNCTION("""COMPUTED_VALUE"""),0.0)</f>
        <v>0</v>
      </c>
      <c r="U32" s="9">
        <f>IFERROR(__xludf.DUMMYFUNCTION("""COMPUTED_VALUE"""),980.0)</f>
        <v>980</v>
      </c>
      <c r="V32" s="9">
        <f>IFERROR(__xludf.DUMMYFUNCTION("""COMPUTED_VALUE"""),608.0)</f>
        <v>608</v>
      </c>
      <c r="W32" s="9">
        <f>IFERROR(__xludf.DUMMYFUNCTION("""COMPUTED_VALUE"""),2.82)</f>
        <v>2.82</v>
      </c>
      <c r="X32" s="9">
        <f>IFERROR(__xludf.DUMMYFUNCTION("""COMPUTED_VALUE"""),1714.56)</f>
        <v>1714.56</v>
      </c>
      <c r="Y32" s="9">
        <f>IFERROR(__xludf.DUMMYFUNCTION("""COMPUTED_VALUE"""),1.0)</f>
        <v>1</v>
      </c>
    </row>
    <row r="33">
      <c r="O33" s="9">
        <f>IFERROR(__xludf.DUMMYFUNCTION("""COMPUTED_VALUE"""),128214.0)</f>
        <v>128214</v>
      </c>
      <c r="P33" s="9" t="str">
        <f>IFERROR(__xludf.DUMMYFUNCTION("""COMPUTED_VALUE"""),"Boisson")</f>
        <v>Boisson</v>
      </c>
      <c r="Q33" s="9" t="str">
        <f>IFERROR(__xludf.DUMMYFUNCTION("""COMPUTED_VALUE"""),"Café")</f>
        <v>Café</v>
      </c>
      <c r="R33" s="9" t="str">
        <f>IFERROR(__xludf.DUMMYFUNCTION("""COMPUTED_VALUE"""),"Café moulu")</f>
        <v>Café moulu</v>
      </c>
      <c r="S33" s="9" t="str">
        <f>IFERROR(__xludf.DUMMYFUNCTION("""COMPUTED_VALUE"""),"128214-Café-Café moulu")</f>
        <v>128214-Café-Café moulu</v>
      </c>
      <c r="T33" s="9">
        <f>IFERROR(__xludf.DUMMYFUNCTION("""COMPUTED_VALUE"""),0.0)</f>
        <v>0</v>
      </c>
      <c r="U33" s="9">
        <f>IFERROR(__xludf.DUMMYFUNCTION("""COMPUTED_VALUE"""),83.0)</f>
        <v>83</v>
      </c>
      <c r="V33" s="9">
        <f>IFERROR(__xludf.DUMMYFUNCTION("""COMPUTED_VALUE"""),83.0)</f>
        <v>83</v>
      </c>
      <c r="W33" s="9">
        <f>IFERROR(__xludf.DUMMYFUNCTION("""COMPUTED_VALUE"""),4.51)</f>
        <v>4.51</v>
      </c>
      <c r="X33" s="9">
        <f>IFERROR(__xludf.DUMMYFUNCTION("""COMPUTED_VALUE"""),374.33)</f>
        <v>374.33</v>
      </c>
      <c r="Y33" s="9">
        <f>IFERROR(__xludf.DUMMYFUNCTION("""COMPUTED_VALUE"""),1.0)</f>
        <v>1</v>
      </c>
    </row>
    <row r="34">
      <c r="O34" s="9">
        <f>IFERROR(__xludf.DUMMYFUNCTION("""COMPUTED_VALUE"""),83802.0)</f>
        <v>83802</v>
      </c>
      <c r="P34" s="9" t="str">
        <f>IFERROR(__xludf.DUMMYFUNCTION("""COMPUTED_VALUE"""),"Boisson")</f>
        <v>Boisson</v>
      </c>
      <c r="Q34" s="9" t="str">
        <f>IFERROR(__xludf.DUMMYFUNCTION("""COMPUTED_VALUE"""),"Café")</f>
        <v>Café</v>
      </c>
      <c r="R34" s="9" t="str">
        <f>IFERROR(__xludf.DUMMYFUNCTION("""COMPUTED_VALUE"""),"Café moulu")</f>
        <v>Café moulu</v>
      </c>
      <c r="S34" s="9" t="str">
        <f>IFERROR(__xludf.DUMMYFUNCTION("""COMPUTED_VALUE"""),"83802-Café-Café moulu")</f>
        <v>83802-Café-Café moulu</v>
      </c>
      <c r="T34" s="9">
        <f>IFERROR(__xludf.DUMMYFUNCTION("""COMPUTED_VALUE"""),0.0)</f>
        <v>0</v>
      </c>
      <c r="U34" s="9">
        <f>IFERROR(__xludf.DUMMYFUNCTION("""COMPUTED_VALUE"""),48.0)</f>
        <v>48</v>
      </c>
      <c r="V34" s="9">
        <f>IFERROR(__xludf.DUMMYFUNCTION("""COMPUTED_VALUE"""),36.0)</f>
        <v>36</v>
      </c>
      <c r="W34" s="9">
        <f>IFERROR(__xludf.DUMMYFUNCTION("""COMPUTED_VALUE"""),3.27)</f>
        <v>3.27</v>
      </c>
      <c r="X34" s="9">
        <f>IFERROR(__xludf.DUMMYFUNCTION("""COMPUTED_VALUE"""),117.72)</f>
        <v>117.72</v>
      </c>
      <c r="Y34" s="9">
        <f>IFERROR(__xludf.DUMMYFUNCTION("""COMPUTED_VALUE"""),1.0)</f>
        <v>1</v>
      </c>
    </row>
    <row r="35">
      <c r="O35" s="9">
        <f>IFERROR(__xludf.DUMMYFUNCTION("""COMPUTED_VALUE"""),48625.0)</f>
        <v>48625</v>
      </c>
      <c r="P35" s="9" t="str">
        <f>IFERROR(__xludf.DUMMYFUNCTION("""COMPUTED_VALUE"""),"Boisson")</f>
        <v>Boisson</v>
      </c>
      <c r="Q35" s="9" t="str">
        <f>IFERROR(__xludf.DUMMYFUNCTION("""COMPUTED_VALUE"""),"Café")</f>
        <v>Café</v>
      </c>
      <c r="R35" s="9" t="str">
        <f>IFERROR(__xludf.DUMMYFUNCTION("""COMPUTED_VALUE"""),"Café moulu")</f>
        <v>Café moulu</v>
      </c>
      <c r="S35" s="9" t="str">
        <f>IFERROR(__xludf.DUMMYFUNCTION("""COMPUTED_VALUE"""),"48625-Café-Café moulu")</f>
        <v>48625-Café-Café moulu</v>
      </c>
      <c r="T35" s="9">
        <f>IFERROR(__xludf.DUMMYFUNCTION("""COMPUTED_VALUE"""),1.0)</f>
        <v>1</v>
      </c>
      <c r="U35" s="9">
        <f>IFERROR(__xludf.DUMMYFUNCTION("""COMPUTED_VALUE"""),100.0)</f>
        <v>100</v>
      </c>
      <c r="V35" s="9">
        <f>IFERROR(__xludf.DUMMYFUNCTION("""COMPUTED_VALUE"""),100.0)</f>
        <v>100</v>
      </c>
      <c r="W35" s="9">
        <f>IFERROR(__xludf.DUMMYFUNCTION("""COMPUTED_VALUE"""),4.17)</f>
        <v>4.17</v>
      </c>
      <c r="X35" s="9">
        <f>IFERROR(__xludf.DUMMYFUNCTION("""COMPUTED_VALUE"""),417.0)</f>
        <v>417</v>
      </c>
      <c r="Y35" s="9">
        <f>IFERROR(__xludf.DUMMYFUNCTION("""COMPUTED_VALUE"""),1.0)</f>
        <v>1</v>
      </c>
    </row>
    <row r="36">
      <c r="O36" s="9">
        <f>IFERROR(__xludf.DUMMYFUNCTION("""COMPUTED_VALUE"""),83602.0)</f>
        <v>83602</v>
      </c>
      <c r="P36" s="9" t="str">
        <f>IFERROR(__xludf.DUMMYFUNCTION("""COMPUTED_VALUE"""),"Boisson")</f>
        <v>Boisson</v>
      </c>
      <c r="Q36" s="9" t="str">
        <f>IFERROR(__xludf.DUMMYFUNCTION("""COMPUTED_VALUE"""),"Café")</f>
        <v>Café</v>
      </c>
      <c r="R36" s="9" t="str">
        <f>IFERROR(__xludf.DUMMYFUNCTION("""COMPUTED_VALUE"""),"Café moulu")</f>
        <v>Café moulu</v>
      </c>
      <c r="S36" s="9" t="str">
        <f>IFERROR(__xludf.DUMMYFUNCTION("""COMPUTED_VALUE"""),"83602-Café-Café moulu")</f>
        <v>83602-Café-Café moulu</v>
      </c>
      <c r="T36" s="9">
        <f>IFERROR(__xludf.DUMMYFUNCTION("""COMPUTED_VALUE"""),0.0)</f>
        <v>0</v>
      </c>
      <c r="U36" s="9">
        <f>IFERROR(__xludf.DUMMYFUNCTION("""COMPUTED_VALUE"""),68.0)</f>
        <v>68</v>
      </c>
      <c r="V36" s="9">
        <f>IFERROR(__xludf.DUMMYFUNCTION("""COMPUTED_VALUE"""),68.0)</f>
        <v>68</v>
      </c>
      <c r="W36" s="9">
        <f>IFERROR(__xludf.DUMMYFUNCTION("""COMPUTED_VALUE"""),12.25)</f>
        <v>12.25</v>
      </c>
      <c r="X36" s="9">
        <f>IFERROR(__xludf.DUMMYFUNCTION("""COMPUTED_VALUE"""),833.0)</f>
        <v>833</v>
      </c>
      <c r="Y36" s="9">
        <f>IFERROR(__xludf.DUMMYFUNCTION("""COMPUTED_VALUE"""),1.0)</f>
        <v>1</v>
      </c>
    </row>
    <row r="37">
      <c r="O37" s="9">
        <f>IFERROR(__xludf.DUMMYFUNCTION("""COMPUTED_VALUE"""),98867.0)</f>
        <v>98867</v>
      </c>
      <c r="P37" s="9" t="str">
        <f>IFERROR(__xludf.DUMMYFUNCTION("""COMPUTED_VALUE"""),"Boisson")</f>
        <v>Boisson</v>
      </c>
      <c r="Q37" s="9" t="str">
        <f>IFERROR(__xludf.DUMMYFUNCTION("""COMPUTED_VALUE"""),"Café")</f>
        <v>Café</v>
      </c>
      <c r="R37" s="9" t="str">
        <f>IFERROR(__xludf.DUMMYFUNCTION("""COMPUTED_VALUE"""),"Café soluble")</f>
        <v>Café soluble</v>
      </c>
      <c r="S37" s="9" t="str">
        <f>IFERROR(__xludf.DUMMYFUNCTION("""COMPUTED_VALUE"""),"98867-Café-Café soluble")</f>
        <v>98867-Café-Café soluble</v>
      </c>
      <c r="T37" s="9">
        <f>IFERROR(__xludf.DUMMYFUNCTION("""COMPUTED_VALUE"""),0.0)</f>
        <v>0</v>
      </c>
      <c r="U37" s="9">
        <f>IFERROR(__xludf.DUMMYFUNCTION("""COMPUTED_VALUE"""),175.0)</f>
        <v>175</v>
      </c>
      <c r="V37" s="9">
        <f>IFERROR(__xludf.DUMMYFUNCTION("""COMPUTED_VALUE"""),175.0)</f>
        <v>175</v>
      </c>
      <c r="W37" s="9">
        <f>IFERROR(__xludf.DUMMYFUNCTION("""COMPUTED_VALUE"""),4.16)</f>
        <v>4.16</v>
      </c>
      <c r="X37" s="9">
        <f>IFERROR(__xludf.DUMMYFUNCTION("""COMPUTED_VALUE"""),728.0)</f>
        <v>728</v>
      </c>
      <c r="Y37" s="9">
        <f>IFERROR(__xludf.DUMMYFUNCTION("""COMPUTED_VALUE"""),1.0)</f>
        <v>1</v>
      </c>
    </row>
    <row r="38">
      <c r="O38" s="9">
        <f>IFERROR(__xludf.DUMMYFUNCTION("""COMPUTED_VALUE"""),127042.0)</f>
        <v>127042</v>
      </c>
      <c r="P38" s="9" t="str">
        <f>IFERROR(__xludf.DUMMYFUNCTION("""COMPUTED_VALUE"""),"Boisson")</f>
        <v>Boisson</v>
      </c>
      <c r="Q38" s="9" t="str">
        <f>IFERROR(__xludf.DUMMYFUNCTION("""COMPUTED_VALUE"""),"Café")</f>
        <v>Café</v>
      </c>
      <c r="R38" s="9" t="str">
        <f>IFERROR(__xludf.DUMMYFUNCTION("""COMPUTED_VALUE"""),"Café soluble")</f>
        <v>Café soluble</v>
      </c>
      <c r="S38" s="9" t="str">
        <f>IFERROR(__xludf.DUMMYFUNCTION("""COMPUTED_VALUE"""),"127042-Café-Café soluble")</f>
        <v>127042-Café-Café soluble</v>
      </c>
      <c r="T38" s="9">
        <f>IFERROR(__xludf.DUMMYFUNCTION("""COMPUTED_VALUE"""),0.0)</f>
        <v>0</v>
      </c>
      <c r="U38" s="9">
        <f>IFERROR(__xludf.DUMMYFUNCTION("""COMPUTED_VALUE"""),430.0)</f>
        <v>430</v>
      </c>
      <c r="V38" s="9">
        <f>IFERROR(__xludf.DUMMYFUNCTION("""COMPUTED_VALUE"""),430.0)</f>
        <v>430</v>
      </c>
      <c r="W38" s="9">
        <f>IFERROR(__xludf.DUMMYFUNCTION("""COMPUTED_VALUE"""),4.12)</f>
        <v>4.12</v>
      </c>
      <c r="X38" s="9">
        <f>IFERROR(__xludf.DUMMYFUNCTION("""COMPUTED_VALUE"""),1771.6000000000001)</f>
        <v>1771.6</v>
      </c>
      <c r="Y38" s="9">
        <f>IFERROR(__xludf.DUMMYFUNCTION("""COMPUTED_VALUE"""),1.0)</f>
        <v>1</v>
      </c>
    </row>
    <row r="39">
      <c r="O39" s="9">
        <f>IFERROR(__xludf.DUMMYFUNCTION("""COMPUTED_VALUE"""),127241.0)</f>
        <v>127241</v>
      </c>
      <c r="P39" s="9" t="str">
        <f>IFERROR(__xludf.DUMMYFUNCTION("""COMPUTED_VALUE"""),"Boisson")</f>
        <v>Boisson</v>
      </c>
      <c r="Q39" s="9" t="str">
        <f>IFERROR(__xludf.DUMMYFUNCTION("""COMPUTED_VALUE"""),"Café")</f>
        <v>Café</v>
      </c>
      <c r="R39" s="9" t="str">
        <f>IFERROR(__xludf.DUMMYFUNCTION("""COMPUTED_VALUE"""),"Café en grains")</f>
        <v>Café en grains</v>
      </c>
      <c r="S39" s="9" t="str">
        <f>IFERROR(__xludf.DUMMYFUNCTION("""COMPUTED_VALUE"""),"127241-Café-Café en grains")</f>
        <v>127241-Café-Café en grains</v>
      </c>
      <c r="T39" s="9">
        <f>IFERROR(__xludf.DUMMYFUNCTION("""COMPUTED_VALUE"""),0.0)</f>
        <v>0</v>
      </c>
      <c r="U39" s="9">
        <f>IFERROR(__xludf.DUMMYFUNCTION("""COMPUTED_VALUE"""),83.0)</f>
        <v>83</v>
      </c>
      <c r="V39" s="9">
        <f>IFERROR(__xludf.DUMMYFUNCTION("""COMPUTED_VALUE"""),83.0)</f>
        <v>83</v>
      </c>
      <c r="W39" s="9">
        <f>IFERROR(__xludf.DUMMYFUNCTION("""COMPUTED_VALUE"""),12.33)</f>
        <v>12.33</v>
      </c>
      <c r="X39" s="9">
        <f>IFERROR(__xludf.DUMMYFUNCTION("""COMPUTED_VALUE"""),1023.39)</f>
        <v>1023.39</v>
      </c>
      <c r="Y39" s="9">
        <f>IFERROR(__xludf.DUMMYFUNCTION("""COMPUTED_VALUE"""),1.0)</f>
        <v>1</v>
      </c>
    </row>
    <row r="40">
      <c r="O40" s="9">
        <f>IFERROR(__xludf.DUMMYFUNCTION("""COMPUTED_VALUE"""),118220.0)</f>
        <v>118220</v>
      </c>
      <c r="P40" s="9" t="str">
        <f>IFERROR(__xludf.DUMMYFUNCTION("""COMPUTED_VALUE"""),"Boisson")</f>
        <v>Boisson</v>
      </c>
      <c r="Q40" s="9" t="str">
        <f>IFERROR(__xludf.DUMMYFUNCTION("""COMPUTED_VALUE"""),"Café")</f>
        <v>Café</v>
      </c>
      <c r="R40" s="9" t="str">
        <f>IFERROR(__xludf.DUMMYFUNCTION("""COMPUTED_VALUE"""),"Café en grains")</f>
        <v>Café en grains</v>
      </c>
      <c r="S40" s="9" t="str">
        <f>IFERROR(__xludf.DUMMYFUNCTION("""COMPUTED_VALUE"""),"118220-Café-Café en grains")</f>
        <v>118220-Café-Café en grains</v>
      </c>
      <c r="T40" s="9">
        <f>IFERROR(__xludf.DUMMYFUNCTION("""COMPUTED_VALUE"""),0.0)</f>
        <v>0</v>
      </c>
      <c r="U40" s="9">
        <f>IFERROR(__xludf.DUMMYFUNCTION("""COMPUTED_VALUE"""),37.0)</f>
        <v>37</v>
      </c>
      <c r="V40" s="9">
        <f>IFERROR(__xludf.DUMMYFUNCTION("""COMPUTED_VALUE"""),37.0)</f>
        <v>37</v>
      </c>
      <c r="W40" s="9">
        <f>IFERROR(__xludf.DUMMYFUNCTION("""COMPUTED_VALUE"""),8.75)</f>
        <v>8.75</v>
      </c>
      <c r="X40" s="9">
        <f>IFERROR(__xludf.DUMMYFUNCTION("""COMPUTED_VALUE"""),323.75)</f>
        <v>323.75</v>
      </c>
      <c r="Y40" s="9">
        <f>IFERROR(__xludf.DUMMYFUNCTION("""COMPUTED_VALUE"""),1.0)</f>
        <v>1</v>
      </c>
    </row>
    <row r="41">
      <c r="O41" s="9">
        <f>IFERROR(__xludf.DUMMYFUNCTION("""COMPUTED_VALUE"""),128216.0)</f>
        <v>128216</v>
      </c>
      <c r="P41" s="9" t="str">
        <f>IFERROR(__xludf.DUMMYFUNCTION("""COMPUTED_VALUE"""),"Boisson")</f>
        <v>Boisson</v>
      </c>
      <c r="Q41" s="9" t="str">
        <f>IFERROR(__xludf.DUMMYFUNCTION("""COMPUTED_VALUE"""),"Café")</f>
        <v>Café</v>
      </c>
      <c r="R41" s="9" t="str">
        <f>IFERROR(__xludf.DUMMYFUNCTION("""COMPUTED_VALUE"""),"Café en grains")</f>
        <v>Café en grains</v>
      </c>
      <c r="S41" s="9" t="str">
        <f>IFERROR(__xludf.DUMMYFUNCTION("""COMPUTED_VALUE"""),"128216-Café-Café en grains")</f>
        <v>128216-Café-Café en grains</v>
      </c>
      <c r="T41" s="9">
        <f>IFERROR(__xludf.DUMMYFUNCTION("""COMPUTED_VALUE"""),0.0)</f>
        <v>0</v>
      </c>
      <c r="U41" s="9">
        <f>IFERROR(__xludf.DUMMYFUNCTION("""COMPUTED_VALUE"""),131.0)</f>
        <v>131</v>
      </c>
      <c r="V41" s="9">
        <f>IFERROR(__xludf.DUMMYFUNCTION("""COMPUTED_VALUE"""),131.0)</f>
        <v>131</v>
      </c>
      <c r="W41" s="9">
        <f>IFERROR(__xludf.DUMMYFUNCTION("""COMPUTED_VALUE"""),12.01)</f>
        <v>12.01</v>
      </c>
      <c r="X41" s="9">
        <f>IFERROR(__xludf.DUMMYFUNCTION("""COMPUTED_VALUE"""),1573.31)</f>
        <v>1573.31</v>
      </c>
      <c r="Y41" s="9">
        <f>IFERROR(__xludf.DUMMYFUNCTION("""COMPUTED_VALUE"""),1.0)</f>
        <v>1</v>
      </c>
    </row>
    <row r="42">
      <c r="O42" s="9">
        <f>IFERROR(__xludf.DUMMYFUNCTION("""COMPUTED_VALUE"""),93049.0)</f>
        <v>93049</v>
      </c>
      <c r="P42" s="9" t="str">
        <f>IFERROR(__xludf.DUMMYFUNCTION("""COMPUTED_VALUE"""),"Boisson")</f>
        <v>Boisson</v>
      </c>
      <c r="Q42" s="9" t="str">
        <f>IFERROR(__xludf.DUMMYFUNCTION("""COMPUTED_VALUE"""),"Café")</f>
        <v>Café</v>
      </c>
      <c r="R42" s="9" t="str">
        <f>IFERROR(__xludf.DUMMYFUNCTION("""COMPUTED_VALUE"""),"Café en grains")</f>
        <v>Café en grains</v>
      </c>
      <c r="S42" s="9" t="str">
        <f>IFERROR(__xludf.DUMMYFUNCTION("""COMPUTED_VALUE"""),"93049-Café-Café en grains")</f>
        <v>93049-Café-Café en grains</v>
      </c>
      <c r="T42" s="9">
        <f>IFERROR(__xludf.DUMMYFUNCTION("""COMPUTED_VALUE"""),0.0)</f>
        <v>0</v>
      </c>
      <c r="U42" s="9">
        <f>IFERROR(__xludf.DUMMYFUNCTION("""COMPUTED_VALUE"""),26.0)</f>
        <v>26</v>
      </c>
      <c r="V42" s="9">
        <f>IFERROR(__xludf.DUMMYFUNCTION("""COMPUTED_VALUE"""),26.0)</f>
        <v>26</v>
      </c>
      <c r="W42" s="9">
        <f>IFERROR(__xludf.DUMMYFUNCTION("""COMPUTED_VALUE"""),11.18)</f>
        <v>11.18</v>
      </c>
      <c r="X42" s="9">
        <f>IFERROR(__xludf.DUMMYFUNCTION("""COMPUTED_VALUE"""),290.68)</f>
        <v>290.68</v>
      </c>
      <c r="Y42" s="9">
        <f>IFERROR(__xludf.DUMMYFUNCTION("""COMPUTED_VALUE"""),1.0)</f>
        <v>1</v>
      </c>
    </row>
    <row r="43">
      <c r="O43" s="9">
        <f>IFERROR(__xludf.DUMMYFUNCTION("""COMPUTED_VALUE"""),118216.0)</f>
        <v>118216</v>
      </c>
      <c r="P43" s="9" t="str">
        <f>IFERROR(__xludf.DUMMYFUNCTION("""COMPUTED_VALUE"""),"Boisson")</f>
        <v>Boisson</v>
      </c>
      <c r="Q43" s="9" t="str">
        <f>IFERROR(__xludf.DUMMYFUNCTION("""COMPUTED_VALUE"""),"Café")</f>
        <v>Café</v>
      </c>
      <c r="R43" s="9" t="str">
        <f>IFERROR(__xludf.DUMMYFUNCTION("""COMPUTED_VALUE"""),"Café en grains")</f>
        <v>Café en grains</v>
      </c>
      <c r="S43" s="9" t="str">
        <f>IFERROR(__xludf.DUMMYFUNCTION("""COMPUTED_VALUE"""),"118216-Café-Café en grains")</f>
        <v>118216-Café-Café en grains</v>
      </c>
      <c r="T43" s="9">
        <f>IFERROR(__xludf.DUMMYFUNCTION("""COMPUTED_VALUE"""),0.0)</f>
        <v>0</v>
      </c>
      <c r="U43" s="9">
        <f>IFERROR(__xludf.DUMMYFUNCTION("""COMPUTED_VALUE"""),0.0)</f>
        <v>0</v>
      </c>
      <c r="V43" s="9">
        <f>IFERROR(__xludf.DUMMYFUNCTION("""COMPUTED_VALUE"""),0.0)</f>
        <v>0</v>
      </c>
      <c r="W43" s="9">
        <f>IFERROR(__xludf.DUMMYFUNCTION("""COMPUTED_VALUE"""),6.58)</f>
        <v>6.58</v>
      </c>
      <c r="X43" s="9">
        <f>IFERROR(__xludf.DUMMYFUNCTION("""COMPUTED_VALUE"""),0.0)</f>
        <v>0</v>
      </c>
      <c r="Y43" s="9">
        <f>IFERROR(__xludf.DUMMYFUNCTION("""COMPUTED_VALUE"""),0.0)</f>
        <v>0</v>
      </c>
    </row>
    <row r="44">
      <c r="O44" s="9">
        <f>IFERROR(__xludf.DUMMYFUNCTION("""COMPUTED_VALUE"""),118221.0)</f>
        <v>118221</v>
      </c>
      <c r="P44" s="9" t="str">
        <f>IFERROR(__xludf.DUMMYFUNCTION("""COMPUTED_VALUE"""),"Boisson")</f>
        <v>Boisson</v>
      </c>
      <c r="Q44" s="9" t="str">
        <f>IFERROR(__xludf.DUMMYFUNCTION("""COMPUTED_VALUE"""),"Café")</f>
        <v>Café</v>
      </c>
      <c r="R44" s="9" t="str">
        <f>IFERROR(__xludf.DUMMYFUNCTION("""COMPUTED_VALUE"""),"Café en grains")</f>
        <v>Café en grains</v>
      </c>
      <c r="S44" s="9" t="str">
        <f>IFERROR(__xludf.DUMMYFUNCTION("""COMPUTED_VALUE"""),"118221-Café-Café en grains")</f>
        <v>118221-Café-Café en grains</v>
      </c>
      <c r="T44" s="9">
        <f>IFERROR(__xludf.DUMMYFUNCTION("""COMPUTED_VALUE"""),1.0)</f>
        <v>1</v>
      </c>
      <c r="U44" s="9">
        <f>IFERROR(__xludf.DUMMYFUNCTION("""COMPUTED_VALUE"""),100.0)</f>
        <v>100</v>
      </c>
      <c r="V44" s="9">
        <f>IFERROR(__xludf.DUMMYFUNCTION("""COMPUTED_VALUE"""),100.0)</f>
        <v>100</v>
      </c>
      <c r="W44" s="9">
        <f>IFERROR(__xludf.DUMMYFUNCTION("""COMPUTED_VALUE"""),7.41)</f>
        <v>7.41</v>
      </c>
      <c r="X44" s="9">
        <f>IFERROR(__xludf.DUMMYFUNCTION("""COMPUTED_VALUE"""),741.0)</f>
        <v>741</v>
      </c>
      <c r="Y44" s="9">
        <f>IFERROR(__xludf.DUMMYFUNCTION("""COMPUTED_VALUE"""),1.0)</f>
        <v>1</v>
      </c>
    </row>
    <row r="45">
      <c r="O45" s="9">
        <f>IFERROR(__xludf.DUMMYFUNCTION("""COMPUTED_VALUE"""),92900.0)</f>
        <v>92900</v>
      </c>
      <c r="P45" s="9" t="str">
        <f>IFERROR(__xludf.DUMMYFUNCTION("""COMPUTED_VALUE"""),"Boisson")</f>
        <v>Boisson</v>
      </c>
      <c r="Q45" s="9" t="str">
        <f>IFERROR(__xludf.DUMMYFUNCTION("""COMPUTED_VALUE"""),"Café")</f>
        <v>Café</v>
      </c>
      <c r="R45" s="9" t="str">
        <f>IFERROR(__xludf.DUMMYFUNCTION("""COMPUTED_VALUE"""),"Café en grains")</f>
        <v>Café en grains</v>
      </c>
      <c r="S45" s="9" t="str">
        <f>IFERROR(__xludf.DUMMYFUNCTION("""COMPUTED_VALUE"""),"92900-Café-Café en grains")</f>
        <v>92900-Café-Café en grains</v>
      </c>
      <c r="T45" s="9">
        <f>IFERROR(__xludf.DUMMYFUNCTION("""COMPUTED_VALUE"""),0.0)</f>
        <v>0</v>
      </c>
      <c r="U45" s="9">
        <f>IFERROR(__xludf.DUMMYFUNCTION("""COMPUTED_VALUE"""),165.0)</f>
        <v>165</v>
      </c>
      <c r="V45" s="9">
        <f>IFERROR(__xludf.DUMMYFUNCTION("""COMPUTED_VALUE"""),129.0)</f>
        <v>129</v>
      </c>
      <c r="W45" s="9">
        <f>IFERROR(__xludf.DUMMYFUNCTION("""COMPUTED_VALUE"""),6.22)</f>
        <v>6.22</v>
      </c>
      <c r="X45" s="9">
        <f>IFERROR(__xludf.DUMMYFUNCTION("""COMPUTED_VALUE"""),802.38)</f>
        <v>802.38</v>
      </c>
      <c r="Y45" s="9">
        <f>IFERROR(__xludf.DUMMYFUNCTION("""COMPUTED_VALUE"""),1.0)</f>
        <v>1</v>
      </c>
    </row>
    <row r="46">
      <c r="O46" s="9">
        <f>IFERROR(__xludf.DUMMYFUNCTION("""COMPUTED_VALUE"""),118215.0)</f>
        <v>118215</v>
      </c>
      <c r="P46" s="9" t="str">
        <f>IFERROR(__xludf.DUMMYFUNCTION("""COMPUTED_VALUE"""),"Boisson")</f>
        <v>Boisson</v>
      </c>
      <c r="Q46" s="9" t="str">
        <f>IFERROR(__xludf.DUMMYFUNCTION("""COMPUTED_VALUE"""),"Café")</f>
        <v>Café</v>
      </c>
      <c r="R46" s="9" t="str">
        <f>IFERROR(__xludf.DUMMYFUNCTION("""COMPUTED_VALUE"""),"Café en grains")</f>
        <v>Café en grains</v>
      </c>
      <c r="S46" s="9" t="str">
        <f>IFERROR(__xludf.DUMMYFUNCTION("""COMPUTED_VALUE"""),"118215-Café-Café en grains")</f>
        <v>118215-Café-Café en grains</v>
      </c>
      <c r="T46" s="9">
        <f>IFERROR(__xludf.DUMMYFUNCTION("""COMPUTED_VALUE"""),1.0)</f>
        <v>1</v>
      </c>
      <c r="U46" s="9">
        <f>IFERROR(__xludf.DUMMYFUNCTION("""COMPUTED_VALUE"""),107.0)</f>
        <v>107</v>
      </c>
      <c r="V46" s="9">
        <f>IFERROR(__xludf.DUMMYFUNCTION("""COMPUTED_VALUE"""),49.0)</f>
        <v>49</v>
      </c>
      <c r="W46" s="9">
        <f>IFERROR(__xludf.DUMMYFUNCTION("""COMPUTED_VALUE"""),10.49)</f>
        <v>10.49</v>
      </c>
      <c r="X46" s="9">
        <f>IFERROR(__xludf.DUMMYFUNCTION("""COMPUTED_VALUE"""),514.01)</f>
        <v>514.01</v>
      </c>
      <c r="Y46" s="9">
        <f>IFERROR(__xludf.DUMMYFUNCTION("""COMPUTED_VALUE"""),1.0)</f>
        <v>1</v>
      </c>
    </row>
    <row r="47">
      <c r="O47" s="9">
        <f>IFERROR(__xludf.DUMMYFUNCTION("""COMPUTED_VALUE"""),19832.0)</f>
        <v>19832</v>
      </c>
      <c r="P47" s="9" t="str">
        <f>IFERROR(__xludf.DUMMYFUNCTION("""COMPUTED_VALUE"""),"Boisson")</f>
        <v>Boisson</v>
      </c>
      <c r="Q47" s="9" t="str">
        <f>IFERROR(__xludf.DUMMYFUNCTION("""COMPUTED_VALUE"""),"Café")</f>
        <v>Café</v>
      </c>
      <c r="R47" s="9" t="str">
        <f>IFERROR(__xludf.DUMMYFUNCTION("""COMPUTED_VALUE"""),"Café en grains")</f>
        <v>Café en grains</v>
      </c>
      <c r="S47" s="9" t="str">
        <f>IFERROR(__xludf.DUMMYFUNCTION("""COMPUTED_VALUE"""),"19832-Café-Café en grains")</f>
        <v>19832-Café-Café en grains</v>
      </c>
      <c r="T47" s="9">
        <f>IFERROR(__xludf.DUMMYFUNCTION("""COMPUTED_VALUE"""),1.0)</f>
        <v>1</v>
      </c>
      <c r="U47" s="9">
        <f>IFERROR(__xludf.DUMMYFUNCTION("""COMPUTED_VALUE"""),612.0)</f>
        <v>612</v>
      </c>
      <c r="V47" s="9">
        <f>IFERROR(__xludf.DUMMYFUNCTION("""COMPUTED_VALUE"""),575.0)</f>
        <v>575</v>
      </c>
      <c r="W47" s="9">
        <f>IFERROR(__xludf.DUMMYFUNCTION("""COMPUTED_VALUE"""),7.24)</f>
        <v>7.24</v>
      </c>
      <c r="X47" s="9">
        <f>IFERROR(__xludf.DUMMYFUNCTION("""COMPUTED_VALUE"""),4163.0)</f>
        <v>4163</v>
      </c>
      <c r="Y47" s="9">
        <f>IFERROR(__xludf.DUMMYFUNCTION("""COMPUTED_VALUE"""),1.0)</f>
        <v>1</v>
      </c>
    </row>
    <row r="48">
      <c r="O48" s="9">
        <f>IFERROR(__xludf.DUMMYFUNCTION("""COMPUTED_VALUE"""),93071.0)</f>
        <v>93071</v>
      </c>
      <c r="P48" s="9" t="str">
        <f>IFERROR(__xludf.DUMMYFUNCTION("""COMPUTED_VALUE"""),"Boisson")</f>
        <v>Boisson</v>
      </c>
      <c r="Q48" s="9" t="str">
        <f>IFERROR(__xludf.DUMMYFUNCTION("""COMPUTED_VALUE"""),"Café")</f>
        <v>Café</v>
      </c>
      <c r="R48" s="9" t="str">
        <f>IFERROR(__xludf.DUMMYFUNCTION("""COMPUTED_VALUE"""),"Café en grains")</f>
        <v>Café en grains</v>
      </c>
      <c r="S48" s="9" t="str">
        <f>IFERROR(__xludf.DUMMYFUNCTION("""COMPUTED_VALUE"""),"93071-Café-Café en grains")</f>
        <v>93071-Café-Café en grains</v>
      </c>
      <c r="T48" s="9">
        <f>IFERROR(__xludf.DUMMYFUNCTION("""COMPUTED_VALUE"""),1.0)</f>
        <v>1</v>
      </c>
      <c r="U48" s="9">
        <f>IFERROR(__xludf.DUMMYFUNCTION("""COMPUTED_VALUE"""),198.0)</f>
        <v>198</v>
      </c>
      <c r="V48" s="9">
        <f>IFERROR(__xludf.DUMMYFUNCTION("""COMPUTED_VALUE"""),19.0)</f>
        <v>19</v>
      </c>
      <c r="W48" s="9">
        <f>IFERROR(__xludf.DUMMYFUNCTION("""COMPUTED_VALUE"""),10.93)</f>
        <v>10.93</v>
      </c>
      <c r="X48" s="9">
        <f>IFERROR(__xludf.DUMMYFUNCTION("""COMPUTED_VALUE"""),207.67)</f>
        <v>207.67</v>
      </c>
      <c r="Y48" s="9">
        <f>IFERROR(__xludf.DUMMYFUNCTION("""COMPUTED_VALUE"""),1.0)</f>
        <v>1</v>
      </c>
    </row>
    <row r="49">
      <c r="O49" s="9">
        <f>IFERROR(__xludf.DUMMYFUNCTION("""COMPUTED_VALUE"""),122395.0)</f>
        <v>122395</v>
      </c>
      <c r="P49" s="9" t="str">
        <f>IFERROR(__xludf.DUMMYFUNCTION("""COMPUTED_VALUE"""),"Boisson")</f>
        <v>Boisson</v>
      </c>
      <c r="Q49" s="9" t="str">
        <f>IFERROR(__xludf.DUMMYFUNCTION("""COMPUTED_VALUE"""),"Café")</f>
        <v>Café</v>
      </c>
      <c r="R49" s="9" t="str">
        <f>IFERROR(__xludf.DUMMYFUNCTION("""COMPUTED_VALUE"""),"Café en grains")</f>
        <v>Café en grains</v>
      </c>
      <c r="S49" s="9" t="str">
        <f>IFERROR(__xludf.DUMMYFUNCTION("""COMPUTED_VALUE"""),"122395-Café-Café en grains")</f>
        <v>122395-Café-Café en grains</v>
      </c>
      <c r="T49" s="9">
        <f>IFERROR(__xludf.DUMMYFUNCTION("""COMPUTED_VALUE"""),1.0)</f>
        <v>1</v>
      </c>
      <c r="U49" s="9">
        <f>IFERROR(__xludf.DUMMYFUNCTION("""COMPUTED_VALUE"""),83.0)</f>
        <v>83</v>
      </c>
      <c r="V49" s="9">
        <f>IFERROR(__xludf.DUMMYFUNCTION("""COMPUTED_VALUE"""),2.0)</f>
        <v>2</v>
      </c>
      <c r="W49" s="9">
        <f>IFERROR(__xludf.DUMMYFUNCTION("""COMPUTED_VALUE"""),11.4)</f>
        <v>11.4</v>
      </c>
      <c r="X49" s="9">
        <f>IFERROR(__xludf.DUMMYFUNCTION("""COMPUTED_VALUE"""),22.8)</f>
        <v>22.8</v>
      </c>
      <c r="Y49" s="9">
        <f>IFERROR(__xludf.DUMMYFUNCTION("""COMPUTED_VALUE"""),1.0)</f>
        <v>1</v>
      </c>
    </row>
    <row r="50">
      <c r="O50" s="9">
        <f>IFERROR(__xludf.DUMMYFUNCTION("""COMPUTED_VALUE"""),116946.0)</f>
        <v>116946</v>
      </c>
      <c r="P50" s="9" t="str">
        <f>IFERROR(__xludf.DUMMYFUNCTION("""COMPUTED_VALUE"""),"Boisson")</f>
        <v>Boisson</v>
      </c>
      <c r="Q50" s="9" t="str">
        <f>IFERROR(__xludf.DUMMYFUNCTION("""COMPUTED_VALUE"""),"Café")</f>
        <v>Café</v>
      </c>
      <c r="R50" s="9" t="str">
        <f>IFERROR(__xludf.DUMMYFUNCTION("""COMPUTED_VALUE"""),"Café en grains")</f>
        <v>Café en grains</v>
      </c>
      <c r="S50" s="9" t="str">
        <f>IFERROR(__xludf.DUMMYFUNCTION("""COMPUTED_VALUE"""),"116946-Café-Café en grains")</f>
        <v>116946-Café-Café en grains</v>
      </c>
      <c r="T50" s="9">
        <f>IFERROR(__xludf.DUMMYFUNCTION("""COMPUTED_VALUE"""),1.0)</f>
        <v>1</v>
      </c>
      <c r="U50" s="9">
        <f>IFERROR(__xludf.DUMMYFUNCTION("""COMPUTED_VALUE"""),146.0)</f>
        <v>146</v>
      </c>
      <c r="V50" s="9">
        <f>IFERROR(__xludf.DUMMYFUNCTION("""COMPUTED_VALUE"""),86.0)</f>
        <v>86</v>
      </c>
      <c r="W50" s="9">
        <f>IFERROR(__xludf.DUMMYFUNCTION("""COMPUTED_VALUE"""),8.82)</f>
        <v>8.82</v>
      </c>
      <c r="X50" s="9">
        <f>IFERROR(__xludf.DUMMYFUNCTION("""COMPUTED_VALUE"""),758.52)</f>
        <v>758.52</v>
      </c>
      <c r="Y50" s="9">
        <f>IFERROR(__xludf.DUMMYFUNCTION("""COMPUTED_VALUE"""),1.0)</f>
        <v>1</v>
      </c>
    </row>
    <row r="51">
      <c r="O51" s="9">
        <f>IFERROR(__xludf.DUMMYFUNCTION("""COMPUTED_VALUE"""),97538.0)</f>
        <v>97538</v>
      </c>
      <c r="P51" s="9" t="str">
        <f>IFERROR(__xludf.DUMMYFUNCTION("""COMPUTED_VALUE"""),"Boisson")</f>
        <v>Boisson</v>
      </c>
      <c r="Q51" s="9" t="str">
        <f>IFERROR(__xludf.DUMMYFUNCTION("""COMPUTED_VALUE"""),"Café")</f>
        <v>Café</v>
      </c>
      <c r="R51" s="9" t="str">
        <f>IFERROR(__xludf.DUMMYFUNCTION("""COMPUTED_VALUE"""),"Café en grains")</f>
        <v>Café en grains</v>
      </c>
      <c r="S51" s="9" t="str">
        <f>IFERROR(__xludf.DUMMYFUNCTION("""COMPUTED_VALUE"""),"97538-Café-Café en grains")</f>
        <v>97538-Café-Café en grains</v>
      </c>
      <c r="T51" s="9">
        <f>IFERROR(__xludf.DUMMYFUNCTION("""COMPUTED_VALUE"""),1.0)</f>
        <v>1</v>
      </c>
      <c r="U51" s="9">
        <f>IFERROR(__xludf.DUMMYFUNCTION("""COMPUTED_VALUE"""),143.0)</f>
        <v>143</v>
      </c>
      <c r="V51" s="9">
        <f>IFERROR(__xludf.DUMMYFUNCTION("""COMPUTED_VALUE"""),87.0)</f>
        <v>87</v>
      </c>
      <c r="W51" s="9">
        <f>IFERROR(__xludf.DUMMYFUNCTION("""COMPUTED_VALUE"""),6.91)</f>
        <v>6.91</v>
      </c>
      <c r="X51" s="9">
        <f>IFERROR(__xludf.DUMMYFUNCTION("""COMPUTED_VALUE"""),601.17)</f>
        <v>601.17</v>
      </c>
      <c r="Y51" s="9">
        <f>IFERROR(__xludf.DUMMYFUNCTION("""COMPUTED_VALUE"""),1.0)</f>
        <v>1</v>
      </c>
    </row>
    <row r="52">
      <c r="O52" s="9">
        <f>IFERROR(__xludf.DUMMYFUNCTION("""COMPUTED_VALUE"""),127238.0)</f>
        <v>127238</v>
      </c>
      <c r="P52" s="9" t="str">
        <f>IFERROR(__xludf.DUMMYFUNCTION("""COMPUTED_VALUE"""),"Boisson")</f>
        <v>Boisson</v>
      </c>
      <c r="Q52" s="9" t="str">
        <f>IFERROR(__xludf.DUMMYFUNCTION("""COMPUTED_VALUE"""),"Café")</f>
        <v>Café</v>
      </c>
      <c r="R52" s="9" t="str">
        <f>IFERROR(__xludf.DUMMYFUNCTION("""COMPUTED_VALUE"""),"Café en grains")</f>
        <v>Café en grains</v>
      </c>
      <c r="S52" s="9" t="str">
        <f>IFERROR(__xludf.DUMMYFUNCTION("""COMPUTED_VALUE"""),"127238-Café-Café en grains")</f>
        <v>127238-Café-Café en grains</v>
      </c>
      <c r="T52" s="9">
        <f>IFERROR(__xludf.DUMMYFUNCTION("""COMPUTED_VALUE"""),1.0)</f>
        <v>1</v>
      </c>
      <c r="U52" s="9">
        <f>IFERROR(__xludf.DUMMYFUNCTION("""COMPUTED_VALUE"""),158.0)</f>
        <v>158</v>
      </c>
      <c r="V52" s="9">
        <f>IFERROR(__xludf.DUMMYFUNCTION("""COMPUTED_VALUE"""),95.0)</f>
        <v>95</v>
      </c>
      <c r="W52" s="9">
        <f>IFERROR(__xludf.DUMMYFUNCTION("""COMPUTED_VALUE"""),8.96)</f>
        <v>8.96</v>
      </c>
      <c r="X52" s="9">
        <f>IFERROR(__xludf.DUMMYFUNCTION("""COMPUTED_VALUE"""),851.2)</f>
        <v>851.2</v>
      </c>
      <c r="Y52" s="9">
        <f>IFERROR(__xludf.DUMMYFUNCTION("""COMPUTED_VALUE"""),1.0)</f>
        <v>1</v>
      </c>
    </row>
    <row r="53">
      <c r="O53" s="9">
        <f>IFERROR(__xludf.DUMMYFUNCTION("""COMPUTED_VALUE"""),81646.0)</f>
        <v>81646</v>
      </c>
      <c r="P53" s="9" t="str">
        <f>IFERROR(__xludf.DUMMYFUNCTION("""COMPUTED_VALUE"""),"Boisson")</f>
        <v>Boisson</v>
      </c>
      <c r="Q53" s="9" t="str">
        <f>IFERROR(__xludf.DUMMYFUNCTION("""COMPUTED_VALUE"""),"Café")</f>
        <v>Café</v>
      </c>
      <c r="R53" s="9" t="str">
        <f>IFERROR(__xludf.DUMMYFUNCTION("""COMPUTED_VALUE"""),"Café en grains")</f>
        <v>Café en grains</v>
      </c>
      <c r="S53" s="9" t="str">
        <f>IFERROR(__xludf.DUMMYFUNCTION("""COMPUTED_VALUE"""),"81646-Café-Café en grains")</f>
        <v>81646-Café-Café en grains</v>
      </c>
      <c r="T53" s="9">
        <f>IFERROR(__xludf.DUMMYFUNCTION("""COMPUTED_VALUE"""),1.0)</f>
        <v>1</v>
      </c>
      <c r="U53" s="9">
        <f>IFERROR(__xludf.DUMMYFUNCTION("""COMPUTED_VALUE"""),389.0)</f>
        <v>389</v>
      </c>
      <c r="V53" s="9">
        <f>IFERROR(__xludf.DUMMYFUNCTION("""COMPUTED_VALUE"""),155.0)</f>
        <v>155</v>
      </c>
      <c r="W53" s="9">
        <f>IFERROR(__xludf.DUMMYFUNCTION("""COMPUTED_VALUE"""),8.34)</f>
        <v>8.34</v>
      </c>
      <c r="X53" s="9">
        <f>IFERROR(__xludf.DUMMYFUNCTION("""COMPUTED_VALUE"""),1292.7)</f>
        <v>1292.7</v>
      </c>
      <c r="Y53" s="9">
        <f>IFERROR(__xludf.DUMMYFUNCTION("""COMPUTED_VALUE"""),1.0)</f>
        <v>1</v>
      </c>
    </row>
    <row r="54">
      <c r="O54" s="9">
        <f>IFERROR(__xludf.DUMMYFUNCTION("""COMPUTED_VALUE"""),81643.0)</f>
        <v>81643</v>
      </c>
      <c r="P54" s="9" t="str">
        <f>IFERROR(__xludf.DUMMYFUNCTION("""COMPUTED_VALUE"""),"Boisson")</f>
        <v>Boisson</v>
      </c>
      <c r="Q54" s="9" t="str">
        <f>IFERROR(__xludf.DUMMYFUNCTION("""COMPUTED_VALUE"""),"Café")</f>
        <v>Café</v>
      </c>
      <c r="R54" s="9" t="str">
        <f>IFERROR(__xludf.DUMMYFUNCTION("""COMPUTED_VALUE"""),"Café en grains")</f>
        <v>Café en grains</v>
      </c>
      <c r="S54" s="9" t="str">
        <f>IFERROR(__xludf.DUMMYFUNCTION("""COMPUTED_VALUE"""),"81643-Café-Café en grains")</f>
        <v>81643-Café-Café en grains</v>
      </c>
      <c r="T54" s="9">
        <f>IFERROR(__xludf.DUMMYFUNCTION("""COMPUTED_VALUE"""),1.0)</f>
        <v>1</v>
      </c>
      <c r="U54" s="9">
        <f>IFERROR(__xludf.DUMMYFUNCTION("""COMPUTED_VALUE"""),934.0)</f>
        <v>934</v>
      </c>
      <c r="V54" s="9">
        <f>IFERROR(__xludf.DUMMYFUNCTION("""COMPUTED_VALUE"""),303.0)</f>
        <v>303</v>
      </c>
      <c r="W54" s="9">
        <f>IFERROR(__xludf.DUMMYFUNCTION("""COMPUTED_VALUE"""),8.69)</f>
        <v>8.69</v>
      </c>
      <c r="X54" s="9">
        <f>IFERROR(__xludf.DUMMYFUNCTION("""COMPUTED_VALUE"""),2633.0699999999997)</f>
        <v>2633.07</v>
      </c>
      <c r="Y54" s="9">
        <f>IFERROR(__xludf.DUMMYFUNCTION("""COMPUTED_VALUE"""),1.0)</f>
        <v>1</v>
      </c>
    </row>
    <row r="55">
      <c r="O55" s="9">
        <f>IFERROR(__xludf.DUMMYFUNCTION("""COMPUTED_VALUE"""),128215.0)</f>
        <v>128215</v>
      </c>
      <c r="P55" s="9" t="str">
        <f>IFERROR(__xludf.DUMMYFUNCTION("""COMPUTED_VALUE"""),"Boisson")</f>
        <v>Boisson</v>
      </c>
      <c r="Q55" s="9" t="str">
        <f>IFERROR(__xludf.DUMMYFUNCTION("""COMPUTED_VALUE"""),"Café")</f>
        <v>Café</v>
      </c>
      <c r="R55" s="9" t="str">
        <f>IFERROR(__xludf.DUMMYFUNCTION("""COMPUTED_VALUE"""),"Café en grains")</f>
        <v>Café en grains</v>
      </c>
      <c r="S55" s="9" t="str">
        <f>IFERROR(__xludf.DUMMYFUNCTION("""COMPUTED_VALUE"""),"128215-Café-Café en grains")</f>
        <v>128215-Café-Café en grains</v>
      </c>
      <c r="T55" s="9">
        <f>IFERROR(__xludf.DUMMYFUNCTION("""COMPUTED_VALUE"""),1.0)</f>
        <v>1</v>
      </c>
      <c r="U55" s="9">
        <f>IFERROR(__xludf.DUMMYFUNCTION("""COMPUTED_VALUE"""),394.0)</f>
        <v>394</v>
      </c>
      <c r="V55" s="9">
        <f>IFERROR(__xludf.DUMMYFUNCTION("""COMPUTED_VALUE"""),246.0)</f>
        <v>246</v>
      </c>
      <c r="W55" s="9">
        <f>IFERROR(__xludf.DUMMYFUNCTION("""COMPUTED_VALUE"""),11.64)</f>
        <v>11.64</v>
      </c>
      <c r="X55" s="9">
        <f>IFERROR(__xludf.DUMMYFUNCTION("""COMPUTED_VALUE"""),2863.44)</f>
        <v>2863.44</v>
      </c>
      <c r="Y55" s="9">
        <f>IFERROR(__xludf.DUMMYFUNCTION("""COMPUTED_VALUE"""),1.0)</f>
        <v>1</v>
      </c>
    </row>
    <row r="56">
      <c r="O56" s="9">
        <f>IFERROR(__xludf.DUMMYFUNCTION("""COMPUTED_VALUE"""),108022.0)</f>
        <v>108022</v>
      </c>
      <c r="P56" s="9" t="str">
        <f>IFERROR(__xludf.DUMMYFUNCTION("""COMPUTED_VALUE"""),"Boisson")</f>
        <v>Boisson</v>
      </c>
      <c r="Q56" s="9" t="str">
        <f>IFERROR(__xludf.DUMMYFUNCTION("""COMPUTED_VALUE"""),"Café")</f>
        <v>Café</v>
      </c>
      <c r="R56" s="9" t="str">
        <f>IFERROR(__xludf.DUMMYFUNCTION("""COMPUTED_VALUE"""),"Café en grains")</f>
        <v>Café en grains</v>
      </c>
      <c r="S56" s="9" t="str">
        <f>IFERROR(__xludf.DUMMYFUNCTION("""COMPUTED_VALUE"""),"108022-Café-Café en grains")</f>
        <v>108022-Café-Café en grains</v>
      </c>
      <c r="T56" s="9">
        <f>IFERROR(__xludf.DUMMYFUNCTION("""COMPUTED_VALUE"""),1.0)</f>
        <v>1</v>
      </c>
      <c r="U56" s="9">
        <f>IFERROR(__xludf.DUMMYFUNCTION("""COMPUTED_VALUE"""),442.0)</f>
        <v>442</v>
      </c>
      <c r="V56" s="9">
        <f>IFERROR(__xludf.DUMMYFUNCTION("""COMPUTED_VALUE"""),277.0)</f>
        <v>277</v>
      </c>
      <c r="W56" s="9">
        <f>IFERROR(__xludf.DUMMYFUNCTION("""COMPUTED_VALUE"""),6.9)</f>
        <v>6.9</v>
      </c>
      <c r="X56" s="9">
        <f>IFERROR(__xludf.DUMMYFUNCTION("""COMPUTED_VALUE"""),1911.3000000000002)</f>
        <v>1911.3</v>
      </c>
      <c r="Y56" s="9">
        <f>IFERROR(__xludf.DUMMYFUNCTION("""COMPUTED_VALUE"""),1.0)</f>
        <v>1</v>
      </c>
    </row>
    <row r="57">
      <c r="O57" s="9">
        <f>IFERROR(__xludf.DUMMYFUNCTION("""COMPUTED_VALUE"""),81647.0)</f>
        <v>81647</v>
      </c>
      <c r="P57" s="9" t="str">
        <f>IFERROR(__xludf.DUMMYFUNCTION("""COMPUTED_VALUE"""),"Boisson")</f>
        <v>Boisson</v>
      </c>
      <c r="Q57" s="9" t="str">
        <f>IFERROR(__xludf.DUMMYFUNCTION("""COMPUTED_VALUE"""),"Café")</f>
        <v>Café</v>
      </c>
      <c r="R57" s="9" t="str">
        <f>IFERROR(__xludf.DUMMYFUNCTION("""COMPUTED_VALUE"""),"Café en grains")</f>
        <v>Café en grains</v>
      </c>
      <c r="S57" s="9" t="str">
        <f>IFERROR(__xludf.DUMMYFUNCTION("""COMPUTED_VALUE"""),"81647-Café-Café en grains")</f>
        <v>81647-Café-Café en grains</v>
      </c>
      <c r="T57" s="9">
        <f>IFERROR(__xludf.DUMMYFUNCTION("""COMPUTED_VALUE"""),0.0)</f>
        <v>0</v>
      </c>
      <c r="U57" s="9">
        <f>IFERROR(__xludf.DUMMYFUNCTION("""COMPUTED_VALUE"""),556.0)</f>
        <v>556</v>
      </c>
      <c r="V57" s="9">
        <f>IFERROR(__xludf.DUMMYFUNCTION("""COMPUTED_VALUE"""),231.0)</f>
        <v>231</v>
      </c>
      <c r="W57" s="9">
        <f>IFERROR(__xludf.DUMMYFUNCTION("""COMPUTED_VALUE"""),8.69)</f>
        <v>8.69</v>
      </c>
      <c r="X57" s="9">
        <f>IFERROR(__xludf.DUMMYFUNCTION("""COMPUTED_VALUE"""),2007.3899999999999)</f>
        <v>2007.39</v>
      </c>
      <c r="Y57" s="9">
        <f>IFERROR(__xludf.DUMMYFUNCTION("""COMPUTED_VALUE"""),1.0)</f>
        <v>1</v>
      </c>
    </row>
    <row r="58">
      <c r="O58" s="9">
        <f>IFERROR(__xludf.DUMMYFUNCTION("""COMPUTED_VALUE"""),83603.0)</f>
        <v>83603</v>
      </c>
      <c r="P58" s="9" t="str">
        <f>IFERROR(__xludf.DUMMYFUNCTION("""COMPUTED_VALUE"""),"Boisson")</f>
        <v>Boisson</v>
      </c>
      <c r="Q58" s="9" t="str">
        <f>IFERROR(__xludf.DUMMYFUNCTION("""COMPUTED_VALUE"""),"Café")</f>
        <v>Café</v>
      </c>
      <c r="R58" s="9" t="str">
        <f>IFERROR(__xludf.DUMMYFUNCTION("""COMPUTED_VALUE"""),"Café en grains")</f>
        <v>Café en grains</v>
      </c>
      <c r="S58" s="9" t="str">
        <f>IFERROR(__xludf.DUMMYFUNCTION("""COMPUTED_VALUE"""),"83603-Café-Café en grains")</f>
        <v>83603-Café-Café en grains</v>
      </c>
      <c r="T58" s="9">
        <f>IFERROR(__xludf.DUMMYFUNCTION("""COMPUTED_VALUE"""),1.0)</f>
        <v>1</v>
      </c>
      <c r="U58" s="9">
        <f>IFERROR(__xludf.DUMMYFUNCTION("""COMPUTED_VALUE"""),878.0)</f>
        <v>878</v>
      </c>
      <c r="V58" s="9">
        <f>IFERROR(__xludf.DUMMYFUNCTION("""COMPUTED_VALUE"""),106.0)</f>
        <v>106</v>
      </c>
      <c r="W58" s="9">
        <f>IFERROR(__xludf.DUMMYFUNCTION("""COMPUTED_VALUE"""),12.25)</f>
        <v>12.25</v>
      </c>
      <c r="X58" s="9">
        <f>IFERROR(__xludf.DUMMYFUNCTION("""COMPUTED_VALUE"""),1298.5)</f>
        <v>1298.5</v>
      </c>
      <c r="Y58" s="9">
        <f>IFERROR(__xludf.DUMMYFUNCTION("""COMPUTED_VALUE"""),1.0)</f>
        <v>1</v>
      </c>
    </row>
    <row r="59">
      <c r="O59" s="9">
        <f>IFERROR(__xludf.DUMMYFUNCTION("""COMPUTED_VALUE"""),118219.0)</f>
        <v>118219</v>
      </c>
      <c r="P59" s="9" t="str">
        <f>IFERROR(__xludf.DUMMYFUNCTION("""COMPUTED_VALUE"""),"Boisson")</f>
        <v>Boisson</v>
      </c>
      <c r="Q59" s="9" t="str">
        <f>IFERROR(__xludf.DUMMYFUNCTION("""COMPUTED_VALUE"""),"Café")</f>
        <v>Café</v>
      </c>
      <c r="R59" s="9" t="str">
        <f>IFERROR(__xludf.DUMMYFUNCTION("""COMPUTED_VALUE"""),"Café en grains")</f>
        <v>Café en grains</v>
      </c>
      <c r="S59" s="9" t="str">
        <f>IFERROR(__xludf.DUMMYFUNCTION("""COMPUTED_VALUE"""),"118219-Café-Café en grains")</f>
        <v>118219-Café-Café en grains</v>
      </c>
      <c r="T59" s="9">
        <f>IFERROR(__xludf.DUMMYFUNCTION("""COMPUTED_VALUE"""),1.0)</f>
        <v>1</v>
      </c>
      <c r="U59" s="9">
        <f>IFERROR(__xludf.DUMMYFUNCTION("""COMPUTED_VALUE"""),402.0)</f>
        <v>402</v>
      </c>
      <c r="V59" s="9">
        <f>IFERROR(__xludf.DUMMYFUNCTION("""COMPUTED_VALUE"""),210.0)</f>
        <v>210</v>
      </c>
      <c r="W59" s="9">
        <f>IFERROR(__xludf.DUMMYFUNCTION("""COMPUTED_VALUE"""),8.75)</f>
        <v>8.75</v>
      </c>
      <c r="X59" s="9">
        <f>IFERROR(__xludf.DUMMYFUNCTION("""COMPUTED_VALUE"""),1837.5)</f>
        <v>1837.5</v>
      </c>
      <c r="Y59" s="9">
        <f>IFERROR(__xludf.DUMMYFUNCTION("""COMPUTED_VALUE"""),1.0)</f>
        <v>1</v>
      </c>
    </row>
    <row r="60">
      <c r="O60" s="9">
        <f>IFERROR(__xludf.DUMMYFUNCTION("""COMPUTED_VALUE"""),120952.0)</f>
        <v>120952</v>
      </c>
      <c r="P60" s="9" t="str">
        <f>IFERROR(__xludf.DUMMYFUNCTION("""COMPUTED_VALUE"""),"Boisson")</f>
        <v>Boisson</v>
      </c>
      <c r="Q60" s="9" t="str">
        <f>IFERROR(__xludf.DUMMYFUNCTION("""COMPUTED_VALUE"""),"Café")</f>
        <v>Café</v>
      </c>
      <c r="R60" s="9" t="str">
        <f>IFERROR(__xludf.DUMMYFUNCTION("""COMPUTED_VALUE"""),"Café décaféiné")</f>
        <v>Café décaféiné</v>
      </c>
      <c r="S60" s="9" t="str">
        <f>IFERROR(__xludf.DUMMYFUNCTION("""COMPUTED_VALUE"""),"120952-Café-Café décaféiné")</f>
        <v>120952-Café-Café décaféiné</v>
      </c>
      <c r="T60" s="9">
        <f>IFERROR(__xludf.DUMMYFUNCTION("""COMPUTED_VALUE"""),1.0)</f>
        <v>1</v>
      </c>
      <c r="U60" s="9">
        <f>IFERROR(__xludf.DUMMYFUNCTION("""COMPUTED_VALUE"""),145.0)</f>
        <v>145</v>
      </c>
      <c r="V60" s="9">
        <f>IFERROR(__xludf.DUMMYFUNCTION("""COMPUTED_VALUE"""),84.0)</f>
        <v>84</v>
      </c>
      <c r="W60" s="9">
        <f>IFERROR(__xludf.DUMMYFUNCTION("""COMPUTED_VALUE"""),2.89)</f>
        <v>2.89</v>
      </c>
      <c r="X60" s="9">
        <f>IFERROR(__xludf.DUMMYFUNCTION("""COMPUTED_VALUE"""),242.76000000000002)</f>
        <v>242.76</v>
      </c>
      <c r="Y60" s="9">
        <f>IFERROR(__xludf.DUMMYFUNCTION("""COMPUTED_VALUE"""),1.0)</f>
        <v>1</v>
      </c>
    </row>
    <row r="61">
      <c r="O61" s="9">
        <f>IFERROR(__xludf.DUMMYFUNCTION("""COMPUTED_VALUE"""),81658.0)</f>
        <v>81658</v>
      </c>
      <c r="P61" s="9" t="str">
        <f>IFERROR(__xludf.DUMMYFUNCTION("""COMPUTED_VALUE"""),"Boisson")</f>
        <v>Boisson</v>
      </c>
      <c r="Q61" s="9" t="str">
        <f>IFERROR(__xludf.DUMMYFUNCTION("""COMPUTED_VALUE"""),"Café")</f>
        <v>Café</v>
      </c>
      <c r="R61" s="9" t="str">
        <f>IFERROR(__xludf.DUMMYFUNCTION("""COMPUTED_VALUE"""),"Café décaféiné")</f>
        <v>Café décaféiné</v>
      </c>
      <c r="S61" s="9" t="str">
        <f>IFERROR(__xludf.DUMMYFUNCTION("""COMPUTED_VALUE"""),"81658-Café-Café décaféiné")</f>
        <v>81658-Café-Café décaféiné</v>
      </c>
      <c r="T61" s="9">
        <f>IFERROR(__xludf.DUMMYFUNCTION("""COMPUTED_VALUE"""),1.0)</f>
        <v>1</v>
      </c>
      <c r="U61" s="9">
        <f>IFERROR(__xludf.DUMMYFUNCTION("""COMPUTED_VALUE"""),669.0)</f>
        <v>669</v>
      </c>
      <c r="V61" s="9">
        <f>IFERROR(__xludf.DUMMYFUNCTION("""COMPUTED_VALUE"""),41.0)</f>
        <v>41</v>
      </c>
      <c r="W61" s="9">
        <f>IFERROR(__xludf.DUMMYFUNCTION("""COMPUTED_VALUE"""),5.37)</f>
        <v>5.37</v>
      </c>
      <c r="X61" s="9">
        <f>IFERROR(__xludf.DUMMYFUNCTION("""COMPUTED_VALUE"""),220.17000000000002)</f>
        <v>220.17</v>
      </c>
      <c r="Y61" s="9">
        <f>IFERROR(__xludf.DUMMYFUNCTION("""COMPUTED_VALUE"""),1.0)</f>
        <v>1</v>
      </c>
    </row>
    <row r="62">
      <c r="O62" s="9">
        <f>IFERROR(__xludf.DUMMYFUNCTION("""COMPUTED_VALUE"""),93047.0)</f>
        <v>93047</v>
      </c>
      <c r="P62" s="9" t="str">
        <f>IFERROR(__xludf.DUMMYFUNCTION("""COMPUTED_VALUE"""),"Boisson")</f>
        <v>Boisson</v>
      </c>
      <c r="Q62" s="9" t="str">
        <f>IFERROR(__xludf.DUMMYFUNCTION("""COMPUTED_VALUE"""),"Café")</f>
        <v>Café</v>
      </c>
      <c r="R62" s="9" t="str">
        <f>IFERROR(__xludf.DUMMYFUNCTION("""COMPUTED_VALUE"""),"Café décaféiné")</f>
        <v>Café décaféiné</v>
      </c>
      <c r="S62" s="9" t="str">
        <f>IFERROR(__xludf.DUMMYFUNCTION("""COMPUTED_VALUE"""),"93047-Café-Café décaféiné")</f>
        <v>93047-Café-Café décaféiné</v>
      </c>
      <c r="T62" s="9">
        <f>IFERROR(__xludf.DUMMYFUNCTION("""COMPUTED_VALUE"""),0.0)</f>
        <v>0</v>
      </c>
      <c r="U62" s="9">
        <f>IFERROR(__xludf.DUMMYFUNCTION("""COMPUTED_VALUE"""),508.0)</f>
        <v>508</v>
      </c>
      <c r="V62" s="9">
        <f>IFERROR(__xludf.DUMMYFUNCTION("""COMPUTED_VALUE"""),296.0)</f>
        <v>296</v>
      </c>
      <c r="W62" s="9">
        <f>IFERROR(__xludf.DUMMYFUNCTION("""COMPUTED_VALUE"""),3.4)</f>
        <v>3.4</v>
      </c>
      <c r="X62" s="9">
        <f>IFERROR(__xludf.DUMMYFUNCTION("""COMPUTED_VALUE"""),1006.4)</f>
        <v>1006.4</v>
      </c>
      <c r="Y62" s="9">
        <f>IFERROR(__xludf.DUMMYFUNCTION("""COMPUTED_VALUE"""),1.0)</f>
        <v>1</v>
      </c>
    </row>
    <row r="63">
      <c r="O63" s="9">
        <f>IFERROR(__xludf.DUMMYFUNCTION("""COMPUTED_VALUE"""),83807.0)</f>
        <v>83807</v>
      </c>
      <c r="P63" s="9" t="str">
        <f>IFERROR(__xludf.DUMMYFUNCTION("""COMPUTED_VALUE"""),"Boisson")</f>
        <v>Boisson</v>
      </c>
      <c r="Q63" s="9" t="str">
        <f>IFERROR(__xludf.DUMMYFUNCTION("""COMPUTED_VALUE"""),"Café")</f>
        <v>Café</v>
      </c>
      <c r="R63" s="9" t="str">
        <f>IFERROR(__xludf.DUMMYFUNCTION("""COMPUTED_VALUE"""),"Café décaféiné")</f>
        <v>Café décaféiné</v>
      </c>
      <c r="S63" s="9" t="str">
        <f>IFERROR(__xludf.DUMMYFUNCTION("""COMPUTED_VALUE"""),"83807-Café-Café décaféiné")</f>
        <v>83807-Café-Café décaféiné</v>
      </c>
      <c r="T63" s="9">
        <f>IFERROR(__xludf.DUMMYFUNCTION("""COMPUTED_VALUE"""),1.0)</f>
        <v>1</v>
      </c>
      <c r="U63" s="9">
        <f>IFERROR(__xludf.DUMMYFUNCTION("""COMPUTED_VALUE"""),603.0)</f>
        <v>603</v>
      </c>
      <c r="V63" s="9">
        <f>IFERROR(__xludf.DUMMYFUNCTION("""COMPUTED_VALUE"""),325.0)</f>
        <v>325</v>
      </c>
      <c r="W63" s="9">
        <f>IFERROR(__xludf.DUMMYFUNCTION("""COMPUTED_VALUE"""),3.88)</f>
        <v>3.88</v>
      </c>
      <c r="X63" s="9">
        <f>IFERROR(__xludf.DUMMYFUNCTION("""COMPUTED_VALUE"""),1261.0)</f>
        <v>1261</v>
      </c>
      <c r="Y63" s="9">
        <f>IFERROR(__xludf.DUMMYFUNCTION("""COMPUTED_VALUE"""),1.0)</f>
        <v>1</v>
      </c>
    </row>
    <row r="64">
      <c r="O64" s="9">
        <f>IFERROR(__xludf.DUMMYFUNCTION("""COMPUTED_VALUE"""),92915.0)</f>
        <v>92915</v>
      </c>
      <c r="P64" s="9" t="str">
        <f>IFERROR(__xludf.DUMMYFUNCTION("""COMPUTED_VALUE"""),"Boisson")</f>
        <v>Boisson</v>
      </c>
      <c r="Q64" s="9" t="str">
        <f>IFERROR(__xludf.DUMMYFUNCTION("""COMPUTED_VALUE"""),"Café")</f>
        <v>Café</v>
      </c>
      <c r="R64" s="9" t="str">
        <f>IFERROR(__xludf.DUMMYFUNCTION("""COMPUTED_VALUE"""),"Café décaféiné")</f>
        <v>Café décaféiné</v>
      </c>
      <c r="S64" s="9" t="str">
        <f>IFERROR(__xludf.DUMMYFUNCTION("""COMPUTED_VALUE"""),"92915-Café-Café décaféiné")</f>
        <v>92915-Café-Café décaféiné</v>
      </c>
      <c r="T64" s="9">
        <f>IFERROR(__xludf.DUMMYFUNCTION("""COMPUTED_VALUE"""),0.0)</f>
        <v>0</v>
      </c>
      <c r="U64" s="9">
        <f>IFERROR(__xludf.DUMMYFUNCTION("""COMPUTED_VALUE"""),842.0)</f>
        <v>842</v>
      </c>
      <c r="V64" s="9">
        <f>IFERROR(__xludf.DUMMYFUNCTION("""COMPUTED_VALUE"""),563.0)</f>
        <v>563</v>
      </c>
      <c r="W64" s="9">
        <f>IFERROR(__xludf.DUMMYFUNCTION("""COMPUTED_VALUE"""),6.22)</f>
        <v>6.22</v>
      </c>
      <c r="X64" s="9">
        <f>IFERROR(__xludf.DUMMYFUNCTION("""COMPUTED_VALUE"""),3501.8599999999997)</f>
        <v>3501.86</v>
      </c>
      <c r="Y64" s="9">
        <f>IFERROR(__xludf.DUMMYFUNCTION("""COMPUTED_VALUE"""),1.0)</f>
        <v>1</v>
      </c>
    </row>
    <row r="65">
      <c r="O65" s="9">
        <f>IFERROR(__xludf.DUMMYFUNCTION("""COMPUTED_VALUE"""),81653.0)</f>
        <v>81653</v>
      </c>
      <c r="P65" s="9" t="str">
        <f>IFERROR(__xludf.DUMMYFUNCTION("""COMPUTED_VALUE"""),"Boisson")</f>
        <v>Boisson</v>
      </c>
      <c r="Q65" s="9" t="str">
        <f>IFERROR(__xludf.DUMMYFUNCTION("""COMPUTED_VALUE"""),"Café")</f>
        <v>Café</v>
      </c>
      <c r="R65" s="9" t="str">
        <f>IFERROR(__xludf.DUMMYFUNCTION("""COMPUTED_VALUE"""),"Café décaféiné")</f>
        <v>Café décaféiné</v>
      </c>
      <c r="S65" s="9" t="str">
        <f>IFERROR(__xludf.DUMMYFUNCTION("""COMPUTED_VALUE"""),"81653-Café-Café décaféiné")</f>
        <v>81653-Café-Café décaféiné</v>
      </c>
      <c r="T65" s="9">
        <f>IFERROR(__xludf.DUMMYFUNCTION("""COMPUTED_VALUE"""),0.0)</f>
        <v>0</v>
      </c>
      <c r="U65" s="9">
        <f>IFERROR(__xludf.DUMMYFUNCTION("""COMPUTED_VALUE"""),65.0)</f>
        <v>65</v>
      </c>
      <c r="V65" s="9">
        <f>IFERROR(__xludf.DUMMYFUNCTION("""COMPUTED_VALUE"""),31.0)</f>
        <v>31</v>
      </c>
      <c r="W65" s="9">
        <f>IFERROR(__xludf.DUMMYFUNCTION("""COMPUTED_VALUE"""),4.13)</f>
        <v>4.13</v>
      </c>
      <c r="X65" s="9">
        <f>IFERROR(__xludf.DUMMYFUNCTION("""COMPUTED_VALUE"""),128.03)</f>
        <v>128.03</v>
      </c>
      <c r="Y65" s="9">
        <f>IFERROR(__xludf.DUMMYFUNCTION("""COMPUTED_VALUE"""),1.0)</f>
        <v>1</v>
      </c>
    </row>
    <row r="66">
      <c r="O66" s="9">
        <f>IFERROR(__xludf.DUMMYFUNCTION("""COMPUTED_VALUE"""),81618.0)</f>
        <v>81618</v>
      </c>
      <c r="P66" s="9" t="str">
        <f>IFERROR(__xludf.DUMMYFUNCTION("""COMPUTED_VALUE"""),"Boisson")</f>
        <v>Boisson</v>
      </c>
      <c r="Q66" s="9" t="str">
        <f>IFERROR(__xludf.DUMMYFUNCTION("""COMPUTED_VALUE"""),"Café")</f>
        <v>Café</v>
      </c>
      <c r="R66" s="9" t="str">
        <f>IFERROR(__xludf.DUMMYFUNCTION("""COMPUTED_VALUE"""),"Café décaféiné")</f>
        <v>Café décaféiné</v>
      </c>
      <c r="S66" s="9" t="str">
        <f>IFERROR(__xludf.DUMMYFUNCTION("""COMPUTED_VALUE"""),"81618-Café-Café décaféiné")</f>
        <v>81618-Café-Café décaféiné</v>
      </c>
      <c r="T66" s="9">
        <f>IFERROR(__xludf.DUMMYFUNCTION("""COMPUTED_VALUE"""),1.0)</f>
        <v>1</v>
      </c>
      <c r="U66" s="9">
        <f>IFERROR(__xludf.DUMMYFUNCTION("""COMPUTED_VALUE"""),111.0)</f>
        <v>111</v>
      </c>
      <c r="V66" s="9">
        <f>IFERROR(__xludf.DUMMYFUNCTION("""COMPUTED_VALUE"""),33.0)</f>
        <v>33</v>
      </c>
      <c r="W66" s="9">
        <f>IFERROR(__xludf.DUMMYFUNCTION("""COMPUTED_VALUE"""),3.55)</f>
        <v>3.55</v>
      </c>
      <c r="X66" s="9">
        <f>IFERROR(__xludf.DUMMYFUNCTION("""COMPUTED_VALUE"""),117.14999999999999)</f>
        <v>117.15</v>
      </c>
      <c r="Y66" s="9">
        <f>IFERROR(__xludf.DUMMYFUNCTION("""COMPUTED_VALUE"""),1.0)</f>
        <v>1</v>
      </c>
    </row>
    <row r="67">
      <c r="O67" s="9">
        <f>IFERROR(__xludf.DUMMYFUNCTION("""COMPUTED_VALUE"""),118241.0)</f>
        <v>118241</v>
      </c>
      <c r="P67" s="9" t="str">
        <f>IFERROR(__xludf.DUMMYFUNCTION("""COMPUTED_VALUE"""),"Boisson")</f>
        <v>Boisson</v>
      </c>
      <c r="Q67" s="9" t="str">
        <f>IFERROR(__xludf.DUMMYFUNCTION("""COMPUTED_VALUE"""),"Café")</f>
        <v>Café</v>
      </c>
      <c r="R67" s="9" t="str">
        <f>IFERROR(__xludf.DUMMYFUNCTION("""COMPUTED_VALUE"""),"Dosettes compatible Senséo ®")</f>
        <v>Dosettes compatible Senséo ®</v>
      </c>
      <c r="S67" s="9" t="str">
        <f>IFERROR(__xludf.DUMMYFUNCTION("""COMPUTED_VALUE"""),"118241-Café-Dosettes compatible Senséo ®")</f>
        <v>118241-Café-Dosettes compatible Senséo ®</v>
      </c>
      <c r="T67" s="9">
        <f>IFERROR(__xludf.DUMMYFUNCTION("""COMPUTED_VALUE"""),1.0)</f>
        <v>1</v>
      </c>
      <c r="U67" s="9">
        <f>IFERROR(__xludf.DUMMYFUNCTION("""COMPUTED_VALUE"""),893.0)</f>
        <v>893</v>
      </c>
      <c r="V67" s="9">
        <f>IFERROR(__xludf.DUMMYFUNCTION("""COMPUTED_VALUE"""),1.0)</f>
        <v>1</v>
      </c>
      <c r="W67" s="9">
        <f>IFERROR(__xludf.DUMMYFUNCTION("""COMPUTED_VALUE"""),2.36)</f>
        <v>2.36</v>
      </c>
      <c r="X67" s="9">
        <f>IFERROR(__xludf.DUMMYFUNCTION("""COMPUTED_VALUE"""),2.36)</f>
        <v>2.36</v>
      </c>
      <c r="Y67" s="9">
        <f>IFERROR(__xludf.DUMMYFUNCTION("""COMPUTED_VALUE"""),1.0)</f>
        <v>1</v>
      </c>
    </row>
    <row r="68">
      <c r="O68" s="9">
        <f>IFERROR(__xludf.DUMMYFUNCTION("""COMPUTED_VALUE"""),48634.0)</f>
        <v>48634</v>
      </c>
      <c r="P68" s="9" t="str">
        <f>IFERROR(__xludf.DUMMYFUNCTION("""COMPUTED_VALUE"""),"Boisson")</f>
        <v>Boisson</v>
      </c>
      <c r="Q68" s="9" t="str">
        <f>IFERROR(__xludf.DUMMYFUNCTION("""COMPUTED_VALUE"""),"Café")</f>
        <v>Café</v>
      </c>
      <c r="R68" s="9" t="str">
        <f>IFERROR(__xludf.DUMMYFUNCTION("""COMPUTED_VALUE"""),"Dosettes compatible Senséo ®")</f>
        <v>Dosettes compatible Senséo ®</v>
      </c>
      <c r="S68" s="9" t="str">
        <f>IFERROR(__xludf.DUMMYFUNCTION("""COMPUTED_VALUE"""),"48634-Café-Dosettes compatible Senséo ®")</f>
        <v>48634-Café-Dosettes compatible Senséo ®</v>
      </c>
      <c r="T68" s="9">
        <f>IFERROR(__xludf.DUMMYFUNCTION("""COMPUTED_VALUE"""),1.0)</f>
        <v>1</v>
      </c>
      <c r="U68" s="9">
        <f>IFERROR(__xludf.DUMMYFUNCTION("""COMPUTED_VALUE"""),835.0)</f>
        <v>835</v>
      </c>
      <c r="V68" s="9">
        <f>IFERROR(__xludf.DUMMYFUNCTION("""COMPUTED_VALUE"""),181.0)</f>
        <v>181</v>
      </c>
      <c r="W68" s="9">
        <f>IFERROR(__xludf.DUMMYFUNCTION("""COMPUTED_VALUE"""),3.16)</f>
        <v>3.16</v>
      </c>
      <c r="X68" s="9">
        <f>IFERROR(__xludf.DUMMYFUNCTION("""COMPUTED_VALUE"""),571.96)</f>
        <v>571.96</v>
      </c>
      <c r="Y68" s="9">
        <f>IFERROR(__xludf.DUMMYFUNCTION("""COMPUTED_VALUE"""),1.0)</f>
        <v>1</v>
      </c>
    </row>
    <row r="69">
      <c r="O69" s="9">
        <f>IFERROR(__xludf.DUMMYFUNCTION("""COMPUTED_VALUE"""),48636.0)</f>
        <v>48636</v>
      </c>
      <c r="P69" s="9" t="str">
        <f>IFERROR(__xludf.DUMMYFUNCTION("""COMPUTED_VALUE"""),"Boisson")</f>
        <v>Boisson</v>
      </c>
      <c r="Q69" s="9" t="str">
        <f>IFERROR(__xludf.DUMMYFUNCTION("""COMPUTED_VALUE"""),"Café")</f>
        <v>Café</v>
      </c>
      <c r="R69" s="9" t="str">
        <f>IFERROR(__xludf.DUMMYFUNCTION("""COMPUTED_VALUE"""),"Dosettes compatible Senséo ®")</f>
        <v>Dosettes compatible Senséo ®</v>
      </c>
      <c r="S69" s="9" t="str">
        <f>IFERROR(__xludf.DUMMYFUNCTION("""COMPUTED_VALUE"""),"48636-Café-Dosettes compatible Senséo ®")</f>
        <v>48636-Café-Dosettes compatible Senséo ®</v>
      </c>
      <c r="T69" s="9">
        <f>IFERROR(__xludf.DUMMYFUNCTION("""COMPUTED_VALUE"""),1.0)</f>
        <v>1</v>
      </c>
      <c r="U69" s="9">
        <f>IFERROR(__xludf.DUMMYFUNCTION("""COMPUTED_VALUE"""),31.0)</f>
        <v>31</v>
      </c>
      <c r="V69" s="9">
        <f>IFERROR(__xludf.DUMMYFUNCTION("""COMPUTED_VALUE"""),8.0)</f>
        <v>8</v>
      </c>
      <c r="W69" s="9">
        <f>IFERROR(__xludf.DUMMYFUNCTION("""COMPUTED_VALUE"""),3.21)</f>
        <v>3.21</v>
      </c>
      <c r="X69" s="9">
        <f>IFERROR(__xludf.DUMMYFUNCTION("""COMPUTED_VALUE"""),25.68)</f>
        <v>25.68</v>
      </c>
      <c r="Y69" s="9">
        <f>IFERROR(__xludf.DUMMYFUNCTION("""COMPUTED_VALUE"""),1.0)</f>
        <v>1</v>
      </c>
    </row>
    <row r="70">
      <c r="O70" s="9">
        <f>IFERROR(__xludf.DUMMYFUNCTION("""COMPUTED_VALUE"""),48629.0)</f>
        <v>48629</v>
      </c>
      <c r="P70" s="9" t="str">
        <f>IFERROR(__xludf.DUMMYFUNCTION("""COMPUTED_VALUE"""),"Boisson")</f>
        <v>Boisson</v>
      </c>
      <c r="Q70" s="9" t="str">
        <f>IFERROR(__xludf.DUMMYFUNCTION("""COMPUTED_VALUE"""),"Café")</f>
        <v>Café</v>
      </c>
      <c r="R70" s="9" t="str">
        <f>IFERROR(__xludf.DUMMYFUNCTION("""COMPUTED_VALUE"""),"Dosettes compatible Senséo ®")</f>
        <v>Dosettes compatible Senséo ®</v>
      </c>
      <c r="S70" s="9" t="str">
        <f>IFERROR(__xludf.DUMMYFUNCTION("""COMPUTED_VALUE"""),"48629-Café-Dosettes compatible Senséo ®")</f>
        <v>48629-Café-Dosettes compatible Senséo ®</v>
      </c>
      <c r="T70" s="9">
        <f>IFERROR(__xludf.DUMMYFUNCTION("""COMPUTED_VALUE"""),1.0)</f>
        <v>1</v>
      </c>
      <c r="U70" s="9">
        <f>IFERROR(__xludf.DUMMYFUNCTION("""COMPUTED_VALUE"""),928.0)</f>
        <v>928</v>
      </c>
      <c r="V70" s="9">
        <f>IFERROR(__xludf.DUMMYFUNCTION("""COMPUTED_VALUE"""),630.0)</f>
        <v>630</v>
      </c>
      <c r="W70" s="9">
        <f>IFERROR(__xludf.DUMMYFUNCTION("""COMPUTED_VALUE"""),2.38)</f>
        <v>2.38</v>
      </c>
      <c r="X70" s="9">
        <f>IFERROR(__xludf.DUMMYFUNCTION("""COMPUTED_VALUE"""),1499.3999999999999)</f>
        <v>1499.4</v>
      </c>
      <c r="Y70" s="9">
        <f>IFERROR(__xludf.DUMMYFUNCTION("""COMPUTED_VALUE"""),1.0)</f>
        <v>1</v>
      </c>
    </row>
    <row r="71">
      <c r="O71" s="9">
        <f>IFERROR(__xludf.DUMMYFUNCTION("""COMPUTED_VALUE"""),47400.0)</f>
        <v>47400</v>
      </c>
      <c r="P71" s="9" t="str">
        <f>IFERROR(__xludf.DUMMYFUNCTION("""COMPUTED_VALUE"""),"Boisson")</f>
        <v>Boisson</v>
      </c>
      <c r="Q71" s="9" t="str">
        <f>IFERROR(__xludf.DUMMYFUNCTION("""COMPUTED_VALUE"""),"Café")</f>
        <v>Café</v>
      </c>
      <c r="R71" s="9" t="str">
        <f>IFERROR(__xludf.DUMMYFUNCTION("""COMPUTED_VALUE"""),"Dosettes compatible Senséo ®")</f>
        <v>Dosettes compatible Senséo ®</v>
      </c>
      <c r="S71" s="9" t="str">
        <f>IFERROR(__xludf.DUMMYFUNCTION("""COMPUTED_VALUE"""),"47400-Café-Dosettes compatible Senséo ®")</f>
        <v>47400-Café-Dosettes compatible Senséo ®</v>
      </c>
      <c r="T71" s="9">
        <f>IFERROR(__xludf.DUMMYFUNCTION("""COMPUTED_VALUE"""),1.0)</f>
        <v>1</v>
      </c>
      <c r="U71" s="9">
        <f>IFERROR(__xludf.DUMMYFUNCTION("""COMPUTED_VALUE"""),870.0)</f>
        <v>870</v>
      </c>
      <c r="V71" s="9">
        <f>IFERROR(__xludf.DUMMYFUNCTION("""COMPUTED_VALUE"""),397.0)</f>
        <v>397</v>
      </c>
      <c r="W71" s="9">
        <f>IFERROR(__xludf.DUMMYFUNCTION("""COMPUTED_VALUE"""),2.25)</f>
        <v>2.25</v>
      </c>
      <c r="X71" s="9">
        <f>IFERROR(__xludf.DUMMYFUNCTION("""COMPUTED_VALUE"""),893.25)</f>
        <v>893.25</v>
      </c>
      <c r="Y71" s="9">
        <f>IFERROR(__xludf.DUMMYFUNCTION("""COMPUTED_VALUE"""),1.0)</f>
        <v>1</v>
      </c>
    </row>
    <row r="72">
      <c r="O72" s="9">
        <f>IFERROR(__xludf.DUMMYFUNCTION("""COMPUTED_VALUE"""),111237.0)</f>
        <v>111237</v>
      </c>
      <c r="P72" s="9" t="str">
        <f>IFERROR(__xludf.DUMMYFUNCTION("""COMPUTED_VALUE"""),"Boisson")</f>
        <v>Boisson</v>
      </c>
      <c r="Q72" s="9" t="str">
        <f>IFERROR(__xludf.DUMMYFUNCTION("""COMPUTED_VALUE"""),"Café")</f>
        <v>Café</v>
      </c>
      <c r="R72" s="9" t="str">
        <f>IFERROR(__xludf.DUMMYFUNCTION("""COMPUTED_VALUE"""),"Dosettes compatible Senséo ®")</f>
        <v>Dosettes compatible Senséo ®</v>
      </c>
      <c r="S72" s="9" t="str">
        <f>IFERROR(__xludf.DUMMYFUNCTION("""COMPUTED_VALUE"""),"111237-Café-Dosettes compatible Senséo ®")</f>
        <v>111237-Café-Dosettes compatible Senséo ®</v>
      </c>
      <c r="T72" s="9">
        <f>IFERROR(__xludf.DUMMYFUNCTION("""COMPUTED_VALUE"""),0.0)</f>
        <v>0</v>
      </c>
      <c r="U72" s="9">
        <f>IFERROR(__xludf.DUMMYFUNCTION("""COMPUTED_VALUE"""),428.0)</f>
        <v>428</v>
      </c>
      <c r="V72" s="9">
        <f>IFERROR(__xludf.DUMMYFUNCTION("""COMPUTED_VALUE"""),123.0)</f>
        <v>123</v>
      </c>
      <c r="W72" s="9">
        <f>IFERROR(__xludf.DUMMYFUNCTION("""COMPUTED_VALUE"""),3.97)</f>
        <v>3.97</v>
      </c>
      <c r="X72" s="9">
        <f>IFERROR(__xludf.DUMMYFUNCTION("""COMPUTED_VALUE"""),488.31)</f>
        <v>488.31</v>
      </c>
      <c r="Y72" s="9">
        <f>IFERROR(__xludf.DUMMYFUNCTION("""COMPUTED_VALUE"""),1.0)</f>
        <v>1</v>
      </c>
    </row>
    <row r="73">
      <c r="O73" s="9">
        <f>IFERROR(__xludf.DUMMYFUNCTION("""COMPUTED_VALUE"""),18042.0)</f>
        <v>18042</v>
      </c>
      <c r="P73" s="9" t="str">
        <f>IFERROR(__xludf.DUMMYFUNCTION("""COMPUTED_VALUE"""),"Boisson")</f>
        <v>Boisson</v>
      </c>
      <c r="Q73" s="9" t="str">
        <f>IFERROR(__xludf.DUMMYFUNCTION("""COMPUTED_VALUE"""),"Café")</f>
        <v>Café</v>
      </c>
      <c r="R73" s="9" t="str">
        <f>IFERROR(__xludf.DUMMYFUNCTION("""COMPUTED_VALUE"""),"Substituts de café, chicorée")</f>
        <v>Substituts de café, chicorée</v>
      </c>
      <c r="S73" s="9" t="str">
        <f>IFERROR(__xludf.DUMMYFUNCTION("""COMPUTED_VALUE"""),"18042-Café-Substituts de café, chicorée")</f>
        <v>18042-Café-Substituts de café, chicorée</v>
      </c>
      <c r="T73" s="9">
        <f>IFERROR(__xludf.DUMMYFUNCTION("""COMPUTED_VALUE"""),0.0)</f>
        <v>0</v>
      </c>
      <c r="U73" s="9">
        <f>IFERROR(__xludf.DUMMYFUNCTION("""COMPUTED_VALUE"""),247.0)</f>
        <v>247</v>
      </c>
      <c r="V73" s="9">
        <f>IFERROR(__xludf.DUMMYFUNCTION("""COMPUTED_VALUE"""),228.0)</f>
        <v>228</v>
      </c>
      <c r="W73" s="9">
        <f>IFERROR(__xludf.DUMMYFUNCTION("""COMPUTED_VALUE"""),3.46)</f>
        <v>3.46</v>
      </c>
      <c r="X73" s="9">
        <f>IFERROR(__xludf.DUMMYFUNCTION("""COMPUTED_VALUE"""),788.88)</f>
        <v>788.88</v>
      </c>
      <c r="Y73" s="9">
        <f>IFERROR(__xludf.DUMMYFUNCTION("""COMPUTED_VALUE"""),1.0)</f>
        <v>1</v>
      </c>
    </row>
    <row r="74">
      <c r="O74" s="9">
        <f>IFERROR(__xludf.DUMMYFUNCTION("""COMPUTED_VALUE"""),114978.0)</f>
        <v>114978</v>
      </c>
      <c r="P74" s="9" t="str">
        <f>IFERROR(__xludf.DUMMYFUNCTION("""COMPUTED_VALUE"""),"Boisson")</f>
        <v>Boisson</v>
      </c>
      <c r="Q74" s="9" t="str">
        <f>IFERROR(__xludf.DUMMYFUNCTION("""COMPUTED_VALUE"""),"Café")</f>
        <v>Café</v>
      </c>
      <c r="R74" s="9" t="str">
        <f>IFERROR(__xludf.DUMMYFUNCTION("""COMPUTED_VALUE"""),"Substituts de café, chicorée")</f>
        <v>Substituts de café, chicorée</v>
      </c>
      <c r="S74" s="9" t="str">
        <f>IFERROR(__xludf.DUMMYFUNCTION("""COMPUTED_VALUE"""),"114978-Café-Substituts de café, chicorée")</f>
        <v>114978-Café-Substituts de café, chicorée</v>
      </c>
      <c r="T74" s="9">
        <f>IFERROR(__xludf.DUMMYFUNCTION("""COMPUTED_VALUE"""),0.0)</f>
        <v>0</v>
      </c>
      <c r="U74" s="9">
        <f>IFERROR(__xludf.DUMMYFUNCTION("""COMPUTED_VALUE"""),295.0)</f>
        <v>295</v>
      </c>
      <c r="V74" s="9">
        <f>IFERROR(__xludf.DUMMYFUNCTION("""COMPUTED_VALUE"""),260.0)</f>
        <v>260</v>
      </c>
      <c r="W74" s="9">
        <f>IFERROR(__xludf.DUMMYFUNCTION("""COMPUTED_VALUE"""),4.44)</f>
        <v>4.44</v>
      </c>
      <c r="X74" s="9">
        <f>IFERROR(__xludf.DUMMYFUNCTION("""COMPUTED_VALUE"""),1154.4)</f>
        <v>1154.4</v>
      </c>
      <c r="Y74" s="9">
        <f>IFERROR(__xludf.DUMMYFUNCTION("""COMPUTED_VALUE"""),1.0)</f>
        <v>1</v>
      </c>
    </row>
    <row r="75">
      <c r="O75" s="9">
        <f>IFERROR(__xludf.DUMMYFUNCTION("""COMPUTED_VALUE"""),82980.0)</f>
        <v>82980</v>
      </c>
      <c r="P75" s="9" t="str">
        <f>IFERROR(__xludf.DUMMYFUNCTION("""COMPUTED_VALUE"""),"Boisson")</f>
        <v>Boisson</v>
      </c>
      <c r="Q75" s="9" t="str">
        <f>IFERROR(__xludf.DUMMYFUNCTION("""COMPUTED_VALUE"""),"Café")</f>
        <v>Café</v>
      </c>
      <c r="R75" s="9" t="str">
        <f>IFERROR(__xludf.DUMMYFUNCTION("""COMPUTED_VALUE"""),"Substituts de café, chicorée")</f>
        <v>Substituts de café, chicorée</v>
      </c>
      <c r="S75" s="9" t="str">
        <f>IFERROR(__xludf.DUMMYFUNCTION("""COMPUTED_VALUE"""),"82980-Café-Substituts de café, chicorée")</f>
        <v>82980-Café-Substituts de café, chicorée</v>
      </c>
      <c r="T75" s="9">
        <f>IFERROR(__xludf.DUMMYFUNCTION("""COMPUTED_VALUE"""),1.0)</f>
        <v>1</v>
      </c>
      <c r="U75" s="9">
        <f>IFERROR(__xludf.DUMMYFUNCTION("""COMPUTED_VALUE"""),336.0)</f>
        <v>336</v>
      </c>
      <c r="V75" s="9">
        <f>IFERROR(__xludf.DUMMYFUNCTION("""COMPUTED_VALUE"""),155.0)</f>
        <v>155</v>
      </c>
      <c r="W75" s="9">
        <f>IFERROR(__xludf.DUMMYFUNCTION("""COMPUTED_VALUE"""),2.5)</f>
        <v>2.5</v>
      </c>
      <c r="X75" s="9">
        <f>IFERROR(__xludf.DUMMYFUNCTION("""COMPUTED_VALUE"""),387.5)</f>
        <v>387.5</v>
      </c>
      <c r="Y75" s="9">
        <f>IFERROR(__xludf.DUMMYFUNCTION("""COMPUTED_VALUE"""),1.0)</f>
        <v>1</v>
      </c>
    </row>
    <row r="76">
      <c r="O76" s="9">
        <f>IFERROR(__xludf.DUMMYFUNCTION("""COMPUTED_VALUE"""),83093.0)</f>
        <v>83093</v>
      </c>
      <c r="P76" s="9" t="str">
        <f>IFERROR(__xludf.DUMMYFUNCTION("""COMPUTED_VALUE"""),"Boisson")</f>
        <v>Boisson</v>
      </c>
      <c r="Q76" s="9" t="str">
        <f>IFERROR(__xludf.DUMMYFUNCTION("""COMPUTED_VALUE"""),"Café")</f>
        <v>Café</v>
      </c>
      <c r="R76" s="9" t="str">
        <f>IFERROR(__xludf.DUMMYFUNCTION("""COMPUTED_VALUE"""),"Substituts de café, chicorée")</f>
        <v>Substituts de café, chicorée</v>
      </c>
      <c r="S76" s="9" t="str">
        <f>IFERROR(__xludf.DUMMYFUNCTION("""COMPUTED_VALUE"""),"83093-Café-Substituts de café, chicorée")</f>
        <v>83093-Café-Substituts de café, chicorée</v>
      </c>
      <c r="T76" s="9">
        <f>IFERROR(__xludf.DUMMYFUNCTION("""COMPUTED_VALUE"""),0.0)</f>
        <v>0</v>
      </c>
      <c r="U76" s="9">
        <f>IFERROR(__xludf.DUMMYFUNCTION("""COMPUTED_VALUE"""),452.0)</f>
        <v>452</v>
      </c>
      <c r="V76" s="9">
        <f>IFERROR(__xludf.DUMMYFUNCTION("""COMPUTED_VALUE"""),394.0)</f>
        <v>394</v>
      </c>
      <c r="W76" s="9">
        <f>IFERROR(__xludf.DUMMYFUNCTION("""COMPUTED_VALUE"""),4.21)</f>
        <v>4.21</v>
      </c>
      <c r="X76" s="9">
        <f>IFERROR(__xludf.DUMMYFUNCTION("""COMPUTED_VALUE"""),1658.74)</f>
        <v>1658.74</v>
      </c>
      <c r="Y76" s="9">
        <f>IFERROR(__xludf.DUMMYFUNCTION("""COMPUTED_VALUE"""),1.0)</f>
        <v>1</v>
      </c>
    </row>
    <row r="77">
      <c r="O77" s="9">
        <f>IFERROR(__xludf.DUMMYFUNCTION("""COMPUTED_VALUE"""),18134.0)</f>
        <v>18134</v>
      </c>
      <c r="P77" s="9" t="str">
        <f>IFERROR(__xludf.DUMMYFUNCTION("""COMPUTED_VALUE"""),"Boisson")</f>
        <v>Boisson</v>
      </c>
      <c r="Q77" s="9" t="str">
        <f>IFERROR(__xludf.DUMMYFUNCTION("""COMPUTED_VALUE"""),"Café")</f>
        <v>Café</v>
      </c>
      <c r="R77" s="9" t="str">
        <f>IFERROR(__xludf.DUMMYFUNCTION("""COMPUTED_VALUE"""),"Substituts de café, chicorée")</f>
        <v>Substituts de café, chicorée</v>
      </c>
      <c r="S77" s="9" t="str">
        <f>IFERROR(__xludf.DUMMYFUNCTION("""COMPUTED_VALUE"""),"18134-Café-Substituts de café, chicorée")</f>
        <v>18134-Café-Substituts de café, chicorée</v>
      </c>
      <c r="T77" s="9">
        <f>IFERROR(__xludf.DUMMYFUNCTION("""COMPUTED_VALUE"""),0.0)</f>
        <v>0</v>
      </c>
      <c r="U77" s="9">
        <f>IFERROR(__xludf.DUMMYFUNCTION("""COMPUTED_VALUE"""),510.0)</f>
        <v>510</v>
      </c>
      <c r="V77" s="9">
        <f>IFERROR(__xludf.DUMMYFUNCTION("""COMPUTED_VALUE"""),395.0)</f>
        <v>395</v>
      </c>
      <c r="W77" s="9">
        <f>IFERROR(__xludf.DUMMYFUNCTION("""COMPUTED_VALUE"""),4.11)</f>
        <v>4.11</v>
      </c>
      <c r="X77" s="9">
        <f>IFERROR(__xludf.DUMMYFUNCTION("""COMPUTED_VALUE"""),1623.45)</f>
        <v>1623.45</v>
      </c>
      <c r="Y77" s="9">
        <f>IFERROR(__xludf.DUMMYFUNCTION("""COMPUTED_VALUE"""),1.0)</f>
        <v>1</v>
      </c>
    </row>
    <row r="78">
      <c r="O78" s="9">
        <f>IFERROR(__xludf.DUMMYFUNCTION("""COMPUTED_VALUE"""),107857.0)</f>
        <v>107857</v>
      </c>
      <c r="P78" s="9" t="str">
        <f>IFERROR(__xludf.DUMMYFUNCTION("""COMPUTED_VALUE"""),"Boisson")</f>
        <v>Boisson</v>
      </c>
      <c r="Q78" s="9" t="str">
        <f>IFERROR(__xludf.DUMMYFUNCTION("""COMPUTED_VALUE"""),"Café")</f>
        <v>Café</v>
      </c>
      <c r="R78" s="9" t="str">
        <f>IFERROR(__xludf.DUMMYFUNCTION("""COMPUTED_VALUE"""),"Substituts de café, chicorée")</f>
        <v>Substituts de café, chicorée</v>
      </c>
      <c r="S78" s="9" t="str">
        <f>IFERROR(__xludf.DUMMYFUNCTION("""COMPUTED_VALUE"""),"107857-Café-Substituts de café, chicorée")</f>
        <v>107857-Café-Substituts de café, chicorée</v>
      </c>
      <c r="T78" s="9">
        <f>IFERROR(__xludf.DUMMYFUNCTION("""COMPUTED_VALUE"""),0.0)</f>
        <v>0</v>
      </c>
      <c r="U78" s="9">
        <f>IFERROR(__xludf.DUMMYFUNCTION("""COMPUTED_VALUE"""),662.0)</f>
        <v>662</v>
      </c>
      <c r="V78" s="9">
        <f>IFERROR(__xludf.DUMMYFUNCTION("""COMPUTED_VALUE"""),336.0)</f>
        <v>336</v>
      </c>
      <c r="W78" s="9">
        <f>IFERROR(__xludf.DUMMYFUNCTION("""COMPUTED_VALUE"""),3.83)</f>
        <v>3.83</v>
      </c>
      <c r="X78" s="9">
        <f>IFERROR(__xludf.DUMMYFUNCTION("""COMPUTED_VALUE"""),1286.88)</f>
        <v>1286.88</v>
      </c>
      <c r="Y78" s="9">
        <f>IFERROR(__xludf.DUMMYFUNCTION("""COMPUTED_VALUE"""),1.0)</f>
        <v>1</v>
      </c>
    </row>
    <row r="79">
      <c r="O79" s="9">
        <f>IFERROR(__xludf.DUMMYFUNCTION("""COMPUTED_VALUE"""),18136.0)</f>
        <v>18136</v>
      </c>
      <c r="P79" s="9" t="str">
        <f>IFERROR(__xludf.DUMMYFUNCTION("""COMPUTED_VALUE"""),"Boisson")</f>
        <v>Boisson</v>
      </c>
      <c r="Q79" s="9" t="str">
        <f>IFERROR(__xludf.DUMMYFUNCTION("""COMPUTED_VALUE"""),"Café")</f>
        <v>Café</v>
      </c>
      <c r="R79" s="9" t="str">
        <f>IFERROR(__xludf.DUMMYFUNCTION("""COMPUTED_VALUE"""),"Substituts de café, chicorée")</f>
        <v>Substituts de café, chicorée</v>
      </c>
      <c r="S79" s="9" t="str">
        <f>IFERROR(__xludf.DUMMYFUNCTION("""COMPUTED_VALUE"""),"18136-Café-Substituts de café, chicorée")</f>
        <v>18136-Café-Substituts de café, chicorée</v>
      </c>
      <c r="T79" s="9">
        <f>IFERROR(__xludf.DUMMYFUNCTION("""COMPUTED_VALUE"""),1.0)</f>
        <v>1</v>
      </c>
      <c r="U79" s="9">
        <f>IFERROR(__xludf.DUMMYFUNCTION("""COMPUTED_VALUE"""),848.0)</f>
        <v>848</v>
      </c>
      <c r="V79" s="9">
        <f>IFERROR(__xludf.DUMMYFUNCTION("""COMPUTED_VALUE"""),807.0)</f>
        <v>807</v>
      </c>
      <c r="W79" s="9">
        <f>IFERROR(__xludf.DUMMYFUNCTION("""COMPUTED_VALUE"""),5.46)</f>
        <v>5.46</v>
      </c>
      <c r="X79" s="9">
        <f>IFERROR(__xludf.DUMMYFUNCTION("""COMPUTED_VALUE"""),4406.22)</f>
        <v>4406.22</v>
      </c>
      <c r="Y79" s="9">
        <f>IFERROR(__xludf.DUMMYFUNCTION("""COMPUTED_VALUE"""),1.0)</f>
        <v>1</v>
      </c>
    </row>
    <row r="80">
      <c r="O80" s="9">
        <f>IFERROR(__xludf.DUMMYFUNCTION("""COMPUTED_VALUE"""),69138.0)</f>
        <v>69138</v>
      </c>
      <c r="P80" s="9" t="str">
        <f>IFERROR(__xludf.DUMMYFUNCTION("""COMPUTED_VALUE"""),"Boisson")</f>
        <v>Boisson</v>
      </c>
      <c r="Q80" s="9" t="str">
        <f>IFERROR(__xludf.DUMMYFUNCTION("""COMPUTED_VALUE"""),"Café")</f>
        <v>Café</v>
      </c>
      <c r="R80" s="9" t="str">
        <f>IFERROR(__xludf.DUMMYFUNCTION("""COMPUTED_VALUE"""),"Substituts de café, chicorée")</f>
        <v>Substituts de café, chicorée</v>
      </c>
      <c r="S80" s="9" t="str">
        <f>IFERROR(__xludf.DUMMYFUNCTION("""COMPUTED_VALUE"""),"69138-Café-Substituts de café, chicorée")</f>
        <v>69138-Café-Substituts de café, chicorée</v>
      </c>
      <c r="T80" s="9">
        <f>IFERROR(__xludf.DUMMYFUNCTION("""COMPUTED_VALUE"""),1.0)</f>
        <v>1</v>
      </c>
      <c r="U80" s="9">
        <f>IFERROR(__xludf.DUMMYFUNCTION("""COMPUTED_VALUE"""),40.0)</f>
        <v>40</v>
      </c>
      <c r="V80" s="9">
        <f>IFERROR(__xludf.DUMMYFUNCTION("""COMPUTED_VALUE"""),25.0)</f>
        <v>25</v>
      </c>
      <c r="W80" s="9">
        <f>IFERROR(__xludf.DUMMYFUNCTION("""COMPUTED_VALUE"""),5.31)</f>
        <v>5.31</v>
      </c>
      <c r="X80" s="9">
        <f>IFERROR(__xludf.DUMMYFUNCTION("""COMPUTED_VALUE"""),132.75)</f>
        <v>132.75</v>
      </c>
      <c r="Y80" s="9">
        <f>IFERROR(__xludf.DUMMYFUNCTION("""COMPUTED_VALUE"""),1.0)</f>
        <v>1</v>
      </c>
    </row>
    <row r="81">
      <c r="O81" s="9">
        <f>IFERROR(__xludf.DUMMYFUNCTION("""COMPUTED_VALUE"""),74828.0)</f>
        <v>74828</v>
      </c>
      <c r="P81" s="9" t="str">
        <f>IFERROR(__xludf.DUMMYFUNCTION("""COMPUTED_VALUE"""),"Boisson")</f>
        <v>Boisson</v>
      </c>
      <c r="Q81" s="9" t="str">
        <f>IFERROR(__xludf.DUMMYFUNCTION("""COMPUTED_VALUE"""),"Café")</f>
        <v>Café</v>
      </c>
      <c r="R81" s="9" t="str">
        <f>IFERROR(__xludf.DUMMYFUNCTION("""COMPUTED_VALUE"""),"Substituts de café, chicorée")</f>
        <v>Substituts de café, chicorée</v>
      </c>
      <c r="S81" s="9" t="str">
        <f>IFERROR(__xludf.DUMMYFUNCTION("""COMPUTED_VALUE"""),"74828-Café-Substituts de café, chicorée")</f>
        <v>74828-Café-Substituts de café, chicorée</v>
      </c>
      <c r="T81" s="9">
        <f>IFERROR(__xludf.DUMMYFUNCTION("""COMPUTED_VALUE"""),0.0)</f>
        <v>0</v>
      </c>
      <c r="U81" s="9">
        <f>IFERROR(__xludf.DUMMYFUNCTION("""COMPUTED_VALUE"""),664.0)</f>
        <v>664</v>
      </c>
      <c r="V81" s="9">
        <f>IFERROR(__xludf.DUMMYFUNCTION("""COMPUTED_VALUE"""),622.0)</f>
        <v>622</v>
      </c>
      <c r="W81" s="9">
        <f>IFERROR(__xludf.DUMMYFUNCTION("""COMPUTED_VALUE"""),4.59)</f>
        <v>4.59</v>
      </c>
      <c r="X81" s="9">
        <f>IFERROR(__xludf.DUMMYFUNCTION("""COMPUTED_VALUE"""),2854.98)</f>
        <v>2854.98</v>
      </c>
      <c r="Y81" s="9">
        <f>IFERROR(__xludf.DUMMYFUNCTION("""COMPUTED_VALUE"""),1.0)</f>
        <v>1</v>
      </c>
    </row>
    <row r="82">
      <c r="O82" s="9">
        <f>IFERROR(__xludf.DUMMYFUNCTION("""COMPUTED_VALUE"""),74884.0)</f>
        <v>74884</v>
      </c>
      <c r="P82" s="9" t="str">
        <f>IFERROR(__xludf.DUMMYFUNCTION("""COMPUTED_VALUE"""),"Boisson")</f>
        <v>Boisson</v>
      </c>
      <c r="Q82" s="9" t="str">
        <f>IFERROR(__xludf.DUMMYFUNCTION("""COMPUTED_VALUE"""),"Café")</f>
        <v>Café</v>
      </c>
      <c r="R82" s="9" t="str">
        <f>IFERROR(__xludf.DUMMYFUNCTION("""COMPUTED_VALUE"""),"Substituts de café, chicorée")</f>
        <v>Substituts de café, chicorée</v>
      </c>
      <c r="S82" s="9" t="str">
        <f>IFERROR(__xludf.DUMMYFUNCTION("""COMPUTED_VALUE"""),"74884-Café-Substituts de café, chicorée")</f>
        <v>74884-Café-Substituts de café, chicorée</v>
      </c>
      <c r="T82" s="9">
        <f>IFERROR(__xludf.DUMMYFUNCTION("""COMPUTED_VALUE"""),1.0)</f>
        <v>1</v>
      </c>
      <c r="U82" s="9">
        <f>IFERROR(__xludf.DUMMYFUNCTION("""COMPUTED_VALUE"""),6.0)</f>
        <v>6</v>
      </c>
      <c r="V82" s="9">
        <f>IFERROR(__xludf.DUMMYFUNCTION("""COMPUTED_VALUE"""),6.0)</f>
        <v>6</v>
      </c>
      <c r="W82" s="9">
        <f>IFERROR(__xludf.DUMMYFUNCTION("""COMPUTED_VALUE"""),5.02)</f>
        <v>5.02</v>
      </c>
      <c r="X82" s="9">
        <f>IFERROR(__xludf.DUMMYFUNCTION("""COMPUTED_VALUE"""),30.119999999999997)</f>
        <v>30.12</v>
      </c>
      <c r="Y82" s="9">
        <f>IFERROR(__xludf.DUMMYFUNCTION("""COMPUTED_VALUE"""),1.0)</f>
        <v>1</v>
      </c>
    </row>
    <row r="83">
      <c r="O83" s="9">
        <f>IFERROR(__xludf.DUMMYFUNCTION("""COMPUTED_VALUE"""),127232.0)</f>
        <v>127232</v>
      </c>
      <c r="P83" s="9" t="str">
        <f>IFERROR(__xludf.DUMMYFUNCTION("""COMPUTED_VALUE"""),"Boisson")</f>
        <v>Boisson</v>
      </c>
      <c r="Q83" s="9" t="str">
        <f>IFERROR(__xludf.DUMMYFUNCTION("""COMPUTED_VALUE"""),"Café")</f>
        <v>Café</v>
      </c>
      <c r="R83" s="9" t="str">
        <f>IFERROR(__xludf.DUMMYFUNCTION("""COMPUTED_VALUE"""),"Substituts de café, chicorée")</f>
        <v>Substituts de café, chicorée</v>
      </c>
      <c r="S83" s="9" t="str">
        <f>IFERROR(__xludf.DUMMYFUNCTION("""COMPUTED_VALUE"""),"127232-Café-Substituts de café, chicorée")</f>
        <v>127232-Café-Substituts de café, chicorée</v>
      </c>
      <c r="T83" s="9">
        <f>IFERROR(__xludf.DUMMYFUNCTION("""COMPUTED_VALUE"""),1.0)</f>
        <v>1</v>
      </c>
      <c r="U83" s="9">
        <f>IFERROR(__xludf.DUMMYFUNCTION("""COMPUTED_VALUE"""),715.0)</f>
        <v>715</v>
      </c>
      <c r="V83" s="9">
        <f>IFERROR(__xludf.DUMMYFUNCTION("""COMPUTED_VALUE"""),657.0)</f>
        <v>657</v>
      </c>
      <c r="W83" s="9">
        <f>IFERROR(__xludf.DUMMYFUNCTION("""COMPUTED_VALUE"""),3.12)</f>
        <v>3.12</v>
      </c>
      <c r="X83" s="9">
        <f>IFERROR(__xludf.DUMMYFUNCTION("""COMPUTED_VALUE"""),2049.84)</f>
        <v>2049.84</v>
      </c>
      <c r="Y83" s="9">
        <f>IFERROR(__xludf.DUMMYFUNCTION("""COMPUTED_VALUE"""),1.0)</f>
        <v>1</v>
      </c>
    </row>
    <row r="84">
      <c r="O84" s="9">
        <f>IFERROR(__xludf.DUMMYFUNCTION("""COMPUTED_VALUE"""),82979.0)</f>
        <v>82979</v>
      </c>
      <c r="P84" s="9" t="str">
        <f>IFERROR(__xludf.DUMMYFUNCTION("""COMPUTED_VALUE"""),"Boisson")</f>
        <v>Boisson</v>
      </c>
      <c r="Q84" s="9" t="str">
        <f>IFERROR(__xludf.DUMMYFUNCTION("""COMPUTED_VALUE"""),"Café")</f>
        <v>Café</v>
      </c>
      <c r="R84" s="9" t="str">
        <f>IFERROR(__xludf.DUMMYFUNCTION("""COMPUTED_VALUE"""),"Substituts de café, chicorée")</f>
        <v>Substituts de café, chicorée</v>
      </c>
      <c r="S84" s="9" t="str">
        <f>IFERROR(__xludf.DUMMYFUNCTION("""COMPUTED_VALUE"""),"82979-Café-Substituts de café, chicorée")</f>
        <v>82979-Café-Substituts de café, chicorée</v>
      </c>
      <c r="T84" s="9">
        <f>IFERROR(__xludf.DUMMYFUNCTION("""COMPUTED_VALUE"""),1.0)</f>
        <v>1</v>
      </c>
      <c r="U84" s="9">
        <f>IFERROR(__xludf.DUMMYFUNCTION("""COMPUTED_VALUE"""),764.0)</f>
        <v>764</v>
      </c>
      <c r="V84" s="9">
        <f>IFERROR(__xludf.DUMMYFUNCTION("""COMPUTED_VALUE"""),714.0)</f>
        <v>714</v>
      </c>
      <c r="W84" s="9">
        <f>IFERROR(__xludf.DUMMYFUNCTION("""COMPUTED_VALUE"""),1.92)</f>
        <v>1.92</v>
      </c>
      <c r="X84" s="9">
        <f>IFERROR(__xludf.DUMMYFUNCTION("""COMPUTED_VALUE"""),1370.8799999999999)</f>
        <v>1370.88</v>
      </c>
      <c r="Y84" s="9">
        <f>IFERROR(__xludf.DUMMYFUNCTION("""COMPUTED_VALUE"""),1.0)</f>
        <v>1</v>
      </c>
    </row>
    <row r="85">
      <c r="O85" s="9">
        <f>IFERROR(__xludf.DUMMYFUNCTION("""COMPUTED_VALUE"""),18138.0)</f>
        <v>18138</v>
      </c>
      <c r="P85" s="9" t="str">
        <f>IFERROR(__xludf.DUMMYFUNCTION("""COMPUTED_VALUE"""),"Boisson")</f>
        <v>Boisson</v>
      </c>
      <c r="Q85" s="9" t="str">
        <f>IFERROR(__xludf.DUMMYFUNCTION("""COMPUTED_VALUE"""),"Café")</f>
        <v>Café</v>
      </c>
      <c r="R85" s="9" t="str">
        <f>IFERROR(__xludf.DUMMYFUNCTION("""COMPUTED_VALUE"""),"Substituts de café, chicorée")</f>
        <v>Substituts de café, chicorée</v>
      </c>
      <c r="S85" s="9" t="str">
        <f>IFERROR(__xludf.DUMMYFUNCTION("""COMPUTED_VALUE"""),"18138-Café-Substituts de café, chicorée")</f>
        <v>18138-Café-Substituts de café, chicorée</v>
      </c>
      <c r="T85" s="9">
        <f>IFERROR(__xludf.DUMMYFUNCTION("""COMPUTED_VALUE"""),0.0)</f>
        <v>0</v>
      </c>
      <c r="U85" s="9">
        <f>IFERROR(__xludf.DUMMYFUNCTION("""COMPUTED_VALUE"""),561.0)</f>
        <v>561</v>
      </c>
      <c r="V85" s="9">
        <f>IFERROR(__xludf.DUMMYFUNCTION("""COMPUTED_VALUE"""),347.0)</f>
        <v>347</v>
      </c>
      <c r="W85" s="9">
        <f>IFERROR(__xludf.DUMMYFUNCTION("""COMPUTED_VALUE"""),5.97)</f>
        <v>5.97</v>
      </c>
      <c r="X85" s="9">
        <f>IFERROR(__xludf.DUMMYFUNCTION("""COMPUTED_VALUE"""),2071.5899999999997)</f>
        <v>2071.59</v>
      </c>
      <c r="Y85" s="9">
        <f>IFERROR(__xludf.DUMMYFUNCTION("""COMPUTED_VALUE"""),1.0)</f>
        <v>1</v>
      </c>
    </row>
    <row r="86">
      <c r="O86" s="9">
        <f>IFERROR(__xludf.DUMMYFUNCTION("""COMPUTED_VALUE"""),127003.0)</f>
        <v>127003</v>
      </c>
      <c r="P86" s="9" t="str">
        <f>IFERROR(__xludf.DUMMYFUNCTION("""COMPUTED_VALUE"""),"Boisson")</f>
        <v>Boisson</v>
      </c>
      <c r="Q86" s="9" t="str">
        <f>IFERROR(__xludf.DUMMYFUNCTION("""COMPUTED_VALUE"""),"Café")</f>
        <v>Café</v>
      </c>
      <c r="R86" s="9" t="str">
        <f>IFERROR(__xludf.DUMMYFUNCTION("""COMPUTED_VALUE"""),"Capsules compatible Nespresso ®")</f>
        <v>Capsules compatible Nespresso ®</v>
      </c>
      <c r="S86" s="9" t="str">
        <f>IFERROR(__xludf.DUMMYFUNCTION("""COMPUTED_VALUE"""),"127003-Café-Capsules compatible Nespresso ®")</f>
        <v>127003-Café-Capsules compatible Nespresso ®</v>
      </c>
      <c r="T86" s="9">
        <f>IFERROR(__xludf.DUMMYFUNCTION("""COMPUTED_VALUE"""),0.0)</f>
        <v>0</v>
      </c>
      <c r="U86" s="9">
        <f>IFERROR(__xludf.DUMMYFUNCTION("""COMPUTED_VALUE"""),753.0)</f>
        <v>753</v>
      </c>
      <c r="V86" s="9">
        <f>IFERROR(__xludf.DUMMYFUNCTION("""COMPUTED_VALUE"""),393.0)</f>
        <v>393</v>
      </c>
      <c r="W86" s="9">
        <f>IFERROR(__xludf.DUMMYFUNCTION("""COMPUTED_VALUE"""),3.54)</f>
        <v>3.54</v>
      </c>
      <c r="X86" s="9">
        <f>IFERROR(__xludf.DUMMYFUNCTION("""COMPUTED_VALUE"""),1391.22)</f>
        <v>1391.22</v>
      </c>
      <c r="Y86" s="9">
        <f>IFERROR(__xludf.DUMMYFUNCTION("""COMPUTED_VALUE"""),1.0)</f>
        <v>1</v>
      </c>
    </row>
  </sheetData>
  <dataValidations>
    <dataValidation type="list" allowBlank="1" showErrorMessage="1" sqref="C16">
      <formula1>explo_stock!$C$2:$C1000</formula1>
    </dataValidation>
  </dataValidations>
  <drawing r:id="rId2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5" t="s">
        <v>673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37" t="s">
        <v>674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38" t="s">
        <v>675</v>
      </c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60.0" customHeight="1"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39" t="s">
        <v>676</v>
      </c>
      <c r="B7" s="40"/>
      <c r="C7" s="40"/>
      <c r="D7" s="40"/>
      <c r="E7" s="40"/>
      <c r="F7" s="40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41" t="s">
        <v>677</v>
      </c>
      <c r="B8" s="42" t="s">
        <v>678</v>
      </c>
      <c r="C8" s="43"/>
      <c r="D8" s="42" t="s">
        <v>679</v>
      </c>
      <c r="E8" s="44"/>
      <c r="F8" s="43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45" t="s">
        <v>680</v>
      </c>
      <c r="B9" s="46" t="s">
        <v>681</v>
      </c>
      <c r="C9" s="43"/>
      <c r="D9" s="46" t="s">
        <v>682</v>
      </c>
      <c r="E9" s="44"/>
      <c r="F9" s="43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37" t="s">
        <v>683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47" t="s">
        <v>684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</sheetData>
  <mergeCells count="5">
    <mergeCell ref="A4:F5"/>
    <mergeCell ref="B8:C8"/>
    <mergeCell ref="D8:F8"/>
    <mergeCell ref="B9:C9"/>
    <mergeCell ref="D9:F9"/>
  </mergeCells>
  <drawing r:id="rId1"/>
</worksheet>
</file>